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4"/>
  <workbookPr/>
  <mc:AlternateContent xmlns:mc="http://schemas.openxmlformats.org/markup-compatibility/2006">
    <mc:Choice Requires="x15">
      <x15ac:absPath xmlns:x15ac="http://schemas.microsoft.com/office/spreadsheetml/2010/11/ac" url="https://bdmg365.sharepoint.com/sites/SEP-EP/Documentos Compartilhados/SEINFRA -/00.PROJETO LOTE-OP_PPP/06. ECONÔMICO-FINANCEIRO/Modelo Econômico-Financeiro (MEF)/2025.03.XX - Em produção/"/>
    </mc:Choice>
  </mc:AlternateContent>
  <xr:revisionPtr revIDLastSave="3" documentId="8_{6049320C-DB1C-44B2-B34D-79C18E095F11}" xr6:coauthVersionLast="47" xr6:coauthVersionMax="47" xr10:uidLastSave="{C68218C5-8246-4D5A-AC2B-D84A328797D7}"/>
  <bookViews>
    <workbookView xWindow="-120" yWindow="-120" windowWidth="25380" windowHeight="10620" tabRatio="726" firstSheet="23" activeTab="23" xr2:uid="{00000000-000D-0000-FFFF-FFFF00000000}"/>
  </bookViews>
  <sheets>
    <sheet name="Capa" sheetId="1" r:id="rId1"/>
    <sheet name="Gráficos Antigo" sheetId="35" state="hidden" r:id="rId2"/>
    <sheet name="Painel Controle" sheetId="2" r:id="rId3"/>
    <sheet name="BP Real" sheetId="23" r:id="rId4"/>
    <sheet name="DRE Nominal" sheetId="22" r:id="rId5"/>
    <sheet name="DRE Real" sheetId="24" r:id="rId6"/>
    <sheet name="BP Nominal" sheetId="20" r:id="rId7"/>
    <sheet name="DFC" sheetId="7" r:id="rId8"/>
    <sheet name="Transp. púb. interm. e metrop." sheetId="34" r:id="rId9"/>
    <sheet name="Tráfego" sheetId="25" r:id="rId10"/>
    <sheet name="Tarifas Ped." sheetId="5" r:id="rId11"/>
    <sheet name="Degraus tarifários Input" sheetId="49" r:id="rId12"/>
    <sheet name="DUF" sheetId="13" r:id="rId13"/>
    <sheet name="Receitas Tarifárias" sheetId="3" r:id="rId14"/>
    <sheet name="TAG e inad." sheetId="26" r:id="rId15"/>
    <sheet name="Compart. Riscos" sheetId="27" r:id="rId16"/>
    <sheet name="Aporte" sheetId="33" r:id="rId17"/>
    <sheet name="Estudo de Fluxos (mensal)" sheetId="53" r:id="rId18"/>
    <sheet name="Marcos de Aportes Selecionado" sheetId="52" r:id="rId19"/>
    <sheet name="Marcos de Aportes Inputs" sheetId="51" r:id="rId20"/>
    <sheet name="Value for Money" sheetId="44" r:id="rId21"/>
    <sheet name="Capex" sheetId="10" r:id="rId22"/>
    <sheet name="Capex - Cenário Escolhido" sheetId="46" r:id="rId23"/>
    <sheet name="Capex Input - Todos os cenários" sheetId="45" r:id="rId24"/>
    <sheet name="Opex" sheetId="11" r:id="rId25"/>
    <sheet name="Opex - Cenário Escolhido" sheetId="48" r:id="rId26"/>
    <sheet name="Opex Input - Todos os Cenários" sheetId="47" r:id="rId27"/>
  </sheets>
  <definedNames>
    <definedName name="_xlnm.Print_Area" localSheetId="0">Capa!$A$2:$W$18</definedName>
    <definedName name="solver_adj" localSheetId="12" hidden="1">DUF!$I$12:$I$15</definedName>
    <definedName name="solver_eng" localSheetId="12" hidden="1">1</definedName>
    <definedName name="solver_neg" localSheetId="12" hidden="1">1</definedName>
    <definedName name="solver_num" localSheetId="12" hidden="1">0</definedName>
    <definedName name="solver_typ" localSheetId="12" hidden="1">3</definedName>
    <definedName name="solver_val" localSheetId="12" hidden="1">1</definedName>
    <definedName name="solver_ver" localSheetId="12"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F391" i="13" l="1" a="1"/>
  <c r="F391" i="13"/>
  <c r="F442" i="13" s="1" a="1"/>
  <c r="F442" i="13" s="1"/>
  <c r="D376" i="13" a="1"/>
  <c r="D376" i="13"/>
  <c r="C373" i="13"/>
  <c r="H373" i="13" s="1"/>
  <c r="C372" i="13"/>
  <c r="H372" i="13" s="1"/>
  <c r="C371" i="13"/>
  <c r="H371" i="13" s="1"/>
  <c r="C370" i="13"/>
  <c r="H370" i="13" s="1"/>
  <c r="C369" i="13"/>
  <c r="H369" i="13" s="1"/>
  <c r="C368" i="13"/>
  <c r="H368" i="13" s="1"/>
  <c r="C301" i="13"/>
  <c r="H301" i="13" s="1"/>
  <c r="C300" i="13"/>
  <c r="H300" i="13" s="1"/>
  <c r="C299" i="13"/>
  <c r="H299" i="13" s="1"/>
  <c r="C298" i="13"/>
  <c r="H298" i="13" s="1"/>
  <c r="C297" i="13"/>
  <c r="H297" i="13" s="1"/>
  <c r="C296" i="13"/>
  <c r="H296" i="13" s="1"/>
  <c r="C229" i="13"/>
  <c r="H229" i="13" s="1"/>
  <c r="C228" i="13"/>
  <c r="H228" i="13" s="1"/>
  <c r="C227" i="13"/>
  <c r="H227" i="13" s="1"/>
  <c r="C226" i="13"/>
  <c r="H226" i="13" s="1"/>
  <c r="C225" i="13"/>
  <c r="H225" i="13" s="1"/>
  <c r="C224" i="13"/>
  <c r="H224" i="13" s="1"/>
  <c r="C157" i="13"/>
  <c r="H157" i="13" s="1"/>
  <c r="C156" i="13"/>
  <c r="H156" i="13" s="1"/>
  <c r="C155" i="13"/>
  <c r="H155" i="13" s="1"/>
  <c r="C154" i="13"/>
  <c r="H154" i="13" s="1"/>
  <c r="C153" i="13"/>
  <c r="H153" i="13" s="1"/>
  <c r="C152" i="13"/>
  <c r="H152" i="13" s="1"/>
  <c r="C108" i="35" a="1"/>
  <c r="C108" i="35"/>
  <c r="D237" i="2"/>
  <c r="E82" i="11" s="1"/>
  <c r="B237" i="2"/>
  <c r="D236" i="2"/>
  <c r="B238" i="2"/>
  <c r="B236" i="2"/>
  <c r="C293" i="35"/>
  <c r="C265" i="35"/>
  <c r="C266" i="35"/>
  <c r="E14" i="33"/>
  <c r="C176" i="2"/>
  <c r="N8" i="53"/>
  <c r="N22" i="53" s="1"/>
  <c r="AH9" i="33"/>
  <c r="AG9" i="33"/>
  <c r="AF9" i="33"/>
  <c r="AE9" i="33"/>
  <c r="AD9" i="33"/>
  <c r="AC9" i="33"/>
  <c r="AB9" i="33"/>
  <c r="AA9" i="33"/>
  <c r="Z9" i="33"/>
  <c r="Y9" i="33"/>
  <c r="X9" i="33"/>
  <c r="W9" i="33"/>
  <c r="V9" i="33"/>
  <c r="U9" i="33"/>
  <c r="T9" i="33"/>
  <c r="S9" i="33"/>
  <c r="R9" i="33"/>
  <c r="Q9" i="33"/>
  <c r="P9" i="33"/>
  <c r="O9" i="33"/>
  <c r="N9" i="33"/>
  <c r="M9" i="33"/>
  <c r="L9" i="33"/>
  <c r="K9" i="33"/>
  <c r="J9" i="33"/>
  <c r="I9" i="33"/>
  <c r="H9" i="33"/>
  <c r="G9" i="33"/>
  <c r="F9" i="33"/>
  <c r="E9" i="33"/>
  <c r="D235" i="2"/>
  <c r="D234" i="2"/>
  <c r="C8" i="33"/>
  <c r="D71" i="53"/>
  <c r="E71" i="53"/>
  <c r="F71" i="53"/>
  <c r="G71" i="53"/>
  <c r="H71" i="53"/>
  <c r="I71" i="53"/>
  <c r="J71" i="53"/>
  <c r="K71" i="53"/>
  <c r="L71" i="53"/>
  <c r="M71" i="53"/>
  <c r="N71" i="53"/>
  <c r="O71" i="53"/>
  <c r="P71" i="53"/>
  <c r="Q71" i="53"/>
  <c r="R71" i="53"/>
  <c r="S71" i="53"/>
  <c r="T71" i="53"/>
  <c r="U71" i="53"/>
  <c r="V71" i="53"/>
  <c r="W71" i="53"/>
  <c r="X71" i="53"/>
  <c r="Y71" i="53"/>
  <c r="Z71" i="53"/>
  <c r="AA71" i="53"/>
  <c r="AB71" i="53"/>
  <c r="AC71" i="53"/>
  <c r="AD71" i="53"/>
  <c r="AE71" i="53"/>
  <c r="AF71" i="53"/>
  <c r="AG71" i="53"/>
  <c r="AH71" i="53"/>
  <c r="AI71" i="53"/>
  <c r="AJ71" i="53"/>
  <c r="AK71" i="53"/>
  <c r="AL71" i="53"/>
  <c r="AM71" i="53"/>
  <c r="AN71" i="53"/>
  <c r="AO71" i="53"/>
  <c r="AP71" i="53"/>
  <c r="AQ71" i="53"/>
  <c r="AR71" i="53"/>
  <c r="AS71" i="53"/>
  <c r="AT71" i="53"/>
  <c r="AU71" i="53"/>
  <c r="AV71" i="53"/>
  <c r="AW71" i="53"/>
  <c r="AX71" i="53"/>
  <c r="AY71" i="53"/>
  <c r="AZ71" i="53"/>
  <c r="BA71" i="53"/>
  <c r="BB71" i="53"/>
  <c r="BC71" i="53"/>
  <c r="BD71" i="53"/>
  <c r="BE71" i="53"/>
  <c r="BF71" i="53"/>
  <c r="BG71" i="53"/>
  <c r="BH71" i="53"/>
  <c r="BI71" i="53"/>
  <c r="BJ71" i="53"/>
  <c r="BK71" i="53"/>
  <c r="BL71" i="53"/>
  <c r="BM71" i="53"/>
  <c r="BN71" i="53"/>
  <c r="BO71" i="53"/>
  <c r="BP71" i="53"/>
  <c r="BQ71" i="53"/>
  <c r="C71" i="53"/>
  <c r="D238" i="2"/>
  <c r="C16" i="33" a="1"/>
  <c r="C20" i="53" a="1"/>
  <c r="C20" i="53" s="1"/>
  <c r="C77" i="53" s="1" a="1"/>
  <c r="C77" i="53" s="1"/>
  <c r="D21" i="53"/>
  <c r="E21" i="53"/>
  <c r="F21" i="53"/>
  <c r="G21" i="53"/>
  <c r="H21" i="53"/>
  <c r="J21" i="53"/>
  <c r="K21" i="53"/>
  <c r="L21" i="53"/>
  <c r="M21" i="53"/>
  <c r="N21" i="53"/>
  <c r="O21" i="53"/>
  <c r="P21" i="53"/>
  <c r="Q21" i="53"/>
  <c r="R21" i="53"/>
  <c r="T21" i="53"/>
  <c r="U21" i="53"/>
  <c r="V21" i="53"/>
  <c r="W21" i="53"/>
  <c r="X21" i="53"/>
  <c r="Y21" i="53"/>
  <c r="Z21" i="53"/>
  <c r="AA21" i="53"/>
  <c r="AB21" i="53"/>
  <c r="AC21" i="53"/>
  <c r="AD21" i="53"/>
  <c r="AF21" i="53"/>
  <c r="AG21" i="53"/>
  <c r="AH21" i="53"/>
  <c r="AI21" i="53"/>
  <c r="AJ21" i="53"/>
  <c r="AK21" i="53"/>
  <c r="AL21" i="53"/>
  <c r="AM21" i="53"/>
  <c r="AN21" i="53"/>
  <c r="AO21" i="53"/>
  <c r="AP21" i="53"/>
  <c r="AR21" i="53"/>
  <c r="AS21" i="53"/>
  <c r="AT21" i="53"/>
  <c r="AU21" i="53"/>
  <c r="AV21" i="53"/>
  <c r="AW21" i="53"/>
  <c r="AX21" i="53"/>
  <c r="AY21" i="53"/>
  <c r="AZ21" i="53"/>
  <c r="BA21" i="53"/>
  <c r="BB21" i="53"/>
  <c r="BD21" i="53"/>
  <c r="BE21" i="53"/>
  <c r="BF21" i="53"/>
  <c r="BG21" i="53"/>
  <c r="BH21" i="53"/>
  <c r="BI21" i="53"/>
  <c r="BJ21" i="53"/>
  <c r="BK21" i="53"/>
  <c r="BL21" i="53"/>
  <c r="BM21" i="53"/>
  <c r="BN21" i="53"/>
  <c r="BP21" i="53"/>
  <c r="BQ21" i="53"/>
  <c r="C22" i="53"/>
  <c r="E22" i="53"/>
  <c r="F22" i="53"/>
  <c r="G22" i="53"/>
  <c r="H22" i="53"/>
  <c r="I22" i="53"/>
  <c r="K22" i="53"/>
  <c r="L22" i="53"/>
  <c r="M22" i="53"/>
  <c r="O22" i="53"/>
  <c r="P22" i="53"/>
  <c r="Q22" i="53"/>
  <c r="R22" i="53"/>
  <c r="S22" i="53"/>
  <c r="U22" i="53"/>
  <c r="V22" i="53"/>
  <c r="W22" i="53"/>
  <c r="X22" i="53"/>
  <c r="Y22" i="53"/>
  <c r="Z22" i="53"/>
  <c r="AA22" i="53"/>
  <c r="AB22" i="53"/>
  <c r="AC22" i="53"/>
  <c r="AD22" i="53"/>
  <c r="AE22" i="53"/>
  <c r="AG22" i="53"/>
  <c r="AH22" i="53"/>
  <c r="AI22" i="53"/>
  <c r="AJ22" i="53"/>
  <c r="AK22" i="53"/>
  <c r="AL22" i="53"/>
  <c r="AM22" i="53"/>
  <c r="AN22" i="53"/>
  <c r="AO22" i="53"/>
  <c r="AP22" i="53"/>
  <c r="AQ22" i="53"/>
  <c r="AS22" i="53"/>
  <c r="AT22" i="53"/>
  <c r="AU22" i="53"/>
  <c r="AV22" i="53"/>
  <c r="AW22" i="53"/>
  <c r="AX22" i="53"/>
  <c r="AY22" i="53"/>
  <c r="AZ22" i="53"/>
  <c r="BA22" i="53"/>
  <c r="BB22" i="53"/>
  <c r="BC22" i="53"/>
  <c r="BE22" i="53"/>
  <c r="BF22" i="53"/>
  <c r="BG22" i="53"/>
  <c r="BH22" i="53"/>
  <c r="BI22" i="53"/>
  <c r="BJ22" i="53"/>
  <c r="BK22" i="53"/>
  <c r="BL22" i="53"/>
  <c r="BM22" i="53"/>
  <c r="BN22" i="53"/>
  <c r="BO22" i="53"/>
  <c r="BQ22" i="53"/>
  <c r="B23" i="53"/>
  <c r="B22" i="53"/>
  <c r="B21" i="53"/>
  <c r="D27" i="53"/>
  <c r="E27" i="53"/>
  <c r="F27" i="53"/>
  <c r="G27" i="53"/>
  <c r="H27" i="53"/>
  <c r="J27" i="53"/>
  <c r="K27" i="53"/>
  <c r="L27" i="53"/>
  <c r="M27" i="53"/>
  <c r="N27" i="53"/>
  <c r="O27" i="53"/>
  <c r="P27" i="53"/>
  <c r="Q27" i="53"/>
  <c r="R27" i="53"/>
  <c r="T27" i="53"/>
  <c r="U27" i="53"/>
  <c r="V27" i="53"/>
  <c r="W27" i="53"/>
  <c r="X27" i="53"/>
  <c r="Y27" i="53"/>
  <c r="Z27" i="53"/>
  <c r="AA27" i="53"/>
  <c r="AB27" i="53"/>
  <c r="AC27" i="53"/>
  <c r="AD27" i="53"/>
  <c r="AF27" i="53"/>
  <c r="AG27" i="53"/>
  <c r="AH27" i="53"/>
  <c r="AI27" i="53"/>
  <c r="AJ27" i="53"/>
  <c r="AK27" i="53"/>
  <c r="AL27" i="53"/>
  <c r="AM27" i="53"/>
  <c r="AN27" i="53"/>
  <c r="AO27" i="53"/>
  <c r="AP27" i="53"/>
  <c r="AR27" i="53"/>
  <c r="AS27" i="53"/>
  <c r="AT27" i="53"/>
  <c r="AU27" i="53"/>
  <c r="AV27" i="53"/>
  <c r="AW27" i="53"/>
  <c r="AX27" i="53"/>
  <c r="AY27" i="53"/>
  <c r="AZ27" i="53"/>
  <c r="BA27" i="53"/>
  <c r="BB27" i="53"/>
  <c r="BD27" i="53"/>
  <c r="BE27" i="53"/>
  <c r="BF27" i="53"/>
  <c r="BG27" i="53"/>
  <c r="BH27" i="53"/>
  <c r="BI27" i="53"/>
  <c r="BJ27" i="53"/>
  <c r="BK27" i="53"/>
  <c r="BL27" i="53"/>
  <c r="BM27" i="53"/>
  <c r="BN27" i="53"/>
  <c r="BP27" i="53"/>
  <c r="BQ27" i="53"/>
  <c r="B27" i="53"/>
  <c r="D26" i="53"/>
  <c r="E26" i="53"/>
  <c r="F26" i="53"/>
  <c r="G26" i="53"/>
  <c r="H26" i="53"/>
  <c r="I26" i="53"/>
  <c r="J26" i="53"/>
  <c r="K26" i="53"/>
  <c r="L26" i="53"/>
  <c r="M26" i="53"/>
  <c r="N26" i="53"/>
  <c r="O26" i="53"/>
  <c r="P26" i="53"/>
  <c r="Q26" i="53"/>
  <c r="R26" i="53"/>
  <c r="S26" i="53"/>
  <c r="T26" i="53"/>
  <c r="U26" i="53"/>
  <c r="V26" i="53"/>
  <c r="W26" i="53"/>
  <c r="X26" i="53"/>
  <c r="Y26" i="53"/>
  <c r="Z26" i="53"/>
  <c r="AA26" i="53"/>
  <c r="AB26" i="53"/>
  <c r="AC26" i="53"/>
  <c r="AD26" i="53"/>
  <c r="AE26" i="53"/>
  <c r="AF26" i="53"/>
  <c r="AG26" i="53"/>
  <c r="AH26" i="53"/>
  <c r="AI26" i="53"/>
  <c r="AJ26" i="53"/>
  <c r="AK26" i="53"/>
  <c r="AL26" i="53"/>
  <c r="AM26" i="53"/>
  <c r="AN26" i="53"/>
  <c r="AO26" i="53"/>
  <c r="AP26" i="53"/>
  <c r="AQ26" i="53"/>
  <c r="AR26" i="53"/>
  <c r="AS26" i="53"/>
  <c r="AT26" i="53"/>
  <c r="AU26" i="53"/>
  <c r="AV26" i="53"/>
  <c r="AW26" i="53"/>
  <c r="AX26" i="53"/>
  <c r="AY26" i="53"/>
  <c r="AZ26" i="53"/>
  <c r="BA26" i="53"/>
  <c r="BB26" i="53"/>
  <c r="BC26" i="53"/>
  <c r="BD26" i="53"/>
  <c r="BE26" i="53"/>
  <c r="BF26" i="53"/>
  <c r="BG26" i="53"/>
  <c r="BH26" i="53"/>
  <c r="BI26" i="53"/>
  <c r="BJ26" i="53"/>
  <c r="BK26" i="53"/>
  <c r="BL26" i="53"/>
  <c r="BM26" i="53"/>
  <c r="BN26" i="53"/>
  <c r="BO26" i="53"/>
  <c r="BP26" i="53"/>
  <c r="BQ26" i="53"/>
  <c r="E28" i="53"/>
  <c r="F28" i="53"/>
  <c r="G28" i="53"/>
  <c r="H28" i="53"/>
  <c r="I28" i="53"/>
  <c r="K28" i="53"/>
  <c r="L28" i="53"/>
  <c r="M28" i="53"/>
  <c r="O28" i="53"/>
  <c r="P28" i="53"/>
  <c r="Q28" i="53"/>
  <c r="R28" i="53"/>
  <c r="S28" i="53"/>
  <c r="U28" i="53"/>
  <c r="V28" i="53"/>
  <c r="W28" i="53"/>
  <c r="X28" i="53"/>
  <c r="Y28" i="53"/>
  <c r="Z28" i="53"/>
  <c r="AA28" i="53"/>
  <c r="AB28" i="53"/>
  <c r="AC28" i="53"/>
  <c r="AD28" i="53"/>
  <c r="AE28" i="53"/>
  <c r="AG28" i="53"/>
  <c r="AH28" i="53"/>
  <c r="AI28" i="53"/>
  <c r="AJ28" i="53"/>
  <c r="AK28" i="53"/>
  <c r="AL28" i="53"/>
  <c r="AM28" i="53"/>
  <c r="AN28" i="53"/>
  <c r="AO28" i="53"/>
  <c r="AP28" i="53"/>
  <c r="AQ28" i="53"/>
  <c r="AS28" i="53"/>
  <c r="AT28" i="53"/>
  <c r="AU28" i="53"/>
  <c r="AV28" i="53"/>
  <c r="AW28" i="53"/>
  <c r="AX28" i="53"/>
  <c r="AY28" i="53"/>
  <c r="AZ28" i="53"/>
  <c r="BA28" i="53"/>
  <c r="BB28" i="53"/>
  <c r="BC28" i="53"/>
  <c r="BE28" i="53"/>
  <c r="BF28" i="53"/>
  <c r="BG28" i="53"/>
  <c r="BH28" i="53"/>
  <c r="BI28" i="53"/>
  <c r="BJ28" i="53"/>
  <c r="BK28" i="53"/>
  <c r="BL28" i="53"/>
  <c r="BM28" i="53"/>
  <c r="BN28" i="53"/>
  <c r="BO28" i="53"/>
  <c r="BQ28" i="53"/>
  <c r="C28" i="53"/>
  <c r="C26" i="53"/>
  <c r="B29" i="53"/>
  <c r="B28" i="53"/>
  <c r="I4" i="53"/>
  <c r="I21" i="53" s="1"/>
  <c r="C5" i="53"/>
  <c r="BO4" i="53"/>
  <c r="BO21" i="53" s="1"/>
  <c r="BC4" i="53"/>
  <c r="BC21" i="53" s="1"/>
  <c r="AQ4" i="53"/>
  <c r="AQ21" i="53" s="1"/>
  <c r="AE4" i="53"/>
  <c r="AE21" i="53" s="1"/>
  <c r="S4" i="53"/>
  <c r="S21" i="53" s="1"/>
  <c r="C4" i="53"/>
  <c r="C11" i="53" s="1"/>
  <c r="C11" i="33"/>
  <c r="E8" i="33"/>
  <c r="S5" i="53" s="1"/>
  <c r="E81" i="11"/>
  <c r="D233" i="2"/>
  <c r="C6" i="2" s="1"/>
  <c r="D232" i="2"/>
  <c r="E211" i="2" a="1"/>
  <c r="E211" i="2" s="1"/>
  <c r="B149" i="33" a="1"/>
  <c r="B149" i="33" s="1"/>
  <c r="B4" i="52" a="1"/>
  <c r="H4" i="52" s="1"/>
  <c r="B4" i="52"/>
  <c r="B250" i="33"/>
  <c r="B3" i="13"/>
  <c r="I12" i="13" s="1" a="1"/>
  <c r="C22" i="5" a="1"/>
  <c r="D211" i="2" a="1"/>
  <c r="D211" i="2" s="1"/>
  <c r="C211" i="2" a="1"/>
  <c r="C211" i="2" s="1"/>
  <c r="B211" i="2" a="1"/>
  <c r="B211" i="2" s="1"/>
  <c r="AH8" i="33"/>
  <c r="AG8" i="33"/>
  <c r="AF8" i="33"/>
  <c r="AE8" i="33"/>
  <c r="AD8" i="33"/>
  <c r="AC8" i="33"/>
  <c r="AB8" i="33"/>
  <c r="AA8" i="33"/>
  <c r="Z8" i="33"/>
  <c r="Y8" i="33"/>
  <c r="X8" i="33"/>
  <c r="W8" i="33"/>
  <c r="V8" i="33"/>
  <c r="U8" i="33"/>
  <c r="T8" i="33"/>
  <c r="S8" i="33"/>
  <c r="R8" i="33"/>
  <c r="Q8" i="33"/>
  <c r="P8" i="33"/>
  <c r="O8" i="33"/>
  <c r="N8" i="33"/>
  <c r="M8" i="33"/>
  <c r="L8" i="33"/>
  <c r="K8" i="33"/>
  <c r="J8" i="33"/>
  <c r="I8" i="33"/>
  <c r="BO6" i="53" s="1"/>
  <c r="H8" i="33"/>
  <c r="G8" i="33"/>
  <c r="F8" i="33"/>
  <c r="AE6" i="53" s="1"/>
  <c r="D8" i="33"/>
  <c r="C148" i="2"/>
  <c r="D148" i="2" s="1"/>
  <c r="C145" i="2"/>
  <c r="B4" i="48" a="1"/>
  <c r="D75" i="48"/>
  <c r="B4" i="46" a="1"/>
  <c r="J420" i="46" s="1"/>
  <c r="D420" i="46"/>
  <c r="C253" i="33" a="1"/>
  <c r="C253" i="33" s="1"/>
  <c r="C13" i="25" a="1"/>
  <c r="C13" i="25"/>
  <c r="E17" i="25"/>
  <c r="D17" i="25"/>
  <c r="C17" i="25"/>
  <c r="F16" i="25"/>
  <c r="F15" i="25"/>
  <c r="F14" i="25"/>
  <c r="F13" i="25"/>
  <c r="F17" i="25" s="1"/>
  <c r="C12" i="25" a="1"/>
  <c r="C12" i="25" s="1"/>
  <c r="C20" i="25" s="1" a="1"/>
  <c r="C20" i="25" s="1"/>
  <c r="B12" i="25" a="1"/>
  <c r="B12" i="25" s="1"/>
  <c r="B20" i="25" s="1" a="1"/>
  <c r="B20" i="25" s="1"/>
  <c r="E83" i="11" l="1"/>
  <c r="C16" i="33"/>
  <c r="I12" i="13"/>
  <c r="C22" i="5"/>
  <c r="I84" i="2" s="1" a="1"/>
  <c r="I84" i="2" s="1"/>
  <c r="I87" i="2" a="1"/>
  <c r="I87" i="2" s="1"/>
  <c r="I86" i="2" a="1"/>
  <c r="I86" i="2" s="1"/>
  <c r="I85" i="2" a="1"/>
  <c r="I85" i="2" s="1"/>
  <c r="B4" i="48"/>
  <c r="G75" i="48"/>
  <c r="H75" i="48"/>
  <c r="I75" i="48"/>
  <c r="J75" i="48"/>
  <c r="K75" i="48"/>
  <c r="L75" i="48"/>
  <c r="M75" i="48"/>
  <c r="N75" i="48"/>
  <c r="O75" i="48"/>
  <c r="P75" i="48"/>
  <c r="Q75" i="48"/>
  <c r="R75" i="48"/>
  <c r="S75" i="48"/>
  <c r="T75" i="48"/>
  <c r="U75" i="48"/>
  <c r="V75" i="48"/>
  <c r="W75" i="48"/>
  <c r="X75" i="48"/>
  <c r="Y75" i="48"/>
  <c r="Z75" i="48"/>
  <c r="AA75" i="48"/>
  <c r="AB75" i="48"/>
  <c r="AC75" i="48"/>
  <c r="AD75" i="48"/>
  <c r="AE75" i="48"/>
  <c r="AF75" i="48"/>
  <c r="AG75" i="48"/>
  <c r="AH75" i="48"/>
  <c r="AI75" i="48"/>
  <c r="AJ75" i="48"/>
  <c r="C9" i="33"/>
  <c r="D9" i="33"/>
  <c r="B72" i="53" a="1"/>
  <c r="B72" i="53" s="1"/>
  <c r="AQ6" i="53"/>
  <c r="BC6" i="53"/>
  <c r="C23" i="53"/>
  <c r="C6" i="53"/>
  <c r="C21" i="53"/>
  <c r="BC5" i="53"/>
  <c r="BO5" i="53"/>
  <c r="AE5" i="53"/>
  <c r="I5" i="53"/>
  <c r="AQ5" i="53"/>
  <c r="C19" i="33" a="1"/>
  <c r="BP8" i="53" s="1"/>
  <c r="G5" i="52"/>
  <c r="G6" i="52"/>
  <c r="G7" i="52"/>
  <c r="G8" i="52"/>
  <c r="G9" i="52"/>
  <c r="G10" i="52"/>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49" i="52"/>
  <c r="H50" i="52"/>
  <c r="H51" i="52"/>
  <c r="H52" i="52"/>
  <c r="H53" i="52"/>
  <c r="H54" i="52"/>
  <c r="H55" i="52"/>
  <c r="H56" i="52"/>
  <c r="H57" i="52"/>
  <c r="H58" i="52"/>
  <c r="H59" i="52"/>
  <c r="H60" i="52"/>
  <c r="H61" i="52"/>
  <c r="H62" i="52"/>
  <c r="H63" i="52"/>
  <c r="H64" i="52"/>
  <c r="H65" i="52"/>
  <c r="H66" i="52"/>
  <c r="H67" i="52"/>
  <c r="H68" i="52"/>
  <c r="H69" i="52"/>
  <c r="H70" i="52"/>
  <c r="H71" i="52"/>
  <c r="H72" i="52"/>
  <c r="H73" i="52"/>
  <c r="H74" i="52"/>
  <c r="H75" i="52"/>
  <c r="H76" i="52"/>
  <c r="H77" i="52"/>
  <c r="H78" i="52"/>
  <c r="H79" i="52"/>
  <c r="H80" i="52"/>
  <c r="H81" i="52"/>
  <c r="H82" i="52"/>
  <c r="H83" i="52"/>
  <c r="H84" i="52"/>
  <c r="H85" i="52"/>
  <c r="H86" i="52"/>
  <c r="H87" i="52"/>
  <c r="H88" i="52"/>
  <c r="H89" i="52"/>
  <c r="H90" i="52"/>
  <c r="H91" i="52"/>
  <c r="H92" i="52"/>
  <c r="H93" i="52"/>
  <c r="AJ420" i="46"/>
  <c r="AF420" i="46"/>
  <c r="AB420" i="46"/>
  <c r="X420" i="46"/>
  <c r="T420" i="46"/>
  <c r="P420" i="46"/>
  <c r="L420" i="46"/>
  <c r="B4" i="46"/>
  <c r="AK420" i="46"/>
  <c r="AG420" i="46"/>
  <c r="AC420" i="46"/>
  <c r="Y420" i="46"/>
  <c r="U420" i="46"/>
  <c r="Q420" i="46"/>
  <c r="M420" i="46"/>
  <c r="I420" i="46"/>
  <c r="B4" i="11" a="1"/>
  <c r="AI420" i="46"/>
  <c r="AE420" i="46"/>
  <c r="AA420" i="46"/>
  <c r="W420" i="46"/>
  <c r="S420" i="46"/>
  <c r="O420" i="46"/>
  <c r="K420" i="46"/>
  <c r="AL420" i="46"/>
  <c r="AH420" i="46"/>
  <c r="AD420" i="46"/>
  <c r="Z420" i="46"/>
  <c r="V420" i="46"/>
  <c r="R420" i="46"/>
  <c r="N420" i="46"/>
  <c r="B4" i="10" a="1"/>
  <c r="H5" i="10" s="1" a="1"/>
  <c r="H5" i="10" s="1"/>
  <c r="C25" i="25" a="1"/>
  <c r="C25" i="25" s="1"/>
  <c r="F25" i="25" s="1"/>
  <c r="C21" i="25" a="1"/>
  <c r="C21" i="25" s="1"/>
  <c r="F21" i="25" s="1"/>
  <c r="C24" i="25" a="1"/>
  <c r="C24" i="25" s="1"/>
  <c r="F24" i="25" s="1"/>
  <c r="C23" i="25" a="1"/>
  <c r="C23" i="25" s="1"/>
  <c r="F23" i="25" s="1"/>
  <c r="C22" i="25" a="1"/>
  <c r="C22" i="25" s="1"/>
  <c r="F22" i="25" s="1"/>
  <c r="C401" i="35"/>
  <c r="C447" i="35"/>
  <c r="K5" i="35" l="1" a="1"/>
  <c r="K5" i="35" s="1"/>
  <c r="B4" i="11"/>
  <c r="C19" i="33"/>
  <c r="D8" i="53" s="1"/>
  <c r="T8" i="53"/>
  <c r="T22" i="53" s="1"/>
  <c r="AF8" i="53"/>
  <c r="AF22" i="53" s="1"/>
  <c r="AR8" i="53"/>
  <c r="AR22" i="53" s="1"/>
  <c r="J8" i="53"/>
  <c r="J22" i="53" s="1"/>
  <c r="BP22" i="53"/>
  <c r="BD8" i="53"/>
  <c r="BD22" i="53" s="1"/>
  <c r="C56" i="33" a="1"/>
  <c r="C56" i="33" s="1"/>
  <c r="E56" i="33" a="1"/>
  <c r="E56" i="33" s="1"/>
  <c r="D56" i="33" a="1"/>
  <c r="D56" i="33" s="1"/>
  <c r="I420" i="10"/>
  <c r="J420" i="10" s="1"/>
  <c r="C53" i="2"/>
  <c r="K420" i="10"/>
  <c r="I370" i="10"/>
  <c r="J370" i="10" s="1"/>
  <c r="I374" i="10"/>
  <c r="J374" i="10" s="1"/>
  <c r="I378" i="10"/>
  <c r="J378" i="10" s="1"/>
  <c r="I382" i="10"/>
  <c r="J382" i="10" s="1"/>
  <c r="I386" i="10"/>
  <c r="J386" i="10" s="1"/>
  <c r="I390" i="10"/>
  <c r="J390" i="10" s="1"/>
  <c r="I394" i="10"/>
  <c r="J394" i="10" s="1"/>
  <c r="I398" i="10"/>
  <c r="J398" i="10" s="1"/>
  <c r="I402" i="10"/>
  <c r="J402" i="10" s="1"/>
  <c r="I406" i="10"/>
  <c r="J406" i="10" s="1"/>
  <c r="I410" i="10"/>
  <c r="J410" i="10" s="1"/>
  <c r="I414" i="10"/>
  <c r="J414" i="10" s="1"/>
  <c r="I418" i="10"/>
  <c r="J418" i="10" s="1"/>
  <c r="I367" i="10"/>
  <c r="J367" i="10" s="1"/>
  <c r="I371" i="10"/>
  <c r="J371" i="10" s="1"/>
  <c r="I375" i="10"/>
  <c r="J375" i="10" s="1"/>
  <c r="I379" i="10"/>
  <c r="J379" i="10" s="1"/>
  <c r="I383" i="10"/>
  <c r="J383" i="10" s="1"/>
  <c r="I387" i="10"/>
  <c r="J387" i="10" s="1"/>
  <c r="I391" i="10"/>
  <c r="J391" i="10" s="1"/>
  <c r="I395" i="10"/>
  <c r="J395" i="10" s="1"/>
  <c r="I399" i="10"/>
  <c r="J399" i="10" s="1"/>
  <c r="I403" i="10"/>
  <c r="J403" i="10" s="1"/>
  <c r="I407" i="10"/>
  <c r="J407" i="10" s="1"/>
  <c r="I411" i="10"/>
  <c r="J411" i="10" s="1"/>
  <c r="I415" i="10"/>
  <c r="J415" i="10" s="1"/>
  <c r="I419" i="10"/>
  <c r="J419" i="10" s="1"/>
  <c r="I369" i="10"/>
  <c r="J369" i="10" s="1"/>
  <c r="I373" i="10"/>
  <c r="J373" i="10" s="1"/>
  <c r="I377" i="10"/>
  <c r="J377" i="10" s="1"/>
  <c r="I381" i="10"/>
  <c r="J381" i="10" s="1"/>
  <c r="I385" i="10"/>
  <c r="J385" i="10" s="1"/>
  <c r="I389" i="10"/>
  <c r="J389" i="10" s="1"/>
  <c r="I393" i="10"/>
  <c r="J393" i="10" s="1"/>
  <c r="I397" i="10"/>
  <c r="J397" i="10" s="1"/>
  <c r="I401" i="10"/>
  <c r="J401" i="10" s="1"/>
  <c r="I405" i="10"/>
  <c r="J405" i="10" s="1"/>
  <c r="I409" i="10"/>
  <c r="J409" i="10" s="1"/>
  <c r="I413" i="10"/>
  <c r="J413" i="10" s="1"/>
  <c r="I417" i="10"/>
  <c r="J417" i="10" s="1"/>
  <c r="I368" i="10"/>
  <c r="J368" i="10" s="1"/>
  <c r="I372" i="10"/>
  <c r="J372" i="10" s="1"/>
  <c r="I376" i="10"/>
  <c r="J376" i="10" s="1"/>
  <c r="I380" i="10"/>
  <c r="J380" i="10" s="1"/>
  <c r="I384" i="10"/>
  <c r="J384" i="10" s="1"/>
  <c r="I388" i="10"/>
  <c r="J388" i="10" s="1"/>
  <c r="I392" i="10"/>
  <c r="J392" i="10" s="1"/>
  <c r="I396" i="10"/>
  <c r="J396" i="10" s="1"/>
  <c r="I400" i="10"/>
  <c r="J400" i="10" s="1"/>
  <c r="I404" i="10"/>
  <c r="J404" i="10" s="1"/>
  <c r="I408" i="10"/>
  <c r="J408" i="10" s="1"/>
  <c r="I412" i="10"/>
  <c r="J412" i="10" s="1"/>
  <c r="I416" i="10"/>
  <c r="J416" i="10" s="1"/>
  <c r="B4" i="10"/>
  <c r="D107" i="35"/>
  <c r="D131" i="35" s="1"/>
  <c r="E107" i="35"/>
  <c r="E131" i="35" s="1"/>
  <c r="F107" i="35"/>
  <c r="F131" i="35" s="1"/>
  <c r="G107" i="35"/>
  <c r="G131" i="35" s="1"/>
  <c r="H107" i="35"/>
  <c r="H131" i="35" s="1"/>
  <c r="I107" i="35"/>
  <c r="I131" i="35" s="1"/>
  <c r="J107" i="35"/>
  <c r="J131" i="35" s="1"/>
  <c r="K107" i="35"/>
  <c r="K131" i="35" s="1"/>
  <c r="L107" i="35"/>
  <c r="L131" i="35" s="1"/>
  <c r="M107" i="35"/>
  <c r="M131" i="35" s="1"/>
  <c r="N107" i="35"/>
  <c r="N131" i="35" s="1"/>
  <c r="O107" i="35"/>
  <c r="O131" i="35" s="1"/>
  <c r="P107" i="35"/>
  <c r="P131" i="35" s="1"/>
  <c r="Q107" i="35"/>
  <c r="Q131" i="35" s="1"/>
  <c r="R107" i="35"/>
  <c r="R131" i="35" s="1"/>
  <c r="S107" i="35"/>
  <c r="S131" i="35" s="1"/>
  <c r="T107" i="35"/>
  <c r="T131" i="35" s="1"/>
  <c r="U107" i="35"/>
  <c r="U131" i="35" s="1"/>
  <c r="V107" i="35"/>
  <c r="V131" i="35" s="1"/>
  <c r="W107" i="35"/>
  <c r="W131" i="35" s="1"/>
  <c r="X107" i="35"/>
  <c r="X131" i="35" s="1"/>
  <c r="Y107" i="35"/>
  <c r="Y131" i="35" s="1"/>
  <c r="Z107" i="35"/>
  <c r="Z131" i="35" s="1"/>
  <c r="AA107" i="35"/>
  <c r="AA131" i="35" s="1"/>
  <c r="AB107" i="35"/>
  <c r="AB131" i="35" s="1"/>
  <c r="AC107" i="35"/>
  <c r="AC131" i="35" s="1"/>
  <c r="AD107" i="35"/>
  <c r="AD131" i="35" s="1"/>
  <c r="AE107" i="35"/>
  <c r="AE131" i="35" s="1"/>
  <c r="AF107" i="35"/>
  <c r="AF131" i="35" s="1"/>
  <c r="AG107" i="35"/>
  <c r="AG131" i="35" s="1"/>
  <c r="D59" i="35"/>
  <c r="E59" i="35"/>
  <c r="F59" i="35"/>
  <c r="G59" i="35"/>
  <c r="H59" i="35"/>
  <c r="I59" i="35"/>
  <c r="J59" i="35"/>
  <c r="K59" i="35"/>
  <c r="L59" i="35"/>
  <c r="M59" i="35"/>
  <c r="N59" i="35"/>
  <c r="O59" i="35"/>
  <c r="P59" i="35"/>
  <c r="Q59" i="35"/>
  <c r="R59" i="35"/>
  <c r="S59" i="35"/>
  <c r="T59" i="35"/>
  <c r="U59" i="35"/>
  <c r="V59" i="35"/>
  <c r="W59" i="35"/>
  <c r="X59" i="35"/>
  <c r="Y59" i="35"/>
  <c r="Z59" i="35"/>
  <c r="AA59" i="35"/>
  <c r="AB59" i="35"/>
  <c r="AC59" i="35"/>
  <c r="AD59" i="35"/>
  <c r="AE59" i="35"/>
  <c r="AF59" i="35"/>
  <c r="AG59" i="35"/>
  <c r="D11" i="33" l="1"/>
  <c r="E11" i="33" s="1"/>
  <c r="F11" i="33" s="1"/>
  <c r="G11" i="33" s="1"/>
  <c r="H11" i="33" s="1"/>
  <c r="I11" i="33" s="1"/>
  <c r="J11" i="33" s="1"/>
  <c r="K11" i="33" s="1"/>
  <c r="L11" i="33" s="1"/>
  <c r="M11" i="33" s="1"/>
  <c r="N11" i="33" s="1"/>
  <c r="O11" i="33" s="1"/>
  <c r="P11" i="33" s="1"/>
  <c r="Q11" i="33" s="1"/>
  <c r="R11" i="33" s="1"/>
  <c r="S11" i="33" s="1"/>
  <c r="T11" i="33" s="1"/>
  <c r="U11" i="33" s="1"/>
  <c r="V11" i="33" s="1"/>
  <c r="W11" i="33" s="1"/>
  <c r="X11" i="33" s="1"/>
  <c r="Y11" i="33" s="1"/>
  <c r="Z11" i="33" s="1"/>
  <c r="AA11" i="33" s="1"/>
  <c r="AB11" i="33" s="1"/>
  <c r="AC11" i="33" s="1"/>
  <c r="AD11" i="33" s="1"/>
  <c r="AE11" i="33" s="1"/>
  <c r="AF11" i="33" s="1"/>
  <c r="AG11" i="33" s="1"/>
  <c r="AH11" i="33" s="1"/>
  <c r="D11" i="53"/>
  <c r="D22" i="53"/>
  <c r="K370" i="10"/>
  <c r="K382" i="10"/>
  <c r="K390" i="10"/>
  <c r="K407" i="10"/>
  <c r="K417" i="10"/>
  <c r="K401" i="10"/>
  <c r="K373" i="10"/>
  <c r="K383" i="10"/>
  <c r="K395" i="10"/>
  <c r="K409" i="10"/>
  <c r="K413" i="10"/>
  <c r="K397" i="10"/>
  <c r="K381" i="10"/>
  <c r="K419" i="10"/>
  <c r="K403" i="10"/>
  <c r="K387" i="10"/>
  <c r="K371" i="10"/>
  <c r="K410" i="10"/>
  <c r="K394" i="10"/>
  <c r="K378" i="10"/>
  <c r="K375" i="10"/>
  <c r="K386" i="10"/>
  <c r="K398" i="10"/>
  <c r="K414" i="10"/>
  <c r="K379" i="10"/>
  <c r="K389" i="10"/>
  <c r="K405" i="10"/>
  <c r="K415" i="10"/>
  <c r="K393" i="10"/>
  <c r="K399" i="10"/>
  <c r="K367" i="10"/>
  <c r="K406" i="10"/>
  <c r="K374" i="10"/>
  <c r="K369" i="10"/>
  <c r="K377" i="10"/>
  <c r="K385" i="10"/>
  <c r="K391" i="10"/>
  <c r="K402" i="10"/>
  <c r="K411" i="10"/>
  <c r="K418" i="10"/>
  <c r="K368" i="10"/>
  <c r="K372" i="10"/>
  <c r="K376" i="10"/>
  <c r="K380" i="10"/>
  <c r="K384" i="10"/>
  <c r="K388" i="10"/>
  <c r="K392" i="10"/>
  <c r="K396" i="10"/>
  <c r="K400" i="10"/>
  <c r="K404" i="10"/>
  <c r="K408" i="10"/>
  <c r="K412" i="10"/>
  <c r="K416" i="10"/>
  <c r="E104" i="11"/>
  <c r="B10" i="26" a="1"/>
  <c r="B10" i="26"/>
  <c r="E11" i="53" l="1"/>
  <c r="D23" i="53"/>
  <c r="E407" i="3"/>
  <c r="E406" i="3"/>
  <c r="C133" i="25" a="1"/>
  <c r="C133" i="25" s="1"/>
  <c r="D87" i="2"/>
  <c r="E403" i="3"/>
  <c r="D84" i="2"/>
  <c r="B112" i="11"/>
  <c r="B111" i="11"/>
  <c r="B297" i="25" a="1"/>
  <c r="B297" i="25" s="1"/>
  <c r="B338" i="25" s="1" a="1"/>
  <c r="B338" i="25" s="1"/>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D18" i="22" a="1"/>
  <c r="D18" i="22"/>
  <c r="C261" i="33" a="1"/>
  <c r="C261" i="33" s="1"/>
  <c r="F7" i="25"/>
  <c r="F6" i="25"/>
  <c r="F5" i="25"/>
  <c r="F4" i="25"/>
  <c r="E8" i="25"/>
  <c r="D8" i="25"/>
  <c r="C8" i="25"/>
  <c r="B3" i="25" a="1"/>
  <c r="B3" i="25" s="1"/>
  <c r="B56" i="34" s="1" a="1"/>
  <c r="C3" i="25" a="1"/>
  <c r="C3" i="25" s="1"/>
  <c r="C234" i="35"/>
  <c r="C233" i="35"/>
  <c r="C232" i="35"/>
  <c r="C231" i="35"/>
  <c r="C230" i="35"/>
  <c r="E4" i="35"/>
  <c r="E330" i="35"/>
  <c r="F330" i="35"/>
  <c r="G330" i="35"/>
  <c r="H330" i="35"/>
  <c r="I330" i="35"/>
  <c r="J330" i="35"/>
  <c r="K330" i="35"/>
  <c r="L330" i="35"/>
  <c r="M330" i="35"/>
  <c r="N330" i="35"/>
  <c r="O330" i="35"/>
  <c r="P330" i="35"/>
  <c r="Q330" i="35"/>
  <c r="R330" i="35"/>
  <c r="S330" i="35"/>
  <c r="T330" i="35"/>
  <c r="U330" i="35"/>
  <c r="V330" i="35"/>
  <c r="W330" i="35"/>
  <c r="X330" i="35"/>
  <c r="Y330" i="35"/>
  <c r="Z330" i="35"/>
  <c r="AA330" i="35"/>
  <c r="AB330" i="35"/>
  <c r="AC330" i="35"/>
  <c r="AD330" i="35"/>
  <c r="AE330" i="35"/>
  <c r="AF330" i="35"/>
  <c r="AG330" i="35"/>
  <c r="D330" i="35"/>
  <c r="C334" i="35"/>
  <c r="C367" i="35"/>
  <c r="C366" i="35"/>
  <c r="E54" i="25" a="1"/>
  <c r="E54" i="25" s="1"/>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E56" i="24" a="1"/>
  <c r="E56" i="24"/>
  <c r="F120" i="2" a="1"/>
  <c r="F120" i="2" s="1"/>
  <c r="F119" i="2" a="1"/>
  <c r="F119" i="2" s="1"/>
  <c r="F118" i="2" a="1"/>
  <c r="F118" i="2" s="1"/>
  <c r="F117" i="2" a="1"/>
  <c r="F117" i="2" s="1"/>
  <c r="F116" i="2" a="1"/>
  <c r="F116" i="2" s="1"/>
  <c r="F115" i="2" a="1"/>
  <c r="F115" i="2" s="1"/>
  <c r="F114" i="2" a="1"/>
  <c r="F114" i="2" s="1"/>
  <c r="F111" i="2" a="1"/>
  <c r="F111" i="2" s="1"/>
  <c r="F110" i="2" a="1"/>
  <c r="F110" i="2" s="1"/>
  <c r="C64" i="34" a="1"/>
  <c r="C64" i="34"/>
  <c r="J104" i="2"/>
  <c r="I104" i="2"/>
  <c r="H104" i="2"/>
  <c r="G104" i="2"/>
  <c r="G92" i="2" a="1"/>
  <c r="G92" i="2" s="1"/>
  <c r="G147" i="2"/>
  <c r="AG52" i="34" a="1"/>
  <c r="AG52" i="34" s="1"/>
  <c r="AG51" i="34" a="1"/>
  <c r="AG51" i="34" s="1"/>
  <c r="AG50" i="34" a="1"/>
  <c r="AG50" i="34" s="1"/>
  <c r="AG49" i="34" a="1"/>
  <c r="AG49" i="34" s="1"/>
  <c r="AG48" i="34" a="1"/>
  <c r="AG48" i="34" s="1"/>
  <c r="AG47" i="34" a="1"/>
  <c r="AG47" i="34" s="1"/>
  <c r="AG46" i="34" a="1"/>
  <c r="AG46" i="34" s="1"/>
  <c r="AG45" i="34" a="1"/>
  <c r="AG45" i="34" s="1"/>
  <c r="AG44" i="34" a="1"/>
  <c r="AG44" i="34" s="1"/>
  <c r="AG43" i="34" a="1"/>
  <c r="AG43" i="34" s="1"/>
  <c r="AG42" i="34" a="1"/>
  <c r="AG42" i="34" s="1"/>
  <c r="AG41" i="34" a="1"/>
  <c r="AG41" i="34" s="1"/>
  <c r="AG40" i="34" a="1"/>
  <c r="AG40" i="34" s="1"/>
  <c r="AG39" i="34" a="1"/>
  <c r="AG39" i="34" s="1"/>
  <c r="AG38" i="34" a="1"/>
  <c r="AG38" i="34" s="1"/>
  <c r="AG37" i="34" a="1"/>
  <c r="AG37" i="34" s="1"/>
  <c r="AG36" i="34" a="1"/>
  <c r="AG36" i="34" s="1"/>
  <c r="AG35" i="34" a="1"/>
  <c r="AG35" i="34" s="1"/>
  <c r="AG34" i="34" a="1"/>
  <c r="AG34" i="34" s="1"/>
  <c r="AG33" i="34" a="1"/>
  <c r="AG33" i="34" s="1"/>
  <c r="AG32" i="34" a="1"/>
  <c r="AG32" i="34" s="1"/>
  <c r="AG31" i="34" a="1"/>
  <c r="AG31" i="34" s="1"/>
  <c r="AG30" i="34" a="1"/>
  <c r="AG30" i="34" s="1"/>
  <c r="AG29" i="34" a="1"/>
  <c r="AG29" i="34" s="1"/>
  <c r="AG28" i="34" a="1"/>
  <c r="AG28" i="34" s="1"/>
  <c r="AG27" i="34" a="1"/>
  <c r="AG27" i="34" s="1"/>
  <c r="AG26" i="34" a="1"/>
  <c r="AG26" i="34" s="1"/>
  <c r="AG25" i="34" a="1"/>
  <c r="AG25" i="34" s="1"/>
  <c r="AG24" i="34" a="1"/>
  <c r="AG24" i="34" s="1"/>
  <c r="AG23" i="34" a="1"/>
  <c r="AG23" i="34" s="1"/>
  <c r="AG22" i="34" a="1"/>
  <c r="AG22" i="34" s="1"/>
  <c r="AG21" i="34" a="1"/>
  <c r="AG21" i="34" s="1"/>
  <c r="AG20" i="34" a="1"/>
  <c r="AG20" i="34" s="1"/>
  <c r="AG19" i="34" a="1"/>
  <c r="AG19" i="34" s="1"/>
  <c r="AG18" i="34" a="1"/>
  <c r="AG18" i="34" s="1"/>
  <c r="AG17" i="34" a="1"/>
  <c r="AG17" i="34" s="1"/>
  <c r="AG16" i="34" a="1"/>
  <c r="AG16" i="34" s="1"/>
  <c r="AG15" i="34" a="1"/>
  <c r="AG15" i="34" s="1"/>
  <c r="AG14" i="34" a="1"/>
  <c r="AG14" i="34" s="1"/>
  <c r="AG13" i="34" a="1"/>
  <c r="AG13" i="34" s="1"/>
  <c r="AG12" i="34" a="1"/>
  <c r="AG12" i="34" s="1"/>
  <c r="AG11" i="34" a="1"/>
  <c r="AG11" i="34"/>
  <c r="X5" i="34"/>
  <c r="B3" i="34" a="1"/>
  <c r="B3" i="34"/>
  <c r="B56" i="5" a="1"/>
  <c r="B56" i="5" s="1"/>
  <c r="AH246" i="25"/>
  <c r="AG246" i="25"/>
  <c r="AF246" i="25"/>
  <c r="AE246" i="25"/>
  <c r="AD246" i="25"/>
  <c r="AC246" i="25"/>
  <c r="AB246" i="25"/>
  <c r="AA246" i="25"/>
  <c r="Z246" i="25"/>
  <c r="Y246" i="25"/>
  <c r="X246" i="25"/>
  <c r="W246" i="25"/>
  <c r="V246" i="25"/>
  <c r="U246" i="25"/>
  <c r="T246" i="25"/>
  <c r="S246" i="25"/>
  <c r="R246" i="25"/>
  <c r="Q246" i="25"/>
  <c r="P246" i="25"/>
  <c r="O246" i="25"/>
  <c r="N246" i="25"/>
  <c r="M246" i="25"/>
  <c r="L246" i="25"/>
  <c r="K246" i="25"/>
  <c r="J246" i="25"/>
  <c r="I246" i="25"/>
  <c r="H246" i="25"/>
  <c r="G246" i="25"/>
  <c r="F246" i="25"/>
  <c r="E246" i="25"/>
  <c r="D246" i="25"/>
  <c r="B133" i="25" a="1"/>
  <c r="B133" i="25" s="1"/>
  <c r="B83" i="25" a="1"/>
  <c r="F109" i="2" a="1"/>
  <c r="F109" i="2"/>
  <c r="C83" i="2" a="1"/>
  <c r="B76" i="2" a="1"/>
  <c r="B76" i="2" s="1"/>
  <c r="AH69"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B121" i="5" a="1"/>
  <c r="B121" i="5"/>
  <c r="F11" i="53" l="1"/>
  <c r="E23" i="53"/>
  <c r="E112" i="11" a="1"/>
  <c r="E112" i="11" s="1"/>
  <c r="C83" i="2"/>
  <c r="G85" i="2"/>
  <c r="AI76" i="11"/>
  <c r="AH76" i="11"/>
  <c r="AG76" i="11"/>
  <c r="AF76" i="11"/>
  <c r="AE76" i="11"/>
  <c r="AD76" i="11"/>
  <c r="AC76" i="11"/>
  <c r="AB76" i="11"/>
  <c r="AA76" i="11"/>
  <c r="Z76" i="11"/>
  <c r="Y76" i="11"/>
  <c r="X76" i="11"/>
  <c r="W76" i="11"/>
  <c r="V76" i="11"/>
  <c r="U76" i="11"/>
  <c r="T76" i="11"/>
  <c r="S76" i="11"/>
  <c r="R76" i="11"/>
  <c r="Q76" i="11"/>
  <c r="P76" i="11"/>
  <c r="O76" i="11"/>
  <c r="N76" i="11"/>
  <c r="M76" i="11"/>
  <c r="L76" i="11"/>
  <c r="K76" i="11"/>
  <c r="J76" i="11"/>
  <c r="I76" i="11"/>
  <c r="H76" i="11"/>
  <c r="G76" i="11"/>
  <c r="F76" i="11"/>
  <c r="F8" i="25"/>
  <c r="C297" i="25" a="1"/>
  <c r="D30" i="25" a="1"/>
  <c r="D30" i="25" s="1"/>
  <c r="D33" i="25" a="1"/>
  <c r="D33" i="25" s="1"/>
  <c r="D36" i="25" a="1"/>
  <c r="D36" i="25" s="1"/>
  <c r="D39" i="25" a="1"/>
  <c r="D39" i="25" s="1"/>
  <c r="D42" i="25" a="1"/>
  <c r="D42" i="25" s="1"/>
  <c r="D45" i="25" a="1"/>
  <c r="D45" i="25" s="1"/>
  <c r="B83" i="25"/>
  <c r="B95" i="25" s="1" a="1"/>
  <c r="B56" i="34"/>
  <c r="B64" i="34" s="1" a="1"/>
  <c r="B64" i="34" s="1"/>
  <c r="AH11" i="34" a="1"/>
  <c r="AH11" i="34" s="1"/>
  <c r="AI11" i="34" s="1" a="1"/>
  <c r="B36" i="23"/>
  <c r="G11" i="53" l="1"/>
  <c r="F23" i="53"/>
  <c r="AJ76" i="11"/>
  <c r="C24" i="2"/>
  <c r="D121" i="35" a="1"/>
  <c r="AJ75" i="11"/>
  <c r="AJ74" i="11"/>
  <c r="AJ73" i="11"/>
  <c r="AJ72" i="11"/>
  <c r="AJ71" i="11"/>
  <c r="AJ70" i="11"/>
  <c r="AJ69" i="11"/>
  <c r="AJ68" i="11"/>
  <c r="AJ67" i="11"/>
  <c r="AJ66" i="11"/>
  <c r="AJ65" i="11"/>
  <c r="AJ64" i="11"/>
  <c r="AJ63" i="11"/>
  <c r="AJ62" i="11"/>
  <c r="AJ61" i="11"/>
  <c r="AJ60" i="11"/>
  <c r="AJ59" i="11"/>
  <c r="AJ58" i="11"/>
  <c r="AJ57" i="11"/>
  <c r="AJ56" i="11"/>
  <c r="AJ55" i="11"/>
  <c r="AJ54" i="11"/>
  <c r="AJ53" i="11"/>
  <c r="AJ52" i="11"/>
  <c r="AJ51" i="11"/>
  <c r="AJ50" i="11"/>
  <c r="AJ49" i="11"/>
  <c r="AJ48" i="11"/>
  <c r="AJ47" i="11"/>
  <c r="AJ46" i="11"/>
  <c r="AJ45" i="11"/>
  <c r="AJ44" i="11"/>
  <c r="AJ43" i="11"/>
  <c r="AJ42" i="11"/>
  <c r="AJ41" i="11"/>
  <c r="AJ40" i="11"/>
  <c r="AJ39" i="11"/>
  <c r="AJ38" i="11"/>
  <c r="AJ37" i="11"/>
  <c r="AJ36" i="11"/>
  <c r="AJ35" i="11"/>
  <c r="AJ34" i="11"/>
  <c r="AJ33" i="11"/>
  <c r="AJ32" i="11"/>
  <c r="AJ31" i="11"/>
  <c r="AJ30" i="11"/>
  <c r="AJ29" i="11"/>
  <c r="AJ28" i="11"/>
  <c r="AJ27" i="11"/>
  <c r="AJ26" i="11"/>
  <c r="AJ25" i="11"/>
  <c r="AJ24" i="11"/>
  <c r="AJ23" i="11"/>
  <c r="AJ22" i="11"/>
  <c r="AJ21" i="11"/>
  <c r="AJ20" i="11"/>
  <c r="AJ19" i="11"/>
  <c r="AJ18" i="11"/>
  <c r="AJ17" i="11"/>
  <c r="AJ16" i="11"/>
  <c r="AJ15" i="11"/>
  <c r="AJ14" i="11"/>
  <c r="AJ13" i="11"/>
  <c r="AJ12" i="11"/>
  <c r="AJ11" i="11"/>
  <c r="AJ10" i="11"/>
  <c r="AJ9" i="11"/>
  <c r="AJ8" i="11"/>
  <c r="AJ7" i="11"/>
  <c r="AJ6" i="11"/>
  <c r="AJ5" i="11"/>
  <c r="AG63" i="35"/>
  <c r="AF63" i="35"/>
  <c r="AE63" i="35"/>
  <c r="AD63" i="35"/>
  <c r="AC63" i="35"/>
  <c r="AB63" i="35"/>
  <c r="AA63" i="35"/>
  <c r="Z63" i="35"/>
  <c r="Y63" i="35"/>
  <c r="X63" i="35"/>
  <c r="W63" i="35"/>
  <c r="V63" i="35"/>
  <c r="U63" i="35"/>
  <c r="T63" i="35"/>
  <c r="S63" i="35"/>
  <c r="R63" i="35"/>
  <c r="Q63" i="35"/>
  <c r="P63" i="35"/>
  <c r="O63" i="35"/>
  <c r="N63" i="35"/>
  <c r="M63" i="35"/>
  <c r="L63" i="35"/>
  <c r="K63" i="35"/>
  <c r="J63" i="35"/>
  <c r="I63" i="35"/>
  <c r="H63" i="35"/>
  <c r="G63" i="35"/>
  <c r="F63" i="35"/>
  <c r="E63" i="35"/>
  <c r="D63" i="35"/>
  <c r="AG62" i="35"/>
  <c r="AF62" i="35"/>
  <c r="AE62" i="35"/>
  <c r="AD62" i="35"/>
  <c r="AC62" i="35"/>
  <c r="AB62" i="35"/>
  <c r="AA62" i="35"/>
  <c r="Z62" i="35"/>
  <c r="Y62" i="35"/>
  <c r="X62" i="35"/>
  <c r="W62" i="35"/>
  <c r="V62" i="35"/>
  <c r="U62" i="35"/>
  <c r="T62" i="35"/>
  <c r="S62" i="35"/>
  <c r="R62" i="35"/>
  <c r="Q62" i="35"/>
  <c r="P62" i="35"/>
  <c r="O62" i="35"/>
  <c r="N62" i="35"/>
  <c r="M62" i="35"/>
  <c r="L62" i="35"/>
  <c r="K62" i="35"/>
  <c r="J62" i="35"/>
  <c r="I62" i="35"/>
  <c r="H62" i="35"/>
  <c r="G62" i="35"/>
  <c r="F62" i="35"/>
  <c r="E62" i="35"/>
  <c r="D62" i="35"/>
  <c r="AG61" i="35"/>
  <c r="AF61" i="35"/>
  <c r="AE61" i="35"/>
  <c r="AD61" i="35"/>
  <c r="AC61" i="35"/>
  <c r="AB61" i="35"/>
  <c r="AA61" i="35"/>
  <c r="Z61" i="35"/>
  <c r="Y61" i="35"/>
  <c r="X61" i="35"/>
  <c r="W61" i="35"/>
  <c r="V61" i="35"/>
  <c r="U61" i="35"/>
  <c r="T61" i="35"/>
  <c r="S61" i="35"/>
  <c r="R61" i="35"/>
  <c r="Q61" i="35"/>
  <c r="P61" i="35"/>
  <c r="O61" i="35"/>
  <c r="N61" i="35"/>
  <c r="M61" i="35"/>
  <c r="L61" i="35"/>
  <c r="K61" i="35"/>
  <c r="J61" i="35"/>
  <c r="I61" i="35"/>
  <c r="H61" i="35"/>
  <c r="G61" i="35"/>
  <c r="F61" i="35"/>
  <c r="E61" i="35"/>
  <c r="D61" i="35"/>
  <c r="AG60" i="35"/>
  <c r="AF60" i="35"/>
  <c r="AE60" i="35"/>
  <c r="AD60" i="35"/>
  <c r="AC60" i="35"/>
  <c r="AB60" i="35"/>
  <c r="AA60" i="35"/>
  <c r="Z60" i="35"/>
  <c r="Y60" i="35"/>
  <c r="X60" i="35"/>
  <c r="W60" i="35"/>
  <c r="V60" i="35"/>
  <c r="U60" i="35"/>
  <c r="T60" i="35"/>
  <c r="S60" i="35"/>
  <c r="R60" i="35"/>
  <c r="Q60" i="35"/>
  <c r="P60" i="35"/>
  <c r="O60" i="35"/>
  <c r="N60" i="35"/>
  <c r="M60" i="35"/>
  <c r="L60" i="35"/>
  <c r="K60" i="35"/>
  <c r="J60" i="35"/>
  <c r="I60" i="35"/>
  <c r="H60" i="35"/>
  <c r="G60" i="35"/>
  <c r="F60" i="35"/>
  <c r="E60" i="35"/>
  <c r="D60" i="35"/>
  <c r="C297" i="25"/>
  <c r="E448" i="35"/>
  <c r="F448" i="35"/>
  <c r="G448" i="35"/>
  <c r="H448" i="35"/>
  <c r="I448" i="35"/>
  <c r="J448" i="35"/>
  <c r="K448" i="35"/>
  <c r="L448" i="35"/>
  <c r="M448" i="35"/>
  <c r="N448" i="35"/>
  <c r="O448" i="35"/>
  <c r="P448" i="35"/>
  <c r="Q448" i="35"/>
  <c r="R448" i="35"/>
  <c r="S448" i="35"/>
  <c r="T448" i="35"/>
  <c r="U448" i="35"/>
  <c r="V448" i="35"/>
  <c r="W448" i="35"/>
  <c r="X448" i="35"/>
  <c r="Y448" i="35"/>
  <c r="Z448" i="35"/>
  <c r="AA448" i="35"/>
  <c r="AB448" i="35"/>
  <c r="AC448" i="35"/>
  <c r="AD448" i="35"/>
  <c r="AE448" i="35"/>
  <c r="AF448" i="35"/>
  <c r="AG448" i="35"/>
  <c r="D448" i="35"/>
  <c r="D60" i="34"/>
  <c r="D59" i="34"/>
  <c r="D58" i="34"/>
  <c r="C60" i="34"/>
  <c r="C59" i="34"/>
  <c r="C58" i="34"/>
  <c r="C57" i="34"/>
  <c r="AI11" i="34"/>
  <c r="D57" i="34" s="1"/>
  <c r="B95" i="25"/>
  <c r="B107" i="25" s="1" a="1"/>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D66"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E16" i="27" a="1"/>
  <c r="E16" i="27" s="1"/>
  <c r="E8" i="27"/>
  <c r="E7" i="27"/>
  <c r="E6" i="27"/>
  <c r="E5" i="27"/>
  <c r="E4" i="27"/>
  <c r="B66" i="27"/>
  <c r="E15" i="27"/>
  <c r="B8" i="27"/>
  <c r="B7" i="27"/>
  <c r="B6" i="27"/>
  <c r="D69" i="2" a="1"/>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B6" i="22" a="1"/>
  <c r="B6" i="22" s="1"/>
  <c r="C28" i="2"/>
  <c r="C40" i="2" a="1"/>
  <c r="C40" i="2" s="1"/>
  <c r="AH378" i="3"/>
  <c r="AG180" i="35" s="1"/>
  <c r="AG378" i="3"/>
  <c r="AF180" i="35" s="1"/>
  <c r="AF378" i="3"/>
  <c r="AE180" i="35" s="1"/>
  <c r="AE378" i="3"/>
  <c r="AD180" i="35" s="1"/>
  <c r="AD378" i="3"/>
  <c r="AC180" i="35" s="1"/>
  <c r="AC378" i="3"/>
  <c r="AB180" i="35" s="1"/>
  <c r="AB378" i="3"/>
  <c r="AA180" i="35" s="1"/>
  <c r="AA378" i="3"/>
  <c r="Z180" i="35" s="1"/>
  <c r="Z378" i="3"/>
  <c r="Y180" i="35" s="1"/>
  <c r="Y378" i="3"/>
  <c r="X180" i="35" s="1"/>
  <c r="X378" i="3"/>
  <c r="W180" i="35" s="1"/>
  <c r="W378" i="3"/>
  <c r="V180" i="35" s="1"/>
  <c r="V378" i="3"/>
  <c r="U180" i="35" s="1"/>
  <c r="U378" i="3"/>
  <c r="T180" i="35" s="1"/>
  <c r="T378" i="3"/>
  <c r="S180" i="35" s="1"/>
  <c r="S378" i="3"/>
  <c r="R180" i="35" s="1"/>
  <c r="R378" i="3"/>
  <c r="Q180" i="35" s="1"/>
  <c r="Q378" i="3"/>
  <c r="P180" i="35" s="1"/>
  <c r="P378" i="3"/>
  <c r="O180" i="35" s="1"/>
  <c r="O378" i="3"/>
  <c r="N180" i="35" s="1"/>
  <c r="N378" i="3"/>
  <c r="M180" i="35" s="1"/>
  <c r="M378" i="3"/>
  <c r="L180" i="35" s="1"/>
  <c r="L378" i="3"/>
  <c r="K180" i="35" s="1"/>
  <c r="K378" i="3"/>
  <c r="J180" i="35" s="1"/>
  <c r="J378" i="3"/>
  <c r="I180" i="35" s="1"/>
  <c r="I378" i="3"/>
  <c r="H180" i="35" s="1"/>
  <c r="H378" i="3"/>
  <c r="G180" i="35" s="1"/>
  <c r="G378" i="3"/>
  <c r="F180" i="35" s="1"/>
  <c r="F378" i="3"/>
  <c r="E180" i="35" s="1"/>
  <c r="E378" i="3"/>
  <c r="D180" i="35" s="1"/>
  <c r="D29" i="22"/>
  <c r="D420" i="3" a="1"/>
  <c r="D420" i="3" s="1"/>
  <c r="F76" i="13" a="1"/>
  <c r="F70" i="13" a="1"/>
  <c r="F64" i="13" a="1"/>
  <c r="F58" i="13" a="1"/>
  <c r="F52" i="13" a="1"/>
  <c r="F46" i="13" a="1"/>
  <c r="F40" i="13" a="1"/>
  <c r="L4" i="10"/>
  <c r="M4" i="10"/>
  <c r="N4" i="10"/>
  <c r="O4" i="10"/>
  <c r="P4" i="10"/>
  <c r="Q4" i="10"/>
  <c r="R4" i="10"/>
  <c r="S4" i="10"/>
  <c r="T4" i="10"/>
  <c r="U4" i="10"/>
  <c r="V4" i="10"/>
  <c r="W4" i="10"/>
  <c r="X4" i="10"/>
  <c r="Y4" i="10"/>
  <c r="Z4" i="10"/>
  <c r="AA4" i="10"/>
  <c r="AB4" i="10"/>
  <c r="AC4" i="10"/>
  <c r="AD4" i="10"/>
  <c r="AE4" i="10"/>
  <c r="AF4" i="10"/>
  <c r="AG4" i="10"/>
  <c r="AH4" i="10"/>
  <c r="AI4" i="10"/>
  <c r="AJ4" i="10"/>
  <c r="AK4" i="10"/>
  <c r="AL4" i="10"/>
  <c r="AM4" i="10"/>
  <c r="AN4" i="10"/>
  <c r="AO4" i="10"/>
  <c r="C18" i="22" a="1"/>
  <c r="C18" i="22" s="1"/>
  <c r="C4" i="24" s="1" a="1"/>
  <c r="C4" i="24" s="1"/>
  <c r="B18" i="22" a="1"/>
  <c r="B18" i="22" s="1"/>
  <c r="H147" i="2"/>
  <c r="I147" i="2" s="1"/>
  <c r="J147" i="2" s="1"/>
  <c r="K147" i="2" s="1"/>
  <c r="L147" i="2" s="1"/>
  <c r="M147" i="2" s="1"/>
  <c r="N147" i="2" s="1"/>
  <c r="O147" i="2" s="1"/>
  <c r="P147" i="2" s="1"/>
  <c r="Q147" i="2" s="1"/>
  <c r="R147" i="2" s="1"/>
  <c r="S147" i="2" s="1"/>
  <c r="T147" i="2" s="1"/>
  <c r="U147" i="2" s="1"/>
  <c r="V147" i="2" s="1"/>
  <c r="W147" i="2" s="1"/>
  <c r="X147" i="2" s="1"/>
  <c r="Y147" i="2" s="1"/>
  <c r="Z147" i="2" s="1"/>
  <c r="AA147" i="2" s="1"/>
  <c r="AB147" i="2" s="1"/>
  <c r="AC147" i="2" s="1"/>
  <c r="AD147" i="2" s="1"/>
  <c r="AE147" i="2" s="1"/>
  <c r="AF147" i="2" s="1"/>
  <c r="AG147" i="2" s="1"/>
  <c r="B76" i="25"/>
  <c r="B77" i="25"/>
  <c r="B78"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26" i="20"/>
  <c r="D21" i="20"/>
  <c r="D22" i="20"/>
  <c r="B30" i="23"/>
  <c r="B35" i="23"/>
  <c r="B37" i="23"/>
  <c r="B38" i="23"/>
  <c r="D23" i="20"/>
  <c r="D14" i="20"/>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B55" i="23"/>
  <c r="B46" i="23"/>
  <c r="B41" i="23"/>
  <c r="B40" i="23"/>
  <c r="B39" i="23"/>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D24" i="20"/>
  <c r="D145" i="2"/>
  <c r="E145" i="2"/>
  <c r="F145" i="2"/>
  <c r="G145" i="2"/>
  <c r="H145" i="2"/>
  <c r="I145" i="2"/>
  <c r="J145" i="2"/>
  <c r="K145" i="2"/>
  <c r="L145" i="2"/>
  <c r="M145" i="2"/>
  <c r="N145" i="2"/>
  <c r="O145" i="2"/>
  <c r="P145" i="2"/>
  <c r="Q145" i="2"/>
  <c r="R145" i="2"/>
  <c r="S145" i="2"/>
  <c r="T145" i="2"/>
  <c r="U145" i="2"/>
  <c r="V145" i="2"/>
  <c r="W145" i="2"/>
  <c r="X145" i="2"/>
  <c r="Y145" i="2"/>
  <c r="Z145" i="2"/>
  <c r="AA145" i="2"/>
  <c r="AB145" i="2"/>
  <c r="AC145" i="2"/>
  <c r="AD145" i="2"/>
  <c r="AE145" i="2"/>
  <c r="AF145" i="2"/>
  <c r="AG145" i="2"/>
  <c r="E4" i="22"/>
  <c r="AH4"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G86" i="2"/>
  <c r="E6" i="35"/>
  <c r="G84" i="2"/>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C29" i="7" s="1" a="1"/>
  <c r="C29" i="7" s="1"/>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C430" i="3"/>
  <c r="C429" i="3"/>
  <c r="C428" i="3"/>
  <c r="C427" i="3"/>
  <c r="C426" i="3"/>
  <c r="C425" i="3"/>
  <c r="C424" i="3"/>
  <c r="C423" i="3"/>
  <c r="C422" i="3"/>
  <c r="C421" i="3"/>
  <c r="C420" i="3"/>
  <c r="H11" i="53" l="1"/>
  <c r="G23" i="53"/>
  <c r="F40" i="13"/>
  <c r="D121" i="35"/>
  <c r="G132" i="35"/>
  <c r="K132" i="35"/>
  <c r="O132" i="35"/>
  <c r="S132" i="35"/>
  <c r="W132" i="35"/>
  <c r="AA132" i="35"/>
  <c r="AE132" i="35"/>
  <c r="H132" i="35"/>
  <c r="L132" i="35"/>
  <c r="P132" i="35"/>
  <c r="T132" i="35"/>
  <c r="X132" i="35"/>
  <c r="AB132" i="35"/>
  <c r="AF132" i="35"/>
  <c r="F132" i="35"/>
  <c r="J132" i="35"/>
  <c r="N132" i="35"/>
  <c r="R132" i="35"/>
  <c r="Z132" i="35"/>
  <c r="AD132" i="35"/>
  <c r="E132" i="35"/>
  <c r="I132" i="35"/>
  <c r="M132" i="35"/>
  <c r="Q132" i="35"/>
  <c r="U132" i="35"/>
  <c r="Y132" i="35"/>
  <c r="AC132" i="35"/>
  <c r="AG132" i="35"/>
  <c r="V132" i="35"/>
  <c r="AH63" i="35"/>
  <c r="AH62" i="35"/>
  <c r="AH61" i="35"/>
  <c r="AH60" i="35"/>
  <c r="D64" i="35"/>
  <c r="C120" i="11"/>
  <c r="C119" i="11"/>
  <c r="C118" i="11"/>
  <c r="F224" i="3" a="1"/>
  <c r="F224" i="3" s="1"/>
  <c r="F119" i="3" a="1"/>
  <c r="F119" i="3" s="1"/>
  <c r="E170" i="3" s="1" a="1"/>
  <c r="E170" i="3" s="1"/>
  <c r="E275" i="3" s="1" a="1"/>
  <c r="E275" i="3" s="1"/>
  <c r="E326" i="3" s="1" a="1"/>
  <c r="E326" i="3" s="1"/>
  <c r="F84" i="2"/>
  <c r="D85" i="2" s="1"/>
  <c r="F85" i="2" s="1"/>
  <c r="B432" i="10" a="1"/>
  <c r="B432" i="10" s="1"/>
  <c r="E7" i="35"/>
  <c r="F86" i="2"/>
  <c r="E5" i="35"/>
  <c r="C338" i="25" a="1"/>
  <c r="C338" i="25" s="1"/>
  <c r="D321" i="25" a="1"/>
  <c r="D321" i="25" s="1"/>
  <c r="D305" i="25" a="1"/>
  <c r="D305" i="25" s="1"/>
  <c r="D402" i="35"/>
  <c r="E402" i="35"/>
  <c r="F402" i="35"/>
  <c r="G402" i="35"/>
  <c r="H402" i="35"/>
  <c r="I402" i="35"/>
  <c r="J402" i="35"/>
  <c r="K402" i="35"/>
  <c r="L402" i="35"/>
  <c r="M402" i="35"/>
  <c r="N402" i="35"/>
  <c r="O402" i="35"/>
  <c r="P402" i="35"/>
  <c r="Q402" i="35"/>
  <c r="R402" i="35"/>
  <c r="S402" i="35"/>
  <c r="T402" i="35"/>
  <c r="U402" i="35"/>
  <c r="V402" i="35"/>
  <c r="W402" i="35"/>
  <c r="X402" i="35"/>
  <c r="Y402" i="35"/>
  <c r="Z402" i="35"/>
  <c r="AA402" i="35"/>
  <c r="AB402" i="35"/>
  <c r="AC402" i="35"/>
  <c r="AD402" i="35"/>
  <c r="AE402" i="35"/>
  <c r="AF402" i="35"/>
  <c r="H82" i="25" a="1"/>
  <c r="H82" i="25" s="1"/>
  <c r="D229" i="35"/>
  <c r="D264" i="35" s="1"/>
  <c r="D292" i="35" s="1"/>
  <c r="D365" i="35"/>
  <c r="E229" i="35"/>
  <c r="E264" i="35" s="1"/>
  <c r="E292" i="35" s="1"/>
  <c r="E365" i="35"/>
  <c r="F229" i="35"/>
  <c r="F264" i="35" s="1"/>
  <c r="F292" i="35" s="1"/>
  <c r="F365" i="35"/>
  <c r="G229" i="35"/>
  <c r="G264" i="35" s="1"/>
  <c r="G292" i="35" s="1"/>
  <c r="G365" i="35"/>
  <c r="H229" i="35"/>
  <c r="H264" i="35" s="1"/>
  <c r="H292" i="35" s="1"/>
  <c r="H365" i="35"/>
  <c r="I229" i="35"/>
  <c r="I264" i="35" s="1"/>
  <c r="I292" i="35" s="1"/>
  <c r="I365" i="35"/>
  <c r="J229" i="35"/>
  <c r="J264" i="35" s="1"/>
  <c r="J292" i="35" s="1"/>
  <c r="J365" i="35"/>
  <c r="K229" i="35"/>
  <c r="K264" i="35" s="1"/>
  <c r="K292" i="35" s="1"/>
  <c r="K365" i="35"/>
  <c r="L229" i="35"/>
  <c r="L264" i="35" s="1"/>
  <c r="L292" i="35" s="1"/>
  <c r="L365" i="35"/>
  <c r="M229" i="35"/>
  <c r="M264" i="35" s="1"/>
  <c r="M292" i="35" s="1"/>
  <c r="M365" i="35"/>
  <c r="N229" i="35"/>
  <c r="N264" i="35" s="1"/>
  <c r="N292" i="35" s="1"/>
  <c r="N365" i="35"/>
  <c r="O229" i="35"/>
  <c r="O264" i="35" s="1"/>
  <c r="O292" i="35" s="1"/>
  <c r="O365" i="35"/>
  <c r="P229" i="35"/>
  <c r="P264" i="35" s="1"/>
  <c r="P292" i="35" s="1"/>
  <c r="P365" i="35"/>
  <c r="Q229" i="35"/>
  <c r="Q264" i="35" s="1"/>
  <c r="Q292" i="35" s="1"/>
  <c r="Q365" i="35"/>
  <c r="R229" i="35"/>
  <c r="R264" i="35" s="1"/>
  <c r="R292" i="35" s="1"/>
  <c r="R365" i="35"/>
  <c r="S229" i="35"/>
  <c r="S264" i="35" s="1"/>
  <c r="S292" i="35" s="1"/>
  <c r="S365" i="35"/>
  <c r="T229" i="35"/>
  <c r="T264" i="35" s="1"/>
  <c r="T292" i="35" s="1"/>
  <c r="T365" i="35"/>
  <c r="U229" i="35"/>
  <c r="U264" i="35" s="1"/>
  <c r="U292" i="35" s="1"/>
  <c r="U365" i="35"/>
  <c r="V229" i="35"/>
  <c r="V264" i="35" s="1"/>
  <c r="V292" i="35" s="1"/>
  <c r="V365" i="35"/>
  <c r="W229" i="35"/>
  <c r="W264" i="35" s="1"/>
  <c r="W292" i="35" s="1"/>
  <c r="W365" i="35"/>
  <c r="X229" i="35"/>
  <c r="X264" i="35" s="1"/>
  <c r="X292" i="35" s="1"/>
  <c r="X365" i="35"/>
  <c r="Y229" i="35"/>
  <c r="Y264" i="35" s="1"/>
  <c r="Y292" i="35" s="1"/>
  <c r="Y365" i="35"/>
  <c r="Z229" i="35"/>
  <c r="Z264" i="35" s="1"/>
  <c r="Z292" i="35" s="1"/>
  <c r="Z365" i="35"/>
  <c r="AA229" i="35"/>
  <c r="AA264" i="35" s="1"/>
  <c r="AA292" i="35" s="1"/>
  <c r="AA365" i="35"/>
  <c r="AB229" i="35"/>
  <c r="AB264" i="35" s="1"/>
  <c r="AB292" i="35" s="1"/>
  <c r="AB365" i="35"/>
  <c r="AC229" i="35"/>
  <c r="AC264" i="35" s="1"/>
  <c r="AC292" i="35" s="1"/>
  <c r="AC365" i="35"/>
  <c r="AD229" i="35"/>
  <c r="AD264" i="35" s="1"/>
  <c r="AD292" i="35" s="1"/>
  <c r="AD365" i="35"/>
  <c r="AE229" i="35"/>
  <c r="AE264" i="35" s="1"/>
  <c r="AE292" i="35" s="1"/>
  <c r="AE365" i="35"/>
  <c r="AF229" i="35"/>
  <c r="AF264" i="35" s="1"/>
  <c r="AF292" i="35" s="1"/>
  <c r="AF365" i="35"/>
  <c r="AG229" i="35"/>
  <c r="AG264" i="35" s="1"/>
  <c r="AG292" i="35" s="1"/>
  <c r="AG365" i="35"/>
  <c r="C61" i="34"/>
  <c r="D69" i="2"/>
  <c r="H6" i="35"/>
  <c r="H7" i="35"/>
  <c r="H8" i="35"/>
  <c r="D61" i="34"/>
  <c r="E57" i="34" a="1"/>
  <c r="E57" i="34" s="1"/>
  <c r="I6" i="10"/>
  <c r="J6" i="10" s="1"/>
  <c r="K6" i="10" s="1"/>
  <c r="I7" i="10"/>
  <c r="J7" i="10" s="1"/>
  <c r="K7" i="10" s="1"/>
  <c r="I8" i="10"/>
  <c r="J8" i="10" s="1"/>
  <c r="K8" i="10" s="1"/>
  <c r="I9" i="10"/>
  <c r="J9" i="10" s="1"/>
  <c r="K9" i="10" s="1"/>
  <c r="I10" i="10"/>
  <c r="J10" i="10" s="1"/>
  <c r="K10" i="10" s="1"/>
  <c r="I11" i="10"/>
  <c r="J11" i="10" s="1"/>
  <c r="K11" i="10" s="1"/>
  <c r="I12" i="10"/>
  <c r="J12" i="10" s="1"/>
  <c r="K12" i="10" s="1"/>
  <c r="I13" i="10"/>
  <c r="J13" i="10" s="1"/>
  <c r="K13" i="10" s="1"/>
  <c r="I14" i="10"/>
  <c r="J14" i="10" s="1"/>
  <c r="K14" i="10" s="1"/>
  <c r="I15" i="10"/>
  <c r="J15" i="10" s="1"/>
  <c r="K15" i="10" s="1"/>
  <c r="I16" i="10"/>
  <c r="J16" i="10" s="1"/>
  <c r="K16" i="10" s="1"/>
  <c r="I17" i="10"/>
  <c r="J17" i="10" s="1"/>
  <c r="K17" i="10" s="1"/>
  <c r="I18" i="10"/>
  <c r="J18" i="10" s="1"/>
  <c r="K18" i="10" s="1"/>
  <c r="I19" i="10"/>
  <c r="J19" i="10" s="1"/>
  <c r="K19" i="10" s="1"/>
  <c r="I20" i="10"/>
  <c r="J20" i="10" s="1"/>
  <c r="K20" i="10" s="1"/>
  <c r="I21" i="10"/>
  <c r="J21" i="10" s="1"/>
  <c r="K21" i="10" s="1"/>
  <c r="I22" i="10"/>
  <c r="J22" i="10" s="1"/>
  <c r="K22" i="10" s="1"/>
  <c r="I23" i="10"/>
  <c r="J23" i="10" s="1"/>
  <c r="K23" i="10" s="1"/>
  <c r="I24" i="10"/>
  <c r="J24" i="10" s="1"/>
  <c r="K24" i="10" s="1"/>
  <c r="I25" i="10"/>
  <c r="J25" i="10" s="1"/>
  <c r="K25" i="10" s="1"/>
  <c r="I26" i="10"/>
  <c r="J26" i="10" s="1"/>
  <c r="K26" i="10" s="1"/>
  <c r="I27" i="10"/>
  <c r="J27" i="10" s="1"/>
  <c r="K27" i="10" s="1"/>
  <c r="I28" i="10"/>
  <c r="J28" i="10" s="1"/>
  <c r="K28" i="10" s="1"/>
  <c r="I29" i="10"/>
  <c r="J29" i="10" s="1"/>
  <c r="K29" i="10" s="1"/>
  <c r="I30" i="10"/>
  <c r="J30" i="10" s="1"/>
  <c r="K30" i="10" s="1"/>
  <c r="I31" i="10"/>
  <c r="J31" i="10" s="1"/>
  <c r="K31" i="10" s="1"/>
  <c r="I32" i="10"/>
  <c r="J32" i="10" s="1"/>
  <c r="K32" i="10" s="1"/>
  <c r="I33" i="10"/>
  <c r="J33" i="10" s="1"/>
  <c r="K33" i="10" s="1"/>
  <c r="I34" i="10"/>
  <c r="J34" i="10" s="1"/>
  <c r="K34" i="10" s="1"/>
  <c r="I35" i="10"/>
  <c r="J35" i="10" s="1"/>
  <c r="K35" i="10" s="1"/>
  <c r="I36" i="10"/>
  <c r="J36" i="10" s="1"/>
  <c r="K36" i="10" s="1"/>
  <c r="I37" i="10"/>
  <c r="J37" i="10" s="1"/>
  <c r="K37" i="10" s="1"/>
  <c r="I38" i="10"/>
  <c r="J38" i="10" s="1"/>
  <c r="K38" i="10" s="1"/>
  <c r="I39" i="10"/>
  <c r="J39" i="10" s="1"/>
  <c r="K39" i="10" s="1"/>
  <c r="I40" i="10"/>
  <c r="J40" i="10" s="1"/>
  <c r="K40" i="10" s="1"/>
  <c r="I41" i="10"/>
  <c r="J41" i="10" s="1"/>
  <c r="K41" i="10" s="1"/>
  <c r="I42" i="10"/>
  <c r="J42" i="10" s="1"/>
  <c r="K42" i="10" s="1"/>
  <c r="I43" i="10"/>
  <c r="J43" i="10" s="1"/>
  <c r="K43" i="10" s="1"/>
  <c r="I44" i="10"/>
  <c r="J44" i="10" s="1"/>
  <c r="K44" i="10" s="1"/>
  <c r="I45" i="10"/>
  <c r="J45" i="10" s="1"/>
  <c r="K45" i="10" s="1"/>
  <c r="I46" i="10"/>
  <c r="J46" i="10" s="1"/>
  <c r="K46" i="10" s="1"/>
  <c r="I47" i="10"/>
  <c r="J47" i="10" s="1"/>
  <c r="K47" i="10" s="1"/>
  <c r="I48" i="10"/>
  <c r="J48" i="10" s="1"/>
  <c r="K48" i="10" s="1"/>
  <c r="I49" i="10"/>
  <c r="J49" i="10" s="1"/>
  <c r="K49" i="10" s="1"/>
  <c r="I50" i="10"/>
  <c r="J50" i="10" s="1"/>
  <c r="K50" i="10" s="1"/>
  <c r="I51" i="10"/>
  <c r="J51" i="10" s="1"/>
  <c r="K51" i="10" s="1"/>
  <c r="I52" i="10"/>
  <c r="J52" i="10" s="1"/>
  <c r="K52" i="10" s="1"/>
  <c r="I53" i="10"/>
  <c r="J53" i="10" s="1"/>
  <c r="K53" i="10" s="1"/>
  <c r="I54" i="10"/>
  <c r="J54" i="10" s="1"/>
  <c r="K54" i="10" s="1"/>
  <c r="I55" i="10"/>
  <c r="J55" i="10" s="1"/>
  <c r="K55" i="10" s="1"/>
  <c r="I56" i="10"/>
  <c r="J56" i="10" s="1"/>
  <c r="K56" i="10" s="1"/>
  <c r="I57" i="10"/>
  <c r="J57" i="10" s="1"/>
  <c r="K57" i="10" s="1"/>
  <c r="I58" i="10"/>
  <c r="J58" i="10" s="1"/>
  <c r="K58" i="10" s="1"/>
  <c r="I59" i="10"/>
  <c r="J59" i="10" s="1"/>
  <c r="K59" i="10" s="1"/>
  <c r="I60" i="10"/>
  <c r="J60" i="10" s="1"/>
  <c r="K60" i="10" s="1"/>
  <c r="I61" i="10"/>
  <c r="J61" i="10" s="1"/>
  <c r="K61" i="10" s="1"/>
  <c r="I62" i="10"/>
  <c r="J62" i="10" s="1"/>
  <c r="K62" i="10" s="1"/>
  <c r="I63" i="10"/>
  <c r="J63" i="10" s="1"/>
  <c r="K63" i="10" s="1"/>
  <c r="I64" i="10"/>
  <c r="J64" i="10" s="1"/>
  <c r="K64" i="10" s="1"/>
  <c r="I65" i="10"/>
  <c r="J65" i="10" s="1"/>
  <c r="K65" i="10" s="1"/>
  <c r="I66" i="10"/>
  <c r="J66" i="10" s="1"/>
  <c r="K66" i="10" s="1"/>
  <c r="I67" i="10"/>
  <c r="J67" i="10" s="1"/>
  <c r="K67" i="10" s="1"/>
  <c r="I68" i="10"/>
  <c r="J68" i="10" s="1"/>
  <c r="K68" i="10" s="1"/>
  <c r="I69" i="10"/>
  <c r="J69" i="10" s="1"/>
  <c r="K69" i="10" s="1"/>
  <c r="I70" i="10"/>
  <c r="J70" i="10" s="1"/>
  <c r="K70" i="10" s="1"/>
  <c r="I71" i="10"/>
  <c r="J71" i="10" s="1"/>
  <c r="K71" i="10" s="1"/>
  <c r="I72" i="10"/>
  <c r="J72" i="10" s="1"/>
  <c r="K72" i="10" s="1"/>
  <c r="I73" i="10"/>
  <c r="J73" i="10" s="1"/>
  <c r="K73" i="10" s="1"/>
  <c r="I74" i="10"/>
  <c r="J74" i="10" s="1"/>
  <c r="K74" i="10" s="1"/>
  <c r="I75" i="10"/>
  <c r="J75" i="10" s="1"/>
  <c r="K75" i="10" s="1"/>
  <c r="I76" i="10"/>
  <c r="J76" i="10" s="1"/>
  <c r="K76" i="10" s="1"/>
  <c r="I77" i="10"/>
  <c r="J77" i="10" s="1"/>
  <c r="K77" i="10" s="1"/>
  <c r="I78" i="10"/>
  <c r="J78" i="10" s="1"/>
  <c r="K78" i="10" s="1"/>
  <c r="I79" i="10"/>
  <c r="J79" i="10" s="1"/>
  <c r="K79" i="10" s="1"/>
  <c r="I80" i="10"/>
  <c r="J80" i="10" s="1"/>
  <c r="K80" i="10" s="1"/>
  <c r="I81" i="10"/>
  <c r="J81" i="10" s="1"/>
  <c r="K81" i="10" s="1"/>
  <c r="I82" i="10"/>
  <c r="J82" i="10" s="1"/>
  <c r="K82" i="10" s="1"/>
  <c r="I83" i="10"/>
  <c r="J83" i="10" s="1"/>
  <c r="K83" i="10" s="1"/>
  <c r="I84" i="10"/>
  <c r="J84" i="10" s="1"/>
  <c r="K84" i="10" s="1"/>
  <c r="I85" i="10"/>
  <c r="J85" i="10" s="1"/>
  <c r="K85" i="10" s="1"/>
  <c r="I86" i="10"/>
  <c r="J86" i="10" s="1"/>
  <c r="K86" i="10" s="1"/>
  <c r="I87" i="10"/>
  <c r="J87" i="10" s="1"/>
  <c r="K87" i="10" s="1"/>
  <c r="I88" i="10"/>
  <c r="J88" i="10" s="1"/>
  <c r="K88" i="10" s="1"/>
  <c r="I89" i="10"/>
  <c r="J89" i="10" s="1"/>
  <c r="K89" i="10" s="1"/>
  <c r="I90" i="10"/>
  <c r="J90" i="10" s="1"/>
  <c r="K90" i="10" s="1"/>
  <c r="I91" i="10"/>
  <c r="J91" i="10" s="1"/>
  <c r="K91" i="10" s="1"/>
  <c r="I92" i="10"/>
  <c r="J92" i="10" s="1"/>
  <c r="K92" i="10" s="1"/>
  <c r="I93" i="10"/>
  <c r="J93" i="10" s="1"/>
  <c r="K93" i="10" s="1"/>
  <c r="I94" i="10"/>
  <c r="J94" i="10" s="1"/>
  <c r="K94" i="10" s="1"/>
  <c r="I95" i="10"/>
  <c r="J95" i="10" s="1"/>
  <c r="K95" i="10" s="1"/>
  <c r="I96" i="10"/>
  <c r="J96" i="10" s="1"/>
  <c r="K96" i="10" s="1"/>
  <c r="I97" i="10"/>
  <c r="J97" i="10" s="1"/>
  <c r="K97" i="10" s="1"/>
  <c r="I98" i="10"/>
  <c r="J98" i="10" s="1"/>
  <c r="K98" i="10" s="1"/>
  <c r="I99" i="10"/>
  <c r="J99" i="10" s="1"/>
  <c r="K99" i="10" s="1"/>
  <c r="I100" i="10"/>
  <c r="J100" i="10" s="1"/>
  <c r="K100" i="10" s="1"/>
  <c r="I101" i="10"/>
  <c r="J101" i="10" s="1"/>
  <c r="K101" i="10" s="1"/>
  <c r="I102" i="10"/>
  <c r="J102" i="10" s="1"/>
  <c r="K102" i="10" s="1"/>
  <c r="I103" i="10"/>
  <c r="J103" i="10" s="1"/>
  <c r="K103" i="10" s="1"/>
  <c r="I104" i="10"/>
  <c r="J104" i="10" s="1"/>
  <c r="K104" i="10" s="1"/>
  <c r="I105" i="10"/>
  <c r="J105" i="10" s="1"/>
  <c r="K105" i="10" s="1"/>
  <c r="I106" i="10"/>
  <c r="J106" i="10" s="1"/>
  <c r="K106" i="10" s="1"/>
  <c r="I107" i="10"/>
  <c r="J107" i="10" s="1"/>
  <c r="K107" i="10" s="1"/>
  <c r="I108" i="10"/>
  <c r="J108" i="10" s="1"/>
  <c r="K108" i="10" s="1"/>
  <c r="I109" i="10"/>
  <c r="J109" i="10" s="1"/>
  <c r="K109" i="10" s="1"/>
  <c r="I110" i="10"/>
  <c r="J110" i="10" s="1"/>
  <c r="K110" i="10" s="1"/>
  <c r="I111" i="10"/>
  <c r="J111" i="10" s="1"/>
  <c r="K111" i="10" s="1"/>
  <c r="I112" i="10"/>
  <c r="J112" i="10" s="1"/>
  <c r="K112" i="10" s="1"/>
  <c r="I113" i="10"/>
  <c r="J113" i="10" s="1"/>
  <c r="K113" i="10" s="1"/>
  <c r="I114" i="10"/>
  <c r="J114" i="10" s="1"/>
  <c r="K114" i="10" s="1"/>
  <c r="I115" i="10"/>
  <c r="J115" i="10" s="1"/>
  <c r="K115" i="10" s="1"/>
  <c r="I116" i="10"/>
  <c r="J116" i="10" s="1"/>
  <c r="K116" i="10" s="1"/>
  <c r="I117" i="10"/>
  <c r="J117" i="10" s="1"/>
  <c r="K117" i="10" s="1"/>
  <c r="I118" i="10"/>
  <c r="J118" i="10" s="1"/>
  <c r="K118" i="10" s="1"/>
  <c r="I119" i="10"/>
  <c r="J119" i="10" s="1"/>
  <c r="K119" i="10" s="1"/>
  <c r="I120" i="10"/>
  <c r="J120" i="10" s="1"/>
  <c r="K120" i="10" s="1"/>
  <c r="I121" i="10"/>
  <c r="J121" i="10" s="1"/>
  <c r="K121" i="10" s="1"/>
  <c r="I122" i="10"/>
  <c r="J122" i="10" s="1"/>
  <c r="K122" i="10" s="1"/>
  <c r="I123" i="10"/>
  <c r="J123" i="10" s="1"/>
  <c r="K123" i="10" s="1"/>
  <c r="I124" i="10"/>
  <c r="J124" i="10" s="1"/>
  <c r="K124" i="10" s="1"/>
  <c r="I125" i="10"/>
  <c r="J125" i="10" s="1"/>
  <c r="K125" i="10" s="1"/>
  <c r="I126" i="10"/>
  <c r="J126" i="10" s="1"/>
  <c r="K126" i="10" s="1"/>
  <c r="I127" i="10"/>
  <c r="J127" i="10" s="1"/>
  <c r="K127" i="10" s="1"/>
  <c r="I128" i="10"/>
  <c r="J128" i="10" s="1"/>
  <c r="K128" i="10" s="1"/>
  <c r="I129" i="10"/>
  <c r="J129" i="10" s="1"/>
  <c r="K129" i="10" s="1"/>
  <c r="I130" i="10"/>
  <c r="J130" i="10" s="1"/>
  <c r="K130" i="10" s="1"/>
  <c r="I131" i="10"/>
  <c r="J131" i="10" s="1"/>
  <c r="K131" i="10" s="1"/>
  <c r="I132" i="10"/>
  <c r="J132" i="10" s="1"/>
  <c r="K132" i="10" s="1"/>
  <c r="I133" i="10"/>
  <c r="J133" i="10" s="1"/>
  <c r="K133" i="10" s="1"/>
  <c r="I134" i="10"/>
  <c r="J134" i="10" s="1"/>
  <c r="K134" i="10" s="1"/>
  <c r="I135" i="10"/>
  <c r="J135" i="10" s="1"/>
  <c r="K135" i="10" s="1"/>
  <c r="I136" i="10"/>
  <c r="J136" i="10" s="1"/>
  <c r="K136" i="10" s="1"/>
  <c r="I137" i="10"/>
  <c r="J137" i="10" s="1"/>
  <c r="K137" i="10" s="1"/>
  <c r="I138" i="10"/>
  <c r="J138" i="10" s="1"/>
  <c r="K138" i="10" s="1"/>
  <c r="I139" i="10"/>
  <c r="J139" i="10" s="1"/>
  <c r="K139" i="10" s="1"/>
  <c r="I140" i="10"/>
  <c r="J140" i="10" s="1"/>
  <c r="K140" i="10" s="1"/>
  <c r="I141" i="10"/>
  <c r="J141" i="10" s="1"/>
  <c r="K141" i="10" s="1"/>
  <c r="I142" i="10"/>
  <c r="J142" i="10" s="1"/>
  <c r="K142" i="10" s="1"/>
  <c r="I143" i="10"/>
  <c r="J143" i="10" s="1"/>
  <c r="K143" i="10" s="1"/>
  <c r="I144" i="10"/>
  <c r="J144" i="10" s="1"/>
  <c r="K144" i="10" s="1"/>
  <c r="I145" i="10"/>
  <c r="J145" i="10" s="1"/>
  <c r="K145" i="10" s="1"/>
  <c r="I146" i="10"/>
  <c r="J146" i="10" s="1"/>
  <c r="K146" i="10" s="1"/>
  <c r="I147" i="10"/>
  <c r="J147" i="10" s="1"/>
  <c r="K147" i="10" s="1"/>
  <c r="I148" i="10"/>
  <c r="J148" i="10" s="1"/>
  <c r="K148" i="10" s="1"/>
  <c r="I149" i="10"/>
  <c r="J149" i="10" s="1"/>
  <c r="K149" i="10" s="1"/>
  <c r="I150" i="10"/>
  <c r="J150" i="10" s="1"/>
  <c r="K150" i="10" s="1"/>
  <c r="I151" i="10"/>
  <c r="J151" i="10" s="1"/>
  <c r="K151" i="10" s="1"/>
  <c r="I152" i="10"/>
  <c r="J152" i="10" s="1"/>
  <c r="K152" i="10" s="1"/>
  <c r="I153" i="10"/>
  <c r="J153" i="10" s="1"/>
  <c r="K153" i="10" s="1"/>
  <c r="I154" i="10"/>
  <c r="J154" i="10" s="1"/>
  <c r="K154" i="10" s="1"/>
  <c r="I155" i="10"/>
  <c r="J155" i="10" s="1"/>
  <c r="K155" i="10" s="1"/>
  <c r="I156" i="10"/>
  <c r="J156" i="10" s="1"/>
  <c r="K156" i="10" s="1"/>
  <c r="I157" i="10"/>
  <c r="J157" i="10" s="1"/>
  <c r="K157" i="10" s="1"/>
  <c r="I158" i="10"/>
  <c r="J158" i="10" s="1"/>
  <c r="K158" i="10" s="1"/>
  <c r="I159" i="10"/>
  <c r="J159" i="10" s="1"/>
  <c r="K159" i="10" s="1"/>
  <c r="I160" i="10"/>
  <c r="J160" i="10" s="1"/>
  <c r="K160" i="10" s="1"/>
  <c r="I161" i="10"/>
  <c r="J161" i="10" s="1"/>
  <c r="K161" i="10" s="1"/>
  <c r="I162" i="10"/>
  <c r="J162" i="10" s="1"/>
  <c r="K162" i="10" s="1"/>
  <c r="I163" i="10"/>
  <c r="J163" i="10" s="1"/>
  <c r="K163" i="10" s="1"/>
  <c r="I164" i="10"/>
  <c r="J164" i="10" s="1"/>
  <c r="K164" i="10" s="1"/>
  <c r="I165" i="10"/>
  <c r="J165" i="10" s="1"/>
  <c r="K165" i="10" s="1"/>
  <c r="I166" i="10"/>
  <c r="J166" i="10" s="1"/>
  <c r="K166" i="10" s="1"/>
  <c r="I167" i="10"/>
  <c r="J167" i="10" s="1"/>
  <c r="K167" i="10" s="1"/>
  <c r="I168" i="10"/>
  <c r="J168" i="10" s="1"/>
  <c r="K168" i="10" s="1"/>
  <c r="I169" i="10"/>
  <c r="J169" i="10" s="1"/>
  <c r="K169" i="10" s="1"/>
  <c r="I170" i="10"/>
  <c r="J170" i="10" s="1"/>
  <c r="K170" i="10" s="1"/>
  <c r="I171" i="10"/>
  <c r="J171" i="10" s="1"/>
  <c r="K171" i="10" s="1"/>
  <c r="I172" i="10"/>
  <c r="J172" i="10" s="1"/>
  <c r="K172" i="10" s="1"/>
  <c r="I173" i="10"/>
  <c r="J173" i="10" s="1"/>
  <c r="K173" i="10" s="1"/>
  <c r="I174" i="10"/>
  <c r="J174" i="10" s="1"/>
  <c r="K174" i="10" s="1"/>
  <c r="I175" i="10"/>
  <c r="J175" i="10" s="1"/>
  <c r="K175" i="10" s="1"/>
  <c r="I176" i="10"/>
  <c r="J176" i="10" s="1"/>
  <c r="K176" i="10" s="1"/>
  <c r="I177" i="10"/>
  <c r="J177" i="10" s="1"/>
  <c r="K177" i="10" s="1"/>
  <c r="I178" i="10"/>
  <c r="J178" i="10" s="1"/>
  <c r="K178" i="10" s="1"/>
  <c r="I179" i="10"/>
  <c r="J179" i="10" s="1"/>
  <c r="K179" i="10" s="1"/>
  <c r="I180" i="10"/>
  <c r="J180" i="10" s="1"/>
  <c r="K180" i="10" s="1"/>
  <c r="I181" i="10"/>
  <c r="J181" i="10" s="1"/>
  <c r="K181" i="10" s="1"/>
  <c r="I182" i="10"/>
  <c r="J182" i="10" s="1"/>
  <c r="K182" i="10" s="1"/>
  <c r="I183" i="10"/>
  <c r="J183" i="10" s="1"/>
  <c r="K183" i="10" s="1"/>
  <c r="I184" i="10"/>
  <c r="J184" i="10" s="1"/>
  <c r="K184" i="10" s="1"/>
  <c r="I185" i="10"/>
  <c r="J185" i="10" s="1"/>
  <c r="K185" i="10" s="1"/>
  <c r="I186" i="10"/>
  <c r="J186" i="10" s="1"/>
  <c r="K186" i="10" s="1"/>
  <c r="I187" i="10"/>
  <c r="J187" i="10" s="1"/>
  <c r="K187" i="10" s="1"/>
  <c r="I188" i="10"/>
  <c r="J188" i="10" s="1"/>
  <c r="K188" i="10" s="1"/>
  <c r="I189" i="10"/>
  <c r="J189" i="10" s="1"/>
  <c r="K189" i="10" s="1"/>
  <c r="I190" i="10"/>
  <c r="J190" i="10" s="1"/>
  <c r="K190" i="10" s="1"/>
  <c r="I191" i="10"/>
  <c r="J191" i="10" s="1"/>
  <c r="K191" i="10" s="1"/>
  <c r="I192" i="10"/>
  <c r="J192" i="10" s="1"/>
  <c r="K192" i="10" s="1"/>
  <c r="I193" i="10"/>
  <c r="J193" i="10" s="1"/>
  <c r="K193" i="10" s="1"/>
  <c r="I194" i="10"/>
  <c r="J194" i="10" s="1"/>
  <c r="K194" i="10" s="1"/>
  <c r="I195" i="10"/>
  <c r="J195" i="10" s="1"/>
  <c r="K195" i="10" s="1"/>
  <c r="I196" i="10"/>
  <c r="J196" i="10" s="1"/>
  <c r="K196" i="10" s="1"/>
  <c r="I197" i="10"/>
  <c r="J197" i="10" s="1"/>
  <c r="K197" i="10" s="1"/>
  <c r="I198" i="10"/>
  <c r="J198" i="10" s="1"/>
  <c r="K198" i="10" s="1"/>
  <c r="I199" i="10"/>
  <c r="J199" i="10" s="1"/>
  <c r="K199" i="10" s="1"/>
  <c r="I200" i="10"/>
  <c r="J200" i="10" s="1"/>
  <c r="K200" i="10" s="1"/>
  <c r="I201" i="10"/>
  <c r="J201" i="10" s="1"/>
  <c r="K201" i="10" s="1"/>
  <c r="I202" i="10"/>
  <c r="J202" i="10" s="1"/>
  <c r="K202" i="10" s="1"/>
  <c r="I203" i="10"/>
  <c r="J203" i="10" s="1"/>
  <c r="K203" i="10" s="1"/>
  <c r="I204" i="10"/>
  <c r="J204" i="10" s="1"/>
  <c r="K204" i="10" s="1"/>
  <c r="I205" i="10"/>
  <c r="J205" i="10" s="1"/>
  <c r="K205" i="10" s="1"/>
  <c r="I206" i="10"/>
  <c r="J206" i="10" s="1"/>
  <c r="K206" i="10" s="1"/>
  <c r="I207" i="10"/>
  <c r="J207" i="10" s="1"/>
  <c r="K207" i="10" s="1"/>
  <c r="I208" i="10"/>
  <c r="J208" i="10" s="1"/>
  <c r="K208" i="10" s="1"/>
  <c r="I209" i="10"/>
  <c r="J209" i="10" s="1"/>
  <c r="K209" i="10" s="1"/>
  <c r="I210" i="10"/>
  <c r="J210" i="10" s="1"/>
  <c r="K210" i="10" s="1"/>
  <c r="I211" i="10"/>
  <c r="J211" i="10" s="1"/>
  <c r="K211" i="10" s="1"/>
  <c r="I212" i="10"/>
  <c r="J212" i="10" s="1"/>
  <c r="K212" i="10" s="1"/>
  <c r="I213" i="10"/>
  <c r="J213" i="10" s="1"/>
  <c r="K213" i="10" s="1"/>
  <c r="I214" i="10"/>
  <c r="J214" i="10" s="1"/>
  <c r="K214" i="10" s="1"/>
  <c r="I215" i="10"/>
  <c r="J215" i="10" s="1"/>
  <c r="K215" i="10" s="1"/>
  <c r="I216" i="10"/>
  <c r="J216" i="10" s="1"/>
  <c r="K216" i="10" s="1"/>
  <c r="I217" i="10"/>
  <c r="J217" i="10" s="1"/>
  <c r="K217" i="10" s="1"/>
  <c r="I218" i="10"/>
  <c r="J218" i="10" s="1"/>
  <c r="K218" i="10" s="1"/>
  <c r="I219" i="10"/>
  <c r="J219" i="10" s="1"/>
  <c r="K219" i="10" s="1"/>
  <c r="I220" i="10"/>
  <c r="J220" i="10" s="1"/>
  <c r="K220" i="10" s="1"/>
  <c r="I221" i="10"/>
  <c r="J221" i="10" s="1"/>
  <c r="K221" i="10" s="1"/>
  <c r="I222" i="10"/>
  <c r="J222" i="10" s="1"/>
  <c r="K222" i="10" s="1"/>
  <c r="I223" i="10"/>
  <c r="J223" i="10" s="1"/>
  <c r="K223" i="10" s="1"/>
  <c r="I224" i="10"/>
  <c r="J224" i="10" s="1"/>
  <c r="K224" i="10" s="1"/>
  <c r="I225" i="10"/>
  <c r="J225" i="10" s="1"/>
  <c r="K225" i="10" s="1"/>
  <c r="I226" i="10"/>
  <c r="J226" i="10" s="1"/>
  <c r="K226" i="10" s="1"/>
  <c r="I227" i="10"/>
  <c r="J227" i="10" s="1"/>
  <c r="K227" i="10" s="1"/>
  <c r="I228" i="10"/>
  <c r="J228" i="10" s="1"/>
  <c r="K228" i="10" s="1"/>
  <c r="I229" i="10"/>
  <c r="J229" i="10" s="1"/>
  <c r="K229" i="10" s="1"/>
  <c r="I230" i="10"/>
  <c r="J230" i="10" s="1"/>
  <c r="K230" i="10" s="1"/>
  <c r="I231" i="10"/>
  <c r="J231" i="10" s="1"/>
  <c r="K231" i="10" s="1"/>
  <c r="I232" i="10"/>
  <c r="J232" i="10" s="1"/>
  <c r="K232" i="10" s="1"/>
  <c r="I233" i="10"/>
  <c r="J233" i="10" s="1"/>
  <c r="K233" i="10" s="1"/>
  <c r="I234" i="10"/>
  <c r="J234" i="10" s="1"/>
  <c r="K234" i="10" s="1"/>
  <c r="I235" i="10"/>
  <c r="J235" i="10" s="1"/>
  <c r="K235" i="10" s="1"/>
  <c r="I236" i="10"/>
  <c r="J236" i="10" s="1"/>
  <c r="K236" i="10" s="1"/>
  <c r="I237" i="10"/>
  <c r="J237" i="10" s="1"/>
  <c r="K237" i="10" s="1"/>
  <c r="I238" i="10"/>
  <c r="J238" i="10" s="1"/>
  <c r="K238" i="10" s="1"/>
  <c r="I239" i="10"/>
  <c r="J239" i="10" s="1"/>
  <c r="K239" i="10" s="1"/>
  <c r="I240" i="10"/>
  <c r="J240" i="10" s="1"/>
  <c r="K240" i="10" s="1"/>
  <c r="I241" i="10"/>
  <c r="J241" i="10" s="1"/>
  <c r="K241" i="10" s="1"/>
  <c r="I242" i="10"/>
  <c r="J242" i="10" s="1"/>
  <c r="K242" i="10" s="1"/>
  <c r="I243" i="10"/>
  <c r="J243" i="10" s="1"/>
  <c r="K243" i="10" s="1"/>
  <c r="I244" i="10"/>
  <c r="J244" i="10" s="1"/>
  <c r="K244" i="10" s="1"/>
  <c r="I245" i="10"/>
  <c r="J245" i="10" s="1"/>
  <c r="K245" i="10" s="1"/>
  <c r="I246" i="10"/>
  <c r="J246" i="10" s="1"/>
  <c r="K246" i="10" s="1"/>
  <c r="I247" i="10"/>
  <c r="J247" i="10" s="1"/>
  <c r="K247" i="10" s="1"/>
  <c r="I248" i="10"/>
  <c r="J248" i="10" s="1"/>
  <c r="K248" i="10" s="1"/>
  <c r="I249" i="10"/>
  <c r="J249" i="10" s="1"/>
  <c r="K249" i="10" s="1"/>
  <c r="I250" i="10"/>
  <c r="J250" i="10" s="1"/>
  <c r="K250" i="10" s="1"/>
  <c r="I251" i="10"/>
  <c r="J251" i="10" s="1"/>
  <c r="K251" i="10" s="1"/>
  <c r="I252" i="10"/>
  <c r="J252" i="10" s="1"/>
  <c r="K252" i="10" s="1"/>
  <c r="I253" i="10"/>
  <c r="J253" i="10" s="1"/>
  <c r="K253" i="10" s="1"/>
  <c r="I254" i="10"/>
  <c r="J254" i="10" s="1"/>
  <c r="K254" i="10" s="1"/>
  <c r="I255" i="10"/>
  <c r="J255" i="10" s="1"/>
  <c r="K255" i="10" s="1"/>
  <c r="I256" i="10"/>
  <c r="J256" i="10" s="1"/>
  <c r="K256" i="10" s="1"/>
  <c r="I257" i="10"/>
  <c r="J257" i="10" s="1"/>
  <c r="K257" i="10" s="1"/>
  <c r="I258" i="10"/>
  <c r="J258" i="10" s="1"/>
  <c r="K258" i="10" s="1"/>
  <c r="I259" i="10"/>
  <c r="J259" i="10" s="1"/>
  <c r="K259" i="10" s="1"/>
  <c r="I260" i="10"/>
  <c r="J260" i="10" s="1"/>
  <c r="K260" i="10" s="1"/>
  <c r="I261" i="10"/>
  <c r="J261" i="10" s="1"/>
  <c r="K261" i="10" s="1"/>
  <c r="I262" i="10"/>
  <c r="J262" i="10" s="1"/>
  <c r="K262" i="10" s="1"/>
  <c r="I263" i="10"/>
  <c r="J263" i="10" s="1"/>
  <c r="K263" i="10" s="1"/>
  <c r="I264" i="10"/>
  <c r="J264" i="10" s="1"/>
  <c r="K264" i="10" s="1"/>
  <c r="I265" i="10"/>
  <c r="J265" i="10" s="1"/>
  <c r="K265" i="10" s="1"/>
  <c r="I266" i="10"/>
  <c r="J266" i="10" s="1"/>
  <c r="K266" i="10" s="1"/>
  <c r="I267" i="10"/>
  <c r="J267" i="10" s="1"/>
  <c r="K267" i="10" s="1"/>
  <c r="I268" i="10"/>
  <c r="J268" i="10" s="1"/>
  <c r="K268" i="10" s="1"/>
  <c r="I269" i="10"/>
  <c r="J269" i="10" s="1"/>
  <c r="K269" i="10" s="1"/>
  <c r="I270" i="10"/>
  <c r="J270" i="10" s="1"/>
  <c r="K270" i="10" s="1"/>
  <c r="I271" i="10"/>
  <c r="J271" i="10" s="1"/>
  <c r="K271" i="10" s="1"/>
  <c r="I272" i="10"/>
  <c r="J272" i="10" s="1"/>
  <c r="K272" i="10" s="1"/>
  <c r="I273" i="10"/>
  <c r="J273" i="10" s="1"/>
  <c r="K273" i="10" s="1"/>
  <c r="I274" i="10"/>
  <c r="J274" i="10" s="1"/>
  <c r="K274" i="10" s="1"/>
  <c r="I275" i="10"/>
  <c r="J275" i="10" s="1"/>
  <c r="K275" i="10" s="1"/>
  <c r="I276" i="10"/>
  <c r="J276" i="10" s="1"/>
  <c r="K276" i="10" s="1"/>
  <c r="I277" i="10"/>
  <c r="J277" i="10" s="1"/>
  <c r="K277" i="10" s="1"/>
  <c r="I278" i="10"/>
  <c r="J278" i="10" s="1"/>
  <c r="K278" i="10" s="1"/>
  <c r="I279" i="10"/>
  <c r="J279" i="10" s="1"/>
  <c r="K279" i="10" s="1"/>
  <c r="I280" i="10"/>
  <c r="J280" i="10" s="1"/>
  <c r="K280" i="10" s="1"/>
  <c r="I281" i="10"/>
  <c r="J281" i="10" s="1"/>
  <c r="K281" i="10" s="1"/>
  <c r="I282" i="10"/>
  <c r="J282" i="10" s="1"/>
  <c r="K282" i="10" s="1"/>
  <c r="I283" i="10"/>
  <c r="J283" i="10" s="1"/>
  <c r="K283" i="10" s="1"/>
  <c r="I284" i="10"/>
  <c r="J284" i="10" s="1"/>
  <c r="K284" i="10" s="1"/>
  <c r="I285" i="10"/>
  <c r="J285" i="10" s="1"/>
  <c r="K285" i="10" s="1"/>
  <c r="I286" i="10"/>
  <c r="J286" i="10" s="1"/>
  <c r="K286" i="10" s="1"/>
  <c r="I287" i="10"/>
  <c r="J287" i="10" s="1"/>
  <c r="K287" i="10" s="1"/>
  <c r="I288" i="10"/>
  <c r="J288" i="10" s="1"/>
  <c r="K288" i="10" s="1"/>
  <c r="I289" i="10"/>
  <c r="J289" i="10" s="1"/>
  <c r="K289" i="10" s="1"/>
  <c r="I290" i="10"/>
  <c r="J290" i="10" s="1"/>
  <c r="K290" i="10" s="1"/>
  <c r="I291" i="10"/>
  <c r="J291" i="10" s="1"/>
  <c r="K291" i="10" s="1"/>
  <c r="I292" i="10"/>
  <c r="J292" i="10" s="1"/>
  <c r="K292" i="10" s="1"/>
  <c r="I293" i="10"/>
  <c r="J293" i="10" s="1"/>
  <c r="K293" i="10" s="1"/>
  <c r="I294" i="10"/>
  <c r="J294" i="10" s="1"/>
  <c r="K294" i="10" s="1"/>
  <c r="I295" i="10"/>
  <c r="J295" i="10" s="1"/>
  <c r="K295" i="10" s="1"/>
  <c r="I296" i="10"/>
  <c r="J296" i="10" s="1"/>
  <c r="K296" i="10" s="1"/>
  <c r="I297" i="10"/>
  <c r="J297" i="10" s="1"/>
  <c r="K297" i="10" s="1"/>
  <c r="I298" i="10"/>
  <c r="J298" i="10" s="1"/>
  <c r="K298" i="10" s="1"/>
  <c r="I299" i="10"/>
  <c r="J299" i="10" s="1"/>
  <c r="K299" i="10" s="1"/>
  <c r="I300" i="10"/>
  <c r="J300" i="10" s="1"/>
  <c r="K300" i="10" s="1"/>
  <c r="I301" i="10"/>
  <c r="J301" i="10" s="1"/>
  <c r="K301" i="10" s="1"/>
  <c r="I302" i="10"/>
  <c r="J302" i="10" s="1"/>
  <c r="K302" i="10" s="1"/>
  <c r="I303" i="10"/>
  <c r="J303" i="10" s="1"/>
  <c r="K303" i="10" s="1"/>
  <c r="I304" i="10"/>
  <c r="J304" i="10" s="1"/>
  <c r="K304" i="10" s="1"/>
  <c r="I305" i="10"/>
  <c r="J305" i="10" s="1"/>
  <c r="K305" i="10" s="1"/>
  <c r="I306" i="10"/>
  <c r="J306" i="10" s="1"/>
  <c r="K306" i="10" s="1"/>
  <c r="I307" i="10"/>
  <c r="J307" i="10" s="1"/>
  <c r="K307" i="10" s="1"/>
  <c r="I308" i="10"/>
  <c r="J308" i="10" s="1"/>
  <c r="K308" i="10" s="1"/>
  <c r="I309" i="10"/>
  <c r="J309" i="10" s="1"/>
  <c r="K309" i="10" s="1"/>
  <c r="I310" i="10"/>
  <c r="J310" i="10" s="1"/>
  <c r="K310" i="10" s="1"/>
  <c r="I311" i="10"/>
  <c r="J311" i="10" s="1"/>
  <c r="K311" i="10" s="1"/>
  <c r="I312" i="10"/>
  <c r="J312" i="10" s="1"/>
  <c r="K312" i="10" s="1"/>
  <c r="I313" i="10"/>
  <c r="J313" i="10" s="1"/>
  <c r="K313" i="10" s="1"/>
  <c r="I314" i="10"/>
  <c r="J314" i="10" s="1"/>
  <c r="K314" i="10" s="1"/>
  <c r="I315" i="10"/>
  <c r="J315" i="10" s="1"/>
  <c r="K315" i="10" s="1"/>
  <c r="I316" i="10"/>
  <c r="J316" i="10" s="1"/>
  <c r="K316" i="10" s="1"/>
  <c r="I317" i="10"/>
  <c r="J317" i="10" s="1"/>
  <c r="K317" i="10" s="1"/>
  <c r="I318" i="10"/>
  <c r="J318" i="10" s="1"/>
  <c r="K318" i="10" s="1"/>
  <c r="I319" i="10"/>
  <c r="J319" i="10" s="1"/>
  <c r="K319" i="10" s="1"/>
  <c r="I320" i="10"/>
  <c r="J320" i="10" s="1"/>
  <c r="K320" i="10" s="1"/>
  <c r="I321" i="10"/>
  <c r="J321" i="10" s="1"/>
  <c r="K321" i="10" s="1"/>
  <c r="I322" i="10"/>
  <c r="J322" i="10" s="1"/>
  <c r="K322" i="10" s="1"/>
  <c r="I323" i="10"/>
  <c r="J323" i="10" s="1"/>
  <c r="K323" i="10" s="1"/>
  <c r="I324" i="10"/>
  <c r="J324" i="10" s="1"/>
  <c r="K324" i="10" s="1"/>
  <c r="I325" i="10"/>
  <c r="J325" i="10" s="1"/>
  <c r="K325" i="10" s="1"/>
  <c r="I326" i="10"/>
  <c r="J326" i="10" s="1"/>
  <c r="K326" i="10" s="1"/>
  <c r="I327" i="10"/>
  <c r="J327" i="10" s="1"/>
  <c r="K327" i="10" s="1"/>
  <c r="I328" i="10"/>
  <c r="J328" i="10" s="1"/>
  <c r="K328" i="10" s="1"/>
  <c r="I329" i="10"/>
  <c r="J329" i="10" s="1"/>
  <c r="K329" i="10" s="1"/>
  <c r="I330" i="10"/>
  <c r="J330" i="10" s="1"/>
  <c r="K330" i="10" s="1"/>
  <c r="I331" i="10"/>
  <c r="J331" i="10" s="1"/>
  <c r="K331" i="10" s="1"/>
  <c r="I332" i="10"/>
  <c r="J332" i="10" s="1"/>
  <c r="K332" i="10" s="1"/>
  <c r="I333" i="10"/>
  <c r="J333" i="10" s="1"/>
  <c r="K333" i="10" s="1"/>
  <c r="I334" i="10"/>
  <c r="J334" i="10" s="1"/>
  <c r="K334" i="10" s="1"/>
  <c r="I335" i="10"/>
  <c r="J335" i="10" s="1"/>
  <c r="K335" i="10" s="1"/>
  <c r="I336" i="10"/>
  <c r="J336" i="10" s="1"/>
  <c r="K336" i="10" s="1"/>
  <c r="I337" i="10"/>
  <c r="J337" i="10" s="1"/>
  <c r="K337" i="10" s="1"/>
  <c r="I338" i="10"/>
  <c r="J338" i="10" s="1"/>
  <c r="K338" i="10" s="1"/>
  <c r="I339" i="10"/>
  <c r="J339" i="10" s="1"/>
  <c r="K339" i="10" s="1"/>
  <c r="I340" i="10"/>
  <c r="J340" i="10" s="1"/>
  <c r="K340" i="10" s="1"/>
  <c r="I341" i="10"/>
  <c r="J341" i="10" s="1"/>
  <c r="K341" i="10" s="1"/>
  <c r="I342" i="10"/>
  <c r="J342" i="10" s="1"/>
  <c r="K342" i="10" s="1"/>
  <c r="I343" i="10"/>
  <c r="J343" i="10" s="1"/>
  <c r="K343" i="10" s="1"/>
  <c r="I344" i="10"/>
  <c r="J344" i="10" s="1"/>
  <c r="K344" i="10" s="1"/>
  <c r="I345" i="10"/>
  <c r="J345" i="10" s="1"/>
  <c r="K345" i="10" s="1"/>
  <c r="I346" i="10"/>
  <c r="J346" i="10" s="1"/>
  <c r="K346" i="10" s="1"/>
  <c r="I347" i="10"/>
  <c r="J347" i="10" s="1"/>
  <c r="K347" i="10" s="1"/>
  <c r="I348" i="10"/>
  <c r="J348" i="10" s="1"/>
  <c r="K348" i="10" s="1"/>
  <c r="I349" i="10"/>
  <c r="J349" i="10" s="1"/>
  <c r="K349" i="10" s="1"/>
  <c r="I350" i="10"/>
  <c r="J350" i="10" s="1"/>
  <c r="K350" i="10" s="1"/>
  <c r="I351" i="10"/>
  <c r="J351" i="10" s="1"/>
  <c r="K351" i="10" s="1"/>
  <c r="I352" i="10"/>
  <c r="J352" i="10" s="1"/>
  <c r="K352" i="10" s="1"/>
  <c r="I353" i="10"/>
  <c r="J353" i="10" s="1"/>
  <c r="K353" i="10" s="1"/>
  <c r="I354" i="10"/>
  <c r="J354" i="10" s="1"/>
  <c r="K354" i="10" s="1"/>
  <c r="I355" i="10"/>
  <c r="J355" i="10" s="1"/>
  <c r="K355" i="10" s="1"/>
  <c r="I356" i="10"/>
  <c r="J356" i="10" s="1"/>
  <c r="K356" i="10" s="1"/>
  <c r="I357" i="10"/>
  <c r="J357" i="10" s="1"/>
  <c r="K357" i="10" s="1"/>
  <c r="I358" i="10"/>
  <c r="J358" i="10" s="1"/>
  <c r="K358" i="10" s="1"/>
  <c r="I359" i="10"/>
  <c r="J359" i="10" s="1"/>
  <c r="K359" i="10" s="1"/>
  <c r="I360" i="10"/>
  <c r="J360" i="10" s="1"/>
  <c r="K360" i="10" s="1"/>
  <c r="I361" i="10"/>
  <c r="J361" i="10" s="1"/>
  <c r="K361" i="10" s="1"/>
  <c r="I362" i="10"/>
  <c r="J362" i="10" s="1"/>
  <c r="K362" i="10" s="1"/>
  <c r="I363" i="10"/>
  <c r="J363" i="10" s="1"/>
  <c r="K363" i="10" s="1"/>
  <c r="I364" i="10"/>
  <c r="J364" i="10" s="1"/>
  <c r="K364" i="10" s="1"/>
  <c r="I365" i="10"/>
  <c r="J365" i="10" s="1"/>
  <c r="K365" i="10" s="1"/>
  <c r="I366" i="10"/>
  <c r="J366" i="10" s="1"/>
  <c r="K366" i="10" s="1"/>
  <c r="I5" i="10"/>
  <c r="J5" i="10" s="1"/>
  <c r="K5" i="10" s="1"/>
  <c r="C64" i="5" a="1"/>
  <c r="C64" i="5" s="1"/>
  <c r="B107" i="2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E80" i="11" a="1"/>
  <c r="E80" i="11" s="1"/>
  <c r="C82" i="27" a="1"/>
  <c r="C82" i="27" s="1"/>
  <c r="C89" i="27" s="1" a="1"/>
  <c r="C89" i="27" s="1"/>
  <c r="C431" i="3"/>
  <c r="C77" i="25"/>
  <c r="C78" i="25"/>
  <c r="B4" i="24" a="1"/>
  <c r="C76" i="25"/>
  <c r="C55" i="2"/>
  <c r="E57" i="3" a="1"/>
  <c r="E57" i="3" s="1"/>
  <c r="E386" i="3" a="1"/>
  <c r="E386" i="3" s="1"/>
  <c r="E394" i="3" s="1" a="1"/>
  <c r="E394" i="3" s="1"/>
  <c r="D450" i="3" s="1" a="1"/>
  <c r="D450" i="3" s="1"/>
  <c r="C446" i="3" a="1"/>
  <c r="C446" i="3" s="1"/>
  <c r="C445" i="3" a="1"/>
  <c r="C445" i="3" s="1"/>
  <c r="C444" i="3" a="1"/>
  <c r="C444" i="3" s="1"/>
  <c r="C443" i="3" a="1"/>
  <c r="C443" i="3" s="1"/>
  <c r="C442" i="3" a="1"/>
  <c r="C442" i="3" s="1"/>
  <c r="C441" i="3" a="1"/>
  <c r="C441" i="3" s="1"/>
  <c r="C440" i="3" a="1"/>
  <c r="C440" i="3" s="1"/>
  <c r="C439" i="3" a="1"/>
  <c r="C439" i="3" s="1"/>
  <c r="C438" i="3" a="1"/>
  <c r="C438" i="3" s="1"/>
  <c r="C437" i="3" a="1"/>
  <c r="C437" i="3" s="1"/>
  <c r="C436" i="3" a="1"/>
  <c r="C436" i="3" s="1"/>
  <c r="D446" i="3" a="1"/>
  <c r="D446" i="3" s="1"/>
  <c r="D445" i="3" a="1"/>
  <c r="D445" i="3" s="1"/>
  <c r="D444" i="3" a="1"/>
  <c r="D444" i="3" s="1"/>
  <c r="D443" i="3" a="1"/>
  <c r="D443" i="3" s="1"/>
  <c r="D442" i="3" a="1"/>
  <c r="D442" i="3" s="1"/>
  <c r="D441" i="3" a="1"/>
  <c r="D441" i="3" s="1"/>
  <c r="D440" i="3" a="1"/>
  <c r="D440" i="3" s="1"/>
  <c r="D439" i="3" a="1"/>
  <c r="D439" i="3" s="1"/>
  <c r="D438" i="3" a="1"/>
  <c r="D438" i="3" s="1"/>
  <c r="D437" i="3" a="1"/>
  <c r="D437" i="3" s="1"/>
  <c r="D436" i="3" a="1"/>
  <c r="D436" i="3" s="1"/>
  <c r="E446" i="3" a="1"/>
  <c r="E446" i="3" s="1"/>
  <c r="E445" i="3" a="1"/>
  <c r="E445" i="3" s="1"/>
  <c r="E444" i="3" a="1"/>
  <c r="E444" i="3" s="1"/>
  <c r="E443" i="3" a="1"/>
  <c r="E443" i="3" s="1"/>
  <c r="E442" i="3" a="1"/>
  <c r="E442" i="3" s="1"/>
  <c r="E441" i="3" a="1"/>
  <c r="E441" i="3" s="1"/>
  <c r="E440" i="3" a="1"/>
  <c r="E440" i="3" s="1"/>
  <c r="E439" i="3" a="1"/>
  <c r="E439" i="3" s="1"/>
  <c r="E438" i="3" a="1"/>
  <c r="E438" i="3" s="1"/>
  <c r="E437" i="3" a="1"/>
  <c r="E437" i="3" s="1"/>
  <c r="E436" i="3" a="1"/>
  <c r="E436" i="3" s="1"/>
  <c r="C21" i="7" a="1"/>
  <c r="C21" i="7" s="1"/>
  <c r="E97" i="11" a="1"/>
  <c r="AG59" i="3" a="1"/>
  <c r="AG59" i="3" s="1"/>
  <c r="AC59" i="3" a="1"/>
  <c r="AC59" i="3" s="1"/>
  <c r="Y59" i="3" a="1"/>
  <c r="Y59" i="3" s="1"/>
  <c r="U59" i="3" a="1"/>
  <c r="U59" i="3" s="1"/>
  <c r="Q59" i="3" a="1"/>
  <c r="Q59" i="3" s="1"/>
  <c r="M59" i="3" a="1"/>
  <c r="M59" i="3" s="1"/>
  <c r="I59" i="3" a="1"/>
  <c r="I59" i="3" s="1"/>
  <c r="E59" i="3" a="1"/>
  <c r="E59" i="3" s="1"/>
  <c r="E148" i="2"/>
  <c r="C167" i="2"/>
  <c r="L5" i="10" s="1" a="1"/>
  <c r="F46" i="13"/>
  <c r="F52" i="13"/>
  <c r="F58" i="13"/>
  <c r="F64" i="13"/>
  <c r="F70" i="13"/>
  <c r="F76" i="13"/>
  <c r="B4" i="23" a="1"/>
  <c r="B4" i="23" s="1"/>
  <c r="E51" i="20" a="1"/>
  <c r="E51" i="20" s="1"/>
  <c r="E33" i="20" a="1"/>
  <c r="E33" i="20" s="1"/>
  <c r="E4" i="23" a="1"/>
  <c r="E4" i="23" s="1"/>
  <c r="E35" i="23" s="1" a="1"/>
  <c r="E35" i="23" s="1"/>
  <c r="E42" i="20" a="1"/>
  <c r="E42" i="20" s="1"/>
  <c r="E47" i="20" s="1" a="1"/>
  <c r="E47" i="20" s="1"/>
  <c r="D34" i="22"/>
  <c r="D32" i="22"/>
  <c r="D4" i="24" s="1" a="1"/>
  <c r="D4" i="24" s="1"/>
  <c r="C57" i="2" l="1"/>
  <c r="J59" i="3" a="1"/>
  <c r="J59" i="3" s="1"/>
  <c r="R59" i="3" a="1"/>
  <c r="R59" i="3" s="1"/>
  <c r="Z59" i="3" a="1"/>
  <c r="Z59" i="3" s="1"/>
  <c r="AH59" i="3" a="1"/>
  <c r="AH59" i="3" s="1"/>
  <c r="G59" i="3" a="1"/>
  <c r="G59" i="3" s="1"/>
  <c r="K59" i="3" a="1"/>
  <c r="K59" i="3" s="1"/>
  <c r="O59" i="3" a="1"/>
  <c r="O59" i="3" s="1"/>
  <c r="S59" i="3" a="1"/>
  <c r="S59" i="3" s="1"/>
  <c r="W59" i="3" a="1"/>
  <c r="W59" i="3" s="1"/>
  <c r="AA59" i="3" a="1"/>
  <c r="AA59" i="3" s="1"/>
  <c r="AE59" i="3" a="1"/>
  <c r="AE59" i="3" s="1"/>
  <c r="F59" i="3" a="1"/>
  <c r="F59" i="3" s="1"/>
  <c r="N59" i="3" a="1"/>
  <c r="N59" i="3" s="1"/>
  <c r="V59" i="3" a="1"/>
  <c r="V59" i="3" s="1"/>
  <c r="AD59" i="3" a="1"/>
  <c r="AD59" i="3" s="1"/>
  <c r="H59" i="3" a="1"/>
  <c r="H59" i="3" s="1"/>
  <c r="L59" i="3" a="1"/>
  <c r="L59" i="3" s="1"/>
  <c r="P59" i="3" a="1"/>
  <c r="P59" i="3" s="1"/>
  <c r="T59" i="3" a="1"/>
  <c r="T59" i="3" s="1"/>
  <c r="X59" i="3" a="1"/>
  <c r="X59" i="3" s="1"/>
  <c r="AB59" i="3" a="1"/>
  <c r="AB59" i="3" s="1"/>
  <c r="AF59" i="3" a="1"/>
  <c r="AF59" i="3" s="1"/>
  <c r="I11" i="53"/>
  <c r="H23" i="53"/>
  <c r="L5" i="10"/>
  <c r="AG19" i="35"/>
  <c r="AF19" i="35"/>
  <c r="AE19" i="35"/>
  <c r="AD19" i="35"/>
  <c r="AC19" i="35"/>
  <c r="AB19" i="35"/>
  <c r="AA19" i="35"/>
  <c r="Z19" i="35"/>
  <c r="Y19" i="35"/>
  <c r="X19" i="35"/>
  <c r="W19" i="35"/>
  <c r="V19" i="35"/>
  <c r="U19" i="35"/>
  <c r="T19" i="35"/>
  <c r="S19" i="35"/>
  <c r="R19" i="35"/>
  <c r="Q19" i="35"/>
  <c r="P19" i="35"/>
  <c r="O19" i="35"/>
  <c r="N19" i="35"/>
  <c r="M19" i="35"/>
  <c r="L19" i="35"/>
  <c r="K19" i="35"/>
  <c r="J19" i="35"/>
  <c r="I19" i="35"/>
  <c r="H19" i="35"/>
  <c r="G19" i="35"/>
  <c r="F19" i="35"/>
  <c r="E19" i="35"/>
  <c r="D19" i="35"/>
  <c r="AG18" i="35"/>
  <c r="AF18" i="35"/>
  <c r="AE18" i="35"/>
  <c r="AD18" i="35"/>
  <c r="AC18" i="35"/>
  <c r="AB18" i="35"/>
  <c r="AA18" i="35"/>
  <c r="Z18" i="35"/>
  <c r="Y18" i="35"/>
  <c r="X18" i="35"/>
  <c r="W18" i="35"/>
  <c r="V18" i="35"/>
  <c r="U18" i="35"/>
  <c r="T18" i="35"/>
  <c r="S18" i="35"/>
  <c r="R18" i="35"/>
  <c r="Q18" i="35"/>
  <c r="P18" i="35"/>
  <c r="O18" i="35"/>
  <c r="N18" i="35"/>
  <c r="M18" i="35"/>
  <c r="L18" i="35"/>
  <c r="K18" i="35"/>
  <c r="J18" i="35"/>
  <c r="I18" i="35"/>
  <c r="H18" i="35"/>
  <c r="G18" i="35"/>
  <c r="F18" i="35"/>
  <c r="E18" i="35"/>
  <c r="D18" i="35"/>
  <c r="AG17" i="35"/>
  <c r="AF17" i="35"/>
  <c r="AE17" i="35"/>
  <c r="AD17" i="35"/>
  <c r="AC17" i="35"/>
  <c r="AB17" i="35"/>
  <c r="AA17" i="35"/>
  <c r="Z17" i="35"/>
  <c r="Y17" i="35"/>
  <c r="X17" i="35"/>
  <c r="W17" i="35"/>
  <c r="V17" i="35"/>
  <c r="U17" i="35"/>
  <c r="T17" i="35"/>
  <c r="S17" i="35"/>
  <c r="R17" i="35"/>
  <c r="Q17" i="35"/>
  <c r="P17" i="35"/>
  <c r="O17" i="35"/>
  <c r="N17" i="35"/>
  <c r="M17" i="35"/>
  <c r="L17" i="35"/>
  <c r="K17" i="35"/>
  <c r="J17" i="35"/>
  <c r="I17" i="35"/>
  <c r="H17" i="35"/>
  <c r="G17" i="35"/>
  <c r="F17" i="35"/>
  <c r="E17" i="35"/>
  <c r="D17" i="35"/>
  <c r="AG16" i="35"/>
  <c r="AF16" i="35"/>
  <c r="AE16" i="35"/>
  <c r="AD16" i="35"/>
  <c r="AC16" i="35"/>
  <c r="AB16" i="35"/>
  <c r="AA16" i="35"/>
  <c r="Z16" i="35"/>
  <c r="Y16" i="35"/>
  <c r="X16" i="35"/>
  <c r="W16" i="35"/>
  <c r="V16" i="35"/>
  <c r="U16" i="35"/>
  <c r="T16" i="35"/>
  <c r="S16" i="35"/>
  <c r="R16" i="35"/>
  <c r="Q16" i="35"/>
  <c r="P16" i="35"/>
  <c r="O16" i="35"/>
  <c r="N16" i="35"/>
  <c r="M16" i="35"/>
  <c r="L16" i="35"/>
  <c r="K16" i="35"/>
  <c r="J16" i="35"/>
  <c r="I16" i="35"/>
  <c r="H16" i="35"/>
  <c r="G16" i="35"/>
  <c r="F16" i="35"/>
  <c r="E16" i="35"/>
  <c r="D16" i="35"/>
  <c r="AG15" i="35"/>
  <c r="AF15" i="35"/>
  <c r="AE15" i="35"/>
  <c r="AD15" i="35"/>
  <c r="AC15" i="35"/>
  <c r="AB15" i="35"/>
  <c r="AA15" i="35"/>
  <c r="Z15" i="35"/>
  <c r="Y15" i="35"/>
  <c r="X15" i="35"/>
  <c r="W15" i="35"/>
  <c r="V15" i="35"/>
  <c r="U15" i="35"/>
  <c r="T15" i="35"/>
  <c r="S15" i="35"/>
  <c r="R15" i="35"/>
  <c r="Q15" i="35"/>
  <c r="P15" i="35"/>
  <c r="O15" i="35"/>
  <c r="N15" i="35"/>
  <c r="M15" i="35"/>
  <c r="L15" i="35"/>
  <c r="K15" i="35"/>
  <c r="J15" i="35"/>
  <c r="I15" i="35"/>
  <c r="H15" i="35"/>
  <c r="G15" i="35"/>
  <c r="F15" i="35"/>
  <c r="E15" i="35"/>
  <c r="D15" i="35"/>
  <c r="D118" i="11"/>
  <c r="L421" i="10"/>
  <c r="AN421" i="10"/>
  <c r="AM421" i="10"/>
  <c r="AL421" i="10"/>
  <c r="AK421" i="10"/>
  <c r="AJ421" i="10"/>
  <c r="AI421" i="10"/>
  <c r="AH421" i="10"/>
  <c r="AG421" i="10"/>
  <c r="AF421" i="10"/>
  <c r="AE421" i="10"/>
  <c r="V10" i="7" s="1"/>
  <c r="AD421" i="10"/>
  <c r="AC421" i="10"/>
  <c r="AB421" i="10"/>
  <c r="AA421" i="10"/>
  <c r="R10" i="7" s="1"/>
  <c r="Z421" i="10"/>
  <c r="Y421" i="10"/>
  <c r="X421" i="10"/>
  <c r="W421" i="10"/>
  <c r="N10" i="7" s="1"/>
  <c r="V421" i="10"/>
  <c r="U421" i="10"/>
  <c r="T421" i="10"/>
  <c r="S421" i="10"/>
  <c r="R421" i="10"/>
  <c r="Q421" i="10"/>
  <c r="P421" i="10"/>
  <c r="O421" i="10"/>
  <c r="N421" i="10"/>
  <c r="M421" i="10"/>
  <c r="AP420" i="10"/>
  <c r="AP419" i="10"/>
  <c r="AP418" i="10"/>
  <c r="AP417" i="10"/>
  <c r="AP416" i="10"/>
  <c r="AP415" i="10"/>
  <c r="AP414" i="10"/>
  <c r="AP413" i="10"/>
  <c r="AP412" i="10"/>
  <c r="AP411" i="10"/>
  <c r="AP410" i="10"/>
  <c r="AP409" i="10"/>
  <c r="AP408" i="10"/>
  <c r="AP407" i="10"/>
  <c r="AP406" i="10"/>
  <c r="AP405" i="10"/>
  <c r="AP404" i="10"/>
  <c r="AP403" i="10"/>
  <c r="AP402" i="10"/>
  <c r="AP401" i="10"/>
  <c r="AP400" i="10"/>
  <c r="AP399" i="10"/>
  <c r="AP398" i="10"/>
  <c r="AP397" i="10"/>
  <c r="AP396" i="10"/>
  <c r="AP395" i="10"/>
  <c r="AP394" i="10"/>
  <c r="AP393" i="10"/>
  <c r="AP392" i="10"/>
  <c r="AP391" i="10"/>
  <c r="AP390" i="10"/>
  <c r="AP389" i="10"/>
  <c r="AP388" i="10"/>
  <c r="AP387" i="10"/>
  <c r="AP386" i="10"/>
  <c r="AP385" i="10"/>
  <c r="AP384" i="10"/>
  <c r="AP383" i="10"/>
  <c r="AP382" i="10"/>
  <c r="AP381" i="10"/>
  <c r="AP380" i="10"/>
  <c r="AP379" i="10"/>
  <c r="AP378" i="10"/>
  <c r="AP377" i="10"/>
  <c r="AP376" i="10"/>
  <c r="AP375" i="10"/>
  <c r="AP374" i="10"/>
  <c r="AP373" i="10"/>
  <c r="AP372" i="10"/>
  <c r="AP371" i="10"/>
  <c r="AP370" i="10"/>
  <c r="AP369" i="10"/>
  <c r="AP368" i="10"/>
  <c r="AP367" i="10"/>
  <c r="AO421" i="10"/>
  <c r="AH121" i="35"/>
  <c r="D132" i="35"/>
  <c r="AH132" i="35" s="1"/>
  <c r="AH64" i="35"/>
  <c r="D119" i="11"/>
  <c r="D120" i="11"/>
  <c r="C17" i="2"/>
  <c r="C16" i="2"/>
  <c r="G141" i="25" a="1"/>
  <c r="G141" i="25" s="1"/>
  <c r="G193" i="25" s="1" a="1"/>
  <c r="G193" i="25" s="1"/>
  <c r="B12" i="27"/>
  <c r="C16" i="27" s="1" a="1"/>
  <c r="C16" i="27" s="1"/>
  <c r="D16" i="27" s="1" a="1"/>
  <c r="D16" i="27" s="1"/>
  <c r="H5" i="35"/>
  <c r="B4" i="24"/>
  <c r="B59" i="24"/>
  <c r="B58" i="24"/>
  <c r="B57" i="24"/>
  <c r="E64" i="35"/>
  <c r="F64" i="35" s="1"/>
  <c r="G64" i="35" s="1"/>
  <c r="H64" i="35" s="1"/>
  <c r="I64" i="35" s="1"/>
  <c r="J64" i="35" s="1"/>
  <c r="K64" i="35" s="1"/>
  <c r="L64" i="35" s="1"/>
  <c r="M64" i="35" s="1"/>
  <c r="N64" i="35" s="1"/>
  <c r="O64" i="35" s="1"/>
  <c r="P64" i="35" s="1"/>
  <c r="Q64" i="35" s="1"/>
  <c r="R64" i="35" s="1"/>
  <c r="S64" i="35" s="1"/>
  <c r="T64" i="35" s="1"/>
  <c r="U64" i="35" s="1"/>
  <c r="V64" i="35" s="1"/>
  <c r="W64" i="35" s="1"/>
  <c r="X64" i="35" s="1"/>
  <c r="Y64" i="35" s="1"/>
  <c r="Z64" i="35" s="1"/>
  <c r="AA64" i="35" s="1"/>
  <c r="AB64" i="35" s="1"/>
  <c r="AC64" i="35" s="1"/>
  <c r="AD64" i="35" s="1"/>
  <c r="AE64" i="35" s="1"/>
  <c r="AF64" i="35" s="1"/>
  <c r="AG64" i="35" s="1"/>
  <c r="D65" i="34" a="1"/>
  <c r="D65" i="34" s="1"/>
  <c r="C65" i="34" a="1"/>
  <c r="C65" i="34" s="1"/>
  <c r="E61" i="34"/>
  <c r="E65" i="34" s="1" a="1"/>
  <c r="E65" i="34" s="1"/>
  <c r="B119" i="25" a="1"/>
  <c r="AE10" i="7"/>
  <c r="E97"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C76" i="27" a="1"/>
  <c r="C76" i="27" s="1"/>
  <c r="E44" i="23" a="1"/>
  <c r="E44" i="23" s="1"/>
  <c r="E49" i="23" s="1" a="1"/>
  <c r="E49" i="23" s="1"/>
  <c r="E53" i="23" a="1"/>
  <c r="E53" i="23" s="1"/>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P118" i="10"/>
  <c r="AP119" i="10"/>
  <c r="AP120" i="10"/>
  <c r="AP121" i="10"/>
  <c r="AP122" i="10"/>
  <c r="AP123" i="10"/>
  <c r="AP124" i="10"/>
  <c r="AP125" i="10"/>
  <c r="AP126" i="10"/>
  <c r="AP127" i="10"/>
  <c r="AP128" i="10"/>
  <c r="AP129" i="10"/>
  <c r="AP130" i="10"/>
  <c r="AP131" i="10"/>
  <c r="AP132" i="10"/>
  <c r="AP133" i="10"/>
  <c r="AP134" i="10"/>
  <c r="AP135" i="10"/>
  <c r="AP136" i="10"/>
  <c r="AP137" i="10"/>
  <c r="AP138" i="10"/>
  <c r="AP139" i="10"/>
  <c r="AP140"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5" i="10"/>
  <c r="AP346" i="10"/>
  <c r="AP347" i="10"/>
  <c r="AP348" i="10"/>
  <c r="AP349" i="10"/>
  <c r="AP350" i="10"/>
  <c r="AP351" i="10"/>
  <c r="AP352" i="10"/>
  <c r="AP353" i="10"/>
  <c r="AP354" i="10"/>
  <c r="AP355" i="10"/>
  <c r="AP356" i="10"/>
  <c r="AP357" i="10"/>
  <c r="AP358" i="10"/>
  <c r="AP359" i="10"/>
  <c r="AP360" i="10"/>
  <c r="AP361" i="10"/>
  <c r="AP362" i="10"/>
  <c r="AP363" i="10"/>
  <c r="AP364" i="10"/>
  <c r="AP365" i="10"/>
  <c r="AP366" i="10"/>
  <c r="F148" i="2"/>
  <c r="C447" i="3"/>
  <c r="E447" i="3"/>
  <c r="D447" i="3"/>
  <c r="AF231" i="35" l="1"/>
  <c r="AF266" i="35" s="1"/>
  <c r="C331" i="35"/>
  <c r="C332" i="35"/>
  <c r="C333" i="35"/>
  <c r="AH19" i="35"/>
  <c r="O231" i="35"/>
  <c r="O266" i="35" s="1"/>
  <c r="S231" i="35"/>
  <c r="S266" i="35" s="1"/>
  <c r="W231" i="35"/>
  <c r="W266" i="35" s="1"/>
  <c r="I23" i="53"/>
  <c r="J11" i="53"/>
  <c r="C61" i="2"/>
  <c r="AH18" i="35"/>
  <c r="AH16" i="35"/>
  <c r="AH17" i="35"/>
  <c r="AH15" i="35"/>
  <c r="G148" i="2"/>
  <c r="H148" i="2" s="1"/>
  <c r="I148" i="2" s="1"/>
  <c r="J148" i="2" s="1"/>
  <c r="K148" i="2" s="1"/>
  <c r="L148" i="2" s="1"/>
  <c r="M148" i="2" s="1"/>
  <c r="N148" i="2" s="1"/>
  <c r="O148" i="2" s="1"/>
  <c r="P148" i="2" s="1"/>
  <c r="Q148" i="2" s="1"/>
  <c r="R148" i="2" s="1"/>
  <c r="S148" i="2" s="1"/>
  <c r="T148" i="2" s="1"/>
  <c r="U148" i="2" s="1"/>
  <c r="V148" i="2" s="1"/>
  <c r="W148" i="2" s="1"/>
  <c r="X148" i="2" s="1"/>
  <c r="Y148" i="2" s="1"/>
  <c r="Z148" i="2" s="1"/>
  <c r="AA148" i="2" s="1"/>
  <c r="AB148" i="2" s="1"/>
  <c r="AC148" i="2" s="1"/>
  <c r="AD148" i="2" s="1"/>
  <c r="AE148" i="2" s="1"/>
  <c r="AF148" i="2" s="1"/>
  <c r="AG148" i="2" s="1"/>
  <c r="C149" i="2" a="1"/>
  <c r="F121" i="2" a="1"/>
  <c r="F121" i="2" s="1"/>
  <c r="F112" i="2" a="1"/>
  <c r="F112" i="2" s="1"/>
  <c r="F113" i="2" a="1"/>
  <c r="F113" i="2" s="1"/>
  <c r="E124" i="11"/>
  <c r="E109" i="11" a="1"/>
  <c r="E109" i="11" s="1"/>
  <c r="AD10" i="7"/>
  <c r="U10" i="7"/>
  <c r="Z10" i="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O10" i="7"/>
  <c r="G10" i="7"/>
  <c r="Q10" i="7"/>
  <c r="AC10" i="7"/>
  <c r="M10" i="7"/>
  <c r="E10" i="7"/>
  <c r="Y10" i="7"/>
  <c r="I10" i="7"/>
  <c r="P10" i="7"/>
  <c r="S10" i="7"/>
  <c r="J10" i="7"/>
  <c r="T10" i="7"/>
  <c r="AF10" i="7"/>
  <c r="L10" i="7"/>
  <c r="AB10" i="7"/>
  <c r="H10" i="7"/>
  <c r="X10" i="7"/>
  <c r="D10" i="7"/>
  <c r="B119" i="25"/>
  <c r="K10" i="7"/>
  <c r="AA10" i="7"/>
  <c r="F10" i="7"/>
  <c r="W10" i="7"/>
  <c r="C428" i="10"/>
  <c r="C427" i="10"/>
  <c r="AP5" i="10"/>
  <c r="X231" i="35" l="1"/>
  <c r="X266" i="35" s="1"/>
  <c r="G231" i="35"/>
  <c r="G266" i="35" s="1"/>
  <c r="AB231" i="35"/>
  <c r="AB266" i="35" s="1"/>
  <c r="L231" i="35"/>
  <c r="L266" i="35" s="1"/>
  <c r="E231" i="35"/>
  <c r="E266" i="35" s="1"/>
  <c r="Y231" i="35"/>
  <c r="Y266" i="35" s="1"/>
  <c r="I231" i="35"/>
  <c r="I266" i="35" s="1"/>
  <c r="AC231" i="35"/>
  <c r="AC266" i="35" s="1"/>
  <c r="M231" i="35"/>
  <c r="M266" i="35" s="1"/>
  <c r="AG231" i="35"/>
  <c r="AG266" i="35" s="1"/>
  <c r="U231" i="35"/>
  <c r="U266" i="35" s="1"/>
  <c r="K231" i="35"/>
  <c r="K266" i="35" s="1"/>
  <c r="T231" i="35"/>
  <c r="T266" i="35" s="1"/>
  <c r="Q231" i="35"/>
  <c r="Q266" i="35" s="1"/>
  <c r="J231" i="35"/>
  <c r="J266" i="35" s="1"/>
  <c r="Z231" i="35"/>
  <c r="Z266" i="35" s="1"/>
  <c r="F231" i="35"/>
  <c r="F266" i="35" s="1"/>
  <c r="N231" i="35"/>
  <c r="N266" i="35" s="1"/>
  <c r="AD231" i="35"/>
  <c r="AD266" i="35" s="1"/>
  <c r="R231" i="35"/>
  <c r="R266" i="35" s="1"/>
  <c r="H231" i="35"/>
  <c r="H266" i="35" s="1"/>
  <c r="P231" i="35"/>
  <c r="P266" i="35" s="1"/>
  <c r="AA231" i="35"/>
  <c r="AA266" i="35" s="1"/>
  <c r="V231" i="35"/>
  <c r="V266" i="35" s="1"/>
  <c r="AE231" i="35"/>
  <c r="AE266" i="35" s="1"/>
  <c r="K11" i="53"/>
  <c r="J23" i="53"/>
  <c r="AH15" i="33" a="1"/>
  <c r="AH15" i="33" s="1"/>
  <c r="AG15" i="33" a="1"/>
  <c r="AG15" i="33" s="1"/>
  <c r="AF15" i="33" a="1"/>
  <c r="AF15" i="33" s="1"/>
  <c r="AE15" i="33" a="1"/>
  <c r="AE15" i="33" s="1"/>
  <c r="AD15" i="33" a="1"/>
  <c r="AD15" i="33" s="1"/>
  <c r="AC15" i="33" a="1"/>
  <c r="AC15" i="33" s="1"/>
  <c r="AB15" i="33" a="1"/>
  <c r="AB15" i="33" s="1"/>
  <c r="AA15" i="33" a="1"/>
  <c r="AA15" i="33" s="1"/>
  <c r="Z15" i="33" a="1"/>
  <c r="Z15" i="33" s="1"/>
  <c r="Y15" i="33" a="1"/>
  <c r="Y15" i="33" s="1"/>
  <c r="X15" i="33" a="1"/>
  <c r="X15" i="33" s="1"/>
  <c r="W15" i="33" a="1"/>
  <c r="W15" i="33" s="1"/>
  <c r="V15" i="33" a="1"/>
  <c r="V15" i="33" s="1"/>
  <c r="U15" i="33" a="1"/>
  <c r="U15" i="33" s="1"/>
  <c r="T15" i="33" a="1"/>
  <c r="T15" i="33" s="1"/>
  <c r="S15" i="33" a="1"/>
  <c r="S15" i="33" s="1"/>
  <c r="R15" i="33" a="1"/>
  <c r="R15" i="33" s="1"/>
  <c r="Q15" i="33" a="1"/>
  <c r="Q15" i="33" s="1"/>
  <c r="P15" i="33" a="1"/>
  <c r="P15" i="33" s="1"/>
  <c r="O15" i="33" a="1"/>
  <c r="O15" i="33" s="1"/>
  <c r="N15" i="33" a="1"/>
  <c r="N15" i="33" s="1"/>
  <c r="M15" i="33" a="1"/>
  <c r="M15" i="33" s="1"/>
  <c r="L15" i="33" a="1"/>
  <c r="L15" i="33" s="1"/>
  <c r="K15" i="33" a="1"/>
  <c r="K15" i="33" s="1"/>
  <c r="J15" i="33" a="1"/>
  <c r="J15" i="33" s="1"/>
  <c r="I15" i="33" a="1"/>
  <c r="I15" i="33" s="1"/>
  <c r="H15" i="33" a="1"/>
  <c r="H15" i="33" s="1"/>
  <c r="G15" i="33" a="1"/>
  <c r="G15" i="33" s="1"/>
  <c r="F15" i="33" a="1"/>
  <c r="F15" i="33" s="1"/>
  <c r="E15" i="33" a="1"/>
  <c r="E15" i="33" s="1"/>
  <c r="N9" i="53" s="1"/>
  <c r="N28" i="53" s="1"/>
  <c r="C149" i="2"/>
  <c r="E33" i="22" a="1"/>
  <c r="E33" i="22" s="1"/>
  <c r="AP421" i="10"/>
  <c r="B433" i="10" a="1"/>
  <c r="C23" i="2"/>
  <c r="G122" i="2"/>
  <c r="I122" i="2"/>
  <c r="H122" i="2"/>
  <c r="C426" i="10"/>
  <c r="C180" i="2" s="1" a="1"/>
  <c r="F122" i="2"/>
  <c r="D15" i="33" l="1" a="1"/>
  <c r="D15" i="33" s="1"/>
  <c r="S6" i="53"/>
  <c r="L11" i="53"/>
  <c r="K23" i="53"/>
  <c r="C21" i="33" a="1"/>
  <c r="B433" i="10"/>
  <c r="AP734" i="10"/>
  <c r="C52" i="2" s="1"/>
  <c r="AO734" i="10"/>
  <c r="AN734" i="10"/>
  <c r="AM734" i="10"/>
  <c r="AL734" i="10"/>
  <c r="AK734" i="10"/>
  <c r="AJ734" i="10"/>
  <c r="AI734" i="10"/>
  <c r="AH734" i="10"/>
  <c r="AG734" i="10"/>
  <c r="AF734" i="10"/>
  <c r="AE734" i="10"/>
  <c r="AD734" i="10"/>
  <c r="AC734" i="10"/>
  <c r="AB734" i="10"/>
  <c r="AA734" i="10"/>
  <c r="Z734" i="10"/>
  <c r="Y734" i="10"/>
  <c r="X734" i="10"/>
  <c r="W734" i="10"/>
  <c r="V734" i="10"/>
  <c r="U734" i="10"/>
  <c r="T734" i="10"/>
  <c r="S734" i="10"/>
  <c r="R734" i="10"/>
  <c r="Q734" i="10"/>
  <c r="P734" i="10"/>
  <c r="O734" i="10"/>
  <c r="N734" i="10"/>
  <c r="M734" i="10"/>
  <c r="L734" i="10"/>
  <c r="D426" i="10"/>
  <c r="C180" i="2"/>
  <c r="C183" i="2" s="1"/>
  <c r="D428" i="10"/>
  <c r="D427" i="10"/>
  <c r="C10" i="7"/>
  <c r="E10" i="20"/>
  <c r="C54" i="2"/>
  <c r="C63" i="2" l="1"/>
  <c r="D267" i="35" a="1"/>
  <c r="D267" i="35" s="1"/>
  <c r="I6" i="53"/>
  <c r="C78" i="53" s="1" a="1"/>
  <c r="C78" i="53" s="1"/>
  <c r="C10" i="33" a="1"/>
  <c r="C10" i="33" s="1"/>
  <c r="M11" i="53"/>
  <c r="L23" i="53"/>
  <c r="C21" i="33"/>
  <c r="T9" i="53"/>
  <c r="T28" i="53" s="1"/>
  <c r="AF9" i="53"/>
  <c r="AF28" i="53" s="1"/>
  <c r="D17" i="33" a="1"/>
  <c r="D17" i="33" s="1"/>
  <c r="C18" i="33" s="1" a="1"/>
  <c r="J9" i="53"/>
  <c r="J28" i="53" s="1"/>
  <c r="BP9" i="53"/>
  <c r="BP28" i="53" s="1"/>
  <c r="AR9" i="53"/>
  <c r="AR28" i="53" s="1"/>
  <c r="BO7" i="53"/>
  <c r="BO27" i="53" s="1"/>
  <c r="AQ7" i="53"/>
  <c r="AQ27" i="53" s="1"/>
  <c r="BD9" i="53"/>
  <c r="BD28" i="53" s="1"/>
  <c r="C7" i="53"/>
  <c r="C266" i="33"/>
  <c r="F55" i="33"/>
  <c r="F54" i="33"/>
  <c r="F53" i="33"/>
  <c r="F74" i="33" a="1"/>
  <c r="F74" i="33" s="1"/>
  <c r="F75" i="33" a="1"/>
  <c r="F75" i="33" s="1"/>
  <c r="F76" i="33" a="1"/>
  <c r="F76" i="33" s="1"/>
  <c r="F77" i="33" a="1"/>
  <c r="F77" i="33" s="1"/>
  <c r="F78" i="33" a="1"/>
  <c r="F78" i="33" s="1"/>
  <c r="F79" i="33" a="1"/>
  <c r="F79" i="33" s="1"/>
  <c r="F80" i="33" a="1"/>
  <c r="F80" i="33" s="1"/>
  <c r="F81" i="33" a="1"/>
  <c r="F81" i="33" s="1"/>
  <c r="F82" i="33" a="1"/>
  <c r="F82" i="33" s="1"/>
  <c r="F83" i="33" a="1"/>
  <c r="F83" i="33" s="1"/>
  <c r="F84" i="33" a="1"/>
  <c r="F84" i="33" s="1"/>
  <c r="F85" i="33" a="1"/>
  <c r="F85" i="33" s="1"/>
  <c r="F86" i="33" a="1"/>
  <c r="F86" i="33" s="1"/>
  <c r="F87" i="33" a="1"/>
  <c r="F87" i="33" s="1"/>
  <c r="F88" i="33" a="1"/>
  <c r="F88" i="33" s="1"/>
  <c r="F89" i="33" a="1"/>
  <c r="F89" i="33" s="1"/>
  <c r="F90" i="33" a="1"/>
  <c r="F90" i="33" s="1"/>
  <c r="F91" i="33" a="1"/>
  <c r="F91" i="33" s="1"/>
  <c r="F92" i="33" a="1"/>
  <c r="F92" i="33" s="1"/>
  <c r="F93" i="33" a="1"/>
  <c r="F93" i="33" s="1"/>
  <c r="F94" i="33" a="1"/>
  <c r="F94" i="33" s="1"/>
  <c r="F95" i="33" a="1"/>
  <c r="F95" i="33" s="1"/>
  <c r="F96" i="33" a="1"/>
  <c r="F96" i="33" s="1"/>
  <c r="F97" i="33" a="1"/>
  <c r="F97" i="33" s="1"/>
  <c r="F98" i="33" a="1"/>
  <c r="F98" i="33" s="1"/>
  <c r="F99" i="33" a="1"/>
  <c r="F99" i="33" s="1"/>
  <c r="F100" i="33" a="1"/>
  <c r="F100" i="33" s="1"/>
  <c r="F101" i="33" a="1"/>
  <c r="F101" i="33" s="1"/>
  <c r="F102" i="33" a="1"/>
  <c r="F102" i="33" s="1"/>
  <c r="F103" i="33" a="1"/>
  <c r="F103" i="33" s="1"/>
  <c r="F104" i="33" a="1"/>
  <c r="F104" i="33" s="1"/>
  <c r="F105" i="33" a="1"/>
  <c r="F105" i="33" s="1"/>
  <c r="F106" i="33" a="1"/>
  <c r="F106" i="33" s="1"/>
  <c r="F107" i="33" a="1"/>
  <c r="F107" i="33" s="1"/>
  <c r="F108" i="33" a="1"/>
  <c r="F108" i="33" s="1"/>
  <c r="F109" i="33" a="1"/>
  <c r="F109" i="33" s="1"/>
  <c r="F110" i="33" a="1"/>
  <c r="F110" i="33" s="1"/>
  <c r="F111" i="33" a="1"/>
  <c r="F111" i="33" s="1"/>
  <c r="F112" i="33" a="1"/>
  <c r="F112" i="33" s="1"/>
  <c r="F113" i="33" a="1"/>
  <c r="F113" i="33" s="1"/>
  <c r="F114" i="33" a="1"/>
  <c r="F114" i="33" s="1"/>
  <c r="F115" i="33" a="1"/>
  <c r="F115" i="33" s="1"/>
  <c r="F116" i="33" a="1"/>
  <c r="F116" i="33" s="1"/>
  <c r="F117" i="33" a="1"/>
  <c r="F117" i="33" s="1"/>
  <c r="F118" i="33" a="1"/>
  <c r="F118" i="33" s="1"/>
  <c r="F119" i="33" a="1"/>
  <c r="F119" i="33" s="1"/>
  <c r="F120" i="33" a="1"/>
  <c r="F120" i="33" s="1"/>
  <c r="F121" i="33" a="1"/>
  <c r="F121" i="33" s="1"/>
  <c r="F122" i="33" a="1"/>
  <c r="F122" i="33" s="1"/>
  <c r="F123" i="33" a="1"/>
  <c r="F123" i="33" s="1"/>
  <c r="F124" i="33" a="1"/>
  <c r="F124" i="33" s="1"/>
  <c r="F125" i="33" a="1"/>
  <c r="F125" i="33" s="1"/>
  <c r="F126" i="33" a="1"/>
  <c r="F126" i="33" s="1"/>
  <c r="F127" i="33" a="1"/>
  <c r="F127" i="33" s="1"/>
  <c r="F128" i="33" a="1"/>
  <c r="F128" i="33" s="1"/>
  <c r="F129" i="33" a="1"/>
  <c r="F129" i="33" s="1"/>
  <c r="F130" i="33" a="1"/>
  <c r="F130" i="33" s="1"/>
  <c r="F131" i="33" a="1"/>
  <c r="F131" i="33" s="1"/>
  <c r="F132" i="33" a="1"/>
  <c r="F132" i="33" s="1"/>
  <c r="F133" i="33" a="1"/>
  <c r="F133" i="33" s="1"/>
  <c r="F134" i="33" a="1"/>
  <c r="F134" i="33" s="1"/>
  <c r="F135" i="33" a="1"/>
  <c r="F135" i="33" s="1"/>
  <c r="F136" i="33" a="1"/>
  <c r="F136" i="33" s="1"/>
  <c r="F137" i="33" a="1"/>
  <c r="F137" i="33" s="1"/>
  <c r="F138" i="33" a="1"/>
  <c r="F138" i="33" s="1"/>
  <c r="F139" i="33" a="1"/>
  <c r="F139" i="33" s="1"/>
  <c r="F140" i="33" a="1"/>
  <c r="F140" i="33" s="1"/>
  <c r="F141" i="33" a="1"/>
  <c r="F141" i="33" s="1"/>
  <c r="F142" i="33" a="1"/>
  <c r="F142" i="33" s="1"/>
  <c r="F143" i="33" a="1"/>
  <c r="F143" i="33" s="1"/>
  <c r="F144" i="33" a="1"/>
  <c r="F144" i="33" s="1"/>
  <c r="F145" i="33" a="1"/>
  <c r="F145" i="33" s="1"/>
  <c r="F57" i="33" a="1"/>
  <c r="F57" i="33" s="1"/>
  <c r="F58" i="33" a="1"/>
  <c r="F58" i="33" s="1"/>
  <c r="F59" i="33" a="1"/>
  <c r="F59" i="33" s="1"/>
  <c r="F60" i="33" a="1"/>
  <c r="F60" i="33" s="1"/>
  <c r="F61" i="33" a="1"/>
  <c r="F61" i="33" s="1"/>
  <c r="F62" i="33" a="1"/>
  <c r="F62" i="33" s="1"/>
  <c r="F63" i="33" a="1"/>
  <c r="F63" i="33" s="1"/>
  <c r="F64" i="33" a="1"/>
  <c r="F64" i="33" s="1"/>
  <c r="F65" i="33" a="1"/>
  <c r="F65" i="33" s="1"/>
  <c r="F66" i="33" a="1"/>
  <c r="F66" i="33" s="1"/>
  <c r="F67" i="33" a="1"/>
  <c r="F67" i="33" s="1"/>
  <c r="F68" i="33" a="1"/>
  <c r="F68" i="33" s="1"/>
  <c r="F69" i="33" a="1"/>
  <c r="F69" i="33" s="1"/>
  <c r="F70" i="33" a="1"/>
  <c r="F70" i="33" s="1"/>
  <c r="F71" i="33" a="1"/>
  <c r="F71" i="33" s="1"/>
  <c r="F72" i="33" a="1"/>
  <c r="F72" i="33" s="1"/>
  <c r="F73" i="33" a="1"/>
  <c r="F73" i="33" s="1"/>
  <c r="F56" i="33" a="1"/>
  <c r="F56" i="33" s="1"/>
  <c r="D231" i="35"/>
  <c r="C12" i="44" a="1"/>
  <c r="C12" i="44" s="1"/>
  <c r="D180" i="2"/>
  <c r="D182" i="2"/>
  <c r="D181" i="2"/>
  <c r="E89" i="11" a="1"/>
  <c r="E89" i="11" s="1"/>
  <c r="E41" i="22"/>
  <c r="E11" i="20" s="1"/>
  <c r="F10" i="20" s="1"/>
  <c r="D266" i="35" l="1"/>
  <c r="D9" i="53"/>
  <c r="D28" i="53" s="1"/>
  <c r="C20" i="33" a="1"/>
  <c r="C20" i="33" s="1"/>
  <c r="I7" i="53"/>
  <c r="I27" i="53" s="1"/>
  <c r="AE7" i="53"/>
  <c r="AE27" i="53" s="1"/>
  <c r="BC7" i="53"/>
  <c r="BC27" i="53" s="1"/>
  <c r="S7" i="53"/>
  <c r="S27" i="53" s="1"/>
  <c r="C10" i="53" a="1"/>
  <c r="C10" i="53" s="1"/>
  <c r="C79" i="53" s="1" a="1"/>
  <c r="C79" i="53" s="1"/>
  <c r="C255" i="33" a="1"/>
  <c r="C255" i="33" s="1"/>
  <c r="C267" i="33" s="1"/>
  <c r="C12" i="53"/>
  <c r="C14" i="53" s="1"/>
  <c r="C27" i="53"/>
  <c r="N11" i="53"/>
  <c r="M23" i="53"/>
  <c r="C18" i="33"/>
  <c r="C13" i="33"/>
  <c r="D13" i="33" s="1"/>
  <c r="E13" i="33" s="1"/>
  <c r="F13" i="33" s="1"/>
  <c r="G13" i="33" s="1"/>
  <c r="H13" i="33" s="1"/>
  <c r="I13" i="33" s="1"/>
  <c r="J13" i="33" s="1"/>
  <c r="K13" i="33" s="1"/>
  <c r="L13" i="33" s="1"/>
  <c r="M13" i="33" s="1"/>
  <c r="N13" i="33" s="1"/>
  <c r="O13" i="33" s="1"/>
  <c r="P13" i="33" s="1"/>
  <c r="Q13" i="33" s="1"/>
  <c r="R13" i="33" s="1"/>
  <c r="S13" i="33" s="1"/>
  <c r="T13" i="33" s="1"/>
  <c r="U13" i="33" s="1"/>
  <c r="V13" i="33" s="1"/>
  <c r="W13" i="33" s="1"/>
  <c r="X13" i="33" s="1"/>
  <c r="Y13" i="33" s="1"/>
  <c r="Z13" i="33" s="1"/>
  <c r="AA13" i="33" s="1"/>
  <c r="AB13" i="33" s="1"/>
  <c r="AC13" i="33" s="1"/>
  <c r="AD13" i="33" s="1"/>
  <c r="AE13" i="33" s="1"/>
  <c r="AF13" i="33" s="1"/>
  <c r="AG13" i="33" s="1"/>
  <c r="AH13" i="33" s="1"/>
  <c r="F146" i="33"/>
  <c r="G56" i="33" s="1"/>
  <c r="G153" i="33" s="1"/>
  <c r="B150" i="33" a="1"/>
  <c r="D183" i="2"/>
  <c r="F41" i="22"/>
  <c r="F11" i="20" s="1"/>
  <c r="G10" i="20" s="1"/>
  <c r="C68" i="53" l="1"/>
  <c r="D12" i="53"/>
  <c r="C29" i="53"/>
  <c r="O11" i="53"/>
  <c r="N23" i="53"/>
  <c r="C262" i="33"/>
  <c r="G84" i="33"/>
  <c r="G181" i="33" s="1"/>
  <c r="G88" i="33"/>
  <c r="G185" i="33" s="1"/>
  <c r="G100" i="33"/>
  <c r="G197" i="33" s="1"/>
  <c r="G104" i="33"/>
  <c r="G201" i="33" s="1"/>
  <c r="G76" i="33"/>
  <c r="G173" i="33" s="1"/>
  <c r="G92" i="33"/>
  <c r="G189" i="33" s="1"/>
  <c r="G108" i="33"/>
  <c r="G205" i="33" s="1"/>
  <c r="G80" i="33"/>
  <c r="G177" i="33" s="1"/>
  <c r="G96" i="33"/>
  <c r="G193" i="33" s="1"/>
  <c r="G112" i="33"/>
  <c r="G209" i="33" s="1"/>
  <c r="G116" i="33"/>
  <c r="G213" i="33" s="1"/>
  <c r="G120" i="33"/>
  <c r="G217" i="33" s="1"/>
  <c r="G124" i="33"/>
  <c r="G221" i="33" s="1"/>
  <c r="G128" i="33"/>
  <c r="G225" i="33" s="1"/>
  <c r="G132" i="33"/>
  <c r="G229" i="33" s="1"/>
  <c r="G136" i="33"/>
  <c r="G233" i="33" s="1"/>
  <c r="G140" i="33"/>
  <c r="G237" i="33" s="1"/>
  <c r="G144" i="33"/>
  <c r="G241" i="33" s="1"/>
  <c r="G59" i="33"/>
  <c r="G156" i="33" s="1"/>
  <c r="G63" i="33"/>
  <c r="G160" i="33" s="1"/>
  <c r="G67" i="33"/>
  <c r="G164" i="33" s="1"/>
  <c r="G71" i="33"/>
  <c r="G168" i="33" s="1"/>
  <c r="G53" i="33"/>
  <c r="G81" i="33"/>
  <c r="G178" i="33" s="1"/>
  <c r="G93" i="33"/>
  <c r="G190" i="33" s="1"/>
  <c r="G101" i="33"/>
  <c r="G198" i="33" s="1"/>
  <c r="G109" i="33"/>
  <c r="G206" i="33" s="1"/>
  <c r="G121" i="33"/>
  <c r="G218" i="33" s="1"/>
  <c r="G133" i="33"/>
  <c r="G230" i="33" s="1"/>
  <c r="G60" i="33"/>
  <c r="G157" i="33" s="1"/>
  <c r="G54" i="33"/>
  <c r="G74" i="33"/>
  <c r="G171" i="33" s="1"/>
  <c r="G78" i="33"/>
  <c r="G175" i="33" s="1"/>
  <c r="G82" i="33"/>
  <c r="G179" i="33" s="1"/>
  <c r="G86" i="33"/>
  <c r="G183" i="33" s="1"/>
  <c r="G90" i="33"/>
  <c r="G187" i="33" s="1"/>
  <c r="G94" i="33"/>
  <c r="G191" i="33" s="1"/>
  <c r="G98" i="33"/>
  <c r="G195" i="33" s="1"/>
  <c r="G102" i="33"/>
  <c r="G199" i="33" s="1"/>
  <c r="G106" i="33"/>
  <c r="G203" i="33" s="1"/>
  <c r="G110" i="33"/>
  <c r="G207" i="33" s="1"/>
  <c r="G114" i="33"/>
  <c r="G211" i="33" s="1"/>
  <c r="G118" i="33"/>
  <c r="G215" i="33" s="1"/>
  <c r="G122" i="33"/>
  <c r="G219" i="33" s="1"/>
  <c r="G126" i="33"/>
  <c r="G223" i="33" s="1"/>
  <c r="G130" i="33"/>
  <c r="G227" i="33" s="1"/>
  <c r="G134" i="33"/>
  <c r="G231" i="33" s="1"/>
  <c r="G138" i="33"/>
  <c r="G235" i="33" s="1"/>
  <c r="G142" i="33"/>
  <c r="G239" i="33" s="1"/>
  <c r="G57" i="33"/>
  <c r="G154" i="33" s="1"/>
  <c r="G61" i="33"/>
  <c r="G158" i="33" s="1"/>
  <c r="G65" i="33"/>
  <c r="G162" i="33" s="1"/>
  <c r="G69" i="33"/>
  <c r="G166" i="33" s="1"/>
  <c r="G73" i="33"/>
  <c r="G170" i="33" s="1"/>
  <c r="G55" i="33"/>
  <c r="G152" i="33" s="1"/>
  <c r="G77" i="33"/>
  <c r="G174" i="33" s="1"/>
  <c r="G85" i="33"/>
  <c r="G182" i="33" s="1"/>
  <c r="G89" i="33"/>
  <c r="G186" i="33" s="1"/>
  <c r="G97" i="33"/>
  <c r="G194" i="33" s="1"/>
  <c r="G105" i="33"/>
  <c r="G202" i="33" s="1"/>
  <c r="G113" i="33"/>
  <c r="G210" i="33" s="1"/>
  <c r="G117" i="33"/>
  <c r="G214" i="33" s="1"/>
  <c r="G125" i="33"/>
  <c r="G222" i="33" s="1"/>
  <c r="G129" i="33"/>
  <c r="G226" i="33" s="1"/>
  <c r="G137" i="33"/>
  <c r="G234" i="33" s="1"/>
  <c r="G141" i="33"/>
  <c r="G238" i="33" s="1"/>
  <c r="G145" i="33"/>
  <c r="G242" i="33" s="1"/>
  <c r="G64" i="33"/>
  <c r="G161" i="33" s="1"/>
  <c r="G68" i="33"/>
  <c r="G165" i="33" s="1"/>
  <c r="G72" i="33"/>
  <c r="G169" i="33" s="1"/>
  <c r="G75" i="33"/>
  <c r="G172" i="33" s="1"/>
  <c r="G79" i="33"/>
  <c r="G176" i="33" s="1"/>
  <c r="G83" i="33"/>
  <c r="G180" i="33" s="1"/>
  <c r="G87" i="33"/>
  <c r="G184" i="33" s="1"/>
  <c r="G91" i="33"/>
  <c r="G188" i="33" s="1"/>
  <c r="G95" i="33"/>
  <c r="G192" i="33" s="1"/>
  <c r="G99" i="33"/>
  <c r="G196" i="33" s="1"/>
  <c r="G103" i="33"/>
  <c r="G200" i="33" s="1"/>
  <c r="G107" i="33"/>
  <c r="G204" i="33" s="1"/>
  <c r="G111" i="33"/>
  <c r="G208" i="33" s="1"/>
  <c r="G115" i="33"/>
  <c r="G212" i="33" s="1"/>
  <c r="G119" i="33"/>
  <c r="G216" i="33" s="1"/>
  <c r="G123" i="33"/>
  <c r="G220" i="33" s="1"/>
  <c r="G127" i="33"/>
  <c r="G224" i="33" s="1"/>
  <c r="G131" i="33"/>
  <c r="G228" i="33" s="1"/>
  <c r="G135" i="33"/>
  <c r="G232" i="33" s="1"/>
  <c r="G139" i="33"/>
  <c r="G236" i="33" s="1"/>
  <c r="G143" i="33"/>
  <c r="G240" i="33" s="1"/>
  <c r="G58" i="33"/>
  <c r="G155" i="33" s="1"/>
  <c r="G62" i="33"/>
  <c r="G159" i="33" s="1"/>
  <c r="G66" i="33"/>
  <c r="G163" i="33" s="1"/>
  <c r="G70" i="33"/>
  <c r="G167" i="33" s="1"/>
  <c r="B150" i="33"/>
  <c r="F243" i="33"/>
  <c r="G41" i="22"/>
  <c r="G11" i="20" s="1"/>
  <c r="H10" i="20" s="1"/>
  <c r="H41" i="22" s="1"/>
  <c r="H11" i="20" s="1"/>
  <c r="G150" i="33" l="1"/>
  <c r="D14" i="53"/>
  <c r="P11" i="53"/>
  <c r="O23" i="53"/>
  <c r="E12" i="53"/>
  <c r="E14" i="53" s="1"/>
  <c r="D29" i="53"/>
  <c r="D262" i="33"/>
  <c r="H53" i="33" a="1"/>
  <c r="G151" i="33"/>
  <c r="H150" i="33" s="1" a="1"/>
  <c r="G146" i="33"/>
  <c r="I10" i="20"/>
  <c r="I41" i="22" s="1"/>
  <c r="H150" i="33" l="1"/>
  <c r="H53" i="33"/>
  <c r="F12" i="53"/>
  <c r="E29" i="53"/>
  <c r="Q11" i="53"/>
  <c r="P23" i="53"/>
  <c r="E262" i="33"/>
  <c r="N257" i="33"/>
  <c r="AE257" i="33"/>
  <c r="G243" i="33"/>
  <c r="R257" i="33"/>
  <c r="F257" i="33"/>
  <c r="V257" i="33"/>
  <c r="J257" i="33"/>
  <c r="Z257" i="33"/>
  <c r="G257" i="33"/>
  <c r="K257" i="33"/>
  <c r="O257" i="33"/>
  <c r="S257" i="33"/>
  <c r="W257" i="33"/>
  <c r="AA257" i="33"/>
  <c r="AH257" i="33"/>
  <c r="E257" i="33"/>
  <c r="H257" i="33"/>
  <c r="L257" i="33"/>
  <c r="P257" i="33"/>
  <c r="T257" i="33"/>
  <c r="X257" i="33"/>
  <c r="AB257" i="33"/>
  <c r="H243" i="33"/>
  <c r="B247" i="33" s="1"/>
  <c r="I257" i="33"/>
  <c r="M257" i="33"/>
  <c r="Q257" i="33"/>
  <c r="U257" i="33"/>
  <c r="Y257" i="33"/>
  <c r="AD257" i="33"/>
  <c r="AF257" i="33"/>
  <c r="AC257" i="33"/>
  <c r="I11" i="20"/>
  <c r="H146" i="33" l="1"/>
  <c r="AG257" i="33"/>
  <c r="F14" i="53"/>
  <c r="R11" i="53"/>
  <c r="Q23" i="53"/>
  <c r="G12" i="53"/>
  <c r="G14" i="53" s="1"/>
  <c r="F29" i="53"/>
  <c r="F262" i="33"/>
  <c r="J10" i="20"/>
  <c r="J41" i="22" s="1"/>
  <c r="H12" i="53" l="1"/>
  <c r="G29" i="53"/>
  <c r="S11" i="53"/>
  <c r="R23" i="53"/>
  <c r="G262" i="33"/>
  <c r="J11" i="20"/>
  <c r="H14" i="53" l="1"/>
  <c r="T11" i="53"/>
  <c r="S23" i="53"/>
  <c r="I12" i="53"/>
  <c r="I14" i="53" s="1"/>
  <c r="H29" i="53"/>
  <c r="H262" i="33"/>
  <c r="B270" i="33"/>
  <c r="K10" i="20"/>
  <c r="K41" i="22" s="1"/>
  <c r="I29" i="53" l="1"/>
  <c r="J12" i="53"/>
  <c r="U11" i="53"/>
  <c r="T23" i="53"/>
  <c r="I262" i="33"/>
  <c r="K11" i="20"/>
  <c r="J14" i="53" l="1"/>
  <c r="V11" i="53"/>
  <c r="U23" i="53"/>
  <c r="K12" i="53"/>
  <c r="K14" i="53" s="1"/>
  <c r="J29" i="53"/>
  <c r="J262" i="33"/>
  <c r="L10" i="20"/>
  <c r="L41" i="22" s="1"/>
  <c r="L12" i="53" l="1"/>
  <c r="K29" i="53"/>
  <c r="W11" i="53"/>
  <c r="V23" i="53"/>
  <c r="K262" i="33"/>
  <c r="L11" i="20"/>
  <c r="L14" i="53" l="1"/>
  <c r="X11" i="53"/>
  <c r="W23" i="53"/>
  <c r="M12" i="53"/>
  <c r="M14" i="53" s="1"/>
  <c r="L29" i="53"/>
  <c r="L262" i="33"/>
  <c r="M10" i="20"/>
  <c r="M41" i="22" s="1"/>
  <c r="N12" i="53" l="1"/>
  <c r="N14" i="53" s="1"/>
  <c r="M29" i="53"/>
  <c r="Y11" i="53"/>
  <c r="X23" i="53"/>
  <c r="M262" i="33"/>
  <c r="M11" i="20"/>
  <c r="Z11" i="53" l="1"/>
  <c r="Y23" i="53"/>
  <c r="O12" i="53"/>
  <c r="O14" i="53" s="1"/>
  <c r="N29" i="53"/>
  <c r="N262" i="33"/>
  <c r="N10" i="20"/>
  <c r="N41" i="22" s="1"/>
  <c r="P12" i="53" l="1"/>
  <c r="P14" i="53" s="1"/>
  <c r="O29" i="53"/>
  <c r="AA11" i="53"/>
  <c r="Z23" i="53"/>
  <c r="O262" i="33"/>
  <c r="N11" i="20"/>
  <c r="AB11" i="53" l="1"/>
  <c r="AA23" i="53"/>
  <c r="Q12" i="53"/>
  <c r="Q14" i="53" s="1"/>
  <c r="P29" i="53"/>
  <c r="P262" i="33"/>
  <c r="O10" i="20"/>
  <c r="O41" i="22" s="1"/>
  <c r="R12" i="53" l="1"/>
  <c r="R14" i="53" s="1"/>
  <c r="Q29" i="53"/>
  <c r="AC11" i="53"/>
  <c r="AB23" i="53"/>
  <c r="Q262" i="33"/>
  <c r="O11" i="20"/>
  <c r="AD11" i="53" l="1"/>
  <c r="AC23" i="53"/>
  <c r="S12" i="53"/>
  <c r="S14" i="53" s="1"/>
  <c r="R29" i="53"/>
  <c r="R262" i="33"/>
  <c r="P10" i="20"/>
  <c r="P41" i="22" s="1"/>
  <c r="T12" i="53" l="1"/>
  <c r="T14" i="53" s="1"/>
  <c r="S29" i="53"/>
  <c r="AE11" i="53"/>
  <c r="AD23" i="53"/>
  <c r="S262" i="33"/>
  <c r="P11" i="20"/>
  <c r="AF11" i="53" l="1"/>
  <c r="AE23" i="53"/>
  <c r="T29" i="53"/>
  <c r="U12" i="53"/>
  <c r="U14" i="53" s="1"/>
  <c r="T262" i="33"/>
  <c r="Q10" i="20"/>
  <c r="Q41" i="22" s="1"/>
  <c r="V12" i="53" l="1"/>
  <c r="V14" i="53" s="1"/>
  <c r="U29" i="53"/>
  <c r="AG11" i="53"/>
  <c r="AF23" i="53"/>
  <c r="U262" i="33"/>
  <c r="Q11" i="20"/>
  <c r="AH11" i="53" l="1"/>
  <c r="AG23" i="53"/>
  <c r="V29" i="53"/>
  <c r="W12" i="53"/>
  <c r="W14" i="53" s="1"/>
  <c r="V262" i="33"/>
  <c r="R10" i="20"/>
  <c r="R41" i="22" s="1"/>
  <c r="X12" i="53" l="1"/>
  <c r="X14" i="53" s="1"/>
  <c r="W29" i="53"/>
  <c r="AI11" i="53"/>
  <c r="AH23" i="53"/>
  <c r="W262" i="33"/>
  <c r="R11" i="20"/>
  <c r="AJ11" i="53" l="1"/>
  <c r="AI23" i="53"/>
  <c r="Y12" i="53"/>
  <c r="Y14" i="53" s="1"/>
  <c r="X29" i="53"/>
  <c r="X262" i="33"/>
  <c r="S10" i="20"/>
  <c r="S41" i="22" s="1"/>
  <c r="Y29" i="53" l="1"/>
  <c r="Z12" i="53"/>
  <c r="Z14" i="53" s="1"/>
  <c r="AK11" i="53"/>
  <c r="AJ23" i="53"/>
  <c r="Y262" i="33"/>
  <c r="S11" i="20"/>
  <c r="AL11" i="53" l="1"/>
  <c r="AK23" i="53"/>
  <c r="AA12" i="53"/>
  <c r="AA14" i="53" s="1"/>
  <c r="Z29" i="53"/>
  <c r="Z262" i="33"/>
  <c r="T10" i="20"/>
  <c r="T41" i="22" s="1"/>
  <c r="AB12" i="53" l="1"/>
  <c r="AB14" i="53" s="1"/>
  <c r="AA29" i="53"/>
  <c r="AM11" i="53"/>
  <c r="AL23" i="53"/>
  <c r="AA262" i="33"/>
  <c r="T11" i="20"/>
  <c r="AN11" i="53" l="1"/>
  <c r="AM23" i="53"/>
  <c r="AC12" i="53"/>
  <c r="AC14" i="53" s="1"/>
  <c r="AB29" i="53"/>
  <c r="AB262" i="33"/>
  <c r="U10" i="20"/>
  <c r="U41" i="22" s="1"/>
  <c r="AD12" i="53" l="1"/>
  <c r="AD14" i="53" s="1"/>
  <c r="AC29" i="53"/>
  <c r="AO11" i="53"/>
  <c r="AN23" i="53"/>
  <c r="AC262" i="33"/>
  <c r="U11" i="20"/>
  <c r="AP11" i="53" l="1"/>
  <c r="AO23" i="53"/>
  <c r="AD29" i="53"/>
  <c r="AE12" i="53"/>
  <c r="AE14" i="53" s="1"/>
  <c r="AD262" i="33"/>
  <c r="V10" i="20"/>
  <c r="V41" i="22" s="1"/>
  <c r="AF12" i="53" l="1"/>
  <c r="AF14" i="53" s="1"/>
  <c r="AE29" i="53"/>
  <c r="AQ11" i="53"/>
  <c r="AP23" i="53"/>
  <c r="AE262" i="33"/>
  <c r="V11" i="20"/>
  <c r="AR11" i="53" l="1"/>
  <c r="AQ23" i="53"/>
  <c r="AF29" i="53"/>
  <c r="AG12" i="53"/>
  <c r="AG14" i="53" s="1"/>
  <c r="AF262" i="33"/>
  <c r="W10" i="20"/>
  <c r="W41" i="22" s="1"/>
  <c r="AH12" i="53" l="1"/>
  <c r="AH14" i="53" s="1"/>
  <c r="AG29" i="53"/>
  <c r="AS11" i="53"/>
  <c r="AR23" i="53"/>
  <c r="AG262" i="33"/>
  <c r="W11" i="20"/>
  <c r="AT11" i="53" l="1"/>
  <c r="AS23" i="53"/>
  <c r="AI12" i="53"/>
  <c r="AI14" i="53" s="1"/>
  <c r="AH29" i="53"/>
  <c r="AH262" i="33"/>
  <c r="X10" i="20"/>
  <c r="X41" i="22" s="1"/>
  <c r="AJ12" i="53" l="1"/>
  <c r="AJ14" i="53" s="1"/>
  <c r="AI29" i="53"/>
  <c r="AU11" i="53"/>
  <c r="AT23" i="53"/>
  <c r="X11" i="20"/>
  <c r="AV11" i="53" l="1"/>
  <c r="AU23" i="53"/>
  <c r="AK12" i="53"/>
  <c r="AK14" i="53" s="1"/>
  <c r="AJ29" i="53"/>
  <c r="Y10" i="20"/>
  <c r="Y41" i="22" s="1"/>
  <c r="AL12" i="53" l="1"/>
  <c r="AL14" i="53" s="1"/>
  <c r="AK29" i="53"/>
  <c r="AW11" i="53"/>
  <c r="AV23" i="53"/>
  <c r="Y11" i="20"/>
  <c r="AX11" i="53" l="1"/>
  <c r="AW23" i="53"/>
  <c r="AM12" i="53"/>
  <c r="AM14" i="53" s="1"/>
  <c r="AL29" i="53"/>
  <c r="Z10" i="20"/>
  <c r="Z41" i="22" s="1"/>
  <c r="AN12" i="53" l="1"/>
  <c r="AN14" i="53" s="1"/>
  <c r="AM29" i="53"/>
  <c r="AY11" i="53"/>
  <c r="AX23" i="53"/>
  <c r="Z11" i="20"/>
  <c r="AZ11" i="53" l="1"/>
  <c r="AY23" i="53"/>
  <c r="AN29" i="53"/>
  <c r="AO12" i="53"/>
  <c r="AO14" i="53" s="1"/>
  <c r="AA10" i="20"/>
  <c r="AA41" i="22" s="1"/>
  <c r="BA11" i="53" l="1"/>
  <c r="AZ23" i="53"/>
  <c r="AO29" i="53"/>
  <c r="AP12" i="53"/>
  <c r="AP14" i="53" s="1"/>
  <c r="AA11" i="20"/>
  <c r="BB11" i="53" l="1"/>
  <c r="BA23" i="53"/>
  <c r="AQ12" i="53"/>
  <c r="AQ14" i="53" s="1"/>
  <c r="AP29" i="53"/>
  <c r="AB10" i="20"/>
  <c r="AB41" i="22" s="1"/>
  <c r="AR12" i="53" l="1"/>
  <c r="AR14" i="53" s="1"/>
  <c r="AQ29" i="53"/>
  <c r="BC11" i="53"/>
  <c r="BB23" i="53"/>
  <c r="AB11" i="20"/>
  <c r="BD11" i="53" l="1"/>
  <c r="BC23" i="53"/>
  <c r="AR29" i="53"/>
  <c r="AS12" i="53"/>
  <c r="AS14" i="53" s="1"/>
  <c r="AC10" i="20"/>
  <c r="AC41" i="22" s="1"/>
  <c r="AT12" i="53" l="1"/>
  <c r="AT14" i="53" s="1"/>
  <c r="AS29" i="53"/>
  <c r="BE11" i="53"/>
  <c r="BD23" i="53"/>
  <c r="AC11" i="20"/>
  <c r="BF11" i="53" l="1"/>
  <c r="BE23" i="53"/>
  <c r="AU12" i="53"/>
  <c r="AU14" i="53" s="1"/>
  <c r="AT29" i="53"/>
  <c r="AD10" i="20"/>
  <c r="AD41" i="22" s="1"/>
  <c r="AV12" i="53" l="1"/>
  <c r="AV14" i="53" s="1"/>
  <c r="AU29" i="53"/>
  <c r="BG11" i="53"/>
  <c r="BF23" i="53"/>
  <c r="AD11" i="20"/>
  <c r="BH11" i="53" l="1"/>
  <c r="BG23" i="53"/>
  <c r="AW12" i="53"/>
  <c r="AW14" i="53" s="1"/>
  <c r="AV29" i="53"/>
  <c r="AE10" i="20"/>
  <c r="AE41" i="22" s="1"/>
  <c r="AX12" i="53" l="1"/>
  <c r="AX14" i="53" s="1"/>
  <c r="AW29" i="53"/>
  <c r="BI11" i="53"/>
  <c r="BH23" i="53"/>
  <c r="AE11" i="20"/>
  <c r="BJ11" i="53" l="1"/>
  <c r="BI23" i="53"/>
  <c r="AY12" i="53"/>
  <c r="AY14" i="53" s="1"/>
  <c r="AX29" i="53"/>
  <c r="AF10" i="20"/>
  <c r="AF41" i="22" s="1"/>
  <c r="AZ12" i="53" l="1"/>
  <c r="AZ14" i="53" s="1"/>
  <c r="AY29" i="53"/>
  <c r="BK11" i="53"/>
  <c r="BJ23" i="53"/>
  <c r="AF11" i="20"/>
  <c r="BL11" i="53" l="1"/>
  <c r="BK23" i="53"/>
  <c r="BA12" i="53"/>
  <c r="BA14" i="53" s="1"/>
  <c r="AZ29" i="53"/>
  <c r="AG10" i="20"/>
  <c r="AG41" i="22" s="1"/>
  <c r="BB12" i="53" l="1"/>
  <c r="BB14" i="53" s="1"/>
  <c r="BA29" i="53"/>
  <c r="BM11" i="53"/>
  <c r="BL23" i="53"/>
  <c r="AG11" i="20"/>
  <c r="BN11" i="53" l="1"/>
  <c r="BM23" i="53"/>
  <c r="BC12" i="53"/>
  <c r="BC14" i="53" s="1"/>
  <c r="BB29" i="53"/>
  <c r="AH10" i="20"/>
  <c r="E10" i="23" s="1" a="1"/>
  <c r="E10" i="23" s="1"/>
  <c r="BD12" i="53" l="1"/>
  <c r="BD14" i="53" s="1"/>
  <c r="BC29" i="53"/>
  <c r="BO11" i="53"/>
  <c r="BN23" i="53"/>
  <c r="AH41" i="22"/>
  <c r="AH11" i="20" s="1"/>
  <c r="E11" i="23" s="1" a="1"/>
  <c r="E11" i="23" s="1"/>
  <c r="BP11" i="53" l="1"/>
  <c r="BO23" i="53"/>
  <c r="BE12" i="53"/>
  <c r="BE14" i="53" s="1"/>
  <c r="BD29" i="53"/>
  <c r="E41" i="24" a="1"/>
  <c r="E41" i="24" s="1"/>
  <c r="AI41" i="24" s="1"/>
  <c r="G87" i="2"/>
  <c r="F87" i="2" l="1"/>
  <c r="BF12" i="53"/>
  <c r="BF14" i="53" s="1"/>
  <c r="BE29" i="53"/>
  <c r="BQ11" i="53"/>
  <c r="BP23" i="53"/>
  <c r="D11" i="13" a="1"/>
  <c r="E8" i="35"/>
  <c r="G88" i="2"/>
  <c r="F446" i="3" a="1"/>
  <c r="F446" i="3" s="1"/>
  <c r="F445" i="3" a="1"/>
  <c r="F445" i="3" s="1"/>
  <c r="F444" i="3" a="1"/>
  <c r="F444" i="3" s="1"/>
  <c r="F443" i="3" a="1"/>
  <c r="F443" i="3" s="1"/>
  <c r="F442" i="3" a="1"/>
  <c r="F442" i="3" s="1"/>
  <c r="F441" i="3" a="1"/>
  <c r="F441" i="3" s="1"/>
  <c r="F440" i="3" a="1"/>
  <c r="F440" i="3" s="1"/>
  <c r="F439" i="3" a="1"/>
  <c r="F439" i="3" s="1"/>
  <c r="F438" i="3" a="1"/>
  <c r="F438" i="3" s="1"/>
  <c r="F437" i="3" a="1"/>
  <c r="F437" i="3" s="1"/>
  <c r="F436" i="3" a="1"/>
  <c r="F436" i="3" s="1"/>
  <c r="BQ23" i="53" l="1"/>
  <c r="C72" i="53" s="1" a="1"/>
  <c r="BG12" i="53"/>
  <c r="BG14" i="53" s="1"/>
  <c r="BF29" i="53"/>
  <c r="F15" i="13"/>
  <c r="F14" i="13"/>
  <c r="F13" i="13"/>
  <c r="F12" i="13"/>
  <c r="E105" i="11"/>
  <c r="E106" i="11" s="1"/>
  <c r="AH85" i="11" s="1"/>
  <c r="AE85" i="11"/>
  <c r="AA85" i="11"/>
  <c r="W85" i="11"/>
  <c r="S85" i="11"/>
  <c r="O85" i="11"/>
  <c r="K85" i="11"/>
  <c r="G85" i="11"/>
  <c r="D11" i="13"/>
  <c r="G12" i="13" a="1"/>
  <c r="D125" i="11"/>
  <c r="E125" i="11" s="1"/>
  <c r="F125" i="11" s="1"/>
  <c r="G125" i="11" s="1"/>
  <c r="H125" i="11" s="1"/>
  <c r="I125" i="11" s="1"/>
  <c r="J125" i="11" s="1"/>
  <c r="K125" i="11" s="1"/>
  <c r="L125" i="11" s="1"/>
  <c r="M125" i="11" s="1"/>
  <c r="N125" i="11" s="1"/>
  <c r="O125" i="11" s="1"/>
  <c r="P125" i="11" s="1"/>
  <c r="Q125" i="11" s="1"/>
  <c r="R125" i="11" s="1"/>
  <c r="S125" i="11" s="1"/>
  <c r="T125" i="11" s="1"/>
  <c r="U125" i="11" s="1"/>
  <c r="V125" i="11" s="1"/>
  <c r="W125" i="11" s="1"/>
  <c r="X125" i="11" s="1"/>
  <c r="Y125" i="11" s="1"/>
  <c r="Z125" i="11" s="1"/>
  <c r="AA125" i="11" s="1"/>
  <c r="AB125" i="11" s="1"/>
  <c r="AC125" i="11" s="1"/>
  <c r="AD125" i="11" s="1"/>
  <c r="AE125" i="11" s="1"/>
  <c r="AF125" i="11" s="1"/>
  <c r="AG125" i="11" s="1"/>
  <c r="AH125" i="11" s="1"/>
  <c r="C77" i="2"/>
  <c r="C78" i="2"/>
  <c r="C79" i="2"/>
  <c r="C80" i="2"/>
  <c r="F447" i="3"/>
  <c r="H86" i="11"/>
  <c r="L86" i="11"/>
  <c r="P86" i="11"/>
  <c r="T86" i="11"/>
  <c r="X86" i="11"/>
  <c r="AB86" i="11"/>
  <c r="AF86" i="11"/>
  <c r="E86" i="11"/>
  <c r="I86" i="11"/>
  <c r="M86" i="11"/>
  <c r="Q86" i="11"/>
  <c r="Y86" i="11"/>
  <c r="AC86" i="11"/>
  <c r="AG86" i="11"/>
  <c r="U86" i="11"/>
  <c r="F86" i="11"/>
  <c r="J86" i="11"/>
  <c r="N86" i="11"/>
  <c r="R86" i="11"/>
  <c r="V86" i="11"/>
  <c r="Z86" i="11"/>
  <c r="AD86" i="11"/>
  <c r="AH86" i="11"/>
  <c r="G86" i="11"/>
  <c r="K86" i="11"/>
  <c r="O86" i="11"/>
  <c r="S86" i="11"/>
  <c r="W86" i="11"/>
  <c r="AA86" i="11"/>
  <c r="AE86" i="11"/>
  <c r="C67" i="53" l="1"/>
  <c r="H85" i="11"/>
  <c r="L85" i="11"/>
  <c r="P85" i="11"/>
  <c r="T85" i="11"/>
  <c r="X85" i="11"/>
  <c r="AB85" i="11"/>
  <c r="AF85" i="11"/>
  <c r="E85" i="11"/>
  <c r="I85" i="11"/>
  <c r="M85" i="11"/>
  <c r="Q85" i="11"/>
  <c r="U85" i="11"/>
  <c r="Y85" i="11"/>
  <c r="AC85" i="11"/>
  <c r="AG85" i="11"/>
  <c r="F85" i="11"/>
  <c r="J85" i="11"/>
  <c r="N85" i="11"/>
  <c r="R85" i="11"/>
  <c r="V85" i="11"/>
  <c r="Z85" i="11"/>
  <c r="AD85" i="11"/>
  <c r="C72" i="53"/>
  <c r="BH12" i="53"/>
  <c r="BH14" i="53" s="1"/>
  <c r="BG29" i="53"/>
  <c r="J15" i="13"/>
  <c r="K15" i="13" s="1"/>
  <c r="J14" i="13"/>
  <c r="K14" i="13" s="1"/>
  <c r="J13" i="13"/>
  <c r="K13" i="13" s="1"/>
  <c r="G12" i="13"/>
  <c r="H12" i="13" s="1" a="1"/>
  <c r="H12" i="13" s="1"/>
  <c r="H84" i="2"/>
  <c r="H85" i="2"/>
  <c r="H86" i="2"/>
  <c r="H87" i="2"/>
  <c r="BI12" i="53" l="1"/>
  <c r="BI14" i="53" s="1"/>
  <c r="BH29" i="53"/>
  <c r="J12" i="13"/>
  <c r="K12" i="13" s="1"/>
  <c r="E90" i="11" a="1"/>
  <c r="E90" i="11" s="1"/>
  <c r="C58" i="5" a="1"/>
  <c r="C58" i="5" s="1"/>
  <c r="H88" i="2"/>
  <c r="C57" i="5" a="1"/>
  <c r="C57" i="5" s="1"/>
  <c r="C60" i="5" a="1"/>
  <c r="C60" i="5" s="1"/>
  <c r="C59" i="5" a="1"/>
  <c r="C59" i="5" s="1"/>
  <c r="BI29" i="53" l="1"/>
  <c r="BJ12" i="53"/>
  <c r="BJ14" i="53" s="1"/>
  <c r="D60" i="5" a="1"/>
  <c r="D60" i="5" s="1"/>
  <c r="C33" i="2"/>
  <c r="D59" i="5" a="1"/>
  <c r="D59" i="5" s="1"/>
  <c r="C32" i="2"/>
  <c r="C61" i="5"/>
  <c r="D57" i="5" a="1"/>
  <c r="D57" i="5" s="1"/>
  <c r="C30" i="2"/>
  <c r="C65" i="5"/>
  <c r="C29" i="2" s="1"/>
  <c r="D58" i="5" a="1"/>
  <c r="D58" i="5" s="1"/>
  <c r="C31" i="2"/>
  <c r="C19" i="2" l="1"/>
  <c r="BK12" i="53"/>
  <c r="BK14" i="53" s="1"/>
  <c r="BJ29" i="53"/>
  <c r="I6" i="35"/>
  <c r="I7" i="35"/>
  <c r="I8" i="35"/>
  <c r="I5" i="35"/>
  <c r="E57" i="5" a="1"/>
  <c r="E57" i="5" s="1"/>
  <c r="D61" i="5"/>
  <c r="D65" i="5"/>
  <c r="E59" i="5" a="1"/>
  <c r="E59" i="5" s="1"/>
  <c r="E60" i="5" a="1"/>
  <c r="E60" i="5" s="1"/>
  <c r="E58" i="5" a="1"/>
  <c r="E58" i="5" s="1"/>
  <c r="BL12" i="53" l="1"/>
  <c r="BL14" i="53" s="1"/>
  <c r="BK29" i="53"/>
  <c r="E65" i="5"/>
  <c r="F57" i="5" a="1"/>
  <c r="F57" i="5" s="1"/>
  <c r="E61" i="5"/>
  <c r="F58" i="5" a="1"/>
  <c r="F58" i="5" s="1"/>
  <c r="F59" i="5" a="1"/>
  <c r="F59" i="5" s="1"/>
  <c r="F60" i="5" a="1"/>
  <c r="F60" i="5" s="1"/>
  <c r="BM12" i="53" l="1"/>
  <c r="BM14" i="53" s="1"/>
  <c r="BL29" i="53"/>
  <c r="F65" i="5"/>
  <c r="G57" i="5" a="1"/>
  <c r="G57" i="5" s="1"/>
  <c r="F61" i="5"/>
  <c r="G58" i="5" a="1"/>
  <c r="G58" i="5" s="1"/>
  <c r="G59" i="5" a="1"/>
  <c r="G59" i="5" s="1"/>
  <c r="G60" i="5" a="1"/>
  <c r="G60" i="5" s="1"/>
  <c r="BN12" i="53" l="1"/>
  <c r="BN14" i="53" s="1"/>
  <c r="BM29" i="53"/>
  <c r="H59" i="5" a="1"/>
  <c r="H59" i="5" s="1"/>
  <c r="H58" i="5" a="1"/>
  <c r="H58" i="5" s="1"/>
  <c r="G61" i="5"/>
  <c r="H57" i="5" a="1"/>
  <c r="H57" i="5" s="1"/>
  <c r="G65" i="5"/>
  <c r="H60" i="5" a="1"/>
  <c r="H60" i="5" s="1"/>
  <c r="BO12" i="53" l="1"/>
  <c r="BO14" i="53" s="1"/>
  <c r="BN29" i="53"/>
  <c r="I58" i="5" a="1"/>
  <c r="I58" i="5" s="1"/>
  <c r="I60" i="5" a="1"/>
  <c r="I60" i="5" s="1"/>
  <c r="I59" i="5" a="1"/>
  <c r="I59" i="5" s="1"/>
  <c r="I57" i="5" a="1"/>
  <c r="I57" i="5" s="1"/>
  <c r="H65" i="5"/>
  <c r="H61" i="5"/>
  <c r="BP12" i="53" l="1"/>
  <c r="BP14" i="53" s="1"/>
  <c r="BO29" i="53"/>
  <c r="J59" i="5" a="1"/>
  <c r="J59" i="5" s="1"/>
  <c r="J57" i="5" a="1"/>
  <c r="J57" i="5" s="1"/>
  <c r="I65" i="5"/>
  <c r="I61" i="5"/>
  <c r="J60" i="5" a="1"/>
  <c r="J60" i="5" s="1"/>
  <c r="J58" i="5" a="1"/>
  <c r="J58" i="5" s="1"/>
  <c r="BQ12" i="53" l="1"/>
  <c r="C13" i="53" s="1" a="1"/>
  <c r="C13" i="53" s="1"/>
  <c r="C80" i="53" s="1" a="1"/>
  <c r="C80" i="53" s="1"/>
  <c r="BP29" i="53"/>
  <c r="K60" i="5" a="1"/>
  <c r="K60" i="5" s="1"/>
  <c r="K58" i="5" a="1"/>
  <c r="K58" i="5" s="1"/>
  <c r="J65" i="5"/>
  <c r="K57" i="5" a="1"/>
  <c r="K57" i="5" s="1"/>
  <c r="J61" i="5"/>
  <c r="K59" i="5" a="1"/>
  <c r="K59" i="5" s="1"/>
  <c r="BQ29" i="53" l="1"/>
  <c r="BQ14" i="53"/>
  <c r="L59" i="5" a="1"/>
  <c r="L59" i="5" s="1"/>
  <c r="L60" i="5" a="1"/>
  <c r="L60" i="5" s="1"/>
  <c r="L57" i="5" a="1"/>
  <c r="L57" i="5" s="1"/>
  <c r="K61" i="5"/>
  <c r="K65" i="5"/>
  <c r="L58" i="5" a="1"/>
  <c r="L58" i="5" s="1"/>
  <c r="M60" i="5" l="1" a="1"/>
  <c r="M60" i="5" s="1"/>
  <c r="M59" i="5" a="1"/>
  <c r="M59" i="5" s="1"/>
  <c r="M58" i="5" a="1"/>
  <c r="M58" i="5" s="1"/>
  <c r="M57" i="5" a="1"/>
  <c r="M57" i="5" s="1"/>
  <c r="L65" i="5"/>
  <c r="L61" i="5"/>
  <c r="N58" i="5" l="1" a="1"/>
  <c r="N58" i="5" s="1"/>
  <c r="N60" i="5" a="1"/>
  <c r="N60" i="5" s="1"/>
  <c r="M65" i="5"/>
  <c r="N57" i="5" a="1"/>
  <c r="N57" i="5" s="1"/>
  <c r="M61" i="5"/>
  <c r="N59" i="5" a="1"/>
  <c r="N59" i="5" s="1"/>
  <c r="N61" i="5" l="1"/>
  <c r="N65" i="5"/>
  <c r="O57" i="5" a="1"/>
  <c r="O57" i="5" s="1"/>
  <c r="O58" i="5" a="1"/>
  <c r="O58" i="5" s="1"/>
  <c r="O59" i="5" a="1"/>
  <c r="O59" i="5" s="1"/>
  <c r="O60" i="5" a="1"/>
  <c r="O60" i="5" s="1"/>
  <c r="P60" i="5" l="1" a="1"/>
  <c r="P60" i="5" s="1"/>
  <c r="P58" i="5" a="1"/>
  <c r="P58" i="5" s="1"/>
  <c r="P59" i="5" a="1"/>
  <c r="P59" i="5" s="1"/>
  <c r="O65" i="5"/>
  <c r="P57" i="5" a="1"/>
  <c r="P57" i="5" s="1"/>
  <c r="O61" i="5"/>
  <c r="Q58" i="5" l="1" a="1"/>
  <c r="Q58" i="5" s="1"/>
  <c r="Q60" i="5" a="1"/>
  <c r="Q60" i="5" s="1"/>
  <c r="P61" i="5"/>
  <c r="P65" i="5"/>
  <c r="Q57" i="5" a="1"/>
  <c r="Q57" i="5" s="1"/>
  <c r="Q59" i="5" a="1"/>
  <c r="Q59" i="5" s="1"/>
  <c r="Q61" i="5" l="1"/>
  <c r="Q65" i="5"/>
  <c r="R57" i="5" a="1"/>
  <c r="R57" i="5" s="1"/>
  <c r="R58" i="5" a="1"/>
  <c r="R58" i="5" s="1"/>
  <c r="R59" i="5" a="1"/>
  <c r="R59" i="5" s="1"/>
  <c r="R60" i="5" a="1"/>
  <c r="R60" i="5" s="1"/>
  <c r="S59" i="5" l="1" a="1"/>
  <c r="S59" i="5" s="1"/>
  <c r="S60" i="5" a="1"/>
  <c r="S60" i="5" s="1"/>
  <c r="S58" i="5" a="1"/>
  <c r="S58" i="5" s="1"/>
  <c r="S57" i="5" a="1"/>
  <c r="S57" i="5" s="1"/>
  <c r="R61" i="5"/>
  <c r="R65" i="5"/>
  <c r="S65" i="5" l="1"/>
  <c r="S61" i="5"/>
  <c r="T57" i="5" a="1"/>
  <c r="T57" i="5" s="1"/>
  <c r="T60" i="5" a="1"/>
  <c r="T60" i="5" s="1"/>
  <c r="T59" i="5" a="1"/>
  <c r="T59" i="5" s="1"/>
  <c r="T58" i="5" a="1"/>
  <c r="T58" i="5" s="1"/>
  <c r="U59" i="5" l="1" a="1"/>
  <c r="U59" i="5" s="1"/>
  <c r="U60" i="5" a="1"/>
  <c r="U60" i="5" s="1"/>
  <c r="T65" i="5"/>
  <c r="T61" i="5"/>
  <c r="U57" i="5" a="1"/>
  <c r="U57" i="5" s="1"/>
  <c r="U58" i="5" a="1"/>
  <c r="U58" i="5" s="1"/>
  <c r="V60" i="5" l="1" a="1"/>
  <c r="V60" i="5" s="1"/>
  <c r="V57" i="5" a="1"/>
  <c r="V57" i="5" s="1"/>
  <c r="U61" i="5"/>
  <c r="U65" i="5"/>
  <c r="V59" i="5" a="1"/>
  <c r="V59" i="5" s="1"/>
  <c r="V58" i="5" a="1"/>
  <c r="V58" i="5" s="1"/>
  <c r="W60" i="5" l="1" a="1"/>
  <c r="W60" i="5" s="1"/>
  <c r="W59" i="5" a="1"/>
  <c r="W59" i="5" s="1"/>
  <c r="W58" i="5" a="1"/>
  <c r="W58" i="5" s="1"/>
  <c r="W57" i="5" a="1"/>
  <c r="W57" i="5" s="1"/>
  <c r="V61" i="5"/>
  <c r="V65" i="5"/>
  <c r="X57" i="5" l="1" a="1"/>
  <c r="X57" i="5" s="1"/>
  <c r="W65" i="5"/>
  <c r="W61" i="5"/>
  <c r="X59" i="5" a="1"/>
  <c r="X59" i="5" s="1"/>
  <c r="X60" i="5" a="1"/>
  <c r="X60" i="5" s="1"/>
  <c r="X58" i="5" a="1"/>
  <c r="X58" i="5" s="1"/>
  <c r="Y58" i="5" l="1" a="1"/>
  <c r="Y58" i="5" s="1"/>
  <c r="Y60" i="5" a="1"/>
  <c r="Y60" i="5" s="1"/>
  <c r="X65" i="5"/>
  <c r="X61" i="5"/>
  <c r="Y57" i="5" a="1"/>
  <c r="Y57" i="5" s="1"/>
  <c r="Y59" i="5" a="1"/>
  <c r="Y59" i="5" s="1"/>
  <c r="Z59" i="5" l="1" a="1"/>
  <c r="Z59" i="5" s="1"/>
  <c r="Z60" i="5" a="1"/>
  <c r="Z60" i="5" s="1"/>
  <c r="Y61" i="5"/>
  <c r="Y65" i="5"/>
  <c r="Z57" i="5" a="1"/>
  <c r="Z57" i="5" s="1"/>
  <c r="Z58" i="5" a="1"/>
  <c r="Z58" i="5" s="1"/>
  <c r="AA60" i="5" l="1" a="1"/>
  <c r="AA60" i="5" s="1"/>
  <c r="AA57" i="5" a="1"/>
  <c r="AA57" i="5" s="1"/>
  <c r="Z65" i="5"/>
  <c r="Z61" i="5"/>
  <c r="AA58" i="5" a="1"/>
  <c r="AA58" i="5" s="1"/>
  <c r="AA59" i="5" a="1"/>
  <c r="AA59" i="5" s="1"/>
  <c r="AB59" i="5" l="1" a="1"/>
  <c r="AB59" i="5" s="1"/>
  <c r="AA65" i="5"/>
  <c r="AB57" i="5" a="1"/>
  <c r="AB57" i="5" s="1"/>
  <c r="AA61" i="5"/>
  <c r="AB60" i="5" a="1"/>
  <c r="AB60" i="5" s="1"/>
  <c r="AB58" i="5" a="1"/>
  <c r="AB58" i="5" s="1"/>
  <c r="AC57" i="5" l="1" a="1"/>
  <c r="AC57" i="5" s="1"/>
  <c r="AB61" i="5"/>
  <c r="AB65" i="5"/>
  <c r="AC60" i="5" a="1"/>
  <c r="AC60" i="5" s="1"/>
  <c r="AC58" i="5" a="1"/>
  <c r="AC58" i="5" s="1"/>
  <c r="AC59" i="5" a="1"/>
  <c r="AC59" i="5" s="1"/>
  <c r="AD58" i="5" l="1" a="1"/>
  <c r="AD58" i="5" s="1"/>
  <c r="AC65" i="5"/>
  <c r="AD57" i="5" a="1"/>
  <c r="AD57" i="5" s="1"/>
  <c r="AC61" i="5"/>
  <c r="AD59" i="5" a="1"/>
  <c r="AD59" i="5" s="1"/>
  <c r="AD60" i="5" a="1"/>
  <c r="AD60" i="5" s="1"/>
  <c r="AE58" i="5" l="1" a="1"/>
  <c r="AE58" i="5" s="1"/>
  <c r="AE59" i="5" a="1"/>
  <c r="AE59" i="5" s="1"/>
  <c r="AE60" i="5" a="1"/>
  <c r="AE60" i="5" s="1"/>
  <c r="AE57" i="5" a="1"/>
  <c r="AE57" i="5" s="1"/>
  <c r="AD61" i="5"/>
  <c r="AD65" i="5"/>
  <c r="AF60" i="5" l="1" a="1"/>
  <c r="AF60" i="5" s="1"/>
  <c r="AF58" i="5" a="1"/>
  <c r="AF58" i="5" s="1"/>
  <c r="AF59" i="5" a="1"/>
  <c r="AF59" i="5" s="1"/>
  <c r="AE61" i="5"/>
  <c r="AF57" i="5" a="1"/>
  <c r="AF57" i="5" s="1"/>
  <c r="AE65" i="5"/>
  <c r="C35" i="2" l="1"/>
  <c r="AF61" i="5"/>
  <c r="C34" i="2"/>
  <c r="AF65" i="5"/>
  <c r="C36" i="2"/>
  <c r="C37" i="2"/>
  <c r="C20" i="2" l="1"/>
  <c r="J6" i="35"/>
  <c r="J5" i="35"/>
  <c r="B109" i="2" a="1"/>
  <c r="B376" i="13" l="1" a="1"/>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D152" i="13"/>
  <c r="D153" i="13"/>
  <c r="D154" i="13"/>
  <c r="D155" i="13"/>
  <c r="D156" i="13"/>
  <c r="D157" i="13"/>
  <c r="D224" i="13"/>
  <c r="D225" i="13"/>
  <c r="D226" i="13"/>
  <c r="D227" i="13"/>
  <c r="D228" i="13"/>
  <c r="D229" i="13"/>
  <c r="D296" i="13"/>
  <c r="D297" i="13"/>
  <c r="D298" i="13"/>
  <c r="D299" i="13"/>
  <c r="D300" i="13"/>
  <c r="D301" i="13"/>
  <c r="D368" i="13"/>
  <c r="D369" i="13"/>
  <c r="D370" i="13"/>
  <c r="D371" i="13"/>
  <c r="D372" i="13"/>
  <c r="D373" i="13"/>
  <c r="J8" i="35"/>
  <c r="F193" i="25"/>
  <c r="B121" i="2"/>
  <c r="AH5" i="5" a="1"/>
  <c r="AH5" i="5" s="1"/>
  <c r="AG5" i="5" a="1"/>
  <c r="AG5" i="5" s="1"/>
  <c r="AF5" i="5" a="1"/>
  <c r="AF5" i="5" s="1"/>
  <c r="AE5" i="5" a="1"/>
  <c r="AE5" i="5" s="1"/>
  <c r="AD5" i="5" a="1"/>
  <c r="AD5" i="5" s="1"/>
  <c r="AC5" i="5" a="1"/>
  <c r="AC5" i="5" s="1"/>
  <c r="AB5" i="5" a="1"/>
  <c r="AB5" i="5" s="1"/>
  <c r="AA5" i="5" a="1"/>
  <c r="AA5" i="5" s="1"/>
  <c r="Z5" i="5" a="1"/>
  <c r="Z5" i="5" s="1"/>
  <c r="Y5" i="5" a="1"/>
  <c r="Y5" i="5" s="1"/>
  <c r="X5" i="5" a="1"/>
  <c r="X5" i="5" s="1"/>
  <c r="W5" i="5" a="1"/>
  <c r="W5" i="5" s="1"/>
  <c r="V5" i="5" a="1"/>
  <c r="V5" i="5" s="1"/>
  <c r="U5" i="5" a="1"/>
  <c r="U5" i="5" s="1"/>
  <c r="T5" i="5" a="1"/>
  <c r="T5" i="5" s="1"/>
  <c r="S5" i="5" a="1"/>
  <c r="S5" i="5" s="1"/>
  <c r="R5" i="5" a="1"/>
  <c r="R5" i="5" s="1"/>
  <c r="Q5" i="5" a="1"/>
  <c r="Q5" i="5" s="1"/>
  <c r="P5" i="5" a="1"/>
  <c r="P5" i="5" s="1"/>
  <c r="O5" i="5" a="1"/>
  <c r="O5" i="5" s="1"/>
  <c r="N5" i="5" a="1"/>
  <c r="N5" i="5" s="1"/>
  <c r="M5" i="5" a="1"/>
  <c r="M5" i="5" s="1"/>
  <c r="L5" i="5" a="1"/>
  <c r="L5" i="5" s="1"/>
  <c r="K5" i="5" a="1"/>
  <c r="K5" i="5" s="1"/>
  <c r="J5" i="5" a="1"/>
  <c r="J5" i="5" s="1"/>
  <c r="I5" i="5" a="1"/>
  <c r="I5" i="5" s="1"/>
  <c r="H5" i="5" a="1"/>
  <c r="H5" i="5" s="1"/>
  <c r="G5" i="5" a="1"/>
  <c r="G5" i="5" s="1"/>
  <c r="F5" i="5" a="1"/>
  <c r="F5" i="5" s="1"/>
  <c r="E5" i="5" a="1"/>
  <c r="E5" i="5" s="1"/>
  <c r="B109" i="2"/>
  <c r="C119" i="25" a="1"/>
  <c r="C107" i="25" a="1"/>
  <c r="C95" i="25" a="1"/>
  <c r="C83" i="25" a="1"/>
  <c r="E119" i="25" a="1"/>
  <c r="E107" i="25" a="1"/>
  <c r="E95" i="25" a="1"/>
  <c r="E83" i="25" a="1"/>
  <c r="D119" i="25" a="1"/>
  <c r="D119" i="25" s="1"/>
  <c r="D107" i="25" a="1"/>
  <c r="D107" i="25" s="1"/>
  <c r="D95" i="25" a="1"/>
  <c r="D95" i="25" s="1"/>
  <c r="D83" i="25" a="1"/>
  <c r="D83" i="25" s="1"/>
  <c r="F373" i="13" l="1" a="1"/>
  <c r="F373" i="13" s="1"/>
  <c r="G373" i="13" a="1"/>
  <c r="G373" i="13" s="1"/>
  <c r="I373" i="13" s="1" a="1"/>
  <c r="I373" i="13" s="1"/>
  <c r="J373" i="13" s="1" a="1"/>
  <c r="J373" i="13" s="1"/>
  <c r="F372" i="13" a="1"/>
  <c r="F372" i="13" s="1"/>
  <c r="G372" i="13" a="1"/>
  <c r="G372" i="13" s="1"/>
  <c r="I372" i="13" s="1" a="1"/>
  <c r="I372" i="13" s="1"/>
  <c r="J372" i="13" s="1" a="1"/>
  <c r="J372" i="13" s="1"/>
  <c r="F371" i="13" a="1"/>
  <c r="F371" i="13" s="1"/>
  <c r="G371" i="13" a="1"/>
  <c r="G371" i="13" s="1"/>
  <c r="I371" i="13" s="1" a="1"/>
  <c r="I371" i="13" s="1"/>
  <c r="J371" i="13" s="1" a="1"/>
  <c r="J371" i="13" s="1"/>
  <c r="F370" i="13" a="1"/>
  <c r="F370" i="13" s="1"/>
  <c r="G370" i="13" a="1"/>
  <c r="G370" i="13" s="1"/>
  <c r="I370" i="13" s="1" a="1"/>
  <c r="I370" i="13" s="1"/>
  <c r="J370" i="13" s="1" a="1"/>
  <c r="J370" i="13" s="1"/>
  <c r="F369" i="13" a="1"/>
  <c r="F369" i="13" s="1"/>
  <c r="G369" i="13" a="1"/>
  <c r="G369" i="13" s="1"/>
  <c r="I369" i="13" s="1" a="1"/>
  <c r="I369" i="13" s="1"/>
  <c r="J369" i="13" s="1" a="1"/>
  <c r="J369" i="13" s="1"/>
  <c r="F368" i="13" a="1"/>
  <c r="F368" i="13" s="1"/>
  <c r="G368" i="13" a="1"/>
  <c r="G368" i="13" s="1"/>
  <c r="I368" i="13" s="1" a="1"/>
  <c r="I368" i="13" s="1"/>
  <c r="J368" i="13" s="1" a="1"/>
  <c r="J368" i="13" s="1"/>
  <c r="F301" i="13" a="1"/>
  <c r="F301" i="13" s="1"/>
  <c r="G301" i="13" a="1"/>
  <c r="G301" i="13" s="1"/>
  <c r="I301" i="13" s="1" a="1"/>
  <c r="I301" i="13" s="1"/>
  <c r="J301" i="13" s="1" a="1"/>
  <c r="J301" i="13" s="1"/>
  <c r="F300" i="13" a="1"/>
  <c r="F300" i="13" s="1"/>
  <c r="G300" i="13" a="1"/>
  <c r="G300" i="13" s="1"/>
  <c r="I300" i="13" s="1" a="1"/>
  <c r="I300" i="13" s="1"/>
  <c r="J300" i="13" s="1" a="1"/>
  <c r="J300" i="13" s="1"/>
  <c r="F299" i="13" a="1"/>
  <c r="F299" i="13" s="1"/>
  <c r="G299" i="13" a="1"/>
  <c r="G299" i="13" s="1"/>
  <c r="I299" i="13" s="1" a="1"/>
  <c r="I299" i="13" s="1"/>
  <c r="J299" i="13" s="1" a="1"/>
  <c r="J299" i="13" s="1"/>
  <c r="F298" i="13" a="1"/>
  <c r="F298" i="13" s="1"/>
  <c r="G298" i="13" a="1"/>
  <c r="G298" i="13" s="1"/>
  <c r="I298" i="13" s="1" a="1"/>
  <c r="I298" i="13" s="1"/>
  <c r="J298" i="13" s="1" a="1"/>
  <c r="J298" i="13" s="1"/>
  <c r="F297" i="13" a="1"/>
  <c r="F297" i="13" s="1"/>
  <c r="G297" i="13" a="1"/>
  <c r="G297" i="13" s="1"/>
  <c r="I297" i="13" s="1" a="1"/>
  <c r="I297" i="13" s="1"/>
  <c r="J297" i="13" s="1" a="1"/>
  <c r="J297" i="13" s="1"/>
  <c r="F296" i="13" a="1"/>
  <c r="F296" i="13" s="1"/>
  <c r="G296" i="13" a="1"/>
  <c r="G296" i="13" s="1"/>
  <c r="I296" i="13" s="1" a="1"/>
  <c r="I296" i="13" s="1"/>
  <c r="J296" i="13" s="1" a="1"/>
  <c r="J296" i="13" s="1"/>
  <c r="F229" i="13" a="1"/>
  <c r="F229" i="13" s="1"/>
  <c r="G229" i="13" a="1"/>
  <c r="G229" i="13" s="1"/>
  <c r="I229" i="13" s="1" a="1"/>
  <c r="I229" i="13" s="1"/>
  <c r="J229" i="13" s="1" a="1"/>
  <c r="J229" i="13" s="1"/>
  <c r="F228" i="13" a="1"/>
  <c r="F228" i="13" s="1"/>
  <c r="G228" i="13" a="1"/>
  <c r="G228" i="13" s="1"/>
  <c r="I228" i="13" s="1" a="1"/>
  <c r="I228" i="13" s="1"/>
  <c r="J228" i="13" s="1" a="1"/>
  <c r="J228" i="13" s="1"/>
  <c r="F227" i="13" a="1"/>
  <c r="F227" i="13" s="1"/>
  <c r="G227" i="13" a="1"/>
  <c r="G227" i="13" s="1"/>
  <c r="I227" i="13" s="1" a="1"/>
  <c r="I227" i="13" s="1"/>
  <c r="J227" i="13" s="1" a="1"/>
  <c r="J227" i="13" s="1"/>
  <c r="F226" i="13" a="1"/>
  <c r="F226" i="13" s="1"/>
  <c r="G226" i="13" a="1"/>
  <c r="G226" i="13" s="1"/>
  <c r="I226" i="13" s="1" a="1"/>
  <c r="I226" i="13" s="1"/>
  <c r="J226" i="13" s="1" a="1"/>
  <c r="J226" i="13" s="1"/>
  <c r="F225" i="13" a="1"/>
  <c r="F225" i="13" s="1"/>
  <c r="G225" i="13" a="1"/>
  <c r="G225" i="13" s="1"/>
  <c r="I225" i="13" s="1" a="1"/>
  <c r="I225" i="13" s="1"/>
  <c r="J225" i="13" s="1" a="1"/>
  <c r="J225" i="13" s="1"/>
  <c r="F224" i="13" a="1"/>
  <c r="F224" i="13" s="1"/>
  <c r="G224" i="13" a="1"/>
  <c r="G224" i="13" s="1"/>
  <c r="I224" i="13" s="1" a="1"/>
  <c r="I224" i="13" s="1"/>
  <c r="J224" i="13" s="1" a="1"/>
  <c r="J224" i="13" s="1"/>
  <c r="F157" i="13" a="1"/>
  <c r="F157" i="13" s="1"/>
  <c r="G157" i="13" a="1"/>
  <c r="G157" i="13" s="1"/>
  <c r="I157" i="13" s="1" a="1"/>
  <c r="I157" i="13" s="1"/>
  <c r="J157" i="13" s="1" a="1"/>
  <c r="J157" i="13" s="1"/>
  <c r="F156" i="13" a="1"/>
  <c r="F156" i="13" s="1"/>
  <c r="G156" i="13" a="1"/>
  <c r="G156" i="13" s="1"/>
  <c r="I156" i="13" s="1" a="1"/>
  <c r="I156" i="13" s="1"/>
  <c r="J156" i="13" s="1" a="1"/>
  <c r="J156" i="13" s="1"/>
  <c r="F155" i="13" a="1"/>
  <c r="F155" i="13" s="1"/>
  <c r="G155" i="13" a="1"/>
  <c r="G155" i="13" s="1"/>
  <c r="I155" i="13" s="1" a="1"/>
  <c r="I155" i="13" s="1"/>
  <c r="J155" i="13" s="1" a="1"/>
  <c r="J155" i="13" s="1"/>
  <c r="F154" i="13" a="1"/>
  <c r="F154" i="13" s="1"/>
  <c r="G154" i="13" a="1"/>
  <c r="G154" i="13" s="1"/>
  <c r="I154" i="13" s="1" a="1"/>
  <c r="I154" i="13" s="1"/>
  <c r="J154" i="13" s="1" a="1"/>
  <c r="J154" i="13" s="1"/>
  <c r="F153" i="13" a="1"/>
  <c r="F153" i="13" s="1"/>
  <c r="G153" i="13" a="1"/>
  <c r="G153" i="13" s="1"/>
  <c r="I153" i="13" s="1" a="1"/>
  <c r="I153" i="13" s="1"/>
  <c r="J153" i="13" s="1" a="1"/>
  <c r="J153" i="13" s="1"/>
  <c r="F152" i="13" a="1"/>
  <c r="F152" i="13" s="1"/>
  <c r="G152" i="13" a="1"/>
  <c r="G152" i="13" s="1"/>
  <c r="I152" i="13" s="1" a="1"/>
  <c r="I152" i="13" s="1"/>
  <c r="J152" i="13" s="1" a="1"/>
  <c r="J152" i="13" s="1"/>
  <c r="H86" i="13"/>
  <c r="D86" i="13"/>
  <c r="H87" i="13"/>
  <c r="D87" i="13"/>
  <c r="H88" i="13"/>
  <c r="D88" i="13"/>
  <c r="H89" i="13"/>
  <c r="D89" i="13"/>
  <c r="H90" i="13"/>
  <c r="D90" i="13"/>
  <c r="H91" i="13"/>
  <c r="D91" i="13"/>
  <c r="H92" i="13"/>
  <c r="D92" i="13"/>
  <c r="H93" i="13"/>
  <c r="D93" i="13"/>
  <c r="H94" i="13"/>
  <c r="D94" i="13"/>
  <c r="H95" i="13"/>
  <c r="D95" i="13"/>
  <c r="H96" i="13"/>
  <c r="D96" i="13"/>
  <c r="H97" i="13"/>
  <c r="D97" i="13"/>
  <c r="H98" i="13"/>
  <c r="D98" i="13"/>
  <c r="H99" i="13"/>
  <c r="D99" i="13"/>
  <c r="H100" i="13"/>
  <c r="D100" i="13"/>
  <c r="H101" i="13"/>
  <c r="D101" i="13"/>
  <c r="H102" i="13"/>
  <c r="D102" i="13"/>
  <c r="H103" i="13"/>
  <c r="D103" i="13"/>
  <c r="H104" i="13"/>
  <c r="D104" i="13"/>
  <c r="H105" i="13"/>
  <c r="D105" i="13"/>
  <c r="H106" i="13"/>
  <c r="D106" i="13"/>
  <c r="H107" i="13"/>
  <c r="D107" i="13"/>
  <c r="H108" i="13"/>
  <c r="D108" i="13"/>
  <c r="H109" i="13"/>
  <c r="D109" i="13"/>
  <c r="H110" i="13"/>
  <c r="D110" i="13"/>
  <c r="H111" i="13"/>
  <c r="D111" i="13"/>
  <c r="H112" i="13"/>
  <c r="D112" i="13"/>
  <c r="H113" i="13"/>
  <c r="D113" i="13"/>
  <c r="H114" i="13"/>
  <c r="D114" i="13"/>
  <c r="H115" i="13"/>
  <c r="D115" i="13"/>
  <c r="H116" i="13"/>
  <c r="D116" i="13"/>
  <c r="H117" i="13"/>
  <c r="D117" i="13"/>
  <c r="H118" i="13"/>
  <c r="D118" i="13"/>
  <c r="H119" i="13"/>
  <c r="D119" i="13"/>
  <c r="H120" i="13"/>
  <c r="D120" i="13"/>
  <c r="H121" i="13"/>
  <c r="D121" i="13"/>
  <c r="H122" i="13"/>
  <c r="D122" i="13"/>
  <c r="H123" i="13"/>
  <c r="D123" i="13"/>
  <c r="H124" i="13"/>
  <c r="D124" i="13"/>
  <c r="H125" i="13"/>
  <c r="D125" i="13"/>
  <c r="H126" i="13"/>
  <c r="D126" i="13"/>
  <c r="H127" i="13"/>
  <c r="D127" i="13"/>
  <c r="H128" i="13"/>
  <c r="D128" i="13"/>
  <c r="H129" i="13"/>
  <c r="D129" i="13"/>
  <c r="H130" i="13"/>
  <c r="D130" i="13"/>
  <c r="H131" i="13"/>
  <c r="D131" i="13"/>
  <c r="H132" i="13"/>
  <c r="D132" i="13"/>
  <c r="H133" i="13"/>
  <c r="D133" i="13"/>
  <c r="H134" i="13"/>
  <c r="D134" i="13"/>
  <c r="H135" i="13"/>
  <c r="D135" i="13"/>
  <c r="H136" i="13"/>
  <c r="D136" i="13"/>
  <c r="H137" i="13"/>
  <c r="D137" i="13"/>
  <c r="H138" i="13"/>
  <c r="D138" i="13"/>
  <c r="H139" i="13"/>
  <c r="D139" i="13"/>
  <c r="H140" i="13"/>
  <c r="D140" i="13"/>
  <c r="H141" i="13"/>
  <c r="D141" i="13"/>
  <c r="H142" i="13"/>
  <c r="D142" i="13"/>
  <c r="H143" i="13"/>
  <c r="D143" i="13"/>
  <c r="H144" i="13"/>
  <c r="D144" i="13"/>
  <c r="H145" i="13"/>
  <c r="D145" i="13"/>
  <c r="H146" i="13"/>
  <c r="D146" i="13"/>
  <c r="H147" i="13"/>
  <c r="D147" i="13"/>
  <c r="H148" i="13"/>
  <c r="D148" i="13"/>
  <c r="H149" i="13"/>
  <c r="D149" i="13"/>
  <c r="H150" i="13"/>
  <c r="D150" i="13"/>
  <c r="H151" i="13"/>
  <c r="D151" i="13"/>
  <c r="H158" i="13"/>
  <c r="D158" i="13"/>
  <c r="H159" i="13"/>
  <c r="D159" i="13"/>
  <c r="H160" i="13"/>
  <c r="D160" i="13"/>
  <c r="H161" i="13"/>
  <c r="D161" i="13"/>
  <c r="H162" i="13"/>
  <c r="D162" i="13"/>
  <c r="H163" i="13"/>
  <c r="D163" i="13"/>
  <c r="H164" i="13"/>
  <c r="D164" i="13"/>
  <c r="H165" i="13"/>
  <c r="D165" i="13"/>
  <c r="H166" i="13"/>
  <c r="D166" i="13"/>
  <c r="H167" i="13"/>
  <c r="D167" i="13"/>
  <c r="H168" i="13"/>
  <c r="D168" i="13"/>
  <c r="H169" i="13"/>
  <c r="D169" i="13"/>
  <c r="H170" i="13"/>
  <c r="D170" i="13"/>
  <c r="H171" i="13"/>
  <c r="D171" i="13"/>
  <c r="H172" i="13"/>
  <c r="D172" i="13"/>
  <c r="H173" i="13"/>
  <c r="D173" i="13"/>
  <c r="H174" i="13"/>
  <c r="D174" i="13"/>
  <c r="H175" i="13"/>
  <c r="D175" i="13"/>
  <c r="H176" i="13"/>
  <c r="D176" i="13"/>
  <c r="H177" i="13"/>
  <c r="D177" i="13"/>
  <c r="H178" i="13"/>
  <c r="D178" i="13"/>
  <c r="H179" i="13"/>
  <c r="D179" i="13"/>
  <c r="H180" i="13"/>
  <c r="D180" i="13"/>
  <c r="H181" i="13"/>
  <c r="D181" i="13"/>
  <c r="H182" i="13"/>
  <c r="D182" i="13"/>
  <c r="H183" i="13"/>
  <c r="D183" i="13"/>
  <c r="H184" i="13"/>
  <c r="D184" i="13"/>
  <c r="H185" i="13"/>
  <c r="D185" i="13"/>
  <c r="H186" i="13"/>
  <c r="D186" i="13"/>
  <c r="H187" i="13"/>
  <c r="D187" i="13"/>
  <c r="H188" i="13"/>
  <c r="D188" i="13"/>
  <c r="H189" i="13"/>
  <c r="D189" i="13"/>
  <c r="H190" i="13"/>
  <c r="D190" i="13"/>
  <c r="H191" i="13"/>
  <c r="D191" i="13"/>
  <c r="H192" i="13"/>
  <c r="D192" i="13"/>
  <c r="H193" i="13"/>
  <c r="D193" i="13"/>
  <c r="H194" i="13"/>
  <c r="D194" i="13"/>
  <c r="H195" i="13"/>
  <c r="D195" i="13"/>
  <c r="H196" i="13"/>
  <c r="D196" i="13"/>
  <c r="H197" i="13"/>
  <c r="D197" i="13"/>
  <c r="H198" i="13"/>
  <c r="D198" i="13"/>
  <c r="H199" i="13"/>
  <c r="D199" i="13"/>
  <c r="H200" i="13"/>
  <c r="D200" i="13"/>
  <c r="H201" i="13"/>
  <c r="D201" i="13"/>
  <c r="H202" i="13"/>
  <c r="D202" i="13"/>
  <c r="H203" i="13"/>
  <c r="D203" i="13"/>
  <c r="H204" i="13"/>
  <c r="D204" i="13"/>
  <c r="H205" i="13"/>
  <c r="D205" i="13"/>
  <c r="H206" i="13"/>
  <c r="D206" i="13"/>
  <c r="H207" i="13"/>
  <c r="D207" i="13"/>
  <c r="H208" i="13"/>
  <c r="D208" i="13"/>
  <c r="H209" i="13"/>
  <c r="D209" i="13"/>
  <c r="H210" i="13"/>
  <c r="D210" i="13"/>
  <c r="H211" i="13"/>
  <c r="D211" i="13"/>
  <c r="H212" i="13"/>
  <c r="D212" i="13"/>
  <c r="H213" i="13"/>
  <c r="D213" i="13"/>
  <c r="H214" i="13"/>
  <c r="D214" i="13"/>
  <c r="H215" i="13"/>
  <c r="D215" i="13"/>
  <c r="H216" i="13"/>
  <c r="D216" i="13"/>
  <c r="H217" i="13"/>
  <c r="D217" i="13"/>
  <c r="H218" i="13"/>
  <c r="D218" i="13"/>
  <c r="H219" i="13"/>
  <c r="D219" i="13"/>
  <c r="H220" i="13"/>
  <c r="D220" i="13"/>
  <c r="H221" i="13"/>
  <c r="D221" i="13"/>
  <c r="H222" i="13"/>
  <c r="D222" i="13"/>
  <c r="H223" i="13"/>
  <c r="D223" i="13"/>
  <c r="H230" i="13"/>
  <c r="D230" i="13"/>
  <c r="H231" i="13"/>
  <c r="D231" i="13"/>
  <c r="H232" i="13"/>
  <c r="D232" i="13"/>
  <c r="H233" i="13"/>
  <c r="D233" i="13"/>
  <c r="H234" i="13"/>
  <c r="D234" i="13"/>
  <c r="H235" i="13"/>
  <c r="D235" i="13"/>
  <c r="H236" i="13"/>
  <c r="D236" i="13"/>
  <c r="H237" i="13"/>
  <c r="D237" i="13"/>
  <c r="H238" i="13"/>
  <c r="D238" i="13"/>
  <c r="H239" i="13"/>
  <c r="D239" i="13"/>
  <c r="H240" i="13"/>
  <c r="D240" i="13"/>
  <c r="H241" i="13"/>
  <c r="D241" i="13"/>
  <c r="H242" i="13"/>
  <c r="D242" i="13"/>
  <c r="H243" i="13"/>
  <c r="D243" i="13"/>
  <c r="H244" i="13"/>
  <c r="D244" i="13"/>
  <c r="H245" i="13"/>
  <c r="D245" i="13"/>
  <c r="H246" i="13"/>
  <c r="D246" i="13"/>
  <c r="H247" i="13"/>
  <c r="D247" i="13"/>
  <c r="H248" i="13"/>
  <c r="D248" i="13"/>
  <c r="H249" i="13"/>
  <c r="D249" i="13"/>
  <c r="H250" i="13"/>
  <c r="D250" i="13"/>
  <c r="H251" i="13"/>
  <c r="D251" i="13"/>
  <c r="H252" i="13"/>
  <c r="D252" i="13"/>
  <c r="H253" i="13"/>
  <c r="D253" i="13"/>
  <c r="H254" i="13"/>
  <c r="D254" i="13"/>
  <c r="H255" i="13"/>
  <c r="D255" i="13"/>
  <c r="H256" i="13"/>
  <c r="D256" i="13"/>
  <c r="H257" i="13"/>
  <c r="D257" i="13"/>
  <c r="H258" i="13"/>
  <c r="D258" i="13"/>
  <c r="H259" i="13"/>
  <c r="D259" i="13"/>
  <c r="H260" i="13"/>
  <c r="D260" i="13"/>
  <c r="H261" i="13"/>
  <c r="D261" i="13"/>
  <c r="H262" i="13"/>
  <c r="D262" i="13"/>
  <c r="H263" i="13"/>
  <c r="D263" i="13"/>
  <c r="H264" i="13"/>
  <c r="D264" i="13"/>
  <c r="H265" i="13"/>
  <c r="D265" i="13"/>
  <c r="H266" i="13"/>
  <c r="D266" i="13"/>
  <c r="H267" i="13"/>
  <c r="D267" i="13"/>
  <c r="H268" i="13"/>
  <c r="D268" i="13"/>
  <c r="H269" i="13"/>
  <c r="D269" i="13"/>
  <c r="H270" i="13"/>
  <c r="D270" i="13"/>
  <c r="H271" i="13"/>
  <c r="D271" i="13"/>
  <c r="H272" i="13"/>
  <c r="D272" i="13"/>
  <c r="H273" i="13"/>
  <c r="D273" i="13"/>
  <c r="H274" i="13"/>
  <c r="D274" i="13"/>
  <c r="H275" i="13"/>
  <c r="D275" i="13"/>
  <c r="H276" i="13"/>
  <c r="D276" i="13"/>
  <c r="H277" i="13"/>
  <c r="D277" i="13"/>
  <c r="H278" i="13"/>
  <c r="D278" i="13"/>
  <c r="H279" i="13"/>
  <c r="D279" i="13"/>
  <c r="H280" i="13"/>
  <c r="D280" i="13"/>
  <c r="H281" i="13"/>
  <c r="D281" i="13"/>
  <c r="H282" i="13"/>
  <c r="D282" i="13"/>
  <c r="H283" i="13"/>
  <c r="D283" i="13"/>
  <c r="H284" i="13"/>
  <c r="D284" i="13"/>
  <c r="H285" i="13"/>
  <c r="D285" i="13"/>
  <c r="H286" i="13"/>
  <c r="D286" i="13"/>
  <c r="H287" i="13"/>
  <c r="D287" i="13"/>
  <c r="H288" i="13"/>
  <c r="D288" i="13"/>
  <c r="H289" i="13"/>
  <c r="D289" i="13"/>
  <c r="H290" i="13"/>
  <c r="D290" i="13"/>
  <c r="H291" i="13"/>
  <c r="D291" i="13"/>
  <c r="H292" i="13"/>
  <c r="D292" i="13"/>
  <c r="H293" i="13"/>
  <c r="D293" i="13"/>
  <c r="H294" i="13"/>
  <c r="D294" i="13"/>
  <c r="H295" i="13"/>
  <c r="D295" i="13"/>
  <c r="H302" i="13"/>
  <c r="D302" i="13"/>
  <c r="H303" i="13"/>
  <c r="D303" i="13"/>
  <c r="H304" i="13"/>
  <c r="D304" i="13"/>
  <c r="H305" i="13"/>
  <c r="D305" i="13"/>
  <c r="H306" i="13"/>
  <c r="D306" i="13"/>
  <c r="H307" i="13"/>
  <c r="D307" i="13"/>
  <c r="H308" i="13"/>
  <c r="D308" i="13"/>
  <c r="H309" i="13"/>
  <c r="D309" i="13"/>
  <c r="H310" i="13"/>
  <c r="D310" i="13"/>
  <c r="H311" i="13"/>
  <c r="D311" i="13"/>
  <c r="H312" i="13"/>
  <c r="D312" i="13"/>
  <c r="H313" i="13"/>
  <c r="D313" i="13"/>
  <c r="H314" i="13"/>
  <c r="D314" i="13"/>
  <c r="H315" i="13"/>
  <c r="D315" i="13"/>
  <c r="H316" i="13"/>
  <c r="D316" i="13"/>
  <c r="H317" i="13"/>
  <c r="D317" i="13"/>
  <c r="H318" i="13"/>
  <c r="D318" i="13"/>
  <c r="H319" i="13"/>
  <c r="D319" i="13"/>
  <c r="H320" i="13"/>
  <c r="D320" i="13"/>
  <c r="H321" i="13"/>
  <c r="D321" i="13"/>
  <c r="H322" i="13"/>
  <c r="D322" i="13"/>
  <c r="H323" i="13"/>
  <c r="D323" i="13"/>
  <c r="H324" i="13"/>
  <c r="D324" i="13"/>
  <c r="H325" i="13"/>
  <c r="D325" i="13"/>
  <c r="H326" i="13"/>
  <c r="D326" i="13"/>
  <c r="H327" i="13"/>
  <c r="D327" i="13"/>
  <c r="H328" i="13"/>
  <c r="D328" i="13"/>
  <c r="H329" i="13"/>
  <c r="D329" i="13"/>
  <c r="H330" i="13"/>
  <c r="D330" i="13"/>
  <c r="H331" i="13"/>
  <c r="D331" i="13"/>
  <c r="H332" i="13"/>
  <c r="D332" i="13"/>
  <c r="H333" i="13"/>
  <c r="D333" i="13"/>
  <c r="H334" i="13"/>
  <c r="D334" i="13"/>
  <c r="H335" i="13"/>
  <c r="D335" i="13"/>
  <c r="H336" i="13"/>
  <c r="D336" i="13"/>
  <c r="H337" i="13"/>
  <c r="D337" i="13"/>
  <c r="H338" i="13"/>
  <c r="D338" i="13"/>
  <c r="H339" i="13"/>
  <c r="D339" i="13"/>
  <c r="H340" i="13"/>
  <c r="D340" i="13"/>
  <c r="H341" i="13"/>
  <c r="D341" i="13"/>
  <c r="H342" i="13"/>
  <c r="D342" i="13"/>
  <c r="H343" i="13"/>
  <c r="D343" i="13"/>
  <c r="H344" i="13"/>
  <c r="D344" i="13"/>
  <c r="H345" i="13"/>
  <c r="D345" i="13"/>
  <c r="H346" i="13"/>
  <c r="D346" i="13"/>
  <c r="H347" i="13"/>
  <c r="D347" i="13"/>
  <c r="H348" i="13"/>
  <c r="D348" i="13"/>
  <c r="H349" i="13"/>
  <c r="D349" i="13"/>
  <c r="H350" i="13"/>
  <c r="D350" i="13"/>
  <c r="H351" i="13"/>
  <c r="D351" i="13"/>
  <c r="H352" i="13"/>
  <c r="D352" i="13"/>
  <c r="H353" i="13"/>
  <c r="D353" i="13"/>
  <c r="H354" i="13"/>
  <c r="D354" i="13"/>
  <c r="H355" i="13"/>
  <c r="D355" i="13"/>
  <c r="H356" i="13"/>
  <c r="D356" i="13"/>
  <c r="H357" i="13"/>
  <c r="D357" i="13"/>
  <c r="H358" i="13"/>
  <c r="D358" i="13"/>
  <c r="H359" i="13"/>
  <c r="D359" i="13"/>
  <c r="H360" i="13"/>
  <c r="D360" i="13"/>
  <c r="H361" i="13"/>
  <c r="D361" i="13"/>
  <c r="H362" i="13"/>
  <c r="D362" i="13"/>
  <c r="H363" i="13"/>
  <c r="D363" i="13"/>
  <c r="H364" i="13"/>
  <c r="D364" i="13"/>
  <c r="H365" i="13"/>
  <c r="D365" i="13"/>
  <c r="H366" i="13"/>
  <c r="D366" i="13"/>
  <c r="H367" i="13"/>
  <c r="D367" i="13"/>
  <c r="B376" i="13"/>
  <c r="AG388" i="13" a="1"/>
  <c r="AG388" i="13" s="1"/>
  <c r="AF388" i="13" a="1"/>
  <c r="AF388" i="13" s="1"/>
  <c r="AE388" i="13" a="1"/>
  <c r="AE388" i="13" s="1"/>
  <c r="AD388" i="13" a="1"/>
  <c r="AD388" i="13" s="1"/>
  <c r="AC388" i="13" a="1"/>
  <c r="AC388" i="13" s="1"/>
  <c r="AB388" i="13" a="1"/>
  <c r="AB388" i="13" s="1"/>
  <c r="AA388" i="13" a="1"/>
  <c r="AA388" i="13" s="1"/>
  <c r="Z388" i="13" a="1"/>
  <c r="Z388" i="13" s="1"/>
  <c r="Y388" i="13" a="1"/>
  <c r="Y388" i="13" s="1"/>
  <c r="X388" i="13" a="1"/>
  <c r="X388" i="13" s="1"/>
  <c r="W388" i="13" a="1"/>
  <c r="W388" i="13" s="1"/>
  <c r="V388" i="13" a="1"/>
  <c r="V388" i="13" s="1"/>
  <c r="U388" i="13" a="1"/>
  <c r="U388" i="13" s="1"/>
  <c r="T388" i="13" a="1"/>
  <c r="T388" i="13" s="1"/>
  <c r="S388" i="13" a="1"/>
  <c r="S388" i="13" s="1"/>
  <c r="R388" i="13" a="1"/>
  <c r="R388" i="13" s="1"/>
  <c r="Q388" i="13" a="1"/>
  <c r="Q388" i="13" s="1"/>
  <c r="P388" i="13" a="1"/>
  <c r="P388" i="13" s="1"/>
  <c r="O388" i="13" a="1"/>
  <c r="O388" i="13" s="1"/>
  <c r="N388" i="13" a="1"/>
  <c r="N388" i="13" s="1"/>
  <c r="M388" i="13" a="1"/>
  <c r="M388" i="13" s="1"/>
  <c r="L388" i="13" a="1"/>
  <c r="L388" i="13" s="1"/>
  <c r="K388" i="13" a="1"/>
  <c r="K388" i="13" s="1"/>
  <c r="J388" i="13" a="1"/>
  <c r="J388" i="13" s="1"/>
  <c r="I388" i="13" a="1"/>
  <c r="I388" i="13" s="1"/>
  <c r="H388" i="13" a="1"/>
  <c r="H388" i="13" s="1"/>
  <c r="G388" i="13" a="1"/>
  <c r="G388" i="13" s="1"/>
  <c r="F388" i="13" a="1"/>
  <c r="F388" i="13" s="1"/>
  <c r="E388" i="13" a="1"/>
  <c r="E388" i="13" s="1"/>
  <c r="D388" i="13" a="1"/>
  <c r="D388" i="13" s="1"/>
  <c r="AG387" i="13" a="1"/>
  <c r="AG387" i="13" s="1"/>
  <c r="AF387" i="13" a="1"/>
  <c r="AF387" i="13" s="1"/>
  <c r="AE387" i="13" a="1"/>
  <c r="AE387" i="13" s="1"/>
  <c r="AD387" i="13" a="1"/>
  <c r="AD387" i="13" s="1"/>
  <c r="AC387" i="13" a="1"/>
  <c r="AC387" i="13" s="1"/>
  <c r="AB387" i="13" a="1"/>
  <c r="AB387" i="13" s="1"/>
  <c r="AA387" i="13" a="1"/>
  <c r="AA387" i="13" s="1"/>
  <c r="Z387" i="13" a="1"/>
  <c r="Z387" i="13" s="1"/>
  <c r="Y387" i="13" a="1"/>
  <c r="Y387" i="13" s="1"/>
  <c r="X387" i="13" a="1"/>
  <c r="X387" i="13" s="1"/>
  <c r="W387" i="13" a="1"/>
  <c r="W387" i="13" s="1"/>
  <c r="V387" i="13" a="1"/>
  <c r="V387" i="13" s="1"/>
  <c r="U387" i="13" a="1"/>
  <c r="U387" i="13" s="1"/>
  <c r="T387" i="13" a="1"/>
  <c r="T387" i="13" s="1"/>
  <c r="S387" i="13" a="1"/>
  <c r="S387" i="13" s="1"/>
  <c r="R387" i="13" a="1"/>
  <c r="R387" i="13" s="1"/>
  <c r="Q387" i="13" a="1"/>
  <c r="Q387" i="13" s="1"/>
  <c r="P387" i="13" a="1"/>
  <c r="P387" i="13" s="1"/>
  <c r="O387" i="13" a="1"/>
  <c r="O387" i="13" s="1"/>
  <c r="N387" i="13" a="1"/>
  <c r="N387" i="13" s="1"/>
  <c r="M387" i="13" a="1"/>
  <c r="M387" i="13" s="1"/>
  <c r="L387" i="13" a="1"/>
  <c r="L387" i="13" s="1"/>
  <c r="K387" i="13" a="1"/>
  <c r="K387" i="13" s="1"/>
  <c r="J387" i="13" a="1"/>
  <c r="J387" i="13" s="1"/>
  <c r="I387" i="13" a="1"/>
  <c r="I387" i="13" s="1"/>
  <c r="H387" i="13" a="1"/>
  <c r="H387" i="13" s="1"/>
  <c r="G387" i="13" a="1"/>
  <c r="G387" i="13" s="1"/>
  <c r="F387" i="13" a="1"/>
  <c r="F387" i="13" s="1"/>
  <c r="E387" i="13" a="1"/>
  <c r="E387" i="13" s="1"/>
  <c r="D387" i="13" a="1"/>
  <c r="D387" i="13" s="1"/>
  <c r="AG386" i="13" a="1"/>
  <c r="AG386" i="13" s="1"/>
  <c r="AF386" i="13" a="1"/>
  <c r="AF386" i="13" s="1"/>
  <c r="AE386" i="13" a="1"/>
  <c r="AE386" i="13" s="1"/>
  <c r="AD386" i="13" a="1"/>
  <c r="AD386" i="13" s="1"/>
  <c r="AC386" i="13" a="1"/>
  <c r="AC386" i="13" s="1"/>
  <c r="AB386" i="13" a="1"/>
  <c r="AB386" i="13" s="1"/>
  <c r="AA386" i="13" a="1"/>
  <c r="AA386" i="13" s="1"/>
  <c r="Z386" i="13" a="1"/>
  <c r="Z386" i="13" s="1"/>
  <c r="Y386" i="13" a="1"/>
  <c r="Y386" i="13" s="1"/>
  <c r="X386" i="13" a="1"/>
  <c r="X386" i="13" s="1"/>
  <c r="W386" i="13" a="1"/>
  <c r="W386" i="13" s="1"/>
  <c r="V386" i="13" a="1"/>
  <c r="V386" i="13" s="1"/>
  <c r="U386" i="13" a="1"/>
  <c r="U386" i="13" s="1"/>
  <c r="T386" i="13" a="1"/>
  <c r="T386" i="13" s="1"/>
  <c r="S386" i="13" a="1"/>
  <c r="S386" i="13" s="1"/>
  <c r="R386" i="13" a="1"/>
  <c r="R386" i="13" s="1"/>
  <c r="Q386" i="13" a="1"/>
  <c r="Q386" i="13" s="1"/>
  <c r="P386" i="13" a="1"/>
  <c r="P386" i="13" s="1"/>
  <c r="O386" i="13" a="1"/>
  <c r="O386" i="13" s="1"/>
  <c r="N386" i="13" a="1"/>
  <c r="N386" i="13" s="1"/>
  <c r="M386" i="13" a="1"/>
  <c r="M386" i="13" s="1"/>
  <c r="L386" i="13" a="1"/>
  <c r="L386" i="13" s="1"/>
  <c r="K386" i="13" a="1"/>
  <c r="K386" i="13" s="1"/>
  <c r="J386" i="13" a="1"/>
  <c r="J386" i="13" s="1"/>
  <c r="I386" i="13" a="1"/>
  <c r="I386" i="13" s="1"/>
  <c r="H386" i="13" a="1"/>
  <c r="H386" i="13" s="1"/>
  <c r="G386" i="13" a="1"/>
  <c r="G386" i="13" s="1"/>
  <c r="F386" i="13" a="1"/>
  <c r="F386" i="13" s="1"/>
  <c r="E386" i="13" a="1"/>
  <c r="E386" i="13" s="1"/>
  <c r="D386" i="13" a="1"/>
  <c r="D386" i="13" s="1"/>
  <c r="AG385" i="13" a="1"/>
  <c r="AG385" i="13" s="1"/>
  <c r="AF385" i="13" a="1"/>
  <c r="AF385" i="13" s="1"/>
  <c r="AE385" i="13" a="1"/>
  <c r="AE385" i="13" s="1"/>
  <c r="AD385" i="13" a="1"/>
  <c r="AD385" i="13" s="1"/>
  <c r="AC385" i="13" a="1"/>
  <c r="AC385" i="13" s="1"/>
  <c r="AB385" i="13" a="1"/>
  <c r="AB385" i="13" s="1"/>
  <c r="AA385" i="13" a="1"/>
  <c r="AA385" i="13" s="1"/>
  <c r="Z385" i="13" a="1"/>
  <c r="Z385" i="13" s="1"/>
  <c r="Y385" i="13" a="1"/>
  <c r="Y385" i="13" s="1"/>
  <c r="X385" i="13" a="1"/>
  <c r="X385" i="13" s="1"/>
  <c r="W385" i="13" a="1"/>
  <c r="W385" i="13" s="1"/>
  <c r="V385" i="13" a="1"/>
  <c r="V385" i="13" s="1"/>
  <c r="U385" i="13" a="1"/>
  <c r="U385" i="13" s="1"/>
  <c r="T385" i="13" a="1"/>
  <c r="T385" i="13" s="1"/>
  <c r="S385" i="13" a="1"/>
  <c r="S385" i="13" s="1"/>
  <c r="R385" i="13" a="1"/>
  <c r="R385" i="13" s="1"/>
  <c r="Q385" i="13" a="1"/>
  <c r="Q385" i="13" s="1"/>
  <c r="P385" i="13" a="1"/>
  <c r="P385" i="13" s="1"/>
  <c r="O385" i="13" a="1"/>
  <c r="O385" i="13" s="1"/>
  <c r="N385" i="13" a="1"/>
  <c r="N385" i="13" s="1"/>
  <c r="M385" i="13" a="1"/>
  <c r="M385" i="13" s="1"/>
  <c r="L385" i="13" a="1"/>
  <c r="L385" i="13" s="1"/>
  <c r="K385" i="13" a="1"/>
  <c r="K385" i="13" s="1"/>
  <c r="J385" i="13" a="1"/>
  <c r="J385" i="13" s="1"/>
  <c r="I385" i="13" a="1"/>
  <c r="I385" i="13" s="1"/>
  <c r="H385" i="13" a="1"/>
  <c r="H385" i="13" s="1"/>
  <c r="G385" i="13" a="1"/>
  <c r="G385" i="13" s="1"/>
  <c r="F385" i="13" a="1"/>
  <c r="F385" i="13" s="1"/>
  <c r="E385" i="13" a="1"/>
  <c r="E385" i="13" s="1"/>
  <c r="D385" i="13" a="1"/>
  <c r="D385" i="13" s="1"/>
  <c r="AG384" i="13" a="1"/>
  <c r="AG384" i="13" s="1"/>
  <c r="AF384" i="13" a="1"/>
  <c r="AF384" i="13" s="1"/>
  <c r="AE384" i="13" a="1"/>
  <c r="AE384" i="13" s="1"/>
  <c r="AD384" i="13" a="1"/>
  <c r="AD384" i="13" s="1"/>
  <c r="AC384" i="13" a="1"/>
  <c r="AC384" i="13" s="1"/>
  <c r="AB384" i="13" a="1"/>
  <c r="AB384" i="13" s="1"/>
  <c r="AA384" i="13" a="1"/>
  <c r="AA384" i="13" s="1"/>
  <c r="Z384" i="13" a="1"/>
  <c r="Z384" i="13" s="1"/>
  <c r="Y384" i="13" a="1"/>
  <c r="Y384" i="13" s="1"/>
  <c r="X384" i="13" a="1"/>
  <c r="X384" i="13" s="1"/>
  <c r="W384" i="13" a="1"/>
  <c r="W384" i="13" s="1"/>
  <c r="V384" i="13" a="1"/>
  <c r="V384" i="13" s="1"/>
  <c r="U384" i="13" a="1"/>
  <c r="U384" i="13" s="1"/>
  <c r="T384" i="13" a="1"/>
  <c r="T384" i="13" s="1"/>
  <c r="S384" i="13" a="1"/>
  <c r="S384" i="13" s="1"/>
  <c r="R384" i="13" a="1"/>
  <c r="R384" i="13" s="1"/>
  <c r="Q384" i="13" a="1"/>
  <c r="Q384" i="13" s="1"/>
  <c r="P384" i="13" a="1"/>
  <c r="P384" i="13" s="1"/>
  <c r="O384" i="13" a="1"/>
  <c r="O384" i="13" s="1"/>
  <c r="N384" i="13" a="1"/>
  <c r="N384" i="13" s="1"/>
  <c r="M384" i="13" a="1"/>
  <c r="M384" i="13" s="1"/>
  <c r="L384" i="13" a="1"/>
  <c r="L384" i="13" s="1"/>
  <c r="K384" i="13" a="1"/>
  <c r="K384" i="13" s="1"/>
  <c r="J384" i="13" a="1"/>
  <c r="J384" i="13" s="1"/>
  <c r="I384" i="13" a="1"/>
  <c r="I384" i="13" s="1"/>
  <c r="H384" i="13" a="1"/>
  <c r="H384" i="13" s="1"/>
  <c r="G384" i="13" a="1"/>
  <c r="G384" i="13" s="1"/>
  <c r="F384" i="13" a="1"/>
  <c r="F384" i="13" s="1"/>
  <c r="E384" i="13" a="1"/>
  <c r="E384" i="13" s="1"/>
  <c r="D384" i="13" a="1"/>
  <c r="D384" i="13" s="1"/>
  <c r="AG383" i="13" a="1"/>
  <c r="AG383" i="13" s="1"/>
  <c r="AF383" i="13" a="1"/>
  <c r="AF383" i="13" s="1"/>
  <c r="AE383" i="13" a="1"/>
  <c r="AE383" i="13" s="1"/>
  <c r="AD383" i="13" a="1"/>
  <c r="AD383" i="13" s="1"/>
  <c r="AC383" i="13" a="1"/>
  <c r="AC383" i="13" s="1"/>
  <c r="AB383" i="13" a="1"/>
  <c r="AB383" i="13" s="1"/>
  <c r="AA383" i="13" a="1"/>
  <c r="AA383" i="13" s="1"/>
  <c r="Z383" i="13" a="1"/>
  <c r="Z383" i="13" s="1"/>
  <c r="Y383" i="13" a="1"/>
  <c r="Y383" i="13" s="1"/>
  <c r="X383" i="13" a="1"/>
  <c r="X383" i="13" s="1"/>
  <c r="W383" i="13" a="1"/>
  <c r="W383" i="13" s="1"/>
  <c r="V383" i="13" a="1"/>
  <c r="V383" i="13" s="1"/>
  <c r="U383" i="13" a="1"/>
  <c r="U383" i="13" s="1"/>
  <c r="T383" i="13" a="1"/>
  <c r="T383" i="13" s="1"/>
  <c r="S383" i="13" a="1"/>
  <c r="S383" i="13" s="1"/>
  <c r="R383" i="13" a="1"/>
  <c r="R383" i="13" s="1"/>
  <c r="Q383" i="13" a="1"/>
  <c r="Q383" i="13" s="1"/>
  <c r="P383" i="13" a="1"/>
  <c r="P383" i="13" s="1"/>
  <c r="O383" i="13" a="1"/>
  <c r="O383" i="13" s="1"/>
  <c r="N383" i="13" a="1"/>
  <c r="N383" i="13" s="1"/>
  <c r="M383" i="13" a="1"/>
  <c r="M383" i="13" s="1"/>
  <c r="L383" i="13" a="1"/>
  <c r="L383" i="13" s="1"/>
  <c r="K383" i="13" a="1"/>
  <c r="K383" i="13" s="1"/>
  <c r="J383" i="13" a="1"/>
  <c r="J383" i="13" s="1"/>
  <c r="I383" i="13" a="1"/>
  <c r="I383" i="13" s="1"/>
  <c r="H383" i="13" a="1"/>
  <c r="H383" i="13" s="1"/>
  <c r="G383" i="13" a="1"/>
  <c r="G383" i="13" s="1"/>
  <c r="F383" i="13" a="1"/>
  <c r="F383" i="13" s="1"/>
  <c r="E383" i="13" a="1"/>
  <c r="E383" i="13" s="1"/>
  <c r="D383" i="13" a="1"/>
  <c r="D383" i="13" s="1"/>
  <c r="AG382" i="13" a="1"/>
  <c r="AG382" i="13" s="1"/>
  <c r="AF382" i="13" a="1"/>
  <c r="AF382" i="13" s="1"/>
  <c r="AE382" i="13" a="1"/>
  <c r="AE382" i="13" s="1"/>
  <c r="AD382" i="13" a="1"/>
  <c r="AD382" i="13" s="1"/>
  <c r="AC382" i="13" a="1"/>
  <c r="AC382" i="13" s="1"/>
  <c r="AB382" i="13" a="1"/>
  <c r="AB382" i="13" s="1"/>
  <c r="AA382" i="13" a="1"/>
  <c r="AA382" i="13" s="1"/>
  <c r="Z382" i="13" a="1"/>
  <c r="Z382" i="13" s="1"/>
  <c r="Y382" i="13" a="1"/>
  <c r="Y382" i="13" s="1"/>
  <c r="X382" i="13" a="1"/>
  <c r="X382" i="13" s="1"/>
  <c r="W382" i="13" a="1"/>
  <c r="W382" i="13" s="1"/>
  <c r="V382" i="13" a="1"/>
  <c r="V382" i="13" s="1"/>
  <c r="U382" i="13" a="1"/>
  <c r="U382" i="13" s="1"/>
  <c r="T382" i="13" a="1"/>
  <c r="T382" i="13" s="1"/>
  <c r="S382" i="13" a="1"/>
  <c r="S382" i="13" s="1"/>
  <c r="R382" i="13" a="1"/>
  <c r="R382" i="13" s="1"/>
  <c r="Q382" i="13" a="1"/>
  <c r="Q382" i="13" s="1"/>
  <c r="P382" i="13" a="1"/>
  <c r="P382" i="13" s="1"/>
  <c r="O382" i="13" a="1"/>
  <c r="O382" i="13" s="1"/>
  <c r="N382" i="13" a="1"/>
  <c r="N382" i="13" s="1"/>
  <c r="M382" i="13" a="1"/>
  <c r="M382" i="13" s="1"/>
  <c r="L382" i="13" a="1"/>
  <c r="L382" i="13" s="1"/>
  <c r="K382" i="13" a="1"/>
  <c r="K382" i="13" s="1"/>
  <c r="J382" i="13" a="1"/>
  <c r="J382" i="13" s="1"/>
  <c r="I382" i="13" a="1"/>
  <c r="I382" i="13" s="1"/>
  <c r="H382" i="13" a="1"/>
  <c r="H382" i="13" s="1"/>
  <c r="G382" i="13" a="1"/>
  <c r="G382" i="13" s="1"/>
  <c r="F382" i="13" a="1"/>
  <c r="F382" i="13" s="1"/>
  <c r="E382" i="13" a="1"/>
  <c r="E382" i="13" s="1"/>
  <c r="D382" i="13" a="1"/>
  <c r="D382" i="13" s="1"/>
  <c r="AG381" i="13" a="1"/>
  <c r="AG381" i="13" s="1"/>
  <c r="AF381" i="13" a="1"/>
  <c r="AF381" i="13" s="1"/>
  <c r="AE381" i="13" a="1"/>
  <c r="AE381" i="13" s="1"/>
  <c r="AD381" i="13" a="1"/>
  <c r="AD381" i="13" s="1"/>
  <c r="AC381" i="13" a="1"/>
  <c r="AC381" i="13" s="1"/>
  <c r="AB381" i="13" a="1"/>
  <c r="AB381" i="13" s="1"/>
  <c r="AA381" i="13" a="1"/>
  <c r="AA381" i="13" s="1"/>
  <c r="Z381" i="13" a="1"/>
  <c r="Z381" i="13" s="1"/>
  <c r="Y381" i="13" a="1"/>
  <c r="Y381" i="13" s="1"/>
  <c r="X381" i="13" a="1"/>
  <c r="X381" i="13" s="1"/>
  <c r="W381" i="13" a="1"/>
  <c r="W381" i="13" s="1"/>
  <c r="V381" i="13" a="1"/>
  <c r="V381" i="13" s="1"/>
  <c r="U381" i="13" a="1"/>
  <c r="U381" i="13" s="1"/>
  <c r="T381" i="13" a="1"/>
  <c r="T381" i="13" s="1"/>
  <c r="S381" i="13" a="1"/>
  <c r="S381" i="13" s="1"/>
  <c r="R381" i="13" a="1"/>
  <c r="R381" i="13" s="1"/>
  <c r="Q381" i="13" a="1"/>
  <c r="Q381" i="13" s="1"/>
  <c r="P381" i="13" a="1"/>
  <c r="P381" i="13" s="1"/>
  <c r="O381" i="13" a="1"/>
  <c r="O381" i="13" s="1"/>
  <c r="N381" i="13" a="1"/>
  <c r="N381" i="13" s="1"/>
  <c r="M381" i="13" a="1"/>
  <c r="M381" i="13" s="1"/>
  <c r="L381" i="13" a="1"/>
  <c r="L381" i="13" s="1"/>
  <c r="K381" i="13" a="1"/>
  <c r="K381" i="13" s="1"/>
  <c r="J381" i="13" a="1"/>
  <c r="J381" i="13" s="1"/>
  <c r="I381" i="13" a="1"/>
  <c r="I381" i="13" s="1"/>
  <c r="H381" i="13" a="1"/>
  <c r="H381" i="13" s="1"/>
  <c r="G381" i="13" a="1"/>
  <c r="G381" i="13" s="1"/>
  <c r="F381" i="13" a="1"/>
  <c r="F381" i="13" s="1"/>
  <c r="E381" i="13" a="1"/>
  <c r="E381" i="13" s="1"/>
  <c r="D381" i="13" a="1"/>
  <c r="D381" i="13" s="1"/>
  <c r="AG380" i="13" a="1"/>
  <c r="AG380" i="13" s="1"/>
  <c r="AF380" i="13" a="1"/>
  <c r="AF380" i="13" s="1"/>
  <c r="AE380" i="13" a="1"/>
  <c r="AE380" i="13" s="1"/>
  <c r="AD380" i="13" a="1"/>
  <c r="AD380" i="13" s="1"/>
  <c r="AC380" i="13" a="1"/>
  <c r="AC380" i="13" s="1"/>
  <c r="AB380" i="13" a="1"/>
  <c r="AB380" i="13" s="1"/>
  <c r="AA380" i="13" a="1"/>
  <c r="AA380" i="13" s="1"/>
  <c r="Z380" i="13" a="1"/>
  <c r="Z380" i="13" s="1"/>
  <c r="Y380" i="13" a="1"/>
  <c r="Y380" i="13" s="1"/>
  <c r="X380" i="13" a="1"/>
  <c r="X380" i="13" s="1"/>
  <c r="W380" i="13" a="1"/>
  <c r="W380" i="13" s="1"/>
  <c r="V380" i="13" a="1"/>
  <c r="V380" i="13" s="1"/>
  <c r="U380" i="13" a="1"/>
  <c r="U380" i="13" s="1"/>
  <c r="T380" i="13" a="1"/>
  <c r="T380" i="13" s="1"/>
  <c r="S380" i="13" a="1"/>
  <c r="S380" i="13" s="1"/>
  <c r="R380" i="13" a="1"/>
  <c r="R380" i="13" s="1"/>
  <c r="Q380" i="13" a="1"/>
  <c r="Q380" i="13" s="1"/>
  <c r="P380" i="13" a="1"/>
  <c r="P380" i="13" s="1"/>
  <c r="O380" i="13" a="1"/>
  <c r="O380" i="13" s="1"/>
  <c r="N380" i="13" a="1"/>
  <c r="N380" i="13" s="1"/>
  <c r="M380" i="13" a="1"/>
  <c r="M380" i="13" s="1"/>
  <c r="L380" i="13" a="1"/>
  <c r="L380" i="13" s="1"/>
  <c r="K380" i="13" a="1"/>
  <c r="K380" i="13" s="1"/>
  <c r="J380" i="13" a="1"/>
  <c r="J380" i="13" s="1"/>
  <c r="I380" i="13" a="1"/>
  <c r="I380" i="13" s="1"/>
  <c r="H380" i="13" a="1"/>
  <c r="H380" i="13" s="1"/>
  <c r="G380" i="13" a="1"/>
  <c r="G380" i="13" s="1"/>
  <c r="F380" i="13" a="1"/>
  <c r="F380" i="13" s="1"/>
  <c r="E380" i="13" a="1"/>
  <c r="E380" i="13" s="1"/>
  <c r="D380" i="13" a="1"/>
  <c r="D380" i="13" s="1"/>
  <c r="AG379" i="13" a="1"/>
  <c r="AG379" i="13" s="1"/>
  <c r="AF379" i="13" a="1"/>
  <c r="AF379" i="13" s="1"/>
  <c r="AE379" i="13" a="1"/>
  <c r="AE379" i="13" s="1"/>
  <c r="AD379" i="13" a="1"/>
  <c r="AD379" i="13" s="1"/>
  <c r="AC379" i="13" a="1"/>
  <c r="AC379" i="13" s="1"/>
  <c r="AB379" i="13" a="1"/>
  <c r="AB379" i="13" s="1"/>
  <c r="AA379" i="13" a="1"/>
  <c r="AA379" i="13" s="1"/>
  <c r="Z379" i="13" a="1"/>
  <c r="Z379" i="13" s="1"/>
  <c r="Y379" i="13" a="1"/>
  <c r="Y379" i="13" s="1"/>
  <c r="X379" i="13" a="1"/>
  <c r="X379" i="13" s="1"/>
  <c r="W379" i="13" a="1"/>
  <c r="W379" i="13" s="1"/>
  <c r="V379" i="13" a="1"/>
  <c r="V379" i="13" s="1"/>
  <c r="U379" i="13" a="1"/>
  <c r="U379" i="13" s="1"/>
  <c r="T379" i="13" a="1"/>
  <c r="T379" i="13" s="1"/>
  <c r="S379" i="13" a="1"/>
  <c r="S379" i="13" s="1"/>
  <c r="R379" i="13" a="1"/>
  <c r="R379" i="13" s="1"/>
  <c r="Q379" i="13" a="1"/>
  <c r="Q379" i="13" s="1"/>
  <c r="P379" i="13" a="1"/>
  <c r="P379" i="13" s="1"/>
  <c r="O379" i="13" a="1"/>
  <c r="O379" i="13" s="1"/>
  <c r="N379" i="13" a="1"/>
  <c r="N379" i="13" s="1"/>
  <c r="M379" i="13" a="1"/>
  <c r="M379" i="13" s="1"/>
  <c r="L379" i="13" a="1"/>
  <c r="L379" i="13" s="1"/>
  <c r="K379" i="13" a="1"/>
  <c r="K379" i="13" s="1"/>
  <c r="J379" i="13" a="1"/>
  <c r="J379" i="13" s="1"/>
  <c r="I379" i="13" a="1"/>
  <c r="I379" i="13" s="1"/>
  <c r="H379" i="13" a="1"/>
  <c r="H379" i="13" s="1"/>
  <c r="G379" i="13" a="1"/>
  <c r="G379" i="13" s="1"/>
  <c r="F379" i="13" a="1"/>
  <c r="F379" i="13" s="1"/>
  <c r="E379" i="13" a="1"/>
  <c r="E379" i="13" s="1"/>
  <c r="D379" i="13" a="1"/>
  <c r="D379" i="13" s="1"/>
  <c r="AG378" i="13" a="1"/>
  <c r="AG378" i="13" s="1"/>
  <c r="AF378" i="13" a="1"/>
  <c r="AF378" i="13" s="1"/>
  <c r="AE378" i="13" a="1"/>
  <c r="AE378" i="13" s="1"/>
  <c r="AD378" i="13" a="1"/>
  <c r="AD378" i="13" s="1"/>
  <c r="AC378" i="13" a="1"/>
  <c r="AC378" i="13" s="1"/>
  <c r="AB378" i="13" a="1"/>
  <c r="AB378" i="13" s="1"/>
  <c r="AA378" i="13" a="1"/>
  <c r="AA378" i="13" s="1"/>
  <c r="Z378" i="13" a="1"/>
  <c r="Z378" i="13" s="1"/>
  <c r="Y378" i="13" a="1"/>
  <c r="Y378" i="13" s="1"/>
  <c r="X378" i="13" a="1"/>
  <c r="X378" i="13" s="1"/>
  <c r="W378" i="13" a="1"/>
  <c r="W378" i="13" s="1"/>
  <c r="V378" i="13" a="1"/>
  <c r="V378" i="13" s="1"/>
  <c r="U378" i="13" a="1"/>
  <c r="U378" i="13" s="1"/>
  <c r="T378" i="13" a="1"/>
  <c r="T378" i="13" s="1"/>
  <c r="S378" i="13" a="1"/>
  <c r="S378" i="13" s="1"/>
  <c r="R378" i="13" a="1"/>
  <c r="R378" i="13" s="1"/>
  <c r="Q378" i="13" a="1"/>
  <c r="Q378" i="13" s="1"/>
  <c r="P378" i="13" a="1"/>
  <c r="P378" i="13" s="1"/>
  <c r="O378" i="13" a="1"/>
  <c r="O378" i="13" s="1"/>
  <c r="N378" i="13" a="1"/>
  <c r="N378" i="13" s="1"/>
  <c r="M378" i="13" a="1"/>
  <c r="M378" i="13" s="1"/>
  <c r="L378" i="13" a="1"/>
  <c r="L378" i="13" s="1"/>
  <c r="K378" i="13" a="1"/>
  <c r="K378" i="13" s="1"/>
  <c r="J378" i="13" a="1"/>
  <c r="J378" i="13" s="1"/>
  <c r="I378" i="13" a="1"/>
  <c r="I378" i="13" s="1"/>
  <c r="H378" i="13" a="1"/>
  <c r="H378" i="13" s="1"/>
  <c r="G378" i="13" a="1"/>
  <c r="G378" i="13" s="1"/>
  <c r="F378" i="13" a="1"/>
  <c r="F378" i="13" s="1"/>
  <c r="E378" i="13" a="1"/>
  <c r="E378" i="13" s="1"/>
  <c r="D378" i="13" a="1"/>
  <c r="D378" i="13" s="1"/>
  <c r="AG377" i="13" a="1"/>
  <c r="AG377" i="13" s="1"/>
  <c r="AF377" i="13" a="1"/>
  <c r="AF377" i="13" s="1"/>
  <c r="AE377" i="13" a="1"/>
  <c r="AE377" i="13" s="1"/>
  <c r="AD377" i="13" a="1"/>
  <c r="AD377" i="13" s="1"/>
  <c r="AC377" i="13" a="1"/>
  <c r="AC377" i="13" s="1"/>
  <c r="AB377" i="13" a="1"/>
  <c r="AB377" i="13" s="1"/>
  <c r="AA377" i="13" a="1"/>
  <c r="AA377" i="13" s="1"/>
  <c r="Z377" i="13" a="1"/>
  <c r="Z377" i="13" s="1"/>
  <c r="Y377" i="13" a="1"/>
  <c r="Y377" i="13" s="1"/>
  <c r="X377" i="13" a="1"/>
  <c r="X377" i="13" s="1"/>
  <c r="W377" i="13" a="1"/>
  <c r="W377" i="13" s="1"/>
  <c r="V377" i="13" a="1"/>
  <c r="V377" i="13" s="1"/>
  <c r="U377" i="13" a="1"/>
  <c r="U377" i="13" s="1"/>
  <c r="T377" i="13" a="1"/>
  <c r="T377" i="13" s="1"/>
  <c r="S377" i="13" a="1"/>
  <c r="S377" i="13" s="1"/>
  <c r="R377" i="13" a="1"/>
  <c r="R377" i="13" s="1"/>
  <c r="Q377" i="13" a="1"/>
  <c r="Q377" i="13" s="1"/>
  <c r="P377" i="13" a="1"/>
  <c r="P377" i="13" s="1"/>
  <c r="O377" i="13" a="1"/>
  <c r="O377" i="13" s="1"/>
  <c r="N377" i="13" a="1"/>
  <c r="N377" i="13" s="1"/>
  <c r="M377" i="13" a="1"/>
  <c r="M377" i="13" s="1"/>
  <c r="L377" i="13" a="1"/>
  <c r="L377" i="13" s="1"/>
  <c r="K377" i="13" a="1"/>
  <c r="K377" i="13" s="1"/>
  <c r="J377" i="13" a="1"/>
  <c r="J377" i="13" s="1"/>
  <c r="I377" i="13" a="1"/>
  <c r="I377" i="13" s="1"/>
  <c r="H377" i="13" a="1"/>
  <c r="H377" i="13" s="1"/>
  <c r="G377" i="13" a="1"/>
  <c r="G377" i="13" s="1"/>
  <c r="F377" i="13" a="1"/>
  <c r="F377" i="13" s="1"/>
  <c r="E377" i="13" a="1"/>
  <c r="E377" i="13" s="1"/>
  <c r="D377" i="13" a="1"/>
  <c r="D377" i="13" s="1"/>
  <c r="B4" i="5" a="1"/>
  <c r="B305" i="25" a="1"/>
  <c r="B305" i="25" s="1"/>
  <c r="B321" i="25" s="1" a="1"/>
  <c r="B321" i="25" s="1"/>
  <c r="B54" i="25" a="1"/>
  <c r="B54" i="25" s="1"/>
  <c r="E76" i="25" s="1" a="1"/>
  <c r="E76" i="25" s="1"/>
  <c r="D76" i="25" a="1"/>
  <c r="D76" i="25" s="1"/>
  <c r="E83" i="25"/>
  <c r="E95" i="25"/>
  <c r="E107" i="25"/>
  <c r="E119" i="25"/>
  <c r="C83" i="25"/>
  <c r="F93" i="25" a="1"/>
  <c r="F93" i="25" s="1"/>
  <c r="F92" i="25" a="1"/>
  <c r="F92" i="25" s="1"/>
  <c r="G92" i="25" s="1" a="1"/>
  <c r="G92" i="25" s="1"/>
  <c r="F91" i="25" a="1"/>
  <c r="F91" i="25" s="1"/>
  <c r="G91" i="25" s="1" a="1"/>
  <c r="G91" i="25" s="1"/>
  <c r="F90" i="25" a="1"/>
  <c r="F90" i="25" s="1"/>
  <c r="G90" i="25" s="1" a="1"/>
  <c r="G90" i="25" s="1"/>
  <c r="F89" i="25" a="1"/>
  <c r="F89" i="25" s="1"/>
  <c r="G89" i="25" s="1" a="1"/>
  <c r="G89" i="25" s="1"/>
  <c r="F88" i="25" a="1"/>
  <c r="F88" i="25" s="1"/>
  <c r="F87" i="25" a="1"/>
  <c r="F87" i="25" s="1"/>
  <c r="G87" i="25" s="1" a="1"/>
  <c r="G87" i="25" s="1"/>
  <c r="F84" i="25" a="1"/>
  <c r="F84" i="25" s="1"/>
  <c r="F86" i="25" a="1"/>
  <c r="F86" i="25" s="1"/>
  <c r="G86" i="25" s="1" a="1"/>
  <c r="G86" i="25" s="1"/>
  <c r="F85" i="25" a="1"/>
  <c r="F85" i="25" s="1"/>
  <c r="F94" i="25" a="1"/>
  <c r="F94" i="25" s="1"/>
  <c r="G94" i="25" s="1" a="1"/>
  <c r="G94" i="25" s="1"/>
  <c r="C95" i="25"/>
  <c r="F95" i="25" s="1" a="1"/>
  <c r="F95" i="25" s="1"/>
  <c r="G95" i="25" s="1" a="1"/>
  <c r="G95" i="25" s="1"/>
  <c r="F105" i="25" a="1"/>
  <c r="F105" i="25" s="1"/>
  <c r="F104" i="25" a="1"/>
  <c r="F104" i="25" s="1"/>
  <c r="G104" i="25" s="1" a="1"/>
  <c r="G104" i="25" s="1"/>
  <c r="F103" i="25" a="1"/>
  <c r="F103" i="25" s="1"/>
  <c r="G103" i="25" s="1" a="1"/>
  <c r="G103" i="25" s="1"/>
  <c r="F102" i="25" a="1"/>
  <c r="F102" i="25" s="1"/>
  <c r="G102" i="25" s="1" a="1"/>
  <c r="G102" i="25" s="1"/>
  <c r="F101" i="25" a="1"/>
  <c r="F101" i="25" s="1"/>
  <c r="G101" i="25" s="1" a="1"/>
  <c r="G101" i="25" s="1"/>
  <c r="F100" i="25" a="1"/>
  <c r="F100" i="25" s="1"/>
  <c r="G100" i="25" s="1" a="1"/>
  <c r="G100" i="25" s="1"/>
  <c r="F99" i="25" a="1"/>
  <c r="F99" i="25" s="1"/>
  <c r="G99" i="25" s="1" a="1"/>
  <c r="G99" i="25" s="1"/>
  <c r="F96" i="25" a="1"/>
  <c r="F96" i="25" s="1"/>
  <c r="F106" i="25" a="1"/>
  <c r="F106" i="25" s="1"/>
  <c r="G106" i="25" s="1" a="1"/>
  <c r="G106" i="25" s="1"/>
  <c r="F98" i="25" a="1"/>
  <c r="F98" i="25" s="1"/>
  <c r="G98" i="25" s="1" a="1"/>
  <c r="G98" i="25" s="1"/>
  <c r="F97" i="25" a="1"/>
  <c r="F97" i="25" s="1"/>
  <c r="G97" i="25" s="1" a="1"/>
  <c r="G97" i="25" s="1"/>
  <c r="C107" i="25"/>
  <c r="F117" i="25" a="1"/>
  <c r="F117" i="25" s="1"/>
  <c r="F116" i="25" a="1"/>
  <c r="F116" i="25" s="1"/>
  <c r="G116" i="25" s="1" a="1"/>
  <c r="G116" i="25" s="1"/>
  <c r="F115" i="25" a="1"/>
  <c r="F115" i="25" s="1"/>
  <c r="G115" i="25" s="1" a="1"/>
  <c r="G115" i="25" s="1"/>
  <c r="F114" i="25" a="1"/>
  <c r="F114" i="25" s="1"/>
  <c r="G114" i="25" s="1" a="1"/>
  <c r="G114" i="25" s="1"/>
  <c r="F113" i="25" a="1"/>
  <c r="F113" i="25" s="1"/>
  <c r="G113" i="25" s="1" a="1"/>
  <c r="G113" i="25" s="1"/>
  <c r="F112" i="25" a="1"/>
  <c r="F112" i="25" s="1"/>
  <c r="G112" i="25" s="1" a="1"/>
  <c r="G112" i="25" s="1"/>
  <c r="F111" i="25" a="1"/>
  <c r="F111" i="25" s="1"/>
  <c r="G111" i="25" s="1" a="1"/>
  <c r="G111" i="25" s="1"/>
  <c r="F108" i="25" a="1"/>
  <c r="F108" i="25" s="1"/>
  <c r="F110" i="25" a="1"/>
  <c r="F110" i="25" s="1"/>
  <c r="G110" i="25" s="1" a="1"/>
  <c r="G110" i="25" s="1"/>
  <c r="F109" i="25" a="1"/>
  <c r="F109" i="25" s="1"/>
  <c r="G109" i="25" s="1" a="1"/>
  <c r="G109" i="25" s="1"/>
  <c r="F118" i="25" a="1"/>
  <c r="F118" i="25" s="1"/>
  <c r="G118" i="25" s="1" a="1"/>
  <c r="G118" i="25" s="1"/>
  <c r="C119" i="25"/>
  <c r="F130" i="25" a="1"/>
  <c r="F130" i="25" s="1"/>
  <c r="G130" i="25" s="1" a="1"/>
  <c r="G130" i="25" s="1"/>
  <c r="F129" i="25" a="1"/>
  <c r="F129" i="25" s="1"/>
  <c r="F128" i="25" a="1"/>
  <c r="F128" i="25" s="1"/>
  <c r="G128" i="25" s="1" a="1"/>
  <c r="G128" i="25" s="1"/>
  <c r="F127" i="25" a="1"/>
  <c r="F127" i="25" s="1"/>
  <c r="G127" i="25" s="1" a="1"/>
  <c r="G127" i="25" s="1"/>
  <c r="F126" i="25" a="1"/>
  <c r="F126" i="25" s="1"/>
  <c r="G126" i="25" s="1" a="1"/>
  <c r="G126" i="25" s="1"/>
  <c r="F125" i="25" a="1"/>
  <c r="F125" i="25" s="1"/>
  <c r="G125" i="25" s="1" a="1"/>
  <c r="G125" i="25" s="1"/>
  <c r="F124" i="25" a="1"/>
  <c r="F124" i="25" s="1"/>
  <c r="G124" i="25" s="1" a="1"/>
  <c r="G124" i="25" s="1"/>
  <c r="F123" i="25" a="1"/>
  <c r="F123" i="25" s="1"/>
  <c r="G123" i="25" s="1" a="1"/>
  <c r="G123" i="25" s="1"/>
  <c r="F122" i="25" a="1"/>
  <c r="F122" i="25" s="1"/>
  <c r="G122" i="25" s="1" a="1"/>
  <c r="G122" i="25" s="1"/>
  <c r="F121" i="25" a="1"/>
  <c r="F121" i="25" s="1"/>
  <c r="G121" i="25" s="1" a="1"/>
  <c r="G121" i="25" s="1"/>
  <c r="F120" i="25" a="1"/>
  <c r="F120" i="25" s="1"/>
  <c r="B4" i="5"/>
  <c r="F367" i="13" l="1" a="1"/>
  <c r="F367" i="13" s="1"/>
  <c r="G367" i="13" a="1"/>
  <c r="G367" i="13" s="1"/>
  <c r="I367" i="13" s="1" a="1"/>
  <c r="I367" i="13" s="1"/>
  <c r="J367" i="13" s="1" a="1"/>
  <c r="J367" i="13" s="1"/>
  <c r="F366" i="13" a="1"/>
  <c r="F366" i="13" s="1"/>
  <c r="G366" i="13" a="1"/>
  <c r="G366" i="13" s="1"/>
  <c r="I366" i="13" s="1" a="1"/>
  <c r="I366" i="13" s="1"/>
  <c r="J366" i="13" s="1" a="1"/>
  <c r="J366" i="13" s="1"/>
  <c r="F365" i="13" a="1"/>
  <c r="F365" i="13" s="1"/>
  <c r="G365" i="13" a="1"/>
  <c r="G365" i="13" s="1"/>
  <c r="I365" i="13" s="1" a="1"/>
  <c r="I365" i="13" s="1"/>
  <c r="J365" i="13" s="1" a="1"/>
  <c r="J365" i="13" s="1"/>
  <c r="F364" i="13" a="1"/>
  <c r="F364" i="13" s="1"/>
  <c r="G364" i="13" a="1"/>
  <c r="G364" i="13" s="1"/>
  <c r="I364" i="13" s="1" a="1"/>
  <c r="I364" i="13" s="1"/>
  <c r="J364" i="13" s="1" a="1"/>
  <c r="J364" i="13" s="1"/>
  <c r="F363" i="13" a="1"/>
  <c r="F363" i="13" s="1"/>
  <c r="G363" i="13" a="1"/>
  <c r="G363" i="13" s="1"/>
  <c r="I363" i="13" s="1" a="1"/>
  <c r="I363" i="13" s="1"/>
  <c r="J363" i="13" s="1" a="1"/>
  <c r="J363" i="13" s="1"/>
  <c r="F362" i="13" a="1"/>
  <c r="F362" i="13" s="1"/>
  <c r="G362" i="13" a="1"/>
  <c r="G362" i="13" s="1"/>
  <c r="I362" i="13" s="1" a="1"/>
  <c r="I362" i="13" s="1"/>
  <c r="J362" i="13" s="1" a="1"/>
  <c r="J362" i="13" s="1"/>
  <c r="F361" i="13" a="1"/>
  <c r="F361" i="13" s="1"/>
  <c r="G361" i="13" a="1"/>
  <c r="G361" i="13" s="1"/>
  <c r="I361" i="13" s="1" a="1"/>
  <c r="I361" i="13" s="1"/>
  <c r="J361" i="13" s="1" a="1"/>
  <c r="J361" i="13" s="1"/>
  <c r="F360" i="13" a="1"/>
  <c r="F360" i="13" s="1"/>
  <c r="G360" i="13" a="1"/>
  <c r="G360" i="13" s="1"/>
  <c r="I360" i="13" s="1" a="1"/>
  <c r="I360" i="13" s="1"/>
  <c r="J360" i="13" s="1" a="1"/>
  <c r="J360" i="13" s="1"/>
  <c r="F359" i="13" a="1"/>
  <c r="F359" i="13" s="1"/>
  <c r="G359" i="13" a="1"/>
  <c r="G359" i="13" s="1"/>
  <c r="I359" i="13" s="1" a="1"/>
  <c r="I359" i="13" s="1"/>
  <c r="J359" i="13" s="1" a="1"/>
  <c r="J359" i="13" s="1"/>
  <c r="F358" i="13" a="1"/>
  <c r="F358" i="13" s="1"/>
  <c r="G358" i="13" a="1"/>
  <c r="G358" i="13" s="1"/>
  <c r="I358" i="13" s="1" a="1"/>
  <c r="I358" i="13" s="1"/>
  <c r="J358" i="13" s="1" a="1"/>
  <c r="J358" i="13" s="1"/>
  <c r="F357" i="13" a="1"/>
  <c r="F357" i="13" s="1"/>
  <c r="G357" i="13" a="1"/>
  <c r="G357" i="13" s="1"/>
  <c r="I357" i="13" s="1" a="1"/>
  <c r="I357" i="13" s="1"/>
  <c r="J357" i="13" s="1" a="1"/>
  <c r="J357" i="13" s="1"/>
  <c r="F356" i="13" a="1"/>
  <c r="F356" i="13" s="1"/>
  <c r="G356" i="13" a="1"/>
  <c r="G356" i="13" s="1"/>
  <c r="I356" i="13" s="1" a="1"/>
  <c r="I356" i="13" s="1"/>
  <c r="J356" i="13" s="1" a="1"/>
  <c r="J356" i="13" s="1"/>
  <c r="F355" i="13" a="1"/>
  <c r="F355" i="13" s="1"/>
  <c r="G355" i="13" a="1"/>
  <c r="G355" i="13" s="1"/>
  <c r="I355" i="13" s="1" a="1"/>
  <c r="I355" i="13" s="1"/>
  <c r="J355" i="13" s="1" a="1"/>
  <c r="J355" i="13" s="1"/>
  <c r="F354" i="13" a="1"/>
  <c r="F354" i="13" s="1"/>
  <c r="G354" i="13" a="1"/>
  <c r="G354" i="13" s="1"/>
  <c r="I354" i="13" s="1" a="1"/>
  <c r="I354" i="13" s="1"/>
  <c r="J354" i="13" s="1" a="1"/>
  <c r="J354" i="13" s="1"/>
  <c r="F353" i="13" a="1"/>
  <c r="F353" i="13" s="1"/>
  <c r="G353" i="13" a="1"/>
  <c r="G353" i="13" s="1"/>
  <c r="I353" i="13" s="1" a="1"/>
  <c r="I353" i="13" s="1"/>
  <c r="J353" i="13" s="1" a="1"/>
  <c r="J353" i="13" s="1"/>
  <c r="F352" i="13" a="1"/>
  <c r="F352" i="13" s="1"/>
  <c r="G352" i="13" a="1"/>
  <c r="G352" i="13" s="1"/>
  <c r="I352" i="13" s="1" a="1"/>
  <c r="I352" i="13" s="1"/>
  <c r="J352" i="13" s="1" a="1"/>
  <c r="J352" i="13" s="1"/>
  <c r="F351" i="13" a="1"/>
  <c r="F351" i="13" s="1"/>
  <c r="G351" i="13" a="1"/>
  <c r="G351" i="13" s="1"/>
  <c r="I351" i="13" s="1" a="1"/>
  <c r="I351" i="13" s="1"/>
  <c r="J351" i="13" s="1" a="1"/>
  <c r="J351" i="13" s="1"/>
  <c r="F350" i="13" a="1"/>
  <c r="F350" i="13" s="1"/>
  <c r="G350" i="13" a="1"/>
  <c r="G350" i="13" s="1"/>
  <c r="I350" i="13" s="1" a="1"/>
  <c r="I350" i="13" s="1"/>
  <c r="J350" i="13" s="1" a="1"/>
  <c r="J350" i="13" s="1"/>
  <c r="F349" i="13" a="1"/>
  <c r="F349" i="13" s="1"/>
  <c r="G349" i="13" a="1"/>
  <c r="G349" i="13" s="1"/>
  <c r="I349" i="13" s="1" a="1"/>
  <c r="I349" i="13" s="1"/>
  <c r="J349" i="13" s="1" a="1"/>
  <c r="J349" i="13" s="1"/>
  <c r="F348" i="13" a="1"/>
  <c r="F348" i="13" s="1"/>
  <c r="G348" i="13" a="1"/>
  <c r="G348" i="13" s="1"/>
  <c r="I348" i="13" s="1" a="1"/>
  <c r="I348" i="13" s="1"/>
  <c r="J348" i="13" s="1" a="1"/>
  <c r="J348" i="13" s="1"/>
  <c r="F347" i="13" a="1"/>
  <c r="F347" i="13" s="1"/>
  <c r="G347" i="13" a="1"/>
  <c r="G347" i="13" s="1"/>
  <c r="I347" i="13" s="1" a="1"/>
  <c r="I347" i="13" s="1"/>
  <c r="J347" i="13" s="1" a="1"/>
  <c r="J347" i="13" s="1"/>
  <c r="F346" i="13" a="1"/>
  <c r="F346" i="13" s="1"/>
  <c r="G346" i="13" a="1"/>
  <c r="G346" i="13" s="1"/>
  <c r="I346" i="13" s="1" a="1"/>
  <c r="I346" i="13" s="1"/>
  <c r="J346" i="13" s="1" a="1"/>
  <c r="J346" i="13" s="1"/>
  <c r="F345" i="13" a="1"/>
  <c r="F345" i="13" s="1"/>
  <c r="G345" i="13" a="1"/>
  <c r="G345" i="13" s="1"/>
  <c r="I345" i="13" s="1" a="1"/>
  <c r="I345" i="13" s="1"/>
  <c r="J345" i="13" s="1" a="1"/>
  <c r="J345" i="13" s="1"/>
  <c r="F344" i="13" a="1"/>
  <c r="F344" i="13" s="1"/>
  <c r="G344" i="13" a="1"/>
  <c r="G344" i="13" s="1"/>
  <c r="I344" i="13" s="1" a="1"/>
  <c r="I344" i="13" s="1"/>
  <c r="J344" i="13" s="1" a="1"/>
  <c r="J344" i="13" s="1"/>
  <c r="F343" i="13" a="1"/>
  <c r="F343" i="13" s="1"/>
  <c r="G343" i="13" a="1"/>
  <c r="G343" i="13" s="1"/>
  <c r="I343" i="13" s="1" a="1"/>
  <c r="I343" i="13" s="1"/>
  <c r="J343" i="13" s="1" a="1"/>
  <c r="J343" i="13" s="1"/>
  <c r="F342" i="13" a="1"/>
  <c r="F342" i="13" s="1"/>
  <c r="G342" i="13" a="1"/>
  <c r="G342" i="13" s="1"/>
  <c r="I342" i="13" s="1" a="1"/>
  <c r="I342" i="13" s="1"/>
  <c r="J342" i="13" s="1" a="1"/>
  <c r="J342" i="13" s="1"/>
  <c r="F341" i="13" a="1"/>
  <c r="F341" i="13" s="1"/>
  <c r="G341" i="13" a="1"/>
  <c r="G341" i="13" s="1"/>
  <c r="I341" i="13" s="1" a="1"/>
  <c r="I341" i="13" s="1"/>
  <c r="J341" i="13" s="1" a="1"/>
  <c r="J341" i="13" s="1"/>
  <c r="F340" i="13" a="1"/>
  <c r="F340" i="13" s="1"/>
  <c r="G340" i="13" a="1"/>
  <c r="G340" i="13" s="1"/>
  <c r="I340" i="13" s="1" a="1"/>
  <c r="I340" i="13" s="1"/>
  <c r="J340" i="13" s="1" a="1"/>
  <c r="J340" i="13" s="1"/>
  <c r="F339" i="13" a="1"/>
  <c r="F339" i="13" s="1"/>
  <c r="G339" i="13" a="1"/>
  <c r="G339" i="13" s="1"/>
  <c r="I339" i="13" s="1" a="1"/>
  <c r="I339" i="13" s="1"/>
  <c r="J339" i="13" s="1" a="1"/>
  <c r="J339" i="13" s="1"/>
  <c r="F338" i="13" a="1"/>
  <c r="F338" i="13" s="1"/>
  <c r="G338" i="13" a="1"/>
  <c r="G338" i="13" s="1"/>
  <c r="I338" i="13" s="1" a="1"/>
  <c r="I338" i="13" s="1"/>
  <c r="J338" i="13" s="1" a="1"/>
  <c r="J338" i="13" s="1"/>
  <c r="F337" i="13" a="1"/>
  <c r="F337" i="13" s="1"/>
  <c r="G337" i="13" a="1"/>
  <c r="G337" i="13" s="1"/>
  <c r="I337" i="13" s="1" a="1"/>
  <c r="I337" i="13" s="1"/>
  <c r="J337" i="13" s="1" a="1"/>
  <c r="J337" i="13" s="1"/>
  <c r="F336" i="13" a="1"/>
  <c r="F336" i="13" s="1"/>
  <c r="G336" i="13" a="1"/>
  <c r="G336" i="13" s="1"/>
  <c r="I336" i="13" s="1" a="1"/>
  <c r="I336" i="13" s="1"/>
  <c r="J336" i="13" s="1" a="1"/>
  <c r="J336" i="13" s="1"/>
  <c r="F335" i="13" a="1"/>
  <c r="F335" i="13" s="1"/>
  <c r="G335" i="13" a="1"/>
  <c r="G335" i="13" s="1"/>
  <c r="I335" i="13" s="1" a="1"/>
  <c r="I335" i="13" s="1"/>
  <c r="J335" i="13" s="1" a="1"/>
  <c r="J335" i="13" s="1"/>
  <c r="F334" i="13" a="1"/>
  <c r="F334" i="13" s="1"/>
  <c r="G334" i="13" a="1"/>
  <c r="G334" i="13" s="1"/>
  <c r="I334" i="13" s="1" a="1"/>
  <c r="I334" i="13" s="1"/>
  <c r="J334" i="13" s="1" a="1"/>
  <c r="J334" i="13" s="1"/>
  <c r="F333" i="13" a="1"/>
  <c r="F333" i="13" s="1"/>
  <c r="G333" i="13" a="1"/>
  <c r="G333" i="13" s="1"/>
  <c r="I333" i="13" s="1" a="1"/>
  <c r="I333" i="13" s="1"/>
  <c r="J333" i="13" s="1" a="1"/>
  <c r="J333" i="13" s="1"/>
  <c r="F332" i="13" a="1"/>
  <c r="F332" i="13" s="1"/>
  <c r="G332" i="13" a="1"/>
  <c r="G332" i="13" s="1"/>
  <c r="I332" i="13" s="1" a="1"/>
  <c r="I332" i="13" s="1"/>
  <c r="J332" i="13" s="1" a="1"/>
  <c r="J332" i="13" s="1"/>
  <c r="F331" i="13" a="1"/>
  <c r="F331" i="13" s="1"/>
  <c r="G331" i="13" a="1"/>
  <c r="G331" i="13" s="1"/>
  <c r="I331" i="13" s="1" a="1"/>
  <c r="I331" i="13" s="1"/>
  <c r="J331" i="13" s="1" a="1"/>
  <c r="J331" i="13" s="1"/>
  <c r="F330" i="13" a="1"/>
  <c r="F330" i="13" s="1"/>
  <c r="G330" i="13" a="1"/>
  <c r="G330" i="13" s="1"/>
  <c r="I330" i="13" s="1" a="1"/>
  <c r="I330" i="13" s="1"/>
  <c r="J330" i="13" s="1" a="1"/>
  <c r="J330" i="13" s="1"/>
  <c r="F329" i="13" a="1"/>
  <c r="F329" i="13" s="1"/>
  <c r="G329" i="13" a="1"/>
  <c r="G329" i="13" s="1"/>
  <c r="I329" i="13" s="1" a="1"/>
  <c r="I329" i="13" s="1"/>
  <c r="J329" i="13" s="1" a="1"/>
  <c r="J329" i="13" s="1"/>
  <c r="F328" i="13" a="1"/>
  <c r="F328" i="13" s="1"/>
  <c r="G328" i="13" a="1"/>
  <c r="G328" i="13" s="1"/>
  <c r="I328" i="13" s="1" a="1"/>
  <c r="I328" i="13" s="1"/>
  <c r="J328" i="13" s="1" a="1"/>
  <c r="J328" i="13" s="1"/>
  <c r="F327" i="13" a="1"/>
  <c r="F327" i="13" s="1"/>
  <c r="G327" i="13" a="1"/>
  <c r="G327" i="13" s="1"/>
  <c r="I327" i="13" s="1" a="1"/>
  <c r="I327" i="13" s="1"/>
  <c r="J327" i="13" s="1" a="1"/>
  <c r="J327" i="13" s="1"/>
  <c r="F326" i="13" a="1"/>
  <c r="F326" i="13" s="1"/>
  <c r="G326" i="13" a="1"/>
  <c r="G326" i="13" s="1"/>
  <c r="I326" i="13" s="1" a="1"/>
  <c r="I326" i="13" s="1"/>
  <c r="J326" i="13" s="1" a="1"/>
  <c r="J326" i="13" s="1"/>
  <c r="F325" i="13" a="1"/>
  <c r="F325" i="13" s="1"/>
  <c r="G325" i="13" a="1"/>
  <c r="G325" i="13" s="1"/>
  <c r="I325" i="13" s="1" a="1"/>
  <c r="I325" i="13" s="1"/>
  <c r="J325" i="13" s="1" a="1"/>
  <c r="J325" i="13" s="1"/>
  <c r="F324" i="13" a="1"/>
  <c r="F324" i="13" s="1"/>
  <c r="G324" i="13" a="1"/>
  <c r="G324" i="13" s="1"/>
  <c r="I324" i="13" s="1" a="1"/>
  <c r="I324" i="13" s="1"/>
  <c r="J324" i="13" s="1" a="1"/>
  <c r="J324" i="13" s="1"/>
  <c r="F323" i="13" a="1"/>
  <c r="F323" i="13" s="1"/>
  <c r="G323" i="13" a="1"/>
  <c r="G323" i="13" s="1"/>
  <c r="I323" i="13" s="1" a="1"/>
  <c r="I323" i="13" s="1"/>
  <c r="J323" i="13" s="1" a="1"/>
  <c r="J323" i="13" s="1"/>
  <c r="F322" i="13" a="1"/>
  <c r="F322" i="13" s="1"/>
  <c r="G322" i="13" a="1"/>
  <c r="G322" i="13" s="1"/>
  <c r="I322" i="13" s="1" a="1"/>
  <c r="I322" i="13" s="1"/>
  <c r="J322" i="13" s="1" a="1"/>
  <c r="J322" i="13" s="1"/>
  <c r="F321" i="13" a="1"/>
  <c r="F321" i="13" s="1"/>
  <c r="G321" i="13" a="1"/>
  <c r="G321" i="13" s="1"/>
  <c r="I321" i="13" s="1" a="1"/>
  <c r="I321" i="13" s="1"/>
  <c r="J321" i="13" s="1" a="1"/>
  <c r="J321" i="13" s="1"/>
  <c r="F320" i="13" a="1"/>
  <c r="F320" i="13" s="1"/>
  <c r="G320" i="13" a="1"/>
  <c r="G320" i="13" s="1"/>
  <c r="I320" i="13" s="1" a="1"/>
  <c r="I320" i="13" s="1"/>
  <c r="J320" i="13" s="1" a="1"/>
  <c r="J320" i="13" s="1"/>
  <c r="F319" i="13" a="1"/>
  <c r="F319" i="13" s="1"/>
  <c r="G319" i="13" a="1"/>
  <c r="G319" i="13" s="1"/>
  <c r="I319" i="13" s="1" a="1"/>
  <c r="I319" i="13" s="1"/>
  <c r="J319" i="13" s="1" a="1"/>
  <c r="J319" i="13" s="1"/>
  <c r="F318" i="13" a="1"/>
  <c r="F318" i="13" s="1"/>
  <c r="G318" i="13" a="1"/>
  <c r="G318" i="13" s="1"/>
  <c r="I318" i="13" s="1" a="1"/>
  <c r="I318" i="13" s="1"/>
  <c r="J318" i="13" s="1" a="1"/>
  <c r="J318" i="13" s="1"/>
  <c r="F317" i="13" a="1"/>
  <c r="F317" i="13" s="1"/>
  <c r="G317" i="13" a="1"/>
  <c r="G317" i="13" s="1"/>
  <c r="I317" i="13" s="1" a="1"/>
  <c r="I317" i="13" s="1"/>
  <c r="J317" i="13" s="1" a="1"/>
  <c r="J317" i="13" s="1"/>
  <c r="F316" i="13" a="1"/>
  <c r="F316" i="13" s="1"/>
  <c r="G316" i="13" a="1"/>
  <c r="G316" i="13" s="1"/>
  <c r="I316" i="13" s="1" a="1"/>
  <c r="I316" i="13" s="1"/>
  <c r="J316" i="13" s="1" a="1"/>
  <c r="J316" i="13" s="1"/>
  <c r="F315" i="13" a="1"/>
  <c r="F315" i="13" s="1"/>
  <c r="G315" i="13" a="1"/>
  <c r="G315" i="13" s="1"/>
  <c r="I315" i="13" s="1" a="1"/>
  <c r="I315" i="13" s="1"/>
  <c r="J315" i="13" s="1" a="1"/>
  <c r="J315" i="13" s="1"/>
  <c r="F314" i="13" a="1"/>
  <c r="F314" i="13" s="1"/>
  <c r="G314" i="13" a="1"/>
  <c r="G314" i="13" s="1"/>
  <c r="I314" i="13" s="1" a="1"/>
  <c r="I314" i="13" s="1"/>
  <c r="J314" i="13" s="1" a="1"/>
  <c r="J314" i="13" s="1"/>
  <c r="F313" i="13" a="1"/>
  <c r="F313" i="13" s="1"/>
  <c r="G313" i="13" a="1"/>
  <c r="G313" i="13" s="1"/>
  <c r="I313" i="13" s="1" a="1"/>
  <c r="I313" i="13" s="1"/>
  <c r="J313" i="13" s="1" a="1"/>
  <c r="J313" i="13" s="1"/>
  <c r="F312" i="13" a="1"/>
  <c r="F312" i="13" s="1"/>
  <c r="G312" i="13" a="1"/>
  <c r="G312" i="13" s="1"/>
  <c r="I312" i="13" s="1" a="1"/>
  <c r="I312" i="13" s="1"/>
  <c r="J312" i="13" s="1" a="1"/>
  <c r="J312" i="13" s="1"/>
  <c r="F311" i="13" a="1"/>
  <c r="F311" i="13" s="1"/>
  <c r="G311" i="13" a="1"/>
  <c r="G311" i="13" s="1"/>
  <c r="I311" i="13" s="1" a="1"/>
  <c r="I311" i="13" s="1"/>
  <c r="J311" i="13" s="1" a="1"/>
  <c r="J311" i="13" s="1"/>
  <c r="F310" i="13" a="1"/>
  <c r="F310" i="13" s="1"/>
  <c r="G310" i="13" a="1"/>
  <c r="G310" i="13" s="1"/>
  <c r="I310" i="13" s="1" a="1"/>
  <c r="I310" i="13" s="1"/>
  <c r="J310" i="13" s="1" a="1"/>
  <c r="J310" i="13" s="1"/>
  <c r="F309" i="13" a="1"/>
  <c r="F309" i="13" s="1"/>
  <c r="G309" i="13" a="1"/>
  <c r="G309" i="13" s="1"/>
  <c r="I309" i="13" s="1" a="1"/>
  <c r="I309" i="13" s="1"/>
  <c r="J309" i="13" s="1" a="1"/>
  <c r="J309" i="13" s="1"/>
  <c r="F308" i="13" a="1"/>
  <c r="F308" i="13" s="1"/>
  <c r="G308" i="13" a="1"/>
  <c r="G308" i="13" s="1"/>
  <c r="I308" i="13" s="1" a="1"/>
  <c r="I308" i="13" s="1"/>
  <c r="J308" i="13" s="1" a="1"/>
  <c r="J308" i="13" s="1"/>
  <c r="F307" i="13" a="1"/>
  <c r="F307" i="13" s="1"/>
  <c r="G307" i="13" a="1"/>
  <c r="G307" i="13" s="1"/>
  <c r="I307" i="13" s="1" a="1"/>
  <c r="I307" i="13" s="1"/>
  <c r="J307" i="13" s="1" a="1"/>
  <c r="J307" i="13" s="1"/>
  <c r="F306" i="13" a="1"/>
  <c r="F306" i="13" s="1"/>
  <c r="G306" i="13" a="1"/>
  <c r="G306" i="13" s="1"/>
  <c r="I306" i="13" s="1" a="1"/>
  <c r="I306" i="13" s="1"/>
  <c r="J306" i="13" s="1" a="1"/>
  <c r="J306" i="13" s="1"/>
  <c r="F305" i="13" a="1"/>
  <c r="F305" i="13" s="1"/>
  <c r="G305" i="13" a="1"/>
  <c r="G305" i="13" s="1"/>
  <c r="I305" i="13" s="1" a="1"/>
  <c r="I305" i="13" s="1"/>
  <c r="J305" i="13" s="1" a="1"/>
  <c r="J305" i="13" s="1"/>
  <c r="F304" i="13" a="1"/>
  <c r="F304" i="13" s="1"/>
  <c r="G304" i="13" a="1"/>
  <c r="G304" i="13" s="1"/>
  <c r="I304" i="13" s="1" a="1"/>
  <c r="I304" i="13" s="1"/>
  <c r="J304" i="13" s="1" a="1"/>
  <c r="J304" i="13" s="1"/>
  <c r="F303" i="13" a="1"/>
  <c r="F303" i="13" s="1"/>
  <c r="G303" i="13" a="1"/>
  <c r="G303" i="13" s="1"/>
  <c r="I303" i="13" s="1" a="1"/>
  <c r="I303" i="13" s="1"/>
  <c r="J303" i="13" s="1" a="1"/>
  <c r="J303" i="13" s="1"/>
  <c r="F302" i="13" a="1"/>
  <c r="F302" i="13" s="1"/>
  <c r="G302" i="13" a="1"/>
  <c r="G302" i="13" s="1"/>
  <c r="I302" i="13" s="1" a="1"/>
  <c r="I302" i="13" s="1"/>
  <c r="J302" i="13" s="1" a="1"/>
  <c r="J302" i="13" s="1"/>
  <c r="F295" i="13" a="1"/>
  <c r="F295" i="13" s="1"/>
  <c r="G295" i="13" a="1"/>
  <c r="G295" i="13" s="1"/>
  <c r="I295" i="13" s="1" a="1"/>
  <c r="I295" i="13" s="1"/>
  <c r="J295" i="13" s="1" a="1"/>
  <c r="J295" i="13" s="1"/>
  <c r="F294" i="13" a="1"/>
  <c r="F294" i="13" s="1"/>
  <c r="G294" i="13" a="1"/>
  <c r="G294" i="13" s="1"/>
  <c r="I294" i="13" s="1" a="1"/>
  <c r="I294" i="13" s="1"/>
  <c r="J294" i="13" s="1" a="1"/>
  <c r="J294" i="13" s="1"/>
  <c r="F293" i="13" a="1"/>
  <c r="F293" i="13" s="1"/>
  <c r="G293" i="13" a="1"/>
  <c r="G293" i="13" s="1"/>
  <c r="I293" i="13" s="1" a="1"/>
  <c r="I293" i="13" s="1"/>
  <c r="J293" i="13" s="1" a="1"/>
  <c r="J293" i="13" s="1"/>
  <c r="F292" i="13" a="1"/>
  <c r="F292" i="13" s="1"/>
  <c r="G292" i="13" a="1"/>
  <c r="G292" i="13" s="1"/>
  <c r="I292" i="13" s="1" a="1"/>
  <c r="I292" i="13" s="1"/>
  <c r="J292" i="13" s="1" a="1"/>
  <c r="J292" i="13" s="1"/>
  <c r="F291" i="13" a="1"/>
  <c r="F291" i="13" s="1"/>
  <c r="G291" i="13" a="1"/>
  <c r="G291" i="13" s="1"/>
  <c r="I291" i="13" s="1" a="1"/>
  <c r="I291" i="13" s="1"/>
  <c r="J291" i="13" s="1" a="1"/>
  <c r="J291" i="13" s="1"/>
  <c r="F290" i="13" a="1"/>
  <c r="F290" i="13" s="1"/>
  <c r="G290" i="13" a="1"/>
  <c r="G290" i="13" s="1"/>
  <c r="I290" i="13" s="1" a="1"/>
  <c r="I290" i="13" s="1"/>
  <c r="J290" i="13" s="1" a="1"/>
  <c r="J290" i="13" s="1"/>
  <c r="F289" i="13" a="1"/>
  <c r="F289" i="13" s="1"/>
  <c r="G289" i="13" a="1"/>
  <c r="G289" i="13" s="1"/>
  <c r="I289" i="13" s="1" a="1"/>
  <c r="I289" i="13" s="1"/>
  <c r="J289" i="13" s="1" a="1"/>
  <c r="J289" i="13" s="1"/>
  <c r="F288" i="13" a="1"/>
  <c r="F288" i="13" s="1"/>
  <c r="G288" i="13" a="1"/>
  <c r="G288" i="13" s="1"/>
  <c r="I288" i="13" s="1" a="1"/>
  <c r="I288" i="13" s="1"/>
  <c r="J288" i="13" s="1" a="1"/>
  <c r="J288" i="13" s="1"/>
  <c r="F287" i="13" a="1"/>
  <c r="F287" i="13" s="1"/>
  <c r="G287" i="13" a="1"/>
  <c r="G287" i="13" s="1"/>
  <c r="I287" i="13" s="1" a="1"/>
  <c r="I287" i="13" s="1"/>
  <c r="J287" i="13" s="1" a="1"/>
  <c r="J287" i="13" s="1"/>
  <c r="F286" i="13" a="1"/>
  <c r="F286" i="13" s="1"/>
  <c r="G286" i="13" a="1"/>
  <c r="G286" i="13" s="1"/>
  <c r="I286" i="13" s="1" a="1"/>
  <c r="I286" i="13" s="1"/>
  <c r="J286" i="13" s="1" a="1"/>
  <c r="J286" i="13" s="1"/>
  <c r="F285" i="13" a="1"/>
  <c r="F285" i="13" s="1"/>
  <c r="G285" i="13" a="1"/>
  <c r="G285" i="13" s="1"/>
  <c r="I285" i="13" s="1" a="1"/>
  <c r="I285" i="13" s="1"/>
  <c r="J285" i="13" s="1" a="1"/>
  <c r="J285" i="13" s="1"/>
  <c r="F284" i="13" a="1"/>
  <c r="F284" i="13" s="1"/>
  <c r="G284" i="13" a="1"/>
  <c r="G284" i="13" s="1"/>
  <c r="I284" i="13" s="1" a="1"/>
  <c r="I284" i="13" s="1"/>
  <c r="J284" i="13" s="1" a="1"/>
  <c r="J284" i="13" s="1"/>
  <c r="F283" i="13" a="1"/>
  <c r="F283" i="13" s="1"/>
  <c r="G283" i="13" a="1"/>
  <c r="G283" i="13" s="1"/>
  <c r="I283" i="13" s="1" a="1"/>
  <c r="I283" i="13" s="1"/>
  <c r="J283" i="13" s="1" a="1"/>
  <c r="J283" i="13" s="1"/>
  <c r="F282" i="13" a="1"/>
  <c r="F282" i="13" s="1"/>
  <c r="G282" i="13" a="1"/>
  <c r="G282" i="13" s="1"/>
  <c r="I282" i="13" s="1" a="1"/>
  <c r="I282" i="13" s="1"/>
  <c r="J282" i="13" s="1" a="1"/>
  <c r="J282" i="13" s="1"/>
  <c r="F281" i="13" a="1"/>
  <c r="F281" i="13" s="1"/>
  <c r="G281" i="13" a="1"/>
  <c r="G281" i="13" s="1"/>
  <c r="I281" i="13" s="1" a="1"/>
  <c r="I281" i="13" s="1"/>
  <c r="J281" i="13" s="1" a="1"/>
  <c r="J281" i="13" s="1"/>
  <c r="F280" i="13" a="1"/>
  <c r="F280" i="13" s="1"/>
  <c r="G280" i="13" a="1"/>
  <c r="G280" i="13" s="1"/>
  <c r="I280" i="13" s="1" a="1"/>
  <c r="I280" i="13" s="1"/>
  <c r="J280" i="13" s="1" a="1"/>
  <c r="J280" i="13" s="1"/>
  <c r="F279" i="13" a="1"/>
  <c r="F279" i="13" s="1"/>
  <c r="G279" i="13" a="1"/>
  <c r="G279" i="13" s="1"/>
  <c r="I279" i="13" s="1" a="1"/>
  <c r="I279" i="13" s="1"/>
  <c r="J279" i="13" s="1" a="1"/>
  <c r="J279" i="13" s="1"/>
  <c r="F278" i="13" a="1"/>
  <c r="F278" i="13" s="1"/>
  <c r="G278" i="13" a="1"/>
  <c r="G278" i="13" s="1"/>
  <c r="I278" i="13" s="1" a="1"/>
  <c r="I278" i="13" s="1"/>
  <c r="J278" i="13" s="1" a="1"/>
  <c r="J278" i="13" s="1"/>
  <c r="F277" i="13" a="1"/>
  <c r="F277" i="13" s="1"/>
  <c r="G277" i="13" a="1"/>
  <c r="G277" i="13" s="1"/>
  <c r="I277" i="13" s="1" a="1"/>
  <c r="I277" i="13" s="1"/>
  <c r="J277" i="13" s="1" a="1"/>
  <c r="J277" i="13" s="1"/>
  <c r="F276" i="13" a="1"/>
  <c r="F276" i="13" s="1"/>
  <c r="G276" i="13" a="1"/>
  <c r="G276" i="13" s="1"/>
  <c r="I276" i="13" s="1" a="1"/>
  <c r="I276" i="13" s="1"/>
  <c r="J276" i="13" s="1" a="1"/>
  <c r="J276" i="13" s="1"/>
  <c r="F275" i="13" a="1"/>
  <c r="F275" i="13" s="1"/>
  <c r="G275" i="13" a="1"/>
  <c r="G275" i="13" s="1"/>
  <c r="I275" i="13" s="1" a="1"/>
  <c r="I275" i="13" s="1"/>
  <c r="J275" i="13" s="1" a="1"/>
  <c r="J275" i="13" s="1"/>
  <c r="F274" i="13" a="1"/>
  <c r="F274" i="13" s="1"/>
  <c r="G274" i="13" a="1"/>
  <c r="G274" i="13" s="1"/>
  <c r="I274" i="13" s="1" a="1"/>
  <c r="I274" i="13" s="1"/>
  <c r="J274" i="13" s="1" a="1"/>
  <c r="J274" i="13" s="1"/>
  <c r="F273" i="13" a="1"/>
  <c r="F273" i="13" s="1"/>
  <c r="G273" i="13" a="1"/>
  <c r="G273" i="13" s="1"/>
  <c r="I273" i="13" s="1" a="1"/>
  <c r="I273" i="13" s="1"/>
  <c r="J273" i="13" s="1" a="1"/>
  <c r="J273" i="13" s="1"/>
  <c r="F272" i="13" a="1"/>
  <c r="F272" i="13" s="1"/>
  <c r="G272" i="13" a="1"/>
  <c r="G272" i="13" s="1"/>
  <c r="I272" i="13" s="1" a="1"/>
  <c r="I272" i="13" s="1"/>
  <c r="J272" i="13" s="1" a="1"/>
  <c r="J272" i="13" s="1"/>
  <c r="F271" i="13" a="1"/>
  <c r="F271" i="13" s="1"/>
  <c r="G271" i="13" a="1"/>
  <c r="G271" i="13" s="1"/>
  <c r="I271" i="13" s="1" a="1"/>
  <c r="I271" i="13" s="1"/>
  <c r="J271" i="13" s="1" a="1"/>
  <c r="J271" i="13" s="1"/>
  <c r="F270" i="13" a="1"/>
  <c r="F270" i="13" s="1"/>
  <c r="G270" i="13" a="1"/>
  <c r="G270" i="13" s="1"/>
  <c r="I270" i="13" s="1" a="1"/>
  <c r="I270" i="13" s="1"/>
  <c r="J270" i="13" s="1" a="1"/>
  <c r="J270" i="13" s="1"/>
  <c r="F269" i="13" a="1"/>
  <c r="F269" i="13" s="1"/>
  <c r="G269" i="13" a="1"/>
  <c r="G269" i="13" s="1"/>
  <c r="I269" i="13" s="1" a="1"/>
  <c r="I269" i="13" s="1"/>
  <c r="J269" i="13" s="1" a="1"/>
  <c r="J269" i="13" s="1"/>
  <c r="F268" i="13" a="1"/>
  <c r="F268" i="13" s="1"/>
  <c r="G268" i="13" a="1"/>
  <c r="G268" i="13" s="1"/>
  <c r="I268" i="13" s="1" a="1"/>
  <c r="I268" i="13" s="1"/>
  <c r="J268" i="13" s="1" a="1"/>
  <c r="J268" i="13" s="1"/>
  <c r="F267" i="13" a="1"/>
  <c r="F267" i="13" s="1"/>
  <c r="G267" i="13" a="1"/>
  <c r="G267" i="13" s="1"/>
  <c r="I267" i="13" s="1" a="1"/>
  <c r="I267" i="13" s="1"/>
  <c r="J267" i="13" s="1" a="1"/>
  <c r="J267" i="13" s="1"/>
  <c r="F266" i="13" a="1"/>
  <c r="F266" i="13" s="1"/>
  <c r="G266" i="13" a="1"/>
  <c r="G266" i="13" s="1"/>
  <c r="I266" i="13" s="1" a="1"/>
  <c r="I266" i="13" s="1"/>
  <c r="J266" i="13" s="1" a="1"/>
  <c r="J266" i="13" s="1"/>
  <c r="F265" i="13" a="1"/>
  <c r="F265" i="13" s="1"/>
  <c r="G265" i="13" a="1"/>
  <c r="G265" i="13" s="1"/>
  <c r="I265" i="13" s="1" a="1"/>
  <c r="I265" i="13" s="1"/>
  <c r="J265" i="13" s="1" a="1"/>
  <c r="J265" i="13" s="1"/>
  <c r="F264" i="13" a="1"/>
  <c r="F264" i="13" s="1"/>
  <c r="G264" i="13" a="1"/>
  <c r="G264" i="13" s="1"/>
  <c r="I264" i="13" s="1" a="1"/>
  <c r="I264" i="13" s="1"/>
  <c r="J264" i="13" s="1" a="1"/>
  <c r="J264" i="13" s="1"/>
  <c r="F263" i="13" a="1"/>
  <c r="F263" i="13" s="1"/>
  <c r="G263" i="13" a="1"/>
  <c r="G263" i="13" s="1"/>
  <c r="I263" i="13" s="1" a="1"/>
  <c r="I263" i="13" s="1"/>
  <c r="J263" i="13" s="1" a="1"/>
  <c r="J263" i="13" s="1"/>
  <c r="F262" i="13" a="1"/>
  <c r="F262" i="13" s="1"/>
  <c r="G262" i="13" a="1"/>
  <c r="G262" i="13" s="1"/>
  <c r="I262" i="13" s="1" a="1"/>
  <c r="I262" i="13" s="1"/>
  <c r="J262" i="13" s="1" a="1"/>
  <c r="J262" i="13" s="1"/>
  <c r="F261" i="13" a="1"/>
  <c r="F261" i="13" s="1"/>
  <c r="G261" i="13" a="1"/>
  <c r="G261" i="13" s="1"/>
  <c r="I261" i="13" s="1" a="1"/>
  <c r="I261" i="13" s="1"/>
  <c r="J261" i="13" s="1" a="1"/>
  <c r="J261" i="13" s="1"/>
  <c r="F260" i="13" a="1"/>
  <c r="F260" i="13" s="1"/>
  <c r="G260" i="13" a="1"/>
  <c r="G260" i="13" s="1"/>
  <c r="I260" i="13" s="1" a="1"/>
  <c r="I260" i="13" s="1"/>
  <c r="J260" i="13" s="1" a="1"/>
  <c r="J260" i="13" s="1"/>
  <c r="F259" i="13" a="1"/>
  <c r="F259" i="13" s="1"/>
  <c r="G259" i="13" a="1"/>
  <c r="G259" i="13" s="1"/>
  <c r="I259" i="13" s="1" a="1"/>
  <c r="I259" i="13" s="1"/>
  <c r="J259" i="13" s="1" a="1"/>
  <c r="J259" i="13" s="1"/>
  <c r="F258" i="13" a="1"/>
  <c r="F258" i="13" s="1"/>
  <c r="G258" i="13" a="1"/>
  <c r="G258" i="13" s="1"/>
  <c r="I258" i="13" s="1" a="1"/>
  <c r="I258" i="13" s="1"/>
  <c r="J258" i="13" s="1" a="1"/>
  <c r="J258" i="13" s="1"/>
  <c r="F257" i="13" a="1"/>
  <c r="F257" i="13" s="1"/>
  <c r="G257" i="13" a="1"/>
  <c r="G257" i="13" s="1"/>
  <c r="I257" i="13" s="1" a="1"/>
  <c r="I257" i="13" s="1"/>
  <c r="J257" i="13" s="1" a="1"/>
  <c r="J257" i="13" s="1"/>
  <c r="F256" i="13" a="1"/>
  <c r="F256" i="13" s="1"/>
  <c r="G256" i="13" a="1"/>
  <c r="G256" i="13" s="1"/>
  <c r="I256" i="13" s="1" a="1"/>
  <c r="I256" i="13" s="1"/>
  <c r="J256" i="13" s="1" a="1"/>
  <c r="J256" i="13" s="1"/>
  <c r="F255" i="13" a="1"/>
  <c r="F255" i="13" s="1"/>
  <c r="G255" i="13" a="1"/>
  <c r="G255" i="13" s="1"/>
  <c r="I255" i="13" s="1" a="1"/>
  <c r="I255" i="13" s="1"/>
  <c r="J255" i="13" s="1" a="1"/>
  <c r="J255" i="13" s="1"/>
  <c r="F254" i="13" a="1"/>
  <c r="F254" i="13" s="1"/>
  <c r="G254" i="13" a="1"/>
  <c r="G254" i="13" s="1"/>
  <c r="I254" i="13" s="1" a="1"/>
  <c r="I254" i="13" s="1"/>
  <c r="J254" i="13" s="1" a="1"/>
  <c r="J254" i="13" s="1"/>
  <c r="F253" i="13" a="1"/>
  <c r="F253" i="13" s="1"/>
  <c r="G253" i="13" a="1"/>
  <c r="G253" i="13" s="1"/>
  <c r="I253" i="13" s="1" a="1"/>
  <c r="I253" i="13" s="1"/>
  <c r="J253" i="13" s="1" a="1"/>
  <c r="J253" i="13" s="1"/>
  <c r="F252" i="13" a="1"/>
  <c r="F252" i="13" s="1"/>
  <c r="G252" i="13" a="1"/>
  <c r="G252" i="13" s="1"/>
  <c r="I252" i="13" s="1" a="1"/>
  <c r="I252" i="13" s="1"/>
  <c r="J252" i="13" s="1" a="1"/>
  <c r="J252" i="13" s="1"/>
  <c r="F251" i="13" a="1"/>
  <c r="F251" i="13" s="1"/>
  <c r="G251" i="13" a="1"/>
  <c r="G251" i="13" s="1"/>
  <c r="I251" i="13" s="1" a="1"/>
  <c r="I251" i="13" s="1"/>
  <c r="J251" i="13" s="1" a="1"/>
  <c r="J251" i="13" s="1"/>
  <c r="F250" i="13" a="1"/>
  <c r="F250" i="13" s="1"/>
  <c r="G250" i="13" a="1"/>
  <c r="G250" i="13" s="1"/>
  <c r="I250" i="13" s="1" a="1"/>
  <c r="I250" i="13" s="1"/>
  <c r="J250" i="13" s="1" a="1"/>
  <c r="J250" i="13" s="1"/>
  <c r="F249" i="13" a="1"/>
  <c r="F249" i="13" s="1"/>
  <c r="G249" i="13" a="1"/>
  <c r="G249" i="13" s="1"/>
  <c r="I249" i="13" s="1" a="1"/>
  <c r="I249" i="13" s="1"/>
  <c r="J249" i="13" s="1" a="1"/>
  <c r="J249" i="13" s="1"/>
  <c r="F248" i="13" a="1"/>
  <c r="F248" i="13" s="1"/>
  <c r="G248" i="13" a="1"/>
  <c r="G248" i="13" s="1"/>
  <c r="I248" i="13" s="1" a="1"/>
  <c r="I248" i="13" s="1"/>
  <c r="J248" i="13" s="1" a="1"/>
  <c r="J248" i="13" s="1"/>
  <c r="F247" i="13" a="1"/>
  <c r="F247" i="13" s="1"/>
  <c r="G247" i="13" a="1"/>
  <c r="G247" i="13" s="1"/>
  <c r="I247" i="13" s="1" a="1"/>
  <c r="I247" i="13" s="1"/>
  <c r="J247" i="13" s="1" a="1"/>
  <c r="J247" i="13" s="1"/>
  <c r="F246" i="13" a="1"/>
  <c r="F246" i="13" s="1"/>
  <c r="G246" i="13" a="1"/>
  <c r="G246" i="13" s="1"/>
  <c r="I246" i="13" s="1" a="1"/>
  <c r="I246" i="13" s="1"/>
  <c r="J246" i="13" s="1" a="1"/>
  <c r="J246" i="13" s="1"/>
  <c r="F245" i="13" a="1"/>
  <c r="F245" i="13" s="1"/>
  <c r="G245" i="13" a="1"/>
  <c r="G245" i="13" s="1"/>
  <c r="I245" i="13" s="1" a="1"/>
  <c r="I245" i="13" s="1"/>
  <c r="J245" i="13" s="1" a="1"/>
  <c r="J245" i="13" s="1"/>
  <c r="F244" i="13" a="1"/>
  <c r="F244" i="13" s="1"/>
  <c r="G244" i="13" a="1"/>
  <c r="G244" i="13" s="1"/>
  <c r="I244" i="13" s="1" a="1"/>
  <c r="I244" i="13" s="1"/>
  <c r="J244" i="13" s="1" a="1"/>
  <c r="J244" i="13" s="1"/>
  <c r="F243" i="13" a="1"/>
  <c r="F243" i="13" s="1"/>
  <c r="G243" i="13" a="1"/>
  <c r="G243" i="13" s="1"/>
  <c r="I243" i="13" s="1" a="1"/>
  <c r="I243" i="13" s="1"/>
  <c r="J243" i="13" s="1" a="1"/>
  <c r="J243" i="13" s="1"/>
  <c r="F242" i="13" a="1"/>
  <c r="F242" i="13" s="1"/>
  <c r="G242" i="13" a="1"/>
  <c r="G242" i="13" s="1"/>
  <c r="I242" i="13" s="1" a="1"/>
  <c r="I242" i="13" s="1"/>
  <c r="J242" i="13" s="1" a="1"/>
  <c r="J242" i="13" s="1"/>
  <c r="F241" i="13" a="1"/>
  <c r="F241" i="13" s="1"/>
  <c r="G241" i="13" a="1"/>
  <c r="G241" i="13" s="1"/>
  <c r="I241" i="13" s="1" a="1"/>
  <c r="I241" i="13" s="1"/>
  <c r="J241" i="13" s="1" a="1"/>
  <c r="J241" i="13" s="1"/>
  <c r="F240" i="13" a="1"/>
  <c r="F240" i="13" s="1"/>
  <c r="G240" i="13" a="1"/>
  <c r="G240" i="13" s="1"/>
  <c r="I240" i="13" s="1" a="1"/>
  <c r="I240" i="13" s="1"/>
  <c r="J240" i="13" s="1" a="1"/>
  <c r="J240" i="13" s="1"/>
  <c r="F239" i="13" a="1"/>
  <c r="F239" i="13" s="1"/>
  <c r="G239" i="13" a="1"/>
  <c r="G239" i="13" s="1"/>
  <c r="I239" i="13" s="1" a="1"/>
  <c r="I239" i="13" s="1"/>
  <c r="J239" i="13" s="1" a="1"/>
  <c r="J239" i="13" s="1"/>
  <c r="F238" i="13" a="1"/>
  <c r="F238" i="13" s="1"/>
  <c r="G238" i="13" a="1"/>
  <c r="G238" i="13" s="1"/>
  <c r="I238" i="13" s="1" a="1"/>
  <c r="I238" i="13" s="1"/>
  <c r="J238" i="13" s="1" a="1"/>
  <c r="J238" i="13" s="1"/>
  <c r="F237" i="13" a="1"/>
  <c r="F237" i="13" s="1"/>
  <c r="G237" i="13" a="1"/>
  <c r="G237" i="13" s="1"/>
  <c r="I237" i="13" s="1" a="1"/>
  <c r="I237" i="13" s="1"/>
  <c r="J237" i="13" s="1" a="1"/>
  <c r="J237" i="13" s="1"/>
  <c r="F236" i="13" a="1"/>
  <c r="F236" i="13" s="1"/>
  <c r="G236" i="13" a="1"/>
  <c r="G236" i="13" s="1"/>
  <c r="I236" i="13" s="1" a="1"/>
  <c r="I236" i="13" s="1"/>
  <c r="J236" i="13" s="1" a="1"/>
  <c r="J236" i="13" s="1"/>
  <c r="F235" i="13" a="1"/>
  <c r="F235" i="13" s="1"/>
  <c r="G235" i="13" a="1"/>
  <c r="G235" i="13" s="1"/>
  <c r="I235" i="13" s="1" a="1"/>
  <c r="I235" i="13" s="1"/>
  <c r="J235" i="13" s="1" a="1"/>
  <c r="J235" i="13" s="1"/>
  <c r="F234" i="13" a="1"/>
  <c r="F234" i="13" s="1"/>
  <c r="G234" i="13" a="1"/>
  <c r="G234" i="13" s="1"/>
  <c r="I234" i="13" s="1" a="1"/>
  <c r="I234" i="13" s="1"/>
  <c r="J234" i="13" s="1" a="1"/>
  <c r="J234" i="13" s="1"/>
  <c r="F233" i="13" a="1"/>
  <c r="F233" i="13" s="1"/>
  <c r="G233" i="13" a="1"/>
  <c r="G233" i="13" s="1"/>
  <c r="I233" i="13" s="1" a="1"/>
  <c r="I233" i="13" s="1"/>
  <c r="J233" i="13" s="1" a="1"/>
  <c r="J233" i="13" s="1"/>
  <c r="F232" i="13" a="1"/>
  <c r="F232" i="13" s="1"/>
  <c r="G232" i="13" a="1"/>
  <c r="G232" i="13" s="1"/>
  <c r="I232" i="13" s="1" a="1"/>
  <c r="I232" i="13" s="1"/>
  <c r="J232" i="13" s="1" a="1"/>
  <c r="J232" i="13" s="1"/>
  <c r="F231" i="13" a="1"/>
  <c r="F231" i="13" s="1"/>
  <c r="G231" i="13" a="1"/>
  <c r="G231" i="13" s="1"/>
  <c r="I231" i="13" s="1" a="1"/>
  <c r="I231" i="13" s="1"/>
  <c r="J231" i="13" s="1" a="1"/>
  <c r="J231" i="13" s="1"/>
  <c r="F230" i="13" a="1"/>
  <c r="F230" i="13" s="1"/>
  <c r="G230" i="13" a="1"/>
  <c r="G230" i="13" s="1"/>
  <c r="I230" i="13" s="1" a="1"/>
  <c r="I230" i="13" s="1"/>
  <c r="J230" i="13" s="1" a="1"/>
  <c r="J230" i="13" s="1"/>
  <c r="F223" i="13" a="1"/>
  <c r="F223" i="13" s="1"/>
  <c r="G223" i="13" a="1"/>
  <c r="G223" i="13" s="1"/>
  <c r="I223" i="13" s="1" a="1"/>
  <c r="I223" i="13" s="1"/>
  <c r="J223" i="13" s="1" a="1"/>
  <c r="J223" i="13" s="1"/>
  <c r="F222" i="13" a="1"/>
  <c r="F222" i="13" s="1"/>
  <c r="G222" i="13" a="1"/>
  <c r="G222" i="13" s="1"/>
  <c r="I222" i="13" s="1" a="1"/>
  <c r="I222" i="13" s="1"/>
  <c r="J222" i="13" s="1" a="1"/>
  <c r="J222" i="13" s="1"/>
  <c r="F221" i="13" a="1"/>
  <c r="F221" i="13" s="1"/>
  <c r="G221" i="13" a="1"/>
  <c r="G221" i="13" s="1"/>
  <c r="I221" i="13" s="1" a="1"/>
  <c r="I221" i="13" s="1"/>
  <c r="J221" i="13" s="1" a="1"/>
  <c r="J221" i="13" s="1"/>
  <c r="F220" i="13" a="1"/>
  <c r="F220" i="13" s="1"/>
  <c r="G220" i="13" a="1"/>
  <c r="G220" i="13" s="1"/>
  <c r="I220" i="13" s="1" a="1"/>
  <c r="I220" i="13" s="1"/>
  <c r="J220" i="13" s="1" a="1"/>
  <c r="J220" i="13" s="1"/>
  <c r="F219" i="13" a="1"/>
  <c r="F219" i="13" s="1"/>
  <c r="G219" i="13" a="1"/>
  <c r="G219" i="13" s="1"/>
  <c r="I219" i="13" s="1" a="1"/>
  <c r="I219" i="13" s="1"/>
  <c r="J219" i="13" s="1" a="1"/>
  <c r="J219" i="13" s="1"/>
  <c r="F218" i="13" a="1"/>
  <c r="F218" i="13" s="1"/>
  <c r="G218" i="13" a="1"/>
  <c r="G218" i="13" s="1"/>
  <c r="I218" i="13" s="1" a="1"/>
  <c r="I218" i="13" s="1"/>
  <c r="J218" i="13" s="1" a="1"/>
  <c r="J218" i="13" s="1"/>
  <c r="F217" i="13" a="1"/>
  <c r="F217" i="13" s="1"/>
  <c r="G217" i="13" a="1"/>
  <c r="G217" i="13" s="1"/>
  <c r="I217" i="13" s="1" a="1"/>
  <c r="I217" i="13" s="1"/>
  <c r="J217" i="13" s="1" a="1"/>
  <c r="J217" i="13" s="1"/>
  <c r="F216" i="13" a="1"/>
  <c r="F216" i="13" s="1"/>
  <c r="G216" i="13" a="1"/>
  <c r="G216" i="13" s="1"/>
  <c r="I216" i="13" s="1" a="1"/>
  <c r="I216" i="13" s="1"/>
  <c r="J216" i="13" s="1" a="1"/>
  <c r="J216" i="13" s="1"/>
  <c r="F215" i="13" a="1"/>
  <c r="F215" i="13" s="1"/>
  <c r="G215" i="13" a="1"/>
  <c r="G215" i="13" s="1"/>
  <c r="I215" i="13" s="1" a="1"/>
  <c r="I215" i="13" s="1"/>
  <c r="J215" i="13" s="1" a="1"/>
  <c r="J215" i="13" s="1"/>
  <c r="F214" i="13" a="1"/>
  <c r="F214" i="13" s="1"/>
  <c r="G214" i="13" a="1"/>
  <c r="G214" i="13" s="1"/>
  <c r="I214" i="13" s="1" a="1"/>
  <c r="I214" i="13" s="1"/>
  <c r="J214" i="13" s="1" a="1"/>
  <c r="J214" i="13" s="1"/>
  <c r="F213" i="13" a="1"/>
  <c r="F213" i="13" s="1"/>
  <c r="G213" i="13" a="1"/>
  <c r="G213" i="13" s="1"/>
  <c r="I213" i="13" s="1" a="1"/>
  <c r="I213" i="13" s="1"/>
  <c r="J213" i="13" s="1" a="1"/>
  <c r="J213" i="13" s="1"/>
  <c r="F212" i="13" a="1"/>
  <c r="F212" i="13" s="1"/>
  <c r="G212" i="13" a="1"/>
  <c r="G212" i="13" s="1"/>
  <c r="I212" i="13" s="1" a="1"/>
  <c r="I212" i="13" s="1"/>
  <c r="J212" i="13" s="1" a="1"/>
  <c r="J212" i="13" s="1"/>
  <c r="F211" i="13" a="1"/>
  <c r="F211" i="13" s="1"/>
  <c r="G211" i="13" a="1"/>
  <c r="G211" i="13" s="1"/>
  <c r="I211" i="13" s="1" a="1"/>
  <c r="I211" i="13" s="1"/>
  <c r="J211" i="13" s="1" a="1"/>
  <c r="J211" i="13" s="1"/>
  <c r="F210" i="13" a="1"/>
  <c r="F210" i="13" s="1"/>
  <c r="G210" i="13" a="1"/>
  <c r="G210" i="13" s="1"/>
  <c r="I210" i="13" s="1" a="1"/>
  <c r="I210" i="13" s="1"/>
  <c r="J210" i="13" s="1" a="1"/>
  <c r="J210" i="13" s="1"/>
  <c r="F209" i="13" a="1"/>
  <c r="F209" i="13" s="1"/>
  <c r="G209" i="13" a="1"/>
  <c r="G209" i="13" s="1"/>
  <c r="I209" i="13" s="1" a="1"/>
  <c r="I209" i="13" s="1"/>
  <c r="J209" i="13" s="1" a="1"/>
  <c r="J209" i="13" s="1"/>
  <c r="F208" i="13" a="1"/>
  <c r="F208" i="13" s="1"/>
  <c r="G208" i="13" a="1"/>
  <c r="G208" i="13" s="1"/>
  <c r="I208" i="13" s="1" a="1"/>
  <c r="I208" i="13" s="1"/>
  <c r="J208" i="13" s="1" a="1"/>
  <c r="J208" i="13" s="1"/>
  <c r="F207" i="13" a="1"/>
  <c r="F207" i="13" s="1"/>
  <c r="G207" i="13" a="1"/>
  <c r="G207" i="13" s="1"/>
  <c r="I207" i="13" s="1" a="1"/>
  <c r="I207" i="13" s="1"/>
  <c r="J207" i="13" s="1" a="1"/>
  <c r="J207" i="13" s="1"/>
  <c r="F206" i="13" a="1"/>
  <c r="F206" i="13" s="1"/>
  <c r="G206" i="13" a="1"/>
  <c r="G206" i="13" s="1"/>
  <c r="I206" i="13" s="1" a="1"/>
  <c r="I206" i="13" s="1"/>
  <c r="J206" i="13" s="1" a="1"/>
  <c r="J206" i="13" s="1"/>
  <c r="F205" i="13" a="1"/>
  <c r="F205" i="13" s="1"/>
  <c r="G205" i="13" a="1"/>
  <c r="G205" i="13" s="1"/>
  <c r="I205" i="13" s="1" a="1"/>
  <c r="I205" i="13" s="1"/>
  <c r="J205" i="13" s="1" a="1"/>
  <c r="J205" i="13" s="1"/>
  <c r="F204" i="13" a="1"/>
  <c r="F204" i="13" s="1"/>
  <c r="G204" i="13" a="1"/>
  <c r="G204" i="13" s="1"/>
  <c r="I204" i="13" s="1" a="1"/>
  <c r="I204" i="13" s="1"/>
  <c r="J204" i="13" s="1" a="1"/>
  <c r="J204" i="13" s="1"/>
  <c r="F203" i="13" a="1"/>
  <c r="F203" i="13" s="1"/>
  <c r="G203" i="13" a="1"/>
  <c r="G203" i="13" s="1"/>
  <c r="I203" i="13" s="1" a="1"/>
  <c r="I203" i="13" s="1"/>
  <c r="J203" i="13" s="1" a="1"/>
  <c r="J203" i="13" s="1"/>
  <c r="F202" i="13" a="1"/>
  <c r="F202" i="13" s="1"/>
  <c r="G202" i="13" a="1"/>
  <c r="G202" i="13" s="1"/>
  <c r="I202" i="13" s="1" a="1"/>
  <c r="I202" i="13" s="1"/>
  <c r="J202" i="13" s="1" a="1"/>
  <c r="J202" i="13" s="1"/>
  <c r="F201" i="13" a="1"/>
  <c r="F201" i="13" s="1"/>
  <c r="G201" i="13" a="1"/>
  <c r="G201" i="13" s="1"/>
  <c r="I201" i="13" s="1" a="1"/>
  <c r="I201" i="13" s="1"/>
  <c r="J201" i="13" s="1" a="1"/>
  <c r="J201" i="13" s="1"/>
  <c r="F200" i="13" a="1"/>
  <c r="F200" i="13" s="1"/>
  <c r="G200" i="13" a="1"/>
  <c r="G200" i="13" s="1"/>
  <c r="I200" i="13" s="1" a="1"/>
  <c r="I200" i="13" s="1"/>
  <c r="J200" i="13" s="1" a="1"/>
  <c r="J200" i="13" s="1"/>
  <c r="F199" i="13" a="1"/>
  <c r="F199" i="13" s="1"/>
  <c r="G199" i="13" a="1"/>
  <c r="G199" i="13" s="1"/>
  <c r="I199" i="13" s="1" a="1"/>
  <c r="I199" i="13" s="1"/>
  <c r="J199" i="13" s="1" a="1"/>
  <c r="J199" i="13" s="1"/>
  <c r="F198" i="13" a="1"/>
  <c r="F198" i="13" s="1"/>
  <c r="G198" i="13" a="1"/>
  <c r="G198" i="13" s="1"/>
  <c r="I198" i="13" s="1" a="1"/>
  <c r="I198" i="13" s="1"/>
  <c r="J198" i="13" s="1" a="1"/>
  <c r="J198" i="13" s="1"/>
  <c r="F197" i="13" a="1"/>
  <c r="F197" i="13" s="1"/>
  <c r="G197" i="13" a="1"/>
  <c r="G197" i="13" s="1"/>
  <c r="I197" i="13" s="1" a="1"/>
  <c r="I197" i="13" s="1"/>
  <c r="J197" i="13" s="1" a="1"/>
  <c r="J197" i="13" s="1"/>
  <c r="F196" i="13" a="1"/>
  <c r="F196" i="13" s="1"/>
  <c r="G196" i="13" a="1"/>
  <c r="G196" i="13" s="1"/>
  <c r="I196" i="13" s="1" a="1"/>
  <c r="I196" i="13" s="1"/>
  <c r="J196" i="13" s="1" a="1"/>
  <c r="J196" i="13" s="1"/>
  <c r="F195" i="13" a="1"/>
  <c r="F195" i="13" s="1"/>
  <c r="G195" i="13" a="1"/>
  <c r="G195" i="13" s="1"/>
  <c r="I195" i="13" s="1" a="1"/>
  <c r="I195" i="13" s="1"/>
  <c r="J195" i="13" s="1" a="1"/>
  <c r="J195" i="13" s="1"/>
  <c r="F194" i="13" a="1"/>
  <c r="F194" i="13" s="1"/>
  <c r="G194" i="13" a="1"/>
  <c r="G194" i="13" s="1"/>
  <c r="I194" i="13" s="1" a="1"/>
  <c r="I194" i="13" s="1"/>
  <c r="J194" i="13" s="1" a="1"/>
  <c r="J194" i="13" s="1"/>
  <c r="F193" i="13" a="1"/>
  <c r="F193" i="13" s="1"/>
  <c r="G193" i="13" a="1"/>
  <c r="G193" i="13" s="1"/>
  <c r="I193" i="13" s="1" a="1"/>
  <c r="I193" i="13" s="1"/>
  <c r="J193" i="13" s="1" a="1"/>
  <c r="J193" i="13" s="1"/>
  <c r="F192" i="13" a="1"/>
  <c r="F192" i="13" s="1"/>
  <c r="G192" i="13" a="1"/>
  <c r="G192" i="13" s="1"/>
  <c r="I192" i="13" s="1" a="1"/>
  <c r="I192" i="13" s="1"/>
  <c r="J192" i="13" s="1" a="1"/>
  <c r="J192" i="13" s="1"/>
  <c r="F191" i="13" a="1"/>
  <c r="F191" i="13" s="1"/>
  <c r="G191" i="13" a="1"/>
  <c r="G191" i="13" s="1"/>
  <c r="I191" i="13" s="1" a="1"/>
  <c r="I191" i="13" s="1"/>
  <c r="J191" i="13" s="1" a="1"/>
  <c r="J191" i="13" s="1"/>
  <c r="F190" i="13" a="1"/>
  <c r="F190" i="13" s="1"/>
  <c r="G190" i="13" a="1"/>
  <c r="G190" i="13" s="1"/>
  <c r="I190" i="13" s="1" a="1"/>
  <c r="I190" i="13" s="1"/>
  <c r="J190" i="13" s="1" a="1"/>
  <c r="J190" i="13" s="1"/>
  <c r="F189" i="13" a="1"/>
  <c r="F189" i="13" s="1"/>
  <c r="G189" i="13" a="1"/>
  <c r="G189" i="13" s="1"/>
  <c r="I189" i="13" s="1" a="1"/>
  <c r="I189" i="13" s="1"/>
  <c r="J189" i="13" s="1" a="1"/>
  <c r="J189" i="13" s="1"/>
  <c r="F188" i="13" a="1"/>
  <c r="F188" i="13" s="1"/>
  <c r="G188" i="13" a="1"/>
  <c r="G188" i="13" s="1"/>
  <c r="I188" i="13" s="1" a="1"/>
  <c r="I188" i="13" s="1"/>
  <c r="J188" i="13" s="1" a="1"/>
  <c r="J188" i="13" s="1"/>
  <c r="F187" i="13" a="1"/>
  <c r="F187" i="13" s="1"/>
  <c r="G187" i="13" a="1"/>
  <c r="G187" i="13" s="1"/>
  <c r="I187" i="13" s="1" a="1"/>
  <c r="I187" i="13" s="1"/>
  <c r="J187" i="13" s="1" a="1"/>
  <c r="J187" i="13" s="1"/>
  <c r="F186" i="13" a="1"/>
  <c r="F186" i="13" s="1"/>
  <c r="G186" i="13" a="1"/>
  <c r="G186" i="13" s="1"/>
  <c r="I186" i="13" s="1" a="1"/>
  <c r="I186" i="13" s="1"/>
  <c r="J186" i="13" s="1" a="1"/>
  <c r="J186" i="13" s="1"/>
  <c r="F185" i="13" a="1"/>
  <c r="F185" i="13" s="1"/>
  <c r="G185" i="13" a="1"/>
  <c r="G185" i="13" s="1"/>
  <c r="I185" i="13" s="1" a="1"/>
  <c r="I185" i="13" s="1"/>
  <c r="J185" i="13" s="1" a="1"/>
  <c r="J185" i="13" s="1"/>
  <c r="F184" i="13" a="1"/>
  <c r="F184" i="13" s="1"/>
  <c r="G184" i="13" a="1"/>
  <c r="G184" i="13" s="1"/>
  <c r="I184" i="13" s="1" a="1"/>
  <c r="I184" i="13" s="1"/>
  <c r="J184" i="13" s="1" a="1"/>
  <c r="J184" i="13" s="1"/>
  <c r="F183" i="13" a="1"/>
  <c r="F183" i="13" s="1"/>
  <c r="G183" i="13" a="1"/>
  <c r="G183" i="13" s="1"/>
  <c r="I183" i="13" s="1" a="1"/>
  <c r="I183" i="13" s="1"/>
  <c r="J183" i="13" s="1" a="1"/>
  <c r="J183" i="13" s="1"/>
  <c r="F182" i="13" a="1"/>
  <c r="F182" i="13" s="1"/>
  <c r="G182" i="13" a="1"/>
  <c r="G182" i="13" s="1"/>
  <c r="I182" i="13" s="1" a="1"/>
  <c r="I182" i="13" s="1"/>
  <c r="J182" i="13" s="1" a="1"/>
  <c r="J182" i="13" s="1"/>
  <c r="F181" i="13" a="1"/>
  <c r="F181" i="13" s="1"/>
  <c r="G181" i="13" a="1"/>
  <c r="G181" i="13" s="1"/>
  <c r="I181" i="13" s="1" a="1"/>
  <c r="I181" i="13" s="1"/>
  <c r="J181" i="13" s="1" a="1"/>
  <c r="J181" i="13" s="1"/>
  <c r="F180" i="13" a="1"/>
  <c r="F180" i="13" s="1"/>
  <c r="G180" i="13" a="1"/>
  <c r="G180" i="13" s="1"/>
  <c r="I180" i="13" s="1" a="1"/>
  <c r="I180" i="13" s="1"/>
  <c r="J180" i="13" s="1" a="1"/>
  <c r="J180" i="13" s="1"/>
  <c r="F179" i="13" a="1"/>
  <c r="F179" i="13" s="1"/>
  <c r="G179" i="13" a="1"/>
  <c r="G179" i="13" s="1"/>
  <c r="I179" i="13" s="1" a="1"/>
  <c r="I179" i="13" s="1"/>
  <c r="J179" i="13" s="1" a="1"/>
  <c r="J179" i="13" s="1"/>
  <c r="F178" i="13" a="1"/>
  <c r="F178" i="13" s="1"/>
  <c r="G178" i="13" a="1"/>
  <c r="G178" i="13" s="1"/>
  <c r="I178" i="13" s="1" a="1"/>
  <c r="I178" i="13" s="1"/>
  <c r="J178" i="13" s="1" a="1"/>
  <c r="J178" i="13" s="1"/>
  <c r="F177" i="13" a="1"/>
  <c r="F177" i="13" s="1"/>
  <c r="G177" i="13" a="1"/>
  <c r="G177" i="13" s="1"/>
  <c r="I177" i="13" s="1" a="1"/>
  <c r="I177" i="13" s="1"/>
  <c r="J177" i="13" s="1" a="1"/>
  <c r="J177" i="13" s="1"/>
  <c r="F176" i="13" a="1"/>
  <c r="F176" i="13" s="1"/>
  <c r="G176" i="13" a="1"/>
  <c r="G176" i="13" s="1"/>
  <c r="I176" i="13" s="1" a="1"/>
  <c r="I176" i="13" s="1"/>
  <c r="J176" i="13" s="1" a="1"/>
  <c r="J176" i="13" s="1"/>
  <c r="F175" i="13" a="1"/>
  <c r="F175" i="13" s="1"/>
  <c r="G175" i="13" a="1"/>
  <c r="G175" i="13" s="1"/>
  <c r="I175" i="13" s="1" a="1"/>
  <c r="I175" i="13" s="1"/>
  <c r="J175" i="13" s="1" a="1"/>
  <c r="J175" i="13" s="1"/>
  <c r="F174" i="13" a="1"/>
  <c r="F174" i="13" s="1"/>
  <c r="G174" i="13" a="1"/>
  <c r="G174" i="13" s="1"/>
  <c r="I174" i="13" s="1" a="1"/>
  <c r="I174" i="13" s="1"/>
  <c r="J174" i="13" s="1" a="1"/>
  <c r="J174" i="13" s="1"/>
  <c r="F173" i="13" a="1"/>
  <c r="F173" i="13" s="1"/>
  <c r="G173" i="13" a="1"/>
  <c r="G173" i="13" s="1"/>
  <c r="I173" i="13" s="1" a="1"/>
  <c r="I173" i="13" s="1"/>
  <c r="J173" i="13" s="1" a="1"/>
  <c r="J173" i="13" s="1"/>
  <c r="F172" i="13" a="1"/>
  <c r="F172" i="13" s="1"/>
  <c r="G172" i="13" a="1"/>
  <c r="G172" i="13" s="1"/>
  <c r="I172" i="13" s="1" a="1"/>
  <c r="I172" i="13" s="1"/>
  <c r="J172" i="13" s="1" a="1"/>
  <c r="J172" i="13" s="1"/>
  <c r="F171" i="13" a="1"/>
  <c r="F171" i="13" s="1"/>
  <c r="G171" i="13" a="1"/>
  <c r="G171" i="13" s="1"/>
  <c r="I171" i="13" s="1" a="1"/>
  <c r="I171" i="13" s="1"/>
  <c r="J171" i="13" s="1" a="1"/>
  <c r="J171" i="13" s="1"/>
  <c r="F170" i="13" a="1"/>
  <c r="F170" i="13" s="1"/>
  <c r="G170" i="13" a="1"/>
  <c r="G170" i="13" s="1"/>
  <c r="I170" i="13" s="1" a="1"/>
  <c r="I170" i="13" s="1"/>
  <c r="J170" i="13" s="1" a="1"/>
  <c r="J170" i="13" s="1"/>
  <c r="F169" i="13" a="1"/>
  <c r="F169" i="13" s="1"/>
  <c r="G169" i="13" a="1"/>
  <c r="G169" i="13" s="1"/>
  <c r="I169" i="13" s="1" a="1"/>
  <c r="I169" i="13" s="1"/>
  <c r="J169" i="13" s="1" a="1"/>
  <c r="J169" i="13" s="1"/>
  <c r="F168" i="13" a="1"/>
  <c r="F168" i="13" s="1"/>
  <c r="G168" i="13" a="1"/>
  <c r="G168" i="13" s="1"/>
  <c r="I168" i="13" s="1" a="1"/>
  <c r="I168" i="13" s="1"/>
  <c r="J168" i="13" s="1" a="1"/>
  <c r="J168" i="13" s="1"/>
  <c r="F167" i="13" a="1"/>
  <c r="F167" i="13" s="1"/>
  <c r="G167" i="13" a="1"/>
  <c r="G167" i="13" s="1"/>
  <c r="I167" i="13" s="1" a="1"/>
  <c r="I167" i="13" s="1"/>
  <c r="J167" i="13" s="1" a="1"/>
  <c r="J167" i="13" s="1"/>
  <c r="F166" i="13" a="1"/>
  <c r="F166" i="13" s="1"/>
  <c r="G166" i="13" a="1"/>
  <c r="G166" i="13" s="1"/>
  <c r="I166" i="13" s="1" a="1"/>
  <c r="I166" i="13" s="1"/>
  <c r="J166" i="13" s="1" a="1"/>
  <c r="J166" i="13" s="1"/>
  <c r="F165" i="13" a="1"/>
  <c r="F165" i="13" s="1"/>
  <c r="G165" i="13" a="1"/>
  <c r="G165" i="13" s="1"/>
  <c r="I165" i="13" s="1" a="1"/>
  <c r="I165" i="13" s="1"/>
  <c r="J165" i="13" s="1" a="1"/>
  <c r="J165" i="13" s="1"/>
  <c r="F164" i="13" a="1"/>
  <c r="F164" i="13" s="1"/>
  <c r="G164" i="13" a="1"/>
  <c r="G164" i="13" s="1"/>
  <c r="I164" i="13" s="1" a="1"/>
  <c r="I164" i="13" s="1"/>
  <c r="J164" i="13" s="1" a="1"/>
  <c r="J164" i="13" s="1"/>
  <c r="F163" i="13" a="1"/>
  <c r="F163" i="13" s="1"/>
  <c r="G163" i="13" a="1"/>
  <c r="G163" i="13" s="1"/>
  <c r="I163" i="13" s="1" a="1"/>
  <c r="I163" i="13" s="1"/>
  <c r="J163" i="13" s="1" a="1"/>
  <c r="J163" i="13" s="1"/>
  <c r="F162" i="13" a="1"/>
  <c r="F162" i="13" s="1"/>
  <c r="G162" i="13" a="1"/>
  <c r="G162" i="13" s="1"/>
  <c r="I162" i="13" s="1" a="1"/>
  <c r="I162" i="13" s="1"/>
  <c r="J162" i="13" s="1" a="1"/>
  <c r="J162" i="13" s="1"/>
  <c r="F161" i="13" a="1"/>
  <c r="F161" i="13" s="1"/>
  <c r="G161" i="13" a="1"/>
  <c r="G161" i="13" s="1"/>
  <c r="I161" i="13" s="1" a="1"/>
  <c r="I161" i="13" s="1"/>
  <c r="J161" i="13" s="1" a="1"/>
  <c r="J161" i="13" s="1"/>
  <c r="F160" i="13" a="1"/>
  <c r="F160" i="13" s="1"/>
  <c r="G160" i="13" a="1"/>
  <c r="G160" i="13" s="1"/>
  <c r="I160" i="13" s="1" a="1"/>
  <c r="I160" i="13" s="1"/>
  <c r="J160" i="13" s="1" a="1"/>
  <c r="J160" i="13" s="1"/>
  <c r="F159" i="13" a="1"/>
  <c r="F159" i="13" s="1"/>
  <c r="G159" i="13" a="1"/>
  <c r="G159" i="13" s="1"/>
  <c r="I159" i="13" s="1" a="1"/>
  <c r="I159" i="13" s="1"/>
  <c r="J159" i="13" s="1" a="1"/>
  <c r="J159" i="13" s="1"/>
  <c r="F158" i="13" a="1"/>
  <c r="F158" i="13" s="1"/>
  <c r="G158" i="13" a="1"/>
  <c r="G158" i="13" s="1"/>
  <c r="I158" i="13" s="1" a="1"/>
  <c r="I158" i="13" s="1"/>
  <c r="J158" i="13" s="1" a="1"/>
  <c r="J158" i="13" s="1"/>
  <c r="G151" i="13" a="1"/>
  <c r="G151" i="13" s="1"/>
  <c r="I151" i="13" s="1" a="1"/>
  <c r="I151" i="13" s="1"/>
  <c r="J151" i="13" s="1" a="1"/>
  <c r="J151" i="13" s="1"/>
  <c r="F151" i="13" a="1"/>
  <c r="F151" i="13" s="1"/>
  <c r="G150" i="13" a="1"/>
  <c r="G150" i="13" s="1"/>
  <c r="I150" i="13" s="1" a="1"/>
  <c r="I150" i="13" s="1"/>
  <c r="J150" i="13" s="1" a="1"/>
  <c r="J150" i="13" s="1"/>
  <c r="F150" i="13" a="1"/>
  <c r="F150" i="13" s="1"/>
  <c r="G149" i="13" a="1"/>
  <c r="G149" i="13" s="1"/>
  <c r="I149" i="13" s="1" a="1"/>
  <c r="I149" i="13" s="1"/>
  <c r="J149" i="13" s="1" a="1"/>
  <c r="J149" i="13" s="1"/>
  <c r="F149" i="13" a="1"/>
  <c r="F149" i="13" s="1"/>
  <c r="G148" i="13" a="1"/>
  <c r="G148" i="13" s="1"/>
  <c r="I148" i="13" s="1" a="1"/>
  <c r="I148" i="13" s="1"/>
  <c r="J148" i="13" s="1" a="1"/>
  <c r="J148" i="13" s="1"/>
  <c r="F148" i="13" a="1"/>
  <c r="F148" i="13" s="1"/>
  <c r="G147" i="13" a="1"/>
  <c r="G147" i="13" s="1"/>
  <c r="I147" i="13" s="1" a="1"/>
  <c r="I147" i="13" s="1"/>
  <c r="J147" i="13" s="1" a="1"/>
  <c r="J147" i="13" s="1"/>
  <c r="F147" i="13" a="1"/>
  <c r="F147" i="13" s="1"/>
  <c r="G146" i="13" a="1"/>
  <c r="G146" i="13" s="1"/>
  <c r="I146" i="13" s="1" a="1"/>
  <c r="I146" i="13" s="1"/>
  <c r="J146" i="13" s="1" a="1"/>
  <c r="J146" i="13" s="1"/>
  <c r="F146" i="13" a="1"/>
  <c r="F146" i="13" s="1"/>
  <c r="F145" i="13" a="1"/>
  <c r="F145" i="13" s="1"/>
  <c r="G145" i="13" a="1"/>
  <c r="G145" i="13" s="1"/>
  <c r="I145" i="13" s="1" a="1"/>
  <c r="I145" i="13" s="1"/>
  <c r="J145" i="13" s="1" a="1"/>
  <c r="J145" i="13" s="1"/>
  <c r="F144" i="13" a="1"/>
  <c r="F144" i="13" s="1"/>
  <c r="G144" i="13" a="1"/>
  <c r="G144" i="13" s="1"/>
  <c r="I144" i="13" s="1" a="1"/>
  <c r="I144" i="13" s="1"/>
  <c r="J144" i="13" s="1" a="1"/>
  <c r="J144" i="13" s="1"/>
  <c r="F143" i="13" a="1"/>
  <c r="F143" i="13" s="1"/>
  <c r="G143" i="13" a="1"/>
  <c r="G143" i="13" s="1"/>
  <c r="I143" i="13" s="1" a="1"/>
  <c r="I143" i="13" s="1"/>
  <c r="J143" i="13" s="1" a="1"/>
  <c r="J143" i="13" s="1"/>
  <c r="F142" i="13" a="1"/>
  <c r="F142" i="13" s="1"/>
  <c r="G142" i="13" a="1"/>
  <c r="G142" i="13" s="1"/>
  <c r="I142" i="13" s="1" a="1"/>
  <c r="I142" i="13" s="1"/>
  <c r="J142" i="13" s="1" a="1"/>
  <c r="J142" i="13" s="1"/>
  <c r="F141" i="13" a="1"/>
  <c r="F141" i="13" s="1"/>
  <c r="G141" i="13" a="1"/>
  <c r="G141" i="13" s="1"/>
  <c r="I141" i="13" s="1" a="1"/>
  <c r="I141" i="13" s="1"/>
  <c r="J141" i="13" s="1" a="1"/>
  <c r="J141" i="13" s="1"/>
  <c r="F140" i="13" a="1"/>
  <c r="F140" i="13" s="1"/>
  <c r="G140" i="13" a="1"/>
  <c r="G140" i="13" s="1"/>
  <c r="I140" i="13" s="1" a="1"/>
  <c r="I140" i="13" s="1"/>
  <c r="J140" i="13" s="1" a="1"/>
  <c r="J140" i="13" s="1"/>
  <c r="F139" i="13" a="1"/>
  <c r="F139" i="13" s="1"/>
  <c r="G139" i="13" a="1"/>
  <c r="G139" i="13" s="1"/>
  <c r="I139" i="13" s="1" a="1"/>
  <c r="I139" i="13" s="1"/>
  <c r="J139" i="13" s="1" a="1"/>
  <c r="J139" i="13" s="1"/>
  <c r="F138" i="13" a="1"/>
  <c r="F138" i="13" s="1"/>
  <c r="G138" i="13" a="1"/>
  <c r="G138" i="13" s="1"/>
  <c r="I138" i="13" s="1" a="1"/>
  <c r="I138" i="13" s="1"/>
  <c r="J138" i="13" s="1" a="1"/>
  <c r="J138" i="13" s="1"/>
  <c r="F137" i="13" a="1"/>
  <c r="F137" i="13" s="1"/>
  <c r="G137" i="13" a="1"/>
  <c r="G137" i="13" s="1"/>
  <c r="I137" i="13" s="1" a="1"/>
  <c r="I137" i="13" s="1"/>
  <c r="J137" i="13" s="1" a="1"/>
  <c r="J137" i="13" s="1"/>
  <c r="F136" i="13" a="1"/>
  <c r="F136" i="13" s="1"/>
  <c r="G136" i="13" a="1"/>
  <c r="G136" i="13" s="1"/>
  <c r="I136" i="13" s="1" a="1"/>
  <c r="I136" i="13" s="1"/>
  <c r="J136" i="13" s="1" a="1"/>
  <c r="J136" i="13" s="1"/>
  <c r="F135" i="13" a="1"/>
  <c r="F135" i="13" s="1"/>
  <c r="G135" i="13" a="1"/>
  <c r="G135" i="13" s="1"/>
  <c r="I135" i="13" s="1" a="1"/>
  <c r="I135" i="13" s="1"/>
  <c r="J135" i="13" s="1" a="1"/>
  <c r="J135" i="13" s="1"/>
  <c r="F134" i="13" a="1"/>
  <c r="F134" i="13" s="1"/>
  <c r="G134" i="13" a="1"/>
  <c r="G134" i="13" s="1"/>
  <c r="I134" i="13" s="1" a="1"/>
  <c r="I134" i="13" s="1"/>
  <c r="J134" i="13" s="1" a="1"/>
  <c r="J134" i="13" s="1"/>
  <c r="F133" i="13" a="1"/>
  <c r="F133" i="13" s="1"/>
  <c r="G133" i="13" a="1"/>
  <c r="G133" i="13" s="1"/>
  <c r="I133" i="13" s="1" a="1"/>
  <c r="I133" i="13" s="1"/>
  <c r="J133" i="13" s="1" a="1"/>
  <c r="J133" i="13" s="1"/>
  <c r="F132" i="13" a="1"/>
  <c r="F132" i="13" s="1"/>
  <c r="G132" i="13" a="1"/>
  <c r="G132" i="13" s="1"/>
  <c r="I132" i="13" s="1" a="1"/>
  <c r="I132" i="13" s="1"/>
  <c r="J132" i="13" s="1" a="1"/>
  <c r="J132" i="13" s="1"/>
  <c r="F131" i="13" a="1"/>
  <c r="F131" i="13" s="1"/>
  <c r="G131" i="13" a="1"/>
  <c r="G131" i="13" s="1"/>
  <c r="I131" i="13" s="1" a="1"/>
  <c r="I131" i="13" s="1"/>
  <c r="J131" i="13" s="1" a="1"/>
  <c r="J131" i="13" s="1"/>
  <c r="F130" i="13" a="1"/>
  <c r="F130" i="13" s="1"/>
  <c r="G130" i="13" a="1"/>
  <c r="G130" i="13" s="1"/>
  <c r="I130" i="13" s="1" a="1"/>
  <c r="I130" i="13" s="1"/>
  <c r="J130" i="13" s="1" a="1"/>
  <c r="J130" i="13" s="1"/>
  <c r="F129" i="13" a="1"/>
  <c r="F129" i="13" s="1"/>
  <c r="G129" i="13" a="1"/>
  <c r="G129" i="13" s="1"/>
  <c r="I129" i="13" s="1" a="1"/>
  <c r="I129" i="13" s="1"/>
  <c r="J129" i="13" s="1" a="1"/>
  <c r="J129" i="13" s="1"/>
  <c r="F128" i="13" a="1"/>
  <c r="F128" i="13" s="1"/>
  <c r="G128" i="13" a="1"/>
  <c r="G128" i="13" s="1"/>
  <c r="I128" i="13" s="1" a="1"/>
  <c r="I128" i="13" s="1"/>
  <c r="J128" i="13" s="1" a="1"/>
  <c r="J128" i="13" s="1"/>
  <c r="F127" i="13" a="1"/>
  <c r="F127" i="13" s="1"/>
  <c r="G127" i="13" a="1"/>
  <c r="G127" i="13" s="1"/>
  <c r="I127" i="13" s="1" a="1"/>
  <c r="I127" i="13" s="1"/>
  <c r="J127" i="13" s="1" a="1"/>
  <c r="J127" i="13" s="1"/>
  <c r="F126" i="13" a="1"/>
  <c r="F126" i="13" s="1"/>
  <c r="G126" i="13" a="1"/>
  <c r="G126" i="13" s="1"/>
  <c r="I126" i="13" s="1" a="1"/>
  <c r="I126" i="13" s="1"/>
  <c r="J126" i="13" s="1" a="1"/>
  <c r="J126" i="13" s="1"/>
  <c r="F125" i="13" a="1"/>
  <c r="F125" i="13" s="1"/>
  <c r="G125" i="13" a="1"/>
  <c r="G125" i="13" s="1"/>
  <c r="I125" i="13" s="1" a="1"/>
  <c r="I125" i="13" s="1"/>
  <c r="J125" i="13" s="1" a="1"/>
  <c r="J125" i="13" s="1"/>
  <c r="F124" i="13" a="1"/>
  <c r="F124" i="13" s="1"/>
  <c r="G124" i="13" a="1"/>
  <c r="G124" i="13" s="1"/>
  <c r="I124" i="13" s="1" a="1"/>
  <c r="I124" i="13" s="1"/>
  <c r="J124" i="13" s="1" a="1"/>
  <c r="J124" i="13" s="1"/>
  <c r="F123" i="13" a="1"/>
  <c r="F123" i="13" s="1"/>
  <c r="G123" i="13" a="1"/>
  <c r="G123" i="13" s="1"/>
  <c r="I123" i="13" s="1" a="1"/>
  <c r="I123" i="13" s="1"/>
  <c r="J123" i="13" s="1" a="1"/>
  <c r="J123" i="13" s="1"/>
  <c r="F122" i="13" a="1"/>
  <c r="F122" i="13" s="1"/>
  <c r="G122" i="13" a="1"/>
  <c r="G122" i="13" s="1"/>
  <c r="I122" i="13" s="1" a="1"/>
  <c r="I122" i="13" s="1"/>
  <c r="J122" i="13" s="1" a="1"/>
  <c r="J122" i="13" s="1"/>
  <c r="F121" i="13" a="1"/>
  <c r="F121" i="13" s="1"/>
  <c r="G121" i="13" a="1"/>
  <c r="G121" i="13" s="1"/>
  <c r="I121" i="13" s="1" a="1"/>
  <c r="I121" i="13" s="1"/>
  <c r="J121" i="13" s="1" a="1"/>
  <c r="J121" i="13" s="1"/>
  <c r="F120" i="13" a="1"/>
  <c r="F120" i="13" s="1"/>
  <c r="G120" i="13" a="1"/>
  <c r="G120" i="13" s="1"/>
  <c r="I120" i="13" s="1" a="1"/>
  <c r="I120" i="13" s="1"/>
  <c r="J120" i="13" s="1" a="1"/>
  <c r="J120" i="13" s="1"/>
  <c r="F119" i="13" a="1"/>
  <c r="F119" i="13" s="1"/>
  <c r="G119" i="13" a="1"/>
  <c r="G119" i="13" s="1"/>
  <c r="I119" i="13" s="1" a="1"/>
  <c r="I119" i="13" s="1"/>
  <c r="J119" i="13" s="1" a="1"/>
  <c r="J119" i="13" s="1"/>
  <c r="F118" i="13" a="1"/>
  <c r="F118" i="13" s="1"/>
  <c r="G118" i="13" a="1"/>
  <c r="G118" i="13" s="1"/>
  <c r="I118" i="13" s="1" a="1"/>
  <c r="I118" i="13" s="1"/>
  <c r="J118" i="13" s="1" a="1"/>
  <c r="J118" i="13" s="1"/>
  <c r="F117" i="13" a="1"/>
  <c r="F117" i="13" s="1"/>
  <c r="G117" i="13" a="1"/>
  <c r="G117" i="13" s="1"/>
  <c r="I117" i="13" s="1" a="1"/>
  <c r="I117" i="13" s="1"/>
  <c r="J117" i="13" s="1" a="1"/>
  <c r="J117" i="13" s="1"/>
  <c r="F116" i="13" a="1"/>
  <c r="F116" i="13" s="1"/>
  <c r="G116" i="13" a="1"/>
  <c r="G116" i="13" s="1"/>
  <c r="I116" i="13" s="1" a="1"/>
  <c r="I116" i="13" s="1"/>
  <c r="J116" i="13" s="1" a="1"/>
  <c r="J116" i="13" s="1"/>
  <c r="F115" i="13" a="1"/>
  <c r="F115" i="13" s="1"/>
  <c r="G115" i="13" a="1"/>
  <c r="G115" i="13" s="1"/>
  <c r="I115" i="13" s="1" a="1"/>
  <c r="I115" i="13" s="1"/>
  <c r="J115" i="13" s="1" a="1"/>
  <c r="J115" i="13" s="1"/>
  <c r="F114" i="13" a="1"/>
  <c r="F114" i="13" s="1"/>
  <c r="G114" i="13" a="1"/>
  <c r="G114" i="13" s="1"/>
  <c r="I114" i="13" s="1" a="1"/>
  <c r="I114" i="13" s="1"/>
  <c r="J114" i="13" s="1" a="1"/>
  <c r="J114" i="13" s="1"/>
  <c r="F113" i="13" a="1"/>
  <c r="F113" i="13" s="1"/>
  <c r="G113" i="13" a="1"/>
  <c r="G113" i="13" s="1"/>
  <c r="I113" i="13" s="1" a="1"/>
  <c r="I113" i="13" s="1"/>
  <c r="J113" i="13" s="1" a="1"/>
  <c r="J113" i="13" s="1"/>
  <c r="F112" i="13" a="1"/>
  <c r="F112" i="13" s="1"/>
  <c r="G112" i="13" a="1"/>
  <c r="G112" i="13" s="1"/>
  <c r="I112" i="13" s="1" a="1"/>
  <c r="I112" i="13" s="1"/>
  <c r="J112" i="13" s="1" a="1"/>
  <c r="J112" i="13" s="1"/>
  <c r="F111" i="13" a="1"/>
  <c r="F111" i="13" s="1"/>
  <c r="G111" i="13" a="1"/>
  <c r="G111" i="13" s="1"/>
  <c r="I111" i="13" s="1" a="1"/>
  <c r="I111" i="13" s="1"/>
  <c r="J111" i="13" s="1" a="1"/>
  <c r="J111" i="13" s="1"/>
  <c r="F110" i="13" a="1"/>
  <c r="F110" i="13" s="1"/>
  <c r="G110" i="13" a="1"/>
  <c r="G110" i="13" s="1"/>
  <c r="I110" i="13" s="1" a="1"/>
  <c r="I110" i="13" s="1"/>
  <c r="J110" i="13" s="1" a="1"/>
  <c r="J110" i="13" s="1"/>
  <c r="F109" i="13" a="1"/>
  <c r="F109" i="13" s="1"/>
  <c r="G109" i="13" a="1"/>
  <c r="G109" i="13" s="1"/>
  <c r="I109" i="13" s="1" a="1"/>
  <c r="I109" i="13" s="1"/>
  <c r="J109" i="13" s="1" a="1"/>
  <c r="J109" i="13" s="1"/>
  <c r="F108" i="13" a="1"/>
  <c r="F108" i="13" s="1"/>
  <c r="G108" i="13" a="1"/>
  <c r="G108" i="13" s="1"/>
  <c r="I108" i="13" s="1" a="1"/>
  <c r="I108" i="13" s="1"/>
  <c r="J108" i="13" s="1" a="1"/>
  <c r="J108" i="13" s="1"/>
  <c r="F107" i="13" a="1"/>
  <c r="F107" i="13" s="1"/>
  <c r="G107" i="13" a="1"/>
  <c r="G107" i="13" s="1"/>
  <c r="I107" i="13" s="1" a="1"/>
  <c r="I107" i="13" s="1"/>
  <c r="J107" i="13" s="1" a="1"/>
  <c r="J107" i="13" s="1"/>
  <c r="F106" i="13" a="1"/>
  <c r="F106" i="13" s="1"/>
  <c r="G106" i="13" a="1"/>
  <c r="G106" i="13" s="1"/>
  <c r="I106" i="13" s="1" a="1"/>
  <c r="I106" i="13" s="1"/>
  <c r="J106" i="13" s="1" a="1"/>
  <c r="J106" i="13" s="1"/>
  <c r="F105" i="13" a="1"/>
  <c r="F105" i="13" s="1"/>
  <c r="G105" i="13" a="1"/>
  <c r="G105" i="13" s="1"/>
  <c r="I105" i="13" s="1" a="1"/>
  <c r="I105" i="13" s="1"/>
  <c r="J105" i="13" s="1" a="1"/>
  <c r="J105" i="13" s="1"/>
  <c r="F104" i="13" a="1"/>
  <c r="F104" i="13" s="1"/>
  <c r="G104" i="13" a="1"/>
  <c r="G104" i="13" s="1"/>
  <c r="I104" i="13" s="1" a="1"/>
  <c r="I104" i="13" s="1"/>
  <c r="J104" i="13" s="1" a="1"/>
  <c r="J104" i="13" s="1"/>
  <c r="F103" i="13" a="1"/>
  <c r="F103" i="13" s="1"/>
  <c r="G103" i="13" a="1"/>
  <c r="G103" i="13" s="1"/>
  <c r="I103" i="13" s="1" a="1"/>
  <c r="I103" i="13" s="1"/>
  <c r="J103" i="13" s="1" a="1"/>
  <c r="J103" i="13" s="1"/>
  <c r="F102" i="13" a="1"/>
  <c r="F102" i="13" s="1"/>
  <c r="G102" i="13" a="1"/>
  <c r="G102" i="13" s="1"/>
  <c r="I102" i="13" s="1" a="1"/>
  <c r="I102" i="13" s="1"/>
  <c r="J102" i="13" s="1" a="1"/>
  <c r="J102" i="13" s="1"/>
  <c r="F101" i="13" a="1"/>
  <c r="F101" i="13" s="1"/>
  <c r="G101" i="13" a="1"/>
  <c r="G101" i="13" s="1"/>
  <c r="I101" i="13" s="1" a="1"/>
  <c r="I101" i="13" s="1"/>
  <c r="J101" i="13" s="1" a="1"/>
  <c r="J101" i="13" s="1"/>
  <c r="F100" i="13" a="1"/>
  <c r="F100" i="13" s="1"/>
  <c r="G100" i="13" a="1"/>
  <c r="G100" i="13" s="1"/>
  <c r="I100" i="13" s="1" a="1"/>
  <c r="I100" i="13" s="1"/>
  <c r="J100" i="13" s="1" a="1"/>
  <c r="J100" i="13" s="1"/>
  <c r="F99" i="13" a="1"/>
  <c r="F99" i="13" s="1"/>
  <c r="G99" i="13" a="1"/>
  <c r="G99" i="13" s="1"/>
  <c r="I99" i="13" s="1" a="1"/>
  <c r="I99" i="13" s="1"/>
  <c r="J99" i="13" s="1" a="1"/>
  <c r="J99" i="13" s="1"/>
  <c r="F98" i="13" a="1"/>
  <c r="F98" i="13" s="1"/>
  <c r="G98" i="13" a="1"/>
  <c r="G98" i="13" s="1"/>
  <c r="G97" i="13" a="1"/>
  <c r="G97" i="13" s="1"/>
  <c r="I97" i="13" s="1" a="1"/>
  <c r="I97" i="13" s="1"/>
  <c r="J97" i="13" s="1" a="1"/>
  <c r="J97" i="13" s="1"/>
  <c r="F97" i="13" a="1"/>
  <c r="F97" i="13" s="1"/>
  <c r="G96" i="13" a="1"/>
  <c r="G96" i="13" s="1"/>
  <c r="I96" i="13" s="1" a="1"/>
  <c r="I96" i="13" s="1"/>
  <c r="J96" i="13" s="1" a="1"/>
  <c r="J96" i="13" s="1"/>
  <c r="F96" i="13" a="1"/>
  <c r="F96" i="13" s="1"/>
  <c r="G95" i="13" a="1"/>
  <c r="G95" i="13" s="1"/>
  <c r="I95" i="13" s="1" a="1"/>
  <c r="I95" i="13" s="1"/>
  <c r="J95" i="13" s="1" a="1"/>
  <c r="J95" i="13" s="1"/>
  <c r="F95" i="13" a="1"/>
  <c r="F95" i="13" s="1"/>
  <c r="G94" i="13" a="1"/>
  <c r="G94" i="13" s="1"/>
  <c r="I94" i="13" s="1" a="1"/>
  <c r="I94" i="13" s="1"/>
  <c r="J94" i="13" s="1" a="1"/>
  <c r="J94" i="13" s="1"/>
  <c r="F94" i="13" a="1"/>
  <c r="F94" i="13" s="1"/>
  <c r="G93" i="13" a="1"/>
  <c r="G93" i="13" s="1"/>
  <c r="I93" i="13" s="1" a="1"/>
  <c r="I93" i="13" s="1"/>
  <c r="J93" i="13" s="1" a="1"/>
  <c r="J93" i="13" s="1"/>
  <c r="F93" i="13" a="1"/>
  <c r="F93" i="13" s="1"/>
  <c r="G92" i="13" a="1"/>
  <c r="G92" i="13" s="1"/>
  <c r="I92" i="13" s="1" a="1"/>
  <c r="I92" i="13" s="1"/>
  <c r="J92" i="13" s="1" a="1"/>
  <c r="J92" i="13" s="1"/>
  <c r="F92" i="13" a="1"/>
  <c r="F92" i="13" s="1"/>
  <c r="G91" i="13" a="1"/>
  <c r="G91" i="13" s="1"/>
  <c r="I91" i="13" s="1" a="1"/>
  <c r="I91" i="13" s="1"/>
  <c r="J91" i="13" s="1" a="1"/>
  <c r="J91" i="13" s="1"/>
  <c r="F91" i="13" a="1"/>
  <c r="F91" i="13" s="1"/>
  <c r="G90" i="13" a="1"/>
  <c r="G90" i="13" s="1"/>
  <c r="I90" i="13" s="1" a="1"/>
  <c r="I90" i="13" s="1"/>
  <c r="J90" i="13" s="1" a="1"/>
  <c r="J90" i="13" s="1"/>
  <c r="F90" i="13" a="1"/>
  <c r="F90" i="13" s="1"/>
  <c r="G89" i="13" a="1"/>
  <c r="G89" i="13" s="1"/>
  <c r="I89" i="13" s="1" a="1"/>
  <c r="I89" i="13" s="1"/>
  <c r="J89" i="13" s="1" a="1"/>
  <c r="J89" i="13" s="1"/>
  <c r="F89" i="13" a="1"/>
  <c r="F89" i="13" s="1"/>
  <c r="G88" i="13" a="1"/>
  <c r="G88" i="13" s="1"/>
  <c r="I88" i="13" s="1" a="1"/>
  <c r="I88" i="13" s="1"/>
  <c r="J88" i="13" s="1" a="1"/>
  <c r="J88" i="13" s="1"/>
  <c r="F88" i="13" a="1"/>
  <c r="F88" i="13" s="1"/>
  <c r="G87" i="13" a="1"/>
  <c r="G87" i="13" s="1"/>
  <c r="I87" i="13" s="1" a="1"/>
  <c r="I87" i="13" s="1"/>
  <c r="J87" i="13" s="1" a="1"/>
  <c r="J87" i="13" s="1"/>
  <c r="F87" i="13" a="1"/>
  <c r="F87" i="13" s="1"/>
  <c r="G86" i="13" a="1"/>
  <c r="G86" i="13" s="1"/>
  <c r="I86" i="13" s="1" a="1"/>
  <c r="I86" i="13" s="1"/>
  <c r="J86" i="13" s="1" a="1"/>
  <c r="J86" i="13" s="1"/>
  <c r="F86" i="13" a="1"/>
  <c r="F86" i="13" s="1"/>
  <c r="G88" i="25" a="1"/>
  <c r="G88" i="25" s="1"/>
  <c r="G85" i="25" a="1"/>
  <c r="G85" i="25" s="1"/>
  <c r="F107" i="25" a="1"/>
  <c r="F107" i="25" s="1"/>
  <c r="G107" i="25" s="1" a="1"/>
  <c r="G107" i="25" s="1"/>
  <c r="F119" i="25" a="1"/>
  <c r="F119" i="25" s="1"/>
  <c r="G119" i="25" s="1" a="1"/>
  <c r="G119" i="25" s="1"/>
  <c r="H120" i="25" a="1"/>
  <c r="H120" i="25" s="1"/>
  <c r="G120" i="25" a="1"/>
  <c r="G120" i="25" s="1"/>
  <c r="H129" i="25" a="1"/>
  <c r="H129" i="25" s="1"/>
  <c r="G129" i="25" a="1"/>
  <c r="G129" i="25" s="1"/>
  <c r="H108" i="25" a="1"/>
  <c r="H108" i="25" s="1"/>
  <c r="G108" i="25" a="1"/>
  <c r="G108" i="25" s="1"/>
  <c r="H117" i="25" a="1"/>
  <c r="H117" i="25" s="1"/>
  <c r="G117" i="25" a="1"/>
  <c r="G117" i="25" s="1"/>
  <c r="H96" i="25" a="1"/>
  <c r="H96" i="25" s="1"/>
  <c r="G96" i="25" a="1"/>
  <c r="G96" i="25" s="1"/>
  <c r="H105" i="25" a="1"/>
  <c r="H105" i="25" s="1"/>
  <c r="G105" i="25" a="1"/>
  <c r="G105" i="25" s="1"/>
  <c r="H84" i="25" a="1"/>
  <c r="H84" i="25" s="1"/>
  <c r="G84" i="25" a="1"/>
  <c r="G84" i="25" s="1"/>
  <c r="H93" i="25" a="1"/>
  <c r="H93" i="25" s="1"/>
  <c r="I93" i="25" s="1" a="1"/>
  <c r="I93" i="25" s="1"/>
  <c r="G93" i="25" a="1"/>
  <c r="G93" i="25" s="1"/>
  <c r="H121" i="25" a="1"/>
  <c r="H121" i="25" s="1"/>
  <c r="I121" i="25" s="1" a="1"/>
  <c r="I121" i="25" s="1"/>
  <c r="J121" i="25" s="1" a="1"/>
  <c r="J121" i="25" s="1"/>
  <c r="K121" i="25" s="1" a="1"/>
  <c r="K121" i="25" s="1"/>
  <c r="L121" i="25" s="1" a="1"/>
  <c r="L121" i="25" s="1"/>
  <c r="M121" i="25" s="1" a="1"/>
  <c r="M121" i="25" s="1"/>
  <c r="N121" i="25" s="1" a="1"/>
  <c r="N121" i="25" s="1"/>
  <c r="O121" i="25" s="1" a="1"/>
  <c r="O121" i="25" s="1"/>
  <c r="P121" i="25" s="1" a="1"/>
  <c r="P121" i="25" s="1"/>
  <c r="Q121" i="25" s="1" a="1"/>
  <c r="Q121" i="25" s="1"/>
  <c r="R121" i="25" s="1" a="1"/>
  <c r="R121" i="25" s="1"/>
  <c r="S121" i="25" s="1" a="1"/>
  <c r="S121" i="25" s="1"/>
  <c r="T121" i="25" s="1" a="1"/>
  <c r="T121" i="25" s="1"/>
  <c r="U121" i="25" s="1" a="1"/>
  <c r="U121" i="25" s="1"/>
  <c r="V121" i="25" s="1" a="1"/>
  <c r="V121" i="25" s="1"/>
  <c r="W121" i="25" s="1" a="1"/>
  <c r="W121" i="25" s="1"/>
  <c r="X121" i="25" s="1" a="1"/>
  <c r="X121" i="25" s="1"/>
  <c r="Y121" i="25" s="1" a="1"/>
  <c r="Y121" i="25" s="1"/>
  <c r="Z121" i="25" s="1" a="1"/>
  <c r="Z121" i="25" s="1"/>
  <c r="AA121" i="25" s="1" a="1"/>
  <c r="AA121" i="25" s="1"/>
  <c r="AB121" i="25" s="1" a="1"/>
  <c r="AB121" i="25" s="1"/>
  <c r="AC121" i="25" s="1" a="1"/>
  <c r="AC121" i="25" s="1"/>
  <c r="AD121" i="25" s="1" a="1"/>
  <c r="AD121" i="25" s="1"/>
  <c r="AE121" i="25" s="1" a="1"/>
  <c r="AE121" i="25" s="1"/>
  <c r="AF121" i="25" s="1" a="1"/>
  <c r="AF121" i="25" s="1"/>
  <c r="AG121" i="25" s="1" a="1"/>
  <c r="AG121" i="25" s="1"/>
  <c r="AH121" i="25" s="1" a="1"/>
  <c r="AH121" i="25" s="1"/>
  <c r="AI121" i="25" s="1" a="1"/>
  <c r="AI121" i="25" s="1"/>
  <c r="AJ121" i="25" s="1" a="1"/>
  <c r="AJ121" i="25" s="1"/>
  <c r="AK121" i="25" s="1" a="1"/>
  <c r="AK121" i="25" s="1"/>
  <c r="AL121" i="25" s="1" a="1"/>
  <c r="AL121" i="25" s="1"/>
  <c r="H122" i="25" a="1"/>
  <c r="H122" i="25" s="1"/>
  <c r="I122" i="25" s="1" a="1"/>
  <c r="I122" i="25" s="1"/>
  <c r="J122" i="25" s="1" a="1"/>
  <c r="J122" i="25" s="1"/>
  <c r="K122" i="25" s="1" a="1"/>
  <c r="K122" i="25" s="1"/>
  <c r="L122" i="25" s="1" a="1"/>
  <c r="L122" i="25" s="1"/>
  <c r="M122" i="25" s="1" a="1"/>
  <c r="M122" i="25" s="1"/>
  <c r="N122" i="25" s="1" a="1"/>
  <c r="N122" i="25" s="1"/>
  <c r="O122" i="25" s="1" a="1"/>
  <c r="O122" i="25" s="1"/>
  <c r="P122" i="25" s="1" a="1"/>
  <c r="P122" i="25" s="1"/>
  <c r="Q122" i="25" s="1" a="1"/>
  <c r="Q122" i="25" s="1"/>
  <c r="R122" i="25" s="1" a="1"/>
  <c r="R122" i="25" s="1"/>
  <c r="S122" i="25" s="1" a="1"/>
  <c r="S122" i="25" s="1"/>
  <c r="T122" i="25" s="1" a="1"/>
  <c r="T122" i="25" s="1"/>
  <c r="U122" i="25" s="1" a="1"/>
  <c r="U122" i="25" s="1"/>
  <c r="V122" i="25" s="1" a="1"/>
  <c r="V122" i="25" s="1"/>
  <c r="W122" i="25" s="1" a="1"/>
  <c r="W122" i="25" s="1"/>
  <c r="X122" i="25" s="1" a="1"/>
  <c r="X122" i="25" s="1"/>
  <c r="Y122" i="25" s="1" a="1"/>
  <c r="Y122" i="25" s="1"/>
  <c r="Z122" i="25" s="1" a="1"/>
  <c r="Z122" i="25" s="1"/>
  <c r="AA122" i="25" s="1" a="1"/>
  <c r="AA122" i="25" s="1"/>
  <c r="AB122" i="25" s="1" a="1"/>
  <c r="AB122" i="25" s="1"/>
  <c r="AC122" i="25" s="1" a="1"/>
  <c r="AC122" i="25" s="1"/>
  <c r="AD122" i="25" s="1" a="1"/>
  <c r="AD122" i="25" s="1"/>
  <c r="AE122" i="25" s="1" a="1"/>
  <c r="AE122" i="25" s="1"/>
  <c r="AF122" i="25" s="1" a="1"/>
  <c r="AF122" i="25" s="1"/>
  <c r="AG122" i="25" s="1" a="1"/>
  <c r="AG122" i="25" s="1"/>
  <c r="AH122" i="25" s="1" a="1"/>
  <c r="AH122" i="25" s="1"/>
  <c r="AI122" i="25" s="1" a="1"/>
  <c r="AI122" i="25" s="1"/>
  <c r="AJ122" i="25" s="1" a="1"/>
  <c r="AJ122" i="25" s="1"/>
  <c r="AK122" i="25" s="1" a="1"/>
  <c r="AK122" i="25" s="1"/>
  <c r="AL122" i="25" s="1" a="1"/>
  <c r="AL122" i="25" s="1"/>
  <c r="H123" i="25" a="1"/>
  <c r="H123" i="25" s="1"/>
  <c r="I123" i="25" s="1" a="1"/>
  <c r="I123" i="25" s="1"/>
  <c r="J123" i="25" s="1" a="1"/>
  <c r="J123" i="25" s="1"/>
  <c r="K123" i="25" s="1" a="1"/>
  <c r="K123" i="25" s="1"/>
  <c r="L123" i="25" s="1" a="1"/>
  <c r="L123" i="25" s="1"/>
  <c r="M123" i="25" s="1" a="1"/>
  <c r="M123" i="25" s="1"/>
  <c r="N123" i="25" s="1" a="1"/>
  <c r="N123" i="25" s="1"/>
  <c r="O123" i="25" s="1" a="1"/>
  <c r="O123" i="25" s="1"/>
  <c r="P123" i="25" s="1" a="1"/>
  <c r="P123" i="25" s="1"/>
  <c r="Q123" i="25" s="1" a="1"/>
  <c r="Q123" i="25" s="1"/>
  <c r="R123" i="25" s="1" a="1"/>
  <c r="R123" i="25" s="1"/>
  <c r="S123" i="25" s="1" a="1"/>
  <c r="S123" i="25" s="1"/>
  <c r="T123" i="25" s="1" a="1"/>
  <c r="T123" i="25" s="1"/>
  <c r="U123" i="25" s="1" a="1"/>
  <c r="U123" i="25" s="1"/>
  <c r="V123" i="25" s="1" a="1"/>
  <c r="V123" i="25" s="1"/>
  <c r="W123" i="25" s="1" a="1"/>
  <c r="W123" i="25" s="1"/>
  <c r="X123" i="25" s="1" a="1"/>
  <c r="X123" i="25" s="1"/>
  <c r="Y123" i="25" s="1" a="1"/>
  <c r="Y123" i="25" s="1"/>
  <c r="Z123" i="25" s="1" a="1"/>
  <c r="Z123" i="25" s="1"/>
  <c r="AA123" i="25" s="1" a="1"/>
  <c r="AA123" i="25" s="1"/>
  <c r="AB123" i="25" s="1" a="1"/>
  <c r="AB123" i="25" s="1"/>
  <c r="AC123" i="25" s="1" a="1"/>
  <c r="AC123" i="25" s="1"/>
  <c r="AD123" i="25" s="1" a="1"/>
  <c r="AD123" i="25" s="1"/>
  <c r="AE123" i="25" s="1" a="1"/>
  <c r="AE123" i="25" s="1"/>
  <c r="AF123" i="25" s="1" a="1"/>
  <c r="AF123" i="25" s="1"/>
  <c r="AG123" i="25" s="1" a="1"/>
  <c r="AG123" i="25" s="1"/>
  <c r="AH123" i="25" s="1" a="1"/>
  <c r="AH123" i="25" s="1"/>
  <c r="AI123" i="25" s="1" a="1"/>
  <c r="AI123" i="25" s="1"/>
  <c r="AJ123" i="25" s="1" a="1"/>
  <c r="AJ123" i="25" s="1"/>
  <c r="AK123" i="25" s="1" a="1"/>
  <c r="AK123" i="25" s="1"/>
  <c r="AL123" i="25" s="1" a="1"/>
  <c r="AL123" i="25" s="1"/>
  <c r="H124" i="25" a="1"/>
  <c r="H124" i="25" s="1"/>
  <c r="I124" i="25" s="1" a="1"/>
  <c r="I124" i="25" s="1"/>
  <c r="J124" i="25" s="1" a="1"/>
  <c r="J124" i="25" s="1"/>
  <c r="K124" i="25" s="1" a="1"/>
  <c r="K124" i="25" s="1"/>
  <c r="L124" i="25" s="1" a="1"/>
  <c r="L124" i="25" s="1"/>
  <c r="M124" i="25" s="1" a="1"/>
  <c r="M124" i="25" s="1"/>
  <c r="N124" i="25" s="1" a="1"/>
  <c r="N124" i="25" s="1"/>
  <c r="O124" i="25" s="1" a="1"/>
  <c r="O124" i="25" s="1"/>
  <c r="P124" i="25" s="1" a="1"/>
  <c r="P124" i="25" s="1"/>
  <c r="Q124" i="25" s="1" a="1"/>
  <c r="Q124" i="25" s="1"/>
  <c r="R124" i="25" s="1" a="1"/>
  <c r="R124" i="25" s="1"/>
  <c r="S124" i="25" s="1" a="1"/>
  <c r="S124" i="25" s="1"/>
  <c r="T124" i="25" s="1" a="1"/>
  <c r="T124" i="25" s="1"/>
  <c r="U124" i="25" s="1" a="1"/>
  <c r="U124" i="25" s="1"/>
  <c r="V124" i="25" s="1" a="1"/>
  <c r="V124" i="25" s="1"/>
  <c r="W124" i="25" s="1" a="1"/>
  <c r="W124" i="25" s="1"/>
  <c r="X124" i="25" s="1" a="1"/>
  <c r="X124" i="25" s="1"/>
  <c r="Y124" i="25" s="1" a="1"/>
  <c r="Y124" i="25" s="1"/>
  <c r="Z124" i="25" s="1" a="1"/>
  <c r="Z124" i="25" s="1"/>
  <c r="AA124" i="25" s="1" a="1"/>
  <c r="AA124" i="25" s="1"/>
  <c r="AB124" i="25" s="1" a="1"/>
  <c r="AB124" i="25" s="1"/>
  <c r="AC124" i="25" s="1" a="1"/>
  <c r="AC124" i="25" s="1"/>
  <c r="AD124" i="25" s="1" a="1"/>
  <c r="AD124" i="25" s="1"/>
  <c r="AE124" i="25" s="1" a="1"/>
  <c r="AE124" i="25" s="1"/>
  <c r="AF124" i="25" s="1" a="1"/>
  <c r="AF124" i="25" s="1"/>
  <c r="AG124" i="25" s="1" a="1"/>
  <c r="AG124" i="25" s="1"/>
  <c r="AH124" i="25" s="1" a="1"/>
  <c r="AH124" i="25" s="1"/>
  <c r="AI124" i="25" s="1" a="1"/>
  <c r="AI124" i="25" s="1"/>
  <c r="AJ124" i="25" s="1" a="1"/>
  <c r="AJ124" i="25" s="1"/>
  <c r="AK124" i="25" s="1" a="1"/>
  <c r="AK124" i="25" s="1"/>
  <c r="AL124" i="25" s="1" a="1"/>
  <c r="AL124" i="25" s="1"/>
  <c r="H125" i="25" a="1"/>
  <c r="H125" i="25" s="1"/>
  <c r="I125" i="25" s="1" a="1"/>
  <c r="I125" i="25" s="1"/>
  <c r="J125" i="25" s="1" a="1"/>
  <c r="J125" i="25" s="1"/>
  <c r="K125" i="25" s="1" a="1"/>
  <c r="K125" i="25" s="1"/>
  <c r="L125" i="25" s="1" a="1"/>
  <c r="L125" i="25" s="1"/>
  <c r="M125" i="25" s="1" a="1"/>
  <c r="M125" i="25" s="1"/>
  <c r="N125" i="25" s="1" a="1"/>
  <c r="N125" i="25" s="1"/>
  <c r="O125" i="25" s="1" a="1"/>
  <c r="O125" i="25" s="1"/>
  <c r="P125" i="25" s="1" a="1"/>
  <c r="P125" i="25" s="1"/>
  <c r="Q125" i="25" s="1" a="1"/>
  <c r="Q125" i="25" s="1"/>
  <c r="R125" i="25" s="1" a="1"/>
  <c r="R125" i="25" s="1"/>
  <c r="S125" i="25" s="1" a="1"/>
  <c r="S125" i="25" s="1"/>
  <c r="T125" i="25" s="1" a="1"/>
  <c r="T125" i="25" s="1"/>
  <c r="U125" i="25" s="1" a="1"/>
  <c r="U125" i="25" s="1"/>
  <c r="V125" i="25" s="1" a="1"/>
  <c r="V125" i="25" s="1"/>
  <c r="W125" i="25" s="1" a="1"/>
  <c r="W125" i="25" s="1"/>
  <c r="X125" i="25" s="1" a="1"/>
  <c r="X125" i="25" s="1"/>
  <c r="Y125" i="25" s="1" a="1"/>
  <c r="Y125" i="25" s="1"/>
  <c r="Z125" i="25" s="1" a="1"/>
  <c r="Z125" i="25" s="1"/>
  <c r="AA125" i="25" s="1" a="1"/>
  <c r="AA125" i="25" s="1"/>
  <c r="AB125" i="25" s="1" a="1"/>
  <c r="AB125" i="25" s="1"/>
  <c r="AC125" i="25" s="1" a="1"/>
  <c r="AC125" i="25" s="1"/>
  <c r="AD125" i="25" s="1" a="1"/>
  <c r="AD125" i="25" s="1"/>
  <c r="AE125" i="25" s="1" a="1"/>
  <c r="AE125" i="25" s="1"/>
  <c r="AF125" i="25" s="1" a="1"/>
  <c r="AF125" i="25" s="1"/>
  <c r="AG125" i="25" s="1" a="1"/>
  <c r="AG125" i="25" s="1"/>
  <c r="AH125" i="25" s="1" a="1"/>
  <c r="AH125" i="25" s="1"/>
  <c r="AI125" i="25" s="1" a="1"/>
  <c r="AI125" i="25" s="1"/>
  <c r="AJ125" i="25" s="1" a="1"/>
  <c r="AJ125" i="25" s="1"/>
  <c r="AK125" i="25" s="1" a="1"/>
  <c r="AK125" i="25" s="1"/>
  <c r="AL125" i="25" s="1" a="1"/>
  <c r="AL125" i="25" s="1"/>
  <c r="H126" i="25" a="1"/>
  <c r="H126" i="25" s="1"/>
  <c r="I126" i="25" s="1" a="1"/>
  <c r="I126" i="25" s="1"/>
  <c r="J126" i="25" s="1" a="1"/>
  <c r="J126" i="25" s="1"/>
  <c r="K126" i="25" s="1" a="1"/>
  <c r="K126" i="25" s="1"/>
  <c r="L126" i="25" s="1" a="1"/>
  <c r="L126" i="25" s="1"/>
  <c r="M126" i="25" s="1" a="1"/>
  <c r="M126" i="25" s="1"/>
  <c r="N126" i="25" s="1" a="1"/>
  <c r="N126" i="25" s="1"/>
  <c r="O126" i="25" s="1" a="1"/>
  <c r="O126" i="25" s="1"/>
  <c r="P126" i="25" s="1" a="1"/>
  <c r="P126" i="25" s="1"/>
  <c r="Q126" i="25" s="1" a="1"/>
  <c r="Q126" i="25" s="1"/>
  <c r="R126" i="25" s="1" a="1"/>
  <c r="R126" i="25" s="1"/>
  <c r="S126" i="25" s="1" a="1"/>
  <c r="S126" i="25" s="1"/>
  <c r="T126" i="25" s="1" a="1"/>
  <c r="T126" i="25" s="1"/>
  <c r="U126" i="25" s="1" a="1"/>
  <c r="U126" i="25" s="1"/>
  <c r="V126" i="25" s="1" a="1"/>
  <c r="V126" i="25" s="1"/>
  <c r="W126" i="25" s="1" a="1"/>
  <c r="W126" i="25" s="1"/>
  <c r="X126" i="25" s="1" a="1"/>
  <c r="X126" i="25" s="1"/>
  <c r="Y126" i="25" s="1" a="1"/>
  <c r="Y126" i="25" s="1"/>
  <c r="Z126" i="25" s="1" a="1"/>
  <c r="Z126" i="25" s="1"/>
  <c r="AA126" i="25" s="1" a="1"/>
  <c r="AA126" i="25" s="1"/>
  <c r="AB126" i="25" s="1" a="1"/>
  <c r="AB126" i="25" s="1"/>
  <c r="AC126" i="25" s="1" a="1"/>
  <c r="AC126" i="25" s="1"/>
  <c r="AD126" i="25" s="1" a="1"/>
  <c r="AD126" i="25" s="1"/>
  <c r="AE126" i="25" s="1" a="1"/>
  <c r="AE126" i="25" s="1"/>
  <c r="AF126" i="25" s="1" a="1"/>
  <c r="AF126" i="25" s="1"/>
  <c r="AG126" i="25" s="1" a="1"/>
  <c r="AG126" i="25" s="1"/>
  <c r="AH126" i="25" s="1" a="1"/>
  <c r="AH126" i="25" s="1"/>
  <c r="AI126" i="25" s="1" a="1"/>
  <c r="AI126" i="25" s="1"/>
  <c r="AJ126" i="25" s="1" a="1"/>
  <c r="AJ126" i="25" s="1"/>
  <c r="AK126" i="25" s="1" a="1"/>
  <c r="AK126" i="25" s="1"/>
  <c r="AL126" i="25" s="1" a="1"/>
  <c r="AL126" i="25" s="1"/>
  <c r="H127" i="25" a="1"/>
  <c r="H127" i="25" s="1"/>
  <c r="I127" i="25" s="1" a="1"/>
  <c r="I127" i="25" s="1"/>
  <c r="J127" i="25" s="1" a="1"/>
  <c r="J127" i="25" s="1"/>
  <c r="K127" i="25" s="1" a="1"/>
  <c r="K127" i="25" s="1"/>
  <c r="L127" i="25" s="1" a="1"/>
  <c r="L127" i="25" s="1"/>
  <c r="M127" i="25" s="1" a="1"/>
  <c r="M127" i="25" s="1"/>
  <c r="N127" i="25" s="1" a="1"/>
  <c r="N127" i="25" s="1"/>
  <c r="O127" i="25" s="1" a="1"/>
  <c r="O127" i="25" s="1"/>
  <c r="P127" i="25" s="1" a="1"/>
  <c r="P127" i="25" s="1"/>
  <c r="Q127" i="25" s="1" a="1"/>
  <c r="Q127" i="25" s="1"/>
  <c r="R127" i="25" s="1" a="1"/>
  <c r="R127" i="25" s="1"/>
  <c r="S127" i="25" s="1" a="1"/>
  <c r="S127" i="25" s="1"/>
  <c r="T127" i="25" s="1" a="1"/>
  <c r="T127" i="25" s="1"/>
  <c r="U127" i="25" s="1" a="1"/>
  <c r="U127" i="25" s="1"/>
  <c r="V127" i="25" s="1" a="1"/>
  <c r="V127" i="25" s="1"/>
  <c r="W127" i="25" s="1" a="1"/>
  <c r="W127" i="25" s="1"/>
  <c r="X127" i="25" s="1" a="1"/>
  <c r="X127" i="25" s="1"/>
  <c r="Y127" i="25" s="1" a="1"/>
  <c r="Y127" i="25" s="1"/>
  <c r="Z127" i="25" s="1" a="1"/>
  <c r="Z127" i="25" s="1"/>
  <c r="AA127" i="25" s="1" a="1"/>
  <c r="AA127" i="25" s="1"/>
  <c r="AB127" i="25" s="1" a="1"/>
  <c r="AB127" i="25" s="1"/>
  <c r="AC127" i="25" s="1" a="1"/>
  <c r="AC127" i="25" s="1"/>
  <c r="AD127" i="25" s="1" a="1"/>
  <c r="AD127" i="25" s="1"/>
  <c r="AE127" i="25" s="1" a="1"/>
  <c r="AE127" i="25" s="1"/>
  <c r="AF127" i="25" s="1" a="1"/>
  <c r="AF127" i="25" s="1"/>
  <c r="AG127" i="25" s="1" a="1"/>
  <c r="AG127" i="25" s="1"/>
  <c r="AH127" i="25" s="1" a="1"/>
  <c r="AH127" i="25" s="1"/>
  <c r="AI127" i="25" s="1" a="1"/>
  <c r="AI127" i="25" s="1"/>
  <c r="AJ127" i="25" s="1" a="1"/>
  <c r="AJ127" i="25" s="1"/>
  <c r="AK127" i="25" s="1" a="1"/>
  <c r="AK127" i="25" s="1"/>
  <c r="AL127" i="25" s="1" a="1"/>
  <c r="AL127" i="25" s="1"/>
  <c r="H128" i="25" a="1"/>
  <c r="H128" i="25" s="1"/>
  <c r="I128" i="25" s="1" a="1"/>
  <c r="I128" i="25" s="1"/>
  <c r="J128" i="25" s="1" a="1"/>
  <c r="J128" i="25" s="1"/>
  <c r="K128" i="25" s="1" a="1"/>
  <c r="K128" i="25" s="1"/>
  <c r="L128" i="25" s="1" a="1"/>
  <c r="L128" i="25" s="1"/>
  <c r="M128" i="25" s="1" a="1"/>
  <c r="M128" i="25" s="1"/>
  <c r="N128" i="25" s="1" a="1"/>
  <c r="N128" i="25" s="1"/>
  <c r="O128" i="25" s="1" a="1"/>
  <c r="O128" i="25" s="1"/>
  <c r="P128" i="25" s="1" a="1"/>
  <c r="P128" i="25" s="1"/>
  <c r="Q128" i="25" s="1" a="1"/>
  <c r="Q128" i="25" s="1"/>
  <c r="R128" i="25" s="1" a="1"/>
  <c r="R128" i="25" s="1"/>
  <c r="S128" i="25" s="1" a="1"/>
  <c r="S128" i="25" s="1"/>
  <c r="T128" i="25" s="1" a="1"/>
  <c r="T128" i="25" s="1"/>
  <c r="U128" i="25" s="1" a="1"/>
  <c r="U128" i="25" s="1"/>
  <c r="V128" i="25" s="1" a="1"/>
  <c r="V128" i="25" s="1"/>
  <c r="W128" i="25" s="1" a="1"/>
  <c r="W128" i="25" s="1"/>
  <c r="X128" i="25" s="1" a="1"/>
  <c r="X128" i="25" s="1"/>
  <c r="Y128" i="25" s="1" a="1"/>
  <c r="Y128" i="25" s="1"/>
  <c r="Z128" i="25" s="1" a="1"/>
  <c r="Z128" i="25" s="1"/>
  <c r="AA128" i="25" s="1" a="1"/>
  <c r="AA128" i="25" s="1"/>
  <c r="AB128" i="25" s="1" a="1"/>
  <c r="AB128" i="25" s="1"/>
  <c r="AC128" i="25" s="1" a="1"/>
  <c r="AC128" i="25" s="1"/>
  <c r="AD128" i="25" s="1" a="1"/>
  <c r="AD128" i="25" s="1"/>
  <c r="AE128" i="25" s="1" a="1"/>
  <c r="AE128" i="25" s="1"/>
  <c r="AF128" i="25" s="1" a="1"/>
  <c r="AF128" i="25" s="1"/>
  <c r="AG128" i="25" s="1" a="1"/>
  <c r="AG128" i="25" s="1"/>
  <c r="AH128" i="25" s="1" a="1"/>
  <c r="AH128" i="25" s="1"/>
  <c r="AI128" i="25" s="1" a="1"/>
  <c r="AI128" i="25" s="1"/>
  <c r="AJ128" i="25" s="1" a="1"/>
  <c r="AJ128" i="25" s="1"/>
  <c r="AK128" i="25" s="1" a="1"/>
  <c r="AK128" i="25" s="1"/>
  <c r="AL128" i="25" s="1" a="1"/>
  <c r="AL128" i="25" s="1"/>
  <c r="H130" i="25" a="1"/>
  <c r="H130" i="25" s="1"/>
  <c r="I130" i="25" s="1" a="1"/>
  <c r="I130" i="25" s="1"/>
  <c r="J130" i="25" s="1" a="1"/>
  <c r="J130" i="25" s="1"/>
  <c r="K130" i="25" s="1" a="1"/>
  <c r="K130" i="25" s="1"/>
  <c r="L130" i="25" s="1" a="1"/>
  <c r="L130" i="25" s="1"/>
  <c r="M130" i="25" s="1" a="1"/>
  <c r="M130" i="25" s="1"/>
  <c r="N130" i="25" s="1" a="1"/>
  <c r="N130" i="25" s="1"/>
  <c r="O130" i="25" s="1" a="1"/>
  <c r="O130" i="25" s="1"/>
  <c r="P130" i="25" s="1" a="1"/>
  <c r="P130" i="25" s="1"/>
  <c r="Q130" i="25" s="1" a="1"/>
  <c r="Q130" i="25" s="1"/>
  <c r="R130" i="25" s="1" a="1"/>
  <c r="R130" i="25" s="1"/>
  <c r="S130" i="25" s="1" a="1"/>
  <c r="S130" i="25" s="1"/>
  <c r="T130" i="25" s="1" a="1"/>
  <c r="T130" i="25" s="1"/>
  <c r="U130" i="25" s="1" a="1"/>
  <c r="U130" i="25" s="1"/>
  <c r="V130" i="25" s="1" a="1"/>
  <c r="V130" i="25" s="1"/>
  <c r="W130" i="25" s="1" a="1"/>
  <c r="W130" i="25" s="1"/>
  <c r="X130" i="25" s="1" a="1"/>
  <c r="X130" i="25" s="1"/>
  <c r="Y130" i="25" s="1" a="1"/>
  <c r="Y130" i="25" s="1"/>
  <c r="Z130" i="25" s="1" a="1"/>
  <c r="Z130" i="25" s="1"/>
  <c r="AA130" i="25" s="1" a="1"/>
  <c r="AA130" i="25" s="1"/>
  <c r="AB130" i="25" s="1" a="1"/>
  <c r="AB130" i="25" s="1"/>
  <c r="AC130" i="25" s="1" a="1"/>
  <c r="AC130" i="25" s="1"/>
  <c r="AD130" i="25" s="1" a="1"/>
  <c r="AD130" i="25" s="1"/>
  <c r="AE130" i="25" s="1" a="1"/>
  <c r="AE130" i="25" s="1"/>
  <c r="AF130" i="25" s="1" a="1"/>
  <c r="AF130" i="25" s="1"/>
  <c r="AG130" i="25" s="1" a="1"/>
  <c r="AG130" i="25" s="1"/>
  <c r="AH130" i="25" s="1" a="1"/>
  <c r="AH130" i="25" s="1"/>
  <c r="AI130" i="25" s="1" a="1"/>
  <c r="AI130" i="25" s="1"/>
  <c r="AJ130" i="25" s="1" a="1"/>
  <c r="AJ130" i="25" s="1"/>
  <c r="AK130" i="25" s="1" a="1"/>
  <c r="AK130" i="25" s="1"/>
  <c r="AL130" i="25" s="1" a="1"/>
  <c r="AL130" i="25" s="1"/>
  <c r="H118" i="25" a="1"/>
  <c r="H118" i="25" s="1"/>
  <c r="I118" i="25" s="1" a="1"/>
  <c r="I118" i="25" s="1"/>
  <c r="J118" i="25" s="1" a="1"/>
  <c r="J118" i="25" s="1"/>
  <c r="K118" i="25" s="1" a="1"/>
  <c r="K118" i="25" s="1"/>
  <c r="L118" i="25" s="1" a="1"/>
  <c r="L118" i="25" s="1"/>
  <c r="M118" i="25" s="1" a="1"/>
  <c r="M118" i="25" s="1"/>
  <c r="N118" i="25" s="1" a="1"/>
  <c r="N118" i="25" s="1"/>
  <c r="O118" i="25" s="1" a="1"/>
  <c r="O118" i="25" s="1"/>
  <c r="P118" i="25" s="1" a="1"/>
  <c r="P118" i="25" s="1"/>
  <c r="Q118" i="25" s="1" a="1"/>
  <c r="Q118" i="25" s="1"/>
  <c r="R118" i="25" s="1" a="1"/>
  <c r="R118" i="25" s="1"/>
  <c r="S118" i="25" s="1" a="1"/>
  <c r="S118" i="25" s="1"/>
  <c r="T118" i="25" s="1" a="1"/>
  <c r="T118" i="25" s="1"/>
  <c r="U118" i="25" s="1" a="1"/>
  <c r="U118" i="25" s="1"/>
  <c r="V118" i="25" s="1" a="1"/>
  <c r="V118" i="25" s="1"/>
  <c r="W118" i="25" s="1" a="1"/>
  <c r="W118" i="25" s="1"/>
  <c r="X118" i="25" s="1" a="1"/>
  <c r="X118" i="25" s="1"/>
  <c r="Y118" i="25" s="1" a="1"/>
  <c r="Y118" i="25" s="1"/>
  <c r="Z118" i="25" s="1" a="1"/>
  <c r="Z118" i="25" s="1"/>
  <c r="AA118" i="25" s="1" a="1"/>
  <c r="AA118" i="25" s="1"/>
  <c r="AB118" i="25" s="1" a="1"/>
  <c r="AB118" i="25" s="1"/>
  <c r="AC118" i="25" s="1" a="1"/>
  <c r="AC118" i="25" s="1"/>
  <c r="AD118" i="25" s="1" a="1"/>
  <c r="AD118" i="25" s="1"/>
  <c r="AE118" i="25" s="1" a="1"/>
  <c r="AE118" i="25" s="1"/>
  <c r="AF118" i="25" s="1" a="1"/>
  <c r="AF118" i="25" s="1"/>
  <c r="AG118" i="25" s="1" a="1"/>
  <c r="AG118" i="25" s="1"/>
  <c r="AH118" i="25" s="1" a="1"/>
  <c r="AH118" i="25" s="1"/>
  <c r="AI118" i="25" s="1" a="1"/>
  <c r="AI118" i="25" s="1"/>
  <c r="AJ118" i="25" s="1" a="1"/>
  <c r="AJ118" i="25" s="1"/>
  <c r="AK118" i="25" s="1" a="1"/>
  <c r="AK118" i="25" s="1"/>
  <c r="AL118" i="25" s="1" a="1"/>
  <c r="AL118" i="25" s="1"/>
  <c r="H109" i="25" a="1"/>
  <c r="H109" i="25" s="1"/>
  <c r="I109" i="25" s="1" a="1"/>
  <c r="I109" i="25" s="1"/>
  <c r="J109" i="25" s="1" a="1"/>
  <c r="J109" i="25" s="1"/>
  <c r="K109" i="25" s="1" a="1"/>
  <c r="K109" i="25" s="1"/>
  <c r="L109" i="25" s="1" a="1"/>
  <c r="L109" i="25" s="1"/>
  <c r="M109" i="25" s="1" a="1"/>
  <c r="M109" i="25" s="1"/>
  <c r="N109" i="25" s="1" a="1"/>
  <c r="N109" i="25" s="1"/>
  <c r="O109" i="25" s="1" a="1"/>
  <c r="O109" i="25" s="1"/>
  <c r="P109" i="25" s="1" a="1"/>
  <c r="P109" i="25" s="1"/>
  <c r="Q109" i="25" s="1" a="1"/>
  <c r="Q109" i="25" s="1"/>
  <c r="R109" i="25" s="1" a="1"/>
  <c r="R109" i="25" s="1"/>
  <c r="S109" i="25" s="1" a="1"/>
  <c r="S109" i="25" s="1"/>
  <c r="T109" i="25" s="1" a="1"/>
  <c r="T109" i="25" s="1"/>
  <c r="U109" i="25" s="1" a="1"/>
  <c r="U109" i="25" s="1"/>
  <c r="V109" i="25" s="1" a="1"/>
  <c r="V109" i="25" s="1"/>
  <c r="W109" i="25" s="1" a="1"/>
  <c r="W109" i="25" s="1"/>
  <c r="X109" i="25" s="1" a="1"/>
  <c r="X109" i="25" s="1"/>
  <c r="Y109" i="25" s="1" a="1"/>
  <c r="Y109" i="25" s="1"/>
  <c r="Z109" i="25" s="1" a="1"/>
  <c r="Z109" i="25" s="1"/>
  <c r="AA109" i="25" s="1" a="1"/>
  <c r="AA109" i="25" s="1"/>
  <c r="AB109" i="25" s="1" a="1"/>
  <c r="AB109" i="25" s="1"/>
  <c r="AC109" i="25" s="1" a="1"/>
  <c r="AC109" i="25" s="1"/>
  <c r="AD109" i="25" s="1" a="1"/>
  <c r="AD109" i="25" s="1"/>
  <c r="AE109" i="25" s="1" a="1"/>
  <c r="AE109" i="25" s="1"/>
  <c r="AF109" i="25" s="1" a="1"/>
  <c r="AF109" i="25" s="1"/>
  <c r="AG109" i="25" s="1" a="1"/>
  <c r="AG109" i="25" s="1"/>
  <c r="AH109" i="25" s="1" a="1"/>
  <c r="AH109" i="25" s="1"/>
  <c r="AI109" i="25" s="1" a="1"/>
  <c r="AI109" i="25" s="1"/>
  <c r="AJ109" i="25" s="1" a="1"/>
  <c r="AJ109" i="25" s="1"/>
  <c r="AK109" i="25" s="1" a="1"/>
  <c r="AK109" i="25" s="1"/>
  <c r="AL109" i="25" s="1" a="1"/>
  <c r="AL109" i="25" s="1"/>
  <c r="H110" i="25" a="1"/>
  <c r="H110" i="25" s="1"/>
  <c r="I110" i="25" s="1" a="1"/>
  <c r="I110" i="25" s="1"/>
  <c r="J110" i="25" s="1" a="1"/>
  <c r="J110" i="25" s="1"/>
  <c r="K110" i="25" s="1" a="1"/>
  <c r="K110" i="25" s="1"/>
  <c r="L110" i="25" s="1" a="1"/>
  <c r="L110" i="25" s="1"/>
  <c r="M110" i="25" s="1" a="1"/>
  <c r="M110" i="25" s="1"/>
  <c r="N110" i="25" s="1" a="1"/>
  <c r="N110" i="25" s="1"/>
  <c r="O110" i="25" s="1" a="1"/>
  <c r="O110" i="25" s="1"/>
  <c r="P110" i="25" s="1" a="1"/>
  <c r="P110" i="25" s="1"/>
  <c r="Q110" i="25" s="1" a="1"/>
  <c r="Q110" i="25" s="1"/>
  <c r="R110" i="25" s="1" a="1"/>
  <c r="R110" i="25" s="1"/>
  <c r="S110" i="25" s="1" a="1"/>
  <c r="S110" i="25" s="1"/>
  <c r="T110" i="25" s="1" a="1"/>
  <c r="T110" i="25" s="1"/>
  <c r="U110" i="25" s="1" a="1"/>
  <c r="U110" i="25" s="1"/>
  <c r="V110" i="25" s="1" a="1"/>
  <c r="V110" i="25" s="1"/>
  <c r="W110" i="25" s="1" a="1"/>
  <c r="W110" i="25" s="1"/>
  <c r="X110" i="25" s="1" a="1"/>
  <c r="X110" i="25" s="1"/>
  <c r="Y110" i="25" s="1" a="1"/>
  <c r="Y110" i="25" s="1"/>
  <c r="Z110" i="25" s="1" a="1"/>
  <c r="Z110" i="25" s="1"/>
  <c r="AA110" i="25" s="1" a="1"/>
  <c r="AA110" i="25" s="1"/>
  <c r="AB110" i="25" s="1" a="1"/>
  <c r="AB110" i="25" s="1"/>
  <c r="AC110" i="25" s="1" a="1"/>
  <c r="AC110" i="25" s="1"/>
  <c r="AD110" i="25" s="1" a="1"/>
  <c r="AD110" i="25" s="1"/>
  <c r="AE110" i="25" s="1" a="1"/>
  <c r="AE110" i="25" s="1"/>
  <c r="AF110" i="25" s="1" a="1"/>
  <c r="AF110" i="25" s="1"/>
  <c r="AG110" i="25" s="1" a="1"/>
  <c r="AG110" i="25" s="1"/>
  <c r="AH110" i="25" s="1" a="1"/>
  <c r="AH110" i="25" s="1"/>
  <c r="AI110" i="25" s="1" a="1"/>
  <c r="AI110" i="25" s="1"/>
  <c r="AJ110" i="25" s="1" a="1"/>
  <c r="AJ110" i="25" s="1"/>
  <c r="AK110" i="25" s="1" a="1"/>
  <c r="AK110" i="25" s="1"/>
  <c r="AL110" i="25" s="1" a="1"/>
  <c r="AL110" i="25" s="1"/>
  <c r="H111" i="25" a="1"/>
  <c r="H111" i="25" s="1"/>
  <c r="I111" i="25" s="1" a="1"/>
  <c r="I111" i="25" s="1"/>
  <c r="J111" i="25" s="1" a="1"/>
  <c r="J111" i="25" s="1"/>
  <c r="K111" i="25" s="1" a="1"/>
  <c r="K111" i="25" s="1"/>
  <c r="L111" i="25" s="1" a="1"/>
  <c r="L111" i="25" s="1"/>
  <c r="M111" i="25" s="1" a="1"/>
  <c r="M111" i="25" s="1"/>
  <c r="N111" i="25" s="1" a="1"/>
  <c r="N111" i="25" s="1"/>
  <c r="O111" i="25" s="1" a="1"/>
  <c r="O111" i="25" s="1"/>
  <c r="P111" i="25" s="1" a="1"/>
  <c r="P111" i="25" s="1"/>
  <c r="Q111" i="25" s="1" a="1"/>
  <c r="Q111" i="25" s="1"/>
  <c r="R111" i="25" s="1" a="1"/>
  <c r="R111" i="25" s="1"/>
  <c r="S111" i="25" s="1" a="1"/>
  <c r="S111" i="25" s="1"/>
  <c r="T111" i="25" s="1" a="1"/>
  <c r="T111" i="25" s="1"/>
  <c r="U111" i="25" s="1" a="1"/>
  <c r="U111" i="25" s="1"/>
  <c r="V111" i="25" s="1" a="1"/>
  <c r="V111" i="25" s="1"/>
  <c r="W111" i="25" s="1" a="1"/>
  <c r="W111" i="25" s="1"/>
  <c r="X111" i="25" s="1" a="1"/>
  <c r="X111" i="25" s="1"/>
  <c r="Y111" i="25" s="1" a="1"/>
  <c r="Y111" i="25" s="1"/>
  <c r="Z111" i="25" s="1" a="1"/>
  <c r="Z111" i="25" s="1"/>
  <c r="AA111" i="25" s="1" a="1"/>
  <c r="AA111" i="25" s="1"/>
  <c r="AB111" i="25" s="1" a="1"/>
  <c r="AB111" i="25" s="1"/>
  <c r="AC111" i="25" s="1" a="1"/>
  <c r="AC111" i="25" s="1"/>
  <c r="AD111" i="25" s="1" a="1"/>
  <c r="AD111" i="25" s="1"/>
  <c r="AE111" i="25" s="1" a="1"/>
  <c r="AE111" i="25" s="1"/>
  <c r="AF111" i="25" s="1" a="1"/>
  <c r="AF111" i="25" s="1"/>
  <c r="AG111" i="25" s="1" a="1"/>
  <c r="AG111" i="25" s="1"/>
  <c r="AH111" i="25" s="1" a="1"/>
  <c r="AH111" i="25" s="1"/>
  <c r="AI111" i="25" s="1" a="1"/>
  <c r="AI111" i="25" s="1"/>
  <c r="AJ111" i="25" s="1" a="1"/>
  <c r="AJ111" i="25" s="1"/>
  <c r="AK111" i="25" s="1" a="1"/>
  <c r="AK111" i="25" s="1"/>
  <c r="AL111" i="25" s="1" a="1"/>
  <c r="AL111" i="25" s="1"/>
  <c r="H112" i="25" a="1"/>
  <c r="H112" i="25" s="1"/>
  <c r="I112" i="25" s="1" a="1"/>
  <c r="I112" i="25" s="1"/>
  <c r="J112" i="25" s="1" a="1"/>
  <c r="J112" i="25" s="1"/>
  <c r="K112" i="25" s="1" a="1"/>
  <c r="K112" i="25" s="1"/>
  <c r="L112" i="25" s="1" a="1"/>
  <c r="L112" i="25" s="1"/>
  <c r="M112" i="25" s="1" a="1"/>
  <c r="M112" i="25" s="1"/>
  <c r="N112" i="25" s="1" a="1"/>
  <c r="N112" i="25" s="1"/>
  <c r="O112" i="25" s="1" a="1"/>
  <c r="O112" i="25" s="1"/>
  <c r="P112" i="25" s="1" a="1"/>
  <c r="P112" i="25" s="1"/>
  <c r="Q112" i="25" s="1" a="1"/>
  <c r="Q112" i="25" s="1"/>
  <c r="R112" i="25" s="1" a="1"/>
  <c r="R112" i="25" s="1"/>
  <c r="S112" i="25" s="1" a="1"/>
  <c r="S112" i="25" s="1"/>
  <c r="T112" i="25" s="1" a="1"/>
  <c r="T112" i="25" s="1"/>
  <c r="U112" i="25" s="1" a="1"/>
  <c r="U112" i="25" s="1"/>
  <c r="V112" i="25" s="1" a="1"/>
  <c r="V112" i="25" s="1"/>
  <c r="W112" i="25" s="1" a="1"/>
  <c r="W112" i="25" s="1"/>
  <c r="X112" i="25" s="1" a="1"/>
  <c r="X112" i="25" s="1"/>
  <c r="Y112" i="25" s="1" a="1"/>
  <c r="Y112" i="25" s="1"/>
  <c r="Z112" i="25" s="1" a="1"/>
  <c r="Z112" i="25" s="1"/>
  <c r="AA112" i="25" s="1" a="1"/>
  <c r="AA112" i="25" s="1"/>
  <c r="AB112" i="25" s="1" a="1"/>
  <c r="AB112" i="25" s="1"/>
  <c r="AC112" i="25" s="1" a="1"/>
  <c r="AC112" i="25" s="1"/>
  <c r="AD112" i="25" s="1" a="1"/>
  <c r="AD112" i="25" s="1"/>
  <c r="AE112" i="25" s="1" a="1"/>
  <c r="AE112" i="25" s="1"/>
  <c r="AF112" i="25" s="1" a="1"/>
  <c r="AF112" i="25" s="1"/>
  <c r="AG112" i="25" s="1" a="1"/>
  <c r="AG112" i="25" s="1"/>
  <c r="AH112" i="25" s="1" a="1"/>
  <c r="AH112" i="25" s="1"/>
  <c r="AI112" i="25" s="1" a="1"/>
  <c r="AI112" i="25" s="1"/>
  <c r="AJ112" i="25" s="1" a="1"/>
  <c r="AJ112" i="25" s="1"/>
  <c r="AK112" i="25" s="1" a="1"/>
  <c r="AK112" i="25" s="1"/>
  <c r="AL112" i="25" s="1" a="1"/>
  <c r="AL112" i="25" s="1"/>
  <c r="H113" i="25" a="1"/>
  <c r="H113" i="25" s="1"/>
  <c r="I113" i="25" s="1" a="1"/>
  <c r="I113" i="25" s="1"/>
  <c r="J113" i="25" s="1" a="1"/>
  <c r="J113" i="25" s="1"/>
  <c r="K113" i="25" s="1" a="1"/>
  <c r="K113" i="25" s="1"/>
  <c r="L113" i="25" s="1" a="1"/>
  <c r="L113" i="25" s="1"/>
  <c r="M113" i="25" s="1" a="1"/>
  <c r="M113" i="25" s="1"/>
  <c r="N113" i="25" s="1" a="1"/>
  <c r="N113" i="25" s="1"/>
  <c r="O113" i="25" s="1" a="1"/>
  <c r="O113" i="25" s="1"/>
  <c r="P113" i="25" s="1" a="1"/>
  <c r="P113" i="25" s="1"/>
  <c r="Q113" i="25" s="1" a="1"/>
  <c r="Q113" i="25" s="1"/>
  <c r="R113" i="25" s="1" a="1"/>
  <c r="R113" i="25" s="1"/>
  <c r="S113" i="25" s="1" a="1"/>
  <c r="S113" i="25" s="1"/>
  <c r="T113" i="25" s="1" a="1"/>
  <c r="T113" i="25" s="1"/>
  <c r="U113" i="25" s="1" a="1"/>
  <c r="U113" i="25" s="1"/>
  <c r="V113" i="25" s="1" a="1"/>
  <c r="V113" i="25" s="1"/>
  <c r="W113" i="25" s="1" a="1"/>
  <c r="W113" i="25" s="1"/>
  <c r="X113" i="25" s="1" a="1"/>
  <c r="X113" i="25" s="1"/>
  <c r="Y113" i="25" s="1" a="1"/>
  <c r="Y113" i="25" s="1"/>
  <c r="Z113" i="25" s="1" a="1"/>
  <c r="Z113" i="25" s="1"/>
  <c r="AA113" i="25" s="1" a="1"/>
  <c r="AA113" i="25" s="1"/>
  <c r="AB113" i="25" s="1" a="1"/>
  <c r="AB113" i="25" s="1"/>
  <c r="AC113" i="25" s="1" a="1"/>
  <c r="AC113" i="25" s="1"/>
  <c r="AD113" i="25" s="1" a="1"/>
  <c r="AD113" i="25" s="1"/>
  <c r="AE113" i="25" s="1" a="1"/>
  <c r="AE113" i="25" s="1"/>
  <c r="AF113" i="25" s="1" a="1"/>
  <c r="AF113" i="25" s="1"/>
  <c r="AG113" i="25" s="1" a="1"/>
  <c r="AG113" i="25" s="1"/>
  <c r="AH113" i="25" s="1" a="1"/>
  <c r="AH113" i="25" s="1"/>
  <c r="AI113" i="25" s="1" a="1"/>
  <c r="AI113" i="25" s="1"/>
  <c r="AJ113" i="25" s="1" a="1"/>
  <c r="AJ113" i="25" s="1"/>
  <c r="AK113" i="25" s="1" a="1"/>
  <c r="AK113" i="25" s="1"/>
  <c r="AL113" i="25" s="1" a="1"/>
  <c r="AL113" i="25" s="1"/>
  <c r="H114" i="25" a="1"/>
  <c r="H114" i="25" s="1"/>
  <c r="I114" i="25" s="1" a="1"/>
  <c r="I114" i="25" s="1"/>
  <c r="J114" i="25" s="1" a="1"/>
  <c r="J114" i="25" s="1"/>
  <c r="K114" i="25" s="1" a="1"/>
  <c r="K114" i="25" s="1"/>
  <c r="L114" i="25" s="1" a="1"/>
  <c r="L114" i="25" s="1"/>
  <c r="M114" i="25" s="1" a="1"/>
  <c r="M114" i="25" s="1"/>
  <c r="N114" i="25" s="1" a="1"/>
  <c r="N114" i="25" s="1"/>
  <c r="O114" i="25" s="1" a="1"/>
  <c r="O114" i="25" s="1"/>
  <c r="P114" i="25" s="1" a="1"/>
  <c r="P114" i="25" s="1"/>
  <c r="Q114" i="25" s="1" a="1"/>
  <c r="Q114" i="25" s="1"/>
  <c r="R114" i="25" s="1" a="1"/>
  <c r="R114" i="25" s="1"/>
  <c r="S114" i="25" s="1" a="1"/>
  <c r="S114" i="25" s="1"/>
  <c r="T114" i="25" s="1" a="1"/>
  <c r="T114" i="25" s="1"/>
  <c r="U114" i="25" s="1" a="1"/>
  <c r="U114" i="25" s="1"/>
  <c r="V114" i="25" s="1" a="1"/>
  <c r="V114" i="25" s="1"/>
  <c r="W114" i="25" s="1" a="1"/>
  <c r="W114" i="25" s="1"/>
  <c r="X114" i="25" s="1" a="1"/>
  <c r="X114" i="25" s="1"/>
  <c r="Y114" i="25" s="1" a="1"/>
  <c r="Y114" i="25" s="1"/>
  <c r="Z114" i="25" s="1" a="1"/>
  <c r="Z114" i="25" s="1"/>
  <c r="AA114" i="25" s="1" a="1"/>
  <c r="AA114" i="25" s="1"/>
  <c r="AB114" i="25" s="1" a="1"/>
  <c r="AB114" i="25" s="1"/>
  <c r="AC114" i="25" s="1" a="1"/>
  <c r="AC114" i="25" s="1"/>
  <c r="AD114" i="25" s="1" a="1"/>
  <c r="AD114" i="25" s="1"/>
  <c r="AE114" i="25" s="1" a="1"/>
  <c r="AE114" i="25" s="1"/>
  <c r="AF114" i="25" s="1" a="1"/>
  <c r="AF114" i="25" s="1"/>
  <c r="AG114" i="25" s="1" a="1"/>
  <c r="AG114" i="25" s="1"/>
  <c r="AH114" i="25" s="1" a="1"/>
  <c r="AH114" i="25" s="1"/>
  <c r="AI114" i="25" s="1" a="1"/>
  <c r="AI114" i="25" s="1"/>
  <c r="AJ114" i="25" s="1" a="1"/>
  <c r="AJ114" i="25" s="1"/>
  <c r="AK114" i="25" s="1" a="1"/>
  <c r="AK114" i="25" s="1"/>
  <c r="AL114" i="25" s="1" a="1"/>
  <c r="AL114" i="25" s="1"/>
  <c r="H115" i="25" a="1"/>
  <c r="H115" i="25" s="1"/>
  <c r="I115" i="25" s="1" a="1"/>
  <c r="I115" i="25" s="1"/>
  <c r="J115" i="25" s="1" a="1"/>
  <c r="J115" i="25" s="1"/>
  <c r="K115" i="25" s="1" a="1"/>
  <c r="K115" i="25" s="1"/>
  <c r="L115" i="25" s="1" a="1"/>
  <c r="L115" i="25" s="1"/>
  <c r="M115" i="25" s="1" a="1"/>
  <c r="M115" i="25" s="1"/>
  <c r="N115" i="25" s="1" a="1"/>
  <c r="N115" i="25" s="1"/>
  <c r="O115" i="25" s="1" a="1"/>
  <c r="O115" i="25" s="1"/>
  <c r="P115" i="25" s="1" a="1"/>
  <c r="P115" i="25" s="1"/>
  <c r="Q115" i="25" s="1" a="1"/>
  <c r="Q115" i="25" s="1"/>
  <c r="R115" i="25" s="1" a="1"/>
  <c r="R115" i="25" s="1"/>
  <c r="S115" i="25" s="1" a="1"/>
  <c r="S115" i="25" s="1"/>
  <c r="T115" i="25" s="1" a="1"/>
  <c r="T115" i="25" s="1"/>
  <c r="U115" i="25" s="1" a="1"/>
  <c r="U115" i="25" s="1"/>
  <c r="V115" i="25" s="1" a="1"/>
  <c r="V115" i="25" s="1"/>
  <c r="W115" i="25" s="1" a="1"/>
  <c r="W115" i="25" s="1"/>
  <c r="X115" i="25" s="1" a="1"/>
  <c r="X115" i="25" s="1"/>
  <c r="Y115" i="25" s="1" a="1"/>
  <c r="Y115" i="25" s="1"/>
  <c r="Z115" i="25" s="1" a="1"/>
  <c r="Z115" i="25" s="1"/>
  <c r="AA115" i="25" s="1" a="1"/>
  <c r="AA115" i="25" s="1"/>
  <c r="AB115" i="25" s="1" a="1"/>
  <c r="AB115" i="25" s="1"/>
  <c r="AC115" i="25" s="1" a="1"/>
  <c r="AC115" i="25" s="1"/>
  <c r="AD115" i="25" s="1" a="1"/>
  <c r="AD115" i="25" s="1"/>
  <c r="AE115" i="25" s="1" a="1"/>
  <c r="AE115" i="25" s="1"/>
  <c r="AF115" i="25" s="1" a="1"/>
  <c r="AF115" i="25" s="1"/>
  <c r="AG115" i="25" s="1" a="1"/>
  <c r="AG115" i="25" s="1"/>
  <c r="AH115" i="25" s="1" a="1"/>
  <c r="AH115" i="25" s="1"/>
  <c r="AI115" i="25" s="1" a="1"/>
  <c r="AI115" i="25" s="1"/>
  <c r="AJ115" i="25" s="1" a="1"/>
  <c r="AJ115" i="25" s="1"/>
  <c r="AK115" i="25" s="1" a="1"/>
  <c r="AK115" i="25" s="1"/>
  <c r="AL115" i="25" s="1" a="1"/>
  <c r="AL115" i="25" s="1"/>
  <c r="H116" i="25" a="1"/>
  <c r="H116" i="25" s="1"/>
  <c r="I116" i="25" s="1" a="1"/>
  <c r="I116" i="25" s="1"/>
  <c r="J116" i="25" s="1" a="1"/>
  <c r="J116" i="25" s="1"/>
  <c r="K116" i="25" s="1" a="1"/>
  <c r="K116" i="25" s="1"/>
  <c r="L116" i="25" s="1" a="1"/>
  <c r="L116" i="25" s="1"/>
  <c r="M116" i="25" s="1" a="1"/>
  <c r="M116" i="25" s="1"/>
  <c r="N116" i="25" s="1" a="1"/>
  <c r="N116" i="25" s="1"/>
  <c r="O116" i="25" s="1" a="1"/>
  <c r="O116" i="25" s="1"/>
  <c r="P116" i="25" s="1" a="1"/>
  <c r="P116" i="25" s="1"/>
  <c r="Q116" i="25" s="1" a="1"/>
  <c r="Q116" i="25" s="1"/>
  <c r="R116" i="25" s="1" a="1"/>
  <c r="R116" i="25" s="1"/>
  <c r="S116" i="25" s="1" a="1"/>
  <c r="S116" i="25" s="1"/>
  <c r="T116" i="25" s="1" a="1"/>
  <c r="T116" i="25" s="1"/>
  <c r="U116" i="25" s="1" a="1"/>
  <c r="U116" i="25" s="1"/>
  <c r="V116" i="25" s="1" a="1"/>
  <c r="V116" i="25" s="1"/>
  <c r="W116" i="25" s="1" a="1"/>
  <c r="W116" i="25" s="1"/>
  <c r="X116" i="25" s="1" a="1"/>
  <c r="X116" i="25" s="1"/>
  <c r="Y116" i="25" s="1" a="1"/>
  <c r="Y116" i="25" s="1"/>
  <c r="Z116" i="25" s="1" a="1"/>
  <c r="Z116" i="25" s="1"/>
  <c r="AA116" i="25" s="1" a="1"/>
  <c r="AA116" i="25" s="1"/>
  <c r="AB116" i="25" s="1" a="1"/>
  <c r="AB116" i="25" s="1"/>
  <c r="AC116" i="25" s="1" a="1"/>
  <c r="AC116" i="25" s="1"/>
  <c r="AD116" i="25" s="1" a="1"/>
  <c r="AD116" i="25" s="1"/>
  <c r="AE116" i="25" s="1" a="1"/>
  <c r="AE116" i="25" s="1"/>
  <c r="AF116" i="25" s="1" a="1"/>
  <c r="AF116" i="25" s="1"/>
  <c r="AG116" i="25" s="1" a="1"/>
  <c r="AG116" i="25" s="1"/>
  <c r="AH116" i="25" s="1" a="1"/>
  <c r="AH116" i="25" s="1"/>
  <c r="AI116" i="25" s="1" a="1"/>
  <c r="AI116" i="25" s="1"/>
  <c r="AJ116" i="25" s="1" a="1"/>
  <c r="AJ116" i="25" s="1"/>
  <c r="AK116" i="25" s="1" a="1"/>
  <c r="AK116" i="25" s="1"/>
  <c r="AL116" i="25" s="1" a="1"/>
  <c r="AL116" i="25" s="1"/>
  <c r="H97" i="25" a="1"/>
  <c r="H97" i="25" s="1"/>
  <c r="I97" i="25" s="1" a="1"/>
  <c r="I97" i="25" s="1"/>
  <c r="J97" i="25" s="1" a="1"/>
  <c r="J97" i="25" s="1"/>
  <c r="K97" i="25" s="1" a="1"/>
  <c r="K97" i="25" s="1"/>
  <c r="L97" i="25" s="1" a="1"/>
  <c r="L97" i="25" s="1"/>
  <c r="M97" i="25" s="1" a="1"/>
  <c r="M97" i="25" s="1"/>
  <c r="N97" i="25" s="1" a="1"/>
  <c r="N97" i="25" s="1"/>
  <c r="O97" i="25" s="1" a="1"/>
  <c r="O97" i="25" s="1"/>
  <c r="P97" i="25" s="1" a="1"/>
  <c r="P97" i="25" s="1"/>
  <c r="Q97" i="25" s="1" a="1"/>
  <c r="Q97" i="25" s="1"/>
  <c r="R97" i="25" s="1" a="1"/>
  <c r="R97" i="25" s="1"/>
  <c r="S97" i="25" s="1" a="1"/>
  <c r="S97" i="25" s="1"/>
  <c r="T97" i="25" s="1" a="1"/>
  <c r="T97" i="25" s="1"/>
  <c r="U97" i="25" s="1" a="1"/>
  <c r="U97" i="25" s="1"/>
  <c r="V97" i="25" s="1" a="1"/>
  <c r="V97" i="25" s="1"/>
  <c r="W97" i="25" s="1" a="1"/>
  <c r="W97" i="25" s="1"/>
  <c r="X97" i="25" s="1" a="1"/>
  <c r="X97" i="25" s="1"/>
  <c r="Y97" i="25" s="1" a="1"/>
  <c r="Y97" i="25" s="1"/>
  <c r="Z97" i="25" s="1" a="1"/>
  <c r="Z97" i="25" s="1"/>
  <c r="AA97" i="25" s="1" a="1"/>
  <c r="AA97" i="25" s="1"/>
  <c r="AB97" i="25" s="1" a="1"/>
  <c r="AB97" i="25" s="1"/>
  <c r="AC97" i="25" s="1" a="1"/>
  <c r="AC97" i="25" s="1"/>
  <c r="AD97" i="25" s="1" a="1"/>
  <c r="AD97" i="25" s="1"/>
  <c r="AE97" i="25" s="1" a="1"/>
  <c r="AE97" i="25" s="1"/>
  <c r="AF97" i="25" s="1" a="1"/>
  <c r="AF97" i="25" s="1"/>
  <c r="AG97" i="25" s="1" a="1"/>
  <c r="AG97" i="25" s="1"/>
  <c r="AH97" i="25" s="1" a="1"/>
  <c r="AH97" i="25" s="1"/>
  <c r="AI97" i="25" s="1" a="1"/>
  <c r="AI97" i="25" s="1"/>
  <c r="AJ97" i="25" s="1" a="1"/>
  <c r="AJ97" i="25" s="1"/>
  <c r="AK97" i="25" s="1" a="1"/>
  <c r="AK97" i="25" s="1"/>
  <c r="AL97" i="25" s="1" a="1"/>
  <c r="AL97" i="25" s="1"/>
  <c r="H98" i="25" a="1"/>
  <c r="H98" i="25" s="1"/>
  <c r="I98" i="25" s="1" a="1"/>
  <c r="I98" i="25" s="1"/>
  <c r="J98" i="25" s="1" a="1"/>
  <c r="J98" i="25" s="1"/>
  <c r="K98" i="25" s="1" a="1"/>
  <c r="K98" i="25" s="1"/>
  <c r="L98" i="25" s="1" a="1"/>
  <c r="L98" i="25" s="1"/>
  <c r="M98" i="25" s="1" a="1"/>
  <c r="M98" i="25" s="1"/>
  <c r="N98" i="25" s="1" a="1"/>
  <c r="N98" i="25" s="1"/>
  <c r="O98" i="25" s="1" a="1"/>
  <c r="O98" i="25" s="1"/>
  <c r="P98" i="25" s="1" a="1"/>
  <c r="P98" i="25" s="1"/>
  <c r="Q98" i="25" s="1" a="1"/>
  <c r="Q98" i="25" s="1"/>
  <c r="R98" i="25" s="1" a="1"/>
  <c r="R98" i="25" s="1"/>
  <c r="S98" i="25" s="1" a="1"/>
  <c r="S98" i="25" s="1"/>
  <c r="T98" i="25" s="1" a="1"/>
  <c r="T98" i="25" s="1"/>
  <c r="U98" i="25" s="1" a="1"/>
  <c r="U98" i="25" s="1"/>
  <c r="V98" i="25" s="1" a="1"/>
  <c r="V98" i="25" s="1"/>
  <c r="W98" i="25" s="1" a="1"/>
  <c r="W98" i="25" s="1"/>
  <c r="X98" i="25" s="1" a="1"/>
  <c r="X98" i="25" s="1"/>
  <c r="Y98" i="25" s="1" a="1"/>
  <c r="Y98" i="25" s="1"/>
  <c r="Z98" i="25" s="1" a="1"/>
  <c r="Z98" i="25" s="1"/>
  <c r="AA98" i="25" s="1" a="1"/>
  <c r="AA98" i="25" s="1"/>
  <c r="AB98" i="25" s="1" a="1"/>
  <c r="AB98" i="25" s="1"/>
  <c r="AC98" i="25" s="1" a="1"/>
  <c r="AC98" i="25" s="1"/>
  <c r="AD98" i="25" s="1" a="1"/>
  <c r="AD98" i="25" s="1"/>
  <c r="AE98" i="25" s="1" a="1"/>
  <c r="AE98" i="25" s="1"/>
  <c r="AF98" i="25" s="1" a="1"/>
  <c r="AF98" i="25" s="1"/>
  <c r="AG98" i="25" s="1" a="1"/>
  <c r="AG98" i="25" s="1"/>
  <c r="AH98" i="25" s="1" a="1"/>
  <c r="AH98" i="25" s="1"/>
  <c r="AI98" i="25" s="1" a="1"/>
  <c r="AI98" i="25" s="1"/>
  <c r="AJ98" i="25" s="1" a="1"/>
  <c r="AJ98" i="25" s="1"/>
  <c r="AK98" i="25" s="1" a="1"/>
  <c r="AK98" i="25" s="1"/>
  <c r="AL98" i="25" s="1" a="1"/>
  <c r="AL98" i="25" s="1"/>
  <c r="H106" i="25" a="1"/>
  <c r="H106" i="25" s="1"/>
  <c r="I106" i="25" s="1" a="1"/>
  <c r="I106" i="25" s="1"/>
  <c r="J106" i="25" s="1" a="1"/>
  <c r="J106" i="25" s="1"/>
  <c r="K106" i="25" s="1" a="1"/>
  <c r="K106" i="25" s="1"/>
  <c r="L106" i="25" s="1" a="1"/>
  <c r="L106" i="25" s="1"/>
  <c r="M106" i="25" s="1" a="1"/>
  <c r="M106" i="25" s="1"/>
  <c r="N106" i="25" s="1" a="1"/>
  <c r="N106" i="25" s="1"/>
  <c r="O106" i="25" s="1" a="1"/>
  <c r="O106" i="25" s="1"/>
  <c r="P106" i="25" s="1" a="1"/>
  <c r="P106" i="25" s="1"/>
  <c r="Q106" i="25" s="1" a="1"/>
  <c r="Q106" i="25" s="1"/>
  <c r="R106" i="25" s="1" a="1"/>
  <c r="R106" i="25" s="1"/>
  <c r="S106" i="25" s="1" a="1"/>
  <c r="S106" i="25" s="1"/>
  <c r="T106" i="25" s="1" a="1"/>
  <c r="T106" i="25" s="1"/>
  <c r="U106" i="25" s="1" a="1"/>
  <c r="U106" i="25" s="1"/>
  <c r="V106" i="25" s="1" a="1"/>
  <c r="V106" i="25" s="1"/>
  <c r="W106" i="25" s="1" a="1"/>
  <c r="W106" i="25" s="1"/>
  <c r="X106" i="25" s="1" a="1"/>
  <c r="X106" i="25" s="1"/>
  <c r="Y106" i="25" s="1" a="1"/>
  <c r="Y106" i="25" s="1"/>
  <c r="Z106" i="25" s="1" a="1"/>
  <c r="Z106" i="25" s="1"/>
  <c r="AA106" i="25" s="1" a="1"/>
  <c r="AA106" i="25" s="1"/>
  <c r="AB106" i="25" s="1" a="1"/>
  <c r="AB106" i="25" s="1"/>
  <c r="AC106" i="25" s="1" a="1"/>
  <c r="AC106" i="25" s="1"/>
  <c r="AD106" i="25" s="1" a="1"/>
  <c r="AD106" i="25" s="1"/>
  <c r="AE106" i="25" s="1" a="1"/>
  <c r="AE106" i="25" s="1"/>
  <c r="AF106" i="25" s="1" a="1"/>
  <c r="AF106" i="25" s="1"/>
  <c r="AG106" i="25" s="1" a="1"/>
  <c r="AG106" i="25" s="1"/>
  <c r="AH106" i="25" s="1" a="1"/>
  <c r="AH106" i="25" s="1"/>
  <c r="AI106" i="25" s="1" a="1"/>
  <c r="AI106" i="25" s="1"/>
  <c r="AJ106" i="25" s="1" a="1"/>
  <c r="AJ106" i="25" s="1"/>
  <c r="AK106" i="25" s="1" a="1"/>
  <c r="AK106" i="25" s="1"/>
  <c r="AL106" i="25" s="1" a="1"/>
  <c r="AL106" i="25" s="1"/>
  <c r="H99" i="25" a="1"/>
  <c r="H99" i="25" s="1"/>
  <c r="I99" i="25" s="1" a="1"/>
  <c r="I99" i="25" s="1"/>
  <c r="J99" i="25" s="1" a="1"/>
  <c r="J99" i="25" s="1"/>
  <c r="K99" i="25" s="1" a="1"/>
  <c r="K99" i="25" s="1"/>
  <c r="L99" i="25" s="1" a="1"/>
  <c r="L99" i="25" s="1"/>
  <c r="M99" i="25" s="1" a="1"/>
  <c r="M99" i="25" s="1"/>
  <c r="N99" i="25" s="1" a="1"/>
  <c r="N99" i="25" s="1"/>
  <c r="O99" i="25" s="1" a="1"/>
  <c r="O99" i="25" s="1"/>
  <c r="P99" i="25" s="1" a="1"/>
  <c r="P99" i="25" s="1"/>
  <c r="Q99" i="25" s="1" a="1"/>
  <c r="Q99" i="25" s="1"/>
  <c r="R99" i="25" s="1" a="1"/>
  <c r="R99" i="25" s="1"/>
  <c r="S99" i="25" s="1" a="1"/>
  <c r="S99" i="25" s="1"/>
  <c r="T99" i="25" s="1" a="1"/>
  <c r="T99" i="25" s="1"/>
  <c r="U99" i="25" s="1" a="1"/>
  <c r="U99" i="25" s="1"/>
  <c r="V99" i="25" s="1" a="1"/>
  <c r="V99" i="25" s="1"/>
  <c r="W99" i="25" s="1" a="1"/>
  <c r="W99" i="25" s="1"/>
  <c r="X99" i="25" s="1" a="1"/>
  <c r="X99" i="25" s="1"/>
  <c r="Y99" i="25" s="1" a="1"/>
  <c r="Y99" i="25" s="1"/>
  <c r="Z99" i="25" s="1" a="1"/>
  <c r="Z99" i="25" s="1"/>
  <c r="AA99" i="25" s="1" a="1"/>
  <c r="AA99" i="25" s="1"/>
  <c r="AB99" i="25" s="1" a="1"/>
  <c r="AB99" i="25" s="1"/>
  <c r="AC99" i="25" s="1" a="1"/>
  <c r="AC99" i="25" s="1"/>
  <c r="AD99" i="25" s="1" a="1"/>
  <c r="AD99" i="25" s="1"/>
  <c r="AE99" i="25" s="1" a="1"/>
  <c r="AE99" i="25" s="1"/>
  <c r="AF99" i="25" s="1" a="1"/>
  <c r="AF99" i="25" s="1"/>
  <c r="AG99" i="25" s="1" a="1"/>
  <c r="AG99" i="25" s="1"/>
  <c r="AH99" i="25" s="1" a="1"/>
  <c r="AH99" i="25" s="1"/>
  <c r="AI99" i="25" s="1" a="1"/>
  <c r="AI99" i="25" s="1"/>
  <c r="AJ99" i="25" s="1" a="1"/>
  <c r="AJ99" i="25" s="1"/>
  <c r="AK99" i="25" s="1" a="1"/>
  <c r="AK99" i="25" s="1"/>
  <c r="AL99" i="25" s="1" a="1"/>
  <c r="AL99" i="25" s="1"/>
  <c r="H100" i="25" a="1"/>
  <c r="H100" i="25" s="1"/>
  <c r="I100" i="25" s="1" a="1"/>
  <c r="I100" i="25" s="1"/>
  <c r="J100" i="25" s="1" a="1"/>
  <c r="J100" i="25" s="1"/>
  <c r="K100" i="25" s="1" a="1"/>
  <c r="K100" i="25" s="1"/>
  <c r="L100" i="25" s="1" a="1"/>
  <c r="L100" i="25" s="1"/>
  <c r="M100" i="25" s="1" a="1"/>
  <c r="M100" i="25" s="1"/>
  <c r="N100" i="25" s="1" a="1"/>
  <c r="N100" i="25" s="1"/>
  <c r="O100" i="25" s="1" a="1"/>
  <c r="O100" i="25" s="1"/>
  <c r="P100" i="25" s="1" a="1"/>
  <c r="P100" i="25" s="1"/>
  <c r="Q100" i="25" s="1" a="1"/>
  <c r="Q100" i="25" s="1"/>
  <c r="R100" i="25" s="1" a="1"/>
  <c r="R100" i="25" s="1"/>
  <c r="S100" i="25" s="1" a="1"/>
  <c r="S100" i="25" s="1"/>
  <c r="T100" i="25" s="1" a="1"/>
  <c r="T100" i="25" s="1"/>
  <c r="U100" i="25" s="1" a="1"/>
  <c r="U100" i="25" s="1"/>
  <c r="V100" i="25" s="1" a="1"/>
  <c r="V100" i="25" s="1"/>
  <c r="W100" i="25" s="1" a="1"/>
  <c r="W100" i="25" s="1"/>
  <c r="X100" i="25" s="1" a="1"/>
  <c r="X100" i="25" s="1"/>
  <c r="Y100" i="25" s="1" a="1"/>
  <c r="Y100" i="25" s="1"/>
  <c r="Z100" i="25" s="1" a="1"/>
  <c r="Z100" i="25" s="1"/>
  <c r="AA100" i="25" s="1" a="1"/>
  <c r="AA100" i="25" s="1"/>
  <c r="AB100" i="25" s="1" a="1"/>
  <c r="AB100" i="25" s="1"/>
  <c r="AC100" i="25" s="1" a="1"/>
  <c r="AC100" i="25" s="1"/>
  <c r="AD100" i="25" s="1" a="1"/>
  <c r="AD100" i="25" s="1"/>
  <c r="AE100" i="25" s="1" a="1"/>
  <c r="AE100" i="25" s="1"/>
  <c r="AF100" i="25" s="1" a="1"/>
  <c r="AF100" i="25" s="1"/>
  <c r="AG100" i="25" s="1" a="1"/>
  <c r="AG100" i="25" s="1"/>
  <c r="AH100" i="25" s="1" a="1"/>
  <c r="AH100" i="25" s="1"/>
  <c r="AI100" i="25" s="1" a="1"/>
  <c r="AI100" i="25" s="1"/>
  <c r="AJ100" i="25" s="1" a="1"/>
  <c r="AJ100" i="25" s="1"/>
  <c r="AK100" i="25" s="1" a="1"/>
  <c r="AK100" i="25" s="1"/>
  <c r="AL100" i="25" s="1" a="1"/>
  <c r="AL100" i="25" s="1"/>
  <c r="H101" i="25" a="1"/>
  <c r="H101" i="25" s="1"/>
  <c r="I101" i="25" s="1" a="1"/>
  <c r="I101" i="25" s="1"/>
  <c r="J101" i="25" s="1" a="1"/>
  <c r="J101" i="25" s="1"/>
  <c r="K101" i="25" s="1" a="1"/>
  <c r="K101" i="25" s="1"/>
  <c r="L101" i="25" s="1" a="1"/>
  <c r="L101" i="25" s="1"/>
  <c r="M101" i="25" s="1" a="1"/>
  <c r="M101" i="25" s="1"/>
  <c r="N101" i="25" s="1" a="1"/>
  <c r="N101" i="25" s="1"/>
  <c r="O101" i="25" s="1" a="1"/>
  <c r="O101" i="25" s="1"/>
  <c r="P101" i="25" s="1" a="1"/>
  <c r="P101" i="25" s="1"/>
  <c r="Q101" i="25" s="1" a="1"/>
  <c r="Q101" i="25" s="1"/>
  <c r="R101" i="25" s="1" a="1"/>
  <c r="R101" i="25" s="1"/>
  <c r="S101" i="25" s="1" a="1"/>
  <c r="S101" i="25" s="1"/>
  <c r="T101" i="25" s="1" a="1"/>
  <c r="T101" i="25" s="1"/>
  <c r="U101" i="25" s="1" a="1"/>
  <c r="U101" i="25" s="1"/>
  <c r="V101" i="25" s="1" a="1"/>
  <c r="V101" i="25" s="1"/>
  <c r="W101" i="25" s="1" a="1"/>
  <c r="W101" i="25" s="1"/>
  <c r="X101" i="25" s="1" a="1"/>
  <c r="X101" i="25" s="1"/>
  <c r="Y101" i="25" s="1" a="1"/>
  <c r="Y101" i="25" s="1"/>
  <c r="Z101" i="25" s="1" a="1"/>
  <c r="Z101" i="25" s="1"/>
  <c r="AA101" i="25" s="1" a="1"/>
  <c r="AA101" i="25" s="1"/>
  <c r="AB101" i="25" s="1" a="1"/>
  <c r="AB101" i="25" s="1"/>
  <c r="AC101" i="25" s="1" a="1"/>
  <c r="AC101" i="25" s="1"/>
  <c r="AD101" i="25" s="1" a="1"/>
  <c r="AD101" i="25" s="1"/>
  <c r="AE101" i="25" s="1" a="1"/>
  <c r="AE101" i="25" s="1"/>
  <c r="AF101" i="25" s="1" a="1"/>
  <c r="AF101" i="25" s="1"/>
  <c r="AG101" i="25" s="1" a="1"/>
  <c r="AG101" i="25" s="1"/>
  <c r="AH101" i="25" s="1" a="1"/>
  <c r="AH101" i="25" s="1"/>
  <c r="AI101" i="25" s="1" a="1"/>
  <c r="AI101" i="25" s="1"/>
  <c r="AJ101" i="25" s="1" a="1"/>
  <c r="AJ101" i="25" s="1"/>
  <c r="AK101" i="25" s="1" a="1"/>
  <c r="AK101" i="25" s="1"/>
  <c r="AL101" i="25" s="1" a="1"/>
  <c r="AL101" i="25" s="1"/>
  <c r="H102" i="25" a="1"/>
  <c r="H102" i="25" s="1"/>
  <c r="I102" i="25" s="1" a="1"/>
  <c r="I102" i="25" s="1"/>
  <c r="J102" i="25" s="1" a="1"/>
  <c r="J102" i="25" s="1"/>
  <c r="K102" i="25" s="1" a="1"/>
  <c r="K102" i="25" s="1"/>
  <c r="L102" i="25" s="1" a="1"/>
  <c r="L102" i="25" s="1"/>
  <c r="M102" i="25" s="1" a="1"/>
  <c r="M102" i="25" s="1"/>
  <c r="N102" i="25" s="1" a="1"/>
  <c r="N102" i="25" s="1"/>
  <c r="O102" i="25" s="1" a="1"/>
  <c r="O102" i="25" s="1"/>
  <c r="P102" i="25" s="1" a="1"/>
  <c r="P102" i="25" s="1"/>
  <c r="Q102" i="25" s="1" a="1"/>
  <c r="Q102" i="25" s="1"/>
  <c r="R102" i="25" s="1" a="1"/>
  <c r="R102" i="25" s="1"/>
  <c r="S102" i="25" s="1" a="1"/>
  <c r="S102" i="25" s="1"/>
  <c r="T102" i="25" s="1" a="1"/>
  <c r="T102" i="25" s="1"/>
  <c r="U102" i="25" s="1" a="1"/>
  <c r="U102" i="25" s="1"/>
  <c r="V102" i="25" s="1" a="1"/>
  <c r="V102" i="25" s="1"/>
  <c r="W102" i="25" s="1" a="1"/>
  <c r="W102" i="25" s="1"/>
  <c r="X102" i="25" s="1" a="1"/>
  <c r="X102" i="25" s="1"/>
  <c r="Y102" i="25" s="1" a="1"/>
  <c r="Y102" i="25" s="1"/>
  <c r="Z102" i="25" s="1" a="1"/>
  <c r="Z102" i="25" s="1"/>
  <c r="AA102" i="25" s="1" a="1"/>
  <c r="AA102" i="25" s="1"/>
  <c r="AB102" i="25" s="1" a="1"/>
  <c r="AB102" i="25" s="1"/>
  <c r="AC102" i="25" s="1" a="1"/>
  <c r="AC102" i="25" s="1"/>
  <c r="AD102" i="25" s="1" a="1"/>
  <c r="AD102" i="25" s="1"/>
  <c r="AE102" i="25" s="1" a="1"/>
  <c r="AE102" i="25" s="1"/>
  <c r="AF102" i="25" s="1" a="1"/>
  <c r="AF102" i="25" s="1"/>
  <c r="AG102" i="25" s="1" a="1"/>
  <c r="AG102" i="25" s="1"/>
  <c r="AH102" i="25" s="1" a="1"/>
  <c r="AH102" i="25" s="1"/>
  <c r="AI102" i="25" s="1" a="1"/>
  <c r="AI102" i="25" s="1"/>
  <c r="AJ102" i="25" s="1" a="1"/>
  <c r="AJ102" i="25" s="1"/>
  <c r="AK102" i="25" s="1" a="1"/>
  <c r="AK102" i="25" s="1"/>
  <c r="AL102" i="25" s="1" a="1"/>
  <c r="AL102" i="25" s="1"/>
  <c r="H103" i="25" a="1"/>
  <c r="H103" i="25" s="1"/>
  <c r="I103" i="25" s="1" a="1"/>
  <c r="I103" i="25" s="1"/>
  <c r="J103" i="25" s="1" a="1"/>
  <c r="J103" i="25" s="1"/>
  <c r="K103" i="25" s="1" a="1"/>
  <c r="K103" i="25" s="1"/>
  <c r="L103" i="25" s="1" a="1"/>
  <c r="L103" i="25" s="1"/>
  <c r="M103" i="25" s="1" a="1"/>
  <c r="M103" i="25" s="1"/>
  <c r="N103" i="25" s="1" a="1"/>
  <c r="N103" i="25" s="1"/>
  <c r="O103" i="25" s="1" a="1"/>
  <c r="O103" i="25" s="1"/>
  <c r="P103" i="25" s="1" a="1"/>
  <c r="P103" i="25" s="1"/>
  <c r="Q103" i="25" s="1" a="1"/>
  <c r="Q103" i="25" s="1"/>
  <c r="R103" i="25" s="1" a="1"/>
  <c r="R103" i="25" s="1"/>
  <c r="S103" i="25" s="1" a="1"/>
  <c r="S103" i="25" s="1"/>
  <c r="T103" i="25" s="1" a="1"/>
  <c r="T103" i="25" s="1"/>
  <c r="U103" i="25" s="1" a="1"/>
  <c r="U103" i="25" s="1"/>
  <c r="V103" i="25" s="1" a="1"/>
  <c r="V103" i="25" s="1"/>
  <c r="W103" i="25" s="1" a="1"/>
  <c r="W103" i="25" s="1"/>
  <c r="X103" i="25" s="1" a="1"/>
  <c r="X103" i="25" s="1"/>
  <c r="Y103" i="25" s="1" a="1"/>
  <c r="Y103" i="25" s="1"/>
  <c r="Z103" i="25" s="1" a="1"/>
  <c r="Z103" i="25" s="1"/>
  <c r="AA103" i="25" s="1" a="1"/>
  <c r="AA103" i="25" s="1"/>
  <c r="AB103" i="25" s="1" a="1"/>
  <c r="AB103" i="25" s="1"/>
  <c r="AC103" i="25" s="1" a="1"/>
  <c r="AC103" i="25" s="1"/>
  <c r="AD103" i="25" s="1" a="1"/>
  <c r="AD103" i="25" s="1"/>
  <c r="AE103" i="25" s="1" a="1"/>
  <c r="AE103" i="25" s="1"/>
  <c r="AF103" i="25" s="1" a="1"/>
  <c r="AF103" i="25" s="1"/>
  <c r="AG103" i="25" s="1" a="1"/>
  <c r="AG103" i="25" s="1"/>
  <c r="AH103" i="25" s="1" a="1"/>
  <c r="AH103" i="25" s="1"/>
  <c r="AI103" i="25" s="1" a="1"/>
  <c r="AI103" i="25" s="1"/>
  <c r="AJ103" i="25" s="1" a="1"/>
  <c r="AJ103" i="25" s="1"/>
  <c r="AK103" i="25" s="1" a="1"/>
  <c r="AK103" i="25" s="1"/>
  <c r="AL103" i="25" s="1" a="1"/>
  <c r="AL103" i="25" s="1"/>
  <c r="H104" i="25" a="1"/>
  <c r="H104" i="25" s="1"/>
  <c r="I104" i="25" s="1" a="1"/>
  <c r="I104" i="25" s="1"/>
  <c r="J104" i="25" s="1" a="1"/>
  <c r="J104" i="25" s="1"/>
  <c r="K104" i="25" s="1" a="1"/>
  <c r="K104" i="25" s="1"/>
  <c r="L104" i="25" s="1" a="1"/>
  <c r="L104" i="25" s="1"/>
  <c r="M104" i="25" s="1" a="1"/>
  <c r="M104" i="25" s="1"/>
  <c r="N104" i="25" s="1" a="1"/>
  <c r="N104" i="25" s="1"/>
  <c r="O104" i="25" s="1" a="1"/>
  <c r="O104" i="25" s="1"/>
  <c r="P104" i="25" s="1" a="1"/>
  <c r="P104" i="25" s="1"/>
  <c r="Q104" i="25" s="1" a="1"/>
  <c r="Q104" i="25" s="1"/>
  <c r="R104" i="25" s="1" a="1"/>
  <c r="R104" i="25" s="1"/>
  <c r="S104" i="25" s="1" a="1"/>
  <c r="S104" i="25" s="1"/>
  <c r="T104" i="25" s="1" a="1"/>
  <c r="T104" i="25" s="1"/>
  <c r="U104" i="25" s="1" a="1"/>
  <c r="U104" i="25" s="1"/>
  <c r="V104" i="25" s="1" a="1"/>
  <c r="V104" i="25" s="1"/>
  <c r="W104" i="25" s="1" a="1"/>
  <c r="W104" i="25" s="1"/>
  <c r="X104" i="25" s="1" a="1"/>
  <c r="X104" i="25" s="1"/>
  <c r="Y104" i="25" s="1" a="1"/>
  <c r="Y104" i="25" s="1"/>
  <c r="Z104" i="25" s="1" a="1"/>
  <c r="Z104" i="25" s="1"/>
  <c r="AA104" i="25" s="1" a="1"/>
  <c r="AA104" i="25" s="1"/>
  <c r="AB104" i="25" s="1" a="1"/>
  <c r="AB104" i="25" s="1"/>
  <c r="AC104" i="25" s="1" a="1"/>
  <c r="AC104" i="25" s="1"/>
  <c r="AD104" i="25" s="1" a="1"/>
  <c r="AD104" i="25" s="1"/>
  <c r="AE104" i="25" s="1" a="1"/>
  <c r="AE104" i="25" s="1"/>
  <c r="AF104" i="25" s="1" a="1"/>
  <c r="AF104" i="25" s="1"/>
  <c r="AG104" i="25" s="1" a="1"/>
  <c r="AG104" i="25" s="1"/>
  <c r="AH104" i="25" s="1" a="1"/>
  <c r="AH104" i="25" s="1"/>
  <c r="AI104" i="25" s="1" a="1"/>
  <c r="AI104" i="25" s="1"/>
  <c r="AJ104" i="25" s="1" a="1"/>
  <c r="AJ104" i="25" s="1"/>
  <c r="AK104" i="25" s="1" a="1"/>
  <c r="AK104" i="25" s="1"/>
  <c r="AL104" i="25" s="1" a="1"/>
  <c r="AL104" i="25" s="1"/>
  <c r="H94" i="25" a="1"/>
  <c r="H94" i="25" s="1"/>
  <c r="H85" i="25" a="1"/>
  <c r="H85" i="25" s="1"/>
  <c r="H86" i="25" a="1"/>
  <c r="H86" i="25" s="1"/>
  <c r="H87" i="25" a="1"/>
  <c r="H87" i="25" s="1"/>
  <c r="H88" i="25" a="1"/>
  <c r="H88" i="25" s="1"/>
  <c r="H89" i="25" a="1"/>
  <c r="H89" i="25" s="1"/>
  <c r="H90" i="25" a="1"/>
  <c r="H90" i="25" s="1"/>
  <c r="H91" i="25" a="1"/>
  <c r="H91" i="25" s="1"/>
  <c r="H92" i="25" a="1"/>
  <c r="H92" i="25" s="1"/>
  <c r="H95" i="25" a="1"/>
  <c r="H95" i="25" s="1"/>
  <c r="F83" i="25" a="1"/>
  <c r="F83" i="25" s="1"/>
  <c r="B141" i="25" a="1"/>
  <c r="I98" i="13" l="1" a="1"/>
  <c r="I98" i="13" s="1"/>
  <c r="J98" i="13" a="1"/>
  <c r="J98" i="13" s="1"/>
  <c r="K86" i="13" s="1" a="1"/>
  <c r="K86" i="13" s="1"/>
  <c r="F189" i="25" a="1"/>
  <c r="F189" i="25" s="1"/>
  <c r="F188" i="25" a="1"/>
  <c r="F188" i="25" s="1"/>
  <c r="F187" i="25" a="1"/>
  <c r="F187" i="25" s="1"/>
  <c r="F186" i="25" a="1"/>
  <c r="F186" i="25" s="1"/>
  <c r="F185" i="25" a="1"/>
  <c r="F185" i="25" s="1"/>
  <c r="F184" i="25" a="1"/>
  <c r="F184" i="25" s="1"/>
  <c r="F183" i="25" a="1"/>
  <c r="F183" i="25" s="1"/>
  <c r="F182" i="25" a="1"/>
  <c r="F182" i="25" s="1"/>
  <c r="F181" i="25" a="1"/>
  <c r="F181" i="25" s="1"/>
  <c r="F180" i="25" a="1"/>
  <c r="F180" i="25" s="1"/>
  <c r="F179" i="25" a="1"/>
  <c r="F179" i="25" s="1"/>
  <c r="F178" i="25" a="1"/>
  <c r="F178" i="25" s="1"/>
  <c r="F177" i="25" a="1"/>
  <c r="F177" i="25" s="1"/>
  <c r="F176" i="25" a="1"/>
  <c r="F176" i="25" s="1"/>
  <c r="F175" i="25" a="1"/>
  <c r="F175" i="25" s="1"/>
  <c r="F174" i="25" a="1"/>
  <c r="F174" i="25" s="1"/>
  <c r="F173" i="25" a="1"/>
  <c r="F173" i="25" s="1"/>
  <c r="F172" i="25" a="1"/>
  <c r="F172" i="25" s="1"/>
  <c r="F171" i="25" a="1"/>
  <c r="F171" i="25" s="1"/>
  <c r="F170" i="25" a="1"/>
  <c r="F170" i="25" s="1"/>
  <c r="F169" i="25" a="1"/>
  <c r="F169" i="25" s="1"/>
  <c r="F168" i="25" a="1"/>
  <c r="F168" i="25" s="1"/>
  <c r="F167" i="25" a="1"/>
  <c r="F167" i="25" s="1"/>
  <c r="F166" i="25" a="1"/>
  <c r="F166" i="25" s="1"/>
  <c r="F165" i="25" a="1"/>
  <c r="F165" i="25" s="1"/>
  <c r="F164" i="25" a="1"/>
  <c r="F164" i="25" s="1"/>
  <c r="F163" i="25" a="1"/>
  <c r="F163" i="25" s="1"/>
  <c r="F162" i="25" a="1"/>
  <c r="F162" i="25" s="1"/>
  <c r="F161" i="25" a="1"/>
  <c r="F161" i="25" s="1"/>
  <c r="F160" i="25" a="1"/>
  <c r="F160" i="25" s="1"/>
  <c r="F159" i="25" a="1"/>
  <c r="F159" i="25" s="1"/>
  <c r="F158" i="25" a="1"/>
  <c r="F158" i="25" s="1"/>
  <c r="F157" i="25" a="1"/>
  <c r="F157" i="25" s="1"/>
  <c r="F156" i="25" a="1"/>
  <c r="F156" i="25" s="1"/>
  <c r="F155" i="25" a="1"/>
  <c r="F155" i="25" s="1"/>
  <c r="F154" i="25" a="1"/>
  <c r="F154" i="25" s="1"/>
  <c r="F153" i="25" a="1"/>
  <c r="F153" i="25" s="1"/>
  <c r="F152" i="25" a="1"/>
  <c r="F152" i="25" s="1"/>
  <c r="F151" i="25" a="1"/>
  <c r="F151" i="25" s="1"/>
  <c r="F150" i="25" a="1"/>
  <c r="F150" i="25" s="1"/>
  <c r="F149" i="25" a="1"/>
  <c r="F149" i="25" s="1"/>
  <c r="F148" i="25" a="1"/>
  <c r="F148" i="25" s="1"/>
  <c r="F147" i="25" a="1"/>
  <c r="F147" i="25" s="1"/>
  <c r="F146" i="25" a="1"/>
  <c r="F146" i="25" s="1"/>
  <c r="F145" i="25" a="1"/>
  <c r="F145" i="25" s="1"/>
  <c r="F144" i="25" a="1"/>
  <c r="F144" i="25" s="1"/>
  <c r="F143" i="25" a="1"/>
  <c r="F143" i="25" s="1"/>
  <c r="F142" i="25" a="1"/>
  <c r="F142" i="25" s="1"/>
  <c r="G83" i="25" a="1"/>
  <c r="G83" i="25" s="1"/>
  <c r="I117" i="25" a="1"/>
  <c r="I117" i="25" s="1"/>
  <c r="J117" i="25" s="1" a="1"/>
  <c r="J117" i="25" s="1"/>
  <c r="K117" i="25" s="1" a="1"/>
  <c r="K117" i="25" s="1"/>
  <c r="L117" i="25" s="1" a="1"/>
  <c r="L117" i="25" s="1"/>
  <c r="M117" i="25" s="1" a="1"/>
  <c r="M117" i="25" s="1"/>
  <c r="N117" i="25" s="1" a="1"/>
  <c r="N117" i="25" s="1"/>
  <c r="O117" i="25" s="1" a="1"/>
  <c r="O117" i="25" s="1"/>
  <c r="P117" i="25" s="1" a="1"/>
  <c r="P117" i="25" s="1"/>
  <c r="Q117" i="25" s="1" a="1"/>
  <c r="Q117" i="25" s="1"/>
  <c r="R117" i="25" s="1" a="1"/>
  <c r="R117" i="25" s="1"/>
  <c r="S117" i="25" s="1" a="1"/>
  <c r="S117" i="25" s="1"/>
  <c r="T117" i="25" s="1" a="1"/>
  <c r="T117" i="25" s="1"/>
  <c r="U117" i="25" s="1" a="1"/>
  <c r="U117" i="25" s="1"/>
  <c r="V117" i="25" s="1" a="1"/>
  <c r="V117" i="25" s="1"/>
  <c r="W117" i="25" s="1" a="1"/>
  <c r="W117" i="25" s="1"/>
  <c r="X117" i="25" s="1" a="1"/>
  <c r="X117" i="25" s="1"/>
  <c r="Y117" i="25" s="1" a="1"/>
  <c r="Y117" i="25" s="1"/>
  <c r="Z117" i="25" s="1" a="1"/>
  <c r="Z117" i="25" s="1"/>
  <c r="AA117" i="25" s="1" a="1"/>
  <c r="AA117" i="25" s="1"/>
  <c r="AB117" i="25" s="1" a="1"/>
  <c r="AB117" i="25" s="1"/>
  <c r="AC117" i="25" s="1" a="1"/>
  <c r="AC117" i="25" s="1"/>
  <c r="AD117" i="25" s="1" a="1"/>
  <c r="AD117" i="25" s="1"/>
  <c r="AE117" i="25" s="1" a="1"/>
  <c r="AE117" i="25" s="1"/>
  <c r="AF117" i="25" s="1" a="1"/>
  <c r="AF117" i="25" s="1"/>
  <c r="AG117" i="25" s="1" a="1"/>
  <c r="AG117" i="25" s="1"/>
  <c r="AH117" i="25" s="1" a="1"/>
  <c r="AH117" i="25" s="1"/>
  <c r="AI117" i="25" s="1" a="1"/>
  <c r="AI117" i="25" s="1"/>
  <c r="AJ117" i="25" s="1" a="1"/>
  <c r="AJ117" i="25" s="1"/>
  <c r="AK117" i="25" s="1" a="1"/>
  <c r="AK117" i="25" s="1"/>
  <c r="AL117" i="25" s="1" a="1"/>
  <c r="AL117" i="25" s="1"/>
  <c r="H107" i="25" a="1"/>
  <c r="H107" i="25" s="1"/>
  <c r="I107" i="25" s="1" a="1"/>
  <c r="I107" i="25" s="1"/>
  <c r="J107" i="25" s="1" a="1"/>
  <c r="J107" i="25" s="1"/>
  <c r="K107" i="25" s="1" a="1"/>
  <c r="K107" i="25" s="1"/>
  <c r="L107" i="25" s="1" a="1"/>
  <c r="L107" i="25" s="1"/>
  <c r="M107" i="25" s="1" a="1"/>
  <c r="M107" i="25" s="1"/>
  <c r="N107" i="25" s="1" a="1"/>
  <c r="N107" i="25" s="1"/>
  <c r="O107" i="25" s="1" a="1"/>
  <c r="O107" i="25" s="1"/>
  <c r="P107" i="25" s="1" a="1"/>
  <c r="P107" i="25" s="1"/>
  <c r="Q107" i="25" s="1" a="1"/>
  <c r="Q107" i="25" s="1"/>
  <c r="R107" i="25" s="1" a="1"/>
  <c r="R107" i="25" s="1"/>
  <c r="S107" i="25" s="1" a="1"/>
  <c r="S107" i="25" s="1"/>
  <c r="T107" i="25" s="1" a="1"/>
  <c r="T107" i="25" s="1"/>
  <c r="U107" i="25" s="1" a="1"/>
  <c r="U107" i="25" s="1"/>
  <c r="V107" i="25" s="1" a="1"/>
  <c r="V107" i="25" s="1"/>
  <c r="W107" i="25" s="1" a="1"/>
  <c r="W107" i="25" s="1"/>
  <c r="X107" i="25" s="1" a="1"/>
  <c r="X107" i="25" s="1"/>
  <c r="Y107" i="25" s="1" a="1"/>
  <c r="Y107" i="25" s="1"/>
  <c r="Z107" i="25" s="1" a="1"/>
  <c r="Z107" i="25" s="1"/>
  <c r="AA107" i="25" s="1" a="1"/>
  <c r="AA107" i="25" s="1"/>
  <c r="AB107" i="25" s="1" a="1"/>
  <c r="AB107" i="25" s="1"/>
  <c r="AC107" i="25" s="1" a="1"/>
  <c r="AC107" i="25" s="1"/>
  <c r="AD107" i="25" s="1" a="1"/>
  <c r="AD107" i="25" s="1"/>
  <c r="AE107" i="25" s="1" a="1"/>
  <c r="AE107" i="25" s="1"/>
  <c r="AF107" i="25" s="1" a="1"/>
  <c r="AF107" i="25" s="1"/>
  <c r="AG107" i="25" s="1" a="1"/>
  <c r="AG107" i="25" s="1"/>
  <c r="AH107" i="25" s="1" a="1"/>
  <c r="AH107" i="25" s="1"/>
  <c r="AI107" i="25" s="1" a="1"/>
  <c r="AI107" i="25" s="1"/>
  <c r="AJ107" i="25" s="1" a="1"/>
  <c r="AJ107" i="25" s="1"/>
  <c r="AK107" i="25" s="1" a="1"/>
  <c r="AK107" i="25" s="1"/>
  <c r="AL107" i="25" s="1" a="1"/>
  <c r="AL107" i="25" s="1"/>
  <c r="I105" i="25" a="1"/>
  <c r="I105" i="25" s="1"/>
  <c r="J105" i="25" s="1" a="1"/>
  <c r="J105" i="25" s="1"/>
  <c r="K105" i="25" s="1" a="1"/>
  <c r="K105" i="25" s="1"/>
  <c r="L105" i="25" s="1" a="1"/>
  <c r="L105" i="25" s="1"/>
  <c r="M105" i="25" s="1" a="1"/>
  <c r="M105" i="25" s="1"/>
  <c r="N105" i="25" s="1" a="1"/>
  <c r="N105" i="25" s="1"/>
  <c r="O105" i="25" s="1" a="1"/>
  <c r="O105" i="25" s="1"/>
  <c r="P105" i="25" s="1" a="1"/>
  <c r="P105" i="25" s="1"/>
  <c r="Q105" i="25" s="1" a="1"/>
  <c r="Q105" i="25" s="1"/>
  <c r="R105" i="25" s="1" a="1"/>
  <c r="R105" i="25" s="1"/>
  <c r="S105" i="25" s="1" a="1"/>
  <c r="S105" i="25" s="1"/>
  <c r="T105" i="25" s="1" a="1"/>
  <c r="T105" i="25" s="1"/>
  <c r="U105" i="25" s="1" a="1"/>
  <c r="U105" i="25" s="1"/>
  <c r="V105" i="25" s="1" a="1"/>
  <c r="V105" i="25" s="1"/>
  <c r="W105" i="25" s="1" a="1"/>
  <c r="W105" i="25" s="1"/>
  <c r="X105" i="25" s="1" a="1"/>
  <c r="X105" i="25" s="1"/>
  <c r="Y105" i="25" s="1" a="1"/>
  <c r="Y105" i="25" s="1"/>
  <c r="Z105" i="25" s="1" a="1"/>
  <c r="Z105" i="25" s="1"/>
  <c r="AA105" i="25" s="1" a="1"/>
  <c r="AA105" i="25" s="1"/>
  <c r="AB105" i="25" s="1" a="1"/>
  <c r="AB105" i="25" s="1"/>
  <c r="AC105" i="25" s="1" a="1"/>
  <c r="AC105" i="25" s="1"/>
  <c r="AD105" i="25" s="1" a="1"/>
  <c r="AD105" i="25" s="1"/>
  <c r="AE105" i="25" s="1" a="1"/>
  <c r="AE105" i="25" s="1"/>
  <c r="AF105" i="25" s="1" a="1"/>
  <c r="AF105" i="25" s="1"/>
  <c r="AG105" i="25" s="1" a="1"/>
  <c r="AG105" i="25" s="1"/>
  <c r="AH105" i="25" s="1" a="1"/>
  <c r="AH105" i="25" s="1"/>
  <c r="AI105" i="25" s="1" a="1"/>
  <c r="AI105" i="25" s="1"/>
  <c r="AJ105" i="25" s="1" a="1"/>
  <c r="AJ105" i="25" s="1"/>
  <c r="AK105" i="25" s="1" a="1"/>
  <c r="AK105" i="25" s="1"/>
  <c r="AL105" i="25" s="1" a="1"/>
  <c r="AL105" i="25" s="1"/>
  <c r="I129" i="25" a="1"/>
  <c r="I129" i="25" s="1"/>
  <c r="J129" i="25" s="1" a="1"/>
  <c r="J129" i="25" s="1"/>
  <c r="K129" i="25" s="1" a="1"/>
  <c r="K129" i="25" s="1"/>
  <c r="L129" i="25" s="1" a="1"/>
  <c r="L129" i="25" s="1"/>
  <c r="M129" i="25" s="1" a="1"/>
  <c r="M129" i="25" s="1"/>
  <c r="N129" i="25" s="1" a="1"/>
  <c r="N129" i="25" s="1"/>
  <c r="O129" i="25" s="1" a="1"/>
  <c r="O129" i="25" s="1"/>
  <c r="P129" i="25" s="1" a="1"/>
  <c r="P129" i="25" s="1"/>
  <c r="Q129" i="25" s="1" a="1"/>
  <c r="Q129" i="25" s="1"/>
  <c r="R129" i="25" s="1" a="1"/>
  <c r="R129" i="25" s="1"/>
  <c r="S129" i="25" s="1" a="1"/>
  <c r="S129" i="25" s="1"/>
  <c r="T129" i="25" s="1" a="1"/>
  <c r="T129" i="25" s="1"/>
  <c r="U129" i="25" s="1" a="1"/>
  <c r="U129" i="25" s="1"/>
  <c r="V129" i="25" s="1" a="1"/>
  <c r="V129" i="25" s="1"/>
  <c r="W129" i="25" s="1" a="1"/>
  <c r="W129" i="25" s="1"/>
  <c r="X129" i="25" s="1" a="1"/>
  <c r="X129" i="25" s="1"/>
  <c r="Y129" i="25" s="1" a="1"/>
  <c r="Y129" i="25" s="1"/>
  <c r="Z129" i="25" s="1" a="1"/>
  <c r="Z129" i="25" s="1"/>
  <c r="AA129" i="25" s="1" a="1"/>
  <c r="AA129" i="25" s="1"/>
  <c r="AB129" i="25" s="1" a="1"/>
  <c r="AB129" i="25" s="1"/>
  <c r="AC129" i="25" s="1" a="1"/>
  <c r="AC129" i="25" s="1"/>
  <c r="AD129" i="25" s="1" a="1"/>
  <c r="AD129" i="25" s="1"/>
  <c r="AE129" i="25" s="1" a="1"/>
  <c r="AE129" i="25" s="1"/>
  <c r="AF129" i="25" s="1" a="1"/>
  <c r="AF129" i="25" s="1"/>
  <c r="AG129" i="25" s="1" a="1"/>
  <c r="AG129" i="25" s="1"/>
  <c r="AH129" i="25" s="1" a="1"/>
  <c r="AH129" i="25" s="1"/>
  <c r="AI129" i="25" s="1" a="1"/>
  <c r="AI129" i="25" s="1"/>
  <c r="AJ129" i="25" s="1" a="1"/>
  <c r="AJ129" i="25" s="1"/>
  <c r="AK129" i="25" s="1" a="1"/>
  <c r="AK129" i="25" s="1"/>
  <c r="AL129" i="25" s="1" a="1"/>
  <c r="AL129" i="25" s="1"/>
  <c r="H119" i="25" a="1"/>
  <c r="H119" i="25" s="1"/>
  <c r="I119" i="25" s="1" a="1"/>
  <c r="I119" i="25" s="1"/>
  <c r="J119" i="25" s="1" a="1"/>
  <c r="J119" i="25" s="1"/>
  <c r="K119" i="25" s="1" a="1"/>
  <c r="K119" i="25" s="1"/>
  <c r="L119" i="25" s="1" a="1"/>
  <c r="L119" i="25" s="1"/>
  <c r="M119" i="25" s="1" a="1"/>
  <c r="M119" i="25" s="1"/>
  <c r="N119" i="25" s="1" a="1"/>
  <c r="N119" i="25" s="1"/>
  <c r="O119" i="25" s="1" a="1"/>
  <c r="O119" i="25" s="1"/>
  <c r="P119" i="25" s="1" a="1"/>
  <c r="P119" i="25" s="1"/>
  <c r="Q119" i="25" s="1" a="1"/>
  <c r="Q119" i="25" s="1"/>
  <c r="R119" i="25" s="1" a="1"/>
  <c r="R119" i="25" s="1"/>
  <c r="S119" i="25" s="1" a="1"/>
  <c r="S119" i="25" s="1"/>
  <c r="T119" i="25" s="1" a="1"/>
  <c r="T119" i="25" s="1"/>
  <c r="U119" i="25" s="1" a="1"/>
  <c r="U119" i="25" s="1"/>
  <c r="V119" i="25" s="1" a="1"/>
  <c r="V119" i="25" s="1"/>
  <c r="W119" i="25" s="1" a="1"/>
  <c r="W119" i="25" s="1"/>
  <c r="X119" i="25" s="1" a="1"/>
  <c r="X119" i="25" s="1"/>
  <c r="Y119" i="25" s="1" a="1"/>
  <c r="Y119" i="25" s="1"/>
  <c r="Z119" i="25" s="1" a="1"/>
  <c r="Z119" i="25" s="1"/>
  <c r="AA119" i="25" s="1" a="1"/>
  <c r="AA119" i="25" s="1"/>
  <c r="AB119" i="25" s="1" a="1"/>
  <c r="AB119" i="25" s="1"/>
  <c r="AC119" i="25" s="1" a="1"/>
  <c r="AC119" i="25" s="1"/>
  <c r="AD119" i="25" s="1" a="1"/>
  <c r="AD119" i="25" s="1"/>
  <c r="AE119" i="25" s="1" a="1"/>
  <c r="AE119" i="25" s="1"/>
  <c r="AF119" i="25" s="1" a="1"/>
  <c r="AF119" i="25" s="1"/>
  <c r="AG119" i="25" s="1" a="1"/>
  <c r="AG119" i="25" s="1"/>
  <c r="AH119" i="25" s="1" a="1"/>
  <c r="AH119" i="25" s="1"/>
  <c r="AI119" i="25" s="1" a="1"/>
  <c r="AI119" i="25" s="1"/>
  <c r="AJ119" i="25" s="1" a="1"/>
  <c r="AJ119" i="25" s="1"/>
  <c r="AK119" i="25" s="1" a="1"/>
  <c r="AK119" i="25" s="1"/>
  <c r="AL119" i="25" s="1" a="1"/>
  <c r="AL119" i="25" s="1"/>
  <c r="I96" i="25" a="1"/>
  <c r="I96" i="25" s="1"/>
  <c r="J96" i="25" s="1" a="1"/>
  <c r="J96" i="25" s="1"/>
  <c r="K96" i="25" s="1" a="1"/>
  <c r="K96" i="25" s="1"/>
  <c r="L96" i="25" s="1" a="1"/>
  <c r="L96" i="25" s="1"/>
  <c r="M96" i="25" s="1" a="1"/>
  <c r="M96" i="25" s="1"/>
  <c r="N96" i="25" s="1" a="1"/>
  <c r="N96" i="25" s="1"/>
  <c r="O96" i="25" s="1" a="1"/>
  <c r="O96" i="25" s="1"/>
  <c r="P96" i="25" s="1" a="1"/>
  <c r="P96" i="25" s="1"/>
  <c r="Q96" i="25" s="1" a="1"/>
  <c r="Q96" i="25" s="1"/>
  <c r="R96" i="25" s="1" a="1"/>
  <c r="R96" i="25" s="1"/>
  <c r="S96" i="25" s="1" a="1"/>
  <c r="S96" i="25" s="1"/>
  <c r="T96" i="25" s="1" a="1"/>
  <c r="T96" i="25" s="1"/>
  <c r="U96" i="25" s="1" a="1"/>
  <c r="U96" i="25" s="1"/>
  <c r="V96" i="25" s="1" a="1"/>
  <c r="V96" i="25" s="1"/>
  <c r="W96" i="25" s="1" a="1"/>
  <c r="W96" i="25" s="1"/>
  <c r="X96" i="25" s="1" a="1"/>
  <c r="X96" i="25" s="1"/>
  <c r="Y96" i="25" s="1" a="1"/>
  <c r="Y96" i="25" s="1"/>
  <c r="Z96" i="25" s="1" a="1"/>
  <c r="Z96" i="25" s="1"/>
  <c r="AA96" i="25" s="1" a="1"/>
  <c r="AA96" i="25" s="1"/>
  <c r="AB96" i="25" s="1" a="1"/>
  <c r="AB96" i="25" s="1"/>
  <c r="AC96" i="25" s="1" a="1"/>
  <c r="AC96" i="25" s="1"/>
  <c r="AD96" i="25" s="1" a="1"/>
  <c r="AD96" i="25" s="1"/>
  <c r="AE96" i="25" s="1" a="1"/>
  <c r="AE96" i="25" s="1"/>
  <c r="AF96" i="25" s="1" a="1"/>
  <c r="AF96" i="25" s="1"/>
  <c r="AG96" i="25" s="1" a="1"/>
  <c r="AG96" i="25" s="1"/>
  <c r="AH96" i="25" s="1" a="1"/>
  <c r="AH96" i="25" s="1"/>
  <c r="AI96" i="25" s="1" a="1"/>
  <c r="AI96" i="25" s="1"/>
  <c r="AJ96" i="25" s="1" a="1"/>
  <c r="AJ96" i="25" s="1"/>
  <c r="AK96" i="25" s="1" a="1"/>
  <c r="AK96" i="25" s="1"/>
  <c r="AL96" i="25" s="1" a="1"/>
  <c r="AL96" i="25" s="1"/>
  <c r="I84" i="25" a="1"/>
  <c r="I84" i="25" s="1"/>
  <c r="J84" i="25" s="1" a="1"/>
  <c r="J84" i="25" s="1"/>
  <c r="I120" i="25" a="1"/>
  <c r="I120" i="25" s="1"/>
  <c r="J120" i="25" s="1" a="1"/>
  <c r="J120" i="25" s="1"/>
  <c r="K120" i="25" s="1" a="1"/>
  <c r="K120" i="25" s="1"/>
  <c r="L120" i="25" s="1" a="1"/>
  <c r="L120" i="25" s="1"/>
  <c r="M120" i="25" s="1" a="1"/>
  <c r="M120" i="25" s="1"/>
  <c r="N120" i="25" s="1" a="1"/>
  <c r="N120" i="25" s="1"/>
  <c r="O120" i="25" s="1" a="1"/>
  <c r="O120" i="25" s="1"/>
  <c r="P120" i="25" s="1" a="1"/>
  <c r="P120" i="25" s="1"/>
  <c r="Q120" i="25" s="1" a="1"/>
  <c r="Q120" i="25" s="1"/>
  <c r="R120" i="25" s="1" a="1"/>
  <c r="R120" i="25" s="1"/>
  <c r="S120" i="25" s="1" a="1"/>
  <c r="S120" i="25" s="1"/>
  <c r="T120" i="25" s="1" a="1"/>
  <c r="T120" i="25" s="1"/>
  <c r="U120" i="25" s="1" a="1"/>
  <c r="U120" i="25" s="1"/>
  <c r="V120" i="25" s="1" a="1"/>
  <c r="V120" i="25" s="1"/>
  <c r="W120" i="25" s="1" a="1"/>
  <c r="W120" i="25" s="1"/>
  <c r="X120" i="25" s="1" a="1"/>
  <c r="X120" i="25" s="1"/>
  <c r="Y120" i="25" s="1" a="1"/>
  <c r="Y120" i="25" s="1"/>
  <c r="Z120" i="25" s="1" a="1"/>
  <c r="Z120" i="25" s="1"/>
  <c r="AA120" i="25" s="1" a="1"/>
  <c r="AA120" i="25" s="1"/>
  <c r="AB120" i="25" s="1" a="1"/>
  <c r="AB120" i="25" s="1"/>
  <c r="AC120" i="25" s="1" a="1"/>
  <c r="AC120" i="25" s="1"/>
  <c r="AD120" i="25" s="1" a="1"/>
  <c r="AD120" i="25" s="1"/>
  <c r="AE120" i="25" s="1" a="1"/>
  <c r="AE120" i="25" s="1"/>
  <c r="AF120" i="25" s="1" a="1"/>
  <c r="AF120" i="25" s="1"/>
  <c r="AG120" i="25" s="1" a="1"/>
  <c r="AG120" i="25" s="1"/>
  <c r="AH120" i="25" s="1" a="1"/>
  <c r="AH120" i="25" s="1"/>
  <c r="AI120" i="25" s="1" a="1"/>
  <c r="AI120" i="25" s="1"/>
  <c r="AJ120" i="25" s="1" a="1"/>
  <c r="AJ120" i="25" s="1"/>
  <c r="AK120" i="25" s="1" a="1"/>
  <c r="AK120" i="25" s="1"/>
  <c r="AL120" i="25" s="1" a="1"/>
  <c r="AL120" i="25" s="1"/>
  <c r="I108" i="25" a="1"/>
  <c r="I108" i="25" s="1"/>
  <c r="J108" i="25" s="1" a="1"/>
  <c r="J108" i="25" s="1"/>
  <c r="K108" i="25" s="1" a="1"/>
  <c r="K108" i="25" s="1"/>
  <c r="L108" i="25" s="1" a="1"/>
  <c r="L108" i="25" s="1"/>
  <c r="M108" i="25" s="1" a="1"/>
  <c r="M108" i="25" s="1"/>
  <c r="N108" i="25" s="1" a="1"/>
  <c r="N108" i="25" s="1"/>
  <c r="O108" i="25" s="1" a="1"/>
  <c r="O108" i="25" s="1"/>
  <c r="P108" i="25" s="1" a="1"/>
  <c r="P108" i="25" s="1"/>
  <c r="Q108" i="25" s="1" a="1"/>
  <c r="Q108" i="25" s="1"/>
  <c r="R108" i="25" s="1" a="1"/>
  <c r="R108" i="25" s="1"/>
  <c r="S108" i="25" s="1" a="1"/>
  <c r="S108" i="25" s="1"/>
  <c r="T108" i="25" s="1" a="1"/>
  <c r="T108" i="25" s="1"/>
  <c r="U108" i="25" s="1" a="1"/>
  <c r="U108" i="25" s="1"/>
  <c r="V108" i="25" s="1" a="1"/>
  <c r="V108" i="25" s="1"/>
  <c r="W108" i="25" s="1" a="1"/>
  <c r="W108" i="25" s="1"/>
  <c r="X108" i="25" s="1" a="1"/>
  <c r="X108" i="25" s="1"/>
  <c r="Y108" i="25" s="1" a="1"/>
  <c r="Y108" i="25" s="1"/>
  <c r="Z108" i="25" s="1" a="1"/>
  <c r="Z108" i="25" s="1"/>
  <c r="AA108" i="25" s="1" a="1"/>
  <c r="AA108" i="25" s="1"/>
  <c r="AB108" i="25" s="1" a="1"/>
  <c r="AB108" i="25" s="1"/>
  <c r="AC108" i="25" s="1" a="1"/>
  <c r="AC108" i="25" s="1"/>
  <c r="AD108" i="25" s="1" a="1"/>
  <c r="AD108" i="25" s="1"/>
  <c r="AE108" i="25" s="1" a="1"/>
  <c r="AE108" i="25" s="1"/>
  <c r="AF108" i="25" s="1" a="1"/>
  <c r="AF108" i="25" s="1"/>
  <c r="AG108" i="25" s="1" a="1"/>
  <c r="AG108" i="25" s="1"/>
  <c r="AH108" i="25" s="1" a="1"/>
  <c r="AH108" i="25" s="1"/>
  <c r="AI108" i="25" s="1" a="1"/>
  <c r="AI108" i="25" s="1"/>
  <c r="AJ108" i="25" s="1" a="1"/>
  <c r="AJ108" i="25" s="1"/>
  <c r="AK108" i="25" s="1" a="1"/>
  <c r="AK108" i="25" s="1"/>
  <c r="AL108" i="25" s="1" a="1"/>
  <c r="AL108" i="25" s="1"/>
  <c r="I95" i="25" a="1"/>
  <c r="I95" i="25" s="1"/>
  <c r="J95" i="25" s="1" a="1"/>
  <c r="J95" i="25" s="1"/>
  <c r="K95" i="25" s="1" a="1"/>
  <c r="K95" i="25" s="1"/>
  <c r="L95" i="25" s="1" a="1"/>
  <c r="L95" i="25" s="1"/>
  <c r="M95" i="25" s="1" a="1"/>
  <c r="M95" i="25" s="1"/>
  <c r="N95" i="25" s="1" a="1"/>
  <c r="N95" i="25" s="1"/>
  <c r="O95" i="25" s="1" a="1"/>
  <c r="O95" i="25" s="1"/>
  <c r="P95" i="25" s="1" a="1"/>
  <c r="P95" i="25" s="1"/>
  <c r="Q95" i="25" s="1" a="1"/>
  <c r="Q95" i="25" s="1"/>
  <c r="R95" i="25" s="1" a="1"/>
  <c r="R95" i="25" s="1"/>
  <c r="S95" i="25" s="1" a="1"/>
  <c r="S95" i="25" s="1"/>
  <c r="T95" i="25" s="1" a="1"/>
  <c r="T95" i="25" s="1"/>
  <c r="U95" i="25" s="1" a="1"/>
  <c r="U95" i="25" s="1"/>
  <c r="V95" i="25" s="1" a="1"/>
  <c r="V95" i="25" s="1"/>
  <c r="W95" i="25" s="1" a="1"/>
  <c r="W95" i="25" s="1"/>
  <c r="X95" i="25" s="1" a="1"/>
  <c r="X95" i="25" s="1"/>
  <c r="Y95" i="25" s="1" a="1"/>
  <c r="Y95" i="25" s="1"/>
  <c r="Z95" i="25" s="1" a="1"/>
  <c r="Z95" i="25" s="1"/>
  <c r="AA95" i="25" s="1" a="1"/>
  <c r="AA95" i="25" s="1"/>
  <c r="AB95" i="25" s="1" a="1"/>
  <c r="AB95" i="25" s="1"/>
  <c r="AC95" i="25" s="1" a="1"/>
  <c r="AC95" i="25" s="1"/>
  <c r="AD95" i="25" s="1" a="1"/>
  <c r="AD95" i="25" s="1"/>
  <c r="AE95" i="25" s="1" a="1"/>
  <c r="AE95" i="25" s="1"/>
  <c r="AF95" i="25" s="1" a="1"/>
  <c r="AF95" i="25" s="1"/>
  <c r="AG95" i="25" s="1" a="1"/>
  <c r="AG95" i="25" s="1"/>
  <c r="AH95" i="25" s="1" a="1"/>
  <c r="AH95" i="25" s="1"/>
  <c r="AI95" i="25" s="1" a="1"/>
  <c r="AI95" i="25" s="1"/>
  <c r="AJ95" i="25" s="1" a="1"/>
  <c r="AJ95" i="25" s="1"/>
  <c r="AK95" i="25" s="1" a="1"/>
  <c r="AK95" i="25" s="1"/>
  <c r="AL95" i="25" s="1" a="1"/>
  <c r="AL95" i="25" s="1"/>
  <c r="H83" i="25" a="1"/>
  <c r="H83" i="25" s="1"/>
  <c r="J93" i="25" a="1"/>
  <c r="J93" i="25" s="1"/>
  <c r="I92" i="25" a="1"/>
  <c r="I92" i="25" s="1"/>
  <c r="I91" i="25" a="1"/>
  <c r="I91" i="25" s="1"/>
  <c r="I90" i="25" a="1"/>
  <c r="I90" i="25" s="1"/>
  <c r="I89" i="25" a="1"/>
  <c r="I89" i="25" s="1"/>
  <c r="I88" i="25" a="1"/>
  <c r="I88" i="25" s="1"/>
  <c r="I87" i="25" a="1"/>
  <c r="I87" i="25" s="1"/>
  <c r="I86" i="25" a="1"/>
  <c r="I86" i="25" s="1"/>
  <c r="I85" i="25" a="1"/>
  <c r="I85" i="25" s="1"/>
  <c r="I94" i="25" a="1"/>
  <c r="I94" i="25" s="1"/>
  <c r="B141" i="25"/>
  <c r="C246" i="25" a="1"/>
  <c r="C246" i="25" s="1"/>
  <c r="B193" i="25" l="1" a="1"/>
  <c r="B224" i="3" a="1"/>
  <c r="B119" i="3" a="1"/>
  <c r="B119" i="3" s="1"/>
  <c r="B391" i="13" s="1" a="1"/>
  <c r="F195" i="25"/>
  <c r="F196" i="25"/>
  <c r="F197" i="25"/>
  <c r="F198" i="25"/>
  <c r="F199" i="25"/>
  <c r="F200" i="25"/>
  <c r="F201" i="25"/>
  <c r="F202" i="25"/>
  <c r="F203" i="25"/>
  <c r="F204" i="25"/>
  <c r="F205" i="25"/>
  <c r="F206" i="25"/>
  <c r="F207" i="25"/>
  <c r="F208" i="25"/>
  <c r="F209" i="25"/>
  <c r="F210" i="25"/>
  <c r="F211" i="25"/>
  <c r="F212" i="25"/>
  <c r="F213" i="25"/>
  <c r="F214" i="25"/>
  <c r="F215" i="25"/>
  <c r="F216" i="25"/>
  <c r="F217" i="25"/>
  <c r="F218" i="25"/>
  <c r="F219" i="25"/>
  <c r="F220" i="25"/>
  <c r="F221" i="25"/>
  <c r="F222" i="25"/>
  <c r="F223" i="25"/>
  <c r="F224" i="25"/>
  <c r="F225" i="25"/>
  <c r="F226" i="25"/>
  <c r="F227" i="25"/>
  <c r="F228" i="25"/>
  <c r="F229" i="25"/>
  <c r="F230" i="25"/>
  <c r="F231" i="25"/>
  <c r="F232" i="25"/>
  <c r="F233" i="25"/>
  <c r="F234" i="25"/>
  <c r="F235" i="25"/>
  <c r="F236" i="25"/>
  <c r="F237" i="25"/>
  <c r="F238" i="25"/>
  <c r="F239" i="25"/>
  <c r="F240" i="25"/>
  <c r="F241" i="25"/>
  <c r="F194" i="25"/>
  <c r="B193" i="25"/>
  <c r="I83" i="25" a="1"/>
  <c r="I83" i="25" s="1"/>
  <c r="J94" i="25" a="1"/>
  <c r="J94" i="25" s="1"/>
  <c r="J85" i="25" a="1"/>
  <c r="J85" i="25" s="1"/>
  <c r="J86" i="25" a="1"/>
  <c r="J86" i="25" s="1"/>
  <c r="J87" i="25" a="1"/>
  <c r="J87" i="25" s="1"/>
  <c r="J88" i="25" a="1"/>
  <c r="J88" i="25" s="1"/>
  <c r="J89" i="25" a="1"/>
  <c r="J89" i="25" s="1"/>
  <c r="J90" i="25" a="1"/>
  <c r="J90" i="25" s="1"/>
  <c r="J91" i="25" a="1"/>
  <c r="J91" i="25" s="1"/>
  <c r="J92" i="25" a="1"/>
  <c r="J92" i="25" s="1"/>
  <c r="K84" i="25" a="1"/>
  <c r="K84" i="25" s="1"/>
  <c r="K93" i="25" a="1"/>
  <c r="K93" i="25" s="1"/>
  <c r="B246" i="25" a="1"/>
  <c r="B246" i="25" s="1"/>
  <c r="B69" i="5" a="1"/>
  <c r="B391" i="13" l="1"/>
  <c r="B442" i="13" s="1" a="1"/>
  <c r="B442" i="13" s="1"/>
  <c r="F392"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F398" i="13"/>
  <c r="G398" i="13"/>
  <c r="H398" i="13"/>
  <c r="I398" i="13"/>
  <c r="J398" i="13"/>
  <c r="K398" i="13"/>
  <c r="L398" i="13"/>
  <c r="M398" i="13"/>
  <c r="N398" i="13"/>
  <c r="O398" i="13"/>
  <c r="P398" i="13"/>
  <c r="Q398" i="13"/>
  <c r="R398" i="13"/>
  <c r="S398" i="13"/>
  <c r="T398" i="13"/>
  <c r="U398" i="13"/>
  <c r="V398" i="13"/>
  <c r="W398" i="13"/>
  <c r="X398" i="13"/>
  <c r="Y398" i="13"/>
  <c r="Z398" i="13"/>
  <c r="AA398" i="13"/>
  <c r="AB398" i="13"/>
  <c r="AC398" i="13"/>
  <c r="AD398" i="13"/>
  <c r="AE398" i="13"/>
  <c r="AF398" i="13"/>
  <c r="AG398" i="13"/>
  <c r="AH398" i="13"/>
  <c r="AI398" i="13"/>
  <c r="F399" i="13"/>
  <c r="G399" i="13"/>
  <c r="H399" i="13"/>
  <c r="I399" i="13"/>
  <c r="J399" i="13"/>
  <c r="K399" i="13"/>
  <c r="L399" i="13"/>
  <c r="M399" i="13"/>
  <c r="N399" i="13"/>
  <c r="O399" i="13"/>
  <c r="P399" i="13"/>
  <c r="Q399" i="13"/>
  <c r="R399" i="13"/>
  <c r="S399" i="13"/>
  <c r="T399" i="13"/>
  <c r="U399" i="13"/>
  <c r="V399" i="13"/>
  <c r="W399" i="13"/>
  <c r="X399" i="13"/>
  <c r="Y399" i="13"/>
  <c r="Z399" i="13"/>
  <c r="AA399" i="13"/>
  <c r="AB399" i="13"/>
  <c r="AC399" i="13"/>
  <c r="AD399" i="13"/>
  <c r="AE399" i="13"/>
  <c r="AF399" i="13"/>
  <c r="AG399" i="13"/>
  <c r="AH399" i="13"/>
  <c r="AI399" i="13"/>
  <c r="F400" i="13"/>
  <c r="G400" i="13"/>
  <c r="H400" i="13"/>
  <c r="I400" i="13"/>
  <c r="J400" i="13"/>
  <c r="K400" i="13"/>
  <c r="L400" i="13"/>
  <c r="M400" i="13"/>
  <c r="N400" i="13"/>
  <c r="O400" i="13"/>
  <c r="P400" i="13"/>
  <c r="Q400" i="13"/>
  <c r="R400" i="13"/>
  <c r="S400" i="13"/>
  <c r="T400" i="13"/>
  <c r="U400" i="13"/>
  <c r="V400" i="13"/>
  <c r="W400" i="13"/>
  <c r="X400" i="13"/>
  <c r="Y400" i="13"/>
  <c r="Z400" i="13"/>
  <c r="AA400" i="13"/>
  <c r="AB400" i="13"/>
  <c r="AC400" i="13"/>
  <c r="AD400" i="13"/>
  <c r="AE400" i="13"/>
  <c r="AF400" i="13"/>
  <c r="AG400" i="13"/>
  <c r="AH400" i="13"/>
  <c r="AI400" i="13"/>
  <c r="F401" i="13"/>
  <c r="G401" i="13"/>
  <c r="H401" i="13"/>
  <c r="I401" i="13"/>
  <c r="J401" i="13"/>
  <c r="K401" i="13"/>
  <c r="L401" i="13"/>
  <c r="M401" i="13"/>
  <c r="N401" i="13"/>
  <c r="O401" i="13"/>
  <c r="P401" i="13"/>
  <c r="Q401" i="13"/>
  <c r="R401" i="13"/>
  <c r="S401" i="13"/>
  <c r="T401" i="13"/>
  <c r="U401" i="13"/>
  <c r="V401" i="13"/>
  <c r="W401" i="13"/>
  <c r="X401" i="13"/>
  <c r="Y401" i="13"/>
  <c r="Z401" i="13"/>
  <c r="AA401" i="13"/>
  <c r="AB401" i="13"/>
  <c r="AC401" i="13"/>
  <c r="AD401" i="13"/>
  <c r="AE401" i="13"/>
  <c r="AF401" i="13"/>
  <c r="AG401" i="13"/>
  <c r="AH401" i="13"/>
  <c r="AI401" i="13"/>
  <c r="F402" i="13"/>
  <c r="G402" i="13"/>
  <c r="H402" i="13"/>
  <c r="I402" i="13"/>
  <c r="J402" i="13"/>
  <c r="K402" i="13"/>
  <c r="L402" i="13"/>
  <c r="M402" i="13"/>
  <c r="N402" i="13"/>
  <c r="O402" i="13"/>
  <c r="P402" i="13"/>
  <c r="Q402" i="13"/>
  <c r="R402" i="13"/>
  <c r="S402" i="13"/>
  <c r="T402" i="13"/>
  <c r="U402" i="13"/>
  <c r="V402" i="13"/>
  <c r="W402" i="13"/>
  <c r="X402" i="13"/>
  <c r="Y402" i="13"/>
  <c r="Z402" i="13"/>
  <c r="AA402" i="13"/>
  <c r="AB402" i="13"/>
  <c r="AC402" i="13"/>
  <c r="AD402" i="13"/>
  <c r="AE402" i="13"/>
  <c r="AF402" i="13"/>
  <c r="AG402" i="13"/>
  <c r="AH402" i="13"/>
  <c r="AI402" i="13"/>
  <c r="F403" i="13"/>
  <c r="G403" i="13"/>
  <c r="H403" i="13"/>
  <c r="I403" i="13"/>
  <c r="J403" i="13"/>
  <c r="K403" i="13"/>
  <c r="L403" i="13"/>
  <c r="M403" i="13"/>
  <c r="N403" i="13"/>
  <c r="O403" i="13"/>
  <c r="P403" i="13"/>
  <c r="Q403" i="13"/>
  <c r="R403" i="13"/>
  <c r="S403" i="13"/>
  <c r="T403" i="13"/>
  <c r="U403" i="13"/>
  <c r="V403" i="13"/>
  <c r="W403" i="13"/>
  <c r="X403" i="13"/>
  <c r="Y403" i="13"/>
  <c r="Z403" i="13"/>
  <c r="AA403" i="13"/>
  <c r="AB403" i="13"/>
  <c r="AC403" i="13"/>
  <c r="AD403" i="13"/>
  <c r="AE403" i="13"/>
  <c r="AF403" i="13"/>
  <c r="AG403" i="13"/>
  <c r="AH403" i="13"/>
  <c r="AI403" i="13"/>
  <c r="F404" i="13"/>
  <c r="G404" i="13"/>
  <c r="H404" i="13"/>
  <c r="I404" i="13"/>
  <c r="J404" i="13"/>
  <c r="K404" i="13"/>
  <c r="L404" i="13"/>
  <c r="M404" i="13"/>
  <c r="N404" i="13"/>
  <c r="O404" i="13"/>
  <c r="P404" i="13"/>
  <c r="Q404" i="13"/>
  <c r="R404" i="13"/>
  <c r="S404" i="13"/>
  <c r="T404" i="13"/>
  <c r="U404" i="13"/>
  <c r="V404" i="13"/>
  <c r="W404" i="13"/>
  <c r="X404" i="13"/>
  <c r="Y404" i="13"/>
  <c r="Z404" i="13"/>
  <c r="AA404" i="13"/>
  <c r="AB404" i="13"/>
  <c r="AC404" i="13"/>
  <c r="AD404" i="13"/>
  <c r="AE404" i="13"/>
  <c r="AF404" i="13"/>
  <c r="AG404" i="13"/>
  <c r="AH404" i="13"/>
  <c r="AI404" i="13"/>
  <c r="F405" i="13"/>
  <c r="G405" i="13"/>
  <c r="H405" i="13"/>
  <c r="I405" i="13"/>
  <c r="J405" i="13"/>
  <c r="K405" i="13"/>
  <c r="L405" i="13"/>
  <c r="M405" i="13"/>
  <c r="N405" i="13"/>
  <c r="O405" i="13"/>
  <c r="P405" i="13"/>
  <c r="Q405" i="13"/>
  <c r="R405" i="13"/>
  <c r="S405" i="13"/>
  <c r="T405" i="13"/>
  <c r="U405" i="13"/>
  <c r="V405" i="13"/>
  <c r="W405" i="13"/>
  <c r="X405" i="13"/>
  <c r="Y405" i="13"/>
  <c r="Z405" i="13"/>
  <c r="AA405" i="13"/>
  <c r="AB405" i="13"/>
  <c r="AC405" i="13"/>
  <c r="AD405" i="13"/>
  <c r="AE405" i="13"/>
  <c r="AF405" i="13"/>
  <c r="AG405" i="13"/>
  <c r="AH405" i="13"/>
  <c r="AI405" i="13"/>
  <c r="F406" i="13"/>
  <c r="G406" i="13"/>
  <c r="H406" i="13"/>
  <c r="I406" i="13"/>
  <c r="J406" i="13"/>
  <c r="K406" i="13"/>
  <c r="L406" i="13"/>
  <c r="M406" i="13"/>
  <c r="N406" i="13"/>
  <c r="O406" i="13"/>
  <c r="P406" i="13"/>
  <c r="Q406" i="13"/>
  <c r="R406" i="13"/>
  <c r="S406" i="13"/>
  <c r="T406" i="13"/>
  <c r="U406" i="13"/>
  <c r="V406" i="13"/>
  <c r="W406" i="13"/>
  <c r="X406" i="13"/>
  <c r="Y406" i="13"/>
  <c r="Z406" i="13"/>
  <c r="AA406" i="13"/>
  <c r="AB406" i="13"/>
  <c r="AC406" i="13"/>
  <c r="AD406" i="13"/>
  <c r="AE406" i="13"/>
  <c r="AF406" i="13"/>
  <c r="AG406" i="13"/>
  <c r="AH406" i="13"/>
  <c r="AI406" i="13"/>
  <c r="F407" i="13"/>
  <c r="G407" i="13"/>
  <c r="H407" i="13"/>
  <c r="I407" i="13"/>
  <c r="J407" i="13"/>
  <c r="K407" i="13"/>
  <c r="L407" i="13"/>
  <c r="M407" i="13"/>
  <c r="N407" i="13"/>
  <c r="O407" i="13"/>
  <c r="P407" i="13"/>
  <c r="Q407" i="13"/>
  <c r="R407" i="13"/>
  <c r="S407" i="13"/>
  <c r="T407" i="13"/>
  <c r="U407" i="13"/>
  <c r="V407" i="13"/>
  <c r="W407" i="13"/>
  <c r="X407" i="13"/>
  <c r="Y407" i="13"/>
  <c r="Z407" i="13"/>
  <c r="AA407" i="13"/>
  <c r="AB407" i="13"/>
  <c r="AC407" i="13"/>
  <c r="AD407" i="13"/>
  <c r="AE407" i="13"/>
  <c r="AF407" i="13"/>
  <c r="AG407" i="13"/>
  <c r="AH407" i="13"/>
  <c r="AI407" i="13"/>
  <c r="F408" i="13"/>
  <c r="G408" i="13"/>
  <c r="H408" i="13"/>
  <c r="I408" i="13"/>
  <c r="J408" i="13"/>
  <c r="K408" i="13"/>
  <c r="L408" i="13"/>
  <c r="M408" i="13"/>
  <c r="N408" i="13"/>
  <c r="O408" i="13"/>
  <c r="P408" i="13"/>
  <c r="Q408" i="13"/>
  <c r="R408" i="13"/>
  <c r="S408" i="13"/>
  <c r="T408" i="13"/>
  <c r="U408" i="13"/>
  <c r="V408" i="13"/>
  <c r="W408" i="13"/>
  <c r="X408" i="13"/>
  <c r="Y408" i="13"/>
  <c r="Z408" i="13"/>
  <c r="AA408" i="13"/>
  <c r="AB408" i="13"/>
  <c r="AC408" i="13"/>
  <c r="AD408" i="13"/>
  <c r="AE408" i="13"/>
  <c r="AF408" i="13"/>
  <c r="AG408" i="13"/>
  <c r="AH408" i="13"/>
  <c r="AI408" i="13"/>
  <c r="F409" i="13"/>
  <c r="G409" i="13"/>
  <c r="H409" i="13"/>
  <c r="I409" i="13"/>
  <c r="J409" i="13"/>
  <c r="K409" i="13"/>
  <c r="L409" i="13"/>
  <c r="M409" i="13"/>
  <c r="N409" i="13"/>
  <c r="O409" i="13"/>
  <c r="P409" i="13"/>
  <c r="Q409" i="13"/>
  <c r="R409" i="13"/>
  <c r="S409" i="13"/>
  <c r="T409" i="13"/>
  <c r="U409" i="13"/>
  <c r="V409" i="13"/>
  <c r="W409" i="13"/>
  <c r="X409" i="13"/>
  <c r="Y409" i="13"/>
  <c r="Z409" i="13"/>
  <c r="AA409" i="13"/>
  <c r="AB409" i="13"/>
  <c r="AC409" i="13"/>
  <c r="AD409" i="13"/>
  <c r="AE409" i="13"/>
  <c r="AF409" i="13"/>
  <c r="AG409" i="13"/>
  <c r="AH409" i="13"/>
  <c r="AI409" i="13"/>
  <c r="F410" i="13"/>
  <c r="G410" i="13"/>
  <c r="H410" i="13"/>
  <c r="I410" i="13"/>
  <c r="J410" i="13"/>
  <c r="K410" i="13"/>
  <c r="L410" i="13"/>
  <c r="M410" i="13"/>
  <c r="N410" i="13"/>
  <c r="O410" i="13"/>
  <c r="P410" i="13"/>
  <c r="Q410" i="13"/>
  <c r="R410" i="13"/>
  <c r="S410" i="13"/>
  <c r="T410" i="13"/>
  <c r="U410" i="13"/>
  <c r="V410" i="13"/>
  <c r="W410" i="13"/>
  <c r="X410" i="13"/>
  <c r="Y410" i="13"/>
  <c r="Z410" i="13"/>
  <c r="AA410" i="13"/>
  <c r="AB410" i="13"/>
  <c r="AC410" i="13"/>
  <c r="AD410" i="13"/>
  <c r="AE410" i="13"/>
  <c r="AF410" i="13"/>
  <c r="AG410" i="13"/>
  <c r="AH410" i="13"/>
  <c r="AI410" i="13"/>
  <c r="F411" i="13"/>
  <c r="G411" i="13"/>
  <c r="H411" i="13"/>
  <c r="I411" i="13"/>
  <c r="J411" i="13"/>
  <c r="K411" i="13"/>
  <c r="L411" i="13"/>
  <c r="M411" i="13"/>
  <c r="N411" i="13"/>
  <c r="O411" i="13"/>
  <c r="P411" i="13"/>
  <c r="Q411" i="13"/>
  <c r="R411" i="13"/>
  <c r="S411" i="13"/>
  <c r="T411" i="13"/>
  <c r="U411" i="13"/>
  <c r="V411" i="13"/>
  <c r="W411" i="13"/>
  <c r="X411" i="13"/>
  <c r="Y411" i="13"/>
  <c r="Z411" i="13"/>
  <c r="AA411" i="13"/>
  <c r="AB411" i="13"/>
  <c r="AC411" i="13"/>
  <c r="AD411" i="13"/>
  <c r="AE411" i="13"/>
  <c r="AF411" i="13"/>
  <c r="AG411" i="13"/>
  <c r="AH411" i="13"/>
  <c r="AI411" i="13"/>
  <c r="F412" i="13"/>
  <c r="G412" i="13"/>
  <c r="H412" i="13"/>
  <c r="I412" i="13"/>
  <c r="J412" i="13"/>
  <c r="K412" i="13"/>
  <c r="L412" i="13"/>
  <c r="M412" i="13"/>
  <c r="N412" i="13"/>
  <c r="O412" i="13"/>
  <c r="P412" i="13"/>
  <c r="Q412" i="13"/>
  <c r="R412" i="13"/>
  <c r="S412" i="13"/>
  <c r="T412" i="13"/>
  <c r="U412" i="13"/>
  <c r="V412" i="13"/>
  <c r="W412" i="13"/>
  <c r="X412" i="13"/>
  <c r="Y412" i="13"/>
  <c r="Z412" i="13"/>
  <c r="AA412" i="13"/>
  <c r="AB412" i="13"/>
  <c r="AC412" i="13"/>
  <c r="AD412" i="13"/>
  <c r="AE412" i="13"/>
  <c r="AF412" i="13"/>
  <c r="AG412" i="13"/>
  <c r="AH412" i="13"/>
  <c r="AI412" i="13"/>
  <c r="F413" i="13"/>
  <c r="G413" i="13"/>
  <c r="H413" i="13"/>
  <c r="I413" i="13"/>
  <c r="J413" i="13"/>
  <c r="K413" i="13"/>
  <c r="L413" i="13"/>
  <c r="M413" i="13"/>
  <c r="N413" i="13"/>
  <c r="O413" i="13"/>
  <c r="P413" i="13"/>
  <c r="Q413" i="13"/>
  <c r="R413" i="13"/>
  <c r="S413" i="13"/>
  <c r="T413" i="13"/>
  <c r="U413" i="13"/>
  <c r="V413" i="13"/>
  <c r="W413" i="13"/>
  <c r="X413" i="13"/>
  <c r="Y413" i="13"/>
  <c r="Z413" i="13"/>
  <c r="AA413" i="13"/>
  <c r="AB413" i="13"/>
  <c r="AC413" i="13"/>
  <c r="AD413" i="13"/>
  <c r="AE413" i="13"/>
  <c r="AF413" i="13"/>
  <c r="AG413" i="13"/>
  <c r="AH413" i="13"/>
  <c r="AI413" i="13"/>
  <c r="F414" i="13"/>
  <c r="G414" i="13"/>
  <c r="H414" i="13"/>
  <c r="I414" i="13"/>
  <c r="J414" i="13"/>
  <c r="K414" i="13"/>
  <c r="L414" i="13"/>
  <c r="M414" i="13"/>
  <c r="N414" i="13"/>
  <c r="O414" i="13"/>
  <c r="P414" i="13"/>
  <c r="Q414" i="13"/>
  <c r="R414" i="13"/>
  <c r="S414" i="13"/>
  <c r="T414" i="13"/>
  <c r="U414" i="13"/>
  <c r="V414" i="13"/>
  <c r="W414" i="13"/>
  <c r="X414" i="13"/>
  <c r="Y414" i="13"/>
  <c r="Z414" i="13"/>
  <c r="AA414" i="13"/>
  <c r="AB414" i="13"/>
  <c r="AC414" i="13"/>
  <c r="AD414" i="13"/>
  <c r="AE414" i="13"/>
  <c r="AF414" i="13"/>
  <c r="AG414" i="13"/>
  <c r="AH414" i="13"/>
  <c r="AI414" i="13"/>
  <c r="F415" i="13"/>
  <c r="G415" i="13"/>
  <c r="H415" i="13"/>
  <c r="I415" i="13"/>
  <c r="J415" i="13"/>
  <c r="K415" i="13"/>
  <c r="L415" i="13"/>
  <c r="M415" i="13"/>
  <c r="N415" i="13"/>
  <c r="O415" i="13"/>
  <c r="P415" i="13"/>
  <c r="Q415" i="13"/>
  <c r="R415" i="13"/>
  <c r="S415" i="13"/>
  <c r="T415" i="13"/>
  <c r="U415" i="13"/>
  <c r="V415" i="13"/>
  <c r="W415" i="13"/>
  <c r="X415" i="13"/>
  <c r="Y415" i="13"/>
  <c r="Z415" i="13"/>
  <c r="AA415" i="13"/>
  <c r="AB415" i="13"/>
  <c r="AC415" i="13"/>
  <c r="AD415" i="13"/>
  <c r="AE415" i="13"/>
  <c r="AF415" i="13"/>
  <c r="AG415" i="13"/>
  <c r="AH415" i="13"/>
  <c r="AI415" i="13"/>
  <c r="F416" i="13"/>
  <c r="G416" i="13"/>
  <c r="H416" i="13"/>
  <c r="I416" i="13"/>
  <c r="J416" i="13"/>
  <c r="K416" i="13"/>
  <c r="L416" i="13"/>
  <c r="M416" i="13"/>
  <c r="N416" i="13"/>
  <c r="O416" i="13"/>
  <c r="P416" i="13"/>
  <c r="Q416" i="13"/>
  <c r="R416" i="13"/>
  <c r="S416" i="13"/>
  <c r="T416" i="13"/>
  <c r="U416" i="13"/>
  <c r="V416" i="13"/>
  <c r="W416" i="13"/>
  <c r="X416" i="13"/>
  <c r="Y416" i="13"/>
  <c r="Z416" i="13"/>
  <c r="AA416" i="13"/>
  <c r="AB416" i="13"/>
  <c r="AC416" i="13"/>
  <c r="AD416" i="13"/>
  <c r="AE416" i="13"/>
  <c r="AF416" i="13"/>
  <c r="AG416" i="13"/>
  <c r="AH416" i="13"/>
  <c r="AI416" i="13"/>
  <c r="F417" i="13"/>
  <c r="G417" i="13"/>
  <c r="H417" i="13"/>
  <c r="I417" i="13"/>
  <c r="J417" i="13"/>
  <c r="K417" i="13"/>
  <c r="L417" i="13"/>
  <c r="M417" i="13"/>
  <c r="N417" i="13"/>
  <c r="O417" i="13"/>
  <c r="P417" i="13"/>
  <c r="Q417" i="13"/>
  <c r="R417" i="13"/>
  <c r="S417" i="13"/>
  <c r="T417" i="13"/>
  <c r="U417" i="13"/>
  <c r="V417" i="13"/>
  <c r="W417" i="13"/>
  <c r="X417" i="13"/>
  <c r="Y417" i="13"/>
  <c r="Z417" i="13"/>
  <c r="AA417" i="13"/>
  <c r="AB417" i="13"/>
  <c r="AC417" i="13"/>
  <c r="AD417" i="13"/>
  <c r="AE417" i="13"/>
  <c r="AF417" i="13"/>
  <c r="AG417" i="13"/>
  <c r="AH417" i="13"/>
  <c r="AI417" i="13"/>
  <c r="F418" i="13"/>
  <c r="G418" i="13"/>
  <c r="H418" i="13"/>
  <c r="I418" i="13"/>
  <c r="J418" i="13"/>
  <c r="K418" i="13"/>
  <c r="L418" i="13"/>
  <c r="M418" i="13"/>
  <c r="N418" i="13"/>
  <c r="O418" i="13"/>
  <c r="P418" i="13"/>
  <c r="Q418" i="13"/>
  <c r="R418" i="13"/>
  <c r="S418" i="13"/>
  <c r="T418" i="13"/>
  <c r="U418" i="13"/>
  <c r="V418" i="13"/>
  <c r="W418" i="13"/>
  <c r="X418" i="13"/>
  <c r="Y418" i="13"/>
  <c r="Z418" i="13"/>
  <c r="AA418" i="13"/>
  <c r="AB418" i="13"/>
  <c r="AC418" i="13"/>
  <c r="AD418" i="13"/>
  <c r="AE418" i="13"/>
  <c r="AF418" i="13"/>
  <c r="AG418" i="13"/>
  <c r="AH418" i="13"/>
  <c r="AI418" i="13"/>
  <c r="F419" i="13"/>
  <c r="G419" i="13"/>
  <c r="H419" i="13"/>
  <c r="I419" i="13"/>
  <c r="J419" i="13"/>
  <c r="K419" i="13"/>
  <c r="L419" i="13"/>
  <c r="M419" i="13"/>
  <c r="N419" i="13"/>
  <c r="O419" i="13"/>
  <c r="P419" i="13"/>
  <c r="Q419" i="13"/>
  <c r="R419" i="13"/>
  <c r="S419" i="13"/>
  <c r="T419" i="13"/>
  <c r="U419" i="13"/>
  <c r="V419" i="13"/>
  <c r="W419" i="13"/>
  <c r="X419" i="13"/>
  <c r="Y419" i="13"/>
  <c r="Z419" i="13"/>
  <c r="AA419" i="13"/>
  <c r="AB419" i="13"/>
  <c r="AC419" i="13"/>
  <c r="AD419" i="13"/>
  <c r="AE419" i="13"/>
  <c r="AF419" i="13"/>
  <c r="AG419" i="13"/>
  <c r="AH419" i="13"/>
  <c r="AI419" i="13"/>
  <c r="F420" i="13"/>
  <c r="G420" i="13"/>
  <c r="H420" i="13"/>
  <c r="I420" i="13"/>
  <c r="J420" i="13"/>
  <c r="K420" i="13"/>
  <c r="L420" i="13"/>
  <c r="M420" i="13"/>
  <c r="N420" i="13"/>
  <c r="O420" i="13"/>
  <c r="P420" i="13"/>
  <c r="Q420" i="13"/>
  <c r="R420" i="13"/>
  <c r="S420" i="13"/>
  <c r="T420" i="13"/>
  <c r="U420" i="13"/>
  <c r="V420" i="13"/>
  <c r="W420" i="13"/>
  <c r="X420" i="13"/>
  <c r="Y420" i="13"/>
  <c r="Z420" i="13"/>
  <c r="AA420" i="13"/>
  <c r="AB420" i="13"/>
  <c r="AC420" i="13"/>
  <c r="AD420" i="13"/>
  <c r="AE420" i="13"/>
  <c r="AF420" i="13"/>
  <c r="AG420" i="13"/>
  <c r="AH420" i="13"/>
  <c r="AI420" i="13"/>
  <c r="F421" i="13"/>
  <c r="G421" i="13"/>
  <c r="H421" i="13"/>
  <c r="I421" i="13"/>
  <c r="J421" i="13"/>
  <c r="K421" i="13"/>
  <c r="L421" i="13"/>
  <c r="M421" i="13"/>
  <c r="N421" i="13"/>
  <c r="O421" i="13"/>
  <c r="P421" i="13"/>
  <c r="Q421" i="13"/>
  <c r="R421" i="13"/>
  <c r="S421" i="13"/>
  <c r="T421" i="13"/>
  <c r="U421" i="13"/>
  <c r="V421" i="13"/>
  <c r="W421" i="13"/>
  <c r="X421" i="13"/>
  <c r="Y421" i="13"/>
  <c r="Z421" i="13"/>
  <c r="AA421" i="13"/>
  <c r="AB421" i="13"/>
  <c r="AC421" i="13"/>
  <c r="AD421" i="13"/>
  <c r="AE421" i="13"/>
  <c r="AF421" i="13"/>
  <c r="AG421" i="13"/>
  <c r="AH421" i="13"/>
  <c r="AI421" i="13"/>
  <c r="F422" i="13"/>
  <c r="G422" i="13"/>
  <c r="H422" i="13"/>
  <c r="I422" i="13"/>
  <c r="J422" i="13"/>
  <c r="K422" i="13"/>
  <c r="L422" i="13"/>
  <c r="M422" i="13"/>
  <c r="N422" i="13"/>
  <c r="O422" i="13"/>
  <c r="P422" i="13"/>
  <c r="Q422" i="13"/>
  <c r="R422" i="13"/>
  <c r="S422" i="13"/>
  <c r="T422" i="13"/>
  <c r="U422" i="13"/>
  <c r="V422" i="13"/>
  <c r="W422" i="13"/>
  <c r="X422" i="13"/>
  <c r="Y422" i="13"/>
  <c r="Z422" i="13"/>
  <c r="AA422" i="13"/>
  <c r="AB422" i="13"/>
  <c r="AC422" i="13"/>
  <c r="AD422" i="13"/>
  <c r="AE422" i="13"/>
  <c r="AF422" i="13"/>
  <c r="AG422" i="13"/>
  <c r="AH422" i="13"/>
  <c r="AI422" i="13"/>
  <c r="F423" i="13"/>
  <c r="G423" i="13"/>
  <c r="H423" i="13"/>
  <c r="I423" i="13"/>
  <c r="J423" i="13"/>
  <c r="K423" i="13"/>
  <c r="L423" i="13"/>
  <c r="M423" i="13"/>
  <c r="N423" i="13"/>
  <c r="O423" i="13"/>
  <c r="P423" i="13"/>
  <c r="Q423" i="13"/>
  <c r="R423" i="13"/>
  <c r="S423" i="13"/>
  <c r="T423" i="13"/>
  <c r="U423" i="13"/>
  <c r="V423" i="13"/>
  <c r="W423" i="13"/>
  <c r="X423" i="13"/>
  <c r="Y423" i="13"/>
  <c r="Z423" i="13"/>
  <c r="AA423" i="13"/>
  <c r="AB423" i="13"/>
  <c r="AC423" i="13"/>
  <c r="AD423" i="13"/>
  <c r="AE423" i="13"/>
  <c r="AF423" i="13"/>
  <c r="AG423" i="13"/>
  <c r="AH423" i="13"/>
  <c r="AI423" i="13"/>
  <c r="F424" i="13"/>
  <c r="G424" i="13"/>
  <c r="H424" i="13"/>
  <c r="I424" i="13"/>
  <c r="J424" i="13"/>
  <c r="K424" i="13"/>
  <c r="L424" i="13"/>
  <c r="M424" i="13"/>
  <c r="N424" i="13"/>
  <c r="O424" i="13"/>
  <c r="P424" i="13"/>
  <c r="Q424" i="13"/>
  <c r="R424" i="13"/>
  <c r="S424" i="13"/>
  <c r="T424" i="13"/>
  <c r="U424" i="13"/>
  <c r="V424" i="13"/>
  <c r="W424" i="13"/>
  <c r="X424" i="13"/>
  <c r="Y424" i="13"/>
  <c r="Z424" i="13"/>
  <c r="AA424" i="13"/>
  <c r="AB424" i="13"/>
  <c r="AC424" i="13"/>
  <c r="AD424" i="13"/>
  <c r="AE424" i="13"/>
  <c r="AF424" i="13"/>
  <c r="AG424" i="13"/>
  <c r="AH424" i="13"/>
  <c r="AI424" i="13"/>
  <c r="F425" i="13"/>
  <c r="G425" i="13"/>
  <c r="H425" i="13"/>
  <c r="I425" i="13"/>
  <c r="J425" i="13"/>
  <c r="K425" i="13"/>
  <c r="L425" i="13"/>
  <c r="M425" i="13"/>
  <c r="N425" i="13"/>
  <c r="O425" i="13"/>
  <c r="P425" i="13"/>
  <c r="Q425" i="13"/>
  <c r="R425" i="13"/>
  <c r="S425" i="13"/>
  <c r="T425" i="13"/>
  <c r="U425" i="13"/>
  <c r="V425" i="13"/>
  <c r="W425" i="13"/>
  <c r="X425" i="13"/>
  <c r="Y425" i="13"/>
  <c r="Z425" i="13"/>
  <c r="AA425" i="13"/>
  <c r="AB425" i="13"/>
  <c r="AC425" i="13"/>
  <c r="AD425" i="13"/>
  <c r="AE425" i="13"/>
  <c r="AF425" i="13"/>
  <c r="AG425" i="13"/>
  <c r="AH425" i="13"/>
  <c r="AI425" i="13"/>
  <c r="F426" i="13"/>
  <c r="G426" i="13"/>
  <c r="H426" i="13"/>
  <c r="I426" i="13"/>
  <c r="J426" i="13"/>
  <c r="K426" i="13"/>
  <c r="L426" i="13"/>
  <c r="M426" i="13"/>
  <c r="N426" i="13"/>
  <c r="O426" i="13"/>
  <c r="P426" i="13"/>
  <c r="Q426" i="13"/>
  <c r="R426" i="13"/>
  <c r="S426" i="13"/>
  <c r="T426" i="13"/>
  <c r="U426" i="13"/>
  <c r="V426" i="13"/>
  <c r="W426" i="13"/>
  <c r="X426" i="13"/>
  <c r="Y426" i="13"/>
  <c r="Z426" i="13"/>
  <c r="AA426" i="13"/>
  <c r="AB426" i="13"/>
  <c r="AC426" i="13"/>
  <c r="AD426" i="13"/>
  <c r="AE426" i="13"/>
  <c r="AF426" i="13"/>
  <c r="AG426" i="13"/>
  <c r="AH426" i="13"/>
  <c r="AI426" i="13"/>
  <c r="F427" i="13"/>
  <c r="G427" i="13"/>
  <c r="H427" i="13"/>
  <c r="I427" i="13"/>
  <c r="J427" i="13"/>
  <c r="K427" i="13"/>
  <c r="L427" i="13"/>
  <c r="M427" i="13"/>
  <c r="N427" i="13"/>
  <c r="O427" i="13"/>
  <c r="P427" i="13"/>
  <c r="Q427" i="13"/>
  <c r="R427" i="13"/>
  <c r="S427" i="13"/>
  <c r="T427" i="13"/>
  <c r="U427" i="13"/>
  <c r="V427" i="13"/>
  <c r="W427" i="13"/>
  <c r="X427" i="13"/>
  <c r="Y427" i="13"/>
  <c r="Z427" i="13"/>
  <c r="AA427" i="13"/>
  <c r="AB427" i="13"/>
  <c r="AC427" i="13"/>
  <c r="AD427" i="13"/>
  <c r="AE427" i="13"/>
  <c r="AF427" i="13"/>
  <c r="AG427" i="13"/>
  <c r="AH427" i="13"/>
  <c r="AI427" i="13"/>
  <c r="F428" i="13"/>
  <c r="G428" i="13"/>
  <c r="H428" i="13"/>
  <c r="I428" i="13"/>
  <c r="J428" i="13"/>
  <c r="K428" i="13"/>
  <c r="L428" i="13"/>
  <c r="M428" i="13"/>
  <c r="N428" i="13"/>
  <c r="O428" i="13"/>
  <c r="P428" i="13"/>
  <c r="Q428" i="13"/>
  <c r="R428" i="13"/>
  <c r="S428" i="13"/>
  <c r="T428" i="13"/>
  <c r="U428" i="13"/>
  <c r="V428" i="13"/>
  <c r="W428" i="13"/>
  <c r="X428" i="13"/>
  <c r="Y428" i="13"/>
  <c r="Z428" i="13"/>
  <c r="AA428" i="13"/>
  <c r="AB428" i="13"/>
  <c r="AC428" i="13"/>
  <c r="AD428" i="13"/>
  <c r="AE428" i="13"/>
  <c r="AF428" i="13"/>
  <c r="AG428" i="13"/>
  <c r="AH428" i="13"/>
  <c r="AI428" i="13"/>
  <c r="F429" i="13"/>
  <c r="G429" i="13"/>
  <c r="H429" i="13"/>
  <c r="I429" i="13"/>
  <c r="J429" i="13"/>
  <c r="K429" i="13"/>
  <c r="L429" i="13"/>
  <c r="M429" i="13"/>
  <c r="N429" i="13"/>
  <c r="O429" i="13"/>
  <c r="P429" i="13"/>
  <c r="Q429" i="13"/>
  <c r="R429" i="13"/>
  <c r="S429" i="13"/>
  <c r="T429" i="13"/>
  <c r="U429" i="13"/>
  <c r="V429" i="13"/>
  <c r="W429" i="13"/>
  <c r="X429" i="13"/>
  <c r="Y429" i="13"/>
  <c r="Z429" i="13"/>
  <c r="AA429" i="13"/>
  <c r="AB429" i="13"/>
  <c r="AC429" i="13"/>
  <c r="AD429" i="13"/>
  <c r="AE429" i="13"/>
  <c r="AF429" i="13"/>
  <c r="AG429" i="13"/>
  <c r="AH429" i="13"/>
  <c r="AI429" i="13"/>
  <c r="F430" i="13"/>
  <c r="G430" i="13"/>
  <c r="H430" i="13"/>
  <c r="I430" i="13"/>
  <c r="J430" i="13"/>
  <c r="K430" i="13"/>
  <c r="L430" i="13"/>
  <c r="M430" i="13"/>
  <c r="N430" i="13"/>
  <c r="O430" i="13"/>
  <c r="P430" i="13"/>
  <c r="Q430" i="13"/>
  <c r="R430" i="13"/>
  <c r="S430" i="13"/>
  <c r="T430" i="13"/>
  <c r="U430" i="13"/>
  <c r="V430" i="13"/>
  <c r="W430" i="13"/>
  <c r="X430" i="13"/>
  <c r="Y430" i="13"/>
  <c r="Z430" i="13"/>
  <c r="AA430" i="13"/>
  <c r="AB430" i="13"/>
  <c r="AC430" i="13"/>
  <c r="AD430" i="13"/>
  <c r="AE430" i="13"/>
  <c r="AF430" i="13"/>
  <c r="AG430" i="13"/>
  <c r="AH430" i="13"/>
  <c r="AI430" i="13"/>
  <c r="F431" i="13"/>
  <c r="G431" i="13"/>
  <c r="H431" i="13"/>
  <c r="I431" i="13"/>
  <c r="J431" i="13"/>
  <c r="K431" i="13"/>
  <c r="L431" i="13"/>
  <c r="M431" i="13"/>
  <c r="N431" i="13"/>
  <c r="O431" i="13"/>
  <c r="P431" i="13"/>
  <c r="Q431" i="13"/>
  <c r="R431" i="13"/>
  <c r="S431" i="13"/>
  <c r="T431" i="13"/>
  <c r="U431" i="13"/>
  <c r="V431" i="13"/>
  <c r="W431" i="13"/>
  <c r="X431" i="13"/>
  <c r="Y431" i="13"/>
  <c r="Z431" i="13"/>
  <c r="AA431" i="13"/>
  <c r="AB431" i="13"/>
  <c r="AC431" i="13"/>
  <c r="AD431" i="13"/>
  <c r="AE431" i="13"/>
  <c r="AF431" i="13"/>
  <c r="AG431" i="13"/>
  <c r="AH431" i="13"/>
  <c r="AI431" i="13"/>
  <c r="F432" i="13"/>
  <c r="G432" i="13"/>
  <c r="H432" i="13"/>
  <c r="I432" i="13"/>
  <c r="J432" i="13"/>
  <c r="K432" i="13"/>
  <c r="L432" i="13"/>
  <c r="M432" i="13"/>
  <c r="N432" i="13"/>
  <c r="O432" i="13"/>
  <c r="P432" i="13"/>
  <c r="Q432" i="13"/>
  <c r="R432" i="13"/>
  <c r="S432" i="13"/>
  <c r="T432" i="13"/>
  <c r="U432" i="13"/>
  <c r="V432" i="13"/>
  <c r="W432" i="13"/>
  <c r="X432" i="13"/>
  <c r="Y432" i="13"/>
  <c r="Z432" i="13"/>
  <c r="AA432" i="13"/>
  <c r="AB432" i="13"/>
  <c r="AC432" i="13"/>
  <c r="AD432" i="13"/>
  <c r="AE432" i="13"/>
  <c r="AF432" i="13"/>
  <c r="AG432" i="13"/>
  <c r="AH432" i="13"/>
  <c r="AI432" i="13"/>
  <c r="F433" i="13"/>
  <c r="G433" i="13"/>
  <c r="H433" i="13"/>
  <c r="I433" i="13"/>
  <c r="J433" i="13"/>
  <c r="K433" i="13"/>
  <c r="L433" i="13"/>
  <c r="M433" i="13"/>
  <c r="N433" i="13"/>
  <c r="O433" i="13"/>
  <c r="P433" i="13"/>
  <c r="Q433" i="13"/>
  <c r="R433" i="13"/>
  <c r="S433" i="13"/>
  <c r="T433" i="13"/>
  <c r="U433" i="13"/>
  <c r="V433" i="13"/>
  <c r="W433" i="13"/>
  <c r="X433" i="13"/>
  <c r="Y433" i="13"/>
  <c r="Z433" i="13"/>
  <c r="AA433" i="13"/>
  <c r="AB433" i="13"/>
  <c r="AC433" i="13"/>
  <c r="AD433" i="13"/>
  <c r="AE433" i="13"/>
  <c r="AF433" i="13"/>
  <c r="AG433" i="13"/>
  <c r="AH433" i="13"/>
  <c r="AI433" i="13"/>
  <c r="F434" i="13"/>
  <c r="G434" i="13"/>
  <c r="H434" i="13"/>
  <c r="I434" i="13"/>
  <c r="J434" i="13"/>
  <c r="K434" i="13"/>
  <c r="L434" i="13"/>
  <c r="M434" i="13"/>
  <c r="N434" i="13"/>
  <c r="O434" i="13"/>
  <c r="P434" i="13"/>
  <c r="Q434" i="13"/>
  <c r="R434" i="13"/>
  <c r="S434" i="13"/>
  <c r="T434" i="13"/>
  <c r="U434" i="13"/>
  <c r="V434" i="13"/>
  <c r="W434" i="13"/>
  <c r="X434" i="13"/>
  <c r="Y434" i="13"/>
  <c r="Z434" i="13"/>
  <c r="AA434" i="13"/>
  <c r="AB434" i="13"/>
  <c r="AC434" i="13"/>
  <c r="AD434" i="13"/>
  <c r="AE434" i="13"/>
  <c r="AF434" i="13"/>
  <c r="AG434" i="13"/>
  <c r="AH434" i="13"/>
  <c r="AI434" i="13"/>
  <c r="F435" i="13"/>
  <c r="G435" i="13"/>
  <c r="H435" i="13"/>
  <c r="I435" i="13"/>
  <c r="J435" i="13"/>
  <c r="K435" i="13"/>
  <c r="L435" i="13"/>
  <c r="M435" i="13"/>
  <c r="N435" i="13"/>
  <c r="O435" i="13"/>
  <c r="P435" i="13"/>
  <c r="Q435" i="13"/>
  <c r="R435" i="13"/>
  <c r="S435" i="13"/>
  <c r="T435" i="13"/>
  <c r="U435" i="13"/>
  <c r="V435" i="13"/>
  <c r="W435" i="13"/>
  <c r="X435" i="13"/>
  <c r="Y435" i="13"/>
  <c r="Z435" i="13"/>
  <c r="AA435" i="13"/>
  <c r="AB435" i="13"/>
  <c r="AC435" i="13"/>
  <c r="AD435" i="13"/>
  <c r="AE435" i="13"/>
  <c r="AF435" i="13"/>
  <c r="AG435" i="13"/>
  <c r="AH435" i="13"/>
  <c r="AI435" i="13"/>
  <c r="F436" i="13"/>
  <c r="G436" i="13"/>
  <c r="H436" i="13"/>
  <c r="I436" i="13"/>
  <c r="J436" i="13"/>
  <c r="K436" i="13"/>
  <c r="L436" i="13"/>
  <c r="M436" i="13"/>
  <c r="N436" i="13"/>
  <c r="O436" i="13"/>
  <c r="P436" i="13"/>
  <c r="Q436" i="13"/>
  <c r="R436" i="13"/>
  <c r="S436" i="13"/>
  <c r="T436" i="13"/>
  <c r="U436" i="13"/>
  <c r="V436" i="13"/>
  <c r="W436" i="13"/>
  <c r="X436" i="13"/>
  <c r="Y436" i="13"/>
  <c r="Z436" i="13"/>
  <c r="AA436" i="13"/>
  <c r="AB436" i="13"/>
  <c r="AC436" i="13"/>
  <c r="AD436" i="13"/>
  <c r="AE436" i="13"/>
  <c r="AF436" i="13"/>
  <c r="AG436" i="13"/>
  <c r="AH436" i="13"/>
  <c r="AI436" i="13"/>
  <c r="F437" i="13"/>
  <c r="G437" i="13"/>
  <c r="H437" i="13"/>
  <c r="I437" i="13"/>
  <c r="J437" i="13"/>
  <c r="K437" i="13"/>
  <c r="L437" i="13"/>
  <c r="M437" i="13"/>
  <c r="N437" i="13"/>
  <c r="O437" i="13"/>
  <c r="P437" i="13"/>
  <c r="Q437" i="13"/>
  <c r="R437" i="13"/>
  <c r="S437" i="13"/>
  <c r="T437" i="13"/>
  <c r="U437" i="13"/>
  <c r="V437" i="13"/>
  <c r="W437" i="13"/>
  <c r="X437" i="13"/>
  <c r="Y437" i="13"/>
  <c r="Z437" i="13"/>
  <c r="AA437" i="13"/>
  <c r="AB437" i="13"/>
  <c r="AC437" i="13"/>
  <c r="AD437" i="13"/>
  <c r="AE437" i="13"/>
  <c r="AF437" i="13"/>
  <c r="AG437" i="13"/>
  <c r="AH437" i="13"/>
  <c r="AI437" i="13"/>
  <c r="F438" i="13"/>
  <c r="G438" i="13"/>
  <c r="H438" i="13"/>
  <c r="I438" i="13"/>
  <c r="J438" i="13"/>
  <c r="K438" i="13"/>
  <c r="L438" i="13"/>
  <c r="M438" i="13"/>
  <c r="N438" i="13"/>
  <c r="O438" i="13"/>
  <c r="P438" i="13"/>
  <c r="Q438" i="13"/>
  <c r="R438" i="13"/>
  <c r="S438" i="13"/>
  <c r="T438" i="13"/>
  <c r="U438" i="13"/>
  <c r="V438" i="13"/>
  <c r="W438" i="13"/>
  <c r="X438" i="13"/>
  <c r="Y438" i="13"/>
  <c r="Z438" i="13"/>
  <c r="AA438" i="13"/>
  <c r="AB438" i="13"/>
  <c r="AC438" i="13"/>
  <c r="AD438" i="13"/>
  <c r="AE438" i="13"/>
  <c r="AF438" i="13"/>
  <c r="AG438" i="13"/>
  <c r="AH438" i="13"/>
  <c r="AI438" i="13"/>
  <c r="F439" i="13"/>
  <c r="G439" i="13"/>
  <c r="H439" i="13"/>
  <c r="I439" i="13"/>
  <c r="J439" i="13"/>
  <c r="K439" i="13"/>
  <c r="L439" i="13"/>
  <c r="M439" i="13"/>
  <c r="N439" i="13"/>
  <c r="O439" i="13"/>
  <c r="P439" i="13"/>
  <c r="Q439" i="13"/>
  <c r="R439" i="13"/>
  <c r="S439" i="13"/>
  <c r="T439" i="13"/>
  <c r="U439" i="13"/>
  <c r="V439" i="13"/>
  <c r="W439" i="13"/>
  <c r="X439" i="13"/>
  <c r="Y439" i="13"/>
  <c r="Z439" i="13"/>
  <c r="AA439" i="13"/>
  <c r="AB439" i="13"/>
  <c r="AC439" i="13"/>
  <c r="AD439" i="13"/>
  <c r="AE439" i="13"/>
  <c r="AF439" i="13"/>
  <c r="AG439" i="13"/>
  <c r="AH439" i="13"/>
  <c r="AI439"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B224" i="3"/>
  <c r="AI272" i="3" a="1"/>
  <c r="AI272" i="3" s="1"/>
  <c r="AH272" i="3" a="1"/>
  <c r="AH272" i="3" s="1"/>
  <c r="AG272" i="3" a="1"/>
  <c r="AG272" i="3" s="1"/>
  <c r="AF272" i="3" a="1"/>
  <c r="AF272" i="3" s="1"/>
  <c r="AE272" i="3" a="1"/>
  <c r="AE272" i="3" s="1"/>
  <c r="AD272" i="3" a="1"/>
  <c r="AD272" i="3" s="1"/>
  <c r="AC272" i="3" a="1"/>
  <c r="AC272" i="3" s="1"/>
  <c r="AB272" i="3" a="1"/>
  <c r="AB272" i="3" s="1"/>
  <c r="AA272" i="3" a="1"/>
  <c r="AA272" i="3" s="1"/>
  <c r="Z272" i="3" a="1"/>
  <c r="Z272" i="3" s="1"/>
  <c r="Y272" i="3" a="1"/>
  <c r="Y272" i="3" s="1"/>
  <c r="X272" i="3" a="1"/>
  <c r="X272" i="3" s="1"/>
  <c r="W272" i="3" a="1"/>
  <c r="W272" i="3" s="1"/>
  <c r="V272" i="3" a="1"/>
  <c r="V272" i="3" s="1"/>
  <c r="U272" i="3" a="1"/>
  <c r="U272" i="3" s="1"/>
  <c r="T272" i="3" a="1"/>
  <c r="T272" i="3" s="1"/>
  <c r="S272" i="3" a="1"/>
  <c r="S272" i="3" s="1"/>
  <c r="R272" i="3" a="1"/>
  <c r="R272" i="3" s="1"/>
  <c r="Q272" i="3" a="1"/>
  <c r="Q272" i="3" s="1"/>
  <c r="P272" i="3" a="1"/>
  <c r="P272" i="3" s="1"/>
  <c r="O272" i="3" a="1"/>
  <c r="O272" i="3" s="1"/>
  <c r="N272" i="3" a="1"/>
  <c r="N272" i="3" s="1"/>
  <c r="M272" i="3" a="1"/>
  <c r="M272" i="3" s="1"/>
  <c r="L272" i="3" a="1"/>
  <c r="L272" i="3" s="1"/>
  <c r="K272" i="3" a="1"/>
  <c r="K272" i="3" s="1"/>
  <c r="J272" i="3" a="1"/>
  <c r="J272" i="3" s="1"/>
  <c r="I272" i="3" a="1"/>
  <c r="I272" i="3" s="1"/>
  <c r="H272" i="3" a="1"/>
  <c r="H272" i="3" s="1"/>
  <c r="G272" i="3" a="1"/>
  <c r="G272" i="3" s="1"/>
  <c r="F272" i="3" a="1"/>
  <c r="F272" i="3" s="1"/>
  <c r="AI271" i="3" a="1"/>
  <c r="AI271" i="3" s="1"/>
  <c r="AH271" i="3" a="1"/>
  <c r="AH271" i="3" s="1"/>
  <c r="AG271" i="3" a="1"/>
  <c r="AG271" i="3" s="1"/>
  <c r="AF271" i="3" a="1"/>
  <c r="AF271" i="3" s="1"/>
  <c r="AE271" i="3" a="1"/>
  <c r="AE271" i="3" s="1"/>
  <c r="AD271" i="3" a="1"/>
  <c r="AD271" i="3" s="1"/>
  <c r="AC271" i="3" a="1"/>
  <c r="AC271" i="3" s="1"/>
  <c r="AB271" i="3" a="1"/>
  <c r="AB271" i="3" s="1"/>
  <c r="AA271" i="3" a="1"/>
  <c r="AA271" i="3" s="1"/>
  <c r="Z271" i="3" a="1"/>
  <c r="Z271" i="3" s="1"/>
  <c r="Y271" i="3" a="1"/>
  <c r="Y271" i="3" s="1"/>
  <c r="X271" i="3" a="1"/>
  <c r="X271" i="3" s="1"/>
  <c r="W271" i="3" a="1"/>
  <c r="W271" i="3" s="1"/>
  <c r="V271" i="3" a="1"/>
  <c r="V271" i="3" s="1"/>
  <c r="U271" i="3" a="1"/>
  <c r="U271" i="3" s="1"/>
  <c r="T271" i="3" a="1"/>
  <c r="T271" i="3" s="1"/>
  <c r="S271" i="3" a="1"/>
  <c r="S271" i="3" s="1"/>
  <c r="R271" i="3" a="1"/>
  <c r="R271" i="3" s="1"/>
  <c r="Q271" i="3" a="1"/>
  <c r="Q271" i="3" s="1"/>
  <c r="P271" i="3" a="1"/>
  <c r="P271" i="3" s="1"/>
  <c r="O271" i="3" a="1"/>
  <c r="O271" i="3" s="1"/>
  <c r="N271" i="3" a="1"/>
  <c r="N271" i="3" s="1"/>
  <c r="M271" i="3" a="1"/>
  <c r="M271" i="3" s="1"/>
  <c r="L271" i="3" a="1"/>
  <c r="L271" i="3" s="1"/>
  <c r="K271" i="3" a="1"/>
  <c r="K271" i="3" s="1"/>
  <c r="J271" i="3" a="1"/>
  <c r="J271" i="3" s="1"/>
  <c r="I271" i="3" a="1"/>
  <c r="I271" i="3" s="1"/>
  <c r="H271" i="3" a="1"/>
  <c r="H271" i="3" s="1"/>
  <c r="G271" i="3" a="1"/>
  <c r="G271" i="3" s="1"/>
  <c r="F271" i="3" a="1"/>
  <c r="F271" i="3" s="1"/>
  <c r="AI270" i="3" a="1"/>
  <c r="AI270" i="3" s="1"/>
  <c r="AH270" i="3" a="1"/>
  <c r="AH270" i="3" s="1"/>
  <c r="AG270" i="3" a="1"/>
  <c r="AG270" i="3" s="1"/>
  <c r="AF270" i="3" a="1"/>
  <c r="AF270" i="3" s="1"/>
  <c r="AE270" i="3" a="1"/>
  <c r="AE270" i="3" s="1"/>
  <c r="AD270" i="3" a="1"/>
  <c r="AD270" i="3" s="1"/>
  <c r="AC270" i="3" a="1"/>
  <c r="AC270" i="3" s="1"/>
  <c r="AB270" i="3" a="1"/>
  <c r="AB270" i="3" s="1"/>
  <c r="AA270" i="3" a="1"/>
  <c r="AA270" i="3" s="1"/>
  <c r="Z270" i="3" a="1"/>
  <c r="Z270" i="3" s="1"/>
  <c r="Y270" i="3" a="1"/>
  <c r="Y270" i="3" s="1"/>
  <c r="X270" i="3" a="1"/>
  <c r="X270" i="3" s="1"/>
  <c r="W270" i="3" a="1"/>
  <c r="W270" i="3" s="1"/>
  <c r="V270" i="3" a="1"/>
  <c r="V270" i="3" s="1"/>
  <c r="U270" i="3" a="1"/>
  <c r="U270" i="3" s="1"/>
  <c r="T270" i="3" a="1"/>
  <c r="T270" i="3" s="1"/>
  <c r="S270" i="3" a="1"/>
  <c r="S270" i="3" s="1"/>
  <c r="R270" i="3" a="1"/>
  <c r="R270" i="3" s="1"/>
  <c r="Q270" i="3" a="1"/>
  <c r="Q270" i="3" s="1"/>
  <c r="P270" i="3" a="1"/>
  <c r="P270" i="3" s="1"/>
  <c r="O270" i="3" a="1"/>
  <c r="O270" i="3" s="1"/>
  <c r="N270" i="3" a="1"/>
  <c r="N270" i="3" s="1"/>
  <c r="M270" i="3" a="1"/>
  <c r="M270" i="3" s="1"/>
  <c r="L270" i="3" a="1"/>
  <c r="L270" i="3" s="1"/>
  <c r="K270" i="3" a="1"/>
  <c r="K270" i="3" s="1"/>
  <c r="J270" i="3" a="1"/>
  <c r="J270" i="3" s="1"/>
  <c r="I270" i="3" a="1"/>
  <c r="I270" i="3" s="1"/>
  <c r="H270" i="3" a="1"/>
  <c r="H270" i="3" s="1"/>
  <c r="G270" i="3" a="1"/>
  <c r="G270" i="3" s="1"/>
  <c r="F270" i="3" a="1"/>
  <c r="F270" i="3" s="1"/>
  <c r="AI269" i="3" a="1"/>
  <c r="AI269" i="3" s="1"/>
  <c r="AH269" i="3" a="1"/>
  <c r="AH269" i="3" s="1"/>
  <c r="AG269" i="3" a="1"/>
  <c r="AG269" i="3" s="1"/>
  <c r="AF269" i="3" a="1"/>
  <c r="AF269" i="3" s="1"/>
  <c r="AE269" i="3" a="1"/>
  <c r="AE269" i="3" s="1"/>
  <c r="AD269" i="3" a="1"/>
  <c r="AD269" i="3" s="1"/>
  <c r="AC269" i="3" a="1"/>
  <c r="AC269" i="3" s="1"/>
  <c r="AB269" i="3" a="1"/>
  <c r="AB269" i="3" s="1"/>
  <c r="AA269" i="3" a="1"/>
  <c r="AA269" i="3" s="1"/>
  <c r="Z269" i="3" a="1"/>
  <c r="Z269" i="3" s="1"/>
  <c r="Y269" i="3" a="1"/>
  <c r="Y269" i="3" s="1"/>
  <c r="X269" i="3" a="1"/>
  <c r="X269" i="3" s="1"/>
  <c r="W269" i="3" a="1"/>
  <c r="W269" i="3" s="1"/>
  <c r="V269" i="3" a="1"/>
  <c r="V269" i="3" s="1"/>
  <c r="U269" i="3" a="1"/>
  <c r="U269" i="3" s="1"/>
  <c r="T269" i="3" a="1"/>
  <c r="T269" i="3" s="1"/>
  <c r="S269" i="3" a="1"/>
  <c r="S269" i="3" s="1"/>
  <c r="R269" i="3" a="1"/>
  <c r="R269" i="3" s="1"/>
  <c r="Q269" i="3" a="1"/>
  <c r="Q269" i="3" s="1"/>
  <c r="P269" i="3" a="1"/>
  <c r="P269" i="3" s="1"/>
  <c r="O269" i="3" a="1"/>
  <c r="O269" i="3" s="1"/>
  <c r="N269" i="3" a="1"/>
  <c r="N269" i="3" s="1"/>
  <c r="M269" i="3" a="1"/>
  <c r="M269" i="3" s="1"/>
  <c r="L269" i="3" a="1"/>
  <c r="L269" i="3" s="1"/>
  <c r="K269" i="3" a="1"/>
  <c r="K269" i="3" s="1"/>
  <c r="J269" i="3" a="1"/>
  <c r="J269" i="3" s="1"/>
  <c r="I269" i="3" a="1"/>
  <c r="I269" i="3" s="1"/>
  <c r="H269" i="3" a="1"/>
  <c r="H269" i="3" s="1"/>
  <c r="G269" i="3" a="1"/>
  <c r="G269" i="3" s="1"/>
  <c r="F269" i="3" a="1"/>
  <c r="F269" i="3" s="1"/>
  <c r="AI268" i="3" a="1"/>
  <c r="AI268" i="3" s="1"/>
  <c r="AH268" i="3" a="1"/>
  <c r="AH268" i="3" s="1"/>
  <c r="AG268" i="3" a="1"/>
  <c r="AG268" i="3" s="1"/>
  <c r="AF268" i="3" a="1"/>
  <c r="AF268" i="3" s="1"/>
  <c r="AE268" i="3" a="1"/>
  <c r="AE268" i="3" s="1"/>
  <c r="AD268" i="3" a="1"/>
  <c r="AD268" i="3" s="1"/>
  <c r="AC268" i="3" a="1"/>
  <c r="AC268" i="3" s="1"/>
  <c r="AB268" i="3" a="1"/>
  <c r="AB268" i="3" s="1"/>
  <c r="AA268" i="3" a="1"/>
  <c r="AA268" i="3" s="1"/>
  <c r="Z268" i="3" a="1"/>
  <c r="Z268" i="3" s="1"/>
  <c r="Y268" i="3" a="1"/>
  <c r="Y268" i="3" s="1"/>
  <c r="X268" i="3" a="1"/>
  <c r="X268" i="3" s="1"/>
  <c r="W268" i="3" a="1"/>
  <c r="W268" i="3" s="1"/>
  <c r="V268" i="3" a="1"/>
  <c r="V268" i="3" s="1"/>
  <c r="U268" i="3" a="1"/>
  <c r="U268" i="3" s="1"/>
  <c r="T268" i="3" a="1"/>
  <c r="T268" i="3" s="1"/>
  <c r="S268" i="3" a="1"/>
  <c r="S268" i="3" s="1"/>
  <c r="R268" i="3" a="1"/>
  <c r="R268" i="3" s="1"/>
  <c r="Q268" i="3" a="1"/>
  <c r="Q268" i="3" s="1"/>
  <c r="P268" i="3" a="1"/>
  <c r="P268" i="3" s="1"/>
  <c r="O268" i="3" a="1"/>
  <c r="O268" i="3" s="1"/>
  <c r="N268" i="3" a="1"/>
  <c r="N268" i="3" s="1"/>
  <c r="M268" i="3" a="1"/>
  <c r="M268" i="3" s="1"/>
  <c r="L268" i="3" a="1"/>
  <c r="L268" i="3" s="1"/>
  <c r="K268" i="3" a="1"/>
  <c r="K268" i="3" s="1"/>
  <c r="J268" i="3" a="1"/>
  <c r="J268" i="3" s="1"/>
  <c r="I268" i="3" a="1"/>
  <c r="I268" i="3" s="1"/>
  <c r="H268" i="3" a="1"/>
  <c r="H268" i="3" s="1"/>
  <c r="G268" i="3" a="1"/>
  <c r="G268" i="3" s="1"/>
  <c r="F268" i="3" a="1"/>
  <c r="F268" i="3" s="1"/>
  <c r="AI267" i="3" a="1"/>
  <c r="AI267" i="3" s="1"/>
  <c r="AH267" i="3" a="1"/>
  <c r="AH267" i="3" s="1"/>
  <c r="AG267" i="3" a="1"/>
  <c r="AG267" i="3" s="1"/>
  <c r="AF267" i="3" a="1"/>
  <c r="AF267" i="3" s="1"/>
  <c r="AE267" i="3" a="1"/>
  <c r="AE267" i="3" s="1"/>
  <c r="AD267" i="3" a="1"/>
  <c r="AD267" i="3" s="1"/>
  <c r="AC267" i="3" a="1"/>
  <c r="AC267" i="3" s="1"/>
  <c r="AB267" i="3" a="1"/>
  <c r="AB267" i="3" s="1"/>
  <c r="AA267" i="3" a="1"/>
  <c r="AA267" i="3" s="1"/>
  <c r="Z267" i="3" a="1"/>
  <c r="Z267" i="3" s="1"/>
  <c r="Y267" i="3" a="1"/>
  <c r="Y267" i="3" s="1"/>
  <c r="X267" i="3" a="1"/>
  <c r="X267" i="3" s="1"/>
  <c r="W267" i="3" a="1"/>
  <c r="W267" i="3" s="1"/>
  <c r="V267" i="3" a="1"/>
  <c r="V267" i="3" s="1"/>
  <c r="U267" i="3" a="1"/>
  <c r="U267" i="3" s="1"/>
  <c r="T267" i="3" a="1"/>
  <c r="T267" i="3" s="1"/>
  <c r="S267" i="3" a="1"/>
  <c r="S267" i="3" s="1"/>
  <c r="R267" i="3" a="1"/>
  <c r="R267" i="3" s="1"/>
  <c r="Q267" i="3" a="1"/>
  <c r="Q267" i="3" s="1"/>
  <c r="P267" i="3" a="1"/>
  <c r="P267" i="3" s="1"/>
  <c r="O267" i="3" a="1"/>
  <c r="O267" i="3" s="1"/>
  <c r="N267" i="3" a="1"/>
  <c r="N267" i="3" s="1"/>
  <c r="M267" i="3" a="1"/>
  <c r="M267" i="3" s="1"/>
  <c r="L267" i="3" a="1"/>
  <c r="L267" i="3" s="1"/>
  <c r="K267" i="3" a="1"/>
  <c r="K267" i="3" s="1"/>
  <c r="J267" i="3" a="1"/>
  <c r="J267" i="3" s="1"/>
  <c r="I267" i="3" a="1"/>
  <c r="I267" i="3" s="1"/>
  <c r="H267" i="3" a="1"/>
  <c r="H267" i="3" s="1"/>
  <c r="G267" i="3" a="1"/>
  <c r="G267" i="3" s="1"/>
  <c r="F267" i="3" a="1"/>
  <c r="F267" i="3" s="1"/>
  <c r="AI266" i="3" a="1"/>
  <c r="AI266" i="3" s="1"/>
  <c r="AH266" i="3" a="1"/>
  <c r="AH266" i="3" s="1"/>
  <c r="AG266" i="3" a="1"/>
  <c r="AG266" i="3" s="1"/>
  <c r="AF266" i="3" a="1"/>
  <c r="AF266" i="3" s="1"/>
  <c r="AE266" i="3" a="1"/>
  <c r="AE266" i="3" s="1"/>
  <c r="AD266" i="3" a="1"/>
  <c r="AD266" i="3" s="1"/>
  <c r="AC266" i="3" a="1"/>
  <c r="AC266" i="3" s="1"/>
  <c r="AB266" i="3" a="1"/>
  <c r="AB266" i="3" s="1"/>
  <c r="AA266" i="3" a="1"/>
  <c r="AA266" i="3" s="1"/>
  <c r="Z266" i="3" a="1"/>
  <c r="Z266" i="3" s="1"/>
  <c r="Y266" i="3" a="1"/>
  <c r="Y266" i="3" s="1"/>
  <c r="X266" i="3" a="1"/>
  <c r="X266" i="3" s="1"/>
  <c r="W266" i="3" a="1"/>
  <c r="W266" i="3" s="1"/>
  <c r="V266" i="3" a="1"/>
  <c r="V266" i="3" s="1"/>
  <c r="U266" i="3" a="1"/>
  <c r="U266" i="3" s="1"/>
  <c r="T266" i="3" a="1"/>
  <c r="T266" i="3" s="1"/>
  <c r="S266" i="3" a="1"/>
  <c r="S266" i="3" s="1"/>
  <c r="R266" i="3" a="1"/>
  <c r="R266" i="3" s="1"/>
  <c r="Q266" i="3" a="1"/>
  <c r="Q266" i="3" s="1"/>
  <c r="P266" i="3" a="1"/>
  <c r="P266" i="3" s="1"/>
  <c r="O266" i="3" a="1"/>
  <c r="O266" i="3" s="1"/>
  <c r="N266" i="3" a="1"/>
  <c r="N266" i="3" s="1"/>
  <c r="M266" i="3" a="1"/>
  <c r="M266" i="3" s="1"/>
  <c r="L266" i="3" a="1"/>
  <c r="L266" i="3" s="1"/>
  <c r="K266" i="3" a="1"/>
  <c r="K266" i="3" s="1"/>
  <c r="J266" i="3" a="1"/>
  <c r="J266" i="3" s="1"/>
  <c r="I266" i="3" a="1"/>
  <c r="I266" i="3" s="1"/>
  <c r="H266" i="3" a="1"/>
  <c r="H266" i="3" s="1"/>
  <c r="G266" i="3" a="1"/>
  <c r="G266" i="3" s="1"/>
  <c r="F266" i="3" a="1"/>
  <c r="F266" i="3" s="1"/>
  <c r="AI265" i="3" a="1"/>
  <c r="AI265" i="3" s="1"/>
  <c r="AH265" i="3" a="1"/>
  <c r="AH265" i="3" s="1"/>
  <c r="AG265" i="3" a="1"/>
  <c r="AG265" i="3" s="1"/>
  <c r="AF265" i="3" a="1"/>
  <c r="AF265" i="3" s="1"/>
  <c r="AE265" i="3" a="1"/>
  <c r="AE265" i="3" s="1"/>
  <c r="AD265" i="3" a="1"/>
  <c r="AD265" i="3" s="1"/>
  <c r="AC265" i="3" a="1"/>
  <c r="AC265" i="3" s="1"/>
  <c r="AB265" i="3" a="1"/>
  <c r="AB265" i="3" s="1"/>
  <c r="AA265" i="3" a="1"/>
  <c r="AA265" i="3" s="1"/>
  <c r="Z265" i="3" a="1"/>
  <c r="Z265" i="3" s="1"/>
  <c r="Y265" i="3" a="1"/>
  <c r="Y265" i="3" s="1"/>
  <c r="X265" i="3" a="1"/>
  <c r="X265" i="3" s="1"/>
  <c r="W265" i="3" a="1"/>
  <c r="W265" i="3" s="1"/>
  <c r="V265" i="3" a="1"/>
  <c r="V265" i="3" s="1"/>
  <c r="U265" i="3" a="1"/>
  <c r="U265" i="3" s="1"/>
  <c r="T265" i="3" a="1"/>
  <c r="T265" i="3" s="1"/>
  <c r="S265" i="3" a="1"/>
  <c r="S265" i="3" s="1"/>
  <c r="R265" i="3" a="1"/>
  <c r="R265" i="3" s="1"/>
  <c r="Q265" i="3" a="1"/>
  <c r="Q265" i="3" s="1"/>
  <c r="P265" i="3" a="1"/>
  <c r="P265" i="3" s="1"/>
  <c r="O265" i="3" a="1"/>
  <c r="O265" i="3" s="1"/>
  <c r="N265" i="3" a="1"/>
  <c r="N265" i="3" s="1"/>
  <c r="M265" i="3" a="1"/>
  <c r="M265" i="3" s="1"/>
  <c r="L265" i="3" a="1"/>
  <c r="L265" i="3" s="1"/>
  <c r="K265" i="3" a="1"/>
  <c r="K265" i="3" s="1"/>
  <c r="J265" i="3" a="1"/>
  <c r="J265" i="3" s="1"/>
  <c r="I265" i="3" a="1"/>
  <c r="I265" i="3" s="1"/>
  <c r="H265" i="3" a="1"/>
  <c r="H265" i="3" s="1"/>
  <c r="G265" i="3" a="1"/>
  <c r="G265" i="3" s="1"/>
  <c r="F265" i="3" a="1"/>
  <c r="F265" i="3" s="1"/>
  <c r="AI264" i="3" a="1"/>
  <c r="AI264" i="3" s="1"/>
  <c r="AH264" i="3" a="1"/>
  <c r="AH264" i="3" s="1"/>
  <c r="AG264" i="3" a="1"/>
  <c r="AG264" i="3" s="1"/>
  <c r="AF264" i="3" a="1"/>
  <c r="AF264" i="3" s="1"/>
  <c r="AE264" i="3" a="1"/>
  <c r="AE264" i="3" s="1"/>
  <c r="AD264" i="3" a="1"/>
  <c r="AD264" i="3" s="1"/>
  <c r="AC264" i="3" a="1"/>
  <c r="AC264" i="3" s="1"/>
  <c r="AB264" i="3" a="1"/>
  <c r="AB264" i="3" s="1"/>
  <c r="AA264" i="3" a="1"/>
  <c r="AA264" i="3" s="1"/>
  <c r="Z264" i="3" a="1"/>
  <c r="Z264" i="3" s="1"/>
  <c r="Y264" i="3" a="1"/>
  <c r="Y264" i="3" s="1"/>
  <c r="X264" i="3" a="1"/>
  <c r="X264" i="3" s="1"/>
  <c r="W264" i="3" a="1"/>
  <c r="W264" i="3" s="1"/>
  <c r="V264" i="3" a="1"/>
  <c r="V264" i="3" s="1"/>
  <c r="U264" i="3" a="1"/>
  <c r="U264" i="3" s="1"/>
  <c r="T264" i="3" a="1"/>
  <c r="T264" i="3" s="1"/>
  <c r="S264" i="3" a="1"/>
  <c r="S264" i="3" s="1"/>
  <c r="R264" i="3" a="1"/>
  <c r="R264" i="3" s="1"/>
  <c r="Q264" i="3" a="1"/>
  <c r="Q264" i="3" s="1"/>
  <c r="P264" i="3" a="1"/>
  <c r="P264" i="3" s="1"/>
  <c r="O264" i="3" a="1"/>
  <c r="O264" i="3" s="1"/>
  <c r="N264" i="3" a="1"/>
  <c r="N264" i="3" s="1"/>
  <c r="M264" i="3" a="1"/>
  <c r="M264" i="3" s="1"/>
  <c r="L264" i="3" a="1"/>
  <c r="L264" i="3" s="1"/>
  <c r="K264" i="3" a="1"/>
  <c r="K264" i="3" s="1"/>
  <c r="J264" i="3" a="1"/>
  <c r="J264" i="3" s="1"/>
  <c r="I264" i="3" a="1"/>
  <c r="I264" i="3" s="1"/>
  <c r="H264" i="3" a="1"/>
  <c r="H264" i="3" s="1"/>
  <c r="G264" i="3" a="1"/>
  <c r="G264" i="3" s="1"/>
  <c r="F264" i="3" a="1"/>
  <c r="F264" i="3" s="1"/>
  <c r="AI263" i="3" a="1"/>
  <c r="AI263" i="3" s="1"/>
  <c r="AH263" i="3" a="1"/>
  <c r="AH263" i="3" s="1"/>
  <c r="AG263" i="3" a="1"/>
  <c r="AG263" i="3" s="1"/>
  <c r="AF263" i="3" a="1"/>
  <c r="AF263" i="3" s="1"/>
  <c r="AE263" i="3" a="1"/>
  <c r="AE263" i="3" s="1"/>
  <c r="AD263" i="3" a="1"/>
  <c r="AD263" i="3" s="1"/>
  <c r="AC263" i="3" a="1"/>
  <c r="AC263" i="3" s="1"/>
  <c r="AB263" i="3" a="1"/>
  <c r="AB263" i="3" s="1"/>
  <c r="AA263" i="3" a="1"/>
  <c r="AA263" i="3" s="1"/>
  <c r="Z263" i="3" a="1"/>
  <c r="Z263" i="3" s="1"/>
  <c r="Y263" i="3" a="1"/>
  <c r="Y263" i="3" s="1"/>
  <c r="X263" i="3" a="1"/>
  <c r="X263" i="3" s="1"/>
  <c r="W263" i="3" a="1"/>
  <c r="W263" i="3" s="1"/>
  <c r="V263" i="3" a="1"/>
  <c r="V263" i="3" s="1"/>
  <c r="U263" i="3" a="1"/>
  <c r="U263" i="3" s="1"/>
  <c r="T263" i="3" a="1"/>
  <c r="T263" i="3" s="1"/>
  <c r="S263" i="3" a="1"/>
  <c r="S263" i="3" s="1"/>
  <c r="R263" i="3" a="1"/>
  <c r="R263" i="3" s="1"/>
  <c r="Q263" i="3" a="1"/>
  <c r="Q263" i="3" s="1"/>
  <c r="P263" i="3" a="1"/>
  <c r="P263" i="3" s="1"/>
  <c r="O263" i="3" a="1"/>
  <c r="O263" i="3" s="1"/>
  <c r="N263" i="3" a="1"/>
  <c r="N263" i="3" s="1"/>
  <c r="M263" i="3" a="1"/>
  <c r="M263" i="3" s="1"/>
  <c r="L263" i="3" a="1"/>
  <c r="L263" i="3" s="1"/>
  <c r="K263" i="3" a="1"/>
  <c r="K263" i="3" s="1"/>
  <c r="J263" i="3" a="1"/>
  <c r="J263" i="3" s="1"/>
  <c r="I263" i="3" a="1"/>
  <c r="I263" i="3" s="1"/>
  <c r="H263" i="3" a="1"/>
  <c r="H263" i="3" s="1"/>
  <c r="G263" i="3" a="1"/>
  <c r="G263" i="3" s="1"/>
  <c r="F263" i="3" a="1"/>
  <c r="F263" i="3" s="1"/>
  <c r="AI262" i="3" a="1"/>
  <c r="AI262" i="3" s="1"/>
  <c r="AH262" i="3" a="1"/>
  <c r="AH262" i="3" s="1"/>
  <c r="AG262" i="3" a="1"/>
  <c r="AG262" i="3" s="1"/>
  <c r="AF262" i="3" a="1"/>
  <c r="AF262" i="3" s="1"/>
  <c r="AE262" i="3" a="1"/>
  <c r="AE262" i="3" s="1"/>
  <c r="AD262" i="3" a="1"/>
  <c r="AD262" i="3" s="1"/>
  <c r="AC262" i="3" a="1"/>
  <c r="AC262" i="3" s="1"/>
  <c r="AB262" i="3" a="1"/>
  <c r="AB262" i="3" s="1"/>
  <c r="AA262" i="3" a="1"/>
  <c r="AA262" i="3" s="1"/>
  <c r="Z262" i="3" a="1"/>
  <c r="Z262" i="3" s="1"/>
  <c r="Y262" i="3" a="1"/>
  <c r="Y262" i="3" s="1"/>
  <c r="X262" i="3" a="1"/>
  <c r="X262" i="3" s="1"/>
  <c r="W262" i="3" a="1"/>
  <c r="W262" i="3" s="1"/>
  <c r="V262" i="3" a="1"/>
  <c r="V262" i="3" s="1"/>
  <c r="U262" i="3" a="1"/>
  <c r="U262" i="3" s="1"/>
  <c r="T262" i="3" a="1"/>
  <c r="T262" i="3" s="1"/>
  <c r="S262" i="3" a="1"/>
  <c r="S262" i="3" s="1"/>
  <c r="R262" i="3" a="1"/>
  <c r="R262" i="3" s="1"/>
  <c r="Q262" i="3" a="1"/>
  <c r="Q262" i="3" s="1"/>
  <c r="P262" i="3" a="1"/>
  <c r="P262" i="3" s="1"/>
  <c r="O262" i="3" a="1"/>
  <c r="O262" i="3" s="1"/>
  <c r="N262" i="3" a="1"/>
  <c r="N262" i="3" s="1"/>
  <c r="M262" i="3" a="1"/>
  <c r="M262" i="3" s="1"/>
  <c r="L262" i="3" a="1"/>
  <c r="L262" i="3" s="1"/>
  <c r="K262" i="3" a="1"/>
  <c r="K262" i="3" s="1"/>
  <c r="J262" i="3" a="1"/>
  <c r="J262" i="3" s="1"/>
  <c r="I262" i="3" a="1"/>
  <c r="I262" i="3" s="1"/>
  <c r="H262" i="3" a="1"/>
  <c r="H262" i="3" s="1"/>
  <c r="G262" i="3" a="1"/>
  <c r="G262" i="3" s="1"/>
  <c r="F262" i="3" a="1"/>
  <c r="F262" i="3" s="1"/>
  <c r="AI261" i="3" a="1"/>
  <c r="AI261" i="3" s="1"/>
  <c r="AH261" i="3" a="1"/>
  <c r="AH261" i="3" s="1"/>
  <c r="AG261" i="3" a="1"/>
  <c r="AG261" i="3" s="1"/>
  <c r="AF261" i="3" a="1"/>
  <c r="AF261" i="3" s="1"/>
  <c r="AE261" i="3" a="1"/>
  <c r="AE261" i="3" s="1"/>
  <c r="AD261" i="3" a="1"/>
  <c r="AD261" i="3" s="1"/>
  <c r="AC261" i="3" a="1"/>
  <c r="AC261" i="3" s="1"/>
  <c r="AB261" i="3" a="1"/>
  <c r="AB261" i="3" s="1"/>
  <c r="AA261" i="3" a="1"/>
  <c r="AA261" i="3" s="1"/>
  <c r="Z261" i="3" a="1"/>
  <c r="Z261" i="3" s="1"/>
  <c r="Y261" i="3" a="1"/>
  <c r="Y261" i="3" s="1"/>
  <c r="X261" i="3" a="1"/>
  <c r="X261" i="3" s="1"/>
  <c r="W261" i="3" a="1"/>
  <c r="W261" i="3" s="1"/>
  <c r="V261" i="3" a="1"/>
  <c r="V261" i="3" s="1"/>
  <c r="U261" i="3" a="1"/>
  <c r="U261" i="3" s="1"/>
  <c r="T261" i="3" a="1"/>
  <c r="T261" i="3" s="1"/>
  <c r="S261" i="3" a="1"/>
  <c r="S261" i="3" s="1"/>
  <c r="R261" i="3" a="1"/>
  <c r="R261" i="3" s="1"/>
  <c r="Q261" i="3" a="1"/>
  <c r="Q261" i="3" s="1"/>
  <c r="P261" i="3" a="1"/>
  <c r="P261" i="3" s="1"/>
  <c r="O261" i="3" a="1"/>
  <c r="O261" i="3" s="1"/>
  <c r="N261" i="3" a="1"/>
  <c r="N261" i="3" s="1"/>
  <c r="M261" i="3" a="1"/>
  <c r="M261" i="3" s="1"/>
  <c r="L261" i="3" a="1"/>
  <c r="L261" i="3" s="1"/>
  <c r="K261" i="3" a="1"/>
  <c r="K261" i="3" s="1"/>
  <c r="J261" i="3" a="1"/>
  <c r="J261" i="3" s="1"/>
  <c r="I261" i="3" a="1"/>
  <c r="I261" i="3" s="1"/>
  <c r="H261" i="3" a="1"/>
  <c r="H261" i="3" s="1"/>
  <c r="G261" i="3" a="1"/>
  <c r="G261" i="3" s="1"/>
  <c r="F261" i="3" a="1"/>
  <c r="F261" i="3" s="1"/>
  <c r="AI260" i="3" a="1"/>
  <c r="AI260" i="3" s="1"/>
  <c r="AH260" i="3" a="1"/>
  <c r="AH260" i="3" s="1"/>
  <c r="AG260" i="3" a="1"/>
  <c r="AG260" i="3" s="1"/>
  <c r="AF260" i="3" a="1"/>
  <c r="AF260" i="3" s="1"/>
  <c r="AE260" i="3" a="1"/>
  <c r="AE260" i="3" s="1"/>
  <c r="AD260" i="3" a="1"/>
  <c r="AD260" i="3" s="1"/>
  <c r="AC260" i="3" a="1"/>
  <c r="AC260" i="3" s="1"/>
  <c r="AB260" i="3" a="1"/>
  <c r="AB260" i="3" s="1"/>
  <c r="AA260" i="3" a="1"/>
  <c r="AA260" i="3" s="1"/>
  <c r="Z260" i="3" a="1"/>
  <c r="Z260" i="3" s="1"/>
  <c r="Y260" i="3" a="1"/>
  <c r="Y260" i="3" s="1"/>
  <c r="X260" i="3" a="1"/>
  <c r="X260" i="3" s="1"/>
  <c r="W260" i="3" a="1"/>
  <c r="W260" i="3" s="1"/>
  <c r="V260" i="3" a="1"/>
  <c r="V260" i="3" s="1"/>
  <c r="U260" i="3" a="1"/>
  <c r="U260" i="3" s="1"/>
  <c r="T260" i="3" a="1"/>
  <c r="T260" i="3" s="1"/>
  <c r="S260" i="3" a="1"/>
  <c r="S260" i="3" s="1"/>
  <c r="R260" i="3" a="1"/>
  <c r="R260" i="3" s="1"/>
  <c r="Q260" i="3" a="1"/>
  <c r="Q260" i="3" s="1"/>
  <c r="P260" i="3" a="1"/>
  <c r="P260" i="3" s="1"/>
  <c r="O260" i="3" a="1"/>
  <c r="O260" i="3" s="1"/>
  <c r="N260" i="3" a="1"/>
  <c r="N260" i="3" s="1"/>
  <c r="M260" i="3" a="1"/>
  <c r="M260" i="3" s="1"/>
  <c r="L260" i="3" a="1"/>
  <c r="L260" i="3" s="1"/>
  <c r="K260" i="3" a="1"/>
  <c r="K260" i="3" s="1"/>
  <c r="J260" i="3" a="1"/>
  <c r="J260" i="3" s="1"/>
  <c r="I260" i="3" a="1"/>
  <c r="I260" i="3" s="1"/>
  <c r="H260" i="3" a="1"/>
  <c r="H260" i="3" s="1"/>
  <c r="G260" i="3" a="1"/>
  <c r="G260" i="3" s="1"/>
  <c r="F260" i="3" a="1"/>
  <c r="F260" i="3" s="1"/>
  <c r="AI259" i="3" a="1"/>
  <c r="AI259" i="3" s="1"/>
  <c r="AH259" i="3" a="1"/>
  <c r="AH259" i="3" s="1"/>
  <c r="AG259" i="3" a="1"/>
  <c r="AG259" i="3" s="1"/>
  <c r="AF259" i="3" a="1"/>
  <c r="AF259" i="3" s="1"/>
  <c r="AE259" i="3" a="1"/>
  <c r="AE259" i="3" s="1"/>
  <c r="AD259" i="3" a="1"/>
  <c r="AD259" i="3" s="1"/>
  <c r="AC259" i="3" a="1"/>
  <c r="AC259" i="3" s="1"/>
  <c r="AB259" i="3" a="1"/>
  <c r="AB259" i="3" s="1"/>
  <c r="AA259" i="3" a="1"/>
  <c r="AA259" i="3" s="1"/>
  <c r="Z259" i="3" a="1"/>
  <c r="Z259" i="3" s="1"/>
  <c r="Y259" i="3" a="1"/>
  <c r="Y259" i="3" s="1"/>
  <c r="X259" i="3" a="1"/>
  <c r="X259" i="3" s="1"/>
  <c r="W259" i="3" a="1"/>
  <c r="W259" i="3" s="1"/>
  <c r="V259" i="3" a="1"/>
  <c r="V259" i="3" s="1"/>
  <c r="U259" i="3" a="1"/>
  <c r="U259" i="3" s="1"/>
  <c r="T259" i="3" a="1"/>
  <c r="T259" i="3" s="1"/>
  <c r="S259" i="3" a="1"/>
  <c r="S259" i="3" s="1"/>
  <c r="R259" i="3" a="1"/>
  <c r="R259" i="3" s="1"/>
  <c r="Q259" i="3" a="1"/>
  <c r="Q259" i="3" s="1"/>
  <c r="P259" i="3" a="1"/>
  <c r="P259" i="3" s="1"/>
  <c r="O259" i="3" a="1"/>
  <c r="O259" i="3" s="1"/>
  <c r="N259" i="3" a="1"/>
  <c r="N259" i="3" s="1"/>
  <c r="M259" i="3" a="1"/>
  <c r="M259" i="3" s="1"/>
  <c r="L259" i="3" a="1"/>
  <c r="L259" i="3" s="1"/>
  <c r="K259" i="3" a="1"/>
  <c r="K259" i="3" s="1"/>
  <c r="J259" i="3" a="1"/>
  <c r="J259" i="3" s="1"/>
  <c r="I259" i="3" a="1"/>
  <c r="I259" i="3" s="1"/>
  <c r="H259" i="3" a="1"/>
  <c r="H259" i="3" s="1"/>
  <c r="G259" i="3" a="1"/>
  <c r="G259" i="3" s="1"/>
  <c r="F259" i="3" a="1"/>
  <c r="F259" i="3" s="1"/>
  <c r="AI258" i="3" a="1"/>
  <c r="AI258" i="3" s="1"/>
  <c r="AH258" i="3" a="1"/>
  <c r="AH258" i="3" s="1"/>
  <c r="AG258" i="3" a="1"/>
  <c r="AG258" i="3" s="1"/>
  <c r="AF258" i="3" a="1"/>
  <c r="AF258" i="3" s="1"/>
  <c r="AE258" i="3" a="1"/>
  <c r="AE258" i="3" s="1"/>
  <c r="AD258" i="3" a="1"/>
  <c r="AD258" i="3" s="1"/>
  <c r="AC258" i="3" a="1"/>
  <c r="AC258" i="3" s="1"/>
  <c r="AB258" i="3" a="1"/>
  <c r="AB258" i="3" s="1"/>
  <c r="AA258" i="3" a="1"/>
  <c r="AA258" i="3" s="1"/>
  <c r="Z258" i="3" a="1"/>
  <c r="Z258" i="3" s="1"/>
  <c r="Y258" i="3" a="1"/>
  <c r="Y258" i="3" s="1"/>
  <c r="X258" i="3" a="1"/>
  <c r="X258" i="3" s="1"/>
  <c r="W258" i="3" a="1"/>
  <c r="W258" i="3" s="1"/>
  <c r="V258" i="3" a="1"/>
  <c r="V258" i="3" s="1"/>
  <c r="U258" i="3" a="1"/>
  <c r="U258" i="3" s="1"/>
  <c r="T258" i="3" a="1"/>
  <c r="T258" i="3" s="1"/>
  <c r="S258" i="3" a="1"/>
  <c r="S258" i="3" s="1"/>
  <c r="R258" i="3" a="1"/>
  <c r="R258" i="3" s="1"/>
  <c r="Q258" i="3" a="1"/>
  <c r="Q258" i="3" s="1"/>
  <c r="P258" i="3" a="1"/>
  <c r="P258" i="3" s="1"/>
  <c r="O258" i="3" a="1"/>
  <c r="O258" i="3" s="1"/>
  <c r="N258" i="3" a="1"/>
  <c r="N258" i="3" s="1"/>
  <c r="M258" i="3" a="1"/>
  <c r="M258" i="3" s="1"/>
  <c r="L258" i="3" a="1"/>
  <c r="L258" i="3" s="1"/>
  <c r="K258" i="3" a="1"/>
  <c r="K258" i="3" s="1"/>
  <c r="J258" i="3" a="1"/>
  <c r="J258" i="3" s="1"/>
  <c r="I258" i="3" a="1"/>
  <c r="I258" i="3" s="1"/>
  <c r="H258" i="3" a="1"/>
  <c r="H258" i="3" s="1"/>
  <c r="G258" i="3" a="1"/>
  <c r="G258" i="3" s="1"/>
  <c r="F258" i="3" a="1"/>
  <c r="F258" i="3" s="1"/>
  <c r="AI257" i="3" a="1"/>
  <c r="AI257" i="3" s="1"/>
  <c r="AH257" i="3" a="1"/>
  <c r="AH257" i="3" s="1"/>
  <c r="AG257" i="3" a="1"/>
  <c r="AG257" i="3" s="1"/>
  <c r="AF257" i="3" a="1"/>
  <c r="AF257" i="3" s="1"/>
  <c r="AE257" i="3" a="1"/>
  <c r="AE257" i="3" s="1"/>
  <c r="AD257" i="3" a="1"/>
  <c r="AD257" i="3" s="1"/>
  <c r="AC257" i="3" a="1"/>
  <c r="AC257" i="3" s="1"/>
  <c r="AB257" i="3" a="1"/>
  <c r="AB257" i="3" s="1"/>
  <c r="AA257" i="3" a="1"/>
  <c r="AA257" i="3" s="1"/>
  <c r="Z257" i="3" a="1"/>
  <c r="Z257" i="3" s="1"/>
  <c r="Y257" i="3" a="1"/>
  <c r="Y257" i="3" s="1"/>
  <c r="X257" i="3" a="1"/>
  <c r="X257" i="3" s="1"/>
  <c r="W257" i="3" a="1"/>
  <c r="W257" i="3" s="1"/>
  <c r="V257" i="3" a="1"/>
  <c r="V257" i="3" s="1"/>
  <c r="U257" i="3" a="1"/>
  <c r="U257" i="3" s="1"/>
  <c r="T257" i="3" a="1"/>
  <c r="T257" i="3" s="1"/>
  <c r="S257" i="3" a="1"/>
  <c r="S257" i="3" s="1"/>
  <c r="R257" i="3" a="1"/>
  <c r="R257" i="3" s="1"/>
  <c r="Q257" i="3" a="1"/>
  <c r="Q257" i="3" s="1"/>
  <c r="P257" i="3" a="1"/>
  <c r="P257" i="3" s="1"/>
  <c r="O257" i="3" a="1"/>
  <c r="O257" i="3" s="1"/>
  <c r="N257" i="3" a="1"/>
  <c r="N257" i="3" s="1"/>
  <c r="M257" i="3" a="1"/>
  <c r="M257" i="3" s="1"/>
  <c r="L257" i="3" a="1"/>
  <c r="L257" i="3" s="1"/>
  <c r="K257" i="3" a="1"/>
  <c r="K257" i="3" s="1"/>
  <c r="J257" i="3" a="1"/>
  <c r="J257" i="3" s="1"/>
  <c r="I257" i="3" a="1"/>
  <c r="I257" i="3" s="1"/>
  <c r="H257" i="3" a="1"/>
  <c r="H257" i="3" s="1"/>
  <c r="G257" i="3" a="1"/>
  <c r="G257" i="3" s="1"/>
  <c r="F257" i="3" a="1"/>
  <c r="F257" i="3" s="1"/>
  <c r="AI256" i="3" a="1"/>
  <c r="AI256" i="3" s="1"/>
  <c r="AH256" i="3" a="1"/>
  <c r="AH256" i="3" s="1"/>
  <c r="AG256" i="3" a="1"/>
  <c r="AG256" i="3" s="1"/>
  <c r="AF256" i="3" a="1"/>
  <c r="AF256" i="3" s="1"/>
  <c r="AE256" i="3" a="1"/>
  <c r="AE256" i="3" s="1"/>
  <c r="AD256" i="3" a="1"/>
  <c r="AD256" i="3" s="1"/>
  <c r="AC256" i="3" a="1"/>
  <c r="AC256" i="3" s="1"/>
  <c r="AB256" i="3" a="1"/>
  <c r="AB256" i="3" s="1"/>
  <c r="AA256" i="3" a="1"/>
  <c r="AA256" i="3" s="1"/>
  <c r="Z256" i="3" a="1"/>
  <c r="Z256" i="3" s="1"/>
  <c r="Y256" i="3" a="1"/>
  <c r="Y256" i="3" s="1"/>
  <c r="X256" i="3" a="1"/>
  <c r="X256" i="3" s="1"/>
  <c r="W256" i="3" a="1"/>
  <c r="W256" i="3" s="1"/>
  <c r="V256" i="3" a="1"/>
  <c r="V256" i="3" s="1"/>
  <c r="U256" i="3" a="1"/>
  <c r="U256" i="3" s="1"/>
  <c r="T256" i="3" a="1"/>
  <c r="T256" i="3" s="1"/>
  <c r="S256" i="3" a="1"/>
  <c r="S256" i="3" s="1"/>
  <c r="R256" i="3" a="1"/>
  <c r="R256" i="3" s="1"/>
  <c r="Q256" i="3" a="1"/>
  <c r="Q256" i="3" s="1"/>
  <c r="P256" i="3" a="1"/>
  <c r="P256" i="3" s="1"/>
  <c r="O256" i="3" a="1"/>
  <c r="O256" i="3" s="1"/>
  <c r="N256" i="3" a="1"/>
  <c r="N256" i="3" s="1"/>
  <c r="M256" i="3" a="1"/>
  <c r="M256" i="3" s="1"/>
  <c r="L256" i="3" a="1"/>
  <c r="L256" i="3" s="1"/>
  <c r="K256" i="3" a="1"/>
  <c r="K256" i="3" s="1"/>
  <c r="J256" i="3" a="1"/>
  <c r="J256" i="3" s="1"/>
  <c r="I256" i="3" a="1"/>
  <c r="I256" i="3" s="1"/>
  <c r="H256" i="3" a="1"/>
  <c r="H256" i="3" s="1"/>
  <c r="G256" i="3" a="1"/>
  <c r="G256" i="3" s="1"/>
  <c r="F256" i="3" a="1"/>
  <c r="F256" i="3" s="1"/>
  <c r="AI255" i="3" a="1"/>
  <c r="AI255" i="3" s="1"/>
  <c r="AH255" i="3" a="1"/>
  <c r="AH255" i="3" s="1"/>
  <c r="AG255" i="3" a="1"/>
  <c r="AG255" i="3" s="1"/>
  <c r="AF255" i="3" a="1"/>
  <c r="AF255" i="3" s="1"/>
  <c r="AE255" i="3" a="1"/>
  <c r="AE255" i="3" s="1"/>
  <c r="AD255" i="3" a="1"/>
  <c r="AD255" i="3" s="1"/>
  <c r="AC255" i="3" a="1"/>
  <c r="AC255" i="3" s="1"/>
  <c r="AB255" i="3" a="1"/>
  <c r="AB255" i="3" s="1"/>
  <c r="AA255" i="3" a="1"/>
  <c r="AA255" i="3" s="1"/>
  <c r="Z255" i="3" a="1"/>
  <c r="Z255" i="3" s="1"/>
  <c r="Y255" i="3" a="1"/>
  <c r="Y255" i="3" s="1"/>
  <c r="X255" i="3" a="1"/>
  <c r="X255" i="3" s="1"/>
  <c r="W255" i="3" a="1"/>
  <c r="W255" i="3" s="1"/>
  <c r="V255" i="3" a="1"/>
  <c r="V255" i="3" s="1"/>
  <c r="U255" i="3" a="1"/>
  <c r="U255" i="3" s="1"/>
  <c r="T255" i="3" a="1"/>
  <c r="T255" i="3" s="1"/>
  <c r="S255" i="3" a="1"/>
  <c r="S255" i="3" s="1"/>
  <c r="R255" i="3" a="1"/>
  <c r="R255" i="3" s="1"/>
  <c r="Q255" i="3" a="1"/>
  <c r="Q255" i="3" s="1"/>
  <c r="P255" i="3" a="1"/>
  <c r="P255" i="3" s="1"/>
  <c r="O255" i="3" a="1"/>
  <c r="O255" i="3" s="1"/>
  <c r="N255" i="3" a="1"/>
  <c r="N255" i="3" s="1"/>
  <c r="M255" i="3" a="1"/>
  <c r="M255" i="3" s="1"/>
  <c r="L255" i="3" a="1"/>
  <c r="L255" i="3" s="1"/>
  <c r="K255" i="3" a="1"/>
  <c r="K255" i="3" s="1"/>
  <c r="J255" i="3" a="1"/>
  <c r="J255" i="3" s="1"/>
  <c r="I255" i="3" a="1"/>
  <c r="I255" i="3" s="1"/>
  <c r="H255" i="3" a="1"/>
  <c r="H255" i="3" s="1"/>
  <c r="G255" i="3" a="1"/>
  <c r="G255" i="3" s="1"/>
  <c r="F255" i="3" a="1"/>
  <c r="F255" i="3" s="1"/>
  <c r="AI254" i="3" a="1"/>
  <c r="AI254" i="3" s="1"/>
  <c r="AH254" i="3" a="1"/>
  <c r="AH254" i="3" s="1"/>
  <c r="AG254" i="3" a="1"/>
  <c r="AG254" i="3" s="1"/>
  <c r="AF254" i="3" a="1"/>
  <c r="AF254" i="3" s="1"/>
  <c r="AE254" i="3" a="1"/>
  <c r="AE254" i="3" s="1"/>
  <c r="AD254" i="3" a="1"/>
  <c r="AD254" i="3" s="1"/>
  <c r="AC254" i="3" a="1"/>
  <c r="AC254" i="3" s="1"/>
  <c r="AB254" i="3" a="1"/>
  <c r="AB254" i="3" s="1"/>
  <c r="AA254" i="3" a="1"/>
  <c r="AA254" i="3" s="1"/>
  <c r="Z254" i="3" a="1"/>
  <c r="Z254" i="3" s="1"/>
  <c r="Y254" i="3" a="1"/>
  <c r="Y254" i="3" s="1"/>
  <c r="X254" i="3" a="1"/>
  <c r="X254" i="3" s="1"/>
  <c r="W254" i="3" a="1"/>
  <c r="W254" i="3" s="1"/>
  <c r="V254" i="3" a="1"/>
  <c r="V254" i="3" s="1"/>
  <c r="U254" i="3" a="1"/>
  <c r="U254" i="3" s="1"/>
  <c r="T254" i="3" a="1"/>
  <c r="T254" i="3" s="1"/>
  <c r="S254" i="3" a="1"/>
  <c r="S254" i="3" s="1"/>
  <c r="R254" i="3" a="1"/>
  <c r="R254" i="3" s="1"/>
  <c r="Q254" i="3" a="1"/>
  <c r="Q254" i="3" s="1"/>
  <c r="P254" i="3" a="1"/>
  <c r="P254" i="3" s="1"/>
  <c r="O254" i="3" a="1"/>
  <c r="O254" i="3" s="1"/>
  <c r="N254" i="3" a="1"/>
  <c r="N254" i="3" s="1"/>
  <c r="M254" i="3" a="1"/>
  <c r="M254" i="3" s="1"/>
  <c r="L254" i="3" a="1"/>
  <c r="L254" i="3" s="1"/>
  <c r="K254" i="3" a="1"/>
  <c r="K254" i="3" s="1"/>
  <c r="J254" i="3" a="1"/>
  <c r="J254" i="3" s="1"/>
  <c r="I254" i="3" a="1"/>
  <c r="I254" i="3" s="1"/>
  <c r="H254" i="3" a="1"/>
  <c r="H254" i="3" s="1"/>
  <c r="G254" i="3" a="1"/>
  <c r="G254" i="3" s="1"/>
  <c r="F254" i="3" a="1"/>
  <c r="F254" i="3" s="1"/>
  <c r="AI253" i="3" a="1"/>
  <c r="AI253" i="3" s="1"/>
  <c r="AH253" i="3" a="1"/>
  <c r="AH253" i="3" s="1"/>
  <c r="AG253" i="3" a="1"/>
  <c r="AG253" i="3" s="1"/>
  <c r="AF253" i="3" a="1"/>
  <c r="AF253" i="3" s="1"/>
  <c r="AE253" i="3" a="1"/>
  <c r="AE253" i="3" s="1"/>
  <c r="AD253" i="3" a="1"/>
  <c r="AD253" i="3" s="1"/>
  <c r="AC253" i="3" a="1"/>
  <c r="AC253" i="3" s="1"/>
  <c r="AB253" i="3" a="1"/>
  <c r="AB253" i="3" s="1"/>
  <c r="AA253" i="3" a="1"/>
  <c r="AA253" i="3" s="1"/>
  <c r="Z253" i="3" a="1"/>
  <c r="Z253" i="3" s="1"/>
  <c r="Y253" i="3" a="1"/>
  <c r="Y253" i="3" s="1"/>
  <c r="X253" i="3" a="1"/>
  <c r="X253" i="3" s="1"/>
  <c r="W253" i="3" a="1"/>
  <c r="W253" i="3" s="1"/>
  <c r="V253" i="3" a="1"/>
  <c r="V253" i="3" s="1"/>
  <c r="U253" i="3" a="1"/>
  <c r="U253" i="3" s="1"/>
  <c r="T253" i="3" a="1"/>
  <c r="T253" i="3" s="1"/>
  <c r="S253" i="3" a="1"/>
  <c r="S253" i="3" s="1"/>
  <c r="R253" i="3" a="1"/>
  <c r="R253" i="3" s="1"/>
  <c r="Q253" i="3" a="1"/>
  <c r="Q253" i="3" s="1"/>
  <c r="P253" i="3" a="1"/>
  <c r="P253" i="3" s="1"/>
  <c r="O253" i="3" a="1"/>
  <c r="O253" i="3" s="1"/>
  <c r="N253" i="3" a="1"/>
  <c r="N253" i="3" s="1"/>
  <c r="M253" i="3" a="1"/>
  <c r="M253" i="3" s="1"/>
  <c r="L253" i="3" a="1"/>
  <c r="L253" i="3" s="1"/>
  <c r="K253" i="3" a="1"/>
  <c r="K253" i="3" s="1"/>
  <c r="J253" i="3" a="1"/>
  <c r="J253" i="3" s="1"/>
  <c r="I253" i="3" a="1"/>
  <c r="I253" i="3" s="1"/>
  <c r="H253" i="3" a="1"/>
  <c r="H253" i="3" s="1"/>
  <c r="G253" i="3" a="1"/>
  <c r="G253" i="3" s="1"/>
  <c r="F253" i="3" a="1"/>
  <c r="F253" i="3" s="1"/>
  <c r="AI252" i="3" a="1"/>
  <c r="AI252" i="3" s="1"/>
  <c r="AH252" i="3" a="1"/>
  <c r="AH252" i="3" s="1"/>
  <c r="AG252" i="3" a="1"/>
  <c r="AG252" i="3" s="1"/>
  <c r="AF252" i="3" a="1"/>
  <c r="AF252" i="3" s="1"/>
  <c r="AE252" i="3" a="1"/>
  <c r="AE252" i="3" s="1"/>
  <c r="AD252" i="3" a="1"/>
  <c r="AD252" i="3" s="1"/>
  <c r="AC252" i="3" a="1"/>
  <c r="AC252" i="3" s="1"/>
  <c r="AB252" i="3" a="1"/>
  <c r="AB252" i="3" s="1"/>
  <c r="AA252" i="3" a="1"/>
  <c r="AA252" i="3" s="1"/>
  <c r="Z252" i="3" a="1"/>
  <c r="Z252" i="3" s="1"/>
  <c r="Y252" i="3" a="1"/>
  <c r="Y252" i="3" s="1"/>
  <c r="X252" i="3" a="1"/>
  <c r="X252" i="3" s="1"/>
  <c r="W252" i="3" a="1"/>
  <c r="W252" i="3" s="1"/>
  <c r="V252" i="3" a="1"/>
  <c r="V252" i="3" s="1"/>
  <c r="U252" i="3" a="1"/>
  <c r="U252" i="3" s="1"/>
  <c r="T252" i="3" a="1"/>
  <c r="T252" i="3" s="1"/>
  <c r="S252" i="3" a="1"/>
  <c r="S252" i="3" s="1"/>
  <c r="R252" i="3" a="1"/>
  <c r="R252" i="3" s="1"/>
  <c r="Q252" i="3" a="1"/>
  <c r="Q252" i="3" s="1"/>
  <c r="P252" i="3" a="1"/>
  <c r="P252" i="3" s="1"/>
  <c r="O252" i="3" a="1"/>
  <c r="O252" i="3" s="1"/>
  <c r="N252" i="3" a="1"/>
  <c r="N252" i="3" s="1"/>
  <c r="M252" i="3" a="1"/>
  <c r="M252" i="3" s="1"/>
  <c r="L252" i="3" a="1"/>
  <c r="L252" i="3" s="1"/>
  <c r="K252" i="3" a="1"/>
  <c r="K252" i="3" s="1"/>
  <c r="J252" i="3" a="1"/>
  <c r="J252" i="3" s="1"/>
  <c r="I252" i="3" a="1"/>
  <c r="I252" i="3" s="1"/>
  <c r="H252" i="3" a="1"/>
  <c r="H252" i="3" s="1"/>
  <c r="G252" i="3" a="1"/>
  <c r="G252" i="3" s="1"/>
  <c r="F252" i="3" a="1"/>
  <c r="F252" i="3" s="1"/>
  <c r="AI251" i="3" a="1"/>
  <c r="AI251" i="3" s="1"/>
  <c r="AH251" i="3" a="1"/>
  <c r="AH251" i="3" s="1"/>
  <c r="AG251" i="3" a="1"/>
  <c r="AG251" i="3" s="1"/>
  <c r="AF251" i="3" a="1"/>
  <c r="AF251" i="3" s="1"/>
  <c r="AE251" i="3" a="1"/>
  <c r="AE251" i="3" s="1"/>
  <c r="AD251" i="3" a="1"/>
  <c r="AD251" i="3" s="1"/>
  <c r="AC251" i="3" a="1"/>
  <c r="AC251" i="3" s="1"/>
  <c r="AB251" i="3" a="1"/>
  <c r="AB251" i="3" s="1"/>
  <c r="AA251" i="3" a="1"/>
  <c r="AA251" i="3" s="1"/>
  <c r="Z251" i="3" a="1"/>
  <c r="Z251" i="3" s="1"/>
  <c r="Y251" i="3" a="1"/>
  <c r="Y251" i="3" s="1"/>
  <c r="X251" i="3" a="1"/>
  <c r="X251" i="3" s="1"/>
  <c r="W251" i="3" a="1"/>
  <c r="W251" i="3" s="1"/>
  <c r="V251" i="3" a="1"/>
  <c r="V251" i="3" s="1"/>
  <c r="U251" i="3" a="1"/>
  <c r="U251" i="3" s="1"/>
  <c r="T251" i="3" a="1"/>
  <c r="T251" i="3" s="1"/>
  <c r="S251" i="3" a="1"/>
  <c r="S251" i="3" s="1"/>
  <c r="R251" i="3" a="1"/>
  <c r="R251" i="3" s="1"/>
  <c r="Q251" i="3" a="1"/>
  <c r="Q251" i="3" s="1"/>
  <c r="P251" i="3" a="1"/>
  <c r="P251" i="3" s="1"/>
  <c r="O251" i="3" a="1"/>
  <c r="O251" i="3" s="1"/>
  <c r="N251" i="3" a="1"/>
  <c r="N251" i="3" s="1"/>
  <c r="M251" i="3" a="1"/>
  <c r="M251" i="3" s="1"/>
  <c r="L251" i="3" a="1"/>
  <c r="L251" i="3" s="1"/>
  <c r="K251" i="3" a="1"/>
  <c r="K251" i="3" s="1"/>
  <c r="J251" i="3" a="1"/>
  <c r="J251" i="3" s="1"/>
  <c r="I251" i="3" a="1"/>
  <c r="I251" i="3" s="1"/>
  <c r="H251" i="3" a="1"/>
  <c r="H251" i="3" s="1"/>
  <c r="G251" i="3" a="1"/>
  <c r="G251" i="3" s="1"/>
  <c r="F251" i="3" a="1"/>
  <c r="F251" i="3" s="1"/>
  <c r="AI250" i="3" a="1"/>
  <c r="AI250" i="3" s="1"/>
  <c r="AH250" i="3" a="1"/>
  <c r="AH250" i="3" s="1"/>
  <c r="AG250" i="3" a="1"/>
  <c r="AG250" i="3" s="1"/>
  <c r="AF250" i="3" a="1"/>
  <c r="AF250" i="3" s="1"/>
  <c r="AE250" i="3" a="1"/>
  <c r="AE250" i="3" s="1"/>
  <c r="AD250" i="3" a="1"/>
  <c r="AD250" i="3" s="1"/>
  <c r="AC250" i="3" a="1"/>
  <c r="AC250" i="3" s="1"/>
  <c r="AB250" i="3" a="1"/>
  <c r="AB250" i="3" s="1"/>
  <c r="AA250" i="3" a="1"/>
  <c r="AA250" i="3" s="1"/>
  <c r="Z250" i="3" a="1"/>
  <c r="Z250" i="3" s="1"/>
  <c r="Y250" i="3" a="1"/>
  <c r="Y250" i="3" s="1"/>
  <c r="X250" i="3" a="1"/>
  <c r="X250" i="3" s="1"/>
  <c r="W250" i="3" a="1"/>
  <c r="W250" i="3" s="1"/>
  <c r="V250" i="3" a="1"/>
  <c r="V250" i="3" s="1"/>
  <c r="U250" i="3" a="1"/>
  <c r="U250" i="3" s="1"/>
  <c r="T250" i="3" a="1"/>
  <c r="T250" i="3" s="1"/>
  <c r="S250" i="3" a="1"/>
  <c r="S250" i="3" s="1"/>
  <c r="R250" i="3" a="1"/>
  <c r="R250" i="3" s="1"/>
  <c r="Q250" i="3" a="1"/>
  <c r="Q250" i="3" s="1"/>
  <c r="P250" i="3" a="1"/>
  <c r="P250" i="3" s="1"/>
  <c r="O250" i="3" a="1"/>
  <c r="O250" i="3" s="1"/>
  <c r="N250" i="3" a="1"/>
  <c r="N250" i="3" s="1"/>
  <c r="M250" i="3" a="1"/>
  <c r="M250" i="3" s="1"/>
  <c r="L250" i="3" a="1"/>
  <c r="L250" i="3" s="1"/>
  <c r="K250" i="3" a="1"/>
  <c r="K250" i="3" s="1"/>
  <c r="J250" i="3" a="1"/>
  <c r="J250" i="3" s="1"/>
  <c r="I250" i="3" a="1"/>
  <c r="I250" i="3" s="1"/>
  <c r="H250" i="3" a="1"/>
  <c r="H250" i="3" s="1"/>
  <c r="G250" i="3" a="1"/>
  <c r="G250" i="3" s="1"/>
  <c r="F250" i="3" a="1"/>
  <c r="F250" i="3" s="1"/>
  <c r="AI249" i="3" a="1"/>
  <c r="AI249" i="3" s="1"/>
  <c r="AH249" i="3" a="1"/>
  <c r="AH249" i="3" s="1"/>
  <c r="AG249" i="3" a="1"/>
  <c r="AG249" i="3" s="1"/>
  <c r="AF249" i="3" a="1"/>
  <c r="AF249" i="3" s="1"/>
  <c r="AE249" i="3" a="1"/>
  <c r="AE249" i="3" s="1"/>
  <c r="AD249" i="3" a="1"/>
  <c r="AD249" i="3" s="1"/>
  <c r="AC249" i="3" a="1"/>
  <c r="AC249" i="3" s="1"/>
  <c r="AB249" i="3" a="1"/>
  <c r="AB249" i="3" s="1"/>
  <c r="AA249" i="3" a="1"/>
  <c r="AA249" i="3" s="1"/>
  <c r="Z249" i="3" a="1"/>
  <c r="Z249" i="3" s="1"/>
  <c r="Y249" i="3" a="1"/>
  <c r="Y249" i="3" s="1"/>
  <c r="X249" i="3" a="1"/>
  <c r="X249" i="3" s="1"/>
  <c r="W249" i="3" a="1"/>
  <c r="W249" i="3" s="1"/>
  <c r="V249" i="3" a="1"/>
  <c r="V249" i="3" s="1"/>
  <c r="U249" i="3" a="1"/>
  <c r="U249" i="3" s="1"/>
  <c r="T249" i="3" a="1"/>
  <c r="T249" i="3" s="1"/>
  <c r="S249" i="3" a="1"/>
  <c r="S249" i="3" s="1"/>
  <c r="R249" i="3" a="1"/>
  <c r="R249" i="3" s="1"/>
  <c r="Q249" i="3" a="1"/>
  <c r="Q249" i="3" s="1"/>
  <c r="P249" i="3" a="1"/>
  <c r="P249" i="3" s="1"/>
  <c r="O249" i="3" a="1"/>
  <c r="O249" i="3" s="1"/>
  <c r="N249" i="3" a="1"/>
  <c r="N249" i="3" s="1"/>
  <c r="M249" i="3" a="1"/>
  <c r="M249" i="3" s="1"/>
  <c r="L249" i="3" a="1"/>
  <c r="L249" i="3" s="1"/>
  <c r="K249" i="3" a="1"/>
  <c r="K249" i="3" s="1"/>
  <c r="J249" i="3" a="1"/>
  <c r="J249" i="3" s="1"/>
  <c r="I249" i="3" a="1"/>
  <c r="I249" i="3" s="1"/>
  <c r="H249" i="3" a="1"/>
  <c r="H249" i="3" s="1"/>
  <c r="G249" i="3" a="1"/>
  <c r="G249" i="3" s="1"/>
  <c r="F249" i="3" a="1"/>
  <c r="F249" i="3" s="1"/>
  <c r="AI248" i="3" a="1"/>
  <c r="AI248" i="3" s="1"/>
  <c r="AH248" i="3" a="1"/>
  <c r="AH248" i="3" s="1"/>
  <c r="AG248" i="3" a="1"/>
  <c r="AG248" i="3" s="1"/>
  <c r="AF248" i="3" a="1"/>
  <c r="AF248" i="3" s="1"/>
  <c r="AE248" i="3" a="1"/>
  <c r="AE248" i="3" s="1"/>
  <c r="AD248" i="3" a="1"/>
  <c r="AD248" i="3" s="1"/>
  <c r="AC248" i="3" a="1"/>
  <c r="AC248" i="3" s="1"/>
  <c r="AB248" i="3" a="1"/>
  <c r="AB248" i="3" s="1"/>
  <c r="AA248" i="3" a="1"/>
  <c r="AA248" i="3" s="1"/>
  <c r="Z248" i="3" a="1"/>
  <c r="Z248" i="3" s="1"/>
  <c r="Y248" i="3" a="1"/>
  <c r="Y248" i="3" s="1"/>
  <c r="X248" i="3" a="1"/>
  <c r="X248" i="3" s="1"/>
  <c r="W248" i="3" a="1"/>
  <c r="W248" i="3" s="1"/>
  <c r="V248" i="3" a="1"/>
  <c r="V248" i="3" s="1"/>
  <c r="U248" i="3" a="1"/>
  <c r="U248" i="3" s="1"/>
  <c r="T248" i="3" a="1"/>
  <c r="T248" i="3" s="1"/>
  <c r="S248" i="3" a="1"/>
  <c r="S248" i="3" s="1"/>
  <c r="R248" i="3" a="1"/>
  <c r="R248" i="3" s="1"/>
  <c r="Q248" i="3" a="1"/>
  <c r="Q248" i="3" s="1"/>
  <c r="P248" i="3" a="1"/>
  <c r="P248" i="3" s="1"/>
  <c r="O248" i="3" a="1"/>
  <c r="O248" i="3" s="1"/>
  <c r="N248" i="3" a="1"/>
  <c r="N248" i="3" s="1"/>
  <c r="M248" i="3" a="1"/>
  <c r="M248" i="3" s="1"/>
  <c r="L248" i="3" a="1"/>
  <c r="L248" i="3" s="1"/>
  <c r="K248" i="3" a="1"/>
  <c r="K248" i="3" s="1"/>
  <c r="J248" i="3" a="1"/>
  <c r="J248" i="3" s="1"/>
  <c r="I248" i="3" a="1"/>
  <c r="I248" i="3" s="1"/>
  <c r="H248" i="3" a="1"/>
  <c r="H248" i="3" s="1"/>
  <c r="G248" i="3" a="1"/>
  <c r="G248" i="3" s="1"/>
  <c r="F248" i="3" a="1"/>
  <c r="F248" i="3" s="1"/>
  <c r="AI247" i="3" a="1"/>
  <c r="AI247" i="3" s="1"/>
  <c r="AH247" i="3" a="1"/>
  <c r="AH247" i="3" s="1"/>
  <c r="AG247" i="3" a="1"/>
  <c r="AG247" i="3" s="1"/>
  <c r="AF247" i="3" a="1"/>
  <c r="AF247" i="3" s="1"/>
  <c r="AE247" i="3" a="1"/>
  <c r="AE247" i="3" s="1"/>
  <c r="AD247" i="3" a="1"/>
  <c r="AD247" i="3" s="1"/>
  <c r="AC247" i="3" a="1"/>
  <c r="AC247" i="3" s="1"/>
  <c r="AB247" i="3" a="1"/>
  <c r="AB247" i="3" s="1"/>
  <c r="AA247" i="3" a="1"/>
  <c r="AA247" i="3" s="1"/>
  <c r="Z247" i="3" a="1"/>
  <c r="Z247" i="3" s="1"/>
  <c r="Y247" i="3" a="1"/>
  <c r="Y247" i="3" s="1"/>
  <c r="X247" i="3" a="1"/>
  <c r="X247" i="3" s="1"/>
  <c r="W247" i="3" a="1"/>
  <c r="W247" i="3" s="1"/>
  <c r="V247" i="3" a="1"/>
  <c r="V247" i="3" s="1"/>
  <c r="U247" i="3" a="1"/>
  <c r="U247" i="3" s="1"/>
  <c r="T247" i="3" a="1"/>
  <c r="T247" i="3" s="1"/>
  <c r="S247" i="3" a="1"/>
  <c r="S247" i="3" s="1"/>
  <c r="R247" i="3" a="1"/>
  <c r="R247" i="3" s="1"/>
  <c r="Q247" i="3" a="1"/>
  <c r="Q247" i="3" s="1"/>
  <c r="P247" i="3" a="1"/>
  <c r="P247" i="3" s="1"/>
  <c r="O247" i="3" a="1"/>
  <c r="O247" i="3" s="1"/>
  <c r="N247" i="3" a="1"/>
  <c r="N247" i="3" s="1"/>
  <c r="M247" i="3" a="1"/>
  <c r="M247" i="3" s="1"/>
  <c r="L247" i="3" a="1"/>
  <c r="L247" i="3" s="1"/>
  <c r="K247" i="3" a="1"/>
  <c r="K247" i="3" s="1"/>
  <c r="J247" i="3" a="1"/>
  <c r="J247" i="3" s="1"/>
  <c r="I247" i="3" a="1"/>
  <c r="I247" i="3" s="1"/>
  <c r="H247" i="3" a="1"/>
  <c r="H247" i="3" s="1"/>
  <c r="G247" i="3" a="1"/>
  <c r="G247" i="3" s="1"/>
  <c r="F247" i="3" a="1"/>
  <c r="F247" i="3" s="1"/>
  <c r="AI246" i="3" a="1"/>
  <c r="AI246" i="3" s="1"/>
  <c r="AH246" i="3" a="1"/>
  <c r="AH246" i="3" s="1"/>
  <c r="AG246" i="3" a="1"/>
  <c r="AG246" i="3" s="1"/>
  <c r="AF246" i="3" a="1"/>
  <c r="AF246" i="3" s="1"/>
  <c r="AE246" i="3" a="1"/>
  <c r="AE246" i="3" s="1"/>
  <c r="AD246" i="3" a="1"/>
  <c r="AD246" i="3" s="1"/>
  <c r="AC246" i="3" a="1"/>
  <c r="AC246" i="3" s="1"/>
  <c r="AB246" i="3" a="1"/>
  <c r="AB246" i="3" s="1"/>
  <c r="AA246" i="3" a="1"/>
  <c r="AA246" i="3" s="1"/>
  <c r="Z246" i="3" a="1"/>
  <c r="Z246" i="3" s="1"/>
  <c r="Y246" i="3" a="1"/>
  <c r="Y246" i="3" s="1"/>
  <c r="X246" i="3" a="1"/>
  <c r="X246" i="3" s="1"/>
  <c r="W246" i="3" a="1"/>
  <c r="W246" i="3" s="1"/>
  <c r="V246" i="3" a="1"/>
  <c r="V246" i="3" s="1"/>
  <c r="U246" i="3" a="1"/>
  <c r="U246" i="3" s="1"/>
  <c r="T246" i="3" a="1"/>
  <c r="T246" i="3" s="1"/>
  <c r="S246" i="3" a="1"/>
  <c r="S246" i="3" s="1"/>
  <c r="R246" i="3" a="1"/>
  <c r="R246" i="3" s="1"/>
  <c r="Q246" i="3" a="1"/>
  <c r="Q246" i="3" s="1"/>
  <c r="P246" i="3" a="1"/>
  <c r="P246" i="3" s="1"/>
  <c r="O246" i="3" a="1"/>
  <c r="O246" i="3" s="1"/>
  <c r="N246" i="3" a="1"/>
  <c r="N246" i="3" s="1"/>
  <c r="M246" i="3" a="1"/>
  <c r="M246" i="3" s="1"/>
  <c r="L246" i="3" a="1"/>
  <c r="L246" i="3" s="1"/>
  <c r="K246" i="3" a="1"/>
  <c r="K246" i="3" s="1"/>
  <c r="J246" i="3" a="1"/>
  <c r="J246" i="3" s="1"/>
  <c r="I246" i="3" a="1"/>
  <c r="I246" i="3" s="1"/>
  <c r="H246" i="3" a="1"/>
  <c r="H246" i="3" s="1"/>
  <c r="G246" i="3" a="1"/>
  <c r="G246" i="3" s="1"/>
  <c r="F246" i="3" a="1"/>
  <c r="F246" i="3" s="1"/>
  <c r="AI245" i="3" a="1"/>
  <c r="AI245" i="3" s="1"/>
  <c r="AH245" i="3" a="1"/>
  <c r="AH245" i="3" s="1"/>
  <c r="AG245" i="3" a="1"/>
  <c r="AG245" i="3" s="1"/>
  <c r="AF245" i="3" a="1"/>
  <c r="AF245" i="3" s="1"/>
  <c r="AE245" i="3" a="1"/>
  <c r="AE245" i="3" s="1"/>
  <c r="AD245" i="3" a="1"/>
  <c r="AD245" i="3" s="1"/>
  <c r="AC245" i="3" a="1"/>
  <c r="AC245" i="3" s="1"/>
  <c r="AB245" i="3" a="1"/>
  <c r="AB245" i="3" s="1"/>
  <c r="AA245" i="3" a="1"/>
  <c r="AA245" i="3" s="1"/>
  <c r="Z245" i="3" a="1"/>
  <c r="Z245" i="3" s="1"/>
  <c r="Y245" i="3" a="1"/>
  <c r="Y245" i="3" s="1"/>
  <c r="X245" i="3" a="1"/>
  <c r="X245" i="3" s="1"/>
  <c r="W245" i="3" a="1"/>
  <c r="W245" i="3" s="1"/>
  <c r="V245" i="3" a="1"/>
  <c r="V245" i="3" s="1"/>
  <c r="U245" i="3" a="1"/>
  <c r="U245" i="3" s="1"/>
  <c r="T245" i="3" a="1"/>
  <c r="T245" i="3" s="1"/>
  <c r="S245" i="3" a="1"/>
  <c r="S245" i="3" s="1"/>
  <c r="R245" i="3" a="1"/>
  <c r="R245" i="3" s="1"/>
  <c r="Q245" i="3" a="1"/>
  <c r="Q245" i="3" s="1"/>
  <c r="P245" i="3" a="1"/>
  <c r="P245" i="3" s="1"/>
  <c r="O245" i="3" a="1"/>
  <c r="O245" i="3" s="1"/>
  <c r="N245" i="3" a="1"/>
  <c r="N245" i="3" s="1"/>
  <c r="M245" i="3" a="1"/>
  <c r="M245" i="3" s="1"/>
  <c r="L245" i="3" a="1"/>
  <c r="L245" i="3" s="1"/>
  <c r="K245" i="3" a="1"/>
  <c r="K245" i="3" s="1"/>
  <c r="J245" i="3" a="1"/>
  <c r="J245" i="3" s="1"/>
  <c r="I245" i="3" a="1"/>
  <c r="I245" i="3" s="1"/>
  <c r="H245" i="3" a="1"/>
  <c r="H245" i="3" s="1"/>
  <c r="G245" i="3" a="1"/>
  <c r="G245" i="3" s="1"/>
  <c r="F245" i="3" a="1"/>
  <c r="F245" i="3" s="1"/>
  <c r="AI244" i="3" a="1"/>
  <c r="AI244" i="3" s="1"/>
  <c r="AH244" i="3" a="1"/>
  <c r="AH244" i="3" s="1"/>
  <c r="AG244" i="3" a="1"/>
  <c r="AG244" i="3" s="1"/>
  <c r="AF244" i="3" a="1"/>
  <c r="AF244" i="3" s="1"/>
  <c r="AE244" i="3" a="1"/>
  <c r="AE244" i="3" s="1"/>
  <c r="AD244" i="3" a="1"/>
  <c r="AD244" i="3" s="1"/>
  <c r="AC244" i="3" a="1"/>
  <c r="AC244" i="3" s="1"/>
  <c r="AB244" i="3" a="1"/>
  <c r="AB244" i="3" s="1"/>
  <c r="AA244" i="3" a="1"/>
  <c r="AA244" i="3" s="1"/>
  <c r="Z244" i="3" a="1"/>
  <c r="Z244" i="3" s="1"/>
  <c r="Y244" i="3" a="1"/>
  <c r="Y244" i="3" s="1"/>
  <c r="X244" i="3" a="1"/>
  <c r="X244" i="3" s="1"/>
  <c r="W244" i="3" a="1"/>
  <c r="W244" i="3" s="1"/>
  <c r="V244" i="3" a="1"/>
  <c r="V244" i="3" s="1"/>
  <c r="U244" i="3" a="1"/>
  <c r="U244" i="3" s="1"/>
  <c r="T244" i="3" a="1"/>
  <c r="T244" i="3" s="1"/>
  <c r="S244" i="3" a="1"/>
  <c r="S244" i="3" s="1"/>
  <c r="R244" i="3" a="1"/>
  <c r="R244" i="3" s="1"/>
  <c r="Q244" i="3" a="1"/>
  <c r="Q244" i="3" s="1"/>
  <c r="P244" i="3" a="1"/>
  <c r="P244" i="3" s="1"/>
  <c r="O244" i="3" a="1"/>
  <c r="O244" i="3" s="1"/>
  <c r="N244" i="3" a="1"/>
  <c r="N244" i="3" s="1"/>
  <c r="M244" i="3" a="1"/>
  <c r="M244" i="3" s="1"/>
  <c r="L244" i="3" a="1"/>
  <c r="L244" i="3" s="1"/>
  <c r="K244" i="3" a="1"/>
  <c r="K244" i="3" s="1"/>
  <c r="J244" i="3" a="1"/>
  <c r="J244" i="3" s="1"/>
  <c r="I244" i="3" a="1"/>
  <c r="I244" i="3" s="1"/>
  <c r="H244" i="3" a="1"/>
  <c r="H244" i="3" s="1"/>
  <c r="G244" i="3" a="1"/>
  <c r="G244" i="3" s="1"/>
  <c r="F244" i="3" a="1"/>
  <c r="F244" i="3" s="1"/>
  <c r="AI243" i="3" a="1"/>
  <c r="AI243" i="3" s="1"/>
  <c r="AH243" i="3" a="1"/>
  <c r="AH243" i="3" s="1"/>
  <c r="AG243" i="3" a="1"/>
  <c r="AG243" i="3" s="1"/>
  <c r="AF243" i="3" a="1"/>
  <c r="AF243" i="3" s="1"/>
  <c r="AE243" i="3" a="1"/>
  <c r="AE243" i="3" s="1"/>
  <c r="AD243" i="3" a="1"/>
  <c r="AD243" i="3" s="1"/>
  <c r="AC243" i="3" a="1"/>
  <c r="AC243" i="3" s="1"/>
  <c r="AB243" i="3" a="1"/>
  <c r="AB243" i="3" s="1"/>
  <c r="AA243" i="3" a="1"/>
  <c r="AA243" i="3" s="1"/>
  <c r="Z243" i="3" a="1"/>
  <c r="Z243" i="3" s="1"/>
  <c r="Y243" i="3" a="1"/>
  <c r="Y243" i="3" s="1"/>
  <c r="X243" i="3" a="1"/>
  <c r="X243" i="3" s="1"/>
  <c r="W243" i="3" a="1"/>
  <c r="W243" i="3" s="1"/>
  <c r="V243" i="3" a="1"/>
  <c r="V243" i="3" s="1"/>
  <c r="U243" i="3" a="1"/>
  <c r="U243" i="3" s="1"/>
  <c r="T243" i="3" a="1"/>
  <c r="T243" i="3" s="1"/>
  <c r="S243" i="3" a="1"/>
  <c r="S243" i="3" s="1"/>
  <c r="R243" i="3" a="1"/>
  <c r="R243" i="3" s="1"/>
  <c r="Q243" i="3" a="1"/>
  <c r="Q243" i="3" s="1"/>
  <c r="P243" i="3" a="1"/>
  <c r="P243" i="3" s="1"/>
  <c r="O243" i="3" a="1"/>
  <c r="O243" i="3" s="1"/>
  <c r="N243" i="3" a="1"/>
  <c r="N243" i="3" s="1"/>
  <c r="M243" i="3" a="1"/>
  <c r="M243" i="3" s="1"/>
  <c r="L243" i="3" a="1"/>
  <c r="L243" i="3" s="1"/>
  <c r="K243" i="3" a="1"/>
  <c r="K243" i="3" s="1"/>
  <c r="J243" i="3" a="1"/>
  <c r="J243" i="3" s="1"/>
  <c r="I243" i="3" a="1"/>
  <c r="I243" i="3" s="1"/>
  <c r="H243" i="3" a="1"/>
  <c r="H243" i="3" s="1"/>
  <c r="G243" i="3" a="1"/>
  <c r="G243" i="3" s="1"/>
  <c r="F243" i="3" a="1"/>
  <c r="F243" i="3" s="1"/>
  <c r="AI242" i="3" a="1"/>
  <c r="AI242" i="3" s="1"/>
  <c r="AH242" i="3" a="1"/>
  <c r="AH242" i="3" s="1"/>
  <c r="AG242" i="3" a="1"/>
  <c r="AG242" i="3" s="1"/>
  <c r="AF242" i="3" a="1"/>
  <c r="AF242" i="3" s="1"/>
  <c r="AE242" i="3" a="1"/>
  <c r="AE242" i="3" s="1"/>
  <c r="AD242" i="3" a="1"/>
  <c r="AD242" i="3" s="1"/>
  <c r="AC242" i="3" a="1"/>
  <c r="AC242" i="3" s="1"/>
  <c r="AB242" i="3" a="1"/>
  <c r="AB242" i="3" s="1"/>
  <c r="AA242" i="3" a="1"/>
  <c r="AA242" i="3" s="1"/>
  <c r="Z242" i="3" a="1"/>
  <c r="Z242" i="3" s="1"/>
  <c r="Y242" i="3" a="1"/>
  <c r="Y242" i="3" s="1"/>
  <c r="X242" i="3" a="1"/>
  <c r="X242" i="3" s="1"/>
  <c r="W242" i="3" a="1"/>
  <c r="W242" i="3" s="1"/>
  <c r="V242" i="3" a="1"/>
  <c r="V242" i="3" s="1"/>
  <c r="U242" i="3" a="1"/>
  <c r="U242" i="3" s="1"/>
  <c r="T242" i="3" a="1"/>
  <c r="T242" i="3" s="1"/>
  <c r="S242" i="3" a="1"/>
  <c r="S242" i="3" s="1"/>
  <c r="R242" i="3" a="1"/>
  <c r="R242" i="3" s="1"/>
  <c r="Q242" i="3" a="1"/>
  <c r="Q242" i="3" s="1"/>
  <c r="P242" i="3" a="1"/>
  <c r="P242" i="3" s="1"/>
  <c r="O242" i="3" a="1"/>
  <c r="O242" i="3" s="1"/>
  <c r="N242" i="3" a="1"/>
  <c r="N242" i="3" s="1"/>
  <c r="M242" i="3" a="1"/>
  <c r="M242" i="3" s="1"/>
  <c r="L242" i="3" a="1"/>
  <c r="L242" i="3" s="1"/>
  <c r="K242" i="3" a="1"/>
  <c r="K242" i="3" s="1"/>
  <c r="J242" i="3" a="1"/>
  <c r="J242" i="3" s="1"/>
  <c r="I242" i="3" a="1"/>
  <c r="I242" i="3" s="1"/>
  <c r="H242" i="3" a="1"/>
  <c r="H242" i="3" s="1"/>
  <c r="G242" i="3" a="1"/>
  <c r="G242" i="3" s="1"/>
  <c r="F242" i="3" a="1"/>
  <c r="F242" i="3" s="1"/>
  <c r="AI241" i="3" a="1"/>
  <c r="AI241" i="3" s="1"/>
  <c r="AH241" i="3" a="1"/>
  <c r="AH241" i="3" s="1"/>
  <c r="AG241" i="3" a="1"/>
  <c r="AG241" i="3" s="1"/>
  <c r="AF241" i="3" a="1"/>
  <c r="AF241" i="3" s="1"/>
  <c r="AE241" i="3" a="1"/>
  <c r="AE241" i="3" s="1"/>
  <c r="AD241" i="3" a="1"/>
  <c r="AD241" i="3" s="1"/>
  <c r="AC241" i="3" a="1"/>
  <c r="AC241" i="3" s="1"/>
  <c r="AB241" i="3" a="1"/>
  <c r="AB241" i="3" s="1"/>
  <c r="AA241" i="3" a="1"/>
  <c r="AA241" i="3" s="1"/>
  <c r="Z241" i="3" a="1"/>
  <c r="Z241" i="3" s="1"/>
  <c r="Y241" i="3" a="1"/>
  <c r="Y241" i="3" s="1"/>
  <c r="X241" i="3" a="1"/>
  <c r="X241" i="3" s="1"/>
  <c r="W241" i="3" a="1"/>
  <c r="W241" i="3" s="1"/>
  <c r="V241" i="3" a="1"/>
  <c r="V241" i="3" s="1"/>
  <c r="U241" i="3" a="1"/>
  <c r="U241" i="3" s="1"/>
  <c r="T241" i="3" a="1"/>
  <c r="T241" i="3" s="1"/>
  <c r="S241" i="3" a="1"/>
  <c r="S241" i="3" s="1"/>
  <c r="R241" i="3" a="1"/>
  <c r="R241" i="3" s="1"/>
  <c r="Q241" i="3" a="1"/>
  <c r="Q241" i="3" s="1"/>
  <c r="P241" i="3" a="1"/>
  <c r="P241" i="3" s="1"/>
  <c r="O241" i="3" a="1"/>
  <c r="O241" i="3" s="1"/>
  <c r="N241" i="3" a="1"/>
  <c r="N241" i="3" s="1"/>
  <c r="M241" i="3" a="1"/>
  <c r="M241" i="3" s="1"/>
  <c r="L241" i="3" a="1"/>
  <c r="L241" i="3" s="1"/>
  <c r="K241" i="3" a="1"/>
  <c r="K241" i="3" s="1"/>
  <c r="J241" i="3" a="1"/>
  <c r="J241" i="3" s="1"/>
  <c r="I241" i="3" a="1"/>
  <c r="I241" i="3" s="1"/>
  <c r="H241" i="3" a="1"/>
  <c r="H241" i="3" s="1"/>
  <c r="G241" i="3" a="1"/>
  <c r="G241" i="3" s="1"/>
  <c r="F241" i="3" a="1"/>
  <c r="F241" i="3" s="1"/>
  <c r="AI240" i="3" a="1"/>
  <c r="AI240" i="3" s="1"/>
  <c r="AH240" i="3" a="1"/>
  <c r="AH240" i="3" s="1"/>
  <c r="AG240" i="3" a="1"/>
  <c r="AG240" i="3" s="1"/>
  <c r="AF240" i="3" a="1"/>
  <c r="AF240" i="3" s="1"/>
  <c r="AE240" i="3" a="1"/>
  <c r="AE240" i="3" s="1"/>
  <c r="AD240" i="3" a="1"/>
  <c r="AD240" i="3" s="1"/>
  <c r="AC240" i="3" a="1"/>
  <c r="AC240" i="3" s="1"/>
  <c r="AB240" i="3" a="1"/>
  <c r="AB240" i="3" s="1"/>
  <c r="AA240" i="3" a="1"/>
  <c r="AA240" i="3" s="1"/>
  <c r="Z240" i="3" a="1"/>
  <c r="Z240" i="3" s="1"/>
  <c r="Y240" i="3" a="1"/>
  <c r="Y240" i="3" s="1"/>
  <c r="X240" i="3" a="1"/>
  <c r="X240" i="3" s="1"/>
  <c r="W240" i="3" a="1"/>
  <c r="W240" i="3" s="1"/>
  <c r="V240" i="3" a="1"/>
  <c r="V240" i="3" s="1"/>
  <c r="U240" i="3" a="1"/>
  <c r="U240" i="3" s="1"/>
  <c r="T240" i="3" a="1"/>
  <c r="T240" i="3" s="1"/>
  <c r="S240" i="3" a="1"/>
  <c r="S240" i="3" s="1"/>
  <c r="R240" i="3" a="1"/>
  <c r="R240" i="3" s="1"/>
  <c r="Q240" i="3" a="1"/>
  <c r="Q240" i="3" s="1"/>
  <c r="P240" i="3" a="1"/>
  <c r="P240" i="3" s="1"/>
  <c r="O240" i="3" a="1"/>
  <c r="O240" i="3" s="1"/>
  <c r="N240" i="3" a="1"/>
  <c r="N240" i="3" s="1"/>
  <c r="M240" i="3" a="1"/>
  <c r="M240" i="3" s="1"/>
  <c r="L240" i="3" a="1"/>
  <c r="L240" i="3" s="1"/>
  <c r="K240" i="3" a="1"/>
  <c r="K240" i="3" s="1"/>
  <c r="J240" i="3" a="1"/>
  <c r="J240" i="3" s="1"/>
  <c r="I240" i="3" a="1"/>
  <c r="I240" i="3" s="1"/>
  <c r="H240" i="3" a="1"/>
  <c r="H240" i="3" s="1"/>
  <c r="G240" i="3" a="1"/>
  <c r="G240" i="3" s="1"/>
  <c r="F240" i="3" a="1"/>
  <c r="F240" i="3" s="1"/>
  <c r="AI239" i="3" a="1"/>
  <c r="AI239" i="3" s="1"/>
  <c r="AH239" i="3" a="1"/>
  <c r="AH239" i="3" s="1"/>
  <c r="AG239" i="3" a="1"/>
  <c r="AG239" i="3" s="1"/>
  <c r="AF239" i="3" a="1"/>
  <c r="AF239" i="3" s="1"/>
  <c r="AE239" i="3" a="1"/>
  <c r="AE239" i="3" s="1"/>
  <c r="AD239" i="3" a="1"/>
  <c r="AD239" i="3" s="1"/>
  <c r="AC239" i="3" a="1"/>
  <c r="AC239" i="3" s="1"/>
  <c r="AB239" i="3" a="1"/>
  <c r="AB239" i="3" s="1"/>
  <c r="AA239" i="3" a="1"/>
  <c r="AA239" i="3" s="1"/>
  <c r="Z239" i="3" a="1"/>
  <c r="Z239" i="3" s="1"/>
  <c r="Y239" i="3" a="1"/>
  <c r="Y239" i="3" s="1"/>
  <c r="X239" i="3" a="1"/>
  <c r="X239" i="3" s="1"/>
  <c r="W239" i="3" a="1"/>
  <c r="W239" i="3" s="1"/>
  <c r="V239" i="3" a="1"/>
  <c r="V239" i="3" s="1"/>
  <c r="U239" i="3" a="1"/>
  <c r="U239" i="3" s="1"/>
  <c r="T239" i="3" a="1"/>
  <c r="T239" i="3" s="1"/>
  <c r="S239" i="3" a="1"/>
  <c r="S239" i="3" s="1"/>
  <c r="R239" i="3" a="1"/>
  <c r="R239" i="3" s="1"/>
  <c r="Q239" i="3" a="1"/>
  <c r="Q239" i="3" s="1"/>
  <c r="P239" i="3" a="1"/>
  <c r="P239" i="3" s="1"/>
  <c r="O239" i="3" a="1"/>
  <c r="O239" i="3" s="1"/>
  <c r="N239" i="3" a="1"/>
  <c r="N239" i="3" s="1"/>
  <c r="M239" i="3" a="1"/>
  <c r="M239" i="3" s="1"/>
  <c r="L239" i="3" a="1"/>
  <c r="L239" i="3" s="1"/>
  <c r="K239" i="3" a="1"/>
  <c r="K239" i="3" s="1"/>
  <c r="J239" i="3" a="1"/>
  <c r="J239" i="3" s="1"/>
  <c r="I239" i="3" a="1"/>
  <c r="I239" i="3" s="1"/>
  <c r="H239" i="3" a="1"/>
  <c r="H239" i="3" s="1"/>
  <c r="G239" i="3" a="1"/>
  <c r="G239" i="3" s="1"/>
  <c r="F239" i="3" a="1"/>
  <c r="F239" i="3" s="1"/>
  <c r="AI238" i="3" a="1"/>
  <c r="AI238" i="3" s="1"/>
  <c r="AH238" i="3" a="1"/>
  <c r="AH238" i="3" s="1"/>
  <c r="AG238" i="3" a="1"/>
  <c r="AG238" i="3" s="1"/>
  <c r="AF238" i="3" a="1"/>
  <c r="AF238" i="3" s="1"/>
  <c r="AE238" i="3" a="1"/>
  <c r="AE238" i="3" s="1"/>
  <c r="AD238" i="3" a="1"/>
  <c r="AD238" i="3" s="1"/>
  <c r="AC238" i="3" a="1"/>
  <c r="AC238" i="3" s="1"/>
  <c r="AB238" i="3" a="1"/>
  <c r="AB238" i="3" s="1"/>
  <c r="AA238" i="3" a="1"/>
  <c r="AA238" i="3" s="1"/>
  <c r="Z238" i="3" a="1"/>
  <c r="Z238" i="3" s="1"/>
  <c r="Y238" i="3" a="1"/>
  <c r="Y238" i="3" s="1"/>
  <c r="X238" i="3" a="1"/>
  <c r="X238" i="3" s="1"/>
  <c r="W238" i="3" a="1"/>
  <c r="W238" i="3" s="1"/>
  <c r="V238" i="3" a="1"/>
  <c r="V238" i="3" s="1"/>
  <c r="U238" i="3" a="1"/>
  <c r="U238" i="3" s="1"/>
  <c r="T238" i="3" a="1"/>
  <c r="T238" i="3" s="1"/>
  <c r="S238" i="3" a="1"/>
  <c r="S238" i="3" s="1"/>
  <c r="R238" i="3" a="1"/>
  <c r="R238" i="3" s="1"/>
  <c r="Q238" i="3" a="1"/>
  <c r="Q238" i="3" s="1"/>
  <c r="P238" i="3" a="1"/>
  <c r="P238" i="3" s="1"/>
  <c r="O238" i="3" a="1"/>
  <c r="O238" i="3" s="1"/>
  <c r="N238" i="3" a="1"/>
  <c r="N238" i="3" s="1"/>
  <c r="M238" i="3" a="1"/>
  <c r="M238" i="3" s="1"/>
  <c r="L238" i="3" a="1"/>
  <c r="L238" i="3" s="1"/>
  <c r="K238" i="3" a="1"/>
  <c r="K238" i="3" s="1"/>
  <c r="J238" i="3" a="1"/>
  <c r="J238" i="3" s="1"/>
  <c r="I238" i="3" a="1"/>
  <c r="I238" i="3" s="1"/>
  <c r="H238" i="3" a="1"/>
  <c r="H238" i="3" s="1"/>
  <c r="G238" i="3" a="1"/>
  <c r="G238" i="3" s="1"/>
  <c r="F238" i="3" a="1"/>
  <c r="F238" i="3" s="1"/>
  <c r="AI237" i="3" a="1"/>
  <c r="AI237" i="3" s="1"/>
  <c r="AH237" i="3" a="1"/>
  <c r="AH237" i="3" s="1"/>
  <c r="AG237" i="3" a="1"/>
  <c r="AG237" i="3" s="1"/>
  <c r="AF237" i="3" a="1"/>
  <c r="AF237" i="3" s="1"/>
  <c r="AE237" i="3" a="1"/>
  <c r="AE237" i="3" s="1"/>
  <c r="AD237" i="3" a="1"/>
  <c r="AD237" i="3" s="1"/>
  <c r="AC237" i="3" a="1"/>
  <c r="AC237" i="3" s="1"/>
  <c r="AB237" i="3" a="1"/>
  <c r="AB237" i="3" s="1"/>
  <c r="AA237" i="3" a="1"/>
  <c r="AA237" i="3" s="1"/>
  <c r="Z237" i="3" a="1"/>
  <c r="Z237" i="3" s="1"/>
  <c r="Y237" i="3" a="1"/>
  <c r="Y237" i="3" s="1"/>
  <c r="X237" i="3" a="1"/>
  <c r="X237" i="3" s="1"/>
  <c r="W237" i="3" a="1"/>
  <c r="W237" i="3" s="1"/>
  <c r="V237" i="3" a="1"/>
  <c r="V237" i="3" s="1"/>
  <c r="U237" i="3" a="1"/>
  <c r="U237" i="3" s="1"/>
  <c r="T237" i="3" a="1"/>
  <c r="T237" i="3" s="1"/>
  <c r="S237" i="3" a="1"/>
  <c r="S237" i="3" s="1"/>
  <c r="R237" i="3" a="1"/>
  <c r="R237" i="3" s="1"/>
  <c r="Q237" i="3" a="1"/>
  <c r="Q237" i="3" s="1"/>
  <c r="P237" i="3" a="1"/>
  <c r="P237" i="3" s="1"/>
  <c r="O237" i="3" a="1"/>
  <c r="O237" i="3" s="1"/>
  <c r="N237" i="3" a="1"/>
  <c r="N237" i="3" s="1"/>
  <c r="M237" i="3" a="1"/>
  <c r="M237" i="3" s="1"/>
  <c r="L237" i="3" a="1"/>
  <c r="L237" i="3" s="1"/>
  <c r="K237" i="3" a="1"/>
  <c r="K237" i="3" s="1"/>
  <c r="J237" i="3" a="1"/>
  <c r="J237" i="3" s="1"/>
  <c r="I237" i="3" a="1"/>
  <c r="I237" i="3" s="1"/>
  <c r="H237" i="3" a="1"/>
  <c r="H237" i="3" s="1"/>
  <c r="G237" i="3" a="1"/>
  <c r="G237" i="3" s="1"/>
  <c r="F237" i="3" a="1"/>
  <c r="F237" i="3" s="1"/>
  <c r="AI236" i="3" a="1"/>
  <c r="AI236" i="3" s="1"/>
  <c r="AH236" i="3" a="1"/>
  <c r="AH236" i="3" s="1"/>
  <c r="AG236" i="3" a="1"/>
  <c r="AG236" i="3" s="1"/>
  <c r="AF236" i="3" a="1"/>
  <c r="AF236" i="3" s="1"/>
  <c r="AE236" i="3" a="1"/>
  <c r="AE236" i="3" s="1"/>
  <c r="AD236" i="3" a="1"/>
  <c r="AD236" i="3" s="1"/>
  <c r="AC236" i="3" a="1"/>
  <c r="AC236" i="3" s="1"/>
  <c r="AB236" i="3" a="1"/>
  <c r="AB236" i="3" s="1"/>
  <c r="AA236" i="3" a="1"/>
  <c r="AA236" i="3" s="1"/>
  <c r="Z236" i="3" a="1"/>
  <c r="Z236" i="3" s="1"/>
  <c r="Y236" i="3" a="1"/>
  <c r="Y236" i="3" s="1"/>
  <c r="X236" i="3" a="1"/>
  <c r="X236" i="3" s="1"/>
  <c r="W236" i="3" a="1"/>
  <c r="W236" i="3" s="1"/>
  <c r="V236" i="3" a="1"/>
  <c r="V236" i="3" s="1"/>
  <c r="U236" i="3" a="1"/>
  <c r="U236" i="3" s="1"/>
  <c r="T236" i="3" a="1"/>
  <c r="T236" i="3" s="1"/>
  <c r="S236" i="3" a="1"/>
  <c r="S236" i="3" s="1"/>
  <c r="R236" i="3" a="1"/>
  <c r="R236" i="3" s="1"/>
  <c r="Q236" i="3" a="1"/>
  <c r="Q236" i="3" s="1"/>
  <c r="P236" i="3" a="1"/>
  <c r="P236" i="3" s="1"/>
  <c r="O236" i="3" a="1"/>
  <c r="O236" i="3" s="1"/>
  <c r="N236" i="3" a="1"/>
  <c r="N236" i="3" s="1"/>
  <c r="M236" i="3" a="1"/>
  <c r="M236" i="3" s="1"/>
  <c r="L236" i="3" a="1"/>
  <c r="L236" i="3" s="1"/>
  <c r="K236" i="3" a="1"/>
  <c r="K236" i="3" s="1"/>
  <c r="J236" i="3" a="1"/>
  <c r="J236" i="3" s="1"/>
  <c r="I236" i="3" a="1"/>
  <c r="I236" i="3" s="1"/>
  <c r="H236" i="3" a="1"/>
  <c r="H236" i="3" s="1"/>
  <c r="G236" i="3" a="1"/>
  <c r="G236" i="3" s="1"/>
  <c r="F236" i="3" a="1"/>
  <c r="F236" i="3" s="1"/>
  <c r="AI235" i="3" a="1"/>
  <c r="AI235" i="3" s="1"/>
  <c r="AH235" i="3" a="1"/>
  <c r="AH235" i="3" s="1"/>
  <c r="AG235" i="3" a="1"/>
  <c r="AG235" i="3" s="1"/>
  <c r="AF235" i="3" a="1"/>
  <c r="AF235" i="3" s="1"/>
  <c r="AE235" i="3" a="1"/>
  <c r="AE235" i="3" s="1"/>
  <c r="AD235" i="3" a="1"/>
  <c r="AD235" i="3" s="1"/>
  <c r="AC235" i="3" a="1"/>
  <c r="AC235" i="3" s="1"/>
  <c r="AB235" i="3" a="1"/>
  <c r="AB235" i="3" s="1"/>
  <c r="AA235" i="3" a="1"/>
  <c r="AA235" i="3" s="1"/>
  <c r="Z235" i="3" a="1"/>
  <c r="Z235" i="3" s="1"/>
  <c r="Y235" i="3" a="1"/>
  <c r="Y235" i="3" s="1"/>
  <c r="X235" i="3" a="1"/>
  <c r="X235" i="3" s="1"/>
  <c r="W235" i="3" a="1"/>
  <c r="W235" i="3" s="1"/>
  <c r="V235" i="3" a="1"/>
  <c r="V235" i="3" s="1"/>
  <c r="U235" i="3" a="1"/>
  <c r="U235" i="3" s="1"/>
  <c r="T235" i="3" a="1"/>
  <c r="T235" i="3" s="1"/>
  <c r="S235" i="3" a="1"/>
  <c r="S235" i="3" s="1"/>
  <c r="R235" i="3" a="1"/>
  <c r="R235" i="3" s="1"/>
  <c r="Q235" i="3" a="1"/>
  <c r="Q235" i="3" s="1"/>
  <c r="P235" i="3" a="1"/>
  <c r="P235" i="3" s="1"/>
  <c r="O235" i="3" a="1"/>
  <c r="O235" i="3" s="1"/>
  <c r="N235" i="3" a="1"/>
  <c r="N235" i="3" s="1"/>
  <c r="M235" i="3" a="1"/>
  <c r="M235" i="3" s="1"/>
  <c r="L235" i="3" a="1"/>
  <c r="L235" i="3" s="1"/>
  <c r="K235" i="3" a="1"/>
  <c r="K235" i="3" s="1"/>
  <c r="J235" i="3" a="1"/>
  <c r="J235" i="3" s="1"/>
  <c r="I235" i="3" a="1"/>
  <c r="I235" i="3" s="1"/>
  <c r="H235" i="3" a="1"/>
  <c r="H235" i="3" s="1"/>
  <c r="G235" i="3" a="1"/>
  <c r="G235" i="3" s="1"/>
  <c r="F235" i="3" a="1"/>
  <c r="F235" i="3" s="1"/>
  <c r="AI234" i="3" a="1"/>
  <c r="AI234" i="3" s="1"/>
  <c r="AH234" i="3" a="1"/>
  <c r="AH234" i="3" s="1"/>
  <c r="AG234" i="3" a="1"/>
  <c r="AG234" i="3" s="1"/>
  <c r="AF234" i="3" a="1"/>
  <c r="AF234" i="3" s="1"/>
  <c r="AE234" i="3" a="1"/>
  <c r="AE234" i="3" s="1"/>
  <c r="AD234" i="3" a="1"/>
  <c r="AD234" i="3" s="1"/>
  <c r="AC234" i="3" a="1"/>
  <c r="AC234" i="3" s="1"/>
  <c r="AB234" i="3" a="1"/>
  <c r="AB234" i="3" s="1"/>
  <c r="AA234" i="3" a="1"/>
  <c r="AA234" i="3" s="1"/>
  <c r="Z234" i="3" a="1"/>
  <c r="Z234" i="3" s="1"/>
  <c r="Y234" i="3" a="1"/>
  <c r="Y234" i="3" s="1"/>
  <c r="X234" i="3" a="1"/>
  <c r="X234" i="3" s="1"/>
  <c r="W234" i="3" a="1"/>
  <c r="W234" i="3" s="1"/>
  <c r="V234" i="3" a="1"/>
  <c r="V234" i="3" s="1"/>
  <c r="U234" i="3" a="1"/>
  <c r="U234" i="3" s="1"/>
  <c r="T234" i="3" a="1"/>
  <c r="T234" i="3" s="1"/>
  <c r="S234" i="3" a="1"/>
  <c r="S234" i="3" s="1"/>
  <c r="R234" i="3" a="1"/>
  <c r="R234" i="3" s="1"/>
  <c r="Q234" i="3" a="1"/>
  <c r="Q234" i="3" s="1"/>
  <c r="P234" i="3" a="1"/>
  <c r="P234" i="3" s="1"/>
  <c r="O234" i="3" a="1"/>
  <c r="O234" i="3" s="1"/>
  <c r="N234" i="3" a="1"/>
  <c r="N234" i="3" s="1"/>
  <c r="M234" i="3" a="1"/>
  <c r="M234" i="3" s="1"/>
  <c r="L234" i="3" a="1"/>
  <c r="L234" i="3" s="1"/>
  <c r="K234" i="3" a="1"/>
  <c r="K234" i="3" s="1"/>
  <c r="J234" i="3" a="1"/>
  <c r="J234" i="3" s="1"/>
  <c r="I234" i="3" a="1"/>
  <c r="I234" i="3" s="1"/>
  <c r="H234" i="3" a="1"/>
  <c r="H234" i="3" s="1"/>
  <c r="G234" i="3" a="1"/>
  <c r="G234" i="3" s="1"/>
  <c r="F234" i="3" a="1"/>
  <c r="F234" i="3" s="1"/>
  <c r="AI233" i="3" a="1"/>
  <c r="AI233" i="3" s="1"/>
  <c r="AH233" i="3" a="1"/>
  <c r="AH233" i="3" s="1"/>
  <c r="AG233" i="3" a="1"/>
  <c r="AG233" i="3" s="1"/>
  <c r="AF233" i="3" a="1"/>
  <c r="AF233" i="3" s="1"/>
  <c r="AE233" i="3" a="1"/>
  <c r="AE233" i="3" s="1"/>
  <c r="AD233" i="3" a="1"/>
  <c r="AD233" i="3" s="1"/>
  <c r="AC233" i="3" a="1"/>
  <c r="AC233" i="3" s="1"/>
  <c r="AB233" i="3" a="1"/>
  <c r="AB233" i="3" s="1"/>
  <c r="AA233" i="3" a="1"/>
  <c r="AA233" i="3" s="1"/>
  <c r="Z233" i="3" a="1"/>
  <c r="Z233" i="3" s="1"/>
  <c r="Y233" i="3" a="1"/>
  <c r="Y233" i="3" s="1"/>
  <c r="X233" i="3" a="1"/>
  <c r="X233" i="3" s="1"/>
  <c r="W233" i="3" a="1"/>
  <c r="W233" i="3" s="1"/>
  <c r="V233" i="3" a="1"/>
  <c r="V233" i="3" s="1"/>
  <c r="U233" i="3" a="1"/>
  <c r="U233" i="3" s="1"/>
  <c r="T233" i="3" a="1"/>
  <c r="T233" i="3" s="1"/>
  <c r="S233" i="3" a="1"/>
  <c r="S233" i="3" s="1"/>
  <c r="R233" i="3" a="1"/>
  <c r="R233" i="3" s="1"/>
  <c r="Q233" i="3" a="1"/>
  <c r="Q233" i="3" s="1"/>
  <c r="P233" i="3" a="1"/>
  <c r="P233" i="3" s="1"/>
  <c r="O233" i="3" a="1"/>
  <c r="O233" i="3" s="1"/>
  <c r="N233" i="3" a="1"/>
  <c r="N233" i="3" s="1"/>
  <c r="M233" i="3" a="1"/>
  <c r="M233" i="3" s="1"/>
  <c r="L233" i="3" a="1"/>
  <c r="L233" i="3" s="1"/>
  <c r="K233" i="3" a="1"/>
  <c r="K233" i="3" s="1"/>
  <c r="J233" i="3" a="1"/>
  <c r="J233" i="3" s="1"/>
  <c r="I233" i="3" a="1"/>
  <c r="I233" i="3" s="1"/>
  <c r="H233" i="3" a="1"/>
  <c r="H233" i="3" s="1"/>
  <c r="G233" i="3" a="1"/>
  <c r="G233" i="3" s="1"/>
  <c r="F233" i="3" a="1"/>
  <c r="F233" i="3" s="1"/>
  <c r="AI232" i="3" a="1"/>
  <c r="AI232" i="3" s="1"/>
  <c r="AH232" i="3" a="1"/>
  <c r="AH232" i="3" s="1"/>
  <c r="AG232" i="3" a="1"/>
  <c r="AG232" i="3" s="1"/>
  <c r="AF232" i="3" a="1"/>
  <c r="AF232" i="3" s="1"/>
  <c r="AE232" i="3" a="1"/>
  <c r="AE232" i="3" s="1"/>
  <c r="AD232" i="3" a="1"/>
  <c r="AD232" i="3" s="1"/>
  <c r="AC232" i="3" a="1"/>
  <c r="AC232" i="3" s="1"/>
  <c r="AB232" i="3" a="1"/>
  <c r="AB232" i="3" s="1"/>
  <c r="AA232" i="3" a="1"/>
  <c r="AA232" i="3" s="1"/>
  <c r="Z232" i="3" a="1"/>
  <c r="Z232" i="3" s="1"/>
  <c r="Y232" i="3" a="1"/>
  <c r="Y232" i="3" s="1"/>
  <c r="X232" i="3" a="1"/>
  <c r="X232" i="3" s="1"/>
  <c r="W232" i="3" a="1"/>
  <c r="W232" i="3" s="1"/>
  <c r="V232" i="3" a="1"/>
  <c r="V232" i="3" s="1"/>
  <c r="U232" i="3" a="1"/>
  <c r="U232" i="3" s="1"/>
  <c r="T232" i="3" a="1"/>
  <c r="T232" i="3" s="1"/>
  <c r="S232" i="3" a="1"/>
  <c r="S232" i="3" s="1"/>
  <c r="R232" i="3" a="1"/>
  <c r="R232" i="3" s="1"/>
  <c r="Q232" i="3" a="1"/>
  <c r="Q232" i="3" s="1"/>
  <c r="P232" i="3" a="1"/>
  <c r="P232" i="3" s="1"/>
  <c r="O232" i="3" a="1"/>
  <c r="O232" i="3" s="1"/>
  <c r="N232" i="3" a="1"/>
  <c r="N232" i="3" s="1"/>
  <c r="M232" i="3" a="1"/>
  <c r="M232" i="3" s="1"/>
  <c r="L232" i="3" a="1"/>
  <c r="L232" i="3" s="1"/>
  <c r="K232" i="3" a="1"/>
  <c r="K232" i="3" s="1"/>
  <c r="J232" i="3" a="1"/>
  <c r="J232" i="3" s="1"/>
  <c r="I232" i="3" a="1"/>
  <c r="I232" i="3" s="1"/>
  <c r="H232" i="3" a="1"/>
  <c r="H232" i="3" s="1"/>
  <c r="G232" i="3" a="1"/>
  <c r="G232" i="3" s="1"/>
  <c r="F232" i="3" a="1"/>
  <c r="F232" i="3" s="1"/>
  <c r="AI231" i="3" a="1"/>
  <c r="AI231" i="3" s="1"/>
  <c r="AH231" i="3" a="1"/>
  <c r="AH231" i="3" s="1"/>
  <c r="AG231" i="3" a="1"/>
  <c r="AG231" i="3" s="1"/>
  <c r="AF231" i="3" a="1"/>
  <c r="AF231" i="3" s="1"/>
  <c r="AE231" i="3" a="1"/>
  <c r="AE231" i="3" s="1"/>
  <c r="AD231" i="3" a="1"/>
  <c r="AD231" i="3" s="1"/>
  <c r="AC231" i="3" a="1"/>
  <c r="AC231" i="3" s="1"/>
  <c r="AB231" i="3" a="1"/>
  <c r="AB231" i="3" s="1"/>
  <c r="AA231" i="3" a="1"/>
  <c r="AA231" i="3" s="1"/>
  <c r="Z231" i="3" a="1"/>
  <c r="Z231" i="3" s="1"/>
  <c r="Y231" i="3" a="1"/>
  <c r="Y231" i="3" s="1"/>
  <c r="X231" i="3" a="1"/>
  <c r="X231" i="3" s="1"/>
  <c r="W231" i="3" a="1"/>
  <c r="W231" i="3" s="1"/>
  <c r="V231" i="3" a="1"/>
  <c r="V231" i="3" s="1"/>
  <c r="U231" i="3" a="1"/>
  <c r="U231" i="3" s="1"/>
  <c r="T231" i="3" a="1"/>
  <c r="T231" i="3" s="1"/>
  <c r="S231" i="3" a="1"/>
  <c r="S231" i="3" s="1"/>
  <c r="R231" i="3" a="1"/>
  <c r="R231" i="3" s="1"/>
  <c r="Q231" i="3" a="1"/>
  <c r="Q231" i="3" s="1"/>
  <c r="P231" i="3" a="1"/>
  <c r="P231" i="3" s="1"/>
  <c r="O231" i="3" a="1"/>
  <c r="O231" i="3" s="1"/>
  <c r="N231" i="3" a="1"/>
  <c r="N231" i="3" s="1"/>
  <c r="M231" i="3" a="1"/>
  <c r="M231" i="3" s="1"/>
  <c r="L231" i="3" a="1"/>
  <c r="L231" i="3" s="1"/>
  <c r="K231" i="3" a="1"/>
  <c r="K231" i="3" s="1"/>
  <c r="J231" i="3" a="1"/>
  <c r="J231" i="3" s="1"/>
  <c r="I231" i="3" a="1"/>
  <c r="I231" i="3" s="1"/>
  <c r="H231" i="3" a="1"/>
  <c r="H231" i="3" s="1"/>
  <c r="G231" i="3" a="1"/>
  <c r="G231" i="3" s="1"/>
  <c r="F231" i="3" a="1"/>
  <c r="F231" i="3" s="1"/>
  <c r="AI230" i="3" a="1"/>
  <c r="AI230" i="3" s="1"/>
  <c r="AH230" i="3" a="1"/>
  <c r="AH230" i="3" s="1"/>
  <c r="AG230" i="3" a="1"/>
  <c r="AG230" i="3" s="1"/>
  <c r="AF230" i="3" a="1"/>
  <c r="AF230" i="3" s="1"/>
  <c r="AE230" i="3" a="1"/>
  <c r="AE230" i="3" s="1"/>
  <c r="AD230" i="3" a="1"/>
  <c r="AD230" i="3" s="1"/>
  <c r="AC230" i="3" a="1"/>
  <c r="AC230" i="3" s="1"/>
  <c r="AB230" i="3" a="1"/>
  <c r="AB230" i="3" s="1"/>
  <c r="AA230" i="3" a="1"/>
  <c r="AA230" i="3" s="1"/>
  <c r="Z230" i="3" a="1"/>
  <c r="Z230" i="3" s="1"/>
  <c r="Y230" i="3" a="1"/>
  <c r="Y230" i="3" s="1"/>
  <c r="X230" i="3" a="1"/>
  <c r="X230" i="3" s="1"/>
  <c r="W230" i="3" a="1"/>
  <c r="W230" i="3" s="1"/>
  <c r="V230" i="3" a="1"/>
  <c r="V230" i="3" s="1"/>
  <c r="U230" i="3" a="1"/>
  <c r="U230" i="3" s="1"/>
  <c r="T230" i="3" a="1"/>
  <c r="T230" i="3" s="1"/>
  <c r="S230" i="3" a="1"/>
  <c r="S230" i="3" s="1"/>
  <c r="R230" i="3" a="1"/>
  <c r="R230" i="3" s="1"/>
  <c r="Q230" i="3" a="1"/>
  <c r="Q230" i="3" s="1"/>
  <c r="P230" i="3" a="1"/>
  <c r="P230" i="3" s="1"/>
  <c r="O230" i="3" a="1"/>
  <c r="O230" i="3" s="1"/>
  <c r="N230" i="3" a="1"/>
  <c r="N230" i="3" s="1"/>
  <c r="M230" i="3" a="1"/>
  <c r="M230" i="3" s="1"/>
  <c r="L230" i="3" a="1"/>
  <c r="L230" i="3" s="1"/>
  <c r="K230" i="3" a="1"/>
  <c r="K230" i="3" s="1"/>
  <c r="J230" i="3" a="1"/>
  <c r="J230" i="3" s="1"/>
  <c r="I230" i="3" a="1"/>
  <c r="I230" i="3" s="1"/>
  <c r="H230" i="3" a="1"/>
  <c r="H230" i="3" s="1"/>
  <c r="G230" i="3" a="1"/>
  <c r="G230" i="3" s="1"/>
  <c r="F230" i="3" a="1"/>
  <c r="F230" i="3" s="1"/>
  <c r="AI229" i="3" a="1"/>
  <c r="AI229" i="3" s="1"/>
  <c r="AH229" i="3" a="1"/>
  <c r="AH229" i="3" s="1"/>
  <c r="AG229" i="3" a="1"/>
  <c r="AG229" i="3" s="1"/>
  <c r="AF229" i="3" a="1"/>
  <c r="AF229" i="3" s="1"/>
  <c r="AE229" i="3" a="1"/>
  <c r="AE229" i="3" s="1"/>
  <c r="AD229" i="3" a="1"/>
  <c r="AD229" i="3" s="1"/>
  <c r="AC229" i="3" a="1"/>
  <c r="AC229" i="3" s="1"/>
  <c r="AB229" i="3" a="1"/>
  <c r="AB229" i="3" s="1"/>
  <c r="AA229" i="3" a="1"/>
  <c r="AA229" i="3" s="1"/>
  <c r="Z229" i="3" a="1"/>
  <c r="Z229" i="3" s="1"/>
  <c r="Y229" i="3" a="1"/>
  <c r="Y229" i="3" s="1"/>
  <c r="X229" i="3" a="1"/>
  <c r="X229" i="3" s="1"/>
  <c r="W229" i="3" a="1"/>
  <c r="W229" i="3" s="1"/>
  <c r="V229" i="3" a="1"/>
  <c r="V229" i="3" s="1"/>
  <c r="U229" i="3" a="1"/>
  <c r="U229" i="3" s="1"/>
  <c r="T229" i="3" a="1"/>
  <c r="T229" i="3" s="1"/>
  <c r="S229" i="3" a="1"/>
  <c r="S229" i="3" s="1"/>
  <c r="R229" i="3" a="1"/>
  <c r="R229" i="3" s="1"/>
  <c r="Q229" i="3" a="1"/>
  <c r="Q229" i="3" s="1"/>
  <c r="P229" i="3" a="1"/>
  <c r="P229" i="3" s="1"/>
  <c r="O229" i="3" a="1"/>
  <c r="O229" i="3" s="1"/>
  <c r="N229" i="3" a="1"/>
  <c r="N229" i="3" s="1"/>
  <c r="M229" i="3" a="1"/>
  <c r="M229" i="3" s="1"/>
  <c r="L229" i="3" a="1"/>
  <c r="L229" i="3" s="1"/>
  <c r="K229" i="3" a="1"/>
  <c r="K229" i="3" s="1"/>
  <c r="J229" i="3" a="1"/>
  <c r="J229" i="3" s="1"/>
  <c r="I229" i="3" a="1"/>
  <c r="I229" i="3" s="1"/>
  <c r="H229" i="3" a="1"/>
  <c r="H229" i="3" s="1"/>
  <c r="G229" i="3" a="1"/>
  <c r="G229" i="3" s="1"/>
  <c r="F229" i="3" a="1"/>
  <c r="F229" i="3" s="1"/>
  <c r="AI228" i="3" a="1"/>
  <c r="AI228" i="3" s="1"/>
  <c r="AH228" i="3" a="1"/>
  <c r="AH228" i="3" s="1"/>
  <c r="AG228" i="3" a="1"/>
  <c r="AG228" i="3" s="1"/>
  <c r="AF228" i="3" a="1"/>
  <c r="AF228" i="3" s="1"/>
  <c r="AE228" i="3" a="1"/>
  <c r="AE228" i="3" s="1"/>
  <c r="AD228" i="3" a="1"/>
  <c r="AD228" i="3" s="1"/>
  <c r="AC228" i="3" a="1"/>
  <c r="AC228" i="3" s="1"/>
  <c r="AB228" i="3" a="1"/>
  <c r="AB228" i="3" s="1"/>
  <c r="AA228" i="3" a="1"/>
  <c r="AA228" i="3" s="1"/>
  <c r="Z228" i="3" a="1"/>
  <c r="Z228" i="3" s="1"/>
  <c r="Y228" i="3" a="1"/>
  <c r="Y228" i="3" s="1"/>
  <c r="X228" i="3" a="1"/>
  <c r="X228" i="3" s="1"/>
  <c r="W228" i="3" a="1"/>
  <c r="W228" i="3" s="1"/>
  <c r="V228" i="3" a="1"/>
  <c r="V228" i="3" s="1"/>
  <c r="U228" i="3" a="1"/>
  <c r="U228" i="3" s="1"/>
  <c r="T228" i="3" a="1"/>
  <c r="T228" i="3" s="1"/>
  <c r="S228" i="3" a="1"/>
  <c r="S228" i="3" s="1"/>
  <c r="R228" i="3" a="1"/>
  <c r="R228" i="3" s="1"/>
  <c r="Q228" i="3" a="1"/>
  <c r="Q228" i="3" s="1"/>
  <c r="P228" i="3" a="1"/>
  <c r="P228" i="3" s="1"/>
  <c r="O228" i="3" a="1"/>
  <c r="O228" i="3" s="1"/>
  <c r="N228" i="3" a="1"/>
  <c r="N228" i="3" s="1"/>
  <c r="M228" i="3" a="1"/>
  <c r="M228" i="3" s="1"/>
  <c r="L228" i="3" a="1"/>
  <c r="L228" i="3" s="1"/>
  <c r="K228" i="3" a="1"/>
  <c r="K228" i="3" s="1"/>
  <c r="J228" i="3" a="1"/>
  <c r="J228" i="3" s="1"/>
  <c r="I228" i="3" a="1"/>
  <c r="I228" i="3" s="1"/>
  <c r="H228" i="3" a="1"/>
  <c r="H228" i="3" s="1"/>
  <c r="G228" i="3" a="1"/>
  <c r="G228" i="3" s="1"/>
  <c r="F228" i="3" a="1"/>
  <c r="F228" i="3" s="1"/>
  <c r="AI227" i="3" a="1"/>
  <c r="AI227" i="3" s="1"/>
  <c r="AH227" i="3" a="1"/>
  <c r="AH227" i="3" s="1"/>
  <c r="AG227" i="3" a="1"/>
  <c r="AG227" i="3" s="1"/>
  <c r="AF227" i="3" a="1"/>
  <c r="AF227" i="3" s="1"/>
  <c r="AE227" i="3" a="1"/>
  <c r="AE227" i="3" s="1"/>
  <c r="AD227" i="3" a="1"/>
  <c r="AD227" i="3" s="1"/>
  <c r="AC227" i="3" a="1"/>
  <c r="AC227" i="3" s="1"/>
  <c r="AB227" i="3" a="1"/>
  <c r="AB227" i="3" s="1"/>
  <c r="AA227" i="3" a="1"/>
  <c r="AA227" i="3" s="1"/>
  <c r="Z227" i="3" a="1"/>
  <c r="Z227" i="3" s="1"/>
  <c r="Y227" i="3" a="1"/>
  <c r="Y227" i="3" s="1"/>
  <c r="X227" i="3" a="1"/>
  <c r="X227" i="3" s="1"/>
  <c r="W227" i="3" a="1"/>
  <c r="W227" i="3" s="1"/>
  <c r="V227" i="3" a="1"/>
  <c r="V227" i="3" s="1"/>
  <c r="U227" i="3" a="1"/>
  <c r="U227" i="3" s="1"/>
  <c r="T227" i="3" a="1"/>
  <c r="T227" i="3" s="1"/>
  <c r="S227" i="3" a="1"/>
  <c r="S227" i="3" s="1"/>
  <c r="R227" i="3" a="1"/>
  <c r="R227" i="3" s="1"/>
  <c r="Q227" i="3" a="1"/>
  <c r="Q227" i="3" s="1"/>
  <c r="P227" i="3" a="1"/>
  <c r="P227" i="3" s="1"/>
  <c r="O227" i="3" a="1"/>
  <c r="O227" i="3" s="1"/>
  <c r="N227" i="3" a="1"/>
  <c r="N227" i="3" s="1"/>
  <c r="M227" i="3" a="1"/>
  <c r="M227" i="3" s="1"/>
  <c r="L227" i="3" a="1"/>
  <c r="L227" i="3" s="1"/>
  <c r="K227" i="3" a="1"/>
  <c r="K227" i="3" s="1"/>
  <c r="J227" i="3" a="1"/>
  <c r="J227" i="3" s="1"/>
  <c r="I227" i="3" a="1"/>
  <c r="I227" i="3" s="1"/>
  <c r="H227" i="3" a="1"/>
  <c r="H227" i="3" s="1"/>
  <c r="G227" i="3" a="1"/>
  <c r="G227" i="3" s="1"/>
  <c r="F227" i="3" a="1"/>
  <c r="F227" i="3" s="1"/>
  <c r="AI226" i="3" a="1"/>
  <c r="AI226" i="3" s="1"/>
  <c r="AH226" i="3" a="1"/>
  <c r="AH226" i="3" s="1"/>
  <c r="AG226" i="3" a="1"/>
  <c r="AG226" i="3" s="1"/>
  <c r="AF226" i="3" a="1"/>
  <c r="AF226" i="3" s="1"/>
  <c r="AE226" i="3" a="1"/>
  <c r="AE226" i="3" s="1"/>
  <c r="AD226" i="3" a="1"/>
  <c r="AD226" i="3" s="1"/>
  <c r="AC226" i="3" a="1"/>
  <c r="AC226" i="3" s="1"/>
  <c r="AB226" i="3" a="1"/>
  <c r="AB226" i="3" s="1"/>
  <c r="AA226" i="3" a="1"/>
  <c r="AA226" i="3" s="1"/>
  <c r="Z226" i="3" a="1"/>
  <c r="Z226" i="3" s="1"/>
  <c r="Y226" i="3" a="1"/>
  <c r="Y226" i="3" s="1"/>
  <c r="X226" i="3" a="1"/>
  <c r="X226" i="3" s="1"/>
  <c r="W226" i="3" a="1"/>
  <c r="W226" i="3" s="1"/>
  <c r="V226" i="3" a="1"/>
  <c r="V226" i="3" s="1"/>
  <c r="U226" i="3" a="1"/>
  <c r="U226" i="3" s="1"/>
  <c r="T226" i="3" a="1"/>
  <c r="T226" i="3" s="1"/>
  <c r="S226" i="3" a="1"/>
  <c r="S226" i="3" s="1"/>
  <c r="R226" i="3" a="1"/>
  <c r="R226" i="3" s="1"/>
  <c r="Q226" i="3" a="1"/>
  <c r="Q226" i="3" s="1"/>
  <c r="P226" i="3" a="1"/>
  <c r="P226" i="3" s="1"/>
  <c r="O226" i="3" a="1"/>
  <c r="O226" i="3" s="1"/>
  <c r="N226" i="3" a="1"/>
  <c r="N226" i="3" s="1"/>
  <c r="M226" i="3" a="1"/>
  <c r="M226" i="3" s="1"/>
  <c r="L226" i="3" a="1"/>
  <c r="L226" i="3" s="1"/>
  <c r="K226" i="3" a="1"/>
  <c r="K226" i="3" s="1"/>
  <c r="J226" i="3" a="1"/>
  <c r="J226" i="3" s="1"/>
  <c r="I226" i="3" a="1"/>
  <c r="I226" i="3" s="1"/>
  <c r="H226" i="3" a="1"/>
  <c r="H226" i="3" s="1"/>
  <c r="G226" i="3" a="1"/>
  <c r="G226" i="3" s="1"/>
  <c r="F226" i="3" a="1"/>
  <c r="F226" i="3" s="1"/>
  <c r="AI225" i="3" a="1"/>
  <c r="AI225" i="3" s="1"/>
  <c r="AH225" i="3" a="1"/>
  <c r="AH225" i="3" s="1"/>
  <c r="AG225" i="3" a="1"/>
  <c r="AG225" i="3" s="1"/>
  <c r="AF225" i="3" a="1"/>
  <c r="AF225" i="3" s="1"/>
  <c r="AE225" i="3" a="1"/>
  <c r="AE225" i="3" s="1"/>
  <c r="AD225" i="3" a="1"/>
  <c r="AD225" i="3" s="1"/>
  <c r="AC225" i="3" a="1"/>
  <c r="AC225" i="3" s="1"/>
  <c r="AB225" i="3" a="1"/>
  <c r="AB225" i="3" s="1"/>
  <c r="AA225" i="3" a="1"/>
  <c r="AA225" i="3" s="1"/>
  <c r="Z225" i="3" a="1"/>
  <c r="Z225" i="3" s="1"/>
  <c r="Y225" i="3" a="1"/>
  <c r="Y225" i="3" s="1"/>
  <c r="X225" i="3" a="1"/>
  <c r="X225" i="3" s="1"/>
  <c r="W225" i="3" a="1"/>
  <c r="W225" i="3" s="1"/>
  <c r="V225" i="3" a="1"/>
  <c r="V225" i="3" s="1"/>
  <c r="U225" i="3" a="1"/>
  <c r="U225" i="3" s="1"/>
  <c r="T225" i="3" a="1"/>
  <c r="T225" i="3" s="1"/>
  <c r="S225" i="3" a="1"/>
  <c r="S225" i="3" s="1"/>
  <c r="R225" i="3" a="1"/>
  <c r="R225" i="3" s="1"/>
  <c r="Q225" i="3" a="1"/>
  <c r="Q225" i="3" s="1"/>
  <c r="P225" i="3" a="1"/>
  <c r="P225" i="3" s="1"/>
  <c r="O225" i="3" a="1"/>
  <c r="O225" i="3" s="1"/>
  <c r="N225" i="3" a="1"/>
  <c r="N225" i="3" s="1"/>
  <c r="M225" i="3" a="1"/>
  <c r="M225" i="3" s="1"/>
  <c r="L225" i="3" a="1"/>
  <c r="L225" i="3" s="1"/>
  <c r="K225" i="3" a="1"/>
  <c r="K225" i="3" s="1"/>
  <c r="J225" i="3" a="1"/>
  <c r="J225" i="3" s="1"/>
  <c r="I225" i="3" a="1"/>
  <c r="I225" i="3" s="1"/>
  <c r="H225" i="3" a="1"/>
  <c r="H225" i="3" s="1"/>
  <c r="G225" i="3" a="1"/>
  <c r="G225" i="3" s="1"/>
  <c r="F225" i="3" a="1"/>
  <c r="F225" i="3" s="1"/>
  <c r="J83" i="25" a="1"/>
  <c r="J83" i="25" s="1"/>
  <c r="L93" i="25" a="1"/>
  <c r="L93" i="25" s="1"/>
  <c r="L84" i="25" a="1"/>
  <c r="L84" i="25" s="1"/>
  <c r="K92" i="25" a="1"/>
  <c r="K92" i="25" s="1"/>
  <c r="K91" i="25" a="1"/>
  <c r="K91" i="25" s="1"/>
  <c r="K90" i="25" a="1"/>
  <c r="K90" i="25" s="1"/>
  <c r="K89" i="25" a="1"/>
  <c r="K89" i="25" s="1"/>
  <c r="K88" i="25" a="1"/>
  <c r="K88" i="25" s="1"/>
  <c r="K87" i="25" a="1"/>
  <c r="K87" i="25" s="1"/>
  <c r="K86" i="25" a="1"/>
  <c r="K86" i="25" s="1"/>
  <c r="K85" i="25" a="1"/>
  <c r="K85" i="25" s="1"/>
  <c r="K94" i="25" a="1"/>
  <c r="K94" i="25" s="1"/>
  <c r="B69" i="5"/>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s="1"/>
  <c r="E111" i="5" a="1"/>
  <c r="E111" i="5" s="1"/>
  <c r="E112" i="5" a="1"/>
  <c r="E112" i="5" s="1"/>
  <c r="E113" i="5" a="1"/>
  <c r="E113" i="5" s="1"/>
  <c r="E114" i="5" a="1"/>
  <c r="E114" i="5" s="1"/>
  <c r="E115" i="5" a="1"/>
  <c r="E115" i="5" s="1"/>
  <c r="E116" i="5" a="1"/>
  <c r="E116" i="5" s="1"/>
  <c r="E117" i="5" a="1"/>
  <c r="E117" i="5" s="1"/>
  <c r="E70" i="5" a="1"/>
  <c r="E70" i="5" s="1"/>
  <c r="E71" i="5" a="1"/>
  <c r="E71" i="5" s="1"/>
  <c r="E72" i="5" a="1"/>
  <c r="E72" i="5" s="1"/>
  <c r="E73" i="5" a="1"/>
  <c r="E73" i="5" s="1"/>
  <c r="E74" i="5" a="1"/>
  <c r="E74" i="5" s="1"/>
  <c r="E75" i="5" a="1"/>
  <c r="E75" i="5" s="1"/>
  <c r="E76" i="5" a="1"/>
  <c r="E76" i="5" s="1"/>
  <c r="E77" i="5" a="1"/>
  <c r="E77" i="5" s="1"/>
  <c r="E78" i="5" a="1"/>
  <c r="E78" i="5" s="1"/>
  <c r="E79" i="5" a="1"/>
  <c r="E79" i="5" s="1"/>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s="1"/>
  <c r="E93" i="5" a="1"/>
  <c r="E93" i="5" s="1"/>
  <c r="F82" i="5" a="1"/>
  <c r="F82" i="5" s="1"/>
  <c r="F83" i="5" a="1"/>
  <c r="F83" i="5" s="1"/>
  <c r="F84" i="5" a="1"/>
  <c r="F84" i="5" s="1"/>
  <c r="F85" i="5" a="1"/>
  <c r="F85" i="5" s="1"/>
  <c r="F86" i="5" a="1"/>
  <c r="F86" i="5" s="1"/>
  <c r="F87" i="5" a="1"/>
  <c r="F87" i="5" s="1"/>
  <c r="F88" i="5" a="1"/>
  <c r="F88" i="5" s="1"/>
  <c r="F89" i="5" a="1"/>
  <c r="F89" i="5" s="1"/>
  <c r="F90" i="5" a="1"/>
  <c r="F90" i="5" s="1"/>
  <c r="F91" i="5" a="1"/>
  <c r="F91" i="5" s="1"/>
  <c r="F92" i="5" a="1"/>
  <c r="F92" i="5" s="1"/>
  <c r="F93" i="5" a="1"/>
  <c r="F93" i="5" s="1"/>
  <c r="F70" i="5" a="1"/>
  <c r="F70" i="5" s="1"/>
  <c r="F71" i="5" a="1"/>
  <c r="F71" i="5" s="1"/>
  <c r="F72" i="5" a="1"/>
  <c r="F72" i="5" s="1"/>
  <c r="F73" i="5" a="1"/>
  <c r="F73" i="5" s="1"/>
  <c r="F74" i="5" a="1"/>
  <c r="F74" i="5" s="1"/>
  <c r="F75" i="5" a="1"/>
  <c r="F75" i="5" s="1"/>
  <c r="F76" i="5" a="1"/>
  <c r="F76" i="5" s="1"/>
  <c r="F77" i="5" a="1"/>
  <c r="F77" i="5" s="1"/>
  <c r="F78" i="5" a="1"/>
  <c r="F78" i="5" s="1"/>
  <c r="F79" i="5" a="1"/>
  <c r="F79" i="5" s="1"/>
  <c r="F80" i="5" a="1"/>
  <c r="F80" i="5" s="1"/>
  <c r="F81" i="5" a="1"/>
  <c r="F81" i="5" s="1"/>
  <c r="F94" i="5" a="1"/>
  <c r="F94" i="5" s="1"/>
  <c r="F95" i="5" a="1"/>
  <c r="F95" i="5" s="1"/>
  <c r="F96" i="5" a="1"/>
  <c r="F96" i="5" s="1"/>
  <c r="F97" i="5" a="1"/>
  <c r="F97" i="5" s="1"/>
  <c r="F98" i="5" a="1"/>
  <c r="F98" i="5" s="1"/>
  <c r="F99" i="5" a="1"/>
  <c r="F99" i="5" s="1"/>
  <c r="F100" i="5" a="1"/>
  <c r="F100" i="5" s="1"/>
  <c r="F101" i="5" a="1"/>
  <c r="F101" i="5" s="1"/>
  <c r="F102" i="5" a="1"/>
  <c r="F102" i="5" s="1"/>
  <c r="F103" i="5" a="1"/>
  <c r="F103" i="5" s="1"/>
  <c r="F104" i="5" a="1"/>
  <c r="F104" i="5" s="1"/>
  <c r="F105" i="5" a="1"/>
  <c r="F105" i="5" s="1"/>
  <c r="F106" i="5" a="1"/>
  <c r="F106" i="5" s="1"/>
  <c r="F107" i="5" a="1"/>
  <c r="F107" i="5" s="1"/>
  <c r="F108" i="5" a="1"/>
  <c r="F108" i="5" s="1"/>
  <c r="F109" i="5" a="1"/>
  <c r="F109" i="5" s="1"/>
  <c r="F110" i="5" a="1"/>
  <c r="F110" i="5" s="1"/>
  <c r="F111" i="5" a="1"/>
  <c r="F111" i="5" s="1"/>
  <c r="F112" i="5" a="1"/>
  <c r="F112" i="5" s="1"/>
  <c r="F113" i="5" a="1"/>
  <c r="F113" i="5" s="1"/>
  <c r="F114" i="5" a="1"/>
  <c r="F114" i="5" s="1"/>
  <c r="F115" i="5" a="1"/>
  <c r="F115" i="5" s="1"/>
  <c r="F116" i="5" a="1"/>
  <c r="F116" i="5" s="1"/>
  <c r="F117" i="5" a="1"/>
  <c r="F117" i="5" s="1"/>
  <c r="G82" i="5" a="1"/>
  <c r="G82" i="5" s="1"/>
  <c r="G83" i="5" a="1"/>
  <c r="G83" i="5" s="1"/>
  <c r="G84" i="5" a="1"/>
  <c r="G84" i="5" s="1"/>
  <c r="G85" i="5" a="1"/>
  <c r="G85" i="5" s="1"/>
  <c r="G86" i="5" a="1"/>
  <c r="G86" i="5" s="1"/>
  <c r="G87" i="5" a="1"/>
  <c r="G87" i="5" s="1"/>
  <c r="G88" i="5" a="1"/>
  <c r="G88" i="5" s="1"/>
  <c r="G89" i="5" a="1"/>
  <c r="G89" i="5" s="1"/>
  <c r="G90" i="5" a="1"/>
  <c r="G90" i="5" s="1"/>
  <c r="G91" i="5" a="1"/>
  <c r="G91" i="5" s="1"/>
  <c r="G92" i="5" a="1"/>
  <c r="G92" i="5" s="1"/>
  <c r="G93" i="5" a="1"/>
  <c r="G93" i="5" s="1"/>
  <c r="G106" i="5" a="1"/>
  <c r="G106" i="5" s="1"/>
  <c r="G107" i="5" a="1"/>
  <c r="G107" i="5" s="1"/>
  <c r="G108" i="5" a="1"/>
  <c r="G108" i="5" s="1"/>
  <c r="G109" i="5" a="1"/>
  <c r="G109" i="5" s="1"/>
  <c r="G110" i="5" a="1"/>
  <c r="G110" i="5" s="1"/>
  <c r="G111" i="5" a="1"/>
  <c r="G111" i="5" s="1"/>
  <c r="G112" i="5" a="1"/>
  <c r="G112" i="5" s="1"/>
  <c r="G113" i="5" a="1"/>
  <c r="G113" i="5" s="1"/>
  <c r="G114" i="5" a="1"/>
  <c r="G114" i="5" s="1"/>
  <c r="G115" i="5" a="1"/>
  <c r="G115" i="5" s="1"/>
  <c r="G116" i="5" a="1"/>
  <c r="G116" i="5" s="1"/>
  <c r="G117" i="5" a="1"/>
  <c r="G117" i="5" s="1"/>
  <c r="G94" i="5" a="1"/>
  <c r="G94" i="5" s="1"/>
  <c r="G95" i="5" a="1"/>
  <c r="G95" i="5" s="1"/>
  <c r="G96" i="5" a="1"/>
  <c r="G96" i="5" s="1"/>
  <c r="G97" i="5" a="1"/>
  <c r="G97" i="5" s="1"/>
  <c r="G98" i="5" a="1"/>
  <c r="G98" i="5" s="1"/>
  <c r="G99" i="5" a="1"/>
  <c r="G99" i="5" s="1"/>
  <c r="G100" i="5" a="1"/>
  <c r="G100" i="5" s="1"/>
  <c r="G101" i="5" a="1"/>
  <c r="G101" i="5" s="1"/>
  <c r="G102" i="5" a="1"/>
  <c r="G102" i="5" s="1"/>
  <c r="G103" i="5" a="1"/>
  <c r="G103" i="5" s="1"/>
  <c r="G104" i="5" a="1"/>
  <c r="G104" i="5" s="1"/>
  <c r="G105" i="5" a="1"/>
  <c r="G105" i="5" s="1"/>
  <c r="G70" i="5" a="1"/>
  <c r="G70" i="5" s="1"/>
  <c r="G71" i="5" a="1"/>
  <c r="G71" i="5" s="1"/>
  <c r="G72" i="5" a="1"/>
  <c r="G72" i="5" s="1"/>
  <c r="G73" i="5" a="1"/>
  <c r="G73" i="5" s="1"/>
  <c r="G74" i="5" a="1"/>
  <c r="G74" i="5" s="1"/>
  <c r="G75" i="5" a="1"/>
  <c r="G75" i="5" s="1"/>
  <c r="G76" i="5" a="1"/>
  <c r="G76" i="5" s="1"/>
  <c r="G77" i="5" a="1"/>
  <c r="G77" i="5" s="1"/>
  <c r="G78" i="5" a="1"/>
  <c r="G78" i="5" s="1"/>
  <c r="G79" i="5" a="1"/>
  <c r="G79" i="5" s="1"/>
  <c r="G80" i="5" a="1"/>
  <c r="G80" i="5" s="1"/>
  <c r="G81" i="5" a="1"/>
  <c r="G81" i="5" s="1"/>
  <c r="H106" i="5" a="1"/>
  <c r="H106" i="5" s="1"/>
  <c r="H107" i="5" a="1"/>
  <c r="H107" i="5" s="1"/>
  <c r="H108" i="5" a="1"/>
  <c r="H108" i="5" s="1"/>
  <c r="H109" i="5" a="1"/>
  <c r="H109" i="5" s="1"/>
  <c r="H110" i="5" a="1"/>
  <c r="H110" i="5" s="1"/>
  <c r="H111" i="5" a="1"/>
  <c r="H111" i="5" s="1"/>
  <c r="H112" i="5" a="1"/>
  <c r="H112" i="5" s="1"/>
  <c r="H113" i="5" a="1"/>
  <c r="H113" i="5" s="1"/>
  <c r="H114" i="5" a="1"/>
  <c r="H114" i="5" s="1"/>
  <c r="H115" i="5" a="1"/>
  <c r="H115" i="5" s="1"/>
  <c r="H116" i="5" a="1"/>
  <c r="H116" i="5" s="1"/>
  <c r="H117" i="5" a="1"/>
  <c r="H117" i="5" s="1"/>
  <c r="H94" i="5" a="1"/>
  <c r="H94" i="5" s="1"/>
  <c r="H95" i="5" a="1"/>
  <c r="H95" i="5" s="1"/>
  <c r="H96" i="5" a="1"/>
  <c r="H96" i="5" s="1"/>
  <c r="H97" i="5" a="1"/>
  <c r="H97" i="5" s="1"/>
  <c r="H98" i="5" a="1"/>
  <c r="H98" i="5" s="1"/>
  <c r="H99" i="5" a="1"/>
  <c r="H99" i="5" s="1"/>
  <c r="H100" i="5" a="1"/>
  <c r="H100" i="5" s="1"/>
  <c r="H101" i="5" a="1"/>
  <c r="H101" i="5" s="1"/>
  <c r="H102" i="5" a="1"/>
  <c r="H102" i="5" s="1"/>
  <c r="H103" i="5" a="1"/>
  <c r="H103" i="5" s="1"/>
  <c r="H104" i="5" a="1"/>
  <c r="H104" i="5" s="1"/>
  <c r="H105" i="5" a="1"/>
  <c r="H105" i="5" s="1"/>
  <c r="H82" i="5" a="1"/>
  <c r="H82" i="5" s="1"/>
  <c r="H83" i="5" a="1"/>
  <c r="H83" i="5" s="1"/>
  <c r="H84" i="5" a="1"/>
  <c r="H84" i="5" s="1"/>
  <c r="H85" i="5" a="1"/>
  <c r="H85" i="5" s="1"/>
  <c r="H86" i="5" a="1"/>
  <c r="H86" i="5" s="1"/>
  <c r="H87" i="5" a="1"/>
  <c r="H87" i="5" s="1"/>
  <c r="H88" i="5" a="1"/>
  <c r="H88" i="5" s="1"/>
  <c r="H89" i="5" a="1"/>
  <c r="H89" i="5" s="1"/>
  <c r="H90" i="5" a="1"/>
  <c r="H90" i="5" s="1"/>
  <c r="H91" i="5" a="1"/>
  <c r="H91" i="5" s="1"/>
  <c r="H92" i="5" a="1"/>
  <c r="H92" i="5" s="1"/>
  <c r="H93" i="5" a="1"/>
  <c r="H93" i="5" s="1"/>
  <c r="H70" i="5" a="1"/>
  <c r="H70" i="5" s="1"/>
  <c r="H71" i="5" a="1"/>
  <c r="H71" i="5" s="1"/>
  <c r="H72" i="5" a="1"/>
  <c r="H72" i="5" s="1"/>
  <c r="H73" i="5" a="1"/>
  <c r="H73" i="5" s="1"/>
  <c r="H74" i="5" a="1"/>
  <c r="H74" i="5" s="1"/>
  <c r="H75" i="5" a="1"/>
  <c r="H75" i="5" s="1"/>
  <c r="H76" i="5" a="1"/>
  <c r="H76" i="5" s="1"/>
  <c r="H77" i="5" a="1"/>
  <c r="H77" i="5" s="1"/>
  <c r="H78" i="5" a="1"/>
  <c r="H78" i="5" s="1"/>
  <c r="H79" i="5" a="1"/>
  <c r="H79" i="5" s="1"/>
  <c r="H80" i="5" a="1"/>
  <c r="H80" i="5" s="1"/>
  <c r="H81" i="5" a="1"/>
  <c r="H81" i="5" s="1"/>
  <c r="I106" i="5" a="1"/>
  <c r="I106" i="5" s="1"/>
  <c r="I107" i="5" a="1"/>
  <c r="I107" i="5" s="1"/>
  <c r="I108" i="5" a="1"/>
  <c r="I108" i="5" s="1"/>
  <c r="I109" i="5" a="1"/>
  <c r="I109" i="5" s="1"/>
  <c r="I110" i="5" a="1"/>
  <c r="I110" i="5" s="1"/>
  <c r="I111" i="5" a="1"/>
  <c r="I111" i="5" s="1"/>
  <c r="I112" i="5" a="1"/>
  <c r="I112" i="5" s="1"/>
  <c r="I113" i="5" a="1"/>
  <c r="I113" i="5" s="1"/>
  <c r="I114" i="5" a="1"/>
  <c r="I114" i="5" s="1"/>
  <c r="I115" i="5" a="1"/>
  <c r="I115" i="5" s="1"/>
  <c r="I116" i="5" a="1"/>
  <c r="I116" i="5" s="1"/>
  <c r="I117" i="5" a="1"/>
  <c r="I117" i="5" s="1"/>
  <c r="I94" i="5" a="1"/>
  <c r="I94" i="5" s="1"/>
  <c r="I95" i="5" a="1"/>
  <c r="I95" i="5" s="1"/>
  <c r="I96" i="5" a="1"/>
  <c r="I96" i="5" s="1"/>
  <c r="I97" i="5" a="1"/>
  <c r="I97" i="5" s="1"/>
  <c r="I98" i="5" a="1"/>
  <c r="I98" i="5" s="1"/>
  <c r="I99" i="5" a="1"/>
  <c r="I99" i="5" s="1"/>
  <c r="I100" i="5" a="1"/>
  <c r="I100" i="5" s="1"/>
  <c r="I101" i="5" a="1"/>
  <c r="I101" i="5" s="1"/>
  <c r="I102" i="5" a="1"/>
  <c r="I102" i="5" s="1"/>
  <c r="I103" i="5" a="1"/>
  <c r="I103" i="5" s="1"/>
  <c r="I104" i="5" a="1"/>
  <c r="I104" i="5" s="1"/>
  <c r="I105" i="5" a="1"/>
  <c r="I105" i="5" s="1"/>
  <c r="I82" i="5" a="1"/>
  <c r="I82" i="5" s="1"/>
  <c r="I83" i="5" a="1"/>
  <c r="I83" i="5" s="1"/>
  <c r="I84" i="5" a="1"/>
  <c r="I84" i="5" s="1"/>
  <c r="I85" i="5" a="1"/>
  <c r="I85" i="5" s="1"/>
  <c r="I86" i="5" a="1"/>
  <c r="I86" i="5" s="1"/>
  <c r="I87" i="5" a="1"/>
  <c r="I87" i="5" s="1"/>
  <c r="I88" i="5" a="1"/>
  <c r="I88" i="5" s="1"/>
  <c r="I89" i="5" a="1"/>
  <c r="I89" i="5" s="1"/>
  <c r="I90" i="5" a="1"/>
  <c r="I90" i="5" s="1"/>
  <c r="I91" i="5" a="1"/>
  <c r="I91" i="5" s="1"/>
  <c r="I92" i="5" a="1"/>
  <c r="I92" i="5" s="1"/>
  <c r="I93" i="5" a="1"/>
  <c r="I93" i="5" s="1"/>
  <c r="I70" i="5" a="1"/>
  <c r="I70" i="5" s="1"/>
  <c r="I71" i="5" a="1"/>
  <c r="I71" i="5" s="1"/>
  <c r="I72" i="5" a="1"/>
  <c r="I72" i="5" s="1"/>
  <c r="I73" i="5" a="1"/>
  <c r="I73" i="5" s="1"/>
  <c r="I74" i="5" a="1"/>
  <c r="I74" i="5" s="1"/>
  <c r="I75" i="5" a="1"/>
  <c r="I75" i="5" s="1"/>
  <c r="I76" i="5" a="1"/>
  <c r="I76" i="5" s="1"/>
  <c r="I77" i="5" a="1"/>
  <c r="I77" i="5" s="1"/>
  <c r="I78" i="5" a="1"/>
  <c r="I78" i="5" s="1"/>
  <c r="I79" i="5" a="1"/>
  <c r="I79" i="5" s="1"/>
  <c r="I80" i="5" a="1"/>
  <c r="I80" i="5" s="1"/>
  <c r="I81" i="5" a="1"/>
  <c r="I81" i="5" s="1"/>
  <c r="J106" i="5" a="1"/>
  <c r="J106" i="5" s="1"/>
  <c r="J107" i="5" a="1"/>
  <c r="J107" i="5" s="1"/>
  <c r="J108" i="5" a="1"/>
  <c r="J108" i="5" s="1"/>
  <c r="J109" i="5" a="1"/>
  <c r="J109" i="5" s="1"/>
  <c r="J110" i="5" a="1"/>
  <c r="J110" i="5" s="1"/>
  <c r="J111" i="5" a="1"/>
  <c r="J111" i="5" s="1"/>
  <c r="J112" i="5" a="1"/>
  <c r="J112" i="5" s="1"/>
  <c r="J113" i="5" a="1"/>
  <c r="J113" i="5" s="1"/>
  <c r="J114" i="5" a="1"/>
  <c r="J114" i="5" s="1"/>
  <c r="J115" i="5" a="1"/>
  <c r="J115" i="5" s="1"/>
  <c r="J116" i="5" a="1"/>
  <c r="J116" i="5" s="1"/>
  <c r="J117" i="5" a="1"/>
  <c r="J117" i="5" s="1"/>
  <c r="J70" i="5" a="1"/>
  <c r="J70" i="5" s="1"/>
  <c r="J71" i="5" a="1"/>
  <c r="J71" i="5" s="1"/>
  <c r="J72" i="5" a="1"/>
  <c r="J72" i="5" s="1"/>
  <c r="J73" i="5" a="1"/>
  <c r="J73" i="5" s="1"/>
  <c r="J74" i="5" a="1"/>
  <c r="J74" i="5" s="1"/>
  <c r="J75" i="5" a="1"/>
  <c r="J75" i="5" s="1"/>
  <c r="J76" i="5" a="1"/>
  <c r="J76" i="5" s="1"/>
  <c r="J77" i="5" a="1"/>
  <c r="J77" i="5" s="1"/>
  <c r="J78" i="5" a="1"/>
  <c r="J78" i="5" s="1"/>
  <c r="J79" i="5" a="1"/>
  <c r="J79" i="5" s="1"/>
  <c r="J80" i="5" a="1"/>
  <c r="J80" i="5" s="1"/>
  <c r="J81" i="5" a="1"/>
  <c r="J81" i="5" s="1"/>
  <c r="J82" i="5" a="1"/>
  <c r="J82" i="5" s="1"/>
  <c r="J83" i="5" a="1"/>
  <c r="J83" i="5" s="1"/>
  <c r="J84" i="5" a="1"/>
  <c r="J84" i="5" s="1"/>
  <c r="J85" i="5" a="1"/>
  <c r="J85" i="5" s="1"/>
  <c r="J86" i="5" a="1"/>
  <c r="J86" i="5" s="1"/>
  <c r="J87" i="5" a="1"/>
  <c r="J87" i="5" s="1"/>
  <c r="J88" i="5" a="1"/>
  <c r="J88" i="5" s="1"/>
  <c r="J89" i="5" a="1"/>
  <c r="J89" i="5" s="1"/>
  <c r="J90" i="5" a="1"/>
  <c r="J90" i="5" s="1"/>
  <c r="J91" i="5" a="1"/>
  <c r="J91" i="5" s="1"/>
  <c r="J92" i="5" a="1"/>
  <c r="J92" i="5" s="1"/>
  <c r="J93" i="5" a="1"/>
  <c r="J93" i="5" s="1"/>
  <c r="J94" i="5" a="1"/>
  <c r="J94" i="5" s="1"/>
  <c r="J95" i="5" a="1"/>
  <c r="J95" i="5" s="1"/>
  <c r="J96" i="5" a="1"/>
  <c r="J96" i="5" s="1"/>
  <c r="J97" i="5" a="1"/>
  <c r="J97" i="5" s="1"/>
  <c r="J98" i="5" a="1"/>
  <c r="J98" i="5" s="1"/>
  <c r="J99" i="5" a="1"/>
  <c r="J99" i="5" s="1"/>
  <c r="J100" i="5" a="1"/>
  <c r="J100" i="5" s="1"/>
  <c r="J101" i="5" a="1"/>
  <c r="J101" i="5" s="1"/>
  <c r="J102" i="5" a="1"/>
  <c r="J102" i="5" s="1"/>
  <c r="J103" i="5" a="1"/>
  <c r="J103" i="5" s="1"/>
  <c r="J104" i="5" a="1"/>
  <c r="J104" i="5" s="1"/>
  <c r="J105" i="5" a="1"/>
  <c r="J105" i="5" s="1"/>
  <c r="K70" i="5" a="1"/>
  <c r="K70" i="5" s="1"/>
  <c r="K71" i="5" a="1"/>
  <c r="K71" i="5" s="1"/>
  <c r="K72" i="5" a="1"/>
  <c r="K72" i="5" s="1"/>
  <c r="K73" i="5" a="1"/>
  <c r="K73" i="5" s="1"/>
  <c r="K74" i="5" a="1"/>
  <c r="K74" i="5" s="1"/>
  <c r="K75" i="5" a="1"/>
  <c r="K75" i="5" s="1"/>
  <c r="K76" i="5" a="1"/>
  <c r="K76" i="5" s="1"/>
  <c r="K77" i="5" a="1"/>
  <c r="K77" i="5" s="1"/>
  <c r="K78" i="5" a="1"/>
  <c r="K78" i="5" s="1"/>
  <c r="K79" i="5" a="1"/>
  <c r="K79" i="5" s="1"/>
  <c r="K80" i="5" a="1"/>
  <c r="K80" i="5" s="1"/>
  <c r="K81" i="5" a="1"/>
  <c r="K81" i="5" s="1"/>
  <c r="K94" i="5" a="1"/>
  <c r="K94" i="5" s="1"/>
  <c r="K95" i="5" a="1"/>
  <c r="K95" i="5" s="1"/>
  <c r="K96" i="5" a="1"/>
  <c r="K96" i="5" s="1"/>
  <c r="K97" i="5" a="1"/>
  <c r="K97" i="5" s="1"/>
  <c r="K98" i="5" a="1"/>
  <c r="K98" i="5" s="1"/>
  <c r="K99" i="5" a="1"/>
  <c r="K99" i="5" s="1"/>
  <c r="K100" i="5" a="1"/>
  <c r="K100" i="5" s="1"/>
  <c r="K101" i="5" a="1"/>
  <c r="K101" i="5" s="1"/>
  <c r="K102" i="5" a="1"/>
  <c r="K102" i="5" s="1"/>
  <c r="K103" i="5" a="1"/>
  <c r="K103" i="5" s="1"/>
  <c r="K104" i="5" a="1"/>
  <c r="K104" i="5" s="1"/>
  <c r="K105" i="5" a="1"/>
  <c r="K105" i="5" s="1"/>
  <c r="K106" i="5" a="1"/>
  <c r="K106" i="5" s="1"/>
  <c r="K107" i="5" a="1"/>
  <c r="K107" i="5" s="1"/>
  <c r="K108" i="5" a="1"/>
  <c r="K108" i="5" s="1"/>
  <c r="K109" i="5" a="1"/>
  <c r="K109" i="5" s="1"/>
  <c r="K110" i="5" a="1"/>
  <c r="K110" i="5" s="1"/>
  <c r="K111" i="5" a="1"/>
  <c r="K111" i="5" s="1"/>
  <c r="K112" i="5" a="1"/>
  <c r="K112" i="5" s="1"/>
  <c r="K113" i="5" a="1"/>
  <c r="K113" i="5" s="1"/>
  <c r="K114" i="5" a="1"/>
  <c r="K114" i="5" s="1"/>
  <c r="K115" i="5" a="1"/>
  <c r="K115" i="5" s="1"/>
  <c r="K116" i="5" a="1"/>
  <c r="K116" i="5" s="1"/>
  <c r="K117" i="5" a="1"/>
  <c r="K117" i="5" s="1"/>
  <c r="K82" i="5" a="1"/>
  <c r="K82" i="5" s="1"/>
  <c r="K83" i="5" a="1"/>
  <c r="K83" i="5" s="1"/>
  <c r="K84" i="5" a="1"/>
  <c r="K84" i="5" s="1"/>
  <c r="K85" i="5" a="1"/>
  <c r="K85" i="5" s="1"/>
  <c r="K86" i="5" a="1"/>
  <c r="K86" i="5" s="1"/>
  <c r="K87" i="5" a="1"/>
  <c r="K87" i="5" s="1"/>
  <c r="K88" i="5" a="1"/>
  <c r="K88" i="5" s="1"/>
  <c r="K89" i="5" a="1"/>
  <c r="K89" i="5" s="1"/>
  <c r="K90" i="5" a="1"/>
  <c r="K90" i="5" s="1"/>
  <c r="K91" i="5" a="1"/>
  <c r="K91" i="5" s="1"/>
  <c r="K92" i="5" a="1"/>
  <c r="K92" i="5" s="1"/>
  <c r="K93" i="5" a="1"/>
  <c r="K93" i="5" s="1"/>
  <c r="L82" i="5" a="1"/>
  <c r="L82" i="5" s="1"/>
  <c r="L83" i="5" a="1"/>
  <c r="L83" i="5" s="1"/>
  <c r="L84" i="5" a="1"/>
  <c r="L84" i="5" s="1"/>
  <c r="L85" i="5" a="1"/>
  <c r="L85" i="5" s="1"/>
  <c r="L86" i="5" a="1"/>
  <c r="L86" i="5" s="1"/>
  <c r="L87" i="5" a="1"/>
  <c r="L87" i="5" s="1"/>
  <c r="L88" i="5" a="1"/>
  <c r="L88" i="5" s="1"/>
  <c r="L89" i="5" a="1"/>
  <c r="L89" i="5" s="1"/>
  <c r="L90" i="5" a="1"/>
  <c r="L90" i="5" s="1"/>
  <c r="L91" i="5" a="1"/>
  <c r="L91" i="5" s="1"/>
  <c r="L92" i="5" a="1"/>
  <c r="L92" i="5" s="1"/>
  <c r="L93" i="5" a="1"/>
  <c r="L93" i="5" s="1"/>
  <c r="L106" i="5" a="1"/>
  <c r="L106" i="5" s="1"/>
  <c r="L107" i="5" a="1"/>
  <c r="L107" i="5" s="1"/>
  <c r="L108" i="5" a="1"/>
  <c r="L108" i="5" s="1"/>
  <c r="L109" i="5" a="1"/>
  <c r="L109" i="5" s="1"/>
  <c r="L110" i="5" a="1"/>
  <c r="L110" i="5" s="1"/>
  <c r="L111" i="5" a="1"/>
  <c r="L111" i="5" s="1"/>
  <c r="L112" i="5" a="1"/>
  <c r="L112" i="5" s="1"/>
  <c r="L113" i="5" a="1"/>
  <c r="L113" i="5" s="1"/>
  <c r="L114" i="5" a="1"/>
  <c r="L114" i="5" s="1"/>
  <c r="L115" i="5" a="1"/>
  <c r="L115" i="5" s="1"/>
  <c r="L116" i="5" a="1"/>
  <c r="L116" i="5" s="1"/>
  <c r="L117" i="5" a="1"/>
  <c r="L117" i="5" s="1"/>
  <c r="L70" i="5" a="1"/>
  <c r="L70" i="5" s="1"/>
  <c r="L71" i="5" a="1"/>
  <c r="L71" i="5" s="1"/>
  <c r="L72" i="5" a="1"/>
  <c r="L72" i="5" s="1"/>
  <c r="L73" i="5" a="1"/>
  <c r="L73" i="5" s="1"/>
  <c r="L74" i="5" a="1"/>
  <c r="L74" i="5" s="1"/>
  <c r="L75" i="5" a="1"/>
  <c r="L75" i="5" s="1"/>
  <c r="L76" i="5" a="1"/>
  <c r="L76" i="5" s="1"/>
  <c r="L77" i="5" a="1"/>
  <c r="L77" i="5" s="1"/>
  <c r="L78" i="5" a="1"/>
  <c r="L78" i="5" s="1"/>
  <c r="L79" i="5" a="1"/>
  <c r="L79" i="5" s="1"/>
  <c r="L80" i="5" a="1"/>
  <c r="L80" i="5" s="1"/>
  <c r="L81" i="5" a="1"/>
  <c r="L81" i="5" s="1"/>
  <c r="L94" i="5" a="1"/>
  <c r="L94" i="5" s="1"/>
  <c r="L95" i="5" a="1"/>
  <c r="L95" i="5" s="1"/>
  <c r="L96" i="5" a="1"/>
  <c r="L96" i="5" s="1"/>
  <c r="L97" i="5" a="1"/>
  <c r="L97" i="5" s="1"/>
  <c r="L98" i="5" a="1"/>
  <c r="L98" i="5" s="1"/>
  <c r="L99" i="5" a="1"/>
  <c r="L99" i="5" s="1"/>
  <c r="L100" i="5" a="1"/>
  <c r="L100" i="5" s="1"/>
  <c r="L101" i="5" a="1"/>
  <c r="L101" i="5" s="1"/>
  <c r="L102" i="5" a="1"/>
  <c r="L102" i="5" s="1"/>
  <c r="L103" i="5" a="1"/>
  <c r="L103" i="5" s="1"/>
  <c r="L104" i="5" a="1"/>
  <c r="L104" i="5" s="1"/>
  <c r="L105" i="5" a="1"/>
  <c r="L105" i="5" s="1"/>
  <c r="M94" i="5" a="1"/>
  <c r="M94" i="5" s="1"/>
  <c r="M95" i="5" a="1"/>
  <c r="M95" i="5" s="1"/>
  <c r="M96" i="5" a="1"/>
  <c r="M96" i="5" s="1"/>
  <c r="M97" i="5" a="1"/>
  <c r="M97" i="5" s="1"/>
  <c r="M98" i="5" a="1"/>
  <c r="M98" i="5" s="1"/>
  <c r="M99" i="5" a="1"/>
  <c r="M99" i="5" s="1"/>
  <c r="M100" i="5" a="1"/>
  <c r="M100" i="5" s="1"/>
  <c r="M101" i="5" a="1"/>
  <c r="M101" i="5" s="1"/>
  <c r="M102" i="5" a="1"/>
  <c r="M102" i="5" s="1"/>
  <c r="M103" i="5" a="1"/>
  <c r="M103" i="5" s="1"/>
  <c r="M104" i="5" a="1"/>
  <c r="M104" i="5" s="1"/>
  <c r="M105" i="5" a="1"/>
  <c r="M105" i="5" s="1"/>
  <c r="M70" i="5" a="1"/>
  <c r="M70" i="5" s="1"/>
  <c r="M71" i="5" a="1"/>
  <c r="M71" i="5" s="1"/>
  <c r="M72" i="5" a="1"/>
  <c r="M72" i="5" s="1"/>
  <c r="M73" i="5" a="1"/>
  <c r="M73" i="5" s="1"/>
  <c r="M74" i="5" a="1"/>
  <c r="M74" i="5" s="1"/>
  <c r="M75" i="5" a="1"/>
  <c r="M75" i="5" s="1"/>
  <c r="M76" i="5" a="1"/>
  <c r="M76" i="5" s="1"/>
  <c r="M77" i="5" a="1"/>
  <c r="M77" i="5" s="1"/>
  <c r="M78" i="5" a="1"/>
  <c r="M78" i="5" s="1"/>
  <c r="M79" i="5" a="1"/>
  <c r="M79" i="5" s="1"/>
  <c r="M80" i="5" a="1"/>
  <c r="M80" i="5" s="1"/>
  <c r="M81" i="5" a="1"/>
  <c r="M81" i="5" s="1"/>
  <c r="M82" i="5" a="1"/>
  <c r="M82" i="5" s="1"/>
  <c r="M83" i="5" a="1"/>
  <c r="M83" i="5" s="1"/>
  <c r="M84" i="5" a="1"/>
  <c r="M84" i="5" s="1"/>
  <c r="M85" i="5" a="1"/>
  <c r="M85" i="5" s="1"/>
  <c r="M86" i="5" a="1"/>
  <c r="M86" i="5" s="1"/>
  <c r="M87" i="5" a="1"/>
  <c r="M87" i="5" s="1"/>
  <c r="M88" i="5" a="1"/>
  <c r="M88" i="5" s="1"/>
  <c r="M89" i="5" a="1"/>
  <c r="M89" i="5" s="1"/>
  <c r="M90" i="5" a="1"/>
  <c r="M90" i="5" s="1"/>
  <c r="M91" i="5" a="1"/>
  <c r="M91" i="5" s="1"/>
  <c r="M92" i="5" a="1"/>
  <c r="M92" i="5" s="1"/>
  <c r="M93" i="5" a="1"/>
  <c r="M93" i="5" s="1"/>
  <c r="M106" i="5" a="1"/>
  <c r="M106" i="5" s="1"/>
  <c r="M107" i="5" a="1"/>
  <c r="M107" i="5" s="1"/>
  <c r="M108" i="5" a="1"/>
  <c r="M108" i="5" s="1"/>
  <c r="M109" i="5" a="1"/>
  <c r="M109" i="5" s="1"/>
  <c r="M110" i="5" a="1"/>
  <c r="M110" i="5" s="1"/>
  <c r="M111" i="5" a="1"/>
  <c r="M111" i="5" s="1"/>
  <c r="M112" i="5" a="1"/>
  <c r="M112" i="5" s="1"/>
  <c r="M113" i="5" a="1"/>
  <c r="M113" i="5" s="1"/>
  <c r="M114" i="5" a="1"/>
  <c r="M114" i="5" s="1"/>
  <c r="M115" i="5" a="1"/>
  <c r="M115" i="5" s="1"/>
  <c r="M116" i="5" a="1"/>
  <c r="M116" i="5" s="1"/>
  <c r="M117" i="5" a="1"/>
  <c r="M117" i="5" s="1"/>
  <c r="N82" i="5" a="1"/>
  <c r="N82" i="5" s="1"/>
  <c r="N83" i="5" a="1"/>
  <c r="N83" i="5" s="1"/>
  <c r="N84" i="5" a="1"/>
  <c r="N84" i="5" s="1"/>
  <c r="N85" i="5" a="1"/>
  <c r="N85" i="5" s="1"/>
  <c r="N86" i="5" a="1"/>
  <c r="N86" i="5" s="1"/>
  <c r="N87" i="5" a="1"/>
  <c r="N87" i="5" s="1"/>
  <c r="N88" i="5" a="1"/>
  <c r="N88" i="5" s="1"/>
  <c r="N89" i="5" a="1"/>
  <c r="N89" i="5" s="1"/>
  <c r="N90" i="5" a="1"/>
  <c r="N90" i="5" s="1"/>
  <c r="N91" i="5" a="1"/>
  <c r="N91" i="5" s="1"/>
  <c r="N92" i="5" a="1"/>
  <c r="N92" i="5" s="1"/>
  <c r="N93" i="5" a="1"/>
  <c r="N93" i="5" s="1"/>
  <c r="N70" i="5" a="1"/>
  <c r="N70" i="5" s="1"/>
  <c r="N71" i="5" a="1"/>
  <c r="N71" i="5" s="1"/>
  <c r="N72" i="5" a="1"/>
  <c r="N72" i="5" s="1"/>
  <c r="N73" i="5" a="1"/>
  <c r="N73" i="5" s="1"/>
  <c r="N74" i="5" a="1"/>
  <c r="N74" i="5" s="1"/>
  <c r="N75" i="5" a="1"/>
  <c r="N75" i="5" s="1"/>
  <c r="N76" i="5" a="1"/>
  <c r="N76" i="5" s="1"/>
  <c r="N77" i="5" a="1"/>
  <c r="N77" i="5" s="1"/>
  <c r="N78" i="5" a="1"/>
  <c r="N78" i="5" s="1"/>
  <c r="N79" i="5" a="1"/>
  <c r="N79" i="5" s="1"/>
  <c r="N80" i="5" a="1"/>
  <c r="N80" i="5" s="1"/>
  <c r="N81" i="5" a="1"/>
  <c r="N81" i="5" s="1"/>
  <c r="N106" i="5" a="1"/>
  <c r="N106" i="5" s="1"/>
  <c r="N107" i="5" a="1"/>
  <c r="N107" i="5" s="1"/>
  <c r="N108" i="5" a="1"/>
  <c r="N108" i="5" s="1"/>
  <c r="N109" i="5" a="1"/>
  <c r="N109" i="5" s="1"/>
  <c r="N110" i="5" a="1"/>
  <c r="N110" i="5" s="1"/>
  <c r="N111" i="5" a="1"/>
  <c r="N111" i="5" s="1"/>
  <c r="N112" i="5" a="1"/>
  <c r="N112" i="5" s="1"/>
  <c r="N113" i="5" a="1"/>
  <c r="N113" i="5" s="1"/>
  <c r="N114" i="5" a="1"/>
  <c r="N114" i="5" s="1"/>
  <c r="N115" i="5" a="1"/>
  <c r="N115" i="5" s="1"/>
  <c r="N116" i="5" a="1"/>
  <c r="N116" i="5" s="1"/>
  <c r="N117" i="5" a="1"/>
  <c r="N117" i="5" s="1"/>
  <c r="N94" i="5" a="1"/>
  <c r="N94" i="5" s="1"/>
  <c r="N95" i="5" a="1"/>
  <c r="N95" i="5" s="1"/>
  <c r="N96" i="5" a="1"/>
  <c r="N96" i="5" s="1"/>
  <c r="N97" i="5" a="1"/>
  <c r="N97" i="5" s="1"/>
  <c r="N98" i="5" a="1"/>
  <c r="N98" i="5" s="1"/>
  <c r="N99" i="5" a="1"/>
  <c r="N99" i="5" s="1"/>
  <c r="N100" i="5" a="1"/>
  <c r="N100" i="5" s="1"/>
  <c r="N101" i="5" a="1"/>
  <c r="N101" i="5" s="1"/>
  <c r="N102" i="5" a="1"/>
  <c r="N102" i="5" s="1"/>
  <c r="N103" i="5" a="1"/>
  <c r="N103" i="5" s="1"/>
  <c r="N104" i="5" a="1"/>
  <c r="N104" i="5" s="1"/>
  <c r="N105" i="5" a="1"/>
  <c r="N105" i="5" s="1"/>
  <c r="O70" i="5" a="1"/>
  <c r="O70" i="5" s="1"/>
  <c r="O71" i="5" a="1"/>
  <c r="O71" i="5" s="1"/>
  <c r="O72" i="5" a="1"/>
  <c r="O72" i="5" s="1"/>
  <c r="O73" i="5" a="1"/>
  <c r="O73" i="5" s="1"/>
  <c r="O74" i="5" a="1"/>
  <c r="O74" i="5" s="1"/>
  <c r="O75" i="5" a="1"/>
  <c r="O75" i="5" s="1"/>
  <c r="O76" i="5" a="1"/>
  <c r="O76" i="5" s="1"/>
  <c r="O77" i="5" a="1"/>
  <c r="O77" i="5" s="1"/>
  <c r="O78" i="5" a="1"/>
  <c r="O78" i="5" s="1"/>
  <c r="O79" i="5" a="1"/>
  <c r="O79" i="5" s="1"/>
  <c r="O80" i="5" a="1"/>
  <c r="O80" i="5" s="1"/>
  <c r="O81" i="5" a="1"/>
  <c r="O81" i="5" s="1"/>
  <c r="O82" i="5" a="1"/>
  <c r="O82" i="5" s="1"/>
  <c r="O83" i="5" a="1"/>
  <c r="O83" i="5" s="1"/>
  <c r="O84" i="5" a="1"/>
  <c r="O84" i="5" s="1"/>
  <c r="O85" i="5" a="1"/>
  <c r="O85" i="5" s="1"/>
  <c r="O86" i="5" a="1"/>
  <c r="O86" i="5" s="1"/>
  <c r="O87" i="5" a="1"/>
  <c r="O87" i="5" s="1"/>
  <c r="O88" i="5" a="1"/>
  <c r="O88" i="5" s="1"/>
  <c r="O89" i="5" a="1"/>
  <c r="O89" i="5" s="1"/>
  <c r="O90" i="5" a="1"/>
  <c r="O90" i="5" s="1"/>
  <c r="O91" i="5" a="1"/>
  <c r="O91" i="5" s="1"/>
  <c r="O92" i="5" a="1"/>
  <c r="O92" i="5" s="1"/>
  <c r="O93" i="5" a="1"/>
  <c r="O93" i="5" s="1"/>
  <c r="O94" i="5" a="1"/>
  <c r="O94" i="5" s="1"/>
  <c r="O95" i="5" a="1"/>
  <c r="O95" i="5" s="1"/>
  <c r="O96" i="5" a="1"/>
  <c r="O96" i="5" s="1"/>
  <c r="O97" i="5" a="1"/>
  <c r="O97" i="5" s="1"/>
  <c r="O98" i="5" a="1"/>
  <c r="O98" i="5" s="1"/>
  <c r="O99" i="5" a="1"/>
  <c r="O99" i="5" s="1"/>
  <c r="O100" i="5" a="1"/>
  <c r="O100" i="5" s="1"/>
  <c r="O101" i="5" a="1"/>
  <c r="O101" i="5" s="1"/>
  <c r="O102" i="5" a="1"/>
  <c r="O102" i="5" s="1"/>
  <c r="O103" i="5" a="1"/>
  <c r="O103" i="5" s="1"/>
  <c r="O104" i="5" a="1"/>
  <c r="O104" i="5" s="1"/>
  <c r="O105" i="5" a="1"/>
  <c r="O105" i="5" s="1"/>
  <c r="O106" i="5" a="1"/>
  <c r="O106" i="5" s="1"/>
  <c r="O107" i="5" a="1"/>
  <c r="O107" i="5" s="1"/>
  <c r="O108" i="5" a="1"/>
  <c r="O108" i="5" s="1"/>
  <c r="O109" i="5" a="1"/>
  <c r="O109" i="5" s="1"/>
  <c r="O110" i="5" a="1"/>
  <c r="O110" i="5" s="1"/>
  <c r="O111" i="5" a="1"/>
  <c r="O111" i="5" s="1"/>
  <c r="O112" i="5" a="1"/>
  <c r="O112" i="5" s="1"/>
  <c r="O113" i="5" a="1"/>
  <c r="O113" i="5" s="1"/>
  <c r="O114" i="5" a="1"/>
  <c r="O114" i="5" s="1"/>
  <c r="O115" i="5" a="1"/>
  <c r="O115" i="5" s="1"/>
  <c r="O116" i="5" a="1"/>
  <c r="O116" i="5" s="1"/>
  <c r="O117" i="5" a="1"/>
  <c r="O117" i="5" s="1"/>
  <c r="P94" i="5" a="1"/>
  <c r="P94" i="5" s="1"/>
  <c r="P95" i="5" a="1"/>
  <c r="P95" i="5" s="1"/>
  <c r="P96" i="5" a="1"/>
  <c r="P96" i="5" s="1"/>
  <c r="P97" i="5" a="1"/>
  <c r="P97" i="5" s="1"/>
  <c r="P98" i="5" a="1"/>
  <c r="P98" i="5" s="1"/>
  <c r="P99" i="5" a="1"/>
  <c r="P99" i="5" s="1"/>
  <c r="P100" i="5" a="1"/>
  <c r="P100" i="5" s="1"/>
  <c r="P101" i="5" a="1"/>
  <c r="P101" i="5" s="1"/>
  <c r="P102" i="5" a="1"/>
  <c r="P102" i="5" s="1"/>
  <c r="P103" i="5" a="1"/>
  <c r="P103" i="5" s="1"/>
  <c r="P104" i="5" a="1"/>
  <c r="P104" i="5" s="1"/>
  <c r="P105" i="5" a="1"/>
  <c r="P105" i="5" s="1"/>
  <c r="P70" i="5" a="1"/>
  <c r="P70" i="5" s="1"/>
  <c r="P71" i="5" a="1"/>
  <c r="P71" i="5" s="1"/>
  <c r="P72" i="5" a="1"/>
  <c r="P72" i="5" s="1"/>
  <c r="P73" i="5" a="1"/>
  <c r="P73" i="5" s="1"/>
  <c r="P74" i="5" a="1"/>
  <c r="P74" i="5" s="1"/>
  <c r="P75" i="5" a="1"/>
  <c r="P75" i="5" s="1"/>
  <c r="P76" i="5" a="1"/>
  <c r="P76" i="5" s="1"/>
  <c r="P77" i="5" a="1"/>
  <c r="P77" i="5" s="1"/>
  <c r="P78" i="5" a="1"/>
  <c r="P78" i="5" s="1"/>
  <c r="P79" i="5" a="1"/>
  <c r="P79" i="5" s="1"/>
  <c r="P80" i="5" a="1"/>
  <c r="P80" i="5" s="1"/>
  <c r="P81" i="5" a="1"/>
  <c r="P81" i="5" s="1"/>
  <c r="P106" i="5" a="1"/>
  <c r="P106" i="5" s="1"/>
  <c r="P107" i="5" a="1"/>
  <c r="P107" i="5" s="1"/>
  <c r="P108" i="5" a="1"/>
  <c r="P108" i="5" s="1"/>
  <c r="P109" i="5" a="1"/>
  <c r="P109" i="5" s="1"/>
  <c r="P110" i="5" a="1"/>
  <c r="P110" i="5" s="1"/>
  <c r="P111" i="5" a="1"/>
  <c r="P111" i="5" s="1"/>
  <c r="P112" i="5" a="1"/>
  <c r="P112" i="5" s="1"/>
  <c r="P113" i="5" a="1"/>
  <c r="P113" i="5" s="1"/>
  <c r="P114" i="5" a="1"/>
  <c r="P114" i="5" s="1"/>
  <c r="P115" i="5" a="1"/>
  <c r="P115" i="5" s="1"/>
  <c r="P116" i="5" a="1"/>
  <c r="P116" i="5" s="1"/>
  <c r="P117" i="5" a="1"/>
  <c r="P117" i="5" s="1"/>
  <c r="P82" i="5" a="1"/>
  <c r="P82" i="5" s="1"/>
  <c r="P83" i="5" a="1"/>
  <c r="P83" i="5" s="1"/>
  <c r="P84" i="5" a="1"/>
  <c r="P84" i="5" s="1"/>
  <c r="P85" i="5" a="1"/>
  <c r="P85" i="5" s="1"/>
  <c r="P86" i="5" a="1"/>
  <c r="P86" i="5" s="1"/>
  <c r="P87" i="5" a="1"/>
  <c r="P87" i="5" s="1"/>
  <c r="P88" i="5" a="1"/>
  <c r="P88" i="5" s="1"/>
  <c r="P89" i="5" a="1"/>
  <c r="P89" i="5" s="1"/>
  <c r="P90" i="5" a="1"/>
  <c r="P90" i="5" s="1"/>
  <c r="P91" i="5" a="1"/>
  <c r="P91" i="5" s="1"/>
  <c r="P92" i="5" a="1"/>
  <c r="P92" i="5" s="1"/>
  <c r="P93" i="5" a="1"/>
  <c r="P93" i="5" s="1"/>
  <c r="Q106" i="5" a="1"/>
  <c r="Q106" i="5" s="1"/>
  <c r="Q107" i="5" a="1"/>
  <c r="Q107" i="5" s="1"/>
  <c r="Q108" i="5" a="1"/>
  <c r="Q108" i="5" s="1"/>
  <c r="Q109" i="5" a="1"/>
  <c r="Q109" i="5" s="1"/>
  <c r="Q110" i="5" a="1"/>
  <c r="Q110" i="5" s="1"/>
  <c r="Q111" i="5" a="1"/>
  <c r="Q111" i="5" s="1"/>
  <c r="Q112" i="5" a="1"/>
  <c r="Q112" i="5" s="1"/>
  <c r="Q113" i="5" a="1"/>
  <c r="Q113" i="5" s="1"/>
  <c r="Q114" i="5" a="1"/>
  <c r="Q114" i="5" s="1"/>
  <c r="Q115" i="5" a="1"/>
  <c r="Q115" i="5" s="1"/>
  <c r="Q116" i="5" a="1"/>
  <c r="Q116" i="5" s="1"/>
  <c r="Q117" i="5" a="1"/>
  <c r="Q117" i="5" s="1"/>
  <c r="Q94" i="5" a="1"/>
  <c r="Q94" i="5" s="1"/>
  <c r="Q95" i="5" a="1"/>
  <c r="Q95" i="5" s="1"/>
  <c r="Q96" i="5" a="1"/>
  <c r="Q96" i="5" s="1"/>
  <c r="Q97" i="5" a="1"/>
  <c r="Q97" i="5" s="1"/>
  <c r="Q98" i="5" a="1"/>
  <c r="Q98" i="5" s="1"/>
  <c r="Q99" i="5" a="1"/>
  <c r="Q99" i="5" s="1"/>
  <c r="Q100" i="5" a="1"/>
  <c r="Q100" i="5" s="1"/>
  <c r="Q101" i="5" a="1"/>
  <c r="Q101" i="5" s="1"/>
  <c r="Q102" i="5" a="1"/>
  <c r="Q102" i="5" s="1"/>
  <c r="Q103" i="5" a="1"/>
  <c r="Q103" i="5" s="1"/>
  <c r="Q104" i="5" a="1"/>
  <c r="Q104" i="5" s="1"/>
  <c r="Q105" i="5" a="1"/>
  <c r="Q105" i="5" s="1"/>
  <c r="Q82" i="5" a="1"/>
  <c r="Q82" i="5" s="1"/>
  <c r="Q83" i="5" a="1"/>
  <c r="Q83" i="5" s="1"/>
  <c r="Q84" i="5" a="1"/>
  <c r="Q84" i="5" s="1"/>
  <c r="Q85" i="5" a="1"/>
  <c r="Q85" i="5" s="1"/>
  <c r="Q86" i="5" a="1"/>
  <c r="Q86" i="5" s="1"/>
  <c r="Q87" i="5" a="1"/>
  <c r="Q87" i="5" s="1"/>
  <c r="Q88" i="5" a="1"/>
  <c r="Q88" i="5" s="1"/>
  <c r="Q89" i="5" a="1"/>
  <c r="Q89" i="5" s="1"/>
  <c r="Q90" i="5" a="1"/>
  <c r="Q90" i="5" s="1"/>
  <c r="Q91" i="5" a="1"/>
  <c r="Q91" i="5" s="1"/>
  <c r="Q92" i="5" a="1"/>
  <c r="Q92" i="5" s="1"/>
  <c r="Q93" i="5" a="1"/>
  <c r="Q93" i="5" s="1"/>
  <c r="Q70" i="5" a="1"/>
  <c r="Q70" i="5" s="1"/>
  <c r="Q71" i="5" a="1"/>
  <c r="Q71" i="5" s="1"/>
  <c r="Q72" i="5" a="1"/>
  <c r="Q72" i="5" s="1"/>
  <c r="Q73" i="5" a="1"/>
  <c r="Q73" i="5" s="1"/>
  <c r="Q74" i="5" a="1"/>
  <c r="Q74" i="5" s="1"/>
  <c r="Q75" i="5" a="1"/>
  <c r="Q75" i="5" s="1"/>
  <c r="Q76" i="5" a="1"/>
  <c r="Q76" i="5" s="1"/>
  <c r="Q77" i="5" a="1"/>
  <c r="Q77" i="5" s="1"/>
  <c r="Q78" i="5" a="1"/>
  <c r="Q78" i="5" s="1"/>
  <c r="Q79" i="5" a="1"/>
  <c r="Q79" i="5" s="1"/>
  <c r="Q80" i="5" a="1"/>
  <c r="Q80" i="5" s="1"/>
  <c r="Q81" i="5" a="1"/>
  <c r="Q81" i="5" s="1"/>
  <c r="R70" i="5" a="1"/>
  <c r="R70" i="5" s="1"/>
  <c r="R71" i="5" a="1"/>
  <c r="R71" i="5" s="1"/>
  <c r="R72" i="5" a="1"/>
  <c r="R72" i="5" s="1"/>
  <c r="R73" i="5" a="1"/>
  <c r="R73" i="5" s="1"/>
  <c r="R74" i="5" a="1"/>
  <c r="R74" i="5" s="1"/>
  <c r="R75" i="5" a="1"/>
  <c r="R75" i="5" s="1"/>
  <c r="R76" i="5" a="1"/>
  <c r="R76" i="5" s="1"/>
  <c r="R77" i="5" a="1"/>
  <c r="R77" i="5" s="1"/>
  <c r="R78" i="5" a="1"/>
  <c r="R78" i="5" s="1"/>
  <c r="R79" i="5" a="1"/>
  <c r="R79" i="5" s="1"/>
  <c r="R80" i="5" a="1"/>
  <c r="R80" i="5" s="1"/>
  <c r="R81" i="5" a="1"/>
  <c r="R81" i="5" s="1"/>
  <c r="R94" i="5" a="1"/>
  <c r="R94" i="5" s="1"/>
  <c r="R95" i="5" a="1"/>
  <c r="R95" i="5" s="1"/>
  <c r="R96" i="5" a="1"/>
  <c r="R96" i="5" s="1"/>
  <c r="R97" i="5" a="1"/>
  <c r="R97" i="5" s="1"/>
  <c r="R98" i="5" a="1"/>
  <c r="R98" i="5" s="1"/>
  <c r="R99" i="5" a="1"/>
  <c r="R99" i="5" s="1"/>
  <c r="R100" i="5" a="1"/>
  <c r="R100" i="5" s="1"/>
  <c r="R101" i="5" a="1"/>
  <c r="R101" i="5" s="1"/>
  <c r="R102" i="5" a="1"/>
  <c r="R102" i="5" s="1"/>
  <c r="R103" i="5" a="1"/>
  <c r="R103" i="5" s="1"/>
  <c r="R104" i="5" a="1"/>
  <c r="R104" i="5" s="1"/>
  <c r="R105" i="5" a="1"/>
  <c r="R105" i="5" s="1"/>
  <c r="R82" i="5" a="1"/>
  <c r="R82" i="5" s="1"/>
  <c r="R83" i="5" a="1"/>
  <c r="R83" i="5" s="1"/>
  <c r="R84" i="5" a="1"/>
  <c r="R84" i="5" s="1"/>
  <c r="R85" i="5" a="1"/>
  <c r="R85" i="5" s="1"/>
  <c r="R86" i="5" a="1"/>
  <c r="R86" i="5" s="1"/>
  <c r="R87" i="5" a="1"/>
  <c r="R87" i="5" s="1"/>
  <c r="R88" i="5" a="1"/>
  <c r="R88" i="5" s="1"/>
  <c r="R89" i="5" a="1"/>
  <c r="R89" i="5" s="1"/>
  <c r="R90" i="5" a="1"/>
  <c r="R90" i="5" s="1"/>
  <c r="R91" i="5" a="1"/>
  <c r="R91" i="5" s="1"/>
  <c r="R92" i="5" a="1"/>
  <c r="R92" i="5" s="1"/>
  <c r="R93" i="5" a="1"/>
  <c r="R93" i="5" s="1"/>
  <c r="R106" i="5" a="1"/>
  <c r="R106" i="5" s="1"/>
  <c r="R107" i="5" a="1"/>
  <c r="R107" i="5" s="1"/>
  <c r="R108" i="5" a="1"/>
  <c r="R108" i="5" s="1"/>
  <c r="R109" i="5" a="1"/>
  <c r="R109" i="5" s="1"/>
  <c r="R110" i="5" a="1"/>
  <c r="R110" i="5" s="1"/>
  <c r="R111" i="5" a="1"/>
  <c r="R111" i="5" s="1"/>
  <c r="R112" i="5" a="1"/>
  <c r="R112" i="5" s="1"/>
  <c r="R113" i="5" a="1"/>
  <c r="R113" i="5" s="1"/>
  <c r="R114" i="5" a="1"/>
  <c r="R114" i="5" s="1"/>
  <c r="R115" i="5" a="1"/>
  <c r="R115" i="5" s="1"/>
  <c r="R116" i="5" a="1"/>
  <c r="R116" i="5" s="1"/>
  <c r="R117" i="5" a="1"/>
  <c r="R117" i="5" s="1"/>
  <c r="S94" i="5" a="1"/>
  <c r="S94" i="5" s="1"/>
  <c r="S95" i="5" a="1"/>
  <c r="S95" i="5" s="1"/>
  <c r="S96" i="5" a="1"/>
  <c r="S96" i="5" s="1"/>
  <c r="S97" i="5" a="1"/>
  <c r="S97" i="5" s="1"/>
  <c r="S98" i="5" a="1"/>
  <c r="S98" i="5" s="1"/>
  <c r="S99" i="5" a="1"/>
  <c r="S99" i="5" s="1"/>
  <c r="S100" i="5" a="1"/>
  <c r="S100" i="5" s="1"/>
  <c r="S101" i="5" a="1"/>
  <c r="S101" i="5" s="1"/>
  <c r="S102" i="5" a="1"/>
  <c r="S102" i="5" s="1"/>
  <c r="S103" i="5" a="1"/>
  <c r="S103" i="5" s="1"/>
  <c r="S104" i="5" a="1"/>
  <c r="S104" i="5" s="1"/>
  <c r="S105" i="5" a="1"/>
  <c r="S105" i="5" s="1"/>
  <c r="S70" i="5" a="1"/>
  <c r="S70" i="5" s="1"/>
  <c r="S71" i="5" a="1"/>
  <c r="S71" i="5" s="1"/>
  <c r="S72" i="5" a="1"/>
  <c r="S72" i="5" s="1"/>
  <c r="S73" i="5" a="1"/>
  <c r="S73" i="5" s="1"/>
  <c r="S74" i="5" a="1"/>
  <c r="S74" i="5" s="1"/>
  <c r="S75" i="5" a="1"/>
  <c r="S75" i="5" s="1"/>
  <c r="S76" i="5" a="1"/>
  <c r="S76" i="5" s="1"/>
  <c r="S77" i="5" a="1"/>
  <c r="S77" i="5" s="1"/>
  <c r="S78" i="5" a="1"/>
  <c r="S78" i="5" s="1"/>
  <c r="S79" i="5" a="1"/>
  <c r="S79" i="5" s="1"/>
  <c r="S80" i="5" a="1"/>
  <c r="S80" i="5" s="1"/>
  <c r="S81" i="5" a="1"/>
  <c r="S81" i="5" s="1"/>
  <c r="S106" i="5" a="1"/>
  <c r="S106" i="5" s="1"/>
  <c r="S107" i="5" a="1"/>
  <c r="S107" i="5" s="1"/>
  <c r="S108" i="5" a="1"/>
  <c r="S108" i="5" s="1"/>
  <c r="S109" i="5" a="1"/>
  <c r="S109" i="5" s="1"/>
  <c r="S110" i="5" a="1"/>
  <c r="S110" i="5" s="1"/>
  <c r="S111" i="5" a="1"/>
  <c r="S111" i="5" s="1"/>
  <c r="S112" i="5" a="1"/>
  <c r="S112" i="5" s="1"/>
  <c r="S113" i="5" a="1"/>
  <c r="S113" i="5" s="1"/>
  <c r="S114" i="5" a="1"/>
  <c r="S114" i="5" s="1"/>
  <c r="S115" i="5" a="1"/>
  <c r="S115" i="5" s="1"/>
  <c r="S116" i="5" a="1"/>
  <c r="S116" i="5" s="1"/>
  <c r="S117" i="5" a="1"/>
  <c r="S117" i="5" s="1"/>
  <c r="S82" i="5" a="1"/>
  <c r="S82" i="5" s="1"/>
  <c r="S83" i="5" a="1"/>
  <c r="S83" i="5" s="1"/>
  <c r="S84" i="5" a="1"/>
  <c r="S84" i="5" s="1"/>
  <c r="S85" i="5" a="1"/>
  <c r="S85" i="5" s="1"/>
  <c r="S86" i="5" a="1"/>
  <c r="S86" i="5" s="1"/>
  <c r="S87" i="5" a="1"/>
  <c r="S87" i="5" s="1"/>
  <c r="S88" i="5" a="1"/>
  <c r="S88" i="5" s="1"/>
  <c r="S89" i="5" a="1"/>
  <c r="S89" i="5" s="1"/>
  <c r="S90" i="5" a="1"/>
  <c r="S90" i="5" s="1"/>
  <c r="S91" i="5" a="1"/>
  <c r="S91" i="5" s="1"/>
  <c r="S92" i="5" a="1"/>
  <c r="S92" i="5" s="1"/>
  <c r="S93" i="5" a="1"/>
  <c r="S93" i="5" s="1"/>
  <c r="T106" i="5" a="1"/>
  <c r="T106" i="5" s="1"/>
  <c r="T107" i="5" a="1"/>
  <c r="T107" i="5" s="1"/>
  <c r="T108" i="5" a="1"/>
  <c r="T108" i="5" s="1"/>
  <c r="T109" i="5" a="1"/>
  <c r="T109" i="5" s="1"/>
  <c r="T110" i="5" a="1"/>
  <c r="T110" i="5" s="1"/>
  <c r="T111" i="5" a="1"/>
  <c r="T111" i="5" s="1"/>
  <c r="T112" i="5" a="1"/>
  <c r="T112" i="5" s="1"/>
  <c r="T113" i="5" a="1"/>
  <c r="T113" i="5" s="1"/>
  <c r="T114" i="5" a="1"/>
  <c r="T114" i="5" s="1"/>
  <c r="T115" i="5" a="1"/>
  <c r="T115" i="5" s="1"/>
  <c r="T116" i="5" a="1"/>
  <c r="T116" i="5" s="1"/>
  <c r="T117" i="5" a="1"/>
  <c r="T117" i="5" s="1"/>
  <c r="T94" i="5" a="1"/>
  <c r="T94" i="5" s="1"/>
  <c r="T95" i="5" a="1"/>
  <c r="T95" i="5" s="1"/>
  <c r="T96" i="5" a="1"/>
  <c r="T96" i="5" s="1"/>
  <c r="T97" i="5" a="1"/>
  <c r="T97" i="5" s="1"/>
  <c r="T98" i="5" a="1"/>
  <c r="T98" i="5" s="1"/>
  <c r="T99" i="5" a="1"/>
  <c r="T99" i="5" s="1"/>
  <c r="T100" i="5" a="1"/>
  <c r="T100" i="5" s="1"/>
  <c r="T101" i="5" a="1"/>
  <c r="T101" i="5" s="1"/>
  <c r="T102" i="5" a="1"/>
  <c r="T102" i="5" s="1"/>
  <c r="T103" i="5" a="1"/>
  <c r="T103" i="5" s="1"/>
  <c r="T104" i="5" a="1"/>
  <c r="T104" i="5" s="1"/>
  <c r="T105" i="5" a="1"/>
  <c r="T105" i="5" s="1"/>
  <c r="T82" i="5" a="1"/>
  <c r="T82" i="5" s="1"/>
  <c r="T83" i="5" a="1"/>
  <c r="T83" i="5" s="1"/>
  <c r="T84" i="5" a="1"/>
  <c r="T84" i="5" s="1"/>
  <c r="T85" i="5" a="1"/>
  <c r="T85" i="5" s="1"/>
  <c r="T86" i="5" a="1"/>
  <c r="T86" i="5" s="1"/>
  <c r="T87" i="5" a="1"/>
  <c r="T87" i="5" s="1"/>
  <c r="T88" i="5" a="1"/>
  <c r="T88" i="5" s="1"/>
  <c r="T89" i="5" a="1"/>
  <c r="T89" i="5" s="1"/>
  <c r="T90" i="5" a="1"/>
  <c r="T90" i="5" s="1"/>
  <c r="T91" i="5" a="1"/>
  <c r="T91" i="5" s="1"/>
  <c r="T92" i="5" a="1"/>
  <c r="T92" i="5" s="1"/>
  <c r="T93" i="5" a="1"/>
  <c r="T93" i="5" s="1"/>
  <c r="T70" i="5" a="1"/>
  <c r="T70" i="5" s="1"/>
  <c r="T71" i="5" a="1"/>
  <c r="T71" i="5" s="1"/>
  <c r="T72" i="5" a="1"/>
  <c r="T72" i="5" s="1"/>
  <c r="T73" i="5" a="1"/>
  <c r="T73" i="5" s="1"/>
  <c r="T74" i="5" a="1"/>
  <c r="T74" i="5" s="1"/>
  <c r="T75" i="5" a="1"/>
  <c r="T75" i="5" s="1"/>
  <c r="T76" i="5" a="1"/>
  <c r="T76" i="5" s="1"/>
  <c r="T77" i="5" a="1"/>
  <c r="T77" i="5" s="1"/>
  <c r="T78" i="5" a="1"/>
  <c r="T78" i="5" s="1"/>
  <c r="T79" i="5" a="1"/>
  <c r="T79" i="5" s="1"/>
  <c r="T80" i="5" a="1"/>
  <c r="T80" i="5" s="1"/>
  <c r="T81" i="5" a="1"/>
  <c r="T81" i="5" s="1"/>
  <c r="U70" i="5" a="1"/>
  <c r="U70" i="5" s="1"/>
  <c r="U71" i="5" a="1"/>
  <c r="U71" i="5" s="1"/>
  <c r="U72" i="5" a="1"/>
  <c r="U72" i="5" s="1"/>
  <c r="U73" i="5" a="1"/>
  <c r="U73" i="5" s="1"/>
  <c r="U74" i="5" a="1"/>
  <c r="U74" i="5" s="1"/>
  <c r="U75" i="5" a="1"/>
  <c r="U75" i="5" s="1"/>
  <c r="U76" i="5" a="1"/>
  <c r="U76" i="5" s="1"/>
  <c r="U77" i="5" a="1"/>
  <c r="U77" i="5" s="1"/>
  <c r="U78" i="5" a="1"/>
  <c r="U78" i="5" s="1"/>
  <c r="U79" i="5" a="1"/>
  <c r="U79" i="5" s="1"/>
  <c r="U80" i="5" a="1"/>
  <c r="U80" i="5" s="1"/>
  <c r="U81" i="5" a="1"/>
  <c r="U81" i="5" s="1"/>
  <c r="U82" i="5" a="1"/>
  <c r="U82" i="5" s="1"/>
  <c r="U83" i="5" a="1"/>
  <c r="U83" i="5" s="1"/>
  <c r="U84" i="5" a="1"/>
  <c r="U84" i="5" s="1"/>
  <c r="U85" i="5" a="1"/>
  <c r="U85" i="5" s="1"/>
  <c r="U86" i="5" a="1"/>
  <c r="U86" i="5" s="1"/>
  <c r="U87" i="5" a="1"/>
  <c r="U87" i="5" s="1"/>
  <c r="U88" i="5" a="1"/>
  <c r="U88" i="5" s="1"/>
  <c r="U89" i="5" a="1"/>
  <c r="U89" i="5" s="1"/>
  <c r="U90" i="5" a="1"/>
  <c r="U90" i="5" s="1"/>
  <c r="U91" i="5" a="1"/>
  <c r="U91" i="5" s="1"/>
  <c r="U92" i="5" a="1"/>
  <c r="U92" i="5" s="1"/>
  <c r="U93" i="5" a="1"/>
  <c r="U93" i="5" s="1"/>
  <c r="U106" i="5" a="1"/>
  <c r="U106" i="5" s="1"/>
  <c r="U107" i="5" a="1"/>
  <c r="U107" i="5" s="1"/>
  <c r="U108" i="5" a="1"/>
  <c r="U108" i="5" s="1"/>
  <c r="U109" i="5" a="1"/>
  <c r="U109" i="5" s="1"/>
  <c r="U110" i="5" a="1"/>
  <c r="U110" i="5" s="1"/>
  <c r="U111" i="5" a="1"/>
  <c r="U111" i="5" s="1"/>
  <c r="U112" i="5" a="1"/>
  <c r="U112" i="5" s="1"/>
  <c r="U113" i="5" a="1"/>
  <c r="U113" i="5" s="1"/>
  <c r="U114" i="5" a="1"/>
  <c r="U114" i="5" s="1"/>
  <c r="U115" i="5" a="1"/>
  <c r="U115" i="5" s="1"/>
  <c r="U116" i="5" a="1"/>
  <c r="U116" i="5" s="1"/>
  <c r="U117" i="5" a="1"/>
  <c r="U117" i="5" s="1"/>
  <c r="U94" i="5" a="1"/>
  <c r="U94" i="5" s="1"/>
  <c r="U95" i="5" a="1"/>
  <c r="U95" i="5" s="1"/>
  <c r="U96" i="5" a="1"/>
  <c r="U96" i="5" s="1"/>
  <c r="U97" i="5" a="1"/>
  <c r="U97" i="5" s="1"/>
  <c r="U98" i="5" a="1"/>
  <c r="U98" i="5" s="1"/>
  <c r="U99" i="5" a="1"/>
  <c r="U99" i="5" s="1"/>
  <c r="U100" i="5" a="1"/>
  <c r="U100" i="5" s="1"/>
  <c r="U101" i="5" a="1"/>
  <c r="U101" i="5" s="1"/>
  <c r="U102" i="5" a="1"/>
  <c r="U102" i="5" s="1"/>
  <c r="U103" i="5" a="1"/>
  <c r="U103" i="5" s="1"/>
  <c r="U104" i="5" a="1"/>
  <c r="U104" i="5" s="1"/>
  <c r="U105" i="5" a="1"/>
  <c r="U105" i="5" s="1"/>
  <c r="V82" i="5" a="1"/>
  <c r="V82" i="5" s="1"/>
  <c r="V83" i="5" a="1"/>
  <c r="V83" i="5" s="1"/>
  <c r="V84" i="5" a="1"/>
  <c r="V84" i="5" s="1"/>
  <c r="V85" i="5" a="1"/>
  <c r="V85" i="5" s="1"/>
  <c r="V86" i="5" a="1"/>
  <c r="V86" i="5" s="1"/>
  <c r="V87" i="5" a="1"/>
  <c r="V87" i="5" s="1"/>
  <c r="V88" i="5" a="1"/>
  <c r="V88" i="5" s="1"/>
  <c r="V89" i="5" a="1"/>
  <c r="V89" i="5" s="1"/>
  <c r="V90" i="5" a="1"/>
  <c r="V90" i="5" s="1"/>
  <c r="V91" i="5" a="1"/>
  <c r="V91" i="5" s="1"/>
  <c r="V92" i="5" a="1"/>
  <c r="V92" i="5" s="1"/>
  <c r="V93" i="5" a="1"/>
  <c r="V93" i="5" s="1"/>
  <c r="V94" i="5" a="1"/>
  <c r="V94" i="5" s="1"/>
  <c r="V95" i="5" a="1"/>
  <c r="V95" i="5" s="1"/>
  <c r="V96" i="5" a="1"/>
  <c r="V96" i="5" s="1"/>
  <c r="V97" i="5" a="1"/>
  <c r="V97" i="5" s="1"/>
  <c r="V98" i="5" a="1"/>
  <c r="V98" i="5" s="1"/>
  <c r="V99" i="5" a="1"/>
  <c r="V99" i="5" s="1"/>
  <c r="V100" i="5" a="1"/>
  <c r="V100" i="5" s="1"/>
  <c r="V101" i="5" a="1"/>
  <c r="V101" i="5" s="1"/>
  <c r="V102" i="5" a="1"/>
  <c r="V102" i="5" s="1"/>
  <c r="V103" i="5" a="1"/>
  <c r="V103" i="5" s="1"/>
  <c r="V104" i="5" a="1"/>
  <c r="V104" i="5" s="1"/>
  <c r="V105" i="5" a="1"/>
  <c r="V105" i="5" s="1"/>
  <c r="V106" i="5" a="1"/>
  <c r="V106" i="5" s="1"/>
  <c r="V107" i="5" a="1"/>
  <c r="V107" i="5" s="1"/>
  <c r="V108" i="5" a="1"/>
  <c r="V108" i="5" s="1"/>
  <c r="V109" i="5" a="1"/>
  <c r="V109" i="5" s="1"/>
  <c r="V110" i="5" a="1"/>
  <c r="V110" i="5" s="1"/>
  <c r="V111" i="5" a="1"/>
  <c r="V111" i="5" s="1"/>
  <c r="V112" i="5" a="1"/>
  <c r="V112" i="5" s="1"/>
  <c r="V113" i="5" a="1"/>
  <c r="V113" i="5" s="1"/>
  <c r="V114" i="5" a="1"/>
  <c r="V114" i="5" s="1"/>
  <c r="V115" i="5" a="1"/>
  <c r="V115" i="5" s="1"/>
  <c r="V116" i="5" a="1"/>
  <c r="V116" i="5" s="1"/>
  <c r="V117" i="5" a="1"/>
  <c r="V117" i="5" s="1"/>
  <c r="V70" i="5" a="1"/>
  <c r="V70" i="5" s="1"/>
  <c r="V71" i="5" a="1"/>
  <c r="V71" i="5" s="1"/>
  <c r="V72" i="5" a="1"/>
  <c r="V72" i="5" s="1"/>
  <c r="V73" i="5" a="1"/>
  <c r="V73" i="5" s="1"/>
  <c r="V74" i="5" a="1"/>
  <c r="V74" i="5" s="1"/>
  <c r="V75" i="5" a="1"/>
  <c r="V75" i="5" s="1"/>
  <c r="V76" i="5" a="1"/>
  <c r="V76" i="5" s="1"/>
  <c r="V77" i="5" a="1"/>
  <c r="V77" i="5" s="1"/>
  <c r="V78" i="5" a="1"/>
  <c r="V78" i="5" s="1"/>
  <c r="V79" i="5" a="1"/>
  <c r="V79" i="5" s="1"/>
  <c r="V80" i="5" a="1"/>
  <c r="V80" i="5" s="1"/>
  <c r="V81" i="5" a="1"/>
  <c r="V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70" i="5" a="1"/>
  <c r="W70" i="5" s="1"/>
  <c r="W71" i="5" a="1"/>
  <c r="W71" i="5" s="1"/>
  <c r="W72" i="5" a="1"/>
  <c r="W72" i="5" s="1"/>
  <c r="W73" i="5" a="1"/>
  <c r="W73" i="5" s="1"/>
  <c r="W74" i="5" a="1"/>
  <c r="W74" i="5" s="1"/>
  <c r="W75" i="5" a="1"/>
  <c r="W75" i="5" s="1"/>
  <c r="W76" i="5" a="1"/>
  <c r="W76" i="5" s="1"/>
  <c r="W77" i="5" a="1"/>
  <c r="W77" i="5" s="1"/>
  <c r="W78" i="5" a="1"/>
  <c r="W78" i="5" s="1"/>
  <c r="W79" i="5" a="1"/>
  <c r="W79" i="5" s="1"/>
  <c r="W80" i="5" a="1"/>
  <c r="W80" i="5" s="1"/>
  <c r="W81" i="5" a="1"/>
  <c r="W81" i="5" s="1"/>
  <c r="W106" i="5" a="1"/>
  <c r="W106" i="5" s="1"/>
  <c r="W107" i="5" a="1"/>
  <c r="W107" i="5" s="1"/>
  <c r="W108" i="5" a="1"/>
  <c r="W108" i="5" s="1"/>
  <c r="W109" i="5" a="1"/>
  <c r="W109" i="5" s="1"/>
  <c r="W110" i="5" a="1"/>
  <c r="W110" i="5" s="1"/>
  <c r="W111" i="5" a="1"/>
  <c r="W111" i="5" s="1"/>
  <c r="W112" i="5" a="1"/>
  <c r="W112" i="5" s="1"/>
  <c r="W113" i="5" a="1"/>
  <c r="W113" i="5" s="1"/>
  <c r="W114" i="5" a="1"/>
  <c r="W114" i="5" s="1"/>
  <c r="W115" i="5" a="1"/>
  <c r="W115" i="5" s="1"/>
  <c r="W116" i="5" a="1"/>
  <c r="W116" i="5" s="1"/>
  <c r="W117" i="5" a="1"/>
  <c r="W117" i="5" s="1"/>
  <c r="W94" i="5" a="1"/>
  <c r="W94" i="5" s="1"/>
  <c r="W95" i="5" a="1"/>
  <c r="W95" i="5" s="1"/>
  <c r="W96" i="5" a="1"/>
  <c r="W96" i="5" s="1"/>
  <c r="W97" i="5" a="1"/>
  <c r="W97" i="5" s="1"/>
  <c r="W98" i="5" a="1"/>
  <c r="W98" i="5" s="1"/>
  <c r="W99" i="5" a="1"/>
  <c r="W99" i="5" s="1"/>
  <c r="W100" i="5" a="1"/>
  <c r="W100" i="5" s="1"/>
  <c r="W101" i="5" a="1"/>
  <c r="W101" i="5" s="1"/>
  <c r="W102" i="5" a="1"/>
  <c r="W102" i="5" s="1"/>
  <c r="W103" i="5" a="1"/>
  <c r="W103" i="5" s="1"/>
  <c r="W104" i="5" a="1"/>
  <c r="W104" i="5" s="1"/>
  <c r="W105" i="5" a="1"/>
  <c r="W105" i="5" s="1"/>
  <c r="X82" i="5" a="1"/>
  <c r="X82" i="5" s="1"/>
  <c r="X83" i="5" a="1"/>
  <c r="X83" i="5" s="1"/>
  <c r="X84" i="5" a="1"/>
  <c r="X84" i="5" s="1"/>
  <c r="X85" i="5" a="1"/>
  <c r="X85" i="5" s="1"/>
  <c r="X86" i="5" a="1"/>
  <c r="X86" i="5" s="1"/>
  <c r="X87" i="5" a="1"/>
  <c r="X87" i="5" s="1"/>
  <c r="X88" i="5" a="1"/>
  <c r="X88" i="5" s="1"/>
  <c r="X89" i="5" a="1"/>
  <c r="X89" i="5" s="1"/>
  <c r="X90" i="5" a="1"/>
  <c r="X90" i="5" s="1"/>
  <c r="X91" i="5" a="1"/>
  <c r="X91" i="5" s="1"/>
  <c r="X92" i="5" a="1"/>
  <c r="X92" i="5" s="1"/>
  <c r="X93" i="5" a="1"/>
  <c r="X93" i="5" s="1"/>
  <c r="X94" i="5" a="1"/>
  <c r="X94" i="5" s="1"/>
  <c r="X95" i="5" a="1"/>
  <c r="X95" i="5" s="1"/>
  <c r="X96" i="5" a="1"/>
  <c r="X96" i="5" s="1"/>
  <c r="X97" i="5" a="1"/>
  <c r="X97" i="5" s="1"/>
  <c r="X98" i="5" a="1"/>
  <c r="X98" i="5" s="1"/>
  <c r="X99" i="5" a="1"/>
  <c r="X99" i="5" s="1"/>
  <c r="X100" i="5" a="1"/>
  <c r="X100" i="5" s="1"/>
  <c r="X101" i="5" a="1"/>
  <c r="X101" i="5" s="1"/>
  <c r="X102" i="5" a="1"/>
  <c r="X102" i="5" s="1"/>
  <c r="X103" i="5" a="1"/>
  <c r="X103" i="5" s="1"/>
  <c r="X104" i="5" a="1"/>
  <c r="X104" i="5" s="1"/>
  <c r="X105" i="5" a="1"/>
  <c r="X105" i="5" s="1"/>
  <c r="X70" i="5" a="1"/>
  <c r="X70" i="5" s="1"/>
  <c r="X71" i="5" a="1"/>
  <c r="X71" i="5" s="1"/>
  <c r="X72" i="5" a="1"/>
  <c r="X72" i="5" s="1"/>
  <c r="X73" i="5" a="1"/>
  <c r="X73" i="5" s="1"/>
  <c r="X74" i="5" a="1"/>
  <c r="X74" i="5" s="1"/>
  <c r="X75" i="5" a="1"/>
  <c r="X75" i="5" s="1"/>
  <c r="X76" i="5" a="1"/>
  <c r="X76" i="5" s="1"/>
  <c r="X77" i="5" a="1"/>
  <c r="X77" i="5" s="1"/>
  <c r="X78" i="5" a="1"/>
  <c r="X78" i="5" s="1"/>
  <c r="X79" i="5" a="1"/>
  <c r="X79" i="5" s="1"/>
  <c r="X80" i="5" a="1"/>
  <c r="X80" i="5" s="1"/>
  <c r="X81" i="5" a="1"/>
  <c r="X81" i="5" s="1"/>
  <c r="X106" i="5" a="1"/>
  <c r="X106" i="5" s="1"/>
  <c r="X107" i="5" a="1"/>
  <c r="X107" i="5" s="1"/>
  <c r="X108" i="5" a="1"/>
  <c r="X108" i="5" s="1"/>
  <c r="X109" i="5" a="1"/>
  <c r="X109" i="5" s="1"/>
  <c r="X110" i="5" a="1"/>
  <c r="X110" i="5" s="1"/>
  <c r="X111" i="5" a="1"/>
  <c r="X111" i="5" s="1"/>
  <c r="X112" i="5" a="1"/>
  <c r="X112" i="5" s="1"/>
  <c r="X113" i="5" a="1"/>
  <c r="X113" i="5" s="1"/>
  <c r="X114" i="5" a="1"/>
  <c r="X114" i="5" s="1"/>
  <c r="X115" i="5" a="1"/>
  <c r="X115" i="5" s="1"/>
  <c r="X116" i="5" a="1"/>
  <c r="X116" i="5" s="1"/>
  <c r="X117" i="5" a="1"/>
  <c r="X117" i="5" s="1"/>
  <c r="Y70" i="5" a="1"/>
  <c r="Y70" i="5" s="1"/>
  <c r="Y71" i="5" a="1"/>
  <c r="Y71" i="5" s="1"/>
  <c r="Y72" i="5" a="1"/>
  <c r="Y72" i="5" s="1"/>
  <c r="Y73" i="5" a="1"/>
  <c r="Y73" i="5" s="1"/>
  <c r="Y74" i="5" a="1"/>
  <c r="Y74" i="5" s="1"/>
  <c r="Y75" i="5" a="1"/>
  <c r="Y75" i="5" s="1"/>
  <c r="Y76" i="5" a="1"/>
  <c r="Y76" i="5" s="1"/>
  <c r="Y77" i="5" a="1"/>
  <c r="Y77" i="5" s="1"/>
  <c r="Y78" i="5" a="1"/>
  <c r="Y78" i="5" s="1"/>
  <c r="Y79" i="5" a="1"/>
  <c r="Y79" i="5" s="1"/>
  <c r="Y80" i="5" a="1"/>
  <c r="Y80" i="5" s="1"/>
  <c r="Y81" i="5" a="1"/>
  <c r="Y81" i="5" s="1"/>
  <c r="Y82" i="5" a="1"/>
  <c r="Y82" i="5" s="1"/>
  <c r="Y83" i="5" a="1"/>
  <c r="Y83" i="5" s="1"/>
  <c r="Y84" i="5" a="1"/>
  <c r="Y84" i="5" s="1"/>
  <c r="Y85" i="5" a="1"/>
  <c r="Y85" i="5" s="1"/>
  <c r="Y86" i="5" a="1"/>
  <c r="Y86" i="5" s="1"/>
  <c r="Y87" i="5" a="1"/>
  <c r="Y87" i="5" s="1"/>
  <c r="Y88" i="5" a="1"/>
  <c r="Y88" i="5" s="1"/>
  <c r="Y89" i="5" a="1"/>
  <c r="Y89" i="5" s="1"/>
  <c r="Y90" i="5" a="1"/>
  <c r="Y90" i="5" s="1"/>
  <c r="Y91" i="5" a="1"/>
  <c r="Y91" i="5" s="1"/>
  <c r="Y92" i="5" a="1"/>
  <c r="Y92" i="5" s="1"/>
  <c r="Y93" i="5" a="1"/>
  <c r="Y93" i="5" s="1"/>
  <c r="Y94" i="5" a="1"/>
  <c r="Y94" i="5" s="1"/>
  <c r="Y95" i="5" a="1"/>
  <c r="Y95" i="5" s="1"/>
  <c r="Y96" i="5" a="1"/>
  <c r="Y96" i="5" s="1"/>
  <c r="Y97" i="5" a="1"/>
  <c r="Y97" i="5" s="1"/>
  <c r="Y98" i="5" a="1"/>
  <c r="Y98" i="5" s="1"/>
  <c r="Y99" i="5" a="1"/>
  <c r="Y99" i="5" s="1"/>
  <c r="Y100" i="5" a="1"/>
  <c r="Y100" i="5" s="1"/>
  <c r="Y101" i="5" a="1"/>
  <c r="Y101" i="5" s="1"/>
  <c r="Y102" i="5" a="1"/>
  <c r="Y102" i="5" s="1"/>
  <c r="Y103" i="5" a="1"/>
  <c r="Y103" i="5" s="1"/>
  <c r="Y104" i="5" a="1"/>
  <c r="Y104" i="5" s="1"/>
  <c r="Y105" i="5" a="1"/>
  <c r="Y105" i="5" s="1"/>
  <c r="Y106" i="5" a="1"/>
  <c r="Y106" i="5" s="1"/>
  <c r="Y107" i="5" a="1"/>
  <c r="Y107" i="5" s="1"/>
  <c r="Y108" i="5" a="1"/>
  <c r="Y108" i="5" s="1"/>
  <c r="Y109" i="5" a="1"/>
  <c r="Y109" i="5" s="1"/>
  <c r="Y110" i="5" a="1"/>
  <c r="Y110" i="5" s="1"/>
  <c r="Y111" i="5" a="1"/>
  <c r="Y111" i="5" s="1"/>
  <c r="Y112" i="5" a="1"/>
  <c r="Y112" i="5" s="1"/>
  <c r="Y113" i="5" a="1"/>
  <c r="Y113" i="5" s="1"/>
  <c r="Y114" i="5" a="1"/>
  <c r="Y114" i="5" s="1"/>
  <c r="Y115" i="5" a="1"/>
  <c r="Y115" i="5" s="1"/>
  <c r="Y116" i="5" a="1"/>
  <c r="Y116" i="5" s="1"/>
  <c r="Y117" i="5" a="1"/>
  <c r="Y117" i="5" s="1"/>
  <c r="Z82" i="5" a="1"/>
  <c r="Z82" i="5" s="1"/>
  <c r="Z83" i="5" a="1"/>
  <c r="Z83" i="5" s="1"/>
  <c r="Z84" i="5" a="1"/>
  <c r="Z84" i="5" s="1"/>
  <c r="Z85" i="5" a="1"/>
  <c r="Z85" i="5" s="1"/>
  <c r="Z86" i="5" a="1"/>
  <c r="Z86" i="5" s="1"/>
  <c r="Z87" i="5" a="1"/>
  <c r="Z87" i="5" s="1"/>
  <c r="Z88" i="5" a="1"/>
  <c r="Z88" i="5" s="1"/>
  <c r="Z89" i="5" a="1"/>
  <c r="Z89" i="5" s="1"/>
  <c r="Z90" i="5" a="1"/>
  <c r="Z90" i="5" s="1"/>
  <c r="Z91" i="5" a="1"/>
  <c r="Z91" i="5" s="1"/>
  <c r="Z92" i="5" a="1"/>
  <c r="Z92" i="5" s="1"/>
  <c r="Z93" i="5" a="1"/>
  <c r="Z93" i="5" s="1"/>
  <c r="Z106" i="5" a="1"/>
  <c r="Z106" i="5" s="1"/>
  <c r="Z107" i="5" a="1"/>
  <c r="Z107" i="5" s="1"/>
  <c r="Z108" i="5" a="1"/>
  <c r="Z108" i="5" s="1"/>
  <c r="Z109" i="5" a="1"/>
  <c r="Z109" i="5" s="1"/>
  <c r="Z110" i="5" a="1"/>
  <c r="Z110" i="5" s="1"/>
  <c r="Z111" i="5" a="1"/>
  <c r="Z111" i="5" s="1"/>
  <c r="Z112" i="5" a="1"/>
  <c r="Z112" i="5" s="1"/>
  <c r="Z113" i="5" a="1"/>
  <c r="Z113" i="5" s="1"/>
  <c r="Z114" i="5" a="1"/>
  <c r="Z114" i="5" s="1"/>
  <c r="Z115" i="5" a="1"/>
  <c r="Z115" i="5" s="1"/>
  <c r="Z116" i="5" a="1"/>
  <c r="Z116" i="5" s="1"/>
  <c r="Z117" i="5" a="1"/>
  <c r="Z117" i="5" s="1"/>
  <c r="Z94" i="5" a="1"/>
  <c r="Z94" i="5" s="1"/>
  <c r="Z95" i="5" a="1"/>
  <c r="Z95" i="5" s="1"/>
  <c r="Z96" i="5" a="1"/>
  <c r="Z96" i="5" s="1"/>
  <c r="Z97" i="5" a="1"/>
  <c r="Z97" i="5" s="1"/>
  <c r="Z98" i="5" a="1"/>
  <c r="Z98" i="5" s="1"/>
  <c r="Z99" i="5" a="1"/>
  <c r="Z99" i="5" s="1"/>
  <c r="Z100" i="5" a="1"/>
  <c r="Z100" i="5" s="1"/>
  <c r="Z101" i="5" a="1"/>
  <c r="Z101" i="5" s="1"/>
  <c r="Z102" i="5" a="1"/>
  <c r="Z102" i="5" s="1"/>
  <c r="Z103" i="5" a="1"/>
  <c r="Z103" i="5" s="1"/>
  <c r="Z104" i="5" a="1"/>
  <c r="Z104" i="5" s="1"/>
  <c r="Z105" i="5" a="1"/>
  <c r="Z105" i="5" s="1"/>
  <c r="Z70" i="5" a="1"/>
  <c r="Z70" i="5" s="1"/>
  <c r="Z71" i="5" a="1"/>
  <c r="Z71" i="5" s="1"/>
  <c r="Z72" i="5" a="1"/>
  <c r="Z72" i="5" s="1"/>
  <c r="Z73" i="5" a="1"/>
  <c r="Z73" i="5" s="1"/>
  <c r="Z74" i="5" a="1"/>
  <c r="Z74" i="5" s="1"/>
  <c r="Z75" i="5" a="1"/>
  <c r="Z75" i="5" s="1"/>
  <c r="Z76" i="5" a="1"/>
  <c r="Z76" i="5" s="1"/>
  <c r="Z77" i="5" a="1"/>
  <c r="Z77" i="5" s="1"/>
  <c r="Z78" i="5" a="1"/>
  <c r="Z78" i="5" s="1"/>
  <c r="Z79" i="5" a="1"/>
  <c r="Z79" i="5" s="1"/>
  <c r="Z80" i="5" a="1"/>
  <c r="Z80" i="5" s="1"/>
  <c r="Z81" i="5" a="1"/>
  <c r="Z81" i="5" s="1"/>
  <c r="AA94" i="5" a="1"/>
  <c r="AA94" i="5" s="1"/>
  <c r="AA95" i="5" a="1"/>
  <c r="AA95" i="5" s="1"/>
  <c r="AA96" i="5" a="1"/>
  <c r="AA96" i="5" s="1"/>
  <c r="AA97" i="5" a="1"/>
  <c r="AA97" i="5" s="1"/>
  <c r="AA98" i="5" a="1"/>
  <c r="AA98" i="5" s="1"/>
  <c r="AA99" i="5" a="1"/>
  <c r="AA99" i="5" s="1"/>
  <c r="AA100" i="5" a="1"/>
  <c r="AA100" i="5" s="1"/>
  <c r="AA101" i="5" a="1"/>
  <c r="AA101" i="5" s="1"/>
  <c r="AA102" i="5" a="1"/>
  <c r="AA102" i="5" s="1"/>
  <c r="AA103" i="5" a="1"/>
  <c r="AA103" i="5" s="1"/>
  <c r="AA104" i="5" a="1"/>
  <c r="AA104" i="5" s="1"/>
  <c r="AA105" i="5" a="1"/>
  <c r="AA105" i="5" s="1"/>
  <c r="AA70" i="5" a="1"/>
  <c r="AA70" i="5" s="1"/>
  <c r="AA71" i="5" a="1"/>
  <c r="AA71" i="5" s="1"/>
  <c r="AA72" i="5" a="1"/>
  <c r="AA72" i="5" s="1"/>
  <c r="AA73" i="5" a="1"/>
  <c r="AA73" i="5" s="1"/>
  <c r="AA74" i="5" a="1"/>
  <c r="AA74" i="5" s="1"/>
  <c r="AA75" i="5" a="1"/>
  <c r="AA75" i="5" s="1"/>
  <c r="AA76" i="5" a="1"/>
  <c r="AA76" i="5" s="1"/>
  <c r="AA77" i="5" a="1"/>
  <c r="AA77" i="5" s="1"/>
  <c r="AA78" i="5" a="1"/>
  <c r="AA78" i="5" s="1"/>
  <c r="AA79" i="5" a="1"/>
  <c r="AA79" i="5" s="1"/>
  <c r="AA80" i="5" a="1"/>
  <c r="AA80" i="5" s="1"/>
  <c r="AA81" i="5" a="1"/>
  <c r="AA81" i="5" s="1"/>
  <c r="AA106" i="5" a="1"/>
  <c r="AA106" i="5" s="1"/>
  <c r="AA107" i="5" a="1"/>
  <c r="AA107" i="5" s="1"/>
  <c r="AA108" i="5" a="1"/>
  <c r="AA108" i="5" s="1"/>
  <c r="AA109" i="5" a="1"/>
  <c r="AA109" i="5" s="1"/>
  <c r="AA110" i="5" a="1"/>
  <c r="AA110" i="5" s="1"/>
  <c r="AA111" i="5" a="1"/>
  <c r="AA111" i="5" s="1"/>
  <c r="AA112" i="5" a="1"/>
  <c r="AA112" i="5" s="1"/>
  <c r="AA113" i="5" a="1"/>
  <c r="AA113" i="5" s="1"/>
  <c r="AA114" i="5" a="1"/>
  <c r="AA114" i="5" s="1"/>
  <c r="AA115" i="5" a="1"/>
  <c r="AA115" i="5" s="1"/>
  <c r="AA116" i="5" a="1"/>
  <c r="AA116" i="5" s="1"/>
  <c r="AA117" i="5" a="1"/>
  <c r="AA117" i="5" s="1"/>
  <c r="AA82" i="5" a="1"/>
  <c r="AA82" i="5" s="1"/>
  <c r="AA83" i="5" a="1"/>
  <c r="AA83" i="5" s="1"/>
  <c r="AA84" i="5" a="1"/>
  <c r="AA84" i="5" s="1"/>
  <c r="AA85" i="5" a="1"/>
  <c r="AA85" i="5" s="1"/>
  <c r="AA86" i="5" a="1"/>
  <c r="AA86" i="5" s="1"/>
  <c r="AA87" i="5" a="1"/>
  <c r="AA87" i="5" s="1"/>
  <c r="AA88" i="5" a="1"/>
  <c r="AA88" i="5" s="1"/>
  <c r="AA89" i="5" a="1"/>
  <c r="AA89" i="5" s="1"/>
  <c r="AA90" i="5" a="1"/>
  <c r="AA90" i="5" s="1"/>
  <c r="AA91" i="5" a="1"/>
  <c r="AA91" i="5" s="1"/>
  <c r="AA92" i="5" a="1"/>
  <c r="AA92" i="5" s="1"/>
  <c r="AA93" i="5" a="1"/>
  <c r="AA93" i="5" s="1"/>
  <c r="AB82" i="5" a="1"/>
  <c r="AB82" i="5" s="1"/>
  <c r="AB83" i="5" a="1"/>
  <c r="AB83" i="5" s="1"/>
  <c r="AB84" i="5" a="1"/>
  <c r="AB84" i="5" s="1"/>
  <c r="AB85" i="5" a="1"/>
  <c r="AB85" i="5" s="1"/>
  <c r="AB86" i="5" a="1"/>
  <c r="AB86" i="5" s="1"/>
  <c r="AB87" i="5" a="1"/>
  <c r="AB87" i="5" s="1"/>
  <c r="AB88" i="5" a="1"/>
  <c r="AB88" i="5" s="1"/>
  <c r="AB89" i="5" a="1"/>
  <c r="AB89" i="5" s="1"/>
  <c r="AB90" i="5" a="1"/>
  <c r="AB90" i="5" s="1"/>
  <c r="AB91" i="5" a="1"/>
  <c r="AB91" i="5" s="1"/>
  <c r="AB92" i="5" a="1"/>
  <c r="AB92" i="5" s="1"/>
  <c r="AB93" i="5" a="1"/>
  <c r="AB93" i="5" s="1"/>
  <c r="AB70" i="5" a="1"/>
  <c r="AB70" i="5" s="1"/>
  <c r="AB71" i="5" a="1"/>
  <c r="AB71" i="5" s="1"/>
  <c r="AB72" i="5" a="1"/>
  <c r="AB72" i="5" s="1"/>
  <c r="AB73" i="5" a="1"/>
  <c r="AB73" i="5" s="1"/>
  <c r="AB74" i="5" a="1"/>
  <c r="AB74" i="5" s="1"/>
  <c r="AB75" i="5" a="1"/>
  <c r="AB75" i="5" s="1"/>
  <c r="AB76" i="5" a="1"/>
  <c r="AB76" i="5" s="1"/>
  <c r="AB77" i="5" a="1"/>
  <c r="AB77" i="5" s="1"/>
  <c r="AB78" i="5" a="1"/>
  <c r="AB78" i="5" s="1"/>
  <c r="AB79" i="5" a="1"/>
  <c r="AB79" i="5" s="1"/>
  <c r="AB80" i="5" a="1"/>
  <c r="AB80" i="5" s="1"/>
  <c r="AB81" i="5" a="1"/>
  <c r="AB81" i="5" s="1"/>
  <c r="AB106" i="5" a="1"/>
  <c r="AB106" i="5" s="1"/>
  <c r="AB107" i="5" a="1"/>
  <c r="AB107" i="5" s="1"/>
  <c r="AB108" i="5" a="1"/>
  <c r="AB108" i="5" s="1"/>
  <c r="AB109" i="5" a="1"/>
  <c r="AB109" i="5" s="1"/>
  <c r="AB110" i="5" a="1"/>
  <c r="AB110" i="5" s="1"/>
  <c r="AB111" i="5" a="1"/>
  <c r="AB111" i="5" s="1"/>
  <c r="AB112" i="5" a="1"/>
  <c r="AB112" i="5" s="1"/>
  <c r="AB113" i="5" a="1"/>
  <c r="AB113" i="5" s="1"/>
  <c r="AB114" i="5" a="1"/>
  <c r="AB114" i="5" s="1"/>
  <c r="AB115" i="5" a="1"/>
  <c r="AB115" i="5" s="1"/>
  <c r="AB116" i="5" a="1"/>
  <c r="AB116" i="5" s="1"/>
  <c r="AB117" i="5" a="1"/>
  <c r="AB117" i="5" s="1"/>
  <c r="AB94" i="5" a="1"/>
  <c r="AB94" i="5" s="1"/>
  <c r="AB95" i="5" a="1"/>
  <c r="AB95" i="5" s="1"/>
  <c r="AB96" i="5" a="1"/>
  <c r="AB96" i="5" s="1"/>
  <c r="AB97" i="5" a="1"/>
  <c r="AB97" i="5" s="1"/>
  <c r="AB98" i="5" a="1"/>
  <c r="AB98" i="5" s="1"/>
  <c r="AB99" i="5" a="1"/>
  <c r="AB99" i="5" s="1"/>
  <c r="AB100" i="5" a="1"/>
  <c r="AB100" i="5" s="1"/>
  <c r="AB101" i="5" a="1"/>
  <c r="AB101" i="5" s="1"/>
  <c r="AB102" i="5" a="1"/>
  <c r="AB102" i="5" s="1"/>
  <c r="AB103" i="5" a="1"/>
  <c r="AB103" i="5" s="1"/>
  <c r="AB104" i="5" a="1"/>
  <c r="AB104" i="5" s="1"/>
  <c r="AB105" i="5" a="1"/>
  <c r="AB105" i="5" s="1"/>
  <c r="AC94" i="5" a="1"/>
  <c r="AC94" i="5" s="1"/>
  <c r="AC95" i="5" a="1"/>
  <c r="AC95" i="5" s="1"/>
  <c r="AC96" i="5" a="1"/>
  <c r="AC96" i="5" s="1"/>
  <c r="AC97" i="5" a="1"/>
  <c r="AC97" i="5" s="1"/>
  <c r="AC98" i="5" a="1"/>
  <c r="AC98" i="5" s="1"/>
  <c r="AC99" i="5" a="1"/>
  <c r="AC99" i="5" s="1"/>
  <c r="AC100" i="5" a="1"/>
  <c r="AC100" i="5" s="1"/>
  <c r="AC101" i="5" a="1"/>
  <c r="AC101" i="5" s="1"/>
  <c r="AC102" i="5" a="1"/>
  <c r="AC102" i="5" s="1"/>
  <c r="AC103" i="5" a="1"/>
  <c r="AC103" i="5" s="1"/>
  <c r="AC104" i="5" a="1"/>
  <c r="AC104" i="5" s="1"/>
  <c r="AC105" i="5" a="1"/>
  <c r="AC105" i="5" s="1"/>
  <c r="AC82" i="5" a="1"/>
  <c r="AC82" i="5" s="1"/>
  <c r="AC83" i="5" a="1"/>
  <c r="AC83" i="5" s="1"/>
  <c r="AC84" i="5" a="1"/>
  <c r="AC84" i="5" s="1"/>
  <c r="AC85" i="5" a="1"/>
  <c r="AC85" i="5" s="1"/>
  <c r="AC86" i="5" a="1"/>
  <c r="AC86" i="5" s="1"/>
  <c r="AC87" i="5" a="1"/>
  <c r="AC87" i="5" s="1"/>
  <c r="AC88" i="5" a="1"/>
  <c r="AC88" i="5" s="1"/>
  <c r="AC89" i="5" a="1"/>
  <c r="AC89" i="5" s="1"/>
  <c r="AC90" i="5" a="1"/>
  <c r="AC90" i="5" s="1"/>
  <c r="AC91" i="5" a="1"/>
  <c r="AC91" i="5" s="1"/>
  <c r="AC92" i="5" a="1"/>
  <c r="AC92" i="5" s="1"/>
  <c r="AC93" i="5" a="1"/>
  <c r="AC93" i="5" s="1"/>
  <c r="AC70" i="5" a="1"/>
  <c r="AC70" i="5" s="1"/>
  <c r="AC71" i="5" a="1"/>
  <c r="AC71" i="5" s="1"/>
  <c r="AC72" i="5" a="1"/>
  <c r="AC72" i="5" s="1"/>
  <c r="AC73" i="5" a="1"/>
  <c r="AC73" i="5" s="1"/>
  <c r="AC74" i="5" a="1"/>
  <c r="AC74" i="5" s="1"/>
  <c r="AC75" i="5" a="1"/>
  <c r="AC75" i="5" s="1"/>
  <c r="AC76" i="5" a="1"/>
  <c r="AC76" i="5" s="1"/>
  <c r="AC77" i="5" a="1"/>
  <c r="AC77" i="5" s="1"/>
  <c r="AC78" i="5" a="1"/>
  <c r="AC78" i="5" s="1"/>
  <c r="AC79" i="5" a="1"/>
  <c r="AC79" i="5" s="1"/>
  <c r="AC80" i="5" a="1"/>
  <c r="AC80" i="5" s="1"/>
  <c r="AC81" i="5" a="1"/>
  <c r="AC81" i="5" s="1"/>
  <c r="AC106" i="5" a="1"/>
  <c r="AC106" i="5" s="1"/>
  <c r="AC107" i="5" a="1"/>
  <c r="AC107" i="5" s="1"/>
  <c r="AC108" i="5" a="1"/>
  <c r="AC108" i="5" s="1"/>
  <c r="AC109" i="5" a="1"/>
  <c r="AC109" i="5" s="1"/>
  <c r="AC110" i="5" a="1"/>
  <c r="AC110" i="5" s="1"/>
  <c r="AC111" i="5" a="1"/>
  <c r="AC111" i="5" s="1"/>
  <c r="AC112" i="5" a="1"/>
  <c r="AC112" i="5" s="1"/>
  <c r="AC113" i="5" a="1"/>
  <c r="AC113" i="5" s="1"/>
  <c r="AC114" i="5" a="1"/>
  <c r="AC114" i="5" s="1"/>
  <c r="AC115" i="5" a="1"/>
  <c r="AC115" i="5" s="1"/>
  <c r="AC116" i="5" a="1"/>
  <c r="AC116" i="5" s="1"/>
  <c r="AC117" i="5" a="1"/>
  <c r="AC117" i="5" s="1"/>
  <c r="AD82" i="5" a="1"/>
  <c r="AD82" i="5" s="1"/>
  <c r="AD83" i="5" a="1"/>
  <c r="AD83" i="5" s="1"/>
  <c r="AD84" i="5" a="1"/>
  <c r="AD84" i="5" s="1"/>
  <c r="AD85" i="5" a="1"/>
  <c r="AD85" i="5" s="1"/>
  <c r="AD86" i="5" a="1"/>
  <c r="AD86" i="5" s="1"/>
  <c r="AD87" i="5" a="1"/>
  <c r="AD87" i="5" s="1"/>
  <c r="AD88" i="5" a="1"/>
  <c r="AD88" i="5" s="1"/>
  <c r="AD89" i="5" a="1"/>
  <c r="AD89" i="5" s="1"/>
  <c r="AD90" i="5" a="1"/>
  <c r="AD90" i="5" s="1"/>
  <c r="AD91" i="5" a="1"/>
  <c r="AD91" i="5" s="1"/>
  <c r="AD92" i="5" a="1"/>
  <c r="AD92" i="5" s="1"/>
  <c r="AD93" i="5" a="1"/>
  <c r="AD93" i="5" s="1"/>
  <c r="AD106" i="5" a="1"/>
  <c r="AD106" i="5" s="1"/>
  <c r="AD107" i="5" a="1"/>
  <c r="AD107" i="5" s="1"/>
  <c r="AD108" i="5" a="1"/>
  <c r="AD108" i="5" s="1"/>
  <c r="AD109" i="5" a="1"/>
  <c r="AD109" i="5" s="1"/>
  <c r="AD110" i="5" a="1"/>
  <c r="AD110" i="5" s="1"/>
  <c r="AD111" i="5" a="1"/>
  <c r="AD111" i="5" s="1"/>
  <c r="AD112" i="5" a="1"/>
  <c r="AD112" i="5" s="1"/>
  <c r="AD113" i="5" a="1"/>
  <c r="AD113" i="5" s="1"/>
  <c r="AD114" i="5" a="1"/>
  <c r="AD114" i="5" s="1"/>
  <c r="AD115" i="5" a="1"/>
  <c r="AD115" i="5" s="1"/>
  <c r="AD116" i="5" a="1"/>
  <c r="AD116" i="5" s="1"/>
  <c r="AD117" i="5" a="1"/>
  <c r="AD117" i="5" s="1"/>
  <c r="AD70" i="5" a="1"/>
  <c r="AD70" i="5" s="1"/>
  <c r="AD71" i="5" a="1"/>
  <c r="AD71" i="5" s="1"/>
  <c r="AD72" i="5" a="1"/>
  <c r="AD72" i="5" s="1"/>
  <c r="AD73" i="5" a="1"/>
  <c r="AD73" i="5" s="1"/>
  <c r="AD74" i="5" a="1"/>
  <c r="AD74" i="5" s="1"/>
  <c r="AD75" i="5" a="1"/>
  <c r="AD75" i="5" s="1"/>
  <c r="AD76" i="5" a="1"/>
  <c r="AD76" i="5" s="1"/>
  <c r="AD77" i="5" a="1"/>
  <c r="AD77" i="5" s="1"/>
  <c r="AD78" i="5" a="1"/>
  <c r="AD78" i="5" s="1"/>
  <c r="AD79" i="5" a="1"/>
  <c r="AD79" i="5" s="1"/>
  <c r="AD80" i="5" a="1"/>
  <c r="AD80" i="5" s="1"/>
  <c r="AD81" i="5" a="1"/>
  <c r="AD81" i="5" s="1"/>
  <c r="AD94" i="5" a="1"/>
  <c r="AD94" i="5" s="1"/>
  <c r="AD95" i="5" a="1"/>
  <c r="AD95" i="5" s="1"/>
  <c r="AD96" i="5" a="1"/>
  <c r="AD96" i="5" s="1"/>
  <c r="AD97" i="5" a="1"/>
  <c r="AD97" i="5" s="1"/>
  <c r="AD98" i="5" a="1"/>
  <c r="AD98" i="5" s="1"/>
  <c r="AD99" i="5" a="1"/>
  <c r="AD99" i="5" s="1"/>
  <c r="AD100" i="5" a="1"/>
  <c r="AD100" i="5" s="1"/>
  <c r="AD101" i="5" a="1"/>
  <c r="AD101" i="5" s="1"/>
  <c r="AD102" i="5" a="1"/>
  <c r="AD102" i="5" s="1"/>
  <c r="AD103" i="5" a="1"/>
  <c r="AD103" i="5" s="1"/>
  <c r="AD104" i="5" a="1"/>
  <c r="AD104" i="5" s="1"/>
  <c r="AD105" i="5" a="1"/>
  <c r="AD105" i="5" s="1"/>
  <c r="AE94" i="5" a="1"/>
  <c r="AE94" i="5" s="1"/>
  <c r="AE95" i="5" a="1"/>
  <c r="AE95" i="5" s="1"/>
  <c r="AE96" i="5" a="1"/>
  <c r="AE96" i="5" s="1"/>
  <c r="AE97" i="5" a="1"/>
  <c r="AE97" i="5" s="1"/>
  <c r="AE98" i="5" a="1"/>
  <c r="AE98" i="5" s="1"/>
  <c r="AE99" i="5" a="1"/>
  <c r="AE99" i="5" s="1"/>
  <c r="AE100" i="5" a="1"/>
  <c r="AE100" i="5" s="1"/>
  <c r="AE101" i="5" a="1"/>
  <c r="AE101" i="5" s="1"/>
  <c r="AE102" i="5" a="1"/>
  <c r="AE102" i="5" s="1"/>
  <c r="AE103" i="5" a="1"/>
  <c r="AE103" i="5" s="1"/>
  <c r="AE104" i="5" a="1"/>
  <c r="AE104" i="5" s="1"/>
  <c r="AE105" i="5" a="1"/>
  <c r="AE105" i="5" s="1"/>
  <c r="AE82" i="5" a="1"/>
  <c r="AE82" i="5" s="1"/>
  <c r="AE83" i="5" a="1"/>
  <c r="AE83" i="5" s="1"/>
  <c r="AE84" i="5" a="1"/>
  <c r="AE84" i="5" s="1"/>
  <c r="AE85" i="5" a="1"/>
  <c r="AE85" i="5" s="1"/>
  <c r="AE86" i="5" a="1"/>
  <c r="AE86" i="5" s="1"/>
  <c r="AE87" i="5" a="1"/>
  <c r="AE87" i="5" s="1"/>
  <c r="AE88" i="5" a="1"/>
  <c r="AE88" i="5" s="1"/>
  <c r="AE89" i="5" a="1"/>
  <c r="AE89" i="5" s="1"/>
  <c r="AE90" i="5" a="1"/>
  <c r="AE90" i="5" s="1"/>
  <c r="AE91" i="5" a="1"/>
  <c r="AE91" i="5" s="1"/>
  <c r="AE92" i="5" a="1"/>
  <c r="AE92" i="5" s="1"/>
  <c r="AE93" i="5" a="1"/>
  <c r="AE93" i="5" s="1"/>
  <c r="AE106" i="5" a="1"/>
  <c r="AE106" i="5" s="1"/>
  <c r="AE107" i="5" a="1"/>
  <c r="AE107" i="5" s="1"/>
  <c r="AE108" i="5" a="1"/>
  <c r="AE108" i="5" s="1"/>
  <c r="AE109" i="5" a="1"/>
  <c r="AE109" i="5" s="1"/>
  <c r="AE110" i="5" a="1"/>
  <c r="AE110" i="5" s="1"/>
  <c r="AE111" i="5" a="1"/>
  <c r="AE111" i="5" s="1"/>
  <c r="AE112" i="5" a="1"/>
  <c r="AE112" i="5" s="1"/>
  <c r="AE113" i="5" a="1"/>
  <c r="AE113" i="5" s="1"/>
  <c r="AE114" i="5" a="1"/>
  <c r="AE114" i="5" s="1"/>
  <c r="AE115" i="5" a="1"/>
  <c r="AE115" i="5" s="1"/>
  <c r="AE116" i="5" a="1"/>
  <c r="AE116" i="5" s="1"/>
  <c r="AE117" i="5" a="1"/>
  <c r="AE117" i="5" s="1"/>
  <c r="AE70" i="5" a="1"/>
  <c r="AE70" i="5" s="1"/>
  <c r="AE71" i="5" a="1"/>
  <c r="AE71" i="5" s="1"/>
  <c r="AE72" i="5" a="1"/>
  <c r="AE72" i="5" s="1"/>
  <c r="AE73" i="5" a="1"/>
  <c r="AE73" i="5" s="1"/>
  <c r="AE74" i="5" a="1"/>
  <c r="AE74" i="5" s="1"/>
  <c r="AE75" i="5" a="1"/>
  <c r="AE75" i="5" s="1"/>
  <c r="AE76" i="5" a="1"/>
  <c r="AE76" i="5" s="1"/>
  <c r="AE77" i="5" a="1"/>
  <c r="AE77" i="5" s="1"/>
  <c r="AE78" i="5" a="1"/>
  <c r="AE78" i="5" s="1"/>
  <c r="AE79" i="5" a="1"/>
  <c r="AE79" i="5" s="1"/>
  <c r="AE80" i="5" a="1"/>
  <c r="AE80" i="5" s="1"/>
  <c r="AE81" i="5" a="1"/>
  <c r="AE81" i="5" s="1"/>
  <c r="AF106" i="5" a="1"/>
  <c r="AF106" i="5" s="1"/>
  <c r="AF107" i="5" a="1"/>
  <c r="AF107" i="5" s="1"/>
  <c r="AF108" i="5" a="1"/>
  <c r="AF108" i="5" s="1"/>
  <c r="AF109" i="5" a="1"/>
  <c r="AF109" i="5" s="1"/>
  <c r="AF110" i="5" a="1"/>
  <c r="AF110" i="5" s="1"/>
  <c r="AF111" i="5" a="1"/>
  <c r="AF111" i="5" s="1"/>
  <c r="AF112" i="5" a="1"/>
  <c r="AF112" i="5" s="1"/>
  <c r="AF113" i="5" a="1"/>
  <c r="AF113" i="5" s="1"/>
  <c r="AF114" i="5" a="1"/>
  <c r="AF114" i="5" s="1"/>
  <c r="AF115" i="5" a="1"/>
  <c r="AF115" i="5" s="1"/>
  <c r="AF116" i="5" a="1"/>
  <c r="AF116" i="5" s="1"/>
  <c r="AF117" i="5" a="1"/>
  <c r="AF117" i="5" s="1"/>
  <c r="AF94" i="5" a="1"/>
  <c r="AF94" i="5" s="1"/>
  <c r="AF95" i="5" a="1"/>
  <c r="AF95" i="5" s="1"/>
  <c r="AF96" i="5" a="1"/>
  <c r="AF96" i="5" s="1"/>
  <c r="AF97" i="5" a="1"/>
  <c r="AF97" i="5" s="1"/>
  <c r="AF98" i="5" a="1"/>
  <c r="AF98" i="5" s="1"/>
  <c r="AF99" i="5" a="1"/>
  <c r="AF99" i="5" s="1"/>
  <c r="AF100" i="5" a="1"/>
  <c r="AF100" i="5" s="1"/>
  <c r="AF101" i="5" a="1"/>
  <c r="AF101" i="5" s="1"/>
  <c r="AF102" i="5" a="1"/>
  <c r="AF102" i="5" s="1"/>
  <c r="AF103" i="5" a="1"/>
  <c r="AF103" i="5" s="1"/>
  <c r="AF104" i="5" a="1"/>
  <c r="AF104" i="5" s="1"/>
  <c r="AF105" i="5" a="1"/>
  <c r="AF105" i="5" s="1"/>
  <c r="AF70" i="5" a="1"/>
  <c r="AF70" i="5" s="1"/>
  <c r="AF71" i="5" a="1"/>
  <c r="AF71" i="5" s="1"/>
  <c r="AF72" i="5" a="1"/>
  <c r="AF72" i="5" s="1"/>
  <c r="AF73" i="5" a="1"/>
  <c r="AF73" i="5" s="1"/>
  <c r="AF74" i="5" a="1"/>
  <c r="AF74" i="5" s="1"/>
  <c r="AF75" i="5" a="1"/>
  <c r="AF75" i="5" s="1"/>
  <c r="AF76" i="5" a="1"/>
  <c r="AF76" i="5" s="1"/>
  <c r="AF77" i="5" a="1"/>
  <c r="AF77" i="5" s="1"/>
  <c r="AF78" i="5" a="1"/>
  <c r="AF78" i="5" s="1"/>
  <c r="AF79" i="5" a="1"/>
  <c r="AF79" i="5" s="1"/>
  <c r="AF80" i="5" a="1"/>
  <c r="AF80" i="5" s="1"/>
  <c r="AF81" i="5" a="1"/>
  <c r="AF81" i="5" s="1"/>
  <c r="AF82" i="5" a="1"/>
  <c r="AF82" i="5" s="1"/>
  <c r="AF83" i="5" a="1"/>
  <c r="AF83" i="5" s="1"/>
  <c r="AF84" i="5" a="1"/>
  <c r="AF84" i="5" s="1"/>
  <c r="AF85" i="5" a="1"/>
  <c r="AF85" i="5" s="1"/>
  <c r="AF86" i="5" a="1"/>
  <c r="AF86" i="5" s="1"/>
  <c r="AF87" i="5" a="1"/>
  <c r="AF87" i="5" s="1"/>
  <c r="AF88" i="5" a="1"/>
  <c r="AF88" i="5" s="1"/>
  <c r="AF89" i="5" a="1"/>
  <c r="AF89" i="5" s="1"/>
  <c r="AF90" i="5" a="1"/>
  <c r="AF90" i="5" s="1"/>
  <c r="AF91" i="5" a="1"/>
  <c r="AF91" i="5" s="1"/>
  <c r="AF92" i="5" a="1"/>
  <c r="AF92" i="5" s="1"/>
  <c r="AF93" i="5" a="1"/>
  <c r="AF93" i="5" s="1"/>
  <c r="AG70" i="5" a="1"/>
  <c r="AG70" i="5" s="1"/>
  <c r="AG71" i="5" a="1"/>
  <c r="AG71" i="5" s="1"/>
  <c r="AG72" i="5" a="1"/>
  <c r="AG72" i="5" s="1"/>
  <c r="AG73" i="5" a="1"/>
  <c r="AG73" i="5" s="1"/>
  <c r="AG74" i="5" a="1"/>
  <c r="AG74" i="5" s="1"/>
  <c r="AG75" i="5" a="1"/>
  <c r="AG75" i="5" s="1"/>
  <c r="AG76" i="5" a="1"/>
  <c r="AG76" i="5" s="1"/>
  <c r="AG77" i="5" a="1"/>
  <c r="AG77" i="5" s="1"/>
  <c r="AG78" i="5" a="1"/>
  <c r="AG78" i="5" s="1"/>
  <c r="AG79" i="5" a="1"/>
  <c r="AG79" i="5" s="1"/>
  <c r="AG80" i="5" a="1"/>
  <c r="AG80" i="5" s="1"/>
  <c r="AG81" i="5" a="1"/>
  <c r="AG81" i="5" s="1"/>
  <c r="AG106" i="5" a="1"/>
  <c r="AG106" i="5" s="1"/>
  <c r="AG107" i="5" a="1"/>
  <c r="AG107" i="5" s="1"/>
  <c r="AG108" i="5" a="1"/>
  <c r="AG108" i="5" s="1"/>
  <c r="AG109" i="5" a="1"/>
  <c r="AG109" i="5" s="1"/>
  <c r="AG110" i="5" a="1"/>
  <c r="AG110" i="5" s="1"/>
  <c r="AG111" i="5" a="1"/>
  <c r="AG111" i="5" s="1"/>
  <c r="AG112" i="5" a="1"/>
  <c r="AG112" i="5" s="1"/>
  <c r="AG113" i="5" a="1"/>
  <c r="AG113" i="5" s="1"/>
  <c r="AG114" i="5" a="1"/>
  <c r="AG114" i="5" s="1"/>
  <c r="AG115" i="5" a="1"/>
  <c r="AG115" i="5" s="1"/>
  <c r="AG116" i="5" a="1"/>
  <c r="AG116" i="5" s="1"/>
  <c r="AG117" i="5" a="1"/>
  <c r="AG117" i="5" s="1"/>
  <c r="AG94" i="5" a="1"/>
  <c r="AG94" i="5" s="1"/>
  <c r="AG95" i="5" a="1"/>
  <c r="AG95" i="5" s="1"/>
  <c r="AG96" i="5" a="1"/>
  <c r="AG96" i="5" s="1"/>
  <c r="AG97" i="5" a="1"/>
  <c r="AG97" i="5" s="1"/>
  <c r="AG98" i="5" a="1"/>
  <c r="AG98" i="5" s="1"/>
  <c r="AG99" i="5" a="1"/>
  <c r="AG99" i="5" s="1"/>
  <c r="AG100" i="5" a="1"/>
  <c r="AG100" i="5" s="1"/>
  <c r="AG101" i="5" a="1"/>
  <c r="AG101" i="5" s="1"/>
  <c r="AG102" i="5" a="1"/>
  <c r="AG102" i="5" s="1"/>
  <c r="AG103" i="5" a="1"/>
  <c r="AG103" i="5" s="1"/>
  <c r="AG104" i="5" a="1"/>
  <c r="AG104" i="5" s="1"/>
  <c r="AG105" i="5" a="1"/>
  <c r="AG105" i="5" s="1"/>
  <c r="AG82" i="5" a="1"/>
  <c r="AG82" i="5" s="1"/>
  <c r="AG83" i="5" a="1"/>
  <c r="AG83" i="5" s="1"/>
  <c r="AG84" i="5" a="1"/>
  <c r="AG84" i="5" s="1"/>
  <c r="AG85" i="5" a="1"/>
  <c r="AG85" i="5" s="1"/>
  <c r="AG86" i="5" a="1"/>
  <c r="AG86" i="5" s="1"/>
  <c r="AG87" i="5" a="1"/>
  <c r="AG87" i="5" s="1"/>
  <c r="AG88" i="5" a="1"/>
  <c r="AG88" i="5" s="1"/>
  <c r="AG89" i="5" a="1"/>
  <c r="AG89" i="5" s="1"/>
  <c r="AG90" i="5" a="1"/>
  <c r="AG90" i="5" s="1"/>
  <c r="AG91" i="5" a="1"/>
  <c r="AG91" i="5" s="1"/>
  <c r="AG92" i="5" a="1"/>
  <c r="AG92" i="5" s="1"/>
  <c r="AG93" i="5" a="1"/>
  <c r="AG93" i="5" s="1"/>
  <c r="AH70" i="5" a="1"/>
  <c r="AH70" i="5" s="1"/>
  <c r="AH71" i="5" a="1"/>
  <c r="AH71" i="5" s="1"/>
  <c r="AH72" i="5" a="1"/>
  <c r="AH72" i="5" s="1"/>
  <c r="AH73" i="5" a="1"/>
  <c r="AH73" i="5" s="1"/>
  <c r="AH74" i="5" a="1"/>
  <c r="AH74" i="5" s="1"/>
  <c r="AH75" i="5" a="1"/>
  <c r="AH75" i="5" s="1"/>
  <c r="AH76" i="5" a="1"/>
  <c r="AH76" i="5" s="1"/>
  <c r="AH77" i="5" a="1"/>
  <c r="AH77" i="5" s="1"/>
  <c r="AH78" i="5" a="1"/>
  <c r="AH78" i="5" s="1"/>
  <c r="AH79" i="5" a="1"/>
  <c r="AH79" i="5" s="1"/>
  <c r="AH80" i="5" a="1"/>
  <c r="AH80" i="5" s="1"/>
  <c r="AH81" i="5" a="1"/>
  <c r="AH81" i="5" s="1"/>
  <c r="AH94" i="5" a="1"/>
  <c r="AH94" i="5" s="1"/>
  <c r="AH95" i="5" a="1"/>
  <c r="AH95" i="5" s="1"/>
  <c r="AH96" i="5" a="1"/>
  <c r="AH96" i="5" s="1"/>
  <c r="AH97" i="5" a="1"/>
  <c r="AH97" i="5" s="1"/>
  <c r="AH98" i="5" a="1"/>
  <c r="AH98" i="5" s="1"/>
  <c r="AH99" i="5" a="1"/>
  <c r="AH99" i="5" s="1"/>
  <c r="AH100" i="5" a="1"/>
  <c r="AH100" i="5" s="1"/>
  <c r="AH101" i="5" a="1"/>
  <c r="AH101" i="5" s="1"/>
  <c r="AH102" i="5" a="1"/>
  <c r="AH102" i="5" s="1"/>
  <c r="AH103" i="5" a="1"/>
  <c r="AH103" i="5" s="1"/>
  <c r="AH104" i="5" a="1"/>
  <c r="AH104" i="5" s="1"/>
  <c r="AH105" i="5" a="1"/>
  <c r="AH105" i="5" s="1"/>
  <c r="AH82" i="5" a="1"/>
  <c r="AH82" i="5" s="1"/>
  <c r="AH83" i="5" a="1"/>
  <c r="AH83" i="5" s="1"/>
  <c r="AH84" i="5" a="1"/>
  <c r="AH84" i="5" s="1"/>
  <c r="AH85" i="5" a="1"/>
  <c r="AH85" i="5" s="1"/>
  <c r="AH86" i="5" a="1"/>
  <c r="AH86" i="5" s="1"/>
  <c r="AH87" i="5" a="1"/>
  <c r="AH87" i="5" s="1"/>
  <c r="AH88" i="5" a="1"/>
  <c r="AH88" i="5" s="1"/>
  <c r="AH89" i="5" a="1"/>
  <c r="AH89" i="5" s="1"/>
  <c r="AH90" i="5" a="1"/>
  <c r="AH90" i="5" s="1"/>
  <c r="AH91" i="5" a="1"/>
  <c r="AH91" i="5" s="1"/>
  <c r="AH92" i="5" a="1"/>
  <c r="AH92" i="5" s="1"/>
  <c r="AH93" i="5" a="1"/>
  <c r="AH93" i="5" s="1"/>
  <c r="AH106" i="5" a="1"/>
  <c r="AH106" i="5" s="1"/>
  <c r="AH107" i="5" a="1"/>
  <c r="AH107" i="5" s="1"/>
  <c r="AH108" i="5" a="1"/>
  <c r="AH108" i="5" s="1"/>
  <c r="AH109" i="5" a="1"/>
  <c r="AH109" i="5" s="1"/>
  <c r="AH110" i="5" a="1"/>
  <c r="AH110" i="5" s="1"/>
  <c r="AH111" i="5" a="1"/>
  <c r="AH111" i="5" s="1"/>
  <c r="AH112" i="5" a="1"/>
  <c r="AH112" i="5" s="1"/>
  <c r="AH113" i="5" a="1"/>
  <c r="AH113" i="5" s="1"/>
  <c r="AH114" i="5" a="1"/>
  <c r="AH114" i="5" s="1"/>
  <c r="AH115" i="5" a="1"/>
  <c r="AH115" i="5" s="1"/>
  <c r="AH116" i="5" a="1"/>
  <c r="AH116" i="5" s="1"/>
  <c r="AH117" i="5" a="1"/>
  <c r="AH117" i="5" s="1"/>
  <c r="B170" i="3" a="1"/>
  <c r="B170" i="3" s="1"/>
  <c r="B275" i="3" s="1" a="1"/>
  <c r="B275" i="3" s="1"/>
  <c r="B326" i="3" s="1" a="1"/>
  <c r="B326" i="3" s="1"/>
  <c r="B66" i="3" a="1"/>
  <c r="B66" i="3" s="1"/>
  <c r="B4" i="3" a="1"/>
  <c r="F443" i="13" l="1" a="1"/>
  <c r="F443" i="13" s="1"/>
  <c r="F120" i="3" s="1" a="1"/>
  <c r="F120" i="3" s="1"/>
  <c r="K83" i="25" a="1"/>
  <c r="K83" i="25" s="1"/>
  <c r="L94" i="25" a="1"/>
  <c r="L94" i="25" s="1"/>
  <c r="L85" i="25" a="1"/>
  <c r="L85" i="25" s="1"/>
  <c r="L86" i="25" a="1"/>
  <c r="L86" i="25" s="1"/>
  <c r="L87" i="25" a="1"/>
  <c r="L87" i="25" s="1"/>
  <c r="L88" i="25" a="1"/>
  <c r="L88" i="25" s="1"/>
  <c r="L89" i="25" a="1"/>
  <c r="L89" i="25" s="1"/>
  <c r="L90" i="25" a="1"/>
  <c r="L90" i="25" s="1"/>
  <c r="L91" i="25" a="1"/>
  <c r="L91" i="25" s="1"/>
  <c r="L92" i="25" a="1"/>
  <c r="L92" i="25" s="1"/>
  <c r="M84" i="25" a="1"/>
  <c r="M84" i="25" s="1"/>
  <c r="M93" i="25" a="1"/>
  <c r="M93" i="25" s="1"/>
  <c r="B4" i="3"/>
  <c r="L83" i="25" l="1" a="1"/>
  <c r="L83" i="25" s="1"/>
  <c r="N93" i="25" a="1"/>
  <c r="N93" i="25" s="1"/>
  <c r="N84" i="25" a="1"/>
  <c r="N84" i="25" s="1"/>
  <c r="M92" i="25" a="1"/>
  <c r="M92" i="25" s="1"/>
  <c r="M91" i="25" a="1"/>
  <c r="M91" i="25" s="1"/>
  <c r="M90" i="25" a="1"/>
  <c r="M90" i="25" s="1"/>
  <c r="M89" i="25" a="1"/>
  <c r="M89" i="25" s="1"/>
  <c r="M88" i="25" a="1"/>
  <c r="M88" i="25" s="1"/>
  <c r="M87" i="25" a="1"/>
  <c r="M87" i="25" s="1"/>
  <c r="M86" i="25" a="1"/>
  <c r="M86" i="25" s="1"/>
  <c r="M85" i="25" a="1"/>
  <c r="M85" i="25" s="1"/>
  <c r="M94" i="25" a="1"/>
  <c r="M94" i="25" s="1"/>
  <c r="M83" i="25" l="1" a="1"/>
  <c r="M83" i="25" s="1"/>
  <c r="N94" i="25" a="1"/>
  <c r="N94" i="25" s="1"/>
  <c r="N85" i="25" a="1"/>
  <c r="N85" i="25" s="1"/>
  <c r="N86" i="25" a="1"/>
  <c r="N86" i="25" s="1"/>
  <c r="N87" i="25" a="1"/>
  <c r="N87" i="25" s="1"/>
  <c r="N88" i="25" a="1"/>
  <c r="N88" i="25" s="1"/>
  <c r="N89" i="25" a="1"/>
  <c r="N89" i="25" s="1"/>
  <c r="N90" i="25" a="1"/>
  <c r="N90" i="25" s="1"/>
  <c r="N91" i="25" a="1"/>
  <c r="N91" i="25" s="1"/>
  <c r="N92" i="25" a="1"/>
  <c r="N92" i="25" s="1"/>
  <c r="O84" i="25" a="1"/>
  <c r="O84" i="25" s="1"/>
  <c r="O93" i="25" a="1"/>
  <c r="O93" i="25" s="1"/>
  <c r="N83" i="25" l="1" a="1"/>
  <c r="N83" i="25" s="1"/>
  <c r="P93" i="25" a="1"/>
  <c r="P93" i="25" s="1"/>
  <c r="P84" i="25" a="1"/>
  <c r="P84" i="25" s="1"/>
  <c r="O92" i="25" a="1"/>
  <c r="O92" i="25" s="1"/>
  <c r="O91" i="25" a="1"/>
  <c r="O91" i="25" s="1"/>
  <c r="O90" i="25" a="1"/>
  <c r="O90" i="25" s="1"/>
  <c r="O89" i="25" a="1"/>
  <c r="O89" i="25" s="1"/>
  <c r="O88" i="25" a="1"/>
  <c r="O88" i="25" s="1"/>
  <c r="O87" i="25" a="1"/>
  <c r="O87" i="25" s="1"/>
  <c r="O86" i="25" a="1"/>
  <c r="O86" i="25" s="1"/>
  <c r="O85" i="25" a="1"/>
  <c r="O85" i="25" s="1"/>
  <c r="O94" i="25" a="1"/>
  <c r="O94" i="25" s="1"/>
  <c r="O83" i="25" l="1" a="1"/>
  <c r="O83" i="25" s="1"/>
  <c r="P94" i="25" a="1"/>
  <c r="P94" i="25" s="1"/>
  <c r="P85" i="25" a="1"/>
  <c r="P85" i="25" s="1"/>
  <c r="P86" i="25" a="1"/>
  <c r="P86" i="25" s="1"/>
  <c r="P87" i="25" a="1"/>
  <c r="P87" i="25" s="1"/>
  <c r="P88" i="25" a="1"/>
  <c r="P88" i="25" s="1"/>
  <c r="P89" i="25" a="1"/>
  <c r="P89" i="25" s="1"/>
  <c r="P90" i="25" a="1"/>
  <c r="P90" i="25" s="1"/>
  <c r="P91" i="25" a="1"/>
  <c r="P91" i="25" s="1"/>
  <c r="P92" i="25" a="1"/>
  <c r="P92" i="25" s="1"/>
  <c r="Q84" i="25" a="1"/>
  <c r="Q84" i="25" s="1"/>
  <c r="Q93" i="25" a="1"/>
  <c r="Q93" i="25" s="1"/>
  <c r="P83" i="25" l="1" a="1"/>
  <c r="P83" i="25" s="1"/>
  <c r="R93" i="25" a="1"/>
  <c r="R93" i="25" s="1"/>
  <c r="R84" i="25" a="1"/>
  <c r="R84" i="25" s="1"/>
  <c r="Q92" i="25" a="1"/>
  <c r="Q92" i="25" s="1"/>
  <c r="Q91" i="25" a="1"/>
  <c r="Q91" i="25" s="1"/>
  <c r="Q90" i="25" a="1"/>
  <c r="Q90" i="25" s="1"/>
  <c r="Q89" i="25" a="1"/>
  <c r="Q89" i="25" s="1"/>
  <c r="Q88" i="25" a="1"/>
  <c r="Q88" i="25" s="1"/>
  <c r="Q87" i="25" a="1"/>
  <c r="Q87" i="25" s="1"/>
  <c r="Q86" i="25" a="1"/>
  <c r="Q86" i="25" s="1"/>
  <c r="Q85" i="25" a="1"/>
  <c r="Q85" i="25" s="1"/>
  <c r="Q94" i="25" a="1"/>
  <c r="Q94" i="25" s="1"/>
  <c r="Q83" i="25" l="1" a="1"/>
  <c r="Q83" i="25" s="1"/>
  <c r="R94" i="25" a="1"/>
  <c r="R94" i="25" s="1"/>
  <c r="R85" i="25" a="1"/>
  <c r="R85" i="25" s="1"/>
  <c r="R86" i="25" a="1"/>
  <c r="R86" i="25" s="1"/>
  <c r="R87" i="25" a="1"/>
  <c r="R87" i="25" s="1"/>
  <c r="R88" i="25" a="1"/>
  <c r="R88" i="25" s="1"/>
  <c r="R89" i="25" a="1"/>
  <c r="R89" i="25" s="1"/>
  <c r="R90" i="25" a="1"/>
  <c r="R90" i="25" s="1"/>
  <c r="R91" i="25" a="1"/>
  <c r="R91" i="25" s="1"/>
  <c r="R92" i="25" a="1"/>
  <c r="R92" i="25" s="1"/>
  <c r="S84" i="25" a="1"/>
  <c r="S84" i="25" s="1"/>
  <c r="S93" i="25" a="1"/>
  <c r="S93" i="25" s="1"/>
  <c r="R83" i="25" l="1" a="1"/>
  <c r="R83" i="25" s="1"/>
  <c r="T93" i="25" a="1"/>
  <c r="T93" i="25" s="1"/>
  <c r="T84" i="25" a="1"/>
  <c r="T84" i="25" s="1"/>
  <c r="S92" i="25" a="1"/>
  <c r="S92" i="25" s="1"/>
  <c r="S91" i="25" a="1"/>
  <c r="S91" i="25" s="1"/>
  <c r="S90" i="25" a="1"/>
  <c r="S90" i="25" s="1"/>
  <c r="S89" i="25" a="1"/>
  <c r="S89" i="25" s="1"/>
  <c r="S88" i="25" a="1"/>
  <c r="S88" i="25" s="1"/>
  <c r="S87" i="25" a="1"/>
  <c r="S87" i="25" s="1"/>
  <c r="S86" i="25" a="1"/>
  <c r="S86" i="25" s="1"/>
  <c r="S85" i="25" a="1"/>
  <c r="S85" i="25" s="1"/>
  <c r="S94" i="25" a="1"/>
  <c r="S94" i="25" s="1"/>
  <c r="S83" i="25" l="1" a="1"/>
  <c r="S83" i="25" s="1"/>
  <c r="T94" i="25" a="1"/>
  <c r="T94" i="25" s="1"/>
  <c r="T85" i="25" a="1"/>
  <c r="T85" i="25" s="1"/>
  <c r="T86" i="25" a="1"/>
  <c r="T86" i="25" s="1"/>
  <c r="T87" i="25" a="1"/>
  <c r="T87" i="25" s="1"/>
  <c r="T88" i="25" a="1"/>
  <c r="T88" i="25" s="1"/>
  <c r="T89" i="25" a="1"/>
  <c r="T89" i="25" s="1"/>
  <c r="T90" i="25" a="1"/>
  <c r="T90" i="25" s="1"/>
  <c r="T91" i="25" a="1"/>
  <c r="T91" i="25" s="1"/>
  <c r="T92" i="25" a="1"/>
  <c r="T92" i="25" s="1"/>
  <c r="U84" i="25" a="1"/>
  <c r="U84" i="25" s="1"/>
  <c r="U93" i="25" a="1"/>
  <c r="U93" i="25" s="1"/>
  <c r="T83" i="25" l="1" a="1"/>
  <c r="T83" i="25" s="1"/>
  <c r="V93" i="25" a="1"/>
  <c r="V93" i="25" s="1"/>
  <c r="V84" i="25" a="1"/>
  <c r="V84" i="25" s="1"/>
  <c r="U92" i="25" a="1"/>
  <c r="U92" i="25" s="1"/>
  <c r="U91" i="25" a="1"/>
  <c r="U91" i="25" s="1"/>
  <c r="U90" i="25" a="1"/>
  <c r="U90" i="25" s="1"/>
  <c r="U89" i="25" a="1"/>
  <c r="U89" i="25" s="1"/>
  <c r="U88" i="25" a="1"/>
  <c r="U88" i="25" s="1"/>
  <c r="U87" i="25" a="1"/>
  <c r="U87" i="25" s="1"/>
  <c r="U86" i="25" a="1"/>
  <c r="U86" i="25" s="1"/>
  <c r="U85" i="25" a="1"/>
  <c r="U85" i="25" s="1"/>
  <c r="U94" i="25" a="1"/>
  <c r="U94" i="25" s="1"/>
  <c r="U83" i="25" l="1" a="1"/>
  <c r="U83" i="25" s="1"/>
  <c r="V94" i="25" a="1"/>
  <c r="V94" i="25" s="1"/>
  <c r="V85" i="25" a="1"/>
  <c r="V85" i="25" s="1"/>
  <c r="V86" i="25" a="1"/>
  <c r="V86" i="25" s="1"/>
  <c r="V87" i="25" a="1"/>
  <c r="V87" i="25" s="1"/>
  <c r="V88" i="25" a="1"/>
  <c r="V88" i="25" s="1"/>
  <c r="V89" i="25" a="1"/>
  <c r="V89" i="25" s="1"/>
  <c r="V90" i="25" a="1"/>
  <c r="V90" i="25" s="1"/>
  <c r="V91" i="25" a="1"/>
  <c r="V91" i="25" s="1"/>
  <c r="V92" i="25" a="1"/>
  <c r="V92" i="25" s="1"/>
  <c r="W84" i="25" a="1"/>
  <c r="W84" i="25" s="1"/>
  <c r="W93" i="25" a="1"/>
  <c r="W93" i="25" s="1"/>
  <c r="V83" i="25" l="1" a="1"/>
  <c r="V83" i="25" s="1"/>
  <c r="X93" i="25" a="1"/>
  <c r="X93" i="25" s="1"/>
  <c r="X84" i="25" a="1"/>
  <c r="X84" i="25" s="1"/>
  <c r="W92" i="25" a="1"/>
  <c r="W92" i="25" s="1"/>
  <c r="W91" i="25" a="1"/>
  <c r="W91" i="25" s="1"/>
  <c r="W90" i="25" a="1"/>
  <c r="W90" i="25" s="1"/>
  <c r="W89" i="25" a="1"/>
  <c r="W89" i="25" s="1"/>
  <c r="W88" i="25" a="1"/>
  <c r="W88" i="25" s="1"/>
  <c r="W87" i="25" a="1"/>
  <c r="W87" i="25" s="1"/>
  <c r="W86" i="25" a="1"/>
  <c r="W86" i="25" s="1"/>
  <c r="W85" i="25" a="1"/>
  <c r="W85" i="25" s="1"/>
  <c r="W94" i="25" a="1"/>
  <c r="W94" i="25" s="1"/>
  <c r="W83" i="25" l="1" a="1"/>
  <c r="W83" i="25" s="1"/>
  <c r="X94" i="25" a="1"/>
  <c r="X94" i="25" s="1"/>
  <c r="X85" i="25" a="1"/>
  <c r="X85" i="25" s="1"/>
  <c r="X86" i="25" a="1"/>
  <c r="X86" i="25" s="1"/>
  <c r="X87" i="25" a="1"/>
  <c r="X87" i="25" s="1"/>
  <c r="X88" i="25" a="1"/>
  <c r="X88" i="25" s="1"/>
  <c r="X89" i="25" a="1"/>
  <c r="X89" i="25" s="1"/>
  <c r="X90" i="25" a="1"/>
  <c r="X90" i="25" s="1"/>
  <c r="X91" i="25" a="1"/>
  <c r="X91" i="25" s="1"/>
  <c r="X92" i="25" a="1"/>
  <c r="X92" i="25" s="1"/>
  <c r="Y84" i="25" a="1"/>
  <c r="Y84" i="25" s="1"/>
  <c r="Y93" i="25" a="1"/>
  <c r="Y93" i="25" s="1"/>
  <c r="X83" i="25" l="1" a="1"/>
  <c r="X83" i="25" s="1"/>
  <c r="Z93" i="25" a="1"/>
  <c r="Z93" i="25" s="1"/>
  <c r="Z84" i="25" a="1"/>
  <c r="Z84" i="25" s="1"/>
  <c r="Y92" i="25" a="1"/>
  <c r="Y92" i="25" s="1"/>
  <c r="Y91" i="25" a="1"/>
  <c r="Y91" i="25" s="1"/>
  <c r="Y90" i="25" a="1"/>
  <c r="Y90" i="25" s="1"/>
  <c r="Y89" i="25" a="1"/>
  <c r="Y89" i="25" s="1"/>
  <c r="Y88" i="25" a="1"/>
  <c r="Y88" i="25" s="1"/>
  <c r="Y87" i="25" a="1"/>
  <c r="Y87" i="25" s="1"/>
  <c r="Y86" i="25" a="1"/>
  <c r="Y86" i="25" s="1"/>
  <c r="Y85" i="25" a="1"/>
  <c r="Y85" i="25" s="1"/>
  <c r="Y94" i="25" a="1"/>
  <c r="Y94" i="25" s="1"/>
  <c r="Y83" i="25" l="1" a="1"/>
  <c r="Y83" i="25" s="1"/>
  <c r="Z94" i="25" a="1"/>
  <c r="Z94" i="25" s="1"/>
  <c r="Z85" i="25" a="1"/>
  <c r="Z85" i="25" s="1"/>
  <c r="Z86" i="25" a="1"/>
  <c r="Z86" i="25" s="1"/>
  <c r="Z87" i="25" a="1"/>
  <c r="Z87" i="25" s="1"/>
  <c r="Z88" i="25" a="1"/>
  <c r="Z88" i="25" s="1"/>
  <c r="Z89" i="25" a="1"/>
  <c r="Z89" i="25" s="1"/>
  <c r="Z90" i="25" a="1"/>
  <c r="Z90" i="25" s="1"/>
  <c r="Z91" i="25" a="1"/>
  <c r="Z91" i="25" s="1"/>
  <c r="Z92" i="25" a="1"/>
  <c r="Z92" i="25" s="1"/>
  <c r="AA84" i="25" a="1"/>
  <c r="AA84" i="25" s="1"/>
  <c r="AA93" i="25" a="1"/>
  <c r="AA93" i="25" s="1"/>
  <c r="Z83" i="25" l="1" a="1"/>
  <c r="Z83" i="25" s="1"/>
  <c r="AB93" i="25" a="1"/>
  <c r="AB93" i="25" s="1"/>
  <c r="AB84" i="25" a="1"/>
  <c r="AB84" i="25" s="1"/>
  <c r="AA92" i="25" a="1"/>
  <c r="AA92" i="25" s="1"/>
  <c r="AA91" i="25" a="1"/>
  <c r="AA91" i="25" s="1"/>
  <c r="AA90" i="25" a="1"/>
  <c r="AA90" i="25" s="1"/>
  <c r="AA89" i="25" a="1"/>
  <c r="AA89" i="25" s="1"/>
  <c r="AA88" i="25" a="1"/>
  <c r="AA88" i="25" s="1"/>
  <c r="AA87" i="25" a="1"/>
  <c r="AA87" i="25" s="1"/>
  <c r="AA86" i="25" a="1"/>
  <c r="AA86" i="25" s="1"/>
  <c r="AA85" i="25" a="1"/>
  <c r="AA85" i="25" s="1"/>
  <c r="AA94" i="25" a="1"/>
  <c r="AA94" i="25" s="1"/>
  <c r="AA83" i="25" l="1" a="1"/>
  <c r="AA83" i="25" s="1"/>
  <c r="AB94" i="25" a="1"/>
  <c r="AB94" i="25" s="1"/>
  <c r="AB85" i="25" a="1"/>
  <c r="AB85" i="25" s="1"/>
  <c r="AB86" i="25" a="1"/>
  <c r="AB86" i="25" s="1"/>
  <c r="AB87" i="25" a="1"/>
  <c r="AB87" i="25" s="1"/>
  <c r="AB88" i="25" a="1"/>
  <c r="AB88" i="25" s="1"/>
  <c r="AB89" i="25" a="1"/>
  <c r="AB89" i="25" s="1"/>
  <c r="AB90" i="25" a="1"/>
  <c r="AB90" i="25" s="1"/>
  <c r="AB91" i="25" a="1"/>
  <c r="AB91" i="25" s="1"/>
  <c r="AB92" i="25" a="1"/>
  <c r="AB92" i="25" s="1"/>
  <c r="AC84" i="25" a="1"/>
  <c r="AC84" i="25" s="1"/>
  <c r="AC93" i="25" a="1"/>
  <c r="AC93" i="25" s="1"/>
  <c r="AB83" i="25" l="1" a="1"/>
  <c r="AB83" i="25" s="1"/>
  <c r="AD93" i="25" a="1"/>
  <c r="AD93" i="25" s="1"/>
  <c r="AD84" i="25" a="1"/>
  <c r="AD84" i="25" s="1"/>
  <c r="AC92" i="25" a="1"/>
  <c r="AC92" i="25" s="1"/>
  <c r="AC91" i="25" a="1"/>
  <c r="AC91" i="25" s="1"/>
  <c r="AC90" i="25" a="1"/>
  <c r="AC90" i="25" s="1"/>
  <c r="AC89" i="25" a="1"/>
  <c r="AC89" i="25" s="1"/>
  <c r="AC88" i="25" a="1"/>
  <c r="AC88" i="25" s="1"/>
  <c r="AC87" i="25" a="1"/>
  <c r="AC87" i="25" s="1"/>
  <c r="AC86" i="25" a="1"/>
  <c r="AC86" i="25" s="1"/>
  <c r="AC85" i="25" a="1"/>
  <c r="AC85" i="25" s="1"/>
  <c r="AC94" i="25" a="1"/>
  <c r="AC94" i="25" s="1"/>
  <c r="AC83" i="25" l="1" a="1"/>
  <c r="AC83" i="25" s="1"/>
  <c r="AD94" i="25" a="1"/>
  <c r="AD94" i="25" s="1"/>
  <c r="AD85" i="25" a="1"/>
  <c r="AD85" i="25" s="1"/>
  <c r="AD86" i="25" a="1"/>
  <c r="AD86" i="25" s="1"/>
  <c r="AD87" i="25" a="1"/>
  <c r="AD87" i="25" s="1"/>
  <c r="AD88" i="25" a="1"/>
  <c r="AD88" i="25" s="1"/>
  <c r="AD89" i="25" a="1"/>
  <c r="AD89" i="25" s="1"/>
  <c r="AD90" i="25" a="1"/>
  <c r="AD90" i="25" s="1"/>
  <c r="AD91" i="25" a="1"/>
  <c r="AD91" i="25" s="1"/>
  <c r="AD92" i="25" a="1"/>
  <c r="AD92" i="25" s="1"/>
  <c r="AE84" i="25" a="1"/>
  <c r="AE84" i="25" s="1"/>
  <c r="AE93" i="25" a="1"/>
  <c r="AE93" i="25" s="1"/>
  <c r="AD83" i="25" l="1" a="1"/>
  <c r="AD83" i="25" s="1"/>
  <c r="AF93" i="25" a="1"/>
  <c r="AF93" i="25" s="1"/>
  <c r="AF84" i="25" a="1"/>
  <c r="AF84" i="25" s="1"/>
  <c r="AE92" i="25" a="1"/>
  <c r="AE92" i="25" s="1"/>
  <c r="AE91" i="25" a="1"/>
  <c r="AE91" i="25" s="1"/>
  <c r="AE90" i="25" a="1"/>
  <c r="AE90" i="25" s="1"/>
  <c r="AE89" i="25" a="1"/>
  <c r="AE89" i="25" s="1"/>
  <c r="AE88" i="25" a="1"/>
  <c r="AE88" i="25" s="1"/>
  <c r="AE87" i="25" a="1"/>
  <c r="AE87" i="25" s="1"/>
  <c r="AE86" i="25" a="1"/>
  <c r="AE86" i="25" s="1"/>
  <c r="AE85" i="25" a="1"/>
  <c r="AE85" i="25" s="1"/>
  <c r="AE94" i="25" a="1"/>
  <c r="AE94" i="25" s="1"/>
  <c r="AE83" i="25" l="1" a="1"/>
  <c r="AE83" i="25" s="1"/>
  <c r="AF94" i="25" a="1"/>
  <c r="AF94" i="25" s="1"/>
  <c r="AF85" i="25" a="1"/>
  <c r="AF85" i="25" s="1"/>
  <c r="AF86" i="25" a="1"/>
  <c r="AF86" i="25" s="1"/>
  <c r="AF87" i="25" a="1"/>
  <c r="AF87" i="25" s="1"/>
  <c r="AF88" i="25" a="1"/>
  <c r="AF88" i="25" s="1"/>
  <c r="AF89" i="25" a="1"/>
  <c r="AF89" i="25" s="1"/>
  <c r="AF90" i="25" a="1"/>
  <c r="AF90" i="25" s="1"/>
  <c r="AF91" i="25" a="1"/>
  <c r="AF91" i="25" s="1"/>
  <c r="AF92" i="25" a="1"/>
  <c r="AF92" i="25" s="1"/>
  <c r="AG84" i="25" a="1"/>
  <c r="AG84" i="25" s="1"/>
  <c r="AG93" i="25" a="1"/>
  <c r="AG93" i="25" s="1"/>
  <c r="AF83" i="25" l="1" a="1"/>
  <c r="AF83" i="25" s="1"/>
  <c r="AH93" i="25" a="1"/>
  <c r="AH93" i="25" s="1"/>
  <c r="AH84" i="25" a="1"/>
  <c r="AH84" i="25" s="1"/>
  <c r="AG92" i="25" a="1"/>
  <c r="AG92" i="25" s="1"/>
  <c r="AG91" i="25" a="1"/>
  <c r="AG91" i="25" s="1"/>
  <c r="AG90" i="25" a="1"/>
  <c r="AG90" i="25" s="1"/>
  <c r="AG89" i="25" a="1"/>
  <c r="AG89" i="25" s="1"/>
  <c r="AG88" i="25" a="1"/>
  <c r="AG88" i="25" s="1"/>
  <c r="AG87" i="25" a="1"/>
  <c r="AG87" i="25" s="1"/>
  <c r="AG86" i="25" a="1"/>
  <c r="AG86" i="25" s="1"/>
  <c r="AG85" i="25" a="1"/>
  <c r="AG85" i="25" s="1"/>
  <c r="AG94" i="25" a="1"/>
  <c r="AG94" i="25" s="1"/>
  <c r="AG83" i="25" l="1" a="1"/>
  <c r="AG83" i="25" s="1"/>
  <c r="AH94" i="25" a="1"/>
  <c r="AH94" i="25" s="1"/>
  <c r="AH85" i="25" a="1"/>
  <c r="AH85" i="25" s="1"/>
  <c r="AH86" i="25" a="1"/>
  <c r="AH86" i="25" s="1"/>
  <c r="AH87" i="25" a="1"/>
  <c r="AH87" i="25" s="1"/>
  <c r="AH88" i="25" a="1"/>
  <c r="AH88" i="25" s="1"/>
  <c r="AH89" i="25" a="1"/>
  <c r="AH89" i="25" s="1"/>
  <c r="AH90" i="25" a="1"/>
  <c r="AH90" i="25" s="1"/>
  <c r="AH91" i="25" a="1"/>
  <c r="AH91" i="25" s="1"/>
  <c r="AH92" i="25" a="1"/>
  <c r="AH92" i="25" s="1"/>
  <c r="AI84" i="25" a="1"/>
  <c r="AI84" i="25" s="1"/>
  <c r="AI93" i="25" a="1"/>
  <c r="AI93" i="25" s="1"/>
  <c r="AH83" i="25" l="1" a="1"/>
  <c r="AH83" i="25" s="1"/>
  <c r="AJ93" i="25" a="1"/>
  <c r="AJ93" i="25" s="1"/>
  <c r="AJ84" i="25" a="1"/>
  <c r="AJ84" i="25" s="1"/>
  <c r="AI92" i="25" a="1"/>
  <c r="AI92" i="25" s="1"/>
  <c r="AI91" i="25" a="1"/>
  <c r="AI91" i="25" s="1"/>
  <c r="AI90" i="25" a="1"/>
  <c r="AI90" i="25" s="1"/>
  <c r="AI89" i="25" a="1"/>
  <c r="AI89" i="25" s="1"/>
  <c r="AI88" i="25" a="1"/>
  <c r="AI88" i="25" s="1"/>
  <c r="AI87" i="25" a="1"/>
  <c r="AI87" i="25" s="1"/>
  <c r="AI86" i="25" a="1"/>
  <c r="AI86" i="25" s="1"/>
  <c r="AI85" i="25" a="1"/>
  <c r="AI85" i="25" s="1"/>
  <c r="AI94" i="25" a="1"/>
  <c r="AI94" i="25" s="1"/>
  <c r="AI83" i="25" l="1" a="1"/>
  <c r="AI83" i="25" s="1"/>
  <c r="AJ94" i="25" a="1"/>
  <c r="AJ94" i="25" s="1"/>
  <c r="AJ85" i="25" a="1"/>
  <c r="AJ85" i="25" s="1"/>
  <c r="AJ86" i="25" a="1"/>
  <c r="AJ86" i="25" s="1"/>
  <c r="AJ87" i="25" a="1"/>
  <c r="AJ87" i="25" s="1"/>
  <c r="AJ88" i="25" a="1"/>
  <c r="AJ88" i="25" s="1"/>
  <c r="AJ89" i="25" a="1"/>
  <c r="AJ89" i="25" s="1"/>
  <c r="AJ90" i="25" a="1"/>
  <c r="AJ90" i="25" s="1"/>
  <c r="AJ91" i="25" a="1"/>
  <c r="AJ91" i="25" s="1"/>
  <c r="AJ92" i="25" a="1"/>
  <c r="AJ92" i="25" s="1"/>
  <c r="AK84" i="25" a="1"/>
  <c r="AK84" i="25" s="1"/>
  <c r="AK93" i="25" a="1"/>
  <c r="AK93" i="25" s="1"/>
  <c r="AJ83" i="25" l="1" a="1"/>
  <c r="AJ83" i="25" s="1"/>
  <c r="AL93" i="25" a="1"/>
  <c r="AL93" i="25" s="1"/>
  <c r="AL84" i="25" a="1"/>
  <c r="AL84" i="25" s="1"/>
  <c r="AK92" i="25" a="1"/>
  <c r="AK92" i="25" s="1"/>
  <c r="AK91" i="25" a="1"/>
  <c r="AK91" i="25" s="1"/>
  <c r="AK90" i="25" a="1"/>
  <c r="AK90" i="25" s="1"/>
  <c r="AK89" i="25" a="1"/>
  <c r="AK89" i="25" s="1"/>
  <c r="AK88" i="25" a="1"/>
  <c r="AK88" i="25" s="1"/>
  <c r="AK87" i="25" a="1"/>
  <c r="AK87" i="25" s="1"/>
  <c r="AK86" i="25" a="1"/>
  <c r="AK86" i="25" s="1"/>
  <c r="AK85" i="25" a="1"/>
  <c r="AK85" i="25" s="1"/>
  <c r="AK94" i="25" a="1"/>
  <c r="AK94" i="25" s="1"/>
  <c r="AK83" i="25" l="1" a="1"/>
  <c r="AK83" i="25" s="1"/>
  <c r="AL94" i="25" a="1"/>
  <c r="AL94" i="25" s="1"/>
  <c r="AL85" i="25" a="1"/>
  <c r="AL85" i="25" s="1"/>
  <c r="AL86" i="25" a="1"/>
  <c r="AL86" i="25" s="1"/>
  <c r="AL87" i="25" a="1"/>
  <c r="AL87" i="25" s="1"/>
  <c r="AL88" i="25" a="1"/>
  <c r="AL88" i="25" s="1"/>
  <c r="AL89" i="25" a="1"/>
  <c r="AL89" i="25" s="1"/>
  <c r="AL90" i="25" a="1"/>
  <c r="AL90" i="25" s="1"/>
  <c r="AL91" i="25" a="1"/>
  <c r="AL91" i="25" s="1"/>
  <c r="AL92" i="25" a="1"/>
  <c r="AL92" i="25" s="1"/>
  <c r="AL83" i="25" l="1" a="1"/>
  <c r="AL83" i="25" s="1"/>
  <c r="G142" i="25" l="1" a="1"/>
  <c r="AK190" i="25" l="1"/>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AH317" i="25"/>
  <c r="AG317" i="25"/>
  <c r="AF317" i="25"/>
  <c r="AE317" i="25"/>
  <c r="AD317" i="25"/>
  <c r="AC317" i="25"/>
  <c r="AB317" i="25"/>
  <c r="AA317" i="25"/>
  <c r="Z317" i="25"/>
  <c r="Y317" i="25"/>
  <c r="X317" i="25"/>
  <c r="W317" i="25"/>
  <c r="V317" i="25"/>
  <c r="U317" i="25"/>
  <c r="T317" i="25"/>
  <c r="S317" i="25"/>
  <c r="R317" i="25"/>
  <c r="Q317" i="25"/>
  <c r="P317" i="25"/>
  <c r="O317" i="25"/>
  <c r="N317" i="25"/>
  <c r="M317" i="25"/>
  <c r="L317" i="25"/>
  <c r="K317" i="25"/>
  <c r="J317" i="25"/>
  <c r="I317" i="25"/>
  <c r="H317" i="25"/>
  <c r="G317" i="25"/>
  <c r="F317" i="25"/>
  <c r="E317" i="25"/>
  <c r="D317" i="25"/>
  <c r="AH316" i="25"/>
  <c r="AG316" i="25"/>
  <c r="AF316" i="25"/>
  <c r="AE316" i="25"/>
  <c r="AD316" i="25"/>
  <c r="AC316" i="25"/>
  <c r="AB316" i="25"/>
  <c r="AA316" i="25"/>
  <c r="Z316" i="25"/>
  <c r="Y316" i="25"/>
  <c r="X316" i="25"/>
  <c r="W316" i="25"/>
  <c r="V316" i="25"/>
  <c r="U316" i="25"/>
  <c r="T316" i="25"/>
  <c r="S316" i="25"/>
  <c r="R316" i="25"/>
  <c r="Q316" i="25"/>
  <c r="P316" i="25"/>
  <c r="O316" i="25"/>
  <c r="N316" i="25"/>
  <c r="M316" i="25"/>
  <c r="L316" i="25"/>
  <c r="K316" i="25"/>
  <c r="J316" i="25"/>
  <c r="I316" i="25"/>
  <c r="H316" i="25"/>
  <c r="G316" i="25"/>
  <c r="F316" i="25"/>
  <c r="E316" i="25"/>
  <c r="AH315" i="25"/>
  <c r="AG315" i="25"/>
  <c r="AF315" i="25"/>
  <c r="AE315" i="25"/>
  <c r="AD315" i="25"/>
  <c r="AC315" i="25"/>
  <c r="AB315" i="25"/>
  <c r="AA315" i="25"/>
  <c r="Z315" i="25"/>
  <c r="Y315" i="25"/>
  <c r="X315" i="25"/>
  <c r="W315" i="25"/>
  <c r="V315" i="25"/>
  <c r="U315" i="25"/>
  <c r="T315" i="25"/>
  <c r="S315" i="25"/>
  <c r="R315" i="25"/>
  <c r="Q315" i="25"/>
  <c r="P315" i="25"/>
  <c r="O315" i="25"/>
  <c r="N315" i="25"/>
  <c r="M315" i="25"/>
  <c r="L315" i="25"/>
  <c r="K315" i="25"/>
  <c r="J315" i="25"/>
  <c r="I315" i="25"/>
  <c r="H315" i="25"/>
  <c r="G315" i="25"/>
  <c r="F315" i="25"/>
  <c r="E315" i="25"/>
  <c r="AH314" i="25"/>
  <c r="AG314" i="25"/>
  <c r="AF314" i="25"/>
  <c r="AE314" i="25"/>
  <c r="AD314" i="25"/>
  <c r="AC314" i="25"/>
  <c r="AB314" i="25"/>
  <c r="AA314" i="25"/>
  <c r="Z314" i="25"/>
  <c r="Y314" i="25"/>
  <c r="X314" i="25"/>
  <c r="W314" i="25"/>
  <c r="V314" i="25"/>
  <c r="U314" i="25"/>
  <c r="T314" i="25"/>
  <c r="S314" i="25"/>
  <c r="R314" i="25"/>
  <c r="Q314" i="25"/>
  <c r="P314" i="25"/>
  <c r="O314" i="25"/>
  <c r="N314" i="25"/>
  <c r="M314" i="25"/>
  <c r="L314" i="25"/>
  <c r="K314" i="25"/>
  <c r="J314" i="25"/>
  <c r="I314" i="25"/>
  <c r="H314" i="25"/>
  <c r="G314" i="25"/>
  <c r="F314" i="25"/>
  <c r="E314" i="25"/>
  <c r="AH313" i="25"/>
  <c r="AG313" i="25"/>
  <c r="AF313" i="25"/>
  <c r="AE313" i="25"/>
  <c r="AD313" i="25"/>
  <c r="AC313" i="25"/>
  <c r="AB313" i="25"/>
  <c r="AA313" i="25"/>
  <c r="Z313" i="25"/>
  <c r="Y313" i="25"/>
  <c r="X313" i="25"/>
  <c r="W313" i="25"/>
  <c r="V313" i="25"/>
  <c r="U313" i="25"/>
  <c r="T313" i="25"/>
  <c r="S313" i="25"/>
  <c r="R313" i="25"/>
  <c r="Q313" i="25"/>
  <c r="P313" i="25"/>
  <c r="O313" i="25"/>
  <c r="N313" i="25"/>
  <c r="M313" i="25"/>
  <c r="L313" i="25"/>
  <c r="K313" i="25"/>
  <c r="J313" i="25"/>
  <c r="I313" i="25"/>
  <c r="H313" i="25"/>
  <c r="G313" i="25"/>
  <c r="F313" i="25"/>
  <c r="E313" i="25"/>
  <c r="AH312" i="25"/>
  <c r="AG312" i="25"/>
  <c r="AF312" i="25"/>
  <c r="AE312" i="25"/>
  <c r="AD312" i="25"/>
  <c r="AC312" i="25"/>
  <c r="AB312" i="25"/>
  <c r="AA312" i="25"/>
  <c r="Z312" i="25"/>
  <c r="Y312" i="25"/>
  <c r="X312" i="25"/>
  <c r="W312" i="25"/>
  <c r="V312" i="25"/>
  <c r="U312" i="25"/>
  <c r="T312" i="25"/>
  <c r="S312" i="25"/>
  <c r="R312" i="25"/>
  <c r="Q312" i="25"/>
  <c r="P312" i="25"/>
  <c r="O312" i="25"/>
  <c r="N312" i="25"/>
  <c r="M312" i="25"/>
  <c r="L312" i="25"/>
  <c r="K312" i="25"/>
  <c r="J312" i="25"/>
  <c r="I312" i="25"/>
  <c r="H312" i="25"/>
  <c r="G312" i="25"/>
  <c r="F312" i="25"/>
  <c r="E312" i="25"/>
  <c r="AH311" i="25"/>
  <c r="AG311" i="25"/>
  <c r="AF311" i="25"/>
  <c r="AE311" i="25"/>
  <c r="AD311" i="25"/>
  <c r="AC311" i="25"/>
  <c r="AB311" i="25"/>
  <c r="AA311" i="25"/>
  <c r="Z311" i="25"/>
  <c r="Y311" i="25"/>
  <c r="X311" i="25"/>
  <c r="W311" i="25"/>
  <c r="V311" i="25"/>
  <c r="U311" i="25"/>
  <c r="T311" i="25"/>
  <c r="S311" i="25"/>
  <c r="R311" i="25"/>
  <c r="Q311" i="25"/>
  <c r="P311" i="25"/>
  <c r="O311" i="25"/>
  <c r="N311" i="25"/>
  <c r="M311" i="25"/>
  <c r="L311" i="25"/>
  <c r="K311" i="25"/>
  <c r="J311" i="25"/>
  <c r="I311" i="25"/>
  <c r="H311" i="25"/>
  <c r="G311" i="25"/>
  <c r="F311" i="25"/>
  <c r="E311" i="25"/>
  <c r="AH310" i="25"/>
  <c r="AG310" i="25"/>
  <c r="AF310" i="25"/>
  <c r="AE310" i="25"/>
  <c r="AD310" i="25"/>
  <c r="AC310" i="25"/>
  <c r="AB310" i="25"/>
  <c r="AA310" i="25"/>
  <c r="Z310" i="25"/>
  <c r="Y310" i="25"/>
  <c r="X310" i="25"/>
  <c r="W310" i="25"/>
  <c r="V310" i="25"/>
  <c r="U310" i="25"/>
  <c r="T310" i="25"/>
  <c r="S310" i="25"/>
  <c r="R310" i="25"/>
  <c r="Q310" i="25"/>
  <c r="P310" i="25"/>
  <c r="O310" i="25"/>
  <c r="N310" i="25"/>
  <c r="M310" i="25"/>
  <c r="L310" i="25"/>
  <c r="K310" i="25"/>
  <c r="J310" i="25"/>
  <c r="I310" i="25"/>
  <c r="H310" i="25"/>
  <c r="G310" i="25"/>
  <c r="F310" i="25"/>
  <c r="E310" i="25"/>
  <c r="AH309" i="25"/>
  <c r="AG309" i="25"/>
  <c r="AF309" i="25"/>
  <c r="AE309" i="25"/>
  <c r="AD309" i="25"/>
  <c r="AC309" i="25"/>
  <c r="AB309" i="25"/>
  <c r="AA309" i="25"/>
  <c r="Z309" i="25"/>
  <c r="Y309" i="25"/>
  <c r="X309" i="25"/>
  <c r="W309" i="25"/>
  <c r="V309" i="25"/>
  <c r="U309" i="25"/>
  <c r="T309" i="25"/>
  <c r="S309" i="25"/>
  <c r="R309" i="25"/>
  <c r="Q309" i="25"/>
  <c r="P309" i="25"/>
  <c r="O309" i="25"/>
  <c r="N309" i="25"/>
  <c r="M309" i="25"/>
  <c r="L309" i="25"/>
  <c r="K309" i="25"/>
  <c r="J309" i="25"/>
  <c r="I309" i="25"/>
  <c r="H309" i="25"/>
  <c r="G309" i="25"/>
  <c r="F309" i="25"/>
  <c r="E309" i="25"/>
  <c r="AH308" i="25"/>
  <c r="AG308" i="25"/>
  <c r="AF308" i="25"/>
  <c r="AE308" i="25"/>
  <c r="AD308" i="25"/>
  <c r="AC308" i="25"/>
  <c r="AB308" i="25"/>
  <c r="AA308" i="25"/>
  <c r="Z308" i="25"/>
  <c r="Y308" i="25"/>
  <c r="X308" i="25"/>
  <c r="W308" i="25"/>
  <c r="V308" i="25"/>
  <c r="U308" i="25"/>
  <c r="T308" i="25"/>
  <c r="S308" i="25"/>
  <c r="R308" i="25"/>
  <c r="Q308" i="25"/>
  <c r="P308" i="25"/>
  <c r="O308" i="25"/>
  <c r="N308" i="25"/>
  <c r="M308" i="25"/>
  <c r="L308" i="25"/>
  <c r="K308" i="25"/>
  <c r="J308" i="25"/>
  <c r="I308" i="25"/>
  <c r="H308" i="25"/>
  <c r="G308" i="25"/>
  <c r="F308" i="25"/>
  <c r="E308" i="25"/>
  <c r="AH307" i="25"/>
  <c r="AG307" i="25"/>
  <c r="AF307" i="25"/>
  <c r="AE307" i="25"/>
  <c r="AD307" i="25"/>
  <c r="AC307" i="25"/>
  <c r="AB307" i="25"/>
  <c r="AA307" i="25"/>
  <c r="Z307" i="25"/>
  <c r="Y307" i="25"/>
  <c r="X307" i="25"/>
  <c r="W307" i="25"/>
  <c r="V307" i="25"/>
  <c r="U307" i="25"/>
  <c r="T307" i="25"/>
  <c r="S307" i="25"/>
  <c r="R307" i="25"/>
  <c r="Q307" i="25"/>
  <c r="P307" i="25"/>
  <c r="O307" i="25"/>
  <c r="N307" i="25"/>
  <c r="M307" i="25"/>
  <c r="L307" i="25"/>
  <c r="K307" i="25"/>
  <c r="J307" i="25"/>
  <c r="I307" i="25"/>
  <c r="H307" i="25"/>
  <c r="G307" i="25"/>
  <c r="F307" i="25"/>
  <c r="E307" i="25"/>
  <c r="AH306" i="25"/>
  <c r="AG306" i="25"/>
  <c r="AF306" i="25"/>
  <c r="AE306" i="25"/>
  <c r="AD306" i="25"/>
  <c r="AC306" i="25"/>
  <c r="AB306" i="25"/>
  <c r="AA306" i="25"/>
  <c r="Z306" i="25"/>
  <c r="Y306" i="25"/>
  <c r="X306" i="25"/>
  <c r="W306" i="25"/>
  <c r="V306" i="25"/>
  <c r="U306" i="25"/>
  <c r="T306" i="25"/>
  <c r="S306" i="25"/>
  <c r="R306" i="25"/>
  <c r="Q306" i="25"/>
  <c r="P306" i="25"/>
  <c r="O306" i="25"/>
  <c r="N306" i="25"/>
  <c r="M306" i="25"/>
  <c r="L306" i="25"/>
  <c r="K306" i="25"/>
  <c r="J306" i="25"/>
  <c r="I306" i="25"/>
  <c r="H306" i="25"/>
  <c r="G306" i="25"/>
  <c r="F306" i="25"/>
  <c r="E306" i="25"/>
  <c r="AG301" i="25"/>
  <c r="G142" i="25"/>
  <c r="S298" i="25"/>
  <c r="G298" i="25"/>
  <c r="W298" i="25"/>
  <c r="K298" i="25"/>
  <c r="AA298" i="25"/>
  <c r="O298" i="25"/>
  <c r="AE298" i="25"/>
  <c r="L299" i="25"/>
  <c r="X299" i="25"/>
  <c r="E300" i="25"/>
  <c r="Q300" i="25"/>
  <c r="AC300" i="25"/>
  <c r="AG300" i="25"/>
  <c r="N301" i="25"/>
  <c r="R301" i="25"/>
  <c r="V301" i="25"/>
  <c r="Z301" i="25"/>
  <c r="AD301" i="25"/>
  <c r="D298" i="25"/>
  <c r="H298" i="25"/>
  <c r="L298" i="25"/>
  <c r="P298" i="25"/>
  <c r="T298" i="25"/>
  <c r="X298" i="25"/>
  <c r="AB298" i="25"/>
  <c r="AF298" i="25"/>
  <c r="E299" i="25"/>
  <c r="I299" i="25"/>
  <c r="M299" i="25"/>
  <c r="Q299" i="25"/>
  <c r="U299" i="25"/>
  <c r="Y299" i="25"/>
  <c r="AC299" i="25"/>
  <c r="AG299" i="25"/>
  <c r="F300" i="25"/>
  <c r="J300" i="25"/>
  <c r="N300" i="25"/>
  <c r="R300" i="25"/>
  <c r="V300" i="25"/>
  <c r="Z300" i="25"/>
  <c r="AD300" i="25"/>
  <c r="C301" i="25"/>
  <c r="G301" i="25"/>
  <c r="K301" i="25"/>
  <c r="O301" i="25"/>
  <c r="S301" i="25"/>
  <c r="W301" i="25"/>
  <c r="AA301" i="25"/>
  <c r="AE301" i="25"/>
  <c r="H299" i="25"/>
  <c r="T299" i="25"/>
  <c r="AF299" i="25"/>
  <c r="M300" i="25"/>
  <c r="Y300" i="25"/>
  <c r="J301" i="25"/>
  <c r="E298" i="25"/>
  <c r="I298" i="25"/>
  <c r="M298" i="25"/>
  <c r="Q298" i="25"/>
  <c r="U298" i="25"/>
  <c r="Y298" i="25"/>
  <c r="AC298" i="25"/>
  <c r="AG298" i="25"/>
  <c r="F299" i="25"/>
  <c r="J299" i="25"/>
  <c r="N299" i="25"/>
  <c r="R299" i="25"/>
  <c r="V299" i="25"/>
  <c r="Z299" i="25"/>
  <c r="AD299" i="25"/>
  <c r="C300" i="25"/>
  <c r="G300" i="25"/>
  <c r="K300" i="25"/>
  <c r="O300" i="25"/>
  <c r="S300" i="25"/>
  <c r="W300" i="25"/>
  <c r="AA300" i="25"/>
  <c r="AE300" i="25"/>
  <c r="D301" i="25"/>
  <c r="H301" i="25"/>
  <c r="L301" i="25"/>
  <c r="P301" i="25"/>
  <c r="T301" i="25"/>
  <c r="X301" i="25"/>
  <c r="AB301" i="25"/>
  <c r="AF301" i="25"/>
  <c r="D299" i="25"/>
  <c r="P299" i="25"/>
  <c r="AB299" i="25"/>
  <c r="I300" i="25"/>
  <c r="U300" i="25"/>
  <c r="F301" i="25"/>
  <c r="F298" i="25"/>
  <c r="J298" i="25"/>
  <c r="N298" i="25"/>
  <c r="R298" i="25"/>
  <c r="V298" i="25"/>
  <c r="Z298" i="25"/>
  <c r="AD298" i="25"/>
  <c r="C299" i="25"/>
  <c r="G299" i="25"/>
  <c r="K299" i="25"/>
  <c r="O299" i="25"/>
  <c r="S299" i="25"/>
  <c r="W299" i="25"/>
  <c r="AA299" i="25"/>
  <c r="AE299" i="25"/>
  <c r="D300" i="25"/>
  <c r="H300" i="25"/>
  <c r="L300" i="25"/>
  <c r="P300" i="25"/>
  <c r="T300" i="25"/>
  <c r="X300" i="25"/>
  <c r="AB300" i="25"/>
  <c r="AF300" i="25"/>
  <c r="E301" i="25"/>
  <c r="I301" i="25"/>
  <c r="M301" i="25"/>
  <c r="Q301" i="25"/>
  <c r="U301" i="25"/>
  <c r="Y301" i="25"/>
  <c r="AC301" i="25"/>
  <c r="D316" i="25" l="1"/>
  <c r="D315" i="25"/>
  <c r="D314" i="25"/>
  <c r="D313" i="25"/>
  <c r="D312" i="25"/>
  <c r="D311" i="25"/>
  <c r="D310" i="25"/>
  <c r="D309" i="25"/>
  <c r="D308" i="25"/>
  <c r="D307" i="25"/>
  <c r="C64" i="2"/>
  <c r="C65" i="2" s="1"/>
  <c r="AC452" i="35"/>
  <c r="Y452" i="35"/>
  <c r="U452" i="35"/>
  <c r="Q452" i="35"/>
  <c r="M452" i="35"/>
  <c r="I452" i="35"/>
  <c r="E452" i="35"/>
  <c r="AF451" i="35"/>
  <c r="AB451" i="35"/>
  <c r="X451" i="35"/>
  <c r="T451" i="35"/>
  <c r="P451" i="35"/>
  <c r="L451" i="35"/>
  <c r="H451" i="35"/>
  <c r="D451" i="35"/>
  <c r="AE450" i="35"/>
  <c r="AA450" i="35"/>
  <c r="W450" i="35"/>
  <c r="S450" i="35"/>
  <c r="O450" i="35"/>
  <c r="K450" i="35"/>
  <c r="G450" i="35"/>
  <c r="AD449" i="35"/>
  <c r="Z449" i="35"/>
  <c r="V449" i="35"/>
  <c r="R449" i="35"/>
  <c r="N449" i="35"/>
  <c r="J449" i="35"/>
  <c r="F449" i="35"/>
  <c r="F452" i="35"/>
  <c r="U451" i="35"/>
  <c r="I451" i="35"/>
  <c r="AB450" i="35"/>
  <c r="P450" i="35"/>
  <c r="D450" i="35"/>
  <c r="AF452" i="35"/>
  <c r="AB452" i="35"/>
  <c r="X452" i="35"/>
  <c r="T452" i="35"/>
  <c r="P452" i="35"/>
  <c r="L452" i="35"/>
  <c r="H452" i="35"/>
  <c r="D452" i="35"/>
  <c r="AE451" i="35"/>
  <c r="AA451" i="35"/>
  <c r="W451" i="35"/>
  <c r="S451" i="35"/>
  <c r="O451" i="35"/>
  <c r="K451" i="35"/>
  <c r="G451" i="35"/>
  <c r="AD450" i="35"/>
  <c r="Z450" i="35"/>
  <c r="V450" i="35"/>
  <c r="R450" i="35"/>
  <c r="N450" i="35"/>
  <c r="J450" i="35"/>
  <c r="F450" i="35"/>
  <c r="AG449" i="35"/>
  <c r="AC449" i="35"/>
  <c r="Y449" i="35"/>
  <c r="U449" i="35"/>
  <c r="Q449" i="35"/>
  <c r="M449" i="35"/>
  <c r="I449" i="35"/>
  <c r="E449" i="35"/>
  <c r="J452" i="35"/>
  <c r="Y451" i="35"/>
  <c r="M451" i="35"/>
  <c r="AF450" i="35"/>
  <c r="T450" i="35"/>
  <c r="H450" i="35"/>
  <c r="AE452" i="35"/>
  <c r="AA452" i="35"/>
  <c r="W452" i="35"/>
  <c r="S452" i="35"/>
  <c r="O452" i="35"/>
  <c r="K452" i="35"/>
  <c r="G452" i="35"/>
  <c r="AD451" i="35"/>
  <c r="Z451" i="35"/>
  <c r="V451" i="35"/>
  <c r="R451" i="35"/>
  <c r="N451" i="35"/>
  <c r="J451" i="35"/>
  <c r="F451" i="35"/>
  <c r="AG450" i="35"/>
  <c r="AC450" i="35"/>
  <c r="Y450" i="35"/>
  <c r="U450" i="35"/>
  <c r="Q450" i="35"/>
  <c r="M450" i="35"/>
  <c r="I450" i="35"/>
  <c r="E450" i="35"/>
  <c r="AF449" i="35"/>
  <c r="AB449" i="35"/>
  <c r="X449" i="35"/>
  <c r="T449" i="35"/>
  <c r="P449" i="35"/>
  <c r="L449" i="35"/>
  <c r="H449" i="35"/>
  <c r="AD452" i="35"/>
  <c r="Z452" i="35"/>
  <c r="V452" i="35"/>
  <c r="R452" i="35"/>
  <c r="N452" i="35"/>
  <c r="AG451" i="35"/>
  <c r="AC451" i="35"/>
  <c r="Q451" i="35"/>
  <c r="E451" i="35"/>
  <c r="X450" i="35"/>
  <c r="L450" i="35"/>
  <c r="AE449" i="35"/>
  <c r="O449" i="35"/>
  <c r="AA449" i="35"/>
  <c r="K449" i="35"/>
  <c r="W449" i="35"/>
  <c r="G449" i="35"/>
  <c r="S449" i="35"/>
  <c r="AG452" i="35"/>
  <c r="D449" i="35"/>
  <c r="F318" i="25"/>
  <c r="N318" i="25"/>
  <c r="R318" i="25"/>
  <c r="V318" i="25"/>
  <c r="AD318" i="25"/>
  <c r="AH318" i="25"/>
  <c r="Z318" i="25"/>
  <c r="J318" i="25"/>
  <c r="G318" i="25"/>
  <c r="K318" i="25"/>
  <c r="O318" i="25"/>
  <c r="S318" i="25"/>
  <c r="W318" i="25"/>
  <c r="AA318" i="25"/>
  <c r="AE318" i="25"/>
  <c r="H318" i="25"/>
  <c r="L318" i="25"/>
  <c r="P318" i="25"/>
  <c r="T318" i="25"/>
  <c r="X318" i="25"/>
  <c r="AB318" i="25"/>
  <c r="AF318" i="25"/>
  <c r="E318" i="25"/>
  <c r="I318" i="25"/>
  <c r="M318" i="25"/>
  <c r="Q318" i="25"/>
  <c r="U318" i="25"/>
  <c r="Y318" i="25"/>
  <c r="AC318" i="25"/>
  <c r="AG318" i="25"/>
  <c r="G190" i="25"/>
  <c r="G194" i="25" a="1"/>
  <c r="D306" i="25"/>
  <c r="D318" i="25" s="1"/>
  <c r="Q302" i="25"/>
  <c r="E302" i="25"/>
  <c r="M302" i="25"/>
  <c r="R302" i="25"/>
  <c r="Z302" i="25"/>
  <c r="J302" i="25"/>
  <c r="V302" i="25"/>
  <c r="AD302" i="25"/>
  <c r="N302" i="25"/>
  <c r="AG302" i="25"/>
  <c r="F302" i="25"/>
  <c r="AC302" i="25"/>
  <c r="Y302" i="25"/>
  <c r="U302" i="25"/>
  <c r="I302" i="25"/>
  <c r="AF302" i="25"/>
  <c r="AB302" i="25"/>
  <c r="X302" i="25"/>
  <c r="T302" i="25"/>
  <c r="P302" i="25"/>
  <c r="L302" i="25"/>
  <c r="H302" i="25"/>
  <c r="D302" i="25"/>
  <c r="AE302" i="25"/>
  <c r="O302" i="25"/>
  <c r="AA302" i="25"/>
  <c r="K302" i="25"/>
  <c r="W302" i="25"/>
  <c r="G302" i="25"/>
  <c r="S302" i="25"/>
  <c r="D247" i="25" a="1"/>
  <c r="C298" i="25"/>
  <c r="C302" i="25" s="1"/>
  <c r="S453" i="35" l="1"/>
  <c r="G453" i="35"/>
  <c r="W453" i="35"/>
  <c r="K453" i="35"/>
  <c r="AA453" i="35"/>
  <c r="O453" i="35"/>
  <c r="AE453" i="35"/>
  <c r="D453" i="35"/>
  <c r="H453" i="35"/>
  <c r="L453" i="35"/>
  <c r="P453" i="35"/>
  <c r="T453" i="35"/>
  <c r="X453" i="35"/>
  <c r="AB453" i="35"/>
  <c r="AF453" i="35"/>
  <c r="I453" i="35"/>
  <c r="U453" i="35"/>
  <c r="Y453" i="35"/>
  <c r="AC453" i="35"/>
  <c r="F453" i="35"/>
  <c r="AG453" i="35"/>
  <c r="N453" i="35"/>
  <c r="AD453" i="35"/>
  <c r="V453" i="35"/>
  <c r="J453" i="35"/>
  <c r="Z453" i="35"/>
  <c r="R453" i="35"/>
  <c r="M453" i="35"/>
  <c r="E453" i="35"/>
  <c r="Q453" i="35"/>
  <c r="AG342" i="25"/>
  <c r="AF342" i="25"/>
  <c r="AE342" i="25"/>
  <c r="AD342" i="25"/>
  <c r="AC342" i="25"/>
  <c r="AB342" i="25"/>
  <c r="AA342" i="25"/>
  <c r="Z342" i="25"/>
  <c r="Y342" i="25"/>
  <c r="X342" i="25"/>
  <c r="W342" i="25"/>
  <c r="V342" i="25"/>
  <c r="U342" i="25"/>
  <c r="T342" i="25"/>
  <c r="S342" i="25"/>
  <c r="R342" i="25"/>
  <c r="Q342" i="25"/>
  <c r="P342" i="25"/>
  <c r="O342" i="25"/>
  <c r="N342" i="25"/>
  <c r="M342" i="25"/>
  <c r="L342" i="25"/>
  <c r="K342" i="25"/>
  <c r="J342" i="25"/>
  <c r="I342" i="25"/>
  <c r="H342" i="25"/>
  <c r="G342" i="25"/>
  <c r="F342" i="25"/>
  <c r="E342" i="25"/>
  <c r="D342" i="25"/>
  <c r="C342" i="25"/>
  <c r="AG341" i="25"/>
  <c r="AF341" i="25"/>
  <c r="AE341" i="25"/>
  <c r="AD341" i="25"/>
  <c r="AC341" i="25"/>
  <c r="AB341" i="25"/>
  <c r="AA341" i="25"/>
  <c r="Z341" i="25"/>
  <c r="Y341" i="25"/>
  <c r="X341" i="25"/>
  <c r="W341" i="25"/>
  <c r="V341" i="25"/>
  <c r="U341" i="25"/>
  <c r="T341" i="25"/>
  <c r="S341" i="25"/>
  <c r="R341" i="25"/>
  <c r="Q341" i="25"/>
  <c r="P341" i="25"/>
  <c r="O341" i="25"/>
  <c r="N341" i="25"/>
  <c r="M341" i="25"/>
  <c r="L341" i="25"/>
  <c r="K341" i="25"/>
  <c r="J341" i="25"/>
  <c r="I341" i="25"/>
  <c r="H341" i="25"/>
  <c r="G341" i="25"/>
  <c r="F341" i="25"/>
  <c r="E341" i="25"/>
  <c r="D341" i="25"/>
  <c r="C341" i="25"/>
  <c r="AG340" i="25"/>
  <c r="AF340" i="25"/>
  <c r="AE340" i="25"/>
  <c r="AD340" i="25"/>
  <c r="AC340" i="25"/>
  <c r="AB340" i="25"/>
  <c r="AA340" i="25"/>
  <c r="Z340" i="25"/>
  <c r="Y340" i="25"/>
  <c r="X340" i="25"/>
  <c r="W340" i="25"/>
  <c r="V340" i="25"/>
  <c r="U340" i="25"/>
  <c r="T340" i="25"/>
  <c r="S340" i="25"/>
  <c r="R340" i="25"/>
  <c r="Q340" i="25"/>
  <c r="P340" i="25"/>
  <c r="O340" i="25"/>
  <c r="N340" i="25"/>
  <c r="M340" i="25"/>
  <c r="L340" i="25"/>
  <c r="K340" i="25"/>
  <c r="J340" i="25"/>
  <c r="I340" i="25"/>
  <c r="H340" i="25"/>
  <c r="G340" i="25"/>
  <c r="F340" i="25"/>
  <c r="E340" i="25"/>
  <c r="D340" i="25"/>
  <c r="C340" i="25"/>
  <c r="AG339" i="25"/>
  <c r="AF339" i="25"/>
  <c r="AE339" i="25"/>
  <c r="AD339" i="25"/>
  <c r="AC339" i="25"/>
  <c r="AB339" i="25"/>
  <c r="AA339" i="25"/>
  <c r="Z339" i="25"/>
  <c r="Y339" i="25"/>
  <c r="X339" i="25"/>
  <c r="W339" i="25"/>
  <c r="V339" i="25"/>
  <c r="U339" i="25"/>
  <c r="T339" i="25"/>
  <c r="S339" i="25"/>
  <c r="R339" i="25"/>
  <c r="Q339" i="25"/>
  <c r="P339" i="25"/>
  <c r="O339" i="25"/>
  <c r="N339" i="25"/>
  <c r="M339" i="25"/>
  <c r="L339" i="25"/>
  <c r="K339" i="25"/>
  <c r="J339" i="25"/>
  <c r="I339" i="25"/>
  <c r="H339" i="25"/>
  <c r="G339" i="25"/>
  <c r="F339" i="25"/>
  <c r="E339" i="25"/>
  <c r="D339" i="25"/>
  <c r="AK242" i="25"/>
  <c r="AJ242" i="25"/>
  <c r="AI242" i="25"/>
  <c r="AH242" i="25"/>
  <c r="AG242" i="25"/>
  <c r="AF242" i="25"/>
  <c r="AE242" i="25"/>
  <c r="AD242" i="25"/>
  <c r="AC242" i="25"/>
  <c r="AB242" i="25"/>
  <c r="AA242" i="25"/>
  <c r="Z242" i="25"/>
  <c r="Y242" i="25"/>
  <c r="X242" i="25"/>
  <c r="W242" i="25"/>
  <c r="V242" i="25"/>
  <c r="U242" i="25"/>
  <c r="T242" i="25"/>
  <c r="S242" i="25"/>
  <c r="R242" i="25"/>
  <c r="Q242" i="25"/>
  <c r="P242" i="25"/>
  <c r="O242" i="25"/>
  <c r="N242" i="25"/>
  <c r="M242" i="25"/>
  <c r="L242" i="25"/>
  <c r="K242" i="25"/>
  <c r="J242" i="25"/>
  <c r="I242" i="25"/>
  <c r="H242" i="25"/>
  <c r="G194" i="25"/>
  <c r="C339" i="25" s="1"/>
  <c r="AH333" i="25"/>
  <c r="AG333" i="25"/>
  <c r="AF333" i="25"/>
  <c r="AE333" i="25"/>
  <c r="AD333" i="25"/>
  <c r="AC333" i="25"/>
  <c r="AB333" i="25"/>
  <c r="AA333" i="25"/>
  <c r="Z333" i="25"/>
  <c r="Y333" i="25"/>
  <c r="X333" i="25"/>
  <c r="W333" i="25"/>
  <c r="V333" i="25"/>
  <c r="U333" i="25"/>
  <c r="T333" i="25"/>
  <c r="S333" i="25"/>
  <c r="R333" i="25"/>
  <c r="Q333" i="25"/>
  <c r="P333" i="25"/>
  <c r="O333" i="25"/>
  <c r="N333" i="25"/>
  <c r="M333" i="25"/>
  <c r="L333" i="25"/>
  <c r="K333" i="25"/>
  <c r="J333" i="25"/>
  <c r="I333" i="25"/>
  <c r="H333" i="25"/>
  <c r="G333" i="25"/>
  <c r="F333" i="25"/>
  <c r="E333" i="25"/>
  <c r="D333" i="25"/>
  <c r="AH332" i="25"/>
  <c r="AG332" i="25"/>
  <c r="AF332" i="25"/>
  <c r="AE332" i="25"/>
  <c r="AD332" i="25"/>
  <c r="AC332" i="25"/>
  <c r="AB332" i="25"/>
  <c r="AA332" i="25"/>
  <c r="Z332" i="25"/>
  <c r="Y332" i="25"/>
  <c r="X332" i="25"/>
  <c r="W332" i="25"/>
  <c r="V332" i="25"/>
  <c r="U332" i="25"/>
  <c r="T332" i="25"/>
  <c r="S332" i="25"/>
  <c r="R332" i="25"/>
  <c r="Q332" i="25"/>
  <c r="P332" i="25"/>
  <c r="O332" i="25"/>
  <c r="N332" i="25"/>
  <c r="M332" i="25"/>
  <c r="L332" i="25"/>
  <c r="K332" i="25"/>
  <c r="J332" i="25"/>
  <c r="I332" i="25"/>
  <c r="H332" i="25"/>
  <c r="G332" i="25"/>
  <c r="F332" i="25"/>
  <c r="E332" i="25"/>
  <c r="D332" i="25"/>
  <c r="AH331" i="25"/>
  <c r="AG331" i="25"/>
  <c r="AF331" i="25"/>
  <c r="AE331" i="25"/>
  <c r="AD331" i="25"/>
  <c r="AC331" i="25"/>
  <c r="AB331" i="25"/>
  <c r="AA331" i="25"/>
  <c r="Z331" i="25"/>
  <c r="Y331" i="25"/>
  <c r="X331" i="25"/>
  <c r="W331" i="25"/>
  <c r="V331" i="25"/>
  <c r="U331" i="25"/>
  <c r="T331" i="25"/>
  <c r="S331" i="25"/>
  <c r="R331" i="25"/>
  <c r="Q331" i="25"/>
  <c r="P331" i="25"/>
  <c r="O331" i="25"/>
  <c r="N331" i="25"/>
  <c r="M331" i="25"/>
  <c r="L331" i="25"/>
  <c r="K331" i="25"/>
  <c r="J331" i="25"/>
  <c r="I331" i="25"/>
  <c r="H331" i="25"/>
  <c r="G331" i="25"/>
  <c r="F331" i="25"/>
  <c r="E331" i="25"/>
  <c r="D331" i="25"/>
  <c r="AH330" i="25"/>
  <c r="AG330" i="25"/>
  <c r="AF330" i="25"/>
  <c r="AE330" i="25"/>
  <c r="AD330" i="25"/>
  <c r="AC330" i="25"/>
  <c r="AB330" i="25"/>
  <c r="AA330" i="25"/>
  <c r="Z330" i="25"/>
  <c r="Y330" i="25"/>
  <c r="X330" i="25"/>
  <c r="W330" i="25"/>
  <c r="V330" i="25"/>
  <c r="U330" i="25"/>
  <c r="T330" i="25"/>
  <c r="S330" i="25"/>
  <c r="R330" i="25"/>
  <c r="Q330" i="25"/>
  <c r="P330" i="25"/>
  <c r="O330" i="25"/>
  <c r="N330" i="25"/>
  <c r="M330" i="25"/>
  <c r="L330" i="25"/>
  <c r="K330" i="25"/>
  <c r="J330" i="25"/>
  <c r="I330" i="25"/>
  <c r="H330" i="25"/>
  <c r="G330" i="25"/>
  <c r="F330" i="25"/>
  <c r="E330" i="25"/>
  <c r="D330" i="25"/>
  <c r="AH329" i="25"/>
  <c r="AG329" i="25"/>
  <c r="AF329" i="25"/>
  <c r="AE329" i="25"/>
  <c r="AD329" i="25"/>
  <c r="AC329" i="25"/>
  <c r="AB329" i="25"/>
  <c r="AA329" i="25"/>
  <c r="Z329" i="25"/>
  <c r="Y329" i="25"/>
  <c r="X329" i="25"/>
  <c r="W329" i="25"/>
  <c r="V329" i="25"/>
  <c r="U329" i="25"/>
  <c r="T329" i="25"/>
  <c r="S329" i="25"/>
  <c r="R329" i="25"/>
  <c r="Q329" i="25"/>
  <c r="P329" i="25"/>
  <c r="O329" i="25"/>
  <c r="N329" i="25"/>
  <c r="M329" i="25"/>
  <c r="L329" i="25"/>
  <c r="K329" i="25"/>
  <c r="J329" i="25"/>
  <c r="I329" i="25"/>
  <c r="H329" i="25"/>
  <c r="G329" i="25"/>
  <c r="F329" i="25"/>
  <c r="E329" i="25"/>
  <c r="D329" i="25"/>
  <c r="AH328" i="25"/>
  <c r="AG328" i="25"/>
  <c r="AF328" i="25"/>
  <c r="AE328" i="25"/>
  <c r="AD328" i="25"/>
  <c r="AC328" i="25"/>
  <c r="AB328" i="25"/>
  <c r="AA328" i="25"/>
  <c r="Z328" i="25"/>
  <c r="Y328" i="25"/>
  <c r="X328" i="25"/>
  <c r="W328" i="25"/>
  <c r="V328" i="25"/>
  <c r="U328" i="25"/>
  <c r="T328" i="25"/>
  <c r="S328" i="25"/>
  <c r="R328" i="25"/>
  <c r="Q328" i="25"/>
  <c r="P328" i="25"/>
  <c r="O328" i="25"/>
  <c r="N328" i="25"/>
  <c r="M328" i="25"/>
  <c r="L328" i="25"/>
  <c r="K328" i="25"/>
  <c r="J328" i="25"/>
  <c r="I328" i="25"/>
  <c r="H328" i="25"/>
  <c r="G328" i="25"/>
  <c r="F328" i="25"/>
  <c r="E328" i="25"/>
  <c r="D328" i="25"/>
  <c r="AH327" i="25"/>
  <c r="AG327" i="25"/>
  <c r="AF327" i="25"/>
  <c r="AE327" i="25"/>
  <c r="AD327" i="25"/>
  <c r="AC327" i="25"/>
  <c r="AB327" i="25"/>
  <c r="AA327" i="25"/>
  <c r="Z327" i="25"/>
  <c r="Y327" i="25"/>
  <c r="X327" i="25"/>
  <c r="W327" i="25"/>
  <c r="V327" i="25"/>
  <c r="U327" i="25"/>
  <c r="T327" i="25"/>
  <c r="S327" i="25"/>
  <c r="R327" i="25"/>
  <c r="Q327" i="25"/>
  <c r="P327" i="25"/>
  <c r="O327" i="25"/>
  <c r="N327" i="25"/>
  <c r="M327" i="25"/>
  <c r="L327" i="25"/>
  <c r="K327" i="25"/>
  <c r="J327" i="25"/>
  <c r="I327" i="25"/>
  <c r="H327" i="25"/>
  <c r="G327" i="25"/>
  <c r="F327" i="25"/>
  <c r="E327" i="25"/>
  <c r="D327" i="25"/>
  <c r="AH326" i="25"/>
  <c r="AG326" i="25"/>
  <c r="AF326" i="25"/>
  <c r="AE326" i="25"/>
  <c r="AD326" i="25"/>
  <c r="AC326" i="25"/>
  <c r="AB326" i="25"/>
  <c r="AA326" i="25"/>
  <c r="Z326" i="25"/>
  <c r="Y326" i="25"/>
  <c r="X326" i="25"/>
  <c r="W326" i="25"/>
  <c r="V326" i="25"/>
  <c r="U326" i="25"/>
  <c r="T326" i="25"/>
  <c r="S326" i="25"/>
  <c r="R326" i="25"/>
  <c r="Q326" i="25"/>
  <c r="P326" i="25"/>
  <c r="O326" i="25"/>
  <c r="N326" i="25"/>
  <c r="M326" i="25"/>
  <c r="L326" i="25"/>
  <c r="K326" i="25"/>
  <c r="J326" i="25"/>
  <c r="I326" i="25"/>
  <c r="H326" i="25"/>
  <c r="G326" i="25"/>
  <c r="F326" i="25"/>
  <c r="E326" i="25"/>
  <c r="D326" i="25"/>
  <c r="AH325" i="25"/>
  <c r="AG325" i="25"/>
  <c r="AF325" i="25"/>
  <c r="AE325" i="25"/>
  <c r="AD325" i="25"/>
  <c r="AC325" i="25"/>
  <c r="AB325" i="25"/>
  <c r="AA325" i="25"/>
  <c r="Z325" i="25"/>
  <c r="Y325" i="25"/>
  <c r="X325" i="25"/>
  <c r="W325" i="25"/>
  <c r="V325" i="25"/>
  <c r="U325" i="25"/>
  <c r="T325" i="25"/>
  <c r="S325" i="25"/>
  <c r="R325" i="25"/>
  <c r="Q325" i="25"/>
  <c r="P325" i="25"/>
  <c r="O325" i="25"/>
  <c r="N325" i="25"/>
  <c r="M325" i="25"/>
  <c r="L325" i="25"/>
  <c r="K325" i="25"/>
  <c r="J325" i="25"/>
  <c r="I325" i="25"/>
  <c r="H325" i="25"/>
  <c r="G325" i="25"/>
  <c r="F325" i="25"/>
  <c r="E325" i="25"/>
  <c r="D325" i="25"/>
  <c r="AH324" i="25"/>
  <c r="AG324" i="25"/>
  <c r="AF324" i="25"/>
  <c r="AE324" i="25"/>
  <c r="AD324" i="25"/>
  <c r="AC324" i="25"/>
  <c r="AB324" i="25"/>
  <c r="AA324" i="25"/>
  <c r="Z324" i="25"/>
  <c r="Y324" i="25"/>
  <c r="X324" i="25"/>
  <c r="W324" i="25"/>
  <c r="V324" i="25"/>
  <c r="U324" i="25"/>
  <c r="T324" i="25"/>
  <c r="S324" i="25"/>
  <c r="R324" i="25"/>
  <c r="Q324" i="25"/>
  <c r="P324" i="25"/>
  <c r="O324" i="25"/>
  <c r="N324" i="25"/>
  <c r="M324" i="25"/>
  <c r="L324" i="25"/>
  <c r="K324" i="25"/>
  <c r="J324" i="25"/>
  <c r="I324" i="25"/>
  <c r="H324" i="25"/>
  <c r="G324" i="25"/>
  <c r="F324" i="25"/>
  <c r="E324" i="25"/>
  <c r="D324" i="25"/>
  <c r="AH323" i="25"/>
  <c r="AG323" i="25"/>
  <c r="AF323" i="25"/>
  <c r="AE323" i="25"/>
  <c r="AD323" i="25"/>
  <c r="AC323" i="25"/>
  <c r="AB323" i="25"/>
  <c r="AA323" i="25"/>
  <c r="Z323" i="25"/>
  <c r="Y323" i="25"/>
  <c r="X323" i="25"/>
  <c r="W323" i="25"/>
  <c r="V323" i="25"/>
  <c r="U323" i="25"/>
  <c r="T323" i="25"/>
  <c r="S323" i="25"/>
  <c r="R323" i="25"/>
  <c r="Q323" i="25"/>
  <c r="P323" i="25"/>
  <c r="O323" i="25"/>
  <c r="N323" i="25"/>
  <c r="M323" i="25"/>
  <c r="L323" i="25"/>
  <c r="K323" i="25"/>
  <c r="J323" i="25"/>
  <c r="I323" i="25"/>
  <c r="H323" i="25"/>
  <c r="G323" i="25"/>
  <c r="F323" i="25"/>
  <c r="E323" i="25"/>
  <c r="D323" i="25"/>
  <c r="AH322" i="25"/>
  <c r="AG322" i="25"/>
  <c r="AF322" i="25"/>
  <c r="AE322" i="25"/>
  <c r="AD322" i="25"/>
  <c r="AC322" i="25"/>
  <c r="AB322" i="25"/>
  <c r="AA322" i="25"/>
  <c r="Z322" i="25"/>
  <c r="Y322" i="25"/>
  <c r="X322" i="25"/>
  <c r="W322" i="25"/>
  <c r="V322" i="25"/>
  <c r="U322" i="25"/>
  <c r="T322" i="25"/>
  <c r="S322" i="25"/>
  <c r="R322" i="25"/>
  <c r="Q322" i="25"/>
  <c r="P322" i="25"/>
  <c r="O322" i="25"/>
  <c r="N322" i="25"/>
  <c r="M322" i="25"/>
  <c r="L322" i="25"/>
  <c r="K322" i="25"/>
  <c r="J322" i="25"/>
  <c r="I322" i="25"/>
  <c r="H322" i="25"/>
  <c r="G322" i="25"/>
  <c r="F322" i="25"/>
  <c r="E322" i="25"/>
  <c r="D247" i="25"/>
  <c r="D5" i="3" a="1"/>
  <c r="E88" i="3" s="1"/>
  <c r="D403" i="35" l="1"/>
  <c r="D404" i="35"/>
  <c r="E404" i="35"/>
  <c r="F404" i="35"/>
  <c r="G404" i="35"/>
  <c r="H404" i="35"/>
  <c r="I404" i="35"/>
  <c r="J404" i="35"/>
  <c r="K404" i="35"/>
  <c r="L404" i="35"/>
  <c r="M404" i="35"/>
  <c r="N404" i="35"/>
  <c r="O404" i="35"/>
  <c r="P404" i="35"/>
  <c r="Q404" i="35"/>
  <c r="R404" i="35"/>
  <c r="S404" i="35"/>
  <c r="T404" i="35"/>
  <c r="U404" i="35"/>
  <c r="V404" i="35"/>
  <c r="W404" i="35"/>
  <c r="X404" i="35"/>
  <c r="Y404" i="35"/>
  <c r="Z404" i="35"/>
  <c r="AA404" i="35"/>
  <c r="AB404" i="35"/>
  <c r="AC404" i="35"/>
  <c r="AD404" i="35"/>
  <c r="AE404" i="35"/>
  <c r="AF404" i="35"/>
  <c r="D405" i="35"/>
  <c r="E405" i="35"/>
  <c r="F405" i="35"/>
  <c r="G405" i="35"/>
  <c r="H405" i="35"/>
  <c r="I405" i="35"/>
  <c r="J405" i="35"/>
  <c r="K405" i="35"/>
  <c r="L405" i="35"/>
  <c r="M405" i="35"/>
  <c r="N405" i="35"/>
  <c r="O405" i="35"/>
  <c r="P405" i="35"/>
  <c r="Q405" i="35"/>
  <c r="R405" i="35"/>
  <c r="S405" i="35"/>
  <c r="T405" i="35"/>
  <c r="U405" i="35"/>
  <c r="V405" i="35"/>
  <c r="W405" i="35"/>
  <c r="X405" i="35"/>
  <c r="Y405" i="35"/>
  <c r="Z405" i="35"/>
  <c r="AA405" i="35"/>
  <c r="AB405" i="35"/>
  <c r="AC405" i="35"/>
  <c r="AD405" i="35"/>
  <c r="AE405" i="35"/>
  <c r="AF405" i="35"/>
  <c r="D406" i="35"/>
  <c r="E406" i="35"/>
  <c r="F406" i="35"/>
  <c r="G406" i="35"/>
  <c r="H406" i="35"/>
  <c r="I406" i="35"/>
  <c r="J406" i="35"/>
  <c r="K406" i="35"/>
  <c r="L406" i="35"/>
  <c r="M406" i="35"/>
  <c r="N406" i="35"/>
  <c r="O406" i="35"/>
  <c r="P406" i="35"/>
  <c r="Q406" i="35"/>
  <c r="R406" i="35"/>
  <c r="S406" i="35"/>
  <c r="T406" i="35"/>
  <c r="U406" i="35"/>
  <c r="V406" i="35"/>
  <c r="W406" i="35"/>
  <c r="X406" i="35"/>
  <c r="Y406" i="35"/>
  <c r="Z406" i="35"/>
  <c r="AA406" i="35"/>
  <c r="AB406" i="35"/>
  <c r="AC406" i="35"/>
  <c r="AD406" i="35"/>
  <c r="AE406" i="35"/>
  <c r="AF406" i="35"/>
  <c r="F334" i="25"/>
  <c r="J334" i="25"/>
  <c r="N334" i="25"/>
  <c r="R334" i="25"/>
  <c r="V334" i="25"/>
  <c r="Z334" i="25"/>
  <c r="AD334" i="25"/>
  <c r="AH334" i="25"/>
  <c r="AE343" i="25"/>
  <c r="C343" i="25"/>
  <c r="G334" i="25"/>
  <c r="K334" i="25"/>
  <c r="O334" i="25"/>
  <c r="S334" i="25"/>
  <c r="W334" i="25"/>
  <c r="AA334" i="25"/>
  <c r="AE334" i="25"/>
  <c r="L334" i="25"/>
  <c r="T334" i="25"/>
  <c r="AB334" i="25"/>
  <c r="H334" i="25"/>
  <c r="P334" i="25"/>
  <c r="X334" i="25"/>
  <c r="AF334" i="25"/>
  <c r="E334" i="25"/>
  <c r="I334" i="25"/>
  <c r="M334" i="25"/>
  <c r="Q334" i="25"/>
  <c r="U334" i="25"/>
  <c r="Y334" i="25"/>
  <c r="AC334" i="25"/>
  <c r="AG334" i="25"/>
  <c r="D343" i="25"/>
  <c r="E403" i="35"/>
  <c r="E343" i="25"/>
  <c r="F403" i="35"/>
  <c r="F343" i="25"/>
  <c r="G403" i="35"/>
  <c r="G343" i="25"/>
  <c r="H403" i="35"/>
  <c r="H343" i="25"/>
  <c r="I403" i="35"/>
  <c r="I343" i="25"/>
  <c r="J403" i="35"/>
  <c r="J343" i="25"/>
  <c r="K403" i="35"/>
  <c r="K343" i="25"/>
  <c r="L403" i="35"/>
  <c r="L343" i="25"/>
  <c r="M403" i="35"/>
  <c r="M343" i="25"/>
  <c r="N403" i="35"/>
  <c r="N343" i="25"/>
  <c r="O403" i="35"/>
  <c r="O343" i="25"/>
  <c r="P403" i="35"/>
  <c r="P343" i="25"/>
  <c r="Q403" i="35"/>
  <c r="Q343" i="25"/>
  <c r="R403" i="35"/>
  <c r="R343" i="25"/>
  <c r="S403" i="35"/>
  <c r="S343" i="25"/>
  <c r="T403" i="35"/>
  <c r="T343" i="25"/>
  <c r="U403" i="35"/>
  <c r="U343" i="25"/>
  <c r="V403" i="35"/>
  <c r="V343" i="25"/>
  <c r="W403" i="35"/>
  <c r="W343" i="25"/>
  <c r="X403" i="35"/>
  <c r="X343" i="25"/>
  <c r="Y403" i="35"/>
  <c r="Y343" i="25"/>
  <c r="Z403" i="35"/>
  <c r="Z343" i="25"/>
  <c r="AA403" i="35"/>
  <c r="AA343" i="25"/>
  <c r="AB403" i="35"/>
  <c r="AB343" i="25"/>
  <c r="AC403" i="35"/>
  <c r="AC343" i="25"/>
  <c r="AD403" i="35"/>
  <c r="AD343" i="25"/>
  <c r="AE403" i="35"/>
  <c r="AF343" i="25"/>
  <c r="AF403" i="35"/>
  <c r="AG343" i="25"/>
  <c r="D322" i="25"/>
  <c r="D334" i="25" s="1"/>
  <c r="G242" i="25"/>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H114" i="3"/>
  <c r="G114" i="3"/>
  <c r="F114" i="3"/>
  <c r="E114" i="3"/>
  <c r="D114" i="3"/>
  <c r="AG113" i="3"/>
  <c r="AF113" i="3"/>
  <c r="AE113" i="3"/>
  <c r="AD113" i="3"/>
  <c r="AC113" i="3"/>
  <c r="AB113" i="3"/>
  <c r="AA113" i="3"/>
  <c r="Z113" i="3"/>
  <c r="Y113" i="3"/>
  <c r="X113" i="3"/>
  <c r="W113" i="3"/>
  <c r="V113" i="3"/>
  <c r="U113" i="3"/>
  <c r="T113" i="3"/>
  <c r="S113" i="3"/>
  <c r="R113" i="3"/>
  <c r="Q113" i="3"/>
  <c r="P113" i="3"/>
  <c r="O113" i="3"/>
  <c r="N113" i="3"/>
  <c r="M113" i="3"/>
  <c r="L113" i="3"/>
  <c r="K113" i="3"/>
  <c r="J113" i="3"/>
  <c r="I113" i="3"/>
  <c r="H113" i="3"/>
  <c r="G113" i="3"/>
  <c r="F113" i="3"/>
  <c r="E113" i="3"/>
  <c r="D113" i="3"/>
  <c r="AG112" i="3"/>
  <c r="AF112" i="3"/>
  <c r="AE112" i="3"/>
  <c r="AD112" i="3"/>
  <c r="AC112" i="3"/>
  <c r="AB112" i="3"/>
  <c r="AA112" i="3"/>
  <c r="Z112" i="3"/>
  <c r="Y112" i="3"/>
  <c r="X112" i="3"/>
  <c r="W112" i="3"/>
  <c r="V112" i="3"/>
  <c r="U112" i="3"/>
  <c r="T112" i="3"/>
  <c r="S112" i="3"/>
  <c r="R112" i="3"/>
  <c r="Q112" i="3"/>
  <c r="P112" i="3"/>
  <c r="O112" i="3"/>
  <c r="N112" i="3"/>
  <c r="M112" i="3"/>
  <c r="L112" i="3"/>
  <c r="K112" i="3"/>
  <c r="J112" i="3"/>
  <c r="I112" i="3"/>
  <c r="H112" i="3"/>
  <c r="G112" i="3"/>
  <c r="F112" i="3"/>
  <c r="E112" i="3"/>
  <c r="D112" i="3"/>
  <c r="AG111" i="3"/>
  <c r="AF111" i="3"/>
  <c r="AE111" i="3"/>
  <c r="AD111" i="3"/>
  <c r="AC111" i="3"/>
  <c r="AB111" i="3"/>
  <c r="AA111" i="3"/>
  <c r="Z111" i="3"/>
  <c r="Y111" i="3"/>
  <c r="X111" i="3"/>
  <c r="W111" i="3"/>
  <c r="V111" i="3"/>
  <c r="U111" i="3"/>
  <c r="T111" i="3"/>
  <c r="S111" i="3"/>
  <c r="R111" i="3"/>
  <c r="Q111" i="3"/>
  <c r="P111" i="3"/>
  <c r="O111" i="3"/>
  <c r="N111" i="3"/>
  <c r="M111" i="3"/>
  <c r="L111" i="3"/>
  <c r="K111" i="3"/>
  <c r="J111" i="3"/>
  <c r="I111" i="3"/>
  <c r="H111" i="3"/>
  <c r="G111" i="3"/>
  <c r="F111" i="3"/>
  <c r="E111" i="3"/>
  <c r="D111" i="3"/>
  <c r="AG110" i="3"/>
  <c r="AF110" i="3"/>
  <c r="AE110" i="3"/>
  <c r="AD110" i="3"/>
  <c r="AC110" i="3"/>
  <c r="AB110" i="3"/>
  <c r="AA110" i="3"/>
  <c r="Z110" i="3"/>
  <c r="Y110" i="3"/>
  <c r="X110" i="3"/>
  <c r="W110" i="3"/>
  <c r="V110" i="3"/>
  <c r="U110" i="3"/>
  <c r="T110" i="3"/>
  <c r="S110" i="3"/>
  <c r="R110" i="3"/>
  <c r="Q110" i="3"/>
  <c r="P110" i="3"/>
  <c r="O110" i="3"/>
  <c r="N110" i="3"/>
  <c r="M110" i="3"/>
  <c r="L110" i="3"/>
  <c r="K110" i="3"/>
  <c r="J110" i="3"/>
  <c r="I110" i="3"/>
  <c r="H110" i="3"/>
  <c r="G110" i="3"/>
  <c r="F110" i="3"/>
  <c r="E110" i="3"/>
  <c r="D110"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H109" i="3"/>
  <c r="G109" i="3"/>
  <c r="F109" i="3"/>
  <c r="E109" i="3"/>
  <c r="D109"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H108" i="3"/>
  <c r="G108" i="3"/>
  <c r="F108" i="3"/>
  <c r="E108" i="3"/>
  <c r="D108"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H107" i="3"/>
  <c r="G107" i="3"/>
  <c r="F107" i="3"/>
  <c r="E107" i="3"/>
  <c r="D107"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H106" i="3"/>
  <c r="G106" i="3"/>
  <c r="F106" i="3"/>
  <c r="E106" i="3"/>
  <c r="D106"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H105" i="3"/>
  <c r="G105" i="3"/>
  <c r="F105" i="3"/>
  <c r="E105" i="3"/>
  <c r="D105"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H104" i="3"/>
  <c r="G104" i="3"/>
  <c r="F104" i="3"/>
  <c r="E104" i="3"/>
  <c r="D104"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E103" i="3"/>
  <c r="D103"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H102" i="3"/>
  <c r="G102" i="3"/>
  <c r="F102" i="3"/>
  <c r="E102" i="3"/>
  <c r="D102"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D101"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D100"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F99" i="3"/>
  <c r="E99" i="3"/>
  <c r="D99"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F98" i="3"/>
  <c r="E98" i="3"/>
  <c r="D98"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F97" i="3"/>
  <c r="E97" i="3"/>
  <c r="D97"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D96" i="3"/>
  <c r="AG95" i="3"/>
  <c r="AF95" i="3"/>
  <c r="AE95" i="3"/>
  <c r="AD95" i="3"/>
  <c r="AC95" i="3"/>
  <c r="AB95" i="3"/>
  <c r="AA95" i="3"/>
  <c r="Z95" i="3"/>
  <c r="Y95" i="3"/>
  <c r="X95" i="3"/>
  <c r="W95" i="3"/>
  <c r="V95" i="3"/>
  <c r="U95" i="3"/>
  <c r="T95" i="3"/>
  <c r="S95" i="3"/>
  <c r="R95" i="3"/>
  <c r="Q95" i="3"/>
  <c r="P95" i="3"/>
  <c r="O95" i="3"/>
  <c r="N95" i="3"/>
  <c r="M95" i="3"/>
  <c r="L95" i="3"/>
  <c r="K95" i="3"/>
  <c r="J95" i="3"/>
  <c r="I95" i="3"/>
  <c r="H95" i="3"/>
  <c r="G95" i="3"/>
  <c r="F95" i="3"/>
  <c r="E95" i="3"/>
  <c r="D95" i="3"/>
  <c r="AG94" i="3"/>
  <c r="AF94" i="3"/>
  <c r="AE94" i="3"/>
  <c r="AD94" i="3"/>
  <c r="AC94" i="3"/>
  <c r="AB94" i="3"/>
  <c r="AA94" i="3"/>
  <c r="Z94" i="3"/>
  <c r="Y94" i="3"/>
  <c r="X94" i="3"/>
  <c r="W94" i="3"/>
  <c r="V94" i="3"/>
  <c r="U94" i="3"/>
  <c r="T94" i="3"/>
  <c r="S94" i="3"/>
  <c r="R94" i="3"/>
  <c r="Q94" i="3"/>
  <c r="P94" i="3"/>
  <c r="O94" i="3"/>
  <c r="N94" i="3"/>
  <c r="M94" i="3"/>
  <c r="L94" i="3"/>
  <c r="K94" i="3"/>
  <c r="J94" i="3"/>
  <c r="I94" i="3"/>
  <c r="H94" i="3"/>
  <c r="G94" i="3"/>
  <c r="F94" i="3"/>
  <c r="E94" i="3"/>
  <c r="D94" i="3"/>
  <c r="AG93" i="3"/>
  <c r="AF93" i="3"/>
  <c r="AE93" i="3"/>
  <c r="AD93" i="3"/>
  <c r="AC93" i="3"/>
  <c r="AB93" i="3"/>
  <c r="AA93" i="3"/>
  <c r="Z93" i="3"/>
  <c r="Y93" i="3"/>
  <c r="X93" i="3"/>
  <c r="W93" i="3"/>
  <c r="V93" i="3"/>
  <c r="U93" i="3"/>
  <c r="T93" i="3"/>
  <c r="S93" i="3"/>
  <c r="R93" i="3"/>
  <c r="Q93" i="3"/>
  <c r="P93" i="3"/>
  <c r="O93" i="3"/>
  <c r="N93" i="3"/>
  <c r="M93" i="3"/>
  <c r="L93" i="3"/>
  <c r="K93" i="3"/>
  <c r="J93" i="3"/>
  <c r="I93" i="3"/>
  <c r="H93" i="3"/>
  <c r="G93" i="3"/>
  <c r="F93" i="3"/>
  <c r="E93" i="3"/>
  <c r="D93"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D92"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F91" i="3"/>
  <c r="E91" i="3"/>
  <c r="D91"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AG89" i="3"/>
  <c r="AF89" i="3"/>
  <c r="AE89" i="3"/>
  <c r="AD89" i="3"/>
  <c r="AC89" i="3"/>
  <c r="AB89" i="3"/>
  <c r="AA89" i="3"/>
  <c r="Z89" i="3"/>
  <c r="Y89" i="3"/>
  <c r="X89" i="3"/>
  <c r="W89" i="3"/>
  <c r="V89" i="3"/>
  <c r="U89" i="3"/>
  <c r="T89" i="3"/>
  <c r="S89" i="3"/>
  <c r="R89" i="3"/>
  <c r="Q89" i="3"/>
  <c r="P89" i="3"/>
  <c r="O89" i="3"/>
  <c r="N89" i="3"/>
  <c r="M89" i="3"/>
  <c r="L89" i="3"/>
  <c r="K89" i="3"/>
  <c r="J89" i="3"/>
  <c r="I89" i="3"/>
  <c r="H89" i="3"/>
  <c r="G89" i="3"/>
  <c r="F89" i="3"/>
  <c r="E89" i="3"/>
  <c r="D89"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D88" i="3"/>
  <c r="AG87" i="3"/>
  <c r="AF87" i="3"/>
  <c r="AE87" i="3"/>
  <c r="AD87" i="3"/>
  <c r="AC87" i="3"/>
  <c r="AB87" i="3"/>
  <c r="AA87" i="3"/>
  <c r="Z87" i="3"/>
  <c r="Y87" i="3"/>
  <c r="X87" i="3"/>
  <c r="W87" i="3"/>
  <c r="V87" i="3"/>
  <c r="U87" i="3"/>
  <c r="T87" i="3"/>
  <c r="S87" i="3"/>
  <c r="R87" i="3"/>
  <c r="Q87" i="3"/>
  <c r="P87" i="3"/>
  <c r="O87" i="3"/>
  <c r="N87" i="3"/>
  <c r="M87" i="3"/>
  <c r="L87" i="3"/>
  <c r="K87" i="3"/>
  <c r="J87" i="3"/>
  <c r="I87" i="3"/>
  <c r="H87" i="3"/>
  <c r="G87" i="3"/>
  <c r="F87" i="3"/>
  <c r="E87" i="3"/>
  <c r="D87"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D86"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D85"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D84"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D83"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D82" i="3"/>
  <c r="AG81" i="3"/>
  <c r="AF81" i="3"/>
  <c r="AE81" i="3"/>
  <c r="AD81" i="3"/>
  <c r="AC81" i="3"/>
  <c r="AB81" i="3"/>
  <c r="AA81" i="3"/>
  <c r="Z81" i="3"/>
  <c r="Y81" i="3"/>
  <c r="X81" i="3"/>
  <c r="W81" i="3"/>
  <c r="V81" i="3"/>
  <c r="U81" i="3"/>
  <c r="T81" i="3"/>
  <c r="S81" i="3"/>
  <c r="R81" i="3"/>
  <c r="Q81" i="3"/>
  <c r="P81" i="3"/>
  <c r="O81" i="3"/>
  <c r="N81" i="3"/>
  <c r="M81" i="3"/>
  <c r="L81" i="3"/>
  <c r="K81" i="3"/>
  <c r="J81" i="3"/>
  <c r="I81" i="3"/>
  <c r="H81" i="3"/>
  <c r="G81" i="3"/>
  <c r="F81" i="3"/>
  <c r="E81" i="3"/>
  <c r="D81" i="3"/>
  <c r="AG80" i="3"/>
  <c r="AF80" i="3"/>
  <c r="AE80" i="3"/>
  <c r="AD80" i="3"/>
  <c r="AC80" i="3"/>
  <c r="AB80" i="3"/>
  <c r="AA80" i="3"/>
  <c r="Z80" i="3"/>
  <c r="Y80" i="3"/>
  <c r="X80" i="3"/>
  <c r="W80" i="3"/>
  <c r="V80" i="3"/>
  <c r="U80" i="3"/>
  <c r="T80" i="3"/>
  <c r="S80" i="3"/>
  <c r="R80" i="3"/>
  <c r="Q80" i="3"/>
  <c r="P80" i="3"/>
  <c r="O80" i="3"/>
  <c r="N80" i="3"/>
  <c r="M80" i="3"/>
  <c r="L80" i="3"/>
  <c r="K80" i="3"/>
  <c r="J80" i="3"/>
  <c r="I80" i="3"/>
  <c r="H80" i="3"/>
  <c r="G80" i="3"/>
  <c r="F80" i="3"/>
  <c r="E80" i="3"/>
  <c r="D80" i="3"/>
  <c r="AG79" i="3"/>
  <c r="AF79" i="3"/>
  <c r="AE79" i="3"/>
  <c r="AD79" i="3"/>
  <c r="AC79" i="3"/>
  <c r="AB79" i="3"/>
  <c r="AA79" i="3"/>
  <c r="Z79" i="3"/>
  <c r="Y79" i="3"/>
  <c r="X79" i="3"/>
  <c r="W79" i="3"/>
  <c r="V79" i="3"/>
  <c r="U79" i="3"/>
  <c r="T79" i="3"/>
  <c r="S79" i="3"/>
  <c r="R79" i="3"/>
  <c r="Q79" i="3"/>
  <c r="P79" i="3"/>
  <c r="O79" i="3"/>
  <c r="N79" i="3"/>
  <c r="M79" i="3"/>
  <c r="L79" i="3"/>
  <c r="K79" i="3"/>
  <c r="J79" i="3"/>
  <c r="I79" i="3"/>
  <c r="H79" i="3"/>
  <c r="G79" i="3"/>
  <c r="F79" i="3"/>
  <c r="E79" i="3"/>
  <c r="D79" i="3"/>
  <c r="AG78" i="3"/>
  <c r="AF78" i="3"/>
  <c r="AE78" i="3"/>
  <c r="AD78" i="3"/>
  <c r="AC78" i="3"/>
  <c r="AB78" i="3"/>
  <c r="AA78" i="3"/>
  <c r="Z78" i="3"/>
  <c r="Y78" i="3"/>
  <c r="X78" i="3"/>
  <c r="W78" i="3"/>
  <c r="V78" i="3"/>
  <c r="U78" i="3"/>
  <c r="T78" i="3"/>
  <c r="S78" i="3"/>
  <c r="R78" i="3"/>
  <c r="Q78" i="3"/>
  <c r="P78" i="3"/>
  <c r="O78" i="3"/>
  <c r="N78" i="3"/>
  <c r="M78" i="3"/>
  <c r="L78" i="3"/>
  <c r="K78" i="3"/>
  <c r="J78" i="3"/>
  <c r="I78" i="3"/>
  <c r="H78" i="3"/>
  <c r="G78" i="3"/>
  <c r="F78" i="3"/>
  <c r="E78" i="3"/>
  <c r="D78"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E77" i="3"/>
  <c r="D77"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E76" i="3"/>
  <c r="D76"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E75" i="3"/>
  <c r="D75"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D74"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D73" i="3"/>
  <c r="AG72" i="3"/>
  <c r="AF72" i="3"/>
  <c r="AE72" i="3"/>
  <c r="AD72" i="3"/>
  <c r="AC72" i="3"/>
  <c r="AB72" i="3"/>
  <c r="AA72" i="3"/>
  <c r="Z72" i="3"/>
  <c r="Y72" i="3"/>
  <c r="X72" i="3"/>
  <c r="W72" i="3"/>
  <c r="V72" i="3"/>
  <c r="U72" i="3"/>
  <c r="T72" i="3"/>
  <c r="S72" i="3"/>
  <c r="R72" i="3"/>
  <c r="Q72" i="3"/>
  <c r="P72" i="3"/>
  <c r="O72" i="3"/>
  <c r="N72" i="3"/>
  <c r="M72" i="3"/>
  <c r="L72" i="3"/>
  <c r="K72" i="3"/>
  <c r="J72" i="3"/>
  <c r="I72" i="3"/>
  <c r="H72" i="3"/>
  <c r="G72" i="3"/>
  <c r="F72" i="3"/>
  <c r="E72" i="3"/>
  <c r="D72" i="3"/>
  <c r="AG71" i="3"/>
  <c r="AF71" i="3"/>
  <c r="AE71" i="3"/>
  <c r="AD71" i="3"/>
  <c r="AC71" i="3"/>
  <c r="AB71" i="3"/>
  <c r="AA71" i="3"/>
  <c r="Z71" i="3"/>
  <c r="Y71" i="3"/>
  <c r="X71" i="3"/>
  <c r="W71" i="3"/>
  <c r="V71" i="3"/>
  <c r="U71" i="3"/>
  <c r="T71" i="3"/>
  <c r="S71" i="3"/>
  <c r="R71" i="3"/>
  <c r="Q71" i="3"/>
  <c r="P71" i="3"/>
  <c r="O71" i="3"/>
  <c r="N71" i="3"/>
  <c r="M71" i="3"/>
  <c r="L71" i="3"/>
  <c r="K71" i="3"/>
  <c r="J71" i="3"/>
  <c r="I71" i="3"/>
  <c r="H71" i="3"/>
  <c r="G71" i="3"/>
  <c r="F71" i="3"/>
  <c r="E71" i="3"/>
  <c r="D71" i="3"/>
  <c r="AG70" i="3"/>
  <c r="AF70" i="3"/>
  <c r="AE70" i="3"/>
  <c r="AD70" i="3"/>
  <c r="AC70" i="3"/>
  <c r="AB70" i="3"/>
  <c r="AA70" i="3"/>
  <c r="Z70" i="3"/>
  <c r="Y70" i="3"/>
  <c r="X70" i="3"/>
  <c r="W70" i="3"/>
  <c r="V70" i="3"/>
  <c r="U70" i="3"/>
  <c r="T70" i="3"/>
  <c r="S70" i="3"/>
  <c r="R70" i="3"/>
  <c r="Q70" i="3"/>
  <c r="P70" i="3"/>
  <c r="O70" i="3"/>
  <c r="N70" i="3"/>
  <c r="M70" i="3"/>
  <c r="L70" i="3"/>
  <c r="K70" i="3"/>
  <c r="J70" i="3"/>
  <c r="I70" i="3"/>
  <c r="H70" i="3"/>
  <c r="G70" i="3"/>
  <c r="F70" i="3"/>
  <c r="E70" i="3"/>
  <c r="D70" i="3"/>
  <c r="AG69" i="3"/>
  <c r="AF69" i="3"/>
  <c r="AE69" i="3"/>
  <c r="AD69" i="3"/>
  <c r="AC69" i="3"/>
  <c r="AB69" i="3"/>
  <c r="AA69" i="3"/>
  <c r="Z69" i="3"/>
  <c r="Y69" i="3"/>
  <c r="X69" i="3"/>
  <c r="W69" i="3"/>
  <c r="V69" i="3"/>
  <c r="U69" i="3"/>
  <c r="T69" i="3"/>
  <c r="S69" i="3"/>
  <c r="R69" i="3"/>
  <c r="Q69" i="3"/>
  <c r="P69" i="3"/>
  <c r="O69" i="3"/>
  <c r="N69" i="3"/>
  <c r="M69" i="3"/>
  <c r="L69" i="3"/>
  <c r="K69" i="3"/>
  <c r="J69" i="3"/>
  <c r="I69" i="3"/>
  <c r="H69" i="3"/>
  <c r="G69" i="3"/>
  <c r="F69" i="3"/>
  <c r="E69" i="3"/>
  <c r="D69" i="3"/>
  <c r="AG68" i="3"/>
  <c r="AF68" i="3"/>
  <c r="AE68" i="3"/>
  <c r="AD68" i="3"/>
  <c r="AC68" i="3"/>
  <c r="AB68" i="3"/>
  <c r="AA68" i="3"/>
  <c r="Z68" i="3"/>
  <c r="Y68" i="3"/>
  <c r="X68" i="3"/>
  <c r="W68" i="3"/>
  <c r="V68" i="3"/>
  <c r="U68" i="3"/>
  <c r="T68" i="3"/>
  <c r="S68" i="3"/>
  <c r="R68" i="3"/>
  <c r="Q68" i="3"/>
  <c r="P68" i="3"/>
  <c r="O68" i="3"/>
  <c r="N68" i="3"/>
  <c r="M68" i="3"/>
  <c r="L68" i="3"/>
  <c r="K68" i="3"/>
  <c r="J68" i="3"/>
  <c r="I68" i="3"/>
  <c r="H68" i="3"/>
  <c r="G68" i="3"/>
  <c r="F68" i="3"/>
  <c r="E68" i="3"/>
  <c r="D68" i="3"/>
  <c r="AG67" i="3"/>
  <c r="AF67" i="3"/>
  <c r="AE67" i="3"/>
  <c r="AD67" i="3"/>
  <c r="AC67" i="3"/>
  <c r="AB67" i="3"/>
  <c r="AA67" i="3"/>
  <c r="Z67" i="3"/>
  <c r="Y67" i="3"/>
  <c r="X67" i="3"/>
  <c r="W67" i="3"/>
  <c r="V67" i="3"/>
  <c r="U67" i="3"/>
  <c r="T67" i="3"/>
  <c r="S67" i="3"/>
  <c r="R67" i="3"/>
  <c r="Q67" i="3"/>
  <c r="P67" i="3"/>
  <c r="O67" i="3"/>
  <c r="N67" i="3"/>
  <c r="M67" i="3"/>
  <c r="L67" i="3"/>
  <c r="K67" i="3"/>
  <c r="J67" i="3"/>
  <c r="I67" i="3"/>
  <c r="H67" i="3"/>
  <c r="G67" i="3"/>
  <c r="F67" i="3"/>
  <c r="E67" i="3"/>
  <c r="D5" i="3"/>
  <c r="AG53" i="3"/>
  <c r="AF53" i="3"/>
  <c r="AE53" i="3"/>
  <c r="AD53" i="3"/>
  <c r="AC53" i="3"/>
  <c r="AB53" i="3"/>
  <c r="AA53" i="3"/>
  <c r="Z53" i="3"/>
  <c r="Y53" i="3"/>
  <c r="X53" i="3"/>
  <c r="W53" i="3"/>
  <c r="V53" i="3"/>
  <c r="U53" i="3"/>
  <c r="T53" i="3"/>
  <c r="S53" i="3"/>
  <c r="R53" i="3"/>
  <c r="Q53" i="3"/>
  <c r="P53" i="3"/>
  <c r="O53" i="3"/>
  <c r="N53" i="3"/>
  <c r="M53" i="3"/>
  <c r="L53" i="3"/>
  <c r="K53" i="3"/>
  <c r="J53" i="3"/>
  <c r="I53" i="3"/>
  <c r="H53" i="3"/>
  <c r="G53" i="3"/>
  <c r="F53" i="3"/>
  <c r="E53" i="3"/>
  <c r="AG405" i="35" l="1"/>
  <c r="AG404" i="35"/>
  <c r="AG406" i="35"/>
  <c r="AG403" i="35"/>
  <c r="B346" i="25"/>
  <c r="AF407" i="35"/>
  <c r="AE407" i="35"/>
  <c r="AD407" i="35"/>
  <c r="AC407" i="35"/>
  <c r="AB407" i="35"/>
  <c r="AA407" i="35"/>
  <c r="Z407" i="35"/>
  <c r="Y407" i="35"/>
  <c r="X407" i="35"/>
  <c r="W407" i="35"/>
  <c r="V407" i="35"/>
  <c r="U407" i="35"/>
  <c r="T407" i="35"/>
  <c r="S407" i="35"/>
  <c r="R407" i="35"/>
  <c r="Q407" i="35"/>
  <c r="P407" i="35"/>
  <c r="O407" i="35"/>
  <c r="N407" i="35"/>
  <c r="M407" i="35"/>
  <c r="L407" i="35"/>
  <c r="K407" i="35"/>
  <c r="J407" i="35"/>
  <c r="I407" i="35"/>
  <c r="H407" i="35"/>
  <c r="G407" i="35"/>
  <c r="F407" i="35"/>
  <c r="E407" i="35"/>
  <c r="D407" i="35"/>
  <c r="D53" i="3"/>
  <c r="D67"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G407" i="35" l="1"/>
  <c r="E276" i="3" a="1"/>
  <c r="E276" i="3" s="1"/>
  <c r="E171" i="3" a="1"/>
  <c r="E171" i="3" s="1"/>
  <c r="D115" i="3"/>
  <c r="E327" i="3" l="1" a="1"/>
  <c r="E327" i="3" s="1"/>
  <c r="E14" i="20" a="1"/>
  <c r="E14" i="20" s="1"/>
  <c r="E15" i="20" a="1"/>
  <c r="E15" i="20" s="1"/>
  <c r="C256" i="33" l="1"/>
  <c r="E26" i="20" a="1"/>
  <c r="E26" i="20" s="1"/>
  <c r="E26" i="23" s="1" a="1"/>
  <c r="E26" i="23" s="1"/>
  <c r="E15" i="23" a="1"/>
  <c r="E15" i="23" s="1"/>
  <c r="K34" i="22"/>
  <c r="AG34" i="22"/>
  <c r="T34" i="22"/>
  <c r="O34" i="22"/>
  <c r="J34" i="22"/>
  <c r="N34" i="22"/>
  <c r="S34" i="22"/>
  <c r="F34" i="22"/>
  <c r="AC34" i="22"/>
  <c r="AB34" i="22"/>
  <c r="W34" i="22"/>
  <c r="X34" i="22"/>
  <c r="P34" i="22"/>
  <c r="Y34" i="22"/>
  <c r="H34" i="22"/>
  <c r="AD34" i="22"/>
  <c r="M34" i="22"/>
  <c r="L34" i="22"/>
  <c r="AE34" i="22"/>
  <c r="Z34" i="22"/>
  <c r="AA34" i="22"/>
  <c r="AH34" i="22"/>
  <c r="Q34" i="22"/>
  <c r="G34" i="22"/>
  <c r="I34" i="22"/>
  <c r="AF34" i="22"/>
  <c r="V34" i="22"/>
  <c r="U34" i="22"/>
  <c r="R34" i="22"/>
  <c r="F14" i="20"/>
  <c r="AG219" i="3"/>
  <c r="AF219" i="3"/>
  <c r="W219" i="3"/>
  <c r="H219" i="3"/>
  <c r="AH219" i="3"/>
  <c r="P219" i="3"/>
  <c r="X219" i="3"/>
  <c r="G219" i="3"/>
  <c r="Q219" i="3"/>
  <c r="N219" i="3"/>
  <c r="V219" i="3"/>
  <c r="R219" i="3"/>
  <c r="K219" i="3"/>
  <c r="AD219" i="3"/>
  <c r="J219" i="3"/>
  <c r="M219" i="3"/>
  <c r="I219" i="3"/>
  <c r="AB219" i="3"/>
  <c r="S219" i="3"/>
  <c r="T219" i="3"/>
  <c r="U219" i="3"/>
  <c r="O219" i="3"/>
  <c r="AA219" i="3"/>
  <c r="AE219" i="3"/>
  <c r="Y219" i="3"/>
  <c r="Z219" i="3"/>
  <c r="L219" i="3"/>
  <c r="AC219" i="3"/>
  <c r="F219" i="3"/>
  <c r="C263" i="33" l="1"/>
  <c r="C258" i="33"/>
  <c r="E219" i="3"/>
  <c r="G14" i="20"/>
  <c r="H14" i="20" s="1"/>
  <c r="I14" i="20" s="1"/>
  <c r="J14" i="20" s="1"/>
  <c r="K14" i="20" s="1"/>
  <c r="L14" i="20" s="1"/>
  <c r="M14" i="20" s="1"/>
  <c r="N14" i="20" s="1"/>
  <c r="O14" i="20" s="1"/>
  <c r="P14" i="20" s="1"/>
  <c r="Q14" i="20" s="1"/>
  <c r="R14" i="20" s="1"/>
  <c r="S14" i="20" s="1"/>
  <c r="T14" i="20" s="1"/>
  <c r="U14" i="20" s="1"/>
  <c r="V14" i="20" s="1"/>
  <c r="W14" i="20" s="1"/>
  <c r="X14" i="20" s="1"/>
  <c r="Y14" i="20" s="1"/>
  <c r="Z14" i="20" s="1"/>
  <c r="AA14" i="20" s="1"/>
  <c r="AB14" i="20" s="1"/>
  <c r="AC14" i="20" s="1"/>
  <c r="AD14" i="20" s="1"/>
  <c r="AE14" i="20" s="1"/>
  <c r="AF14" i="20" s="1"/>
  <c r="AG14" i="20" s="1"/>
  <c r="AH14" i="20" s="1"/>
  <c r="E33" i="24" a="1"/>
  <c r="E33" i="24" s="1"/>
  <c r="AI33" i="24" s="1"/>
  <c r="E34" i="22"/>
  <c r="E34" i="24" s="1" a="1"/>
  <c r="E34" i="24" s="1"/>
  <c r="AI34" i="24" s="1"/>
  <c r="E14" i="23" l="1" a="1"/>
  <c r="E14" i="23" s="1"/>
  <c r="E25" i="20" a="1"/>
  <c r="E25" i="20" s="1"/>
  <c r="E25" i="23" s="1" a="1"/>
  <c r="E25" i="23" s="1"/>
  <c r="E380" i="3"/>
  <c r="E381" i="3"/>
  <c r="E382" i="3"/>
  <c r="F379" i="3"/>
  <c r="I379" i="3"/>
  <c r="T379" i="3"/>
  <c r="L379" i="3"/>
  <c r="Y379" i="3"/>
  <c r="J379" i="3"/>
  <c r="AE379" i="3"/>
  <c r="S379" i="3"/>
  <c r="O379" i="3"/>
  <c r="K379" i="3"/>
  <c r="G379" i="3"/>
  <c r="AB379" i="3"/>
  <c r="Z379" i="3"/>
  <c r="Q379" i="3"/>
  <c r="N379" i="3"/>
  <c r="V379" i="3"/>
  <c r="AG379" i="3"/>
  <c r="M379" i="3"/>
  <c r="AD379" i="3"/>
  <c r="AF379" i="3"/>
  <c r="U379" i="3"/>
  <c r="AA379" i="3"/>
  <c r="AH379" i="3"/>
  <c r="H379" i="3"/>
  <c r="P379" i="3"/>
  <c r="X379" i="3"/>
  <c r="W379" i="3"/>
  <c r="AC379" i="3"/>
  <c r="R379" i="3"/>
  <c r="K380" i="3"/>
  <c r="U381" i="3"/>
  <c r="P380" i="3"/>
  <c r="S381" i="3"/>
  <c r="I382" i="3"/>
  <c r="M381" i="3"/>
  <c r="G380" i="3"/>
  <c r="U382" i="3"/>
  <c r="T381" i="3"/>
  <c r="AB380" i="3"/>
  <c r="J380" i="3"/>
  <c r="F382" i="3"/>
  <c r="Z382" i="3"/>
  <c r="I380" i="3"/>
  <c r="AC382" i="3"/>
  <c r="K382" i="3"/>
  <c r="AH381" i="3"/>
  <c r="Q381" i="3"/>
  <c r="AC381" i="3"/>
  <c r="AG381" i="3"/>
  <c r="I381" i="3"/>
  <c r="AH380" i="3"/>
  <c r="Q382" i="3"/>
  <c r="N380" i="3"/>
  <c r="Z381" i="3"/>
  <c r="V381" i="3"/>
  <c r="O381" i="3"/>
  <c r="R380" i="3"/>
  <c r="Z380" i="3"/>
  <c r="J382" i="3"/>
  <c r="W381" i="3"/>
  <c r="K381" i="3"/>
  <c r="S380" i="3"/>
  <c r="Y380" i="3"/>
  <c r="Q380" i="3"/>
  <c r="V382" i="3"/>
  <c r="M380" i="3"/>
  <c r="X380" i="3"/>
  <c r="AG380" i="3"/>
  <c r="AB382" i="3"/>
  <c r="AA380" i="3"/>
  <c r="G382" i="3"/>
  <c r="O380" i="3"/>
  <c r="R382" i="3"/>
  <c r="AA381" i="3"/>
  <c r="AF381" i="3"/>
  <c r="X382" i="3"/>
  <c r="AD381" i="3"/>
  <c r="S382" i="3"/>
  <c r="U380" i="3"/>
  <c r="W380" i="3"/>
  <c r="Y381" i="3"/>
  <c r="X381" i="3"/>
  <c r="AE381" i="3"/>
  <c r="G381" i="3"/>
  <c r="T382" i="3"/>
  <c r="W382" i="3"/>
  <c r="H381" i="3"/>
  <c r="AD382" i="3"/>
  <c r="N381" i="3"/>
  <c r="H380" i="3"/>
  <c r="AG382" i="3"/>
  <c r="L380" i="3"/>
  <c r="AE380" i="3"/>
  <c r="P381" i="3"/>
  <c r="AE382" i="3"/>
  <c r="Y382" i="3"/>
  <c r="P382" i="3"/>
  <c r="F380" i="3"/>
  <c r="AH382" i="3"/>
  <c r="AA382" i="3"/>
  <c r="J381" i="3"/>
  <c r="V380" i="3"/>
  <c r="AB381" i="3"/>
  <c r="F381" i="3"/>
  <c r="T380" i="3"/>
  <c r="AC380" i="3"/>
  <c r="R381" i="3"/>
  <c r="AD380" i="3"/>
  <c r="H382" i="3"/>
  <c r="M382" i="3"/>
  <c r="O382" i="3"/>
  <c r="AF380" i="3"/>
  <c r="L382" i="3"/>
  <c r="N382" i="3"/>
  <c r="L381" i="3"/>
  <c r="AF382" i="3"/>
  <c r="AE184" i="35" l="1"/>
  <c r="K183" i="35"/>
  <c r="M184" i="35"/>
  <c r="K184" i="35"/>
  <c r="AE182" i="35"/>
  <c r="N184" i="35"/>
  <c r="L184" i="35"/>
  <c r="G184" i="35"/>
  <c r="AC182" i="35"/>
  <c r="Q183" i="35"/>
  <c r="AB182" i="35"/>
  <c r="S182" i="35"/>
  <c r="E183" i="35"/>
  <c r="AA183" i="35"/>
  <c r="U182" i="35"/>
  <c r="I183" i="35"/>
  <c r="Z184" i="35"/>
  <c r="AG184" i="35"/>
  <c r="E182" i="35"/>
  <c r="O184" i="35"/>
  <c r="X184" i="35"/>
  <c r="AD184" i="35"/>
  <c r="O183" i="35"/>
  <c r="AD182" i="35"/>
  <c r="K182" i="35"/>
  <c r="AF184" i="35"/>
  <c r="G182" i="35"/>
  <c r="M183" i="35"/>
  <c r="AC184" i="35"/>
  <c r="G183" i="35"/>
  <c r="V184" i="35"/>
  <c r="S184" i="35"/>
  <c r="F183" i="35"/>
  <c r="AD183" i="35"/>
  <c r="W183" i="35"/>
  <c r="X183" i="35"/>
  <c r="V182" i="35"/>
  <c r="T182" i="35"/>
  <c r="R184" i="35"/>
  <c r="AC183" i="35"/>
  <c r="W184" i="35"/>
  <c r="AE183" i="35"/>
  <c r="Z183" i="35"/>
  <c r="Q184" i="35"/>
  <c r="N182" i="35"/>
  <c r="F184" i="35"/>
  <c r="Z182" i="35"/>
  <c r="AA184" i="35"/>
  <c r="AF182" i="35"/>
  <c r="W182" i="35"/>
  <c r="L182" i="35"/>
  <c r="U184" i="35"/>
  <c r="P182" i="35"/>
  <c r="X182" i="35"/>
  <c r="R182" i="35"/>
  <c r="J183" i="35"/>
  <c r="V183" i="35"/>
  <c r="I184" i="35"/>
  <c r="Y182" i="35"/>
  <c r="Q182" i="35"/>
  <c r="N183" i="35"/>
  <c r="U183" i="35"/>
  <c r="Y183" i="35"/>
  <c r="M182" i="35"/>
  <c r="P184" i="35"/>
  <c r="AG182" i="35"/>
  <c r="H183" i="35"/>
  <c r="AF183" i="35"/>
  <c r="AB183" i="35"/>
  <c r="P183" i="35"/>
  <c r="AG183" i="35"/>
  <c r="J184" i="35"/>
  <c r="AB184" i="35"/>
  <c r="H182" i="35"/>
  <c r="Y184" i="35"/>
  <c r="E184" i="35"/>
  <c r="I182" i="35"/>
  <c r="AA182" i="35"/>
  <c r="S183" i="35"/>
  <c r="T184" i="35"/>
  <c r="F182" i="35"/>
  <c r="L183" i="35"/>
  <c r="H184" i="35"/>
  <c r="R183" i="35"/>
  <c r="O182" i="35"/>
  <c r="T183" i="35"/>
  <c r="J182" i="35"/>
  <c r="D184" i="35"/>
  <c r="D183" i="35"/>
  <c r="D182" i="35"/>
  <c r="E379" i="3"/>
  <c r="R383" i="3"/>
  <c r="Q181" i="35"/>
  <c r="AC383" i="3"/>
  <c r="AB181" i="35"/>
  <c r="W383" i="3"/>
  <c r="V181" i="35"/>
  <c r="X383" i="3"/>
  <c r="W181" i="35"/>
  <c r="P383" i="3"/>
  <c r="O181" i="35"/>
  <c r="H383" i="3"/>
  <c r="G181" i="35"/>
  <c r="AH383" i="3"/>
  <c r="AG181" i="35"/>
  <c r="AA383" i="3"/>
  <c r="Z181" i="35"/>
  <c r="U383" i="3"/>
  <c r="T181" i="35"/>
  <c r="AF383" i="3"/>
  <c r="AE181" i="35"/>
  <c r="AD383" i="3"/>
  <c r="AC181" i="35"/>
  <c r="M383" i="3"/>
  <c r="L181" i="35"/>
  <c r="AG383" i="3"/>
  <c r="AF181" i="35"/>
  <c r="V383" i="3"/>
  <c r="U181" i="35"/>
  <c r="N383" i="3"/>
  <c r="M181" i="35"/>
  <c r="Q383" i="3"/>
  <c r="P181" i="35"/>
  <c r="Z383" i="3"/>
  <c r="Y181" i="35"/>
  <c r="AB383" i="3"/>
  <c r="AA181" i="35"/>
  <c r="G383" i="3"/>
  <c r="F181" i="35"/>
  <c r="K383" i="3"/>
  <c r="J181" i="35"/>
  <c r="O383" i="3"/>
  <c r="N181" i="35"/>
  <c r="S383" i="3"/>
  <c r="R181" i="35"/>
  <c r="AE383" i="3"/>
  <c r="AD181" i="35"/>
  <c r="J383" i="3"/>
  <c r="I181" i="35"/>
  <c r="Y383" i="3"/>
  <c r="X181" i="35"/>
  <c r="L383" i="3"/>
  <c r="K181" i="35"/>
  <c r="T383" i="3"/>
  <c r="S181" i="35"/>
  <c r="I383" i="3"/>
  <c r="H181" i="35"/>
  <c r="F383" i="3"/>
  <c r="E181" i="35"/>
  <c r="AH184" i="35" l="1"/>
  <c r="AH182" i="35"/>
  <c r="AH183" i="35"/>
  <c r="D254" i="33"/>
  <c r="D256" i="33" s="1"/>
  <c r="E387" i="3" a="1"/>
  <c r="D451" i="3" a="1"/>
  <c r="D181" i="35"/>
  <c r="AH181" i="35" s="1"/>
  <c r="E383" i="3"/>
  <c r="AH185" i="35" l="1"/>
  <c r="D185" i="35"/>
  <c r="E185" i="35" s="1"/>
  <c r="F185" i="35" s="1"/>
  <c r="G185" i="35" s="1"/>
  <c r="H185" i="35" s="1"/>
  <c r="I185" i="35" s="1"/>
  <c r="J185" i="35" s="1"/>
  <c r="K185" i="35" s="1"/>
  <c r="L185" i="35" s="1"/>
  <c r="M185" i="35" s="1"/>
  <c r="N185" i="35" s="1"/>
  <c r="O185" i="35" s="1"/>
  <c r="P185" i="35" s="1"/>
  <c r="Q185" i="35" s="1"/>
  <c r="R185" i="35" s="1"/>
  <c r="S185" i="35" s="1"/>
  <c r="T185" i="35" s="1"/>
  <c r="U185" i="35" s="1"/>
  <c r="V185" i="35" s="1"/>
  <c r="W185" i="35" s="1"/>
  <c r="X185" i="35" s="1"/>
  <c r="Y185" i="35" s="1"/>
  <c r="Z185" i="35" s="1"/>
  <c r="AA185" i="35" s="1"/>
  <c r="AB185" i="35" s="1"/>
  <c r="AC185" i="35" s="1"/>
  <c r="AD185" i="35" s="1"/>
  <c r="AE185" i="35" s="1"/>
  <c r="AF185" i="35" s="1"/>
  <c r="AG185" i="35" s="1"/>
  <c r="D263" i="33"/>
  <c r="D258" i="33"/>
  <c r="E254" i="33" s="1"/>
  <c r="E256" i="33" s="1"/>
  <c r="E23" i="20"/>
  <c r="E31" i="22" s="1"/>
  <c r="D451" i="3"/>
  <c r="I462" i="3"/>
  <c r="J462" i="3"/>
  <c r="O462" i="3"/>
  <c r="AA462" i="3"/>
  <c r="S462" i="3"/>
  <c r="M462" i="3"/>
  <c r="AB462" i="3"/>
  <c r="G462" i="3"/>
  <c r="N462" i="3"/>
  <c r="AG462" i="3"/>
  <c r="U462" i="3"/>
  <c r="Q462" i="3"/>
  <c r="E462" i="3"/>
  <c r="H462" i="3"/>
  <c r="V462" i="3"/>
  <c r="R462" i="3"/>
  <c r="AC462" i="3"/>
  <c r="L462" i="3"/>
  <c r="K462" i="3"/>
  <c r="T462" i="3"/>
  <c r="W462" i="3"/>
  <c r="F462" i="3"/>
  <c r="AF462" i="3"/>
  <c r="Y462" i="3"/>
  <c r="AD462" i="3"/>
  <c r="P462" i="3"/>
  <c r="AE462" i="3"/>
  <c r="X462" i="3"/>
  <c r="Z462" i="3"/>
  <c r="E387" i="3"/>
  <c r="S391" i="3"/>
  <c r="X391" i="3"/>
  <c r="F391" i="3"/>
  <c r="Z391" i="3"/>
  <c r="L391" i="3"/>
  <c r="AD391" i="3"/>
  <c r="AA391" i="3"/>
  <c r="M391" i="3"/>
  <c r="K391" i="3"/>
  <c r="G391" i="3"/>
  <c r="AE391" i="3"/>
  <c r="J391" i="3"/>
  <c r="AH391" i="3"/>
  <c r="Q391" i="3"/>
  <c r="AF391" i="3"/>
  <c r="Y391" i="3"/>
  <c r="W391" i="3"/>
  <c r="AB391" i="3"/>
  <c r="N391" i="3"/>
  <c r="O391" i="3"/>
  <c r="I391" i="3"/>
  <c r="R391" i="3"/>
  <c r="T391" i="3"/>
  <c r="AG391" i="3"/>
  <c r="V391" i="3"/>
  <c r="U391" i="3"/>
  <c r="P391" i="3"/>
  <c r="H391" i="3"/>
  <c r="AC391" i="3"/>
  <c r="E24" i="20" l="1"/>
  <c r="E263" i="33"/>
  <c r="E258" i="33"/>
  <c r="F254" i="33" s="1"/>
  <c r="E32" i="22"/>
  <c r="AA5" i="7"/>
  <c r="F5" i="7"/>
  <c r="N5" i="7"/>
  <c r="S5" i="7"/>
  <c r="T5" i="7"/>
  <c r="AE5" i="7"/>
  <c r="R5" i="7"/>
  <c r="P5" i="7"/>
  <c r="G5" i="7"/>
  <c r="M5" i="7"/>
  <c r="L5" i="7"/>
  <c r="Z5" i="7"/>
  <c r="U5" i="7"/>
  <c r="W5" i="7"/>
  <c r="AD5" i="7"/>
  <c r="O5" i="7"/>
  <c r="AF5" i="7"/>
  <c r="H5" i="7"/>
  <c r="AC5" i="7"/>
  <c r="E5" i="7"/>
  <c r="I5" i="7"/>
  <c r="K5" i="7"/>
  <c r="Y5" i="7"/>
  <c r="AB5" i="7"/>
  <c r="J5" i="7"/>
  <c r="X5" i="7"/>
  <c r="V5" i="7"/>
  <c r="Q5" i="7"/>
  <c r="D5" i="7"/>
  <c r="E391" i="3"/>
  <c r="C5" i="7" s="1"/>
  <c r="E395" i="3" a="1"/>
  <c r="AA92" i="11"/>
  <c r="Y92" i="11"/>
  <c r="AF92" i="11"/>
  <c r="Q92" i="11"/>
  <c r="AE92" i="11"/>
  <c r="Z92" i="11"/>
  <c r="AG92" i="11"/>
  <c r="G92" i="11"/>
  <c r="X92" i="11"/>
  <c r="U92" i="11"/>
  <c r="L92" i="11"/>
  <c r="M92" i="11"/>
  <c r="AD92" i="11"/>
  <c r="S92" i="11"/>
  <c r="W92" i="11"/>
  <c r="I92" i="11"/>
  <c r="F92" i="11"/>
  <c r="R92" i="11"/>
  <c r="V92" i="11"/>
  <c r="AH92" i="11"/>
  <c r="O92" i="11"/>
  <c r="H92" i="11"/>
  <c r="AC92" i="11"/>
  <c r="N92" i="11"/>
  <c r="T92" i="11"/>
  <c r="AB92" i="11"/>
  <c r="P92" i="11"/>
  <c r="K92" i="11"/>
  <c r="J92" i="11"/>
  <c r="D462" i="3"/>
  <c r="C51" i="2" s="1"/>
  <c r="E6" i="22" a="1"/>
  <c r="C20" i="44" l="1"/>
  <c r="B33" i="44" s="1" a="1"/>
  <c r="B33" i="44" s="1"/>
  <c r="F256" i="33"/>
  <c r="E84" i="11"/>
  <c r="AH84" i="11"/>
  <c r="AG84" i="11"/>
  <c r="AF84" i="11"/>
  <c r="AE84" i="11"/>
  <c r="AD84" i="11"/>
  <c r="AC84" i="11"/>
  <c r="AB84" i="11"/>
  <c r="AA84" i="11"/>
  <c r="Z84" i="11"/>
  <c r="Y84" i="11"/>
  <c r="X84" i="11"/>
  <c r="W84" i="11"/>
  <c r="V84" i="11"/>
  <c r="U84" i="11"/>
  <c r="T84" i="11"/>
  <c r="S84" i="11"/>
  <c r="R84" i="11"/>
  <c r="Q84" i="11"/>
  <c r="P84" i="11"/>
  <c r="O84" i="11"/>
  <c r="N84" i="11"/>
  <c r="M84" i="11"/>
  <c r="L84" i="11"/>
  <c r="K84" i="11"/>
  <c r="J84" i="11"/>
  <c r="I84" i="11"/>
  <c r="H84" i="11"/>
  <c r="G84" i="11"/>
  <c r="F84" i="11"/>
  <c r="E110" i="11" a="1"/>
  <c r="E110" i="11" s="1"/>
  <c r="E87" i="11" a="1"/>
  <c r="E87" i="11" s="1"/>
  <c r="F23" i="20"/>
  <c r="AD29" i="22"/>
  <c r="K29" i="22"/>
  <c r="G29" i="22"/>
  <c r="M29" i="22"/>
  <c r="J29" i="22"/>
  <c r="AA29" i="22"/>
  <c r="R29" i="22"/>
  <c r="AG29" i="22"/>
  <c r="T29" i="22"/>
  <c r="Y29" i="22"/>
  <c r="I29" i="22"/>
  <c r="F29" i="22"/>
  <c r="N29" i="22"/>
  <c r="Q29" i="22"/>
  <c r="AF29" i="22"/>
  <c r="H29" i="22"/>
  <c r="L29" i="22"/>
  <c r="U29" i="22"/>
  <c r="S29" i="22"/>
  <c r="AC29" i="22"/>
  <c r="W29" i="22"/>
  <c r="E6" i="22"/>
  <c r="AH29" i="22"/>
  <c r="AE29" i="22"/>
  <c r="Z29" i="22"/>
  <c r="P29" i="22"/>
  <c r="X29" i="22"/>
  <c r="O29" i="22"/>
  <c r="V29" i="22"/>
  <c r="AB29" i="22"/>
  <c r="C83" i="27" a="1"/>
  <c r="C83" i="27" s="1"/>
  <c r="E92" i="11"/>
  <c r="C21" i="2"/>
  <c r="E220" i="3" a="1"/>
  <c r="AE399" i="3"/>
  <c r="Y399" i="3"/>
  <c r="P399" i="3"/>
  <c r="U399" i="3"/>
  <c r="O399" i="3"/>
  <c r="AF399" i="3"/>
  <c r="AG399" i="3"/>
  <c r="AA399" i="3"/>
  <c r="S399" i="3"/>
  <c r="T399" i="3"/>
  <c r="AD399" i="3"/>
  <c r="R399" i="3"/>
  <c r="G399" i="3"/>
  <c r="W399" i="3"/>
  <c r="AH399" i="3"/>
  <c r="Z399" i="3"/>
  <c r="X399" i="3"/>
  <c r="L399" i="3"/>
  <c r="F399" i="3"/>
  <c r="H399" i="3"/>
  <c r="Q399" i="3"/>
  <c r="K399" i="3"/>
  <c r="N399" i="3"/>
  <c r="J399" i="3"/>
  <c r="E395" i="3"/>
  <c r="E399" i="3" s="1"/>
  <c r="M399" i="3"/>
  <c r="AB399" i="3"/>
  <c r="V399" i="3"/>
  <c r="AC399" i="3"/>
  <c r="I399" i="3"/>
  <c r="F263" i="33" l="1"/>
  <c r="F258" i="33"/>
  <c r="G254" i="33" s="1"/>
  <c r="C49" i="2"/>
  <c r="C50" i="2" s="1"/>
  <c r="E220" i="3"/>
  <c r="E88" i="11" s="1" a="1"/>
  <c r="E88" i="11" s="1"/>
  <c r="F31" i="22"/>
  <c r="C77" i="27" a="1"/>
  <c r="C77" i="27" s="1"/>
  <c r="E39" i="22" a="1"/>
  <c r="E39" i="22" s="1"/>
  <c r="G72" i="27"/>
  <c r="T72" i="27"/>
  <c r="X72" i="27"/>
  <c r="AF72" i="27"/>
  <c r="S72" i="27"/>
  <c r="AE72" i="27"/>
  <c r="U72" i="27"/>
  <c r="C72" i="27"/>
  <c r="AB72" i="27"/>
  <c r="AA72" i="27"/>
  <c r="H72" i="27"/>
  <c r="J72" i="27"/>
  <c r="W72" i="27"/>
  <c r="F72" i="27"/>
  <c r="D72" i="27"/>
  <c r="P72" i="27"/>
  <c r="R72" i="27"/>
  <c r="N72" i="27"/>
  <c r="Y72" i="27"/>
  <c r="V72" i="27"/>
  <c r="AC72" i="27"/>
  <c r="K72" i="27"/>
  <c r="AD72" i="27"/>
  <c r="L72" i="27"/>
  <c r="E72" i="27"/>
  <c r="Q72" i="27"/>
  <c r="Z72" i="27"/>
  <c r="I72" i="27"/>
  <c r="M72" i="27"/>
  <c r="O72" i="27"/>
  <c r="E18" i="22" a="1"/>
  <c r="E6" i="24" a="1"/>
  <c r="E29" i="22"/>
  <c r="E29" i="24" l="1" a="1"/>
  <c r="E29" i="24" s="1"/>
  <c r="AI29" i="24" s="1"/>
  <c r="E39" i="24" a="1"/>
  <c r="E39" i="24" s="1"/>
  <c r="AI39" i="24" s="1"/>
  <c r="C84" i="27" a="1"/>
  <c r="C84" i="27" s="1"/>
  <c r="C85" i="27" s="1" a="1"/>
  <c r="C85" i="27" s="1"/>
  <c r="C86" i="27" s="1" a="1"/>
  <c r="C86" i="27" s="1"/>
  <c r="G256" i="33"/>
  <c r="AI16" i="24"/>
  <c r="AI15" i="24"/>
  <c r="AI14" i="24"/>
  <c r="AI13" i="24"/>
  <c r="AI12" i="24"/>
  <c r="AI11" i="24"/>
  <c r="AI10" i="24"/>
  <c r="AI9" i="24"/>
  <c r="AI8" i="24"/>
  <c r="AI7" i="24"/>
  <c r="AD57" i="24"/>
  <c r="O57" i="24"/>
  <c r="V57" i="24"/>
  <c r="Y57" i="24"/>
  <c r="I57" i="24"/>
  <c r="Q57" i="24"/>
  <c r="Z57" i="24"/>
  <c r="AE57" i="24"/>
  <c r="S57" i="24"/>
  <c r="AH57" i="24"/>
  <c r="G57" i="24"/>
  <c r="X57" i="24"/>
  <c r="M57" i="24"/>
  <c r="T57" i="24"/>
  <c r="E6" i="24"/>
  <c r="AG57" i="24"/>
  <c r="N57" i="24"/>
  <c r="R57" i="24"/>
  <c r="W57" i="24"/>
  <c r="AB57" i="24"/>
  <c r="AC57" i="24"/>
  <c r="AA57" i="24"/>
  <c r="P57" i="24"/>
  <c r="J57" i="24"/>
  <c r="K57" i="24"/>
  <c r="AF57" i="24"/>
  <c r="U57" i="24"/>
  <c r="H57" i="24"/>
  <c r="F57" i="24"/>
  <c r="L57" i="24"/>
  <c r="E18" i="22"/>
  <c r="C78" i="27" a="1"/>
  <c r="F24" i="20"/>
  <c r="G23" i="20" s="1"/>
  <c r="F32" i="22"/>
  <c r="K331" i="35" l="1"/>
  <c r="E331" i="35"/>
  <c r="G331" i="35"/>
  <c r="T331" i="35"/>
  <c r="AE331" i="35"/>
  <c r="J331" i="35"/>
  <c r="I331" i="35"/>
  <c r="O331" i="35"/>
  <c r="Z331" i="35"/>
  <c r="AB331" i="35"/>
  <c r="AA331" i="35"/>
  <c r="V331" i="35"/>
  <c r="Q331" i="35"/>
  <c r="M331" i="35"/>
  <c r="AF331" i="35"/>
  <c r="S331" i="35"/>
  <c r="L331" i="35"/>
  <c r="W331" i="35"/>
  <c r="F331" i="35"/>
  <c r="AG331" i="35"/>
  <c r="R331" i="35"/>
  <c r="AD331" i="35"/>
  <c r="Y331" i="35"/>
  <c r="P331" i="35"/>
  <c r="H331" i="35"/>
  <c r="X331" i="35"/>
  <c r="U331" i="35"/>
  <c r="N331" i="35"/>
  <c r="AC331" i="35"/>
  <c r="G263" i="33"/>
  <c r="G258" i="33"/>
  <c r="H254" i="33" s="1"/>
  <c r="E57" i="24"/>
  <c r="AI6" i="24"/>
  <c r="C78" i="27"/>
  <c r="C79" i="27" s="1" a="1"/>
  <c r="C79" i="27" s="1"/>
  <c r="E35" i="22" s="1" a="1"/>
  <c r="E35" i="22" s="1"/>
  <c r="E36" i="22" a="1"/>
  <c r="E18" i="24" a="1"/>
  <c r="D331" i="35" l="1"/>
  <c r="E35" i="24" a="1"/>
  <c r="E35" i="24" s="1"/>
  <c r="AI35" i="24" s="1"/>
  <c r="H256" i="33"/>
  <c r="AI28" i="24"/>
  <c r="AI27" i="24"/>
  <c r="AI26" i="24"/>
  <c r="AI25" i="24"/>
  <c r="AI24" i="24"/>
  <c r="AI23" i="24"/>
  <c r="AI22" i="24"/>
  <c r="AI21" i="24"/>
  <c r="AI20" i="24"/>
  <c r="AI19" i="24"/>
  <c r="C90" i="27" a="1"/>
  <c r="C90" i="27" s="1"/>
  <c r="C8" i="7" s="1" a="1"/>
  <c r="C8" i="7" s="1"/>
  <c r="E18" i="24"/>
  <c r="AI18" i="24" s="1"/>
  <c r="E36" i="22"/>
  <c r="F37" i="22"/>
  <c r="H263" i="33" l="1"/>
  <c r="H258" i="33"/>
  <c r="I254" i="33" s="1"/>
  <c r="C62" i="2"/>
  <c r="G31" i="22"/>
  <c r="E36" i="24" a="1"/>
  <c r="E36" i="24" s="1"/>
  <c r="AI36" i="24" s="1"/>
  <c r="E37" i="22"/>
  <c r="I256" i="33" l="1"/>
  <c r="G24" i="20"/>
  <c r="H23" i="20" s="1"/>
  <c r="G32" i="22"/>
  <c r="G37" i="22" l="1"/>
  <c r="I263" i="33"/>
  <c r="I258" i="33"/>
  <c r="J254" i="33" s="1"/>
  <c r="J256" i="33" s="1"/>
  <c r="J263" i="33" l="1"/>
  <c r="J258" i="33"/>
  <c r="K254" i="33" s="1"/>
  <c r="K256" i="33" s="1"/>
  <c r="H31" i="22"/>
  <c r="K263" i="33" l="1"/>
  <c r="K258" i="33"/>
  <c r="H32" i="22"/>
  <c r="H24" i="20"/>
  <c r="I23" i="20" s="1"/>
  <c r="H37" i="22" l="1"/>
  <c r="L254" i="33"/>
  <c r="L256" i="33" l="1"/>
  <c r="L263" i="33" l="1"/>
  <c r="L258" i="33"/>
  <c r="M254" i="33" s="1"/>
  <c r="M256" i="33" s="1"/>
  <c r="I31" i="22"/>
  <c r="M263" i="33" l="1"/>
  <c r="M258" i="33"/>
  <c r="I32" i="22"/>
  <c r="I24" i="20"/>
  <c r="J23" i="20" s="1"/>
  <c r="I37" i="22" l="1"/>
  <c r="N254" i="33"/>
  <c r="N256" i="33" s="1"/>
  <c r="N263" i="33" l="1"/>
  <c r="N258" i="33"/>
  <c r="O254" i="33" s="1"/>
  <c r="O256" i="33" s="1"/>
  <c r="J31" i="22"/>
  <c r="O263" i="33" l="1"/>
  <c r="O258" i="33"/>
  <c r="J32" i="22"/>
  <c r="J24" i="20"/>
  <c r="K23" i="20" s="1"/>
  <c r="J37" i="22" l="1"/>
  <c r="P254" i="33"/>
  <c r="P256" i="33" s="1"/>
  <c r="P263" i="33" l="1"/>
  <c r="P258" i="33"/>
  <c r="Q254" i="33" s="1"/>
  <c r="Q256" i="33" s="1"/>
  <c r="K31" i="22"/>
  <c r="Q263" i="33" l="1"/>
  <c r="Q258" i="33"/>
  <c r="K24" i="20"/>
  <c r="L23" i="20" s="1"/>
  <c r="K32" i="22"/>
  <c r="K37" i="22" l="1"/>
  <c r="R254" i="33"/>
  <c r="R256" i="33" s="1"/>
  <c r="L31" i="22"/>
  <c r="R263" i="33" l="1"/>
  <c r="R258" i="33"/>
  <c r="S254" i="33" s="1"/>
  <c r="S256" i="33" s="1"/>
  <c r="L32" i="22"/>
  <c r="L24" i="20"/>
  <c r="M23" i="20" s="1"/>
  <c r="L37" i="22" l="1"/>
  <c r="S263" i="33"/>
  <c r="S258" i="33"/>
  <c r="T254" i="33" s="1"/>
  <c r="T256" i="33" s="1"/>
  <c r="T263" i="33" l="1"/>
  <c r="T258" i="33"/>
  <c r="U254" i="33" s="1"/>
  <c r="U256" i="33" s="1"/>
  <c r="M31" i="22"/>
  <c r="U263" i="33" l="1"/>
  <c r="U258" i="33"/>
  <c r="M32" i="22"/>
  <c r="M24" i="20"/>
  <c r="N23" i="20" s="1"/>
  <c r="M37" i="22" l="1"/>
  <c r="V254" i="33"/>
  <c r="V256" i="33" s="1"/>
  <c r="V263" i="33" l="1"/>
  <c r="V258" i="33"/>
  <c r="N31" i="22"/>
  <c r="W254" i="33" l="1"/>
  <c r="W256" i="33" s="1"/>
  <c r="N24" i="20"/>
  <c r="O23" i="20" s="1"/>
  <c r="N32" i="22"/>
  <c r="N37" i="22" l="1"/>
  <c r="W263" i="33"/>
  <c r="W258" i="33"/>
  <c r="X254" i="33" s="1"/>
  <c r="X256" i="33" s="1"/>
  <c r="X263" i="33" l="1"/>
  <c r="X258" i="33"/>
  <c r="Y254" i="33" s="1"/>
  <c r="Y256" i="33" s="1"/>
  <c r="O31" i="22"/>
  <c r="Y263" i="33" l="1"/>
  <c r="Y258" i="33"/>
  <c r="O24" i="20"/>
  <c r="P23" i="20" s="1"/>
  <c r="O32" i="22"/>
  <c r="O37" i="22" l="1"/>
  <c r="Z254" i="33"/>
  <c r="Z256" i="33" s="1"/>
  <c r="Z263" i="33" l="1"/>
  <c r="Z258" i="33"/>
  <c r="AA254" i="33" s="1"/>
  <c r="AA256" i="33" s="1"/>
  <c r="P31" i="22"/>
  <c r="AA263" i="33" l="1"/>
  <c r="AA258" i="33"/>
  <c r="P32" i="22"/>
  <c r="P24" i="20"/>
  <c r="Q23" i="20" s="1"/>
  <c r="P37" i="22" l="1"/>
  <c r="AB254" i="33"/>
  <c r="AB256" i="33" s="1"/>
  <c r="AB263" i="33" l="1"/>
  <c r="AB258" i="33"/>
  <c r="AC254" i="33" s="1"/>
  <c r="AC256" i="33" s="1"/>
  <c r="Q31" i="22"/>
  <c r="AC263" i="33" l="1"/>
  <c r="AC258" i="33"/>
  <c r="Q24" i="20"/>
  <c r="R23" i="20" s="1"/>
  <c r="Q32" i="22"/>
  <c r="Q37" i="22" l="1"/>
  <c r="AD254" i="33"/>
  <c r="AD256" i="33" s="1"/>
  <c r="AD263" i="33" l="1"/>
  <c r="AD258" i="33"/>
  <c r="AE254" i="33" s="1"/>
  <c r="AE256" i="33" s="1"/>
  <c r="R31" i="22"/>
  <c r="AE263" i="33" l="1"/>
  <c r="AE258" i="33"/>
  <c r="R24" i="20"/>
  <c r="S23" i="20" s="1"/>
  <c r="R32" i="22"/>
  <c r="R37" i="22" l="1"/>
  <c r="AF254" i="33"/>
  <c r="AF256" i="33" l="1"/>
  <c r="AF263" i="33" l="1"/>
  <c r="AF258" i="33"/>
  <c r="AG254" i="33" s="1"/>
  <c r="C18" i="2"/>
  <c r="S31" i="22"/>
  <c r="AG256" i="33" l="1"/>
  <c r="S32" i="22"/>
  <c r="S24" i="20"/>
  <c r="T23" i="20" s="1"/>
  <c r="S37" i="22" l="1"/>
  <c r="AG263" i="33"/>
  <c r="AG258" i="33"/>
  <c r="AH254" i="33" s="1"/>
  <c r="AH256" i="33" l="1"/>
  <c r="T31" i="22"/>
  <c r="AH263" i="33" l="1"/>
  <c r="AH258" i="33"/>
  <c r="C6" i="7" a="1"/>
  <c r="E13" i="23" a="1"/>
  <c r="E13" i="23" s="1"/>
  <c r="T24" i="20"/>
  <c r="U23" i="20" s="1"/>
  <c r="T32" i="22"/>
  <c r="T37" i="22" l="1"/>
  <c r="C6" i="7"/>
  <c r="U31" i="22"/>
  <c r="D6" i="44" l="1"/>
  <c r="C22" i="2"/>
  <c r="E111" i="11" a="1"/>
  <c r="E111" i="11" s="1"/>
  <c r="E113" i="11" s="1" a="1"/>
  <c r="E113" i="11" s="1"/>
  <c r="E91" i="11" s="1" a="1"/>
  <c r="E91" i="11" s="1"/>
  <c r="U24" i="20"/>
  <c r="V23" i="20" s="1"/>
  <c r="U32" i="22"/>
  <c r="U37" i="22" l="1"/>
  <c r="C60" i="2"/>
  <c r="V31" i="22"/>
  <c r="V24" i="20" l="1"/>
  <c r="W23" i="20" s="1"/>
  <c r="V32" i="22"/>
  <c r="V37" i="22" l="1"/>
  <c r="W31" i="22"/>
  <c r="W24" i="20" l="1"/>
  <c r="X23" i="20" s="1"/>
  <c r="W32" i="22"/>
  <c r="W37" i="22" l="1"/>
  <c r="X31" i="22"/>
  <c r="X32" i="22" l="1"/>
  <c r="X24" i="20"/>
  <c r="Y23" i="20" s="1"/>
  <c r="X37" i="22" l="1"/>
  <c r="Y31" i="22"/>
  <c r="Y32" i="22" l="1"/>
  <c r="Y24" i="20"/>
  <c r="Z23" i="20" s="1"/>
  <c r="Y37" i="22" l="1"/>
  <c r="Z31" i="22"/>
  <c r="Z32" i="22" l="1"/>
  <c r="Z24" i="20"/>
  <c r="AA23" i="20" s="1"/>
  <c r="Z37" i="22" l="1"/>
  <c r="AA31" i="22"/>
  <c r="AA24" i="20" l="1"/>
  <c r="AB23" i="20" s="1"/>
  <c r="AA32" i="22"/>
  <c r="AA37" i="22" l="1"/>
  <c r="AB31" i="22"/>
  <c r="AB32" i="22" l="1"/>
  <c r="AB24" i="20"/>
  <c r="AC23" i="20" s="1"/>
  <c r="AB37" i="22" l="1"/>
  <c r="AC31" i="22"/>
  <c r="AC32" i="22" l="1"/>
  <c r="AC24" i="20"/>
  <c r="AD23" i="20" s="1"/>
  <c r="AC37" i="22" l="1"/>
  <c r="AD31" i="22"/>
  <c r="AD24" i="20" l="1"/>
  <c r="AE23" i="20" s="1"/>
  <c r="AD32" i="22"/>
  <c r="AD37" i="22" l="1"/>
  <c r="AE31" i="22"/>
  <c r="AE24" i="20" l="1"/>
  <c r="AF23" i="20" s="1"/>
  <c r="AE32" i="22"/>
  <c r="AE37" i="22" l="1"/>
  <c r="AF31" i="22"/>
  <c r="AF24" i="20" l="1"/>
  <c r="AG23" i="20" s="1"/>
  <c r="AF32" i="22"/>
  <c r="AF37" i="22" l="1"/>
  <c r="AG31" i="22"/>
  <c r="AG32" i="22" l="1"/>
  <c r="AG24" i="20"/>
  <c r="AH23" i="20" s="1"/>
  <c r="AG37" i="22" l="1"/>
  <c r="E13" i="20" a="1"/>
  <c r="E13" i="20" s="1"/>
  <c r="E22" i="20" s="1" a="1"/>
  <c r="E22" i="20" s="1"/>
  <c r="E22" i="23" s="1" a="1"/>
  <c r="E22" i="23" s="1"/>
  <c r="Q230" i="35" l="1"/>
  <c r="W230" i="35"/>
  <c r="U230" i="35"/>
  <c r="V230" i="35"/>
  <c r="J230" i="35"/>
  <c r="S230" i="35"/>
  <c r="AA230" i="35"/>
  <c r="M230" i="35"/>
  <c r="AE230" i="35"/>
  <c r="L230" i="35"/>
  <c r="O230" i="35"/>
  <c r="H230" i="35"/>
  <c r="P230" i="35"/>
  <c r="K230" i="35"/>
  <c r="AF230" i="35"/>
  <c r="AG230" i="35"/>
  <c r="I230" i="35"/>
  <c r="Y230" i="35"/>
  <c r="Z230" i="35"/>
  <c r="AD230" i="35"/>
  <c r="N230" i="35"/>
  <c r="R230" i="35"/>
  <c r="AB230" i="35"/>
  <c r="G230" i="35"/>
  <c r="T230" i="35"/>
  <c r="F230" i="35"/>
  <c r="X230" i="35"/>
  <c r="AC230" i="35"/>
  <c r="E230" i="35"/>
  <c r="AA22" i="7"/>
  <c r="AA24" i="7" s="1"/>
  <c r="F22" i="7"/>
  <c r="F24" i="7" s="1"/>
  <c r="N22" i="7"/>
  <c r="N24" i="7" s="1"/>
  <c r="S22" i="7"/>
  <c r="S24" i="7" s="1"/>
  <c r="T22" i="7"/>
  <c r="T24" i="7" s="1"/>
  <c r="AE22" i="7"/>
  <c r="AE24" i="7" s="1"/>
  <c r="R22" i="7"/>
  <c r="R24" i="7" s="1"/>
  <c r="P22" i="7"/>
  <c r="P24" i="7" s="1"/>
  <c r="G22" i="7"/>
  <c r="G24" i="7" s="1"/>
  <c r="M22" i="7"/>
  <c r="M24" i="7" s="1"/>
  <c r="L22" i="7"/>
  <c r="L24" i="7" s="1"/>
  <c r="Z22" i="7"/>
  <c r="Z24" i="7" s="1"/>
  <c r="U22" i="7"/>
  <c r="U24" i="7" s="1"/>
  <c r="W22" i="7"/>
  <c r="W24" i="7" s="1"/>
  <c r="AD22" i="7"/>
  <c r="AD24" i="7" s="1"/>
  <c r="O22" i="7"/>
  <c r="O24" i="7" s="1"/>
  <c r="AF22" i="7"/>
  <c r="AF24" i="7" s="1"/>
  <c r="H22" i="7"/>
  <c r="H24" i="7" s="1"/>
  <c r="AC22" i="7"/>
  <c r="AC24" i="7" s="1"/>
  <c r="E22" i="7"/>
  <c r="E24" i="7" s="1"/>
  <c r="I22" i="7"/>
  <c r="I24" i="7" s="1"/>
  <c r="K22" i="7"/>
  <c r="K24" i="7" s="1"/>
  <c r="Y22" i="7"/>
  <c r="Y24" i="7" s="1"/>
  <c r="AB22" i="7"/>
  <c r="AB24" i="7" s="1"/>
  <c r="J22" i="7"/>
  <c r="J24" i="7" s="1"/>
  <c r="X22" i="7"/>
  <c r="X24" i="7" s="1"/>
  <c r="D22" i="7"/>
  <c r="D24" i="7" s="1"/>
  <c r="V22" i="7"/>
  <c r="V24" i="7" s="1"/>
  <c r="Q22" i="7"/>
  <c r="Q24" i="7" s="1"/>
  <c r="E12" i="23"/>
  <c r="AH31" i="22"/>
  <c r="E23" i="23" a="1"/>
  <c r="E23" i="23" s="1"/>
  <c r="E265" i="35" l="1"/>
  <c r="E293" i="35"/>
  <c r="AC265" i="35"/>
  <c r="AC293" i="35"/>
  <c r="X265" i="35"/>
  <c r="X293" i="35"/>
  <c r="F265" i="35"/>
  <c r="F293" i="35"/>
  <c r="T265" i="35"/>
  <c r="T293" i="35"/>
  <c r="G265" i="35"/>
  <c r="G293" i="35"/>
  <c r="AB265" i="35"/>
  <c r="AB293" i="35"/>
  <c r="R265" i="35"/>
  <c r="R293" i="35"/>
  <c r="N265" i="35"/>
  <c r="N293" i="35"/>
  <c r="AD265" i="35"/>
  <c r="AD293" i="35"/>
  <c r="Z265" i="35"/>
  <c r="Z293" i="35"/>
  <c r="Y265" i="35"/>
  <c r="Y293" i="35"/>
  <c r="I265" i="35"/>
  <c r="I293" i="35"/>
  <c r="AG265" i="35"/>
  <c r="AG293" i="35"/>
  <c r="AF265" i="35"/>
  <c r="AF293" i="35"/>
  <c r="K265" i="35"/>
  <c r="K293" i="35"/>
  <c r="P265" i="35"/>
  <c r="P293" i="35"/>
  <c r="H265" i="35"/>
  <c r="H293" i="35"/>
  <c r="O265" i="35"/>
  <c r="O293" i="35"/>
  <c r="L265" i="35"/>
  <c r="L293" i="35"/>
  <c r="AE265" i="35"/>
  <c r="AE293" i="35"/>
  <c r="M265" i="35"/>
  <c r="M293" i="35"/>
  <c r="AA265" i="35"/>
  <c r="AA293" i="35"/>
  <c r="S265" i="35"/>
  <c r="S293" i="35"/>
  <c r="J265" i="35"/>
  <c r="J293" i="35"/>
  <c r="V265" i="35"/>
  <c r="V293" i="35"/>
  <c r="U265" i="35"/>
  <c r="U293" i="35"/>
  <c r="W265" i="35"/>
  <c r="W293" i="35"/>
  <c r="Q265" i="35"/>
  <c r="Q293" i="35"/>
  <c r="AH24" i="20"/>
  <c r="AH32" i="22"/>
  <c r="E31" i="24" a="1"/>
  <c r="F12" i="23"/>
  <c r="G12" i="23" s="1"/>
  <c r="H12" i="23" s="1"/>
  <c r="I12" i="23" s="1"/>
  <c r="J12" i="23" s="1"/>
  <c r="K12" i="23" s="1"/>
  <c r="L12" i="23" s="1"/>
  <c r="M12" i="23" s="1"/>
  <c r="N12" i="23" s="1"/>
  <c r="O12" i="23" s="1"/>
  <c r="P12" i="23" s="1"/>
  <c r="Q12" i="23" s="1"/>
  <c r="R12" i="23" s="1"/>
  <c r="S12" i="23" s="1"/>
  <c r="T12" i="23" s="1"/>
  <c r="U12" i="23" s="1"/>
  <c r="V12" i="23" s="1"/>
  <c r="W12" i="23" s="1"/>
  <c r="X12" i="23" s="1"/>
  <c r="Y12" i="23" s="1"/>
  <c r="Z12" i="23" s="1"/>
  <c r="AA12" i="23" s="1"/>
  <c r="AB12" i="23" s="1"/>
  <c r="AC12" i="23" s="1"/>
  <c r="AD12" i="23" s="1"/>
  <c r="AE12" i="23" s="1"/>
  <c r="AF12" i="23" s="1"/>
  <c r="AG12" i="23" s="1"/>
  <c r="AH12" i="23" s="1"/>
  <c r="D230" i="35"/>
  <c r="C22" i="7"/>
  <c r="D265" i="35" l="1"/>
  <c r="D293" i="35"/>
  <c r="AH37" i="22"/>
  <c r="E37" i="24" s="1" a="1"/>
  <c r="E37" i="24" s="1"/>
  <c r="E31" i="24"/>
  <c r="AI31" i="24" s="1"/>
  <c r="E12" i="20" a="1"/>
  <c r="E12" i="20" s="1"/>
  <c r="E21" i="20" s="1" a="1"/>
  <c r="E21" i="20" s="1"/>
  <c r="E21" i="23" s="1" a="1"/>
  <c r="E21" i="23" s="1"/>
  <c r="AG22" i="7"/>
  <c r="C23" i="7" a="1"/>
  <c r="C23" i="7" s="1"/>
  <c r="C24" i="7"/>
  <c r="E32" i="24" a="1"/>
  <c r="E24" i="23" a="1"/>
  <c r="E24" i="23" s="1"/>
  <c r="E58" i="24" l="1" a="1"/>
  <c r="AI37" i="24"/>
  <c r="E32" i="24"/>
  <c r="Z9" i="7"/>
  <c r="I9" i="7"/>
  <c r="AB9" i="7"/>
  <c r="AE9" i="7"/>
  <c r="F9" i="7"/>
  <c r="D9" i="7"/>
  <c r="L9" i="7"/>
  <c r="P9" i="7"/>
  <c r="AA9" i="7"/>
  <c r="J9" i="7"/>
  <c r="G9" i="7"/>
  <c r="H9" i="7"/>
  <c r="Y9" i="7"/>
  <c r="E9" i="7"/>
  <c r="AD9" i="7"/>
  <c r="O9" i="7"/>
  <c r="R9" i="7"/>
  <c r="AF9" i="7"/>
  <c r="M9" i="7"/>
  <c r="V9" i="7"/>
  <c r="Q9" i="7"/>
  <c r="S9" i="7"/>
  <c r="AC9" i="7"/>
  <c r="T9" i="7"/>
  <c r="U9" i="7"/>
  <c r="N9" i="7"/>
  <c r="X9" i="7"/>
  <c r="K9" i="7"/>
  <c r="W9" i="7"/>
  <c r="C25" i="7" a="1"/>
  <c r="C25" i="7" s="1"/>
  <c r="AG23" i="7"/>
  <c r="AG24" i="7"/>
  <c r="C135" i="2"/>
  <c r="C134" i="2"/>
  <c r="AC332" i="35" l="1"/>
  <c r="Y332" i="35"/>
  <c r="E332" i="35"/>
  <c r="AE332" i="35"/>
  <c r="AD332" i="35"/>
  <c r="W332" i="35"/>
  <c r="AA332" i="35"/>
  <c r="H332" i="35"/>
  <c r="AB332" i="35"/>
  <c r="L332" i="35"/>
  <c r="AF332" i="35"/>
  <c r="AG332" i="35"/>
  <c r="F332" i="35"/>
  <c r="X332" i="35"/>
  <c r="Z332" i="35"/>
  <c r="P332" i="35"/>
  <c r="I332" i="35"/>
  <c r="U332" i="35"/>
  <c r="M332" i="35"/>
  <c r="N332" i="35"/>
  <c r="K332" i="35"/>
  <c r="R332" i="35"/>
  <c r="O332" i="35"/>
  <c r="T332" i="35"/>
  <c r="J332" i="35"/>
  <c r="G332" i="35"/>
  <c r="S332" i="35"/>
  <c r="E58" i="24"/>
  <c r="V332" i="35"/>
  <c r="Q332" i="35"/>
  <c r="C9" i="7"/>
  <c r="AI32" i="24"/>
  <c r="AF93" i="11"/>
  <c r="AF94" i="11" s="1"/>
  <c r="G93" i="11"/>
  <c r="G94" i="11" s="1"/>
  <c r="M93" i="11"/>
  <c r="M94" i="11" s="1"/>
  <c r="L93" i="11"/>
  <c r="L94" i="11" s="1"/>
  <c r="J93" i="11"/>
  <c r="J94" i="11" s="1"/>
  <c r="F93" i="11"/>
  <c r="F94" i="11" s="1"/>
  <c r="E93" i="11"/>
  <c r="AH93" i="11"/>
  <c r="I93" i="11"/>
  <c r="I94" i="11" s="1"/>
  <c r="H93" i="11"/>
  <c r="H94" i="11" s="1"/>
  <c r="AG93" i="11"/>
  <c r="AG94" i="11" s="1"/>
  <c r="AD93" i="11"/>
  <c r="AD94" i="11" s="1"/>
  <c r="K93" i="11"/>
  <c r="K94" i="11" s="1"/>
  <c r="AE93" i="11"/>
  <c r="AE94" i="11" s="1"/>
  <c r="O93" i="11"/>
  <c r="O94" i="11" s="1"/>
  <c r="S93" i="11"/>
  <c r="S94" i="11" s="1"/>
  <c r="T93" i="11"/>
  <c r="T94" i="11" s="1"/>
  <c r="AC93" i="11"/>
  <c r="AC94" i="11" s="1"/>
  <c r="AB93" i="11"/>
  <c r="AB94" i="11" s="1"/>
  <c r="R93" i="11"/>
  <c r="R94" i="11" s="1"/>
  <c r="N93" i="11"/>
  <c r="N94" i="11" s="1"/>
  <c r="X93" i="11"/>
  <c r="X94" i="11" s="1"/>
  <c r="AA93" i="11"/>
  <c r="AA94" i="11" s="1"/>
  <c r="U93" i="11"/>
  <c r="U94" i="11" s="1"/>
  <c r="W93" i="11"/>
  <c r="W94" i="11" s="1"/>
  <c r="V93" i="11"/>
  <c r="V94" i="11" s="1"/>
  <c r="Y93" i="11"/>
  <c r="Y94" i="11" s="1"/>
  <c r="P93" i="11"/>
  <c r="P94" i="11" s="1"/>
  <c r="Z93" i="11"/>
  <c r="Z94" i="11" s="1"/>
  <c r="Q93" i="11"/>
  <c r="Q94" i="11" s="1"/>
  <c r="AG25" i="7"/>
  <c r="D332" i="35" l="1"/>
  <c r="E94" i="11"/>
  <c r="D108" i="35" a="1"/>
  <c r="AH94" i="11"/>
  <c r="D133" i="35" l="1"/>
  <c r="AG133" i="35"/>
  <c r="AF133" i="35"/>
  <c r="AE133" i="35"/>
  <c r="AD133" i="35"/>
  <c r="AC133" i="35"/>
  <c r="AB133" i="35"/>
  <c r="AA133" i="35"/>
  <c r="Z133" i="35"/>
  <c r="Y133" i="35"/>
  <c r="X133" i="35"/>
  <c r="W133" i="35"/>
  <c r="V133" i="35"/>
  <c r="U133" i="35"/>
  <c r="T133" i="35"/>
  <c r="S133" i="35"/>
  <c r="R133" i="35"/>
  <c r="Q133" i="35"/>
  <c r="P133" i="35"/>
  <c r="O133" i="35"/>
  <c r="N133" i="35"/>
  <c r="M133" i="35"/>
  <c r="L133" i="35"/>
  <c r="K133" i="35"/>
  <c r="J133" i="35"/>
  <c r="I133" i="35"/>
  <c r="H133" i="35"/>
  <c r="G133" i="35"/>
  <c r="F133" i="35"/>
  <c r="E133" i="35"/>
  <c r="AG135" i="35"/>
  <c r="AF135" i="35"/>
  <c r="AE135" i="35"/>
  <c r="AD135" i="35"/>
  <c r="AC135" i="35"/>
  <c r="AB135" i="35"/>
  <c r="AA135" i="35"/>
  <c r="Z135" i="35"/>
  <c r="Y135" i="35"/>
  <c r="X135" i="35"/>
  <c r="W135" i="35"/>
  <c r="V135" i="35"/>
  <c r="U135" i="35"/>
  <c r="T135" i="35"/>
  <c r="S135" i="35"/>
  <c r="R135" i="35"/>
  <c r="Q135" i="35"/>
  <c r="P135" i="35"/>
  <c r="O135" i="35"/>
  <c r="N135" i="35"/>
  <c r="M135" i="35"/>
  <c r="L135" i="35"/>
  <c r="K135" i="35"/>
  <c r="J135" i="35"/>
  <c r="I135" i="35"/>
  <c r="H135" i="35"/>
  <c r="G135" i="35"/>
  <c r="F135" i="35"/>
  <c r="E135" i="35"/>
  <c r="D134" i="35"/>
  <c r="AG134" i="35"/>
  <c r="AF134" i="35"/>
  <c r="AE134" i="35"/>
  <c r="AD134" i="35"/>
  <c r="AC134" i="35"/>
  <c r="AB134" i="35"/>
  <c r="AA134" i="35"/>
  <c r="Z134" i="35"/>
  <c r="Y134" i="35"/>
  <c r="X134" i="35"/>
  <c r="W134" i="35"/>
  <c r="V134" i="35"/>
  <c r="U134" i="35"/>
  <c r="T134" i="35"/>
  <c r="S134" i="35"/>
  <c r="R134" i="35"/>
  <c r="Q134" i="35"/>
  <c r="P134" i="35"/>
  <c r="O134" i="35"/>
  <c r="N134" i="35"/>
  <c r="M134" i="35"/>
  <c r="L134" i="35"/>
  <c r="K134" i="35"/>
  <c r="J134" i="35"/>
  <c r="I134" i="35"/>
  <c r="H134" i="35"/>
  <c r="G134" i="35"/>
  <c r="F134" i="35"/>
  <c r="E134" i="35"/>
  <c r="AH109" i="35"/>
  <c r="AH113" i="35"/>
  <c r="AH117" i="35"/>
  <c r="AH115" i="35"/>
  <c r="AH119" i="35"/>
  <c r="AH112" i="35"/>
  <c r="AH110" i="35"/>
  <c r="AH114" i="35"/>
  <c r="AH118" i="35"/>
  <c r="AH111" i="35"/>
  <c r="AH116" i="35"/>
  <c r="D108" i="35"/>
  <c r="D135" i="35" s="1"/>
  <c r="E98" i="11" a="1"/>
  <c r="E98" i="11" l="1"/>
  <c r="C11" i="7" s="1" a="1"/>
  <c r="AH133" i="35"/>
  <c r="AH134" i="35"/>
  <c r="AH108" i="35"/>
  <c r="AH122" i="35" s="1"/>
  <c r="D122" i="35"/>
  <c r="E122" i="35" s="1"/>
  <c r="F122" i="35" s="1"/>
  <c r="G122" i="35" s="1"/>
  <c r="H122" i="35" s="1"/>
  <c r="I122" i="35" s="1"/>
  <c r="J122" i="35" s="1"/>
  <c r="K122" i="35" s="1"/>
  <c r="L122" i="35" s="1"/>
  <c r="M122" i="35" s="1"/>
  <c r="N122" i="35" s="1"/>
  <c r="O122" i="35" s="1"/>
  <c r="P122" i="35" s="1"/>
  <c r="Q122" i="35" s="1"/>
  <c r="R122" i="35" s="1"/>
  <c r="S122" i="35" s="1"/>
  <c r="T122" i="35" s="1"/>
  <c r="U122" i="35" s="1"/>
  <c r="V122" i="35" s="1"/>
  <c r="W122" i="35" s="1"/>
  <c r="X122" i="35" s="1"/>
  <c r="Y122" i="35" s="1"/>
  <c r="Z122" i="35" s="1"/>
  <c r="AA122" i="35" s="1"/>
  <c r="AB122" i="35" s="1"/>
  <c r="AC122" i="35" s="1"/>
  <c r="AD122" i="35" s="1"/>
  <c r="AE122" i="35" s="1"/>
  <c r="AF122" i="35" s="1"/>
  <c r="AG122" i="35" s="1"/>
  <c r="E38" i="22" l="1" a="1"/>
  <c r="E38" i="22" s="1"/>
  <c r="C58" i="2"/>
  <c r="C59" i="2"/>
  <c r="C11" i="7"/>
  <c r="C6" i="44" s="1" a="1"/>
  <c r="C6" i="44" s="1"/>
  <c r="B30" i="44" s="1" a="1"/>
  <c r="C56" i="2"/>
  <c r="P232" i="35"/>
  <c r="P294" i="35" s="1"/>
  <c r="O232" i="35"/>
  <c r="O294" i="35" s="1"/>
  <c r="G232" i="35"/>
  <c r="G294" i="35" s="1"/>
  <c r="F232" i="35"/>
  <c r="F294" i="35" s="1"/>
  <c r="H232" i="35"/>
  <c r="H294" i="35" s="1"/>
  <c r="AB232" i="35"/>
  <c r="AB294" i="35" s="1"/>
  <c r="AE232" i="35"/>
  <c r="AE294" i="35" s="1"/>
  <c r="AA232" i="35"/>
  <c r="AA294" i="35" s="1"/>
  <c r="L232" i="35"/>
  <c r="L294" i="35" s="1"/>
  <c r="Y232" i="35"/>
  <c r="Y294" i="35" s="1"/>
  <c r="R232" i="35"/>
  <c r="R294" i="35" s="1"/>
  <c r="E232" i="35"/>
  <c r="E294" i="35" s="1"/>
  <c r="I232" i="35"/>
  <c r="I294" i="35" s="1"/>
  <c r="X232" i="35"/>
  <c r="X294" i="35" s="1"/>
  <c r="J232" i="35"/>
  <c r="J294" i="35" s="1"/>
  <c r="Q232" i="35"/>
  <c r="Q294" i="35" s="1"/>
  <c r="S232" i="35"/>
  <c r="S294" i="35" s="1"/>
  <c r="AF232" i="35"/>
  <c r="AF294" i="35" s="1"/>
  <c r="Z232" i="35"/>
  <c r="Z294" i="35" s="1"/>
  <c r="AG232" i="35"/>
  <c r="AG294" i="35" s="1"/>
  <c r="U232" i="35"/>
  <c r="U294" i="35" s="1"/>
  <c r="M232" i="35"/>
  <c r="M294" i="35" s="1"/>
  <c r="T232" i="35"/>
  <c r="T294" i="35" s="1"/>
  <c r="AD232" i="35"/>
  <c r="AD294" i="35" s="1"/>
  <c r="W232" i="35"/>
  <c r="W294" i="35" s="1"/>
  <c r="AC232" i="35"/>
  <c r="AC294" i="35" s="1"/>
  <c r="V232" i="35"/>
  <c r="V294" i="35" s="1"/>
  <c r="N232" i="35"/>
  <c r="N294" i="35" s="1"/>
  <c r="K232" i="35"/>
  <c r="K294" i="35" s="1"/>
  <c r="C13" i="44" a="1"/>
  <c r="C13" i="44" s="1"/>
  <c r="D232" i="35"/>
  <c r="D294" i="35" s="1"/>
  <c r="D136" i="35"/>
  <c r="E136" i="35" s="1"/>
  <c r="F136" i="35" s="1"/>
  <c r="G136" i="35" s="1"/>
  <c r="H136" i="35" s="1"/>
  <c r="I136" i="35" s="1"/>
  <c r="J136" i="35" s="1"/>
  <c r="K136" i="35" s="1"/>
  <c r="L136" i="35" s="1"/>
  <c r="M136" i="35" s="1"/>
  <c r="N136" i="35" s="1"/>
  <c r="O136" i="35" s="1"/>
  <c r="P136" i="35" s="1"/>
  <c r="Q136" i="35" s="1"/>
  <c r="R136" i="35" s="1"/>
  <c r="S136" i="35" s="1"/>
  <c r="T136" i="35" s="1"/>
  <c r="U136" i="35" s="1"/>
  <c r="V136" i="35" s="1"/>
  <c r="W136" i="35" s="1"/>
  <c r="X136" i="35" s="1"/>
  <c r="Y136" i="35" s="1"/>
  <c r="Z136" i="35" s="1"/>
  <c r="AA136" i="35" s="1"/>
  <c r="AB136" i="35" s="1"/>
  <c r="AC136" i="35" s="1"/>
  <c r="AD136" i="35" s="1"/>
  <c r="AE136" i="35" s="1"/>
  <c r="AF136" i="35" s="1"/>
  <c r="AG136" i="35" s="1"/>
  <c r="AH135" i="35"/>
  <c r="AH136" i="35" s="1"/>
  <c r="H40" i="22"/>
  <c r="H42" i="22" s="1"/>
  <c r="H44" i="22" s="1"/>
  <c r="H46" i="22" s="1"/>
  <c r="AF40" i="22"/>
  <c r="AF42" i="22" s="1"/>
  <c r="AF44" i="22" s="1"/>
  <c r="AF46" i="22" s="1"/>
  <c r="X40" i="22"/>
  <c r="X42" i="22" s="1"/>
  <c r="X44" i="22" s="1"/>
  <c r="X46" i="22" s="1"/>
  <c r="P40" i="22"/>
  <c r="P42" i="22" s="1"/>
  <c r="P44" i="22" s="1"/>
  <c r="P46" i="22" s="1"/>
  <c r="T40" i="22"/>
  <c r="T42" i="22" s="1"/>
  <c r="T44" i="22" s="1"/>
  <c r="T46" i="22" s="1"/>
  <c r="AB40" i="22"/>
  <c r="AB42" i="22" s="1"/>
  <c r="AB44" i="22" s="1"/>
  <c r="AB46" i="22" s="1"/>
  <c r="L40" i="22"/>
  <c r="L42" i="22" s="1"/>
  <c r="L44" i="22" s="1"/>
  <c r="L46" i="22" s="1"/>
  <c r="AA40" i="22"/>
  <c r="AA42" i="22" s="1"/>
  <c r="AA44" i="22" s="1"/>
  <c r="AA46" i="22" s="1"/>
  <c r="O40" i="22"/>
  <c r="O42" i="22" s="1"/>
  <c r="O44" i="22" s="1"/>
  <c r="O46" i="22" s="1"/>
  <c r="G40" i="22"/>
  <c r="G42" i="22" s="1"/>
  <c r="G44" i="22" s="1"/>
  <c r="G46" i="22" s="1"/>
  <c r="S40" i="22"/>
  <c r="S42" i="22" s="1"/>
  <c r="S44" i="22" s="1"/>
  <c r="S46" i="22" s="1"/>
  <c r="AD40" i="22"/>
  <c r="AD42" i="22" s="1"/>
  <c r="AD44" i="22" s="1"/>
  <c r="AD46" i="22" s="1"/>
  <c r="V40" i="22"/>
  <c r="V42" i="22" s="1"/>
  <c r="V44" i="22" s="1"/>
  <c r="V46" i="22" s="1"/>
  <c r="J40" i="22"/>
  <c r="J42" i="22" s="1"/>
  <c r="J44" i="22" s="1"/>
  <c r="J46" i="22" s="1"/>
  <c r="F40" i="22"/>
  <c r="F42" i="22" s="1"/>
  <c r="F44" i="22" s="1"/>
  <c r="F46" i="22" s="1"/>
  <c r="AE40" i="22"/>
  <c r="AE42" i="22" s="1"/>
  <c r="AE44" i="22" s="1"/>
  <c r="AE46" i="22" s="1"/>
  <c r="W40" i="22"/>
  <c r="W42" i="22" s="1"/>
  <c r="W44" i="22" s="1"/>
  <c r="W46" i="22" s="1"/>
  <c r="K40" i="22"/>
  <c r="K42" i="22" s="1"/>
  <c r="K44" i="22" s="1"/>
  <c r="K46" i="22" s="1"/>
  <c r="AH40" i="22"/>
  <c r="AH42" i="22" s="1"/>
  <c r="AH44" i="22" s="1"/>
  <c r="AH46" i="22" s="1"/>
  <c r="Z40" i="22"/>
  <c r="Z42" i="22" s="1"/>
  <c r="Z44" i="22" s="1"/>
  <c r="Z46" i="22" s="1"/>
  <c r="R40" i="22"/>
  <c r="R42" i="22" s="1"/>
  <c r="R44" i="22" s="1"/>
  <c r="R46" i="22" s="1"/>
  <c r="N40" i="22"/>
  <c r="N42" i="22" s="1"/>
  <c r="N44" i="22" s="1"/>
  <c r="N46" i="22" s="1"/>
  <c r="AG40" i="22"/>
  <c r="AG42" i="22" s="1"/>
  <c r="AG44" i="22" s="1"/>
  <c r="AG46" i="22" s="1"/>
  <c r="AC40" i="22"/>
  <c r="AC42" i="22" s="1"/>
  <c r="AC44" i="22" s="1"/>
  <c r="AC46" i="22" s="1"/>
  <c r="Y40" i="22"/>
  <c r="Y42" i="22" s="1"/>
  <c r="Y44" i="22" s="1"/>
  <c r="Y46" i="22" s="1"/>
  <c r="U40" i="22"/>
  <c r="U42" i="22" s="1"/>
  <c r="U44" i="22" s="1"/>
  <c r="U46" i="22" s="1"/>
  <c r="Q40" i="22"/>
  <c r="Q42" i="22" s="1"/>
  <c r="Q44" i="22" s="1"/>
  <c r="Q46" i="22" s="1"/>
  <c r="M40" i="22"/>
  <c r="M42" i="22" s="1"/>
  <c r="M44" i="22" s="1"/>
  <c r="M46" i="22" s="1"/>
  <c r="I40" i="22"/>
  <c r="I42" i="22" s="1"/>
  <c r="I44" i="22" s="1"/>
  <c r="I46" i="22" s="1"/>
  <c r="E38" i="24" a="1"/>
  <c r="E38" i="24" s="1"/>
  <c r="AI38" i="24" s="1"/>
  <c r="E40" i="22"/>
  <c r="B30" i="44" l="1"/>
  <c r="C14" i="44"/>
  <c r="B31" i="44" a="1"/>
  <c r="E42" i="22"/>
  <c r="E40" i="24" a="1"/>
  <c r="E40" i="24" s="1"/>
  <c r="B31" i="44" l="1"/>
  <c r="E59" i="24" a="1"/>
  <c r="AI40" i="24"/>
  <c r="E44" i="22"/>
  <c r="E42" i="24" a="1"/>
  <c r="E42" i="24" s="1"/>
  <c r="AI42" i="24" s="1"/>
  <c r="G60" i="24" l="1"/>
  <c r="O60" i="24"/>
  <c r="M60" i="24"/>
  <c r="E333" i="35"/>
  <c r="T60" i="24"/>
  <c r="Z60" i="24"/>
  <c r="X60" i="24"/>
  <c r="R60" i="24"/>
  <c r="AH60" i="24"/>
  <c r="P60" i="24"/>
  <c r="X333" i="35"/>
  <c r="AE60" i="24"/>
  <c r="AF60" i="24"/>
  <c r="V333" i="35"/>
  <c r="W60" i="24"/>
  <c r="Y333" i="35"/>
  <c r="K333" i="35"/>
  <c r="Y60" i="24"/>
  <c r="H60" i="24"/>
  <c r="AE333" i="35"/>
  <c r="AC60" i="24"/>
  <c r="R333" i="35"/>
  <c r="J60" i="24"/>
  <c r="AD333" i="35"/>
  <c r="O333" i="35"/>
  <c r="L60" i="24"/>
  <c r="AB60" i="24"/>
  <c r="U333" i="35"/>
  <c r="U60" i="24"/>
  <c r="N60" i="24"/>
  <c r="AA60" i="24"/>
  <c r="F333" i="35"/>
  <c r="P333" i="35"/>
  <c r="Q60" i="24"/>
  <c r="K60" i="24"/>
  <c r="H333" i="35"/>
  <c r="G333" i="35"/>
  <c r="N333" i="35"/>
  <c r="AF333" i="35"/>
  <c r="AC333" i="35"/>
  <c r="Z333" i="35"/>
  <c r="AA333" i="35"/>
  <c r="I60" i="24"/>
  <c r="M333" i="35"/>
  <c r="L333" i="35"/>
  <c r="AG333" i="35"/>
  <c r="I333" i="35"/>
  <c r="V60" i="24"/>
  <c r="AG60" i="24"/>
  <c r="T333" i="35"/>
  <c r="J333" i="35"/>
  <c r="AD60" i="24"/>
  <c r="S60" i="24"/>
  <c r="AB333" i="35"/>
  <c r="W333" i="35"/>
  <c r="Q333" i="35"/>
  <c r="S333" i="35"/>
  <c r="F60" i="24"/>
  <c r="E59" i="24"/>
  <c r="E46" i="22"/>
  <c r="E44" i="24" a="1"/>
  <c r="D333" i="35" l="1"/>
  <c r="E334" i="35"/>
  <c r="R334" i="35"/>
  <c r="AC334" i="35"/>
  <c r="AF334" i="35"/>
  <c r="U334" i="35"/>
  <c r="H334" i="35"/>
  <c r="J334" i="35"/>
  <c r="P334" i="35"/>
  <c r="Z334" i="35"/>
  <c r="M334" i="35"/>
  <c r="T334" i="35"/>
  <c r="AA334" i="35"/>
  <c r="K334" i="35"/>
  <c r="I334" i="35"/>
  <c r="AB334" i="35"/>
  <c r="G334" i="35"/>
  <c r="X334" i="35"/>
  <c r="V334" i="35"/>
  <c r="AE334" i="35"/>
  <c r="AD334" i="35"/>
  <c r="O334" i="35"/>
  <c r="AG334" i="35"/>
  <c r="Q334" i="35"/>
  <c r="W334" i="35"/>
  <c r="Y334" i="35"/>
  <c r="S334" i="35"/>
  <c r="L334" i="35"/>
  <c r="N334" i="35"/>
  <c r="F334" i="35"/>
  <c r="E60" i="24"/>
  <c r="E44" i="24"/>
  <c r="AI44" i="24" s="1"/>
  <c r="E47" i="22"/>
  <c r="E46" i="24" a="1"/>
  <c r="D334" i="35" l="1"/>
  <c r="E46" i="24"/>
  <c r="AI46" i="24" s="1"/>
  <c r="E48" i="22"/>
  <c r="F45" i="22"/>
  <c r="F47" i="22" l="1"/>
  <c r="E49" i="22"/>
  <c r="E50" i="22"/>
  <c r="E51" i="22"/>
  <c r="E29" i="20" l="1"/>
  <c r="E52" i="22"/>
  <c r="F48" i="22"/>
  <c r="G45" i="22"/>
  <c r="G47" i="22" l="1"/>
  <c r="F49" i="22"/>
  <c r="F51" i="22"/>
  <c r="F50" i="22"/>
  <c r="E53" i="22"/>
  <c r="E48" i="20" l="1"/>
  <c r="G48" i="22"/>
  <c r="H45" i="22"/>
  <c r="H47" i="22" l="1"/>
  <c r="G51" i="22"/>
  <c r="G49" i="22"/>
  <c r="G50" i="22"/>
  <c r="H48" i="22" l="1"/>
  <c r="I45" i="22"/>
  <c r="I47" i="22" l="1"/>
  <c r="H49" i="22"/>
  <c r="H51" i="22"/>
  <c r="H50" i="22"/>
  <c r="I48" i="22" l="1"/>
  <c r="J45" i="22"/>
  <c r="J47" i="22" l="1"/>
  <c r="I50" i="22"/>
  <c r="I49" i="22"/>
  <c r="I51" i="22"/>
  <c r="J48" i="22" l="1"/>
  <c r="K45" i="22"/>
  <c r="K47" i="22" l="1"/>
  <c r="J50" i="22"/>
  <c r="J49" i="22"/>
  <c r="J51" i="22"/>
  <c r="K48" i="22" l="1"/>
  <c r="L45" i="22"/>
  <c r="L47" i="22" l="1"/>
  <c r="K49" i="22"/>
  <c r="K50" i="22"/>
  <c r="K51" i="22"/>
  <c r="L48" i="22" l="1"/>
  <c r="M45" i="22"/>
  <c r="M47" i="22" l="1"/>
  <c r="L49" i="22"/>
  <c r="L50" i="22"/>
  <c r="L51" i="22"/>
  <c r="M48" i="22" l="1"/>
  <c r="N45" i="22"/>
  <c r="N47" i="22" l="1"/>
  <c r="M50" i="22"/>
  <c r="M51" i="22"/>
  <c r="M49" i="22"/>
  <c r="N48" i="22" l="1"/>
  <c r="O45" i="22"/>
  <c r="O47" i="22" l="1"/>
  <c r="N51" i="22"/>
  <c r="N49" i="22"/>
  <c r="N50" i="22"/>
  <c r="O48" i="22" l="1"/>
  <c r="P45" i="22"/>
  <c r="P47" i="22" l="1"/>
  <c r="O49" i="22"/>
  <c r="O51" i="22"/>
  <c r="O50" i="22"/>
  <c r="P48" i="22" l="1"/>
  <c r="Q45" i="22"/>
  <c r="Q47" i="22" l="1"/>
  <c r="P49" i="22"/>
  <c r="P50" i="22"/>
  <c r="P51" i="22"/>
  <c r="Q48" i="22" l="1"/>
  <c r="R45" i="22"/>
  <c r="R47" i="22" l="1"/>
  <c r="Q50" i="22"/>
  <c r="Q49" i="22"/>
  <c r="Q51" i="22"/>
  <c r="R48" i="22" l="1"/>
  <c r="S45" i="22"/>
  <c r="S47" i="22" l="1"/>
  <c r="R51" i="22"/>
  <c r="R49" i="22"/>
  <c r="R50" i="22"/>
  <c r="S48" i="22" l="1"/>
  <c r="T45" i="22"/>
  <c r="T47" i="22" l="1"/>
  <c r="S50" i="22"/>
  <c r="S51" i="22"/>
  <c r="S49" i="22"/>
  <c r="T48" i="22" l="1"/>
  <c r="U45" i="22"/>
  <c r="U47" i="22" l="1"/>
  <c r="T51" i="22"/>
  <c r="T50" i="22"/>
  <c r="T49" i="22"/>
  <c r="U48" i="22" l="1"/>
  <c r="V45" i="22"/>
  <c r="V47" i="22" l="1"/>
  <c r="U49" i="22"/>
  <c r="U50" i="22"/>
  <c r="U51" i="22"/>
  <c r="V48" i="22" l="1"/>
  <c r="W45" i="22"/>
  <c r="W47" i="22" l="1"/>
  <c r="V51" i="22"/>
  <c r="V50" i="22"/>
  <c r="V49" i="22"/>
  <c r="W48" i="22" l="1"/>
  <c r="X45" i="22"/>
  <c r="X47" i="22" l="1"/>
  <c r="W49" i="22"/>
  <c r="W51" i="22"/>
  <c r="W50" i="22"/>
  <c r="X48" i="22" l="1"/>
  <c r="Y45" i="22"/>
  <c r="Y47" i="22" l="1"/>
  <c r="X50" i="22"/>
  <c r="X51" i="22"/>
  <c r="X49" i="22"/>
  <c r="Y48" i="22" l="1"/>
  <c r="Z45" i="22"/>
  <c r="Z47" i="22" l="1"/>
  <c r="Y50" i="22"/>
  <c r="Y51" i="22"/>
  <c r="Y49" i="22"/>
  <c r="Z48" i="22" l="1"/>
  <c r="AA45" i="22"/>
  <c r="AA47" i="22" l="1"/>
  <c r="Z50" i="22"/>
  <c r="Z49" i="22"/>
  <c r="Z51" i="22"/>
  <c r="AA48" i="22" l="1"/>
  <c r="AB45" i="22"/>
  <c r="AB47" i="22" l="1"/>
  <c r="AA51" i="22"/>
  <c r="AA49" i="22"/>
  <c r="AA50" i="22"/>
  <c r="AB48" i="22" l="1"/>
  <c r="AC45" i="22"/>
  <c r="AC47" i="22" l="1"/>
  <c r="AB51" i="22"/>
  <c r="AB49" i="22"/>
  <c r="AB50" i="22"/>
  <c r="AC48" i="22" l="1"/>
  <c r="AD45" i="22"/>
  <c r="AD47" i="22" l="1"/>
  <c r="AC50" i="22"/>
  <c r="AC49" i="22"/>
  <c r="AC51" i="22"/>
  <c r="AD48" i="22" l="1"/>
  <c r="AE45" i="22"/>
  <c r="AE47" i="22" l="1"/>
  <c r="AD51" i="22"/>
  <c r="AD49" i="22"/>
  <c r="AD50" i="22"/>
  <c r="AE48" i="22" l="1"/>
  <c r="AF45" i="22"/>
  <c r="AF47" i="22" l="1"/>
  <c r="AE51" i="22"/>
  <c r="AE49" i="22"/>
  <c r="AE50" i="22"/>
  <c r="AF48" i="22" l="1"/>
  <c r="AG45" i="22"/>
  <c r="AG47" i="22" l="1"/>
  <c r="AF50" i="22"/>
  <c r="AF49" i="22"/>
  <c r="AF51" i="22"/>
  <c r="AG48" i="22" l="1"/>
  <c r="AH45" i="22"/>
  <c r="AH47" i="22" l="1"/>
  <c r="E45" i="24" a="1"/>
  <c r="E45" i="24" s="1"/>
  <c r="AI45" i="24" s="1"/>
  <c r="AG50" i="22"/>
  <c r="AG49" i="22"/>
  <c r="AG51" i="22"/>
  <c r="AH48" i="22" l="1"/>
  <c r="E47" i="24" a="1"/>
  <c r="E47" i="24" l="1"/>
  <c r="AI47" i="24" s="1"/>
  <c r="AH50" i="22"/>
  <c r="AH49" i="22"/>
  <c r="AH51" i="22"/>
  <c r="E48" i="24" a="1"/>
  <c r="E48" i="24" s="1"/>
  <c r="AI48" i="24" s="1"/>
  <c r="E51" i="24" l="1" a="1"/>
  <c r="E51" i="24" s="1"/>
  <c r="AI51" i="24" s="1"/>
  <c r="E50" i="24" a="1"/>
  <c r="E50" i="24" s="1"/>
  <c r="AI50" i="24" s="1"/>
  <c r="E49" i="24" a="1"/>
  <c r="G12" i="7" l="1"/>
  <c r="G13" i="7" s="1"/>
  <c r="J12" i="7"/>
  <c r="J13" i="7" s="1"/>
  <c r="X12" i="7"/>
  <c r="X13" i="7" s="1"/>
  <c r="I12" i="7"/>
  <c r="I13" i="7" s="1"/>
  <c r="O12" i="7"/>
  <c r="O13" i="7" s="1"/>
  <c r="Y12" i="7"/>
  <c r="Y13" i="7" s="1"/>
  <c r="H12" i="7"/>
  <c r="H13" i="7" s="1"/>
  <c r="T12" i="7"/>
  <c r="T13" i="7" s="1"/>
  <c r="F12" i="7"/>
  <c r="F13" i="7" s="1"/>
  <c r="AA12" i="7"/>
  <c r="AA13" i="7" s="1"/>
  <c r="AE12" i="7"/>
  <c r="AE13" i="7" s="1"/>
  <c r="V12" i="7"/>
  <c r="V13" i="7" s="1"/>
  <c r="Q12" i="7"/>
  <c r="Q13" i="7" s="1"/>
  <c r="R12" i="7"/>
  <c r="R13" i="7" s="1"/>
  <c r="N12" i="7"/>
  <c r="N13" i="7" s="1"/>
  <c r="L12" i="7"/>
  <c r="L13" i="7" s="1"/>
  <c r="AB12" i="7"/>
  <c r="AB13" i="7" s="1"/>
  <c r="E49" i="24"/>
  <c r="AC12" i="7"/>
  <c r="AC13" i="7" s="1"/>
  <c r="W12" i="7"/>
  <c r="W13" i="7" s="1"/>
  <c r="Z12" i="7"/>
  <c r="Z13" i="7" s="1"/>
  <c r="M12" i="7"/>
  <c r="M13" i="7" s="1"/>
  <c r="D12" i="7"/>
  <c r="D13" i="7" s="1"/>
  <c r="K12" i="7"/>
  <c r="K13" i="7" s="1"/>
  <c r="AF12" i="7"/>
  <c r="AF13" i="7" s="1"/>
  <c r="E12" i="7"/>
  <c r="E13" i="7" s="1"/>
  <c r="S12" i="7"/>
  <c r="S13" i="7" s="1"/>
  <c r="P12" i="7"/>
  <c r="P13" i="7" s="1"/>
  <c r="U12" i="7"/>
  <c r="U13" i="7" s="1"/>
  <c r="AD12" i="7"/>
  <c r="AD13" i="7" s="1"/>
  <c r="C12" i="7" l="1"/>
  <c r="AI49" i="24"/>
  <c r="AE366" i="35"/>
  <c r="AE233" i="35"/>
  <c r="V366" i="35"/>
  <c r="V233" i="35"/>
  <c r="Q233" i="35"/>
  <c r="Q366" i="35"/>
  <c r="T366" i="35"/>
  <c r="T233" i="35"/>
  <c r="F366" i="35"/>
  <c r="F233" i="35"/>
  <c r="AG366" i="35"/>
  <c r="AG233" i="35"/>
  <c r="L366" i="35"/>
  <c r="L233" i="35"/>
  <c r="E233" i="35"/>
  <c r="E366" i="35"/>
  <c r="N233" i="35"/>
  <c r="N366" i="35"/>
  <c r="AA366" i="35"/>
  <c r="AA233" i="35"/>
  <c r="X233" i="35"/>
  <c r="X366" i="35"/>
  <c r="AD366" i="35"/>
  <c r="AD233" i="35"/>
  <c r="AC233" i="35"/>
  <c r="AC366" i="35"/>
  <c r="M366" i="35"/>
  <c r="M233" i="35"/>
  <c r="O233" i="35"/>
  <c r="O366" i="35"/>
  <c r="S233" i="35"/>
  <c r="S366" i="35"/>
  <c r="R366" i="35"/>
  <c r="R233" i="35"/>
  <c r="W233" i="35"/>
  <c r="W366" i="35"/>
  <c r="AF366" i="35"/>
  <c r="AF233" i="35"/>
  <c r="AB233" i="35"/>
  <c r="AB366" i="35"/>
  <c r="G233" i="35"/>
  <c r="G366" i="35"/>
  <c r="U233" i="35"/>
  <c r="U366" i="35"/>
  <c r="I366" i="35"/>
  <c r="I233" i="35"/>
  <c r="Z366" i="35"/>
  <c r="Z233" i="35"/>
  <c r="P233" i="35"/>
  <c r="P366" i="35"/>
  <c r="J366" i="35"/>
  <c r="J233" i="35"/>
  <c r="Y366" i="35"/>
  <c r="Y233" i="35"/>
  <c r="K233" i="35"/>
  <c r="K366" i="35"/>
  <c r="H233" i="35"/>
  <c r="H366" i="35"/>
  <c r="D26" i="44" l="1" a="1"/>
  <c r="D26" i="44" s="1"/>
  <c r="B34" i="44" s="1" a="1"/>
  <c r="D35" i="44" s="1"/>
  <c r="C13" i="7"/>
  <c r="C35" i="44" l="1"/>
  <c r="B38" i="44" s="1"/>
  <c r="B34" i="44"/>
  <c r="C42" i="2"/>
  <c r="C14" i="7"/>
  <c r="D233" i="35"/>
  <c r="C15" i="2"/>
  <c r="D366" i="35"/>
  <c r="C45" i="2" l="1"/>
  <c r="D234" i="35"/>
  <c r="D14" i="7"/>
  <c r="D367" i="35"/>
  <c r="E14" i="7" l="1"/>
  <c r="E367" i="35"/>
  <c r="E234" i="35"/>
  <c r="F367" i="35" l="1"/>
  <c r="F234" i="35"/>
  <c r="F14" i="7"/>
  <c r="G14" i="7" l="1"/>
  <c r="G234" i="35"/>
  <c r="G367" i="35"/>
  <c r="H14" i="7" l="1"/>
  <c r="H367" i="35"/>
  <c r="H234" i="35"/>
  <c r="I14" i="7" l="1"/>
  <c r="I234" i="35"/>
  <c r="I367" i="35"/>
  <c r="J14" i="7" l="1"/>
  <c r="J367" i="35"/>
  <c r="J234" i="35"/>
  <c r="K14" i="7" l="1"/>
  <c r="K234" i="35"/>
  <c r="K367" i="35"/>
  <c r="L14" i="7" l="1"/>
  <c r="L367" i="35"/>
  <c r="L234" i="35"/>
  <c r="M14" i="7" l="1"/>
  <c r="M234" i="35"/>
  <c r="M367" i="35"/>
  <c r="N14" i="7" l="1"/>
  <c r="N367" i="35"/>
  <c r="N234" i="35"/>
  <c r="O14" i="7" l="1"/>
  <c r="O234" i="35"/>
  <c r="O367" i="35"/>
  <c r="P14" i="7" l="1"/>
  <c r="P234" i="35"/>
  <c r="P367" i="35"/>
  <c r="Q14" i="7" l="1"/>
  <c r="Q234" i="35"/>
  <c r="Q367" i="35"/>
  <c r="R14" i="7" l="1"/>
  <c r="R367" i="35"/>
  <c r="R234" i="35"/>
  <c r="S14" i="7" l="1"/>
  <c r="S234" i="35"/>
  <c r="S367" i="35"/>
  <c r="T14" i="7" l="1"/>
  <c r="T234" i="35"/>
  <c r="T367" i="35"/>
  <c r="U14" i="7" l="1"/>
  <c r="U234" i="35"/>
  <c r="U367" i="35"/>
  <c r="V14" i="7" l="1"/>
  <c r="V367" i="35"/>
  <c r="V234" i="35"/>
  <c r="W14" i="7" l="1"/>
  <c r="W234" i="35"/>
  <c r="W367" i="35"/>
  <c r="X14" i="7" l="1"/>
  <c r="X234" i="35"/>
  <c r="X367" i="35"/>
  <c r="Y14" i="7" l="1"/>
  <c r="Y234" i="35"/>
  <c r="Y367" i="35"/>
  <c r="Z14" i="7" l="1"/>
  <c r="Z234" i="35"/>
  <c r="Z367" i="35"/>
  <c r="AA14" i="7" l="1"/>
  <c r="AA234" i="35"/>
  <c r="AA367" i="35"/>
  <c r="AB14" i="7" l="1"/>
  <c r="AB367" i="35"/>
  <c r="AB234" i="35"/>
  <c r="AC14" i="7" l="1"/>
  <c r="AC234" i="35"/>
  <c r="AC367" i="35"/>
  <c r="AD14" i="7" l="1"/>
  <c r="AD367" i="35"/>
  <c r="AD234" i="35"/>
  <c r="AE14" i="7" l="1"/>
  <c r="AE234" i="35"/>
  <c r="AE367" i="35"/>
  <c r="AF14" i="7" l="1"/>
  <c r="AF234" i="35"/>
  <c r="AF367" i="35"/>
  <c r="C46" i="2" l="1"/>
  <c r="C47" i="2" s="1"/>
  <c r="C48" i="2" s="1"/>
  <c r="C30" i="7" a="1"/>
  <c r="C30" i="7" s="1"/>
  <c r="C43" i="2" s="1"/>
  <c r="AG234" i="35"/>
  <c r="AG367" i="35"/>
  <c r="C18" i="7" l="1"/>
  <c r="E52" i="20" l="1"/>
  <c r="E28" i="20"/>
  <c r="E7" i="20" l="1"/>
  <c r="E5" i="20" s="1"/>
  <c r="E34" i="20"/>
  <c r="E35" i="20" s="1"/>
  <c r="F28" i="20"/>
  <c r="G28" i="20" s="1"/>
  <c r="H28" i="20" s="1"/>
  <c r="I28" i="20" s="1"/>
  <c r="J28" i="20" s="1"/>
  <c r="K28" i="20" s="1"/>
  <c r="L28" i="20" s="1"/>
  <c r="M28" i="20" s="1"/>
  <c r="N28" i="20" s="1"/>
  <c r="O28" i="20" s="1"/>
  <c r="P28" i="20" s="1"/>
  <c r="Q28" i="20" s="1"/>
  <c r="R28" i="20" s="1"/>
  <c r="S28" i="20" s="1"/>
  <c r="T28" i="20" s="1"/>
  <c r="U28" i="20" s="1"/>
  <c r="V28" i="20" s="1"/>
  <c r="W28" i="20" s="1"/>
  <c r="X28" i="20" s="1"/>
  <c r="Y28" i="20" s="1"/>
  <c r="Z28" i="20" s="1"/>
  <c r="AA28" i="20" s="1"/>
  <c r="AB28" i="20" s="1"/>
  <c r="AC28" i="20" s="1"/>
  <c r="AD28" i="20" s="1"/>
  <c r="AE28" i="20" s="1"/>
  <c r="AF28" i="20" s="1"/>
  <c r="AG28" i="20" s="1"/>
  <c r="AH28" i="20" s="1"/>
  <c r="E36" i="20" l="1"/>
  <c r="E37" i="20" s="1"/>
  <c r="E38" i="20"/>
  <c r="E20" i="20"/>
  <c r="E16" i="20" s="1"/>
  <c r="E43" i="20" s="1"/>
  <c r="E28" i="23" a="1"/>
  <c r="E28" i="23" s="1"/>
  <c r="E39" i="20" l="1"/>
  <c r="E43" i="22"/>
  <c r="F52" i="22" s="1"/>
  <c r="F53" i="22" s="1"/>
  <c r="F29" i="20"/>
  <c r="F52" i="20"/>
  <c r="F48" i="20" l="1"/>
  <c r="F34" i="20"/>
  <c r="F35" i="20" s="1"/>
  <c r="F7" i="20"/>
  <c r="F5" i="20" s="1"/>
  <c r="F36" i="20" l="1"/>
  <c r="F37" i="20" s="1"/>
  <c r="F38" i="20"/>
  <c r="F20" i="20"/>
  <c r="F16" i="20" s="1"/>
  <c r="F43" i="20" s="1"/>
  <c r="F39" i="20" l="1"/>
  <c r="G29" i="20"/>
  <c r="F43" i="22"/>
  <c r="G52" i="22" s="1"/>
  <c r="G53" i="22" s="1"/>
  <c r="G52" i="20"/>
  <c r="G34" i="20" l="1"/>
  <c r="G35" i="20" s="1"/>
  <c r="G20" i="20" s="1"/>
  <c r="G7" i="20"/>
  <c r="G5" i="20" s="1"/>
  <c r="G48" i="20"/>
  <c r="G38" i="20" l="1"/>
  <c r="G36" i="20"/>
  <c r="G37" i="20" s="1"/>
  <c r="G43" i="22" s="1"/>
  <c r="G16" i="20"/>
  <c r="G43" i="20" s="1"/>
  <c r="H52" i="20" l="1"/>
  <c r="H34" i="20" s="1"/>
  <c r="H29" i="20"/>
  <c r="G39" i="20"/>
  <c r="H52" i="22"/>
  <c r="H7" i="20" l="1"/>
  <c r="H5" i="20" s="1"/>
  <c r="H53" i="22"/>
  <c r="H35" i="20"/>
  <c r="H20" i="20" l="1"/>
  <c r="H36" i="20"/>
  <c r="H37" i="20" s="1"/>
  <c r="H38" i="20"/>
  <c r="H48" i="20"/>
  <c r="H39" i="20" l="1"/>
  <c r="H43" i="22"/>
  <c r="I29" i="20"/>
  <c r="I52" i="20"/>
  <c r="H16" i="20"/>
  <c r="H43" i="20" s="1"/>
  <c r="I34" i="20" l="1"/>
  <c r="I7" i="20"/>
  <c r="I52" i="22"/>
  <c r="I53" i="22" l="1"/>
  <c r="I5" i="20"/>
  <c r="I35" i="20"/>
  <c r="I20" i="20" l="1"/>
  <c r="I36" i="20"/>
  <c r="I37" i="20" s="1"/>
  <c r="I38" i="20"/>
  <c r="I48" i="20"/>
  <c r="I39" i="20" l="1"/>
  <c r="I43" i="22"/>
  <c r="J29" i="20"/>
  <c r="J52" i="20"/>
  <c r="I16" i="20"/>
  <c r="I43" i="20" s="1"/>
  <c r="J34" i="20" l="1"/>
  <c r="J7" i="20"/>
  <c r="J52" i="22"/>
  <c r="J53" i="22" l="1"/>
  <c r="J5" i="20"/>
  <c r="J35" i="20"/>
  <c r="J20" i="20" l="1"/>
  <c r="J36" i="20"/>
  <c r="J37" i="20" s="1"/>
  <c r="J38" i="20"/>
  <c r="J48" i="20"/>
  <c r="J39" i="20" l="1"/>
  <c r="J43" i="22"/>
  <c r="K29" i="20"/>
  <c r="K52" i="20"/>
  <c r="J16" i="20"/>
  <c r="J43" i="20" s="1"/>
  <c r="K34" i="20" l="1"/>
  <c r="K7" i="20"/>
  <c r="K52" i="22"/>
  <c r="K53" i="22" l="1"/>
  <c r="K5" i="20"/>
  <c r="K35" i="20"/>
  <c r="K20" i="20" l="1"/>
  <c r="K36" i="20"/>
  <c r="K37" i="20" s="1"/>
  <c r="K38" i="20"/>
  <c r="K48" i="20"/>
  <c r="K39" i="20" l="1"/>
  <c r="K43" i="22"/>
  <c r="L29" i="20"/>
  <c r="L52" i="20"/>
  <c r="K16" i="20"/>
  <c r="K43" i="20" s="1"/>
  <c r="L34" i="20" l="1"/>
  <c r="L7" i="20"/>
  <c r="L52" i="22"/>
  <c r="L53" i="22" l="1"/>
  <c r="L5" i="20"/>
  <c r="L35" i="20"/>
  <c r="L20" i="20" l="1"/>
  <c r="L36" i="20"/>
  <c r="L37" i="20" s="1"/>
  <c r="L38" i="20"/>
  <c r="L48" i="20"/>
  <c r="L39" i="20" l="1"/>
  <c r="L43" i="22"/>
  <c r="M29" i="20"/>
  <c r="M52" i="20"/>
  <c r="L16" i="20"/>
  <c r="L43" i="20" s="1"/>
  <c r="M34" i="20" l="1"/>
  <c r="M7" i="20"/>
  <c r="M52" i="22"/>
  <c r="M53" i="22" l="1"/>
  <c r="M5" i="20"/>
  <c r="M35" i="20"/>
  <c r="M20" i="20" l="1"/>
  <c r="M36" i="20"/>
  <c r="M37" i="20" s="1"/>
  <c r="M38" i="20"/>
  <c r="M48" i="20"/>
  <c r="M39" i="20" l="1"/>
  <c r="M43" i="22"/>
  <c r="N29" i="20"/>
  <c r="N52" i="20"/>
  <c r="M16" i="20"/>
  <c r="M43" i="20" s="1"/>
  <c r="N34" i="20" l="1"/>
  <c r="N7" i="20"/>
  <c r="N52" i="22"/>
  <c r="N53" i="22" l="1"/>
  <c r="N5" i="20"/>
  <c r="N35" i="20"/>
  <c r="N20" i="20" l="1"/>
  <c r="N36" i="20"/>
  <c r="N37" i="20" s="1"/>
  <c r="N38" i="20"/>
  <c r="N48" i="20"/>
  <c r="N39" i="20" l="1"/>
  <c r="N43" i="22"/>
  <c r="O29" i="20"/>
  <c r="O52" i="20"/>
  <c r="N16" i="20"/>
  <c r="N43" i="20" s="1"/>
  <c r="O34" i="20" l="1"/>
  <c r="O7" i="20"/>
  <c r="O52" i="22"/>
  <c r="O53" i="22" l="1"/>
  <c r="O5" i="20"/>
  <c r="O35" i="20"/>
  <c r="O20" i="20" l="1"/>
  <c r="O36" i="20"/>
  <c r="O37" i="20" s="1"/>
  <c r="O38" i="20"/>
  <c r="O48" i="20"/>
  <c r="O39" i="20" l="1"/>
  <c r="O43" i="22"/>
  <c r="P29" i="20"/>
  <c r="P52" i="20"/>
  <c r="O16" i="20"/>
  <c r="O43" i="20" s="1"/>
  <c r="P34" i="20" l="1"/>
  <c r="P7" i="20"/>
  <c r="P52" i="22"/>
  <c r="P53" i="22" l="1"/>
  <c r="P5" i="20"/>
  <c r="P35" i="20"/>
  <c r="P20" i="20" l="1"/>
  <c r="P36" i="20"/>
  <c r="P37" i="20" s="1"/>
  <c r="P38" i="20"/>
  <c r="P48" i="20"/>
  <c r="P39" i="20" l="1"/>
  <c r="P43" i="22"/>
  <c r="Q29" i="20"/>
  <c r="Q52" i="20"/>
  <c r="P16" i="20"/>
  <c r="P43" i="20" s="1"/>
  <c r="Q34" i="20" l="1"/>
  <c r="Q7" i="20"/>
  <c r="Q52" i="22"/>
  <c r="Q53" i="22" l="1"/>
  <c r="Q5" i="20"/>
  <c r="Q35" i="20"/>
  <c r="Q20" i="20" l="1"/>
  <c r="Q36" i="20"/>
  <c r="Q37" i="20" s="1"/>
  <c r="Q38" i="20"/>
  <c r="Q48" i="20"/>
  <c r="Q39" i="20" l="1"/>
  <c r="Q43" i="22"/>
  <c r="R29" i="20"/>
  <c r="R52" i="20"/>
  <c r="Q16" i="20"/>
  <c r="Q43" i="20" s="1"/>
  <c r="R34" i="20" l="1"/>
  <c r="R7" i="20"/>
  <c r="R52" i="22"/>
  <c r="R53" i="22" l="1"/>
  <c r="R5" i="20"/>
  <c r="R35" i="20"/>
  <c r="R20" i="20" l="1"/>
  <c r="R36" i="20"/>
  <c r="R37" i="20" s="1"/>
  <c r="R38" i="20"/>
  <c r="R48" i="20"/>
  <c r="R39" i="20" l="1"/>
  <c r="R43" i="22"/>
  <c r="S29" i="20"/>
  <c r="S52" i="20"/>
  <c r="R16" i="20"/>
  <c r="R43" i="20" s="1"/>
  <c r="S34" i="20" l="1"/>
  <c r="S7" i="20"/>
  <c r="S52" i="22"/>
  <c r="S53" i="22" l="1"/>
  <c r="S5" i="20"/>
  <c r="S35" i="20"/>
  <c r="S20" i="20" l="1"/>
  <c r="S36" i="20"/>
  <c r="S37" i="20" s="1"/>
  <c r="S38" i="20"/>
  <c r="S48" i="20"/>
  <c r="S39" i="20" l="1"/>
  <c r="S43" i="22"/>
  <c r="T29" i="20"/>
  <c r="T52" i="20"/>
  <c r="S16" i="20"/>
  <c r="S43" i="20" s="1"/>
  <c r="T34" i="20" l="1"/>
  <c r="T7" i="20"/>
  <c r="T52" i="22"/>
  <c r="T53" i="22" l="1"/>
  <c r="T5" i="20"/>
  <c r="T35" i="20"/>
  <c r="T20" i="20" l="1"/>
  <c r="T36" i="20"/>
  <c r="T37" i="20" s="1"/>
  <c r="T38" i="20"/>
  <c r="T48" i="20"/>
  <c r="T39" i="20" l="1"/>
  <c r="T43" i="22"/>
  <c r="U29" i="20"/>
  <c r="U52" i="20"/>
  <c r="T16" i="20"/>
  <c r="T43" i="20" s="1"/>
  <c r="U34" i="20" l="1"/>
  <c r="U7" i="20"/>
  <c r="U52" i="22"/>
  <c r="U53" i="22" l="1"/>
  <c r="U5" i="20"/>
  <c r="U35" i="20"/>
  <c r="U20" i="20" l="1"/>
  <c r="U36" i="20"/>
  <c r="U37" i="20" s="1"/>
  <c r="U38" i="20"/>
  <c r="U48" i="20"/>
  <c r="U39" i="20" l="1"/>
  <c r="U43" i="22"/>
  <c r="V29" i="20"/>
  <c r="V52" i="20"/>
  <c r="U16" i="20"/>
  <c r="U43" i="20" s="1"/>
  <c r="V34" i="20" l="1"/>
  <c r="V7" i="20"/>
  <c r="V52" i="22"/>
  <c r="V53" i="22" l="1"/>
  <c r="V5" i="20"/>
  <c r="V35" i="20"/>
  <c r="V20" i="20" l="1"/>
  <c r="V36" i="20"/>
  <c r="V37" i="20" s="1"/>
  <c r="V38" i="20"/>
  <c r="V48" i="20"/>
  <c r="V39" i="20" l="1"/>
  <c r="V43" i="22"/>
  <c r="W29" i="20"/>
  <c r="W52" i="20"/>
  <c r="V16" i="20"/>
  <c r="V43" i="20" s="1"/>
  <c r="W34" i="20" l="1"/>
  <c r="W7" i="20"/>
  <c r="W52" i="22"/>
  <c r="W53" i="22" l="1"/>
  <c r="W5" i="20"/>
  <c r="W35" i="20"/>
  <c r="W20" i="20" l="1"/>
  <c r="W36" i="20"/>
  <c r="W37" i="20" s="1"/>
  <c r="W38" i="20"/>
  <c r="W48" i="20"/>
  <c r="W39" i="20" l="1"/>
  <c r="W43" i="22"/>
  <c r="X29" i="20"/>
  <c r="X52" i="20"/>
  <c r="W16" i="20"/>
  <c r="W43" i="20" s="1"/>
  <c r="X34" i="20" l="1"/>
  <c r="X7" i="20"/>
  <c r="X52" i="22"/>
  <c r="X53" i="22" l="1"/>
  <c r="X5" i="20"/>
  <c r="X35" i="20"/>
  <c r="X20" i="20" l="1"/>
  <c r="X36" i="20"/>
  <c r="X37" i="20" s="1"/>
  <c r="X38" i="20"/>
  <c r="X48" i="20"/>
  <c r="X39" i="20" l="1"/>
  <c r="X43" i="22"/>
  <c r="Y29" i="20"/>
  <c r="Y52" i="20"/>
  <c r="X16" i="20"/>
  <c r="X43" i="20" s="1"/>
  <c r="Y34" i="20" l="1"/>
  <c r="Y7" i="20"/>
  <c r="Y52" i="22"/>
  <c r="Y53" i="22" l="1"/>
  <c r="Y5" i="20"/>
  <c r="Y35" i="20"/>
  <c r="Y20" i="20" l="1"/>
  <c r="Y36" i="20"/>
  <c r="Y37" i="20" s="1"/>
  <c r="Y38" i="20"/>
  <c r="Y48" i="20"/>
  <c r="Y39" i="20" l="1"/>
  <c r="Y43" i="22"/>
  <c r="Z29" i="20"/>
  <c r="Z52" i="20"/>
  <c r="Y16" i="20"/>
  <c r="Y43" i="20" s="1"/>
  <c r="Z34" i="20" l="1"/>
  <c r="Z7" i="20"/>
  <c r="Z52" i="22"/>
  <c r="Z53" i="22" l="1"/>
  <c r="Z5" i="20"/>
  <c r="Z35" i="20"/>
  <c r="Z20" i="20" l="1"/>
  <c r="Z36" i="20"/>
  <c r="Z37" i="20" s="1"/>
  <c r="Z38" i="20"/>
  <c r="Z48" i="20"/>
  <c r="Z39" i="20" l="1"/>
  <c r="Z43" i="22"/>
  <c r="AA29" i="20"/>
  <c r="AA52" i="20"/>
  <c r="Z16" i="20"/>
  <c r="Z43" i="20" s="1"/>
  <c r="AA34" i="20" l="1"/>
  <c r="AA7" i="20"/>
  <c r="AA52" i="22"/>
  <c r="AA53" i="22" l="1"/>
  <c r="AA5" i="20"/>
  <c r="AA35" i="20"/>
  <c r="AA20" i="20" l="1"/>
  <c r="AA36" i="20"/>
  <c r="AA37" i="20" s="1"/>
  <c r="AA38" i="20"/>
  <c r="AA48" i="20"/>
  <c r="AA39" i="20" l="1"/>
  <c r="AA43" i="22"/>
  <c r="AB29" i="20"/>
  <c r="AB52" i="20"/>
  <c r="AA16" i="20"/>
  <c r="AA43" i="20" s="1"/>
  <c r="AB34" i="20" l="1"/>
  <c r="AB7" i="20"/>
  <c r="AB52" i="22"/>
  <c r="AB53" i="22" l="1"/>
  <c r="AB5" i="20"/>
  <c r="AB35" i="20"/>
  <c r="AB20" i="20" l="1"/>
  <c r="AB36" i="20"/>
  <c r="AB37" i="20" s="1"/>
  <c r="AB38" i="20"/>
  <c r="AB48" i="20"/>
  <c r="AB39" i="20" l="1"/>
  <c r="AB43" i="22"/>
  <c r="AC29" i="20"/>
  <c r="AC52" i="20"/>
  <c r="AB16" i="20"/>
  <c r="AB43" i="20" s="1"/>
  <c r="AC34" i="20" l="1"/>
  <c r="AC7" i="20"/>
  <c r="AC52" i="22"/>
  <c r="AC53" i="22" l="1"/>
  <c r="AC5" i="20"/>
  <c r="AC35" i="20"/>
  <c r="AC20" i="20" l="1"/>
  <c r="AC36" i="20"/>
  <c r="AC37" i="20" s="1"/>
  <c r="AC38" i="20"/>
  <c r="AC48" i="20"/>
  <c r="AC39" i="20" l="1"/>
  <c r="AC43" i="22"/>
  <c r="AD29" i="20"/>
  <c r="AD52" i="20"/>
  <c r="AC16" i="20"/>
  <c r="AC43" i="20" s="1"/>
  <c r="AD34" i="20" l="1"/>
  <c r="AD7" i="20"/>
  <c r="AD52" i="22"/>
  <c r="AD53" i="22" l="1"/>
  <c r="AD5" i="20"/>
  <c r="AD35" i="20"/>
  <c r="AD20" i="20" l="1"/>
  <c r="AD36" i="20"/>
  <c r="AD37" i="20" s="1"/>
  <c r="AD38" i="20"/>
  <c r="AD48" i="20"/>
  <c r="AD39" i="20" l="1"/>
  <c r="AD43" i="22"/>
  <c r="AE29" i="20"/>
  <c r="AE52" i="20"/>
  <c r="AD16" i="20"/>
  <c r="AD43" i="20" s="1"/>
  <c r="AE34" i="20" l="1"/>
  <c r="AE7" i="20"/>
  <c r="AE52" i="22"/>
  <c r="AE53" i="22" l="1"/>
  <c r="AE5" i="20"/>
  <c r="AE35" i="20"/>
  <c r="AE20" i="20" l="1"/>
  <c r="AE36" i="20"/>
  <c r="AE37" i="20" s="1"/>
  <c r="AE38" i="20"/>
  <c r="AE48" i="20"/>
  <c r="AE39" i="20" l="1"/>
  <c r="AE43" i="22"/>
  <c r="AF29" i="20"/>
  <c r="AF52" i="20"/>
  <c r="AE16" i="20"/>
  <c r="AE43" i="20" s="1"/>
  <c r="AF34" i="20" l="1"/>
  <c r="AF7" i="20"/>
  <c r="AF52" i="22"/>
  <c r="AF53" i="22" l="1"/>
  <c r="AF5" i="20"/>
  <c r="AF35" i="20"/>
  <c r="AF20" i="20" l="1"/>
  <c r="AF36" i="20"/>
  <c r="AF37" i="20" s="1"/>
  <c r="AF38" i="20"/>
  <c r="AF48" i="20"/>
  <c r="AF39" i="20" l="1"/>
  <c r="AF43" i="22"/>
  <c r="AG29" i="20"/>
  <c r="AG52" i="20"/>
  <c r="AF16" i="20"/>
  <c r="AF43" i="20" s="1"/>
  <c r="AG34" i="20" l="1"/>
  <c r="AG7" i="20"/>
  <c r="AG52" i="22"/>
  <c r="AG53" i="22" l="1"/>
  <c r="AG5" i="20"/>
  <c r="AG35" i="20"/>
  <c r="AG20" i="20" l="1"/>
  <c r="AG36" i="20"/>
  <c r="AG37" i="20" s="1"/>
  <c r="AG38" i="20"/>
  <c r="AG48" i="20"/>
  <c r="AG39" i="20" l="1"/>
  <c r="AG43" i="22"/>
  <c r="AH29" i="20"/>
  <c r="AH52" i="20"/>
  <c r="AG16" i="20"/>
  <c r="AG43" i="20" s="1"/>
  <c r="AH34" i="20" l="1"/>
  <c r="AH7" i="20"/>
  <c r="E54" i="23" a="1"/>
  <c r="E54" i="23" s="1"/>
  <c r="E29" i="23" a="1"/>
  <c r="AH52" i="22"/>
  <c r="AH53" i="22" l="1"/>
  <c r="E52" i="24" a="1"/>
  <c r="E52" i="24" s="1"/>
  <c r="AI52" i="24" s="1"/>
  <c r="E29" i="23"/>
  <c r="AH5" i="20"/>
  <c r="E7" i="23" a="1"/>
  <c r="AH35" i="20"/>
  <c r="AH36" i="20" l="1"/>
  <c r="AH37" i="20" s="1"/>
  <c r="AH43" i="22" s="1"/>
  <c r="AH38" i="20"/>
  <c r="AH20" i="20"/>
  <c r="Q5" i="23"/>
  <c r="Z5" i="23"/>
  <c r="S5" i="23"/>
  <c r="O5" i="23"/>
  <c r="N5" i="23"/>
  <c r="Y5" i="23"/>
  <c r="P5" i="23"/>
  <c r="AB5" i="23"/>
  <c r="AH5" i="23"/>
  <c r="W5" i="23"/>
  <c r="R5" i="23"/>
  <c r="L5" i="23"/>
  <c r="AE5" i="23"/>
  <c r="AF5" i="23"/>
  <c r="X5" i="23"/>
  <c r="AC5" i="23"/>
  <c r="V5" i="23"/>
  <c r="AA5" i="23"/>
  <c r="AD5" i="23"/>
  <c r="U5" i="23"/>
  <c r="M5" i="23"/>
  <c r="T5" i="23"/>
  <c r="AG5" i="23"/>
  <c r="K5" i="23"/>
  <c r="J5" i="23"/>
  <c r="I5" i="23"/>
  <c r="H5" i="23"/>
  <c r="G5" i="23"/>
  <c r="E7" i="23"/>
  <c r="E5" i="23" s="1"/>
  <c r="F5" i="23"/>
  <c r="E53" i="24" a="1"/>
  <c r="AH48" i="20"/>
  <c r="E43" i="24" l="1" a="1"/>
  <c r="E43" i="24" s="1"/>
  <c r="AI43" i="24" s="1"/>
  <c r="AH39" i="20"/>
  <c r="E36" i="23" s="1" a="1"/>
  <c r="V15" i="7" s="1"/>
  <c r="E53" i="24"/>
  <c r="AF50" i="23"/>
  <c r="AD50" i="23"/>
  <c r="J50" i="23"/>
  <c r="U50" i="23"/>
  <c r="X50" i="23"/>
  <c r="L50" i="23"/>
  <c r="H50" i="23"/>
  <c r="AC50" i="23"/>
  <c r="G50" i="23"/>
  <c r="R50" i="23"/>
  <c r="I50" i="23"/>
  <c r="N50" i="23"/>
  <c r="F50" i="23"/>
  <c r="M50" i="23"/>
  <c r="Y50" i="23"/>
  <c r="K50" i="23"/>
  <c r="P50" i="23"/>
  <c r="AE50" i="23"/>
  <c r="W50" i="23"/>
  <c r="AA50" i="23"/>
  <c r="T50" i="23"/>
  <c r="Q50" i="23"/>
  <c r="AH50" i="23"/>
  <c r="Z50" i="23"/>
  <c r="AB50" i="23"/>
  <c r="S50" i="23"/>
  <c r="AG50" i="23"/>
  <c r="O50" i="23"/>
  <c r="V50" i="23"/>
  <c r="AH16" i="20"/>
  <c r="AH43" i="20" s="1"/>
  <c r="E20" i="23" a="1"/>
  <c r="N16" i="7" l="1"/>
  <c r="M16" i="7"/>
  <c r="J16" i="7"/>
  <c r="G16" i="7"/>
  <c r="K16" i="7"/>
  <c r="C15" i="7"/>
  <c r="V16" i="7"/>
  <c r="V17" i="7" s="1"/>
  <c r="AB16" i="7"/>
  <c r="R16" i="7"/>
  <c r="T16" i="7"/>
  <c r="Z16" i="7"/>
  <c r="E16" i="7"/>
  <c r="Q16" i="7"/>
  <c r="P16" i="7"/>
  <c r="F16" i="7"/>
  <c r="L15" i="7"/>
  <c r="I16" i="7"/>
  <c r="AF16" i="7"/>
  <c r="AA16" i="7"/>
  <c r="AC16" i="7"/>
  <c r="D16" i="7"/>
  <c r="L16" i="7"/>
  <c r="X16" i="7"/>
  <c r="Y16" i="7"/>
  <c r="AD16" i="7"/>
  <c r="U16" i="7"/>
  <c r="AC15" i="7"/>
  <c r="AE16" i="7"/>
  <c r="O16" i="7"/>
  <c r="H15" i="7"/>
  <c r="Y15" i="7"/>
  <c r="X15" i="7"/>
  <c r="M15" i="7"/>
  <c r="E36" i="23"/>
  <c r="C16" i="7" s="1"/>
  <c r="D15" i="7"/>
  <c r="S16" i="7"/>
  <c r="H16" i="7"/>
  <c r="W16" i="7"/>
  <c r="G15" i="7"/>
  <c r="AB15" i="7"/>
  <c r="O15" i="7"/>
  <c r="O17" i="7" s="1"/>
  <c r="T15" i="7"/>
  <c r="T17" i="7" s="1"/>
  <c r="E15" i="7"/>
  <c r="R15" i="7"/>
  <c r="S15" i="7"/>
  <c r="AA15" i="7"/>
  <c r="AF15" i="7"/>
  <c r="Q15" i="7"/>
  <c r="N15" i="7"/>
  <c r="J15" i="7"/>
  <c r="I15" i="7"/>
  <c r="AD15" i="7"/>
  <c r="F15" i="7"/>
  <c r="U15" i="7"/>
  <c r="U17" i="7" s="1"/>
  <c r="AE15" i="7"/>
  <c r="W15" i="7"/>
  <c r="K15" i="7"/>
  <c r="K17" i="7" s="1"/>
  <c r="P15" i="7"/>
  <c r="Z15" i="7"/>
  <c r="Q16" i="23"/>
  <c r="Q45" i="23" s="1"/>
  <c r="Z16" i="23"/>
  <c r="Z45" i="23" s="1"/>
  <c r="S16" i="23"/>
  <c r="S45" i="23" s="1"/>
  <c r="O16" i="23"/>
  <c r="O45" i="23" s="1"/>
  <c r="N16" i="23"/>
  <c r="N45" i="23" s="1"/>
  <c r="Y16" i="23"/>
  <c r="Y45" i="23" s="1"/>
  <c r="P16" i="23"/>
  <c r="P45" i="23" s="1"/>
  <c r="AB16" i="23"/>
  <c r="AB45" i="23" s="1"/>
  <c r="AH16" i="23"/>
  <c r="AH45" i="23" s="1"/>
  <c r="W16" i="23"/>
  <c r="W45" i="23" s="1"/>
  <c r="R16" i="23"/>
  <c r="R45" i="23" s="1"/>
  <c r="L16" i="23"/>
  <c r="L45" i="23" s="1"/>
  <c r="G16" i="23"/>
  <c r="G45" i="23" s="1"/>
  <c r="AE16" i="23"/>
  <c r="AE45" i="23" s="1"/>
  <c r="J16" i="23"/>
  <c r="J45" i="23" s="1"/>
  <c r="H16" i="23"/>
  <c r="H45" i="23" s="1"/>
  <c r="AF16" i="23"/>
  <c r="AF45" i="23" s="1"/>
  <c r="X16" i="23"/>
  <c r="X45" i="23" s="1"/>
  <c r="K16" i="23"/>
  <c r="K45" i="23" s="1"/>
  <c r="AC16" i="23"/>
  <c r="AC45" i="23" s="1"/>
  <c r="V16" i="23"/>
  <c r="V45" i="23" s="1"/>
  <c r="E20" i="23"/>
  <c r="E16" i="23" s="1"/>
  <c r="E45" i="23" s="1"/>
  <c r="AA16" i="23"/>
  <c r="AA45" i="23" s="1"/>
  <c r="AD16" i="23"/>
  <c r="AD45" i="23" s="1"/>
  <c r="F16" i="23"/>
  <c r="F45" i="23" s="1"/>
  <c r="I16" i="23"/>
  <c r="I45" i="23" s="1"/>
  <c r="U16" i="23"/>
  <c r="U45" i="23" s="1"/>
  <c r="M16" i="23"/>
  <c r="M45" i="23" s="1"/>
  <c r="T16" i="23"/>
  <c r="T45" i="23" s="1"/>
  <c r="AG16" i="23"/>
  <c r="AG45" i="23" s="1"/>
  <c r="AI53" i="24"/>
  <c r="E50" i="23"/>
  <c r="C25" i="2" l="1"/>
  <c r="Z17" i="7"/>
  <c r="N17" i="7"/>
  <c r="AB17" i="7"/>
  <c r="D17" i="7"/>
  <c r="Q17" i="7"/>
  <c r="R17" i="7"/>
  <c r="X17" i="7"/>
  <c r="Y17" i="7"/>
  <c r="AC17" i="7"/>
  <c r="AE17" i="7"/>
  <c r="J17" i="7"/>
  <c r="AA17" i="7"/>
  <c r="G17" i="7"/>
  <c r="C17" i="7"/>
  <c r="E17" i="7"/>
  <c r="F17" i="7"/>
  <c r="M17" i="7"/>
  <c r="H17" i="7"/>
  <c r="L17" i="7"/>
  <c r="AF17" i="7"/>
  <c r="P17" i="7"/>
  <c r="AD17" i="7"/>
  <c r="I17" i="7"/>
  <c r="W17" i="7"/>
  <c r="S17" i="7"/>
  <c r="C44" i="2" l="1"/>
  <c r="F14" i="35"/>
  <c r="G14" i="35"/>
  <c r="H14" i="35"/>
  <c r="I14" i="35"/>
  <c r="J14" i="35"/>
  <c r="K14" i="35"/>
  <c r="L14" i="35"/>
  <c r="M14" i="35"/>
  <c r="N14" i="35"/>
  <c r="O14" i="35"/>
  <c r="P14" i="35"/>
  <c r="Q14" i="35"/>
  <c r="R14" i="35"/>
  <c r="S14" i="35"/>
  <c r="T14" i="35"/>
  <c r="U14" i="35"/>
  <c r="V14" i="35"/>
  <c r="W14" i="35"/>
  <c r="X14" i="35"/>
  <c r="Y14" i="35"/>
  <c r="Z14" i="35"/>
  <c r="AA14" i="35"/>
  <c r="AB14" i="35"/>
  <c r="AC14" i="35"/>
  <c r="AD14" i="35"/>
  <c r="AE14" i="35"/>
  <c r="AF14" i="35"/>
  <c r="AG14" i="35"/>
  <c r="E14" i="35"/>
  <c r="D14" i="35"/>
  <c r="D20" i="35" s="1"/>
  <c r="AH14" i="35"/>
  <c r="AH20" i="35" l="1"/>
  <c r="E20" i="35"/>
  <c r="F20" i="35" s="1"/>
  <c r="G20" i="35" s="1"/>
  <c r="H20" i="35" s="1"/>
  <c r="I20" i="35" s="1"/>
  <c r="J20" i="35" s="1"/>
  <c r="K20" i="35" s="1"/>
  <c r="L20" i="35" s="1"/>
  <c r="M20" i="35" s="1"/>
  <c r="N20" i="35" s="1"/>
  <c r="O20" i="35" s="1"/>
  <c r="P20" i="35" s="1"/>
  <c r="Q20" i="35" s="1"/>
  <c r="R20" i="35" s="1"/>
  <c r="S20" i="35" s="1"/>
  <c r="T20" i="35" s="1"/>
  <c r="U20" i="35" s="1"/>
  <c r="V20" i="35" s="1"/>
  <c r="W20" i="35" s="1"/>
  <c r="X20" i="35" s="1"/>
  <c r="Y20" i="35" s="1"/>
  <c r="Z20" i="35" s="1"/>
  <c r="AA20" i="35" s="1"/>
  <c r="AB20" i="35" s="1"/>
  <c r="AC20" i="35" s="1"/>
  <c r="AD20" i="35" s="1"/>
  <c r="AE20" i="35" s="1"/>
  <c r="AF20" i="35" s="1"/>
  <c r="AG20" i="3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<sst xmlns="http://schemas.openxmlformats.org/spreadsheetml/2006/main" count="4555" uniqueCount="1054">
  <si>
    <t>PROGRAMA DE CONCESSÃO DE RODOVIAS DE MINAS GERAIS</t>
  </si>
  <si>
    <t>LOTE OURO PRETO - MARIANA</t>
  </si>
  <si>
    <t>PLANILHA ECONÔMICO-FINANCEIRA</t>
  </si>
  <si>
    <r>
      <rPr>
        <b/>
        <sz val="16"/>
        <color rgb="FF000000"/>
        <rFont val="Calibri"/>
        <family val="2"/>
      </rPr>
      <t xml:space="preserve">Beneficiário Final:
</t>
    </r>
    <r>
      <rPr>
        <sz val="16"/>
        <color rgb="FF000000"/>
        <rFont val="Calibri"/>
        <family val="2"/>
      </rPr>
      <t xml:space="preserve">Governo do Estado de Minas Gerais
Secretaria de Estado de Infraestrutura e Mobilidade – SEINFRA
</t>
    </r>
    <r>
      <rPr>
        <b/>
        <sz val="16"/>
        <color rgb="FF000000"/>
        <rFont val="Calibri"/>
        <family val="2"/>
      </rPr>
      <t xml:space="preserve">
Estruturadores:
</t>
    </r>
    <r>
      <rPr>
        <sz val="16"/>
        <color rgb="FF000000"/>
        <rFont val="Calibri"/>
        <family val="2"/>
      </rPr>
      <t xml:space="preserve">Banco Interamericano de Desenvolvimento - BID
Banco de Desenvolvimento de Minas Gerais - BDMG
</t>
    </r>
  </si>
  <si>
    <t>Disclaimer: pré-consulta pública</t>
  </si>
  <si>
    <t>As informações contidas neste modelo, até a realização da consulta pública, destinam-se apenas à pessoa ou entidade a quem se dirige e contêm material confidencial e / ou privilegiado. Qualquer revisão, retransmissão, disseminação ou outro uso, ou tomar qualquer ação com base nessas informações por pessoas ou entidades que não o destinatário, é proibido. Se você recebeu este documento por engano, entre em contato com o remetente e exclua o material de qualquer computador.</t>
  </si>
  <si>
    <t>The information contained in this model is intended only for the person or entity to which it is addressed and contains confidential and/or privileged material. Any review, retransmission, dissemination or other use of, or taking any action in reliance upon, this information by persons or entities  other  than  the  recipient is prohibited. If you received this document in error, please contact the sender and delete the material from any computer.</t>
  </si>
  <si>
    <t>Disclaimer: consulta pública</t>
  </si>
  <si>
    <t>Este Modelo Financeiro foi preparado pela BDMG, valendo-se de informações fornecidas pelo CLIENTE, e/ou consultores externos, e informações públicas.
Nenhuma declaração, garantia, ou compromisso (expresso ou implícito) foi emitida e nenhuma responsabilidade foi ou será assumida pelo Assessor Financeiro e/ou seus diretores, representantes, empregados, agentes ou assessores externos com relação a adequação, precisão, completude ou razoabilidade das premissas adotadas  nas quais a análise econômico-financeira foi embasada, cuja responsabilidade o Assessor Financeiro terá completa isenção. 
Ademais, o usuário do Modelo Financeiro deve assumir por sua própria conta e risco a responsabilidade de analisá-lo e revisá-lo, o que não representa recomendação de investimento, ou qualquer compromisso de futuro financiamento por parte do Assessor Financeiro.</t>
  </si>
  <si>
    <t>This Financial Model was prepared by BDMG, using information provided by the CLIENT, and/or external consultants, and public information.
No representation, warranty, or commitment (express or implied) has been made and no liability has been or will be assumed by the Financial Advisor and/or its directors, representatives, employees, agents or external advisors with respect to the adequacy, accuracy, completeness or reasonableness of the assumptions adopted on which the economic-financial analysis was based, from which the Financial Advisor will be completely exempt from responsibility. 
Furthermore, the user of the Financial Model must assume at their own risk the responsibility for analyzing and reviewing it, which does not represent an investment recommendation, or any commitment to future financing on the part of the Financial Advisor.</t>
  </si>
  <si>
    <t>Legendas</t>
  </si>
  <si>
    <t>Célula em branco:</t>
  </si>
  <si>
    <t>input</t>
  </si>
  <si>
    <t>Célula em cinza:</t>
  </si>
  <si>
    <t>fórmula</t>
  </si>
  <si>
    <t xml:space="preserve">Clélula verde: </t>
  </si>
  <si>
    <t>local para rodar o atingir meta</t>
  </si>
  <si>
    <t>TABELA 1 - Valor Tarifa</t>
  </si>
  <si>
    <t>Rodovia</t>
  </si>
  <si>
    <t>TRECHO DE COBERTURA</t>
  </si>
  <si>
    <t>Pedágio</t>
  </si>
  <si>
    <t>Município</t>
  </si>
  <si>
    <t>Início cobrança de tarifa
(mês)</t>
  </si>
  <si>
    <t>Tarifa pista simples</t>
  </si>
  <si>
    <t>Tarifa pista dupla</t>
  </si>
  <si>
    <t>Ano degrau</t>
  </si>
  <si>
    <t>BR-356</t>
  </si>
  <si>
    <t>TCP-01</t>
  </si>
  <si>
    <t>P-01</t>
  </si>
  <si>
    <t>Itabirito</t>
  </si>
  <si>
    <t>TCP-02</t>
  </si>
  <si>
    <t>P-02</t>
  </si>
  <si>
    <t>Ouro Preto</t>
  </si>
  <si>
    <t>MG-262</t>
  </si>
  <si>
    <t>TCP-03</t>
  </si>
  <si>
    <t>P-03</t>
  </si>
  <si>
    <t>Acaiaca</t>
  </si>
  <si>
    <t>-</t>
  </si>
  <si>
    <t>MG-329</t>
  </si>
  <si>
    <t>TCP-04</t>
  </si>
  <si>
    <t>P-04</t>
  </si>
  <si>
    <t>Ponte Nova</t>
  </si>
  <si>
    <t>Gráfico 1 – Capex levando em consideração o REIDI</t>
  </si>
  <si>
    <t>Ano 1</t>
  </si>
  <si>
    <t>Ano 2</t>
  </si>
  <si>
    <t>Ano 3</t>
  </si>
  <si>
    <t>Ano 4</t>
  </si>
  <si>
    <t>Ano 5</t>
  </si>
  <si>
    <t>Ano 6</t>
  </si>
  <si>
    <t>Ano 7</t>
  </si>
  <si>
    <t>Ano 8</t>
  </si>
  <si>
    <t>Ano 9</t>
  </si>
  <si>
    <t>Ano 10</t>
  </si>
  <si>
    <t>Ano 11</t>
  </si>
  <si>
    <t>Ano 12</t>
  </si>
  <si>
    <t>Ano 13</t>
  </si>
  <si>
    <t>Ano 14</t>
  </si>
  <si>
    <t>Ano 15</t>
  </si>
  <si>
    <t>Ano 16</t>
  </si>
  <si>
    <t>Ano 17</t>
  </si>
  <si>
    <t>Ano 18</t>
  </si>
  <si>
    <t>Ano 19</t>
  </si>
  <si>
    <t>Ano 20</t>
  </si>
  <si>
    <t>Ano 21</t>
  </si>
  <si>
    <t>Ano 22</t>
  </si>
  <si>
    <t>Ano 23</t>
  </si>
  <si>
    <t>Ano 24</t>
  </si>
  <si>
    <t>Ano 25</t>
  </si>
  <si>
    <t>Ano 26</t>
  </si>
  <si>
    <t>Ano 27</t>
  </si>
  <si>
    <t>Ano 28</t>
  </si>
  <si>
    <t>Ano 29</t>
  </si>
  <si>
    <t>Ano 30</t>
  </si>
  <si>
    <t>Total</t>
  </si>
  <si>
    <t>Trabalhos iniciais</t>
  </si>
  <si>
    <t>Recuperação do sistema rodoviário</t>
  </si>
  <si>
    <t>Manutenção do sistema rodoviário</t>
  </si>
  <si>
    <t>Obras de ampliação da capacidade e outras melhorias</t>
  </si>
  <si>
    <t>Equipamentos, sistemas e edificações operacionais</t>
  </si>
  <si>
    <t xml:space="preserve">Gestão Ambiental Do Sistema Rodoviário </t>
  </si>
  <si>
    <t>CAPEX Acumulado</t>
  </si>
  <si>
    <t>GRÁFICO 2 - OPEX sem ônus, seguros e garantias</t>
  </si>
  <si>
    <t xml:space="preserve">Conservação da rodovia </t>
  </si>
  <si>
    <t xml:space="preserve">Monitoração da rodovia </t>
  </si>
  <si>
    <t>Administração e operação da rodovia</t>
  </si>
  <si>
    <t>Gestão ambiental do sistema rodoviário - opex</t>
  </si>
  <si>
    <t>OPEX Acumulado</t>
  </si>
  <si>
    <t>Custos totais (Opex com ônus, seguros e garantias)</t>
  </si>
  <si>
    <t>Opex</t>
  </si>
  <si>
    <t>GRÁFICO 3 - gastos TOTAIS - OPEX com ônus, seguros e garantias</t>
  </si>
  <si>
    <t>Custos operacionais (OPEX)</t>
  </si>
  <si>
    <t>Despesas Obrigatórias</t>
  </si>
  <si>
    <t>Seguros e garantias</t>
  </si>
  <si>
    <t>Outros gastos</t>
  </si>
  <si>
    <t>Gastos Totais acumulado</t>
  </si>
  <si>
    <t>GRÁFICO 4 - Receitas FATURADAS por Pórtico, CONSIDERANDO alguns meses iniciais sem cobrança - ano a ano</t>
  </si>
  <si>
    <t>Receita Tarifária Bruta Acumulada</t>
  </si>
  <si>
    <t>GRÁFICO 6 - CAPEX vs APORTE</t>
  </si>
  <si>
    <t>GRÁFICO 5 - Analise Aporte</t>
  </si>
  <si>
    <t>GRÁFICO 5 - Aporte vs. CAPEX</t>
  </si>
  <si>
    <t>Capex que juridicamente pode ser pago com aporte</t>
  </si>
  <si>
    <t>CAPEX+OPEX</t>
  </si>
  <si>
    <t>GRÁFICO 6 - EBITDA</t>
  </si>
  <si>
    <t>GRÁFICO 7 - FLUXO DE CAIXA</t>
  </si>
  <si>
    <t xml:space="preserve">GRÁFICO 8 - VDMA equivalente anual - por pórtico </t>
  </si>
  <si>
    <t>Pórtico</t>
  </si>
  <si>
    <t>TOTAL</t>
  </si>
  <si>
    <t xml:space="preserve">GRÁFICO 9- VDMA equivalente anual - por pórtico </t>
  </si>
  <si>
    <t>Tabela 1 – Principais parâmetros do modelo</t>
  </si>
  <si>
    <t>Valor Inicial de Tarifa Média de Pedágio em reais por 100km (TKM x 100) (input) (sem boost)</t>
  </si>
  <si>
    <t>Contraprestação pecuniária anual</t>
  </si>
  <si>
    <t>Aporte (na data-base do MEF)</t>
  </si>
  <si>
    <t>Aporte (na data-base do Acordo de Mariana)</t>
  </si>
  <si>
    <t>Taxa Mínima de Atratividade (WACC) (Fonte: Seinfra e BDMG)</t>
  </si>
  <si>
    <t>Cenário de Capex e Opex</t>
  </si>
  <si>
    <t>Cenário 20/03/2025 com IFC</t>
  </si>
  <si>
    <t>DUF - Número da passagem em que se chega ao desconto máximo</t>
  </si>
  <si>
    <t>Valor da primeira parcela do aporte</t>
  </si>
  <si>
    <t>Primeira parcela do aporte corrigida desde a data-base do MEF (as demais já são corrigidas)</t>
  </si>
  <si>
    <t>Sim</t>
  </si>
  <si>
    <t>Fluxo de pagamento do restante do aporte</t>
  </si>
  <si>
    <t>Iguais</t>
  </si>
  <si>
    <t>Tabela 2 – Principais resultados do modelo</t>
  </si>
  <si>
    <t>Valor presente líquido do fluxo de caixa livre do projeto (meta: R$ 0,00)</t>
  </si>
  <si>
    <t>Ano em que terminam as duplicações do primeiro trecho a ser duplicado</t>
  </si>
  <si>
    <t>Ano em que terminam as duplicações do último trecho a ser duplicado</t>
  </si>
  <si>
    <t>Somatório dos recebimentos de aporte estatal pelo parceiro privado (REAL)</t>
  </si>
  <si>
    <t>Pedágio antes da duplicação (arredondado para duas casas decimais)</t>
  </si>
  <si>
    <t>Pedágio depois da duplicação (arredondado para duas casas decimais)</t>
  </si>
  <si>
    <t>Perda de receita estimada por DUF ao longo de toda concessão (percentual da receita tarifária bruta)</t>
  </si>
  <si>
    <t>Valor presente líquido dos pagamentos de aporte</t>
  </si>
  <si>
    <t>Valor presente líquido do Capex</t>
  </si>
  <si>
    <t>Valor presente líquido do Opex (sem ônus, seguros e garantias)</t>
  </si>
  <si>
    <t>MEF funcionando corretamente</t>
  </si>
  <si>
    <t>Tabela 3 – Outros parâmetros e resultados do modelo</t>
  </si>
  <si>
    <t>Valor Inicial de Tarifa Média de Pedágio em reais por 100km (TKM) (input intermediário) vigente no modelo</t>
  </si>
  <si>
    <t>Valor Inicial de Tarifa Média de Pedágio em reais por 100km (TKM) (output)</t>
  </si>
  <si>
    <t>Pedágio Inicial Pórtico 1</t>
  </si>
  <si>
    <t>Pedágio Inicial Pórtico 2</t>
  </si>
  <si>
    <t>Pedágio Inicial Pórtico 3</t>
  </si>
  <si>
    <t>Pedágio Inicial Pórtico 4</t>
  </si>
  <si>
    <t>Pedágio Final Pórtico 1</t>
  </si>
  <si>
    <t>Pedágio Final Pórtico 2</t>
  </si>
  <si>
    <t>Pedágio Final Pórtico 3</t>
  </si>
  <si>
    <t>Pedágio Final Pórtico 4</t>
  </si>
  <si>
    <t>Majoração da tarifa pelo não uso de TAG</t>
  </si>
  <si>
    <t>Metodologia de Demanda</t>
  </si>
  <si>
    <t>Taxa específica anual</t>
  </si>
  <si>
    <t>Cenário de Demanda</t>
  </si>
  <si>
    <t>Taxa de juros dos empréstimos (Fonte: Seinfra)</t>
  </si>
  <si>
    <t>TIR do Projeto</t>
  </si>
  <si>
    <t>Payback do Projeto</t>
  </si>
  <si>
    <t>TIR do Acionista</t>
  </si>
  <si>
    <t>Exposição de caixa do projeto no Ano 1</t>
  </si>
  <si>
    <t>Exposição máxima de caixa do projeto</t>
  </si>
  <si>
    <t>Trinta por cento da exposição máxima de caixa do projeto</t>
  </si>
  <si>
    <t>Capital Social Mínimo da Concessionária</t>
  </si>
  <si>
    <t>Maior inadimplência (evasão de pedágio) em um ano</t>
  </si>
  <si>
    <t>Valor máximo da conta multa (equivalente a um semestre de inadimplência do ano com maior inadimplência)</t>
  </si>
  <si>
    <t>Valor presente líquido da Receita Tarifária Bruta</t>
  </si>
  <si>
    <t>Capex que pode ser pago com Aporte (considerando as limitações jurídicas)</t>
  </si>
  <si>
    <t>Capex total ao longo do projeto (sem REIDI)</t>
  </si>
  <si>
    <t>Capex total ao longo do projeto (com REIDI)</t>
  </si>
  <si>
    <t>Opex total ao longo do projeto (exceto ônus, seguros e garantias)</t>
  </si>
  <si>
    <t>Opex total ao longo do projeto (com ônus, seguros e garantias)</t>
  </si>
  <si>
    <t>Soma do Capex total (sem REIDI) com o Opex (sem ônus, seguros e garantias)</t>
  </si>
  <si>
    <t>Valor presente líquido do Opex (com ônus, seguros e garantias)</t>
  </si>
  <si>
    <t>Relação entre o VPL do Opex sem ônus com o VPL do Opex com ônus</t>
  </si>
  <si>
    <t>Valor presente líquido da remuneração total do parceiro privado (Valor do Contrato)</t>
  </si>
  <si>
    <t>Verba de Desapropriação (incluindo desocupação)</t>
  </si>
  <si>
    <t>Alíquota média (ponderada) de ISS</t>
  </si>
  <si>
    <t>Redução do valor do Capex por causa da aplicação do REIDI</t>
  </si>
  <si>
    <t>Volume de tráfego diário médio anual (VDMA), com efeito fuga, médio por pórtico, no Ano 1</t>
  </si>
  <si>
    <t>Metade do VDMA, sem fuga, médio por pórtico</t>
  </si>
  <si>
    <t xml:space="preserve">Tabela 4 – Meses antes do início da cobrança de tarifa </t>
  </si>
  <si>
    <t>Previsão de entrega dos serviços iniciais do respectivo trecho de cobertura</t>
  </si>
  <si>
    <t>Meses antes do início da cobrança da tarifa</t>
  </si>
  <si>
    <t>Tabela 5 – Fatores de cálculo das tarifas iniciais</t>
  </si>
  <si>
    <t>Tarifas iguais nos Pórticos</t>
  </si>
  <si>
    <t>Tabela 6 – Informações gerais dos trechos de cobertura</t>
  </si>
  <si>
    <t>Trecho</t>
  </si>
  <si>
    <t>Localização (km) de Início do Trecho</t>
  </si>
  <si>
    <t>Localização (km) do Pórtico</t>
  </si>
  <si>
    <t>Localização (km) de Fim do Trecho</t>
  </si>
  <si>
    <t>Quilometragem do Trecho de Cobertura (TCPk)</t>
  </si>
  <si>
    <t>Tarifa (R$) Inicial por Pórtico</t>
  </si>
  <si>
    <t>Ano em que ocorre o degrau tarifário</t>
  </si>
  <si>
    <t>BR-356-1</t>
  </si>
  <si>
    <t>BR-356-2</t>
  </si>
  <si>
    <t xml:space="preserve">MG-262 </t>
  </si>
  <si>
    <t xml:space="preserve">MG-329 </t>
  </si>
  <si>
    <t>Soma</t>
  </si>
  <si>
    <t>Tabela 7 – Eixos Equivalentes (Distribuição de Grupos) (Input)</t>
  </si>
  <si>
    <t>Percentual do total de veículos em cada Pórtico</t>
  </si>
  <si>
    <t>Categoria (segundo o Contrato)</t>
  </si>
  <si>
    <t>Categoria (MEF)</t>
  </si>
  <si>
    <t>Categoria de Veículo</t>
  </si>
  <si>
    <t>Grupo</t>
  </si>
  <si>
    <t>Multiplicador de Tarifa (Eixos Equivalentes)</t>
  </si>
  <si>
    <t>Automóvel</t>
  </si>
  <si>
    <t>Leves</t>
  </si>
  <si>
    <t>3 e 5</t>
  </si>
  <si>
    <t xml:space="preserve">Automóvel com reboque </t>
  </si>
  <si>
    <t>Veículos Comerciais com 2 Eixos</t>
  </si>
  <si>
    <t>Pesados I</t>
  </si>
  <si>
    <t>Veículos Comerciais com 3 Eixos</t>
  </si>
  <si>
    <t>Veículos Comerciais com 4 Eixos</t>
  </si>
  <si>
    <t>Veículos Comerciais com 5 Eixos Articulado</t>
  </si>
  <si>
    <t>Pesados II</t>
  </si>
  <si>
    <t>Veículos Comerciais com 6 Eixos Articulado</t>
  </si>
  <si>
    <t>Veículos Comerciais com 7 Eixos Articulado</t>
  </si>
  <si>
    <t>Veículos Comerciais com 8 Eixos Articulado</t>
  </si>
  <si>
    <t>Veículos Comerciais com 9 Eixos Articulado</t>
  </si>
  <si>
    <t>Motocicleta</t>
  </si>
  <si>
    <t>Fonte dos dados: Dynatest (estudo enviado 12/11/2024)</t>
  </si>
  <si>
    <t>Tabela 8 – Eixos Equivalentes (Distribuição de Grupos) com ajustes das linhas de ônibus intermunicipais e metropolitanos</t>
  </si>
  <si>
    <t xml:space="preserve">Veículos do transporte público coletivo intermunicipal e metropolitano </t>
  </si>
  <si>
    <t>Tabela 9 – Premissas de ônus, seguros e garantias</t>
  </si>
  <si>
    <t>Tipo</t>
  </si>
  <si>
    <t>Alíquota/Parâmetro/Valor</t>
  </si>
  <si>
    <t>Observação</t>
  </si>
  <si>
    <t>Pagamento à B3</t>
  </si>
  <si>
    <t>Atenção: a data-base para fins de correção deste valor não é a mesma do MEF, então é necessário fazer um ajuste.</t>
  </si>
  <si>
    <t>Ressarcimento ao Estado pelo pagamento de parcela à B3</t>
  </si>
  <si>
    <t>Ressarcimento Estudos (BDMG)</t>
  </si>
  <si>
    <t>Fonte: Termo Aditivo 95019489</t>
  </si>
  <si>
    <t xml:space="preserve">Verba de Segurança no Trânsito </t>
  </si>
  <si>
    <t>Incidente sobre cada km por mês</t>
  </si>
  <si>
    <t>Recursos Vinculados</t>
  </si>
  <si>
    <t>Incidente sobre a Receita Tarifária Bruta</t>
  </si>
  <si>
    <t>Alíquota para cálculo do prêmio da garantia de execução</t>
  </si>
  <si>
    <t xml:space="preserve">Incidente sobre o valor presente líquido da receita bruta </t>
  </si>
  <si>
    <t>Percentual para base de cálculo da garantia de execução (anos 1 a 9, e 26 a 30)</t>
  </si>
  <si>
    <t>Incidente sobre o valor presente líquido da Receita Bruta</t>
  </si>
  <si>
    <t>Percentual para base de cálculo da garantia de execução (anos 10 a 25)</t>
  </si>
  <si>
    <t>Valor de garantia de execução (anos 1 a 9, e 26 a 30)</t>
  </si>
  <si>
    <t>Valor de garantia de execução (anos 10 a 25)</t>
  </si>
  <si>
    <t>Imposto sobre Operações Financeiras</t>
  </si>
  <si>
    <t>Art. 21 e art. 22, IV, Decreto nº 6.306/2007</t>
  </si>
  <si>
    <t>Risco de engenharia</t>
  </si>
  <si>
    <t>Incidente sobre obras de ampliação da capacidade e outras melhorias</t>
  </si>
  <si>
    <t>Risco operacional</t>
  </si>
  <si>
    <t>Incidente sobre o Valor Patrimonial da Rodovia e sobre o Opex</t>
  </si>
  <si>
    <t>Responsabilidade civil</t>
  </si>
  <si>
    <t>Incidente sobre a Receita Bruta</t>
  </si>
  <si>
    <t>Risco de perda de receita</t>
  </si>
  <si>
    <t>Receita Operacional Tarifária Bruta de 3 meses</t>
  </si>
  <si>
    <t>Ônus de fiscalização</t>
  </si>
  <si>
    <t xml:space="preserve">Incidente sobre o valor presente líquido da Receita Tarifária Bruta </t>
  </si>
  <si>
    <t>Tabela 10 – Projeção de Inflação (IPCA)</t>
  </si>
  <si>
    <t>Ano calendário</t>
  </si>
  <si>
    <t>Variação estimada do IPCA em cada ano</t>
  </si>
  <si>
    <t>Variação acumulada do IPCA</t>
  </si>
  <si>
    <r>
      <rPr>
        <sz val="10"/>
        <color rgb="FF000000"/>
        <rFont val="Arial"/>
        <family val="2"/>
      </rPr>
      <t xml:space="preserve">Variação acumulada do IPCA, considerando eventual impacto do </t>
    </r>
    <r>
      <rPr>
        <i/>
        <sz val="10"/>
        <color rgb="FF000000"/>
        <rFont val="Arial"/>
        <family val="2"/>
      </rPr>
      <t>boost</t>
    </r>
  </si>
  <si>
    <t>Fonte da estimativa de variação do IPCA: Boletim Focus de 17/01/2025. Presume-se que o Ano 1 da concessão será 2026. Para anos posteriores a 2028, adotou-se a previsão de variação de IPCA de 2028.</t>
  </si>
  <si>
    <t>Tabela 11 – Alíquotas de ISS</t>
  </si>
  <si>
    <t>Munícípio</t>
  </si>
  <si>
    <t>Referência Legal</t>
  </si>
  <si>
    <t>Alíquotas</t>
  </si>
  <si>
    <t xml:space="preserve">Nova Lima </t>
  </si>
  <si>
    <t>Anexo único, item 172, Lei 1.910/2005</t>
  </si>
  <si>
    <t xml:space="preserve">Rio Acima </t>
  </si>
  <si>
    <t>Art. 5°, item 3, Lei 02/2020</t>
  </si>
  <si>
    <t xml:space="preserve">Itabirito </t>
  </si>
  <si>
    <t>Lei complementar n° 2323, item 22</t>
  </si>
  <si>
    <t xml:space="preserve">Ouro Preto </t>
  </si>
  <si>
    <t>Anexo único, item 22, Lei 172/2017</t>
  </si>
  <si>
    <t xml:space="preserve">Mariana </t>
  </si>
  <si>
    <t>Anexo 1, item 2, Lei 15/2003</t>
  </si>
  <si>
    <t xml:space="preserve">Acaiaca </t>
  </si>
  <si>
    <t>Lei n° 339/2001, item 22</t>
  </si>
  <si>
    <t xml:space="preserve">Ponte Nova </t>
  </si>
  <si>
    <t>Art. 12°, Lei 2717/2003</t>
  </si>
  <si>
    <t xml:space="preserve">Barra Longa </t>
  </si>
  <si>
    <t>Lei  nº 1.358/2021</t>
  </si>
  <si>
    <t xml:space="preserve">Urucânia </t>
  </si>
  <si>
    <t>Anexo 2, item 1, Lei 99/2016</t>
  </si>
  <si>
    <t xml:space="preserve">Piedade de Ponte Nova </t>
  </si>
  <si>
    <t>Anexo 1, item 22, Lei 33/2017</t>
  </si>
  <si>
    <t xml:space="preserve">Rio Casca </t>
  </si>
  <si>
    <t>Lei complementar nº 1.887/2016</t>
  </si>
  <si>
    <t>Tabela 12 – Parâmetros para o Regime Especial de Incentivos para o Desenvolvimento da Infraestrutura – REIDI</t>
  </si>
  <si>
    <t>Alíquota de PIS/COFINS</t>
  </si>
  <si>
    <t>Percentual de fornecedores que aderiram ao REIDI</t>
  </si>
  <si>
    <t>Tabela 13 – Prazos para verificação de entrega de obra e início de cobrança de tarifa</t>
  </si>
  <si>
    <t>Evento</t>
  </si>
  <si>
    <t>Prazo em dias (contados do evento anterior)</t>
  </si>
  <si>
    <t>Concessionário entrega a obra</t>
  </si>
  <si>
    <t>Verificador Independente - vistoria</t>
  </si>
  <si>
    <t>Ente Regulador atesta a entrega da Obra</t>
  </si>
  <si>
    <t>Período de publicidade prévia antes do início da cobrança</t>
  </si>
  <si>
    <t>Total em meses (arredondado)</t>
  </si>
  <si>
    <t>Tabela 14 – Capex e Opex por Pórtico</t>
  </si>
  <si>
    <t>Capex e Opex</t>
  </si>
  <si>
    <t>Capex e Opex percentual</t>
  </si>
  <si>
    <t>Pórticos 1 e 2 (BR-356)</t>
  </si>
  <si>
    <t>Pórtico 3 (MG-262)</t>
  </si>
  <si>
    <t>Pórtico 4 (MG-329)</t>
  </si>
  <si>
    <t>Observação: não estão contabilizadas nesta tabela valores atribuídos a operação geral e socioambietal.</t>
  </si>
  <si>
    <r>
      <rPr>
        <b/>
        <sz val="10"/>
        <color rgb="FF000000"/>
        <rFont val="Arial"/>
        <family val="2"/>
      </rPr>
      <t>Tabela 15 – "</t>
    </r>
    <r>
      <rPr>
        <b/>
        <i/>
        <sz val="10"/>
        <color rgb="FF000000"/>
        <rFont val="Arial"/>
        <family val="2"/>
      </rPr>
      <t>Boost"</t>
    </r>
  </si>
  <si>
    <r>
      <rPr>
        <sz val="10"/>
        <color rgb="FF000000"/>
        <rFont val="Arial"/>
        <family val="2"/>
      </rPr>
      <t>Ativar "</t>
    </r>
    <r>
      <rPr>
        <i/>
        <sz val="10"/>
        <color rgb="FF000000"/>
        <rFont val="Arial"/>
        <family val="2"/>
      </rPr>
      <t>boost</t>
    </r>
    <r>
      <rPr>
        <sz val="10"/>
        <color rgb="FF000000"/>
        <rFont val="Arial"/>
        <family val="2"/>
      </rPr>
      <t>"</t>
    </r>
  </si>
  <si>
    <t>Percentual de aumento da Receita Tarifária</t>
  </si>
  <si>
    <t>Percentual de redução da projeção de inflação</t>
  </si>
  <si>
    <r>
      <rPr>
        <sz val="10"/>
        <color rgb="FF000000"/>
        <rFont val="Arial"/>
        <family val="2"/>
      </rPr>
      <t xml:space="preserve">
Com o objetivo de estimar qual deve ser o desconto máximo sobre o aporte que pode ser oferecido pelos licitantes, o recurso de "</t>
    </r>
    <r>
      <rPr>
        <i/>
        <sz val="10"/>
        <color rgb="FF000000"/>
        <rFont val="Arial"/>
        <family val="2"/>
      </rPr>
      <t xml:space="preserve">boost" </t>
    </r>
    <r>
      <rPr>
        <sz val="10"/>
        <color rgb="FF000000"/>
        <rFont val="Arial"/>
        <family val="2"/>
      </rPr>
      <t xml:space="preserve">implementa as seguintes premissas otimistas no modelo:
1 - Adoção do cenário de demanda otimista.
2 - A receita tarifária é aumentada no percentual definido na tabela, servindo de </t>
    </r>
    <r>
      <rPr>
        <i/>
        <sz val="10"/>
        <color rgb="FF000000"/>
        <rFont val="Arial"/>
        <family val="2"/>
      </rPr>
      <t>proxy</t>
    </r>
    <r>
      <rPr>
        <sz val="10"/>
        <color rgb="FF000000"/>
        <rFont val="Arial"/>
        <family val="2"/>
      </rPr>
      <t>/aproximação para eventual auferição de receitas extraordinárias pelo concessionário.
3 - Adoção de uma projeção de inflação reduzida. Isso faz com que a perda de potencial dedutivo da amortização do ativo intangível para fins de IRPJ e CSLL seja atenuada, o que é benéfico ao concessionário.</t>
    </r>
  </si>
  <si>
    <t>Tabela 16 – Lista de cenários previstos de Capex e Opex</t>
  </si>
  <si>
    <t>Nome</t>
  </si>
  <si>
    <t xml:space="preserve"> </t>
  </si>
  <si>
    <t>Tabela 17 – Lista de cenários inputados</t>
  </si>
  <si>
    <t>Capex</t>
  </si>
  <si>
    <t>Degraus tarifários</t>
  </si>
  <si>
    <t>Marcos dos aportes</t>
  </si>
  <si>
    <t>Tabela 18 – Lista de WACCs</t>
  </si>
  <si>
    <t>Tabela 19 – Datas-base para atualização, pelo IPCA, das variáveis do modelo</t>
  </si>
  <si>
    <t>Variável</t>
  </si>
  <si>
    <t>Dia da data-base</t>
  </si>
  <si>
    <t>Número índice para correção monetária (referência MEF)</t>
  </si>
  <si>
    <t>Referência</t>
  </si>
  <si>
    <t>Modelo Econômico-Financeiro</t>
  </si>
  <si>
    <t>É a data-base dos valores de Capex e Opex vindos da engenharia. Portanto, adoutou-se tal data-base como a do próprio MEF.</t>
  </si>
  <si>
    <t>Atualização das Parcelas do Novo Acordo de Mariana</t>
  </si>
  <si>
    <t>Acordo Judicial, Cláusula 13. https://www.mg.gov.br/planejamento/noticias/com-novo-acordo-de-mariana-homologado-governo-de-minas-planeja-proximos</t>
  </si>
  <si>
    <t>1ª Parcela do Acordo (não objeto de atualização monetária)</t>
  </si>
  <si>
    <t>Novo Acordo de Mariana, Apêncie 22.2.</t>
  </si>
  <si>
    <t>2ª Parcela do Acordo (não objeto de atualização monetária)</t>
  </si>
  <si>
    <t>Novo Acordo de Mariana, Apêncie 22.2. | Este número índice é uma composição entre o número índice referente a janeiro de 2025 com 5 meses de projeção de inflação para 2025.</t>
  </si>
  <si>
    <t>Previsão no Edital de Licitação</t>
  </si>
  <si>
    <t>A data-base é a data estimada do pagamento, que não é corrigido pelo IPCA. | Este número índice é uma composição entre o número índice referente a janeiro de 2025 com 8 meses de projeção de inflação para 2025.</t>
  </si>
  <si>
    <t>Termo Aditivo 95019489</t>
  </si>
  <si>
    <t>Fonte dos números-índice para datas base anteriores a janeiro de 2025: IpeaData | Fonte dos números-índice para datas posteriores: elaboração própria com base no Boletim Focus de 21/02/2025. Observação: os número-indices são sempre calculados com base no final do período mês/ano, ou seja, não se levando em consideração a inflação do mês da data-base.</t>
  </si>
  <si>
    <t>Tabela 1 - Balanço Patrimonial da concessionária em valores reais (ou seja, ao "entrarem" nesta tabela, os valores precisam ser "realizados" pela projeção do IPCA)</t>
  </si>
  <si>
    <t>Nota metodológica: todas as linhas deste BP real advém do BP nominal (é feita uma "realização" das mesmas), exceto as linhas referentes ao aporte, pois o aporte está sujeito a incidência de correção monetária. Desta forma, é mais simples, em termos de modelagem, fazer o caminho inverso, isto é, primeiro ele é incluído no BP real, para depois ser nominalizado para entrar no BP nominal.</t>
  </si>
  <si>
    <t>Tabela 2 – Empréstimos e Financiamentos</t>
  </si>
  <si>
    <t>Tabela 3 -Tabela auxiliar para verificar se Ativo está igual ao Passivo</t>
  </si>
  <si>
    <t>Os valores são iguais</t>
  </si>
  <si>
    <t>Tabela 4 -Tabela auxiliar para verificar se a conta  "Lucros/Prejuízos Acumulados" do BP está igual a linha "Lucros/Prejuízos Acumulados" na DRE.</t>
  </si>
  <si>
    <t>Tabela 5 - Tabela auxiliar para calcular o saldo das contas "Caixa e Equivalentes de Caixa" e "Empréstimos e Financiamentos".</t>
  </si>
  <si>
    <t>"Conta corrente"</t>
  </si>
  <si>
    <t>Tabela 1 - Demonstração do resultado do exercício em valores nominais (ou seja, ao "entrarem" nesta tabela, os valores precisam ser "nominalizados" pela projeção do IPCA)</t>
  </si>
  <si>
    <t>Conta</t>
  </si>
  <si>
    <t>Alíquota Incidente</t>
  </si>
  <si>
    <t>Receita Tarifária Bruta</t>
  </si>
  <si>
    <t/>
  </si>
  <si>
    <t>ISS</t>
  </si>
  <si>
    <t>PIS/COFINS</t>
  </si>
  <si>
    <t>Art. 10, XXIII, lei 10.833. Art. 4º, IV, lei 9.718.</t>
  </si>
  <si>
    <t>Receita Não Tarifária</t>
  </si>
  <si>
    <t>Incorporação da receita diferida (aporte estatal) na DRE</t>
  </si>
  <si>
    <t>Art. 500 e parágrafos do decreto 9.580/2018</t>
  </si>
  <si>
    <t>PIS/COFINS sobre a receita diferida (aporte estatal)</t>
  </si>
  <si>
    <t>Art. 6º, §§ 6º e 7º, da lei 11.079/2004</t>
  </si>
  <si>
    <t>Recebimento de contraprestação pecuniária</t>
  </si>
  <si>
    <t>PIS/COFINS sobre a contraprestação</t>
  </si>
  <si>
    <t>Compartilhamento do risco de inadimplência (indenização)</t>
  </si>
  <si>
    <t>Solução de Consulta COSIT 117/2021. A inadimplência é lançada como despesa, por isso a parte dela que foi recuperada pela indenização deve ser incluída na base de cálculo de IRPJ e CSLL.</t>
  </si>
  <si>
    <t>Compartilhamento do risco de perda de receita por DUF (indenização)</t>
  </si>
  <si>
    <t>Solução de Consulta COSIT 117/2021. Já a perda de receita decorrente do DUF não é lançado como despesa, pois a receita que for perdida sequer foi faturada. Portanto, a indenização que recopõe essa perda não é tributável para IRPJ e CSLL.</t>
  </si>
  <si>
    <t>Receita Líquida</t>
  </si>
  <si>
    <t>Despesas operacionais</t>
  </si>
  <si>
    <t>Inadimplência</t>
  </si>
  <si>
    <t>Art. 9º da lei 9.430/1996</t>
  </si>
  <si>
    <t>EBITDA</t>
  </si>
  <si>
    <t>Amortização do ativo intangível</t>
  </si>
  <si>
    <t>Art. 41, lei 12.973/2014</t>
  </si>
  <si>
    <t>EBIT</t>
  </si>
  <si>
    <t>Despesas de juros</t>
  </si>
  <si>
    <t>O presente modelo é do tipo desalavancado, isto é, não leva em consideração a dedutibilidade da despesa financeira na DRE para fins de apuração da base de cálculo de IRPJ e CSLL. Essa é a opção metodológica mais utilizada e mais aceita para esse tipo de modelo uma vez que, no cálculo do WACC (Custo Médio Ponderado de Capital) o benefício fiscal da dívida já é levado em consideração e não seria adequado aplicar esse benefício duas vezes no modelo (tanto no cálculo do WACC quanto na dedutibilidade da despesa financeira). Além disso, utilizar o fluxo de caixa alavancado no presente modelo geraria erro de referência cirular, uma vez que a captação de empréstimos em determinado ano leva em conta o fluxo de caixa do projeto do mesmo ano. Caso esse fluxo seja impactado pela própria dívida (via dedutibilidade dos juros dos empréstimos) estar-se-ia constituindo uma circularidade.</t>
  </si>
  <si>
    <t>LAIR antes da compensação dos prejuízos fiscais e da redução das receitas não tributáveis</t>
  </si>
  <si>
    <t>Art. 261, III, Decreto 9.580/2018 (art. 15 e 16 da lei 9.065/1995)</t>
  </si>
  <si>
    <t>Prejuízo Fiscal dos anos anteriores acumulado</t>
  </si>
  <si>
    <t>Limite máximo da compensação</t>
  </si>
  <si>
    <t>Prejuízo fiscal efetivamente compensado.</t>
  </si>
  <si>
    <t>LAIR depois da compensação dos prejuízos fiscais e da redução das receitas não tributáveis</t>
  </si>
  <si>
    <t>IRPJ</t>
  </si>
  <si>
    <t>Art. 258 e Art. 623 do Decreto 9580/2018.</t>
  </si>
  <si>
    <t>IRPJ Adicional</t>
  </si>
  <si>
    <t>Art. 624 do Decreto 9580/2018.</t>
  </si>
  <si>
    <t>CSLL</t>
  </si>
  <si>
    <t>Art. 2º e Art. 3º, III, da lei 7.689/1988</t>
  </si>
  <si>
    <t>Lucro Líquido</t>
  </si>
  <si>
    <t>Mesmo o modelo sendo do tipo desalavancado, nesta linha é necessário levar em consideração a despesa com juros para que o BP e a DRE fiquem compatíveis entre si. Para evitar circularidade, leva-se em consideração a despesa com juros do ano anterior. A utilização do juros do ano anterior é uma simplificação da realidade (como todo modelo) que se justifica na medida em que: não é prático utilizar em um projeto com várias partes relacionadas uma planilha que permita cálculos circulares; como o modelo é desalavancado, essa simplificação não impacta no cálculo da tarifa.
No entanto, é necessário realizar um ajuste ao levar em consideração a utilização dos juros do período anterior. Como o modelo leva em consideração a existência de inflação ano após ano, é necessário colocar a despesa de juros do período anterior na "mesma moeda" da do período atual. Sem tal expediente, a planilha iria apresentar um valor errado de Lucro Líquido na DRE Real.</t>
  </si>
  <si>
    <t>Lucros/Prejuízos Acumulados</t>
  </si>
  <si>
    <t>Tabela 1 - Demonstração do resultado do exercício em valores reais (ou seja, ao "entrarem" nesta tabela, os valores precisam ser "realizados" pela projeção do IPCA)</t>
  </si>
  <si>
    <t>Tabela 2 - Margem EBITDA</t>
  </si>
  <si>
    <t>Margem EBITDA</t>
  </si>
  <si>
    <t>Tabela 1 - Balanço Patrimonial da concessionária em valores nominais (ou seja, ao "entrarem" nesta tabela, os valores precisam ser "nominalizados" pela projeção do IPCA)</t>
  </si>
  <si>
    <t>Código da Conta</t>
  </si>
  <si>
    <t>Descrição da Conta</t>
  </si>
  <si>
    <t>1</t>
  </si>
  <si>
    <t xml:space="preserve">Ativo Total </t>
  </si>
  <si>
    <t>1.01</t>
  </si>
  <si>
    <t>Ativo Circulante</t>
  </si>
  <si>
    <t xml:space="preserve">1.01.01 </t>
  </si>
  <si>
    <t>Caixa e Equivalentes de Caixa</t>
  </si>
  <si>
    <t>Um caixa zerado significa que, em determinado ano, o saldo em conta foi insuficiente para pagar o fluxo de caixa do projeto daquele ano mais o serviço da dívida do ano anterior (não é possível utilizar o serviço da dívida do mesmo ano por causa de circularidade no modelo). Nestes casos (caixa zerado) a demanda por caixa é satisfeita pela captação de empréstimos lançados no Passivo Não Circulante. O fluxo de captação de empréstimos, pagamento de juros e amortizações é apresentado em tabela apartada, para maior clareza.</t>
  </si>
  <si>
    <t xml:space="preserve">1.02 </t>
  </si>
  <si>
    <t>Ativo Não Circulante</t>
  </si>
  <si>
    <t>1.02.02</t>
  </si>
  <si>
    <t>Ativo Intangível</t>
  </si>
  <si>
    <t>1.02.02.01</t>
  </si>
  <si>
    <t>Intangível</t>
  </si>
  <si>
    <t>Itens 28, 29, 30, e 42 da OCPC 05.</t>
  </si>
  <si>
    <t>1.02.02.02</t>
  </si>
  <si>
    <t>Dedução do Intangível por incorporação à DRE</t>
  </si>
  <si>
    <t>Para evitar circularidade no modelo, é necessário criar essa conta separada.</t>
  </si>
  <si>
    <t>1.02.02.03</t>
  </si>
  <si>
    <t>Ativo Financeiro | Aporte estatal</t>
  </si>
  <si>
    <t>Item 16 do ICPC 01. Assim como foi feito na modelagem do Rodoanel, reconhece-se o valor do Ativo Financeiro, no momento de assinatura do contrato, pelo valor total das contraprestações e aportes estatais.</t>
  </si>
  <si>
    <t>1.02.02.04</t>
  </si>
  <si>
    <t>Dedução do Ativo Financeiro | Aporte estatal</t>
  </si>
  <si>
    <t>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t>
  </si>
  <si>
    <t>1.02.02.05</t>
  </si>
  <si>
    <t>Ativo Financeiro | Contraprestação pecuniária</t>
  </si>
  <si>
    <t>1.02.02.06</t>
  </si>
  <si>
    <t>Dedução do Ativo Financeiro | Contraprestação pecuniária</t>
  </si>
  <si>
    <t>À medida que a contraprestação pecuniária for sendo recebida, vai-se abatendo o seu respectivo Ativo Financeiro.</t>
  </si>
  <si>
    <t>2</t>
  </si>
  <si>
    <t>Passivo Total</t>
  </si>
  <si>
    <t xml:space="preserve">2.01 </t>
  </si>
  <si>
    <t>Passivo Circulante</t>
  </si>
  <si>
    <t>2.01.01</t>
  </si>
  <si>
    <t>Empréstimos e Financiamentos</t>
  </si>
  <si>
    <t>Considerando que o presente modelo é de periodiciade anual, e considerando que o concessionário terá condições (e procurará fazê-lo) de se financiar em longo prazo, optou-se por não modelar a conta "Empréstimos e Financiamentos" do Passivo Circulante.</t>
  </si>
  <si>
    <t>2.02</t>
  </si>
  <si>
    <t>Passivo Não Circulante</t>
  </si>
  <si>
    <t xml:space="preserve">2.02.01 </t>
  </si>
  <si>
    <t>Vide comentário da conta "Caixa e Equivalentes de Caixa".</t>
  </si>
  <si>
    <t>2.02.02</t>
  </si>
  <si>
    <t>Receita a Realizar | Aporte estatal (Art. 6º, §2º, lei 11.079/2004)</t>
  </si>
  <si>
    <t>2.02.03</t>
  </si>
  <si>
    <t>Dedução da Receita a Realizar | Aporte estatal</t>
  </si>
  <si>
    <t>2.02.04</t>
  </si>
  <si>
    <t>Receita Diferida referente ao levantamento do Aporte estatal (Art. 6º, §2º, lei 11.079/2004)</t>
  </si>
  <si>
    <t>2.02.05</t>
  </si>
  <si>
    <t>Realização da "Receita Diferida referente ao levantamento do Aporte estatal"</t>
  </si>
  <si>
    <t>2.02.06</t>
  </si>
  <si>
    <t>Receita a Realizar | Contraprestação pecuniária</t>
  </si>
  <si>
    <t>2.02.07</t>
  </si>
  <si>
    <t>Realização da "Receita a Realizar | Contraprestação pecuniária"</t>
  </si>
  <si>
    <t>2.03</t>
  </si>
  <si>
    <t xml:space="preserve">Patrimônio Líquido </t>
  </si>
  <si>
    <t>2.03.01</t>
  </si>
  <si>
    <t xml:space="preserve">Capital Social Integralizado </t>
  </si>
  <si>
    <t>O capital social será totalmente integralizado antes da assinatura do contrato.</t>
  </si>
  <si>
    <t>2.03.02</t>
  </si>
  <si>
    <t>Observação: é necessário ter uma versão "nominal" e uma "real" do balanço patrimonial neste MEF, mesmo que ele seja um modelo do tipo "real", porque, com base no art. 4º da lei 9.249/1995, não se pode atualizar monetariamente o Balanço Patrimonial. Isso faz com que o valor nominal de contas como capital social e ativo intangível permaneçam constantes ao longo do tempo (a menos que haja movimentação contábil nestas contas), o que, por conseguinte, faz que haja uma diminuição real do valor destas contas ao longo do tempo por causa da inflação (diminuição do valor real da moeda).</t>
  </si>
  <si>
    <t xml:space="preserve">Captação de Dívidas </t>
  </si>
  <si>
    <t xml:space="preserve">Total em Empréstimo </t>
  </si>
  <si>
    <t>Juros gerado</t>
  </si>
  <si>
    <t>Juros pago</t>
  </si>
  <si>
    <t>Amortização</t>
  </si>
  <si>
    <t>Saldo a pagar</t>
  </si>
  <si>
    <t>Tabela 3 -Tabela auxiliar para verificar se o Ativo está igual ao Passivo</t>
  </si>
  <si>
    <t>Observação: por conta de arrendondamentos que impactam a quinta casa decimal, foi necessáro arredondar para duas casas decimais para que os valores do teste retornassem verdadeiros.</t>
  </si>
  <si>
    <t>Tabela 5 - Tabela auxiliar para calcular o saldo das contas "Caixa e Equivalentes de Caixa" e "Empréstimos e Financiamentos" no "Passivo Circulante".</t>
  </si>
  <si>
    <t>Observação: a partir do ano 2 já se passa a levar em consideração o serviço da dívida do ano anterior (não é possível levar em consideração o serviço da dívida do mesmo ano sob pena de circularidade no modelo).</t>
  </si>
  <si>
    <t>Tabela 1 – Fluxo de Caixa</t>
  </si>
  <si>
    <t>Receita tarifária recebida</t>
  </si>
  <si>
    <t>Recebimento de aporte estatal</t>
  </si>
  <si>
    <t>Indenizações pagas pelo poder concedente por compartilhamento de riscos</t>
  </si>
  <si>
    <t>ISS, PIS e COFINS pagos</t>
  </si>
  <si>
    <t>Opex com ônus, seguros e garantias</t>
  </si>
  <si>
    <t>IRPJ e CSLL pagos</t>
  </si>
  <si>
    <t>Fluxo de Caixa Livre do Projeto</t>
  </si>
  <si>
    <t>Fluxo de Caixa Acumulado do Projeto</t>
  </si>
  <si>
    <t>Pagamento de juros e amortização de empréstimos</t>
  </si>
  <si>
    <t>Captações de dívidas</t>
  </si>
  <si>
    <t>Fluxo de Caixa Livre do Acionista</t>
  </si>
  <si>
    <t>Integralizações de capital social</t>
  </si>
  <si>
    <t>Tabela 2 – Composição da remuneração do parceiro privado</t>
  </si>
  <si>
    <t>Remuneração total do parceiro privado (tarifa, aporte e contraprestações)</t>
  </si>
  <si>
    <t>Receita tarifária recebida (em percentual da remuneração total)</t>
  </si>
  <si>
    <t xml:space="preserve">Contraprestação pecuniária e aporte estatal </t>
  </si>
  <si>
    <t>Observação: segundo o art. 10, § 3º, da lei 11.079/2004, "as concessões patrocinadas em que mais de 70% (setenta por cento) da remuneração do parceiro privado for paga pela Administração Pública dependerão de autorização legislativa específica."</t>
  </si>
  <si>
    <t>Tabela 3 – Tabela auxiliar para cálculo do payback do projeto</t>
  </si>
  <si>
    <t>Fluxo de Caixa Livre Acumulado do Projeto Positivo</t>
  </si>
  <si>
    <t>Tabela 1 – Distribuição dos dias da semana por Ano</t>
  </si>
  <si>
    <t>Fonte: Seinfra/MG - 07/10/2024</t>
  </si>
  <si>
    <t>Tabela 2 – Linhas, Pórticos nas quais elas passam, frequências por dia da semana, e tráfego</t>
  </si>
  <si>
    <t>Linha</t>
  </si>
  <si>
    <t>Eixos</t>
  </si>
  <si>
    <t>Sentido</t>
  </si>
  <si>
    <t>Segundas</t>
  </si>
  <si>
    <t>Terças</t>
  </si>
  <si>
    <t>Quartas</t>
  </si>
  <si>
    <t>Quintas</t>
  </si>
  <si>
    <t>Sextas</t>
  </si>
  <si>
    <t>Sábados</t>
  </si>
  <si>
    <t>Domingos</t>
  </si>
  <si>
    <t xml:space="preserve">Feriados </t>
  </si>
  <si>
    <t>Segundas Férias</t>
  </si>
  <si>
    <t>Terças Férias</t>
  </si>
  <si>
    <t>Quartas Férias</t>
  </si>
  <si>
    <t>Quintas Férias</t>
  </si>
  <si>
    <t>Sextas Férias</t>
  </si>
  <si>
    <t>Sábados Férias</t>
  </si>
  <si>
    <t xml:space="preserve">Domingos Férias </t>
  </si>
  <si>
    <t>Segundas Atípicas</t>
  </si>
  <si>
    <t>Terças  Atípicas</t>
  </si>
  <si>
    <t>Quartas  Atípicas</t>
  </si>
  <si>
    <t>Quintas  Atípicas</t>
  </si>
  <si>
    <t>Sextas  Atípicas</t>
  </si>
  <si>
    <t>Sábados Atípicos</t>
  </si>
  <si>
    <t>Quarta Feira de Cinzas</t>
  </si>
  <si>
    <t>Volume Médio Anual (VMA)</t>
  </si>
  <si>
    <t>Volume Diário Médio Anual (VDMA)</t>
  </si>
  <si>
    <t>VDMA por Pórtico</t>
  </si>
  <si>
    <t>BELO HORIZONTE - OURO PRETO</t>
  </si>
  <si>
    <t>Intermunicipal</t>
  </si>
  <si>
    <t>BELO HORIZONTE - ITABIRITO</t>
  </si>
  <si>
    <t>ALPHAVILLE - ITABIRITO (ATP)</t>
  </si>
  <si>
    <t>BELO HORIZONTE - PONTE NOVA</t>
  </si>
  <si>
    <t>BELO HORIZONTE - MARIANA</t>
  </si>
  <si>
    <t>BELO HORIZONTE - RIO CASCA</t>
  </si>
  <si>
    <t>BARRO BRANCO - PONTE NOVA (ATP)</t>
  </si>
  <si>
    <t>PALMEIRA DE FORA - PONTE NOVA (ATP)</t>
  </si>
  <si>
    <t>PIEDADE PTE.NOVA - PONTE NOVA</t>
  </si>
  <si>
    <t>ITABIRITO - OURO PRETO</t>
  </si>
  <si>
    <t>ITABIRITO - CACHOEIRA DO CAMPO (ATP)</t>
  </si>
  <si>
    <t>PONTE NOVA - ACAIACA</t>
  </si>
  <si>
    <t>BARRA LONGA - PONTE NOVA (PARALISADO ATÉ 28/05/2025)</t>
  </si>
  <si>
    <t>BARRA LONGA - PONTE NOVA, VIA ACAIACA (PARALISADO ATÉ 28/05/2025)</t>
  </si>
  <si>
    <t>OURO PRETO - MARIANA</t>
  </si>
  <si>
    <t>OURO PRETO (SARAMENHA) - MARIANA, BR356</t>
  </si>
  <si>
    <t>MARIANA - BARRA LONGA (PARALISADO ATE 01/11/2024)</t>
  </si>
  <si>
    <t xml:space="preserve"> SUZANA/BH VIA CORREGO FERREIRA</t>
  </si>
  <si>
    <t>Metropolitano</t>
  </si>
  <si>
    <t xml:space="preserve"> SUZANA/BH</t>
  </si>
  <si>
    <t xml:space="preserve"> ALPHAVILLE/BH</t>
  </si>
  <si>
    <t xml:space="preserve"> AGUA LIMPA/BH</t>
  </si>
  <si>
    <t>Fonte: Seinfra/MG - 07/10/2024. Observação: nos casos das linhas que operam com ônibus de 2 e 3 eixos, adotou-se a premissa conservadora de considerar que os veículos destas linhas possuem 3 eixos</t>
  </si>
  <si>
    <t>Tabela 3 – VDMA dos veículos do transporte público intermunicipal e metropolitano por Pórtico</t>
  </si>
  <si>
    <t>VDMA dos veículos com 2 eixos</t>
  </si>
  <si>
    <t>VDMA dos veículos com 3 eixos</t>
  </si>
  <si>
    <t>VDMA dos veículos com 2 e 3 eixos</t>
  </si>
  <si>
    <t>Tabela 4 – Percentual do VDMA dos veículos do transporte público intermunicipal e metropolitano em comparação ao VDMA total por Pórtico</t>
  </si>
  <si>
    <t>Tabela 1 – Volumes diários médios anuais de tráfego (VDMA), por grupo, por Pórtico, SEM EFEITO FUGA</t>
  </si>
  <si>
    <t>Observação: estudo feito em setembro de 2024. Planilha enviada pela Dynatest em 12/11/2024.</t>
  </si>
  <si>
    <t>Tabela 2 – Volumes diários médios anuais de tráfego (VDMA), por grupo, por Pórtico, COM EFEITO FUGA</t>
  </si>
  <si>
    <t>Tabela 3 – Proporção do VDMA total, por grupo, por pórtico, COM FEITO FUGA</t>
  </si>
  <si>
    <t>Tabela 4 – Taxas de crescimento anual de tráfego por ano calendário</t>
  </si>
  <si>
    <t>Metodologia</t>
  </si>
  <si>
    <t>Cenário</t>
  </si>
  <si>
    <t>Pessimista</t>
  </si>
  <si>
    <t>Base</t>
  </si>
  <si>
    <t>Otimista</t>
  </si>
  <si>
    <t>Taxa constante (CAGR)</t>
  </si>
  <si>
    <t>Observação: presume-se que a concessão inicia-se em 2026, portanto 2025 seria o Ano 0 e 2024 o Ano -1.</t>
  </si>
  <si>
    <t>Tabela 5 – Taxas de crescimento anual de tráfego por ano concessão</t>
  </si>
  <si>
    <t>Tabela 6 – Taxas de crescimento anual de tráfego selecionada no Painel de Controle</t>
  </si>
  <si>
    <t>Tabela 7 – Volumes diários médios anuais de tráfego (VDMA) por categoria por Pórtico</t>
  </si>
  <si>
    <t>Categoria</t>
  </si>
  <si>
    <t>Participação em seu respectivo grupo</t>
  </si>
  <si>
    <t>Ano -1</t>
  </si>
  <si>
    <t>Tabela 8 – Percentuais de fuga</t>
  </si>
  <si>
    <t>Tabela 9 – Volumes diários médios anuais de tráfego (VDMA) estimados por categoria por Pórtico COM EFEITO FUGA</t>
  </si>
  <si>
    <t>Percentual de fuga aplicável</t>
  </si>
  <si>
    <t>Tabela 10 – Volumes diários médios anuais de tráfego em eixos equivalentes (VDMAeq) estimados por categoria por Pórtico COM EFEITO FUGA</t>
  </si>
  <si>
    <t>Tabela 11 – Volumes anualizados estimados por categoria por Pórtico COM EFEITO FUGA</t>
  </si>
  <si>
    <t>Tabela 12 – Volumes diários médios anuais de tráfego (VDMA) estimados por Pórtico COM EFEITO FUGA</t>
  </si>
  <si>
    <t>Tabela 13 – Volumes diários médios anuais de tráfego (VDMA) estimados por categoria COM EFEITO FUGA</t>
  </si>
  <si>
    <t>Tabela 14 – Volumes diários médios anuais de tráfego por eixo equivalente (VDMAeq) estimados por categoria COM EFEITO FUGA</t>
  </si>
  <si>
    <t>Observação: os eixos equivalentes estão sendo calculados por meio dos multiplicadores de tarifa, de modo que veículos isentos (com multiplicador de tarifa zerados) não são contabilizados nesta tabela.</t>
  </si>
  <si>
    <t>Tabela 15 – Volumes diários médios anuais de tráfego por eixo equivalente (VDMAeq) estimados por Pórtico COM EFEITO FUGA</t>
  </si>
  <si>
    <t>Tabela 1 - Soma do VDMAeq do Ano 1 ao Ano 30</t>
  </si>
  <si>
    <t>Tabela 1 – Multiplicadores de Tarifa (Eixos Equivalentes) em cada ano</t>
  </si>
  <si>
    <t>Tabela 2 – Percentual de aumento (com relação ao preço do ano anterior) a ser aplicado em cada ano em cada Pórtico (Degraus Tarifários)</t>
  </si>
  <si>
    <t>Ano</t>
  </si>
  <si>
    <t>Observação: ocorrerá aumento das tarifas dos Pórticos cujos trechos de cobertura forem duplicados. O aumento ocorrerá ao final da duplicação. Como o presente modelo é anual, os aumentos ocorrem no último ano previsto para as obras de duplicação de cada trecho.</t>
  </si>
  <si>
    <t>Tabela 3 – Tarifa por Pórtico por ano</t>
  </si>
  <si>
    <t>Tabela 4 – Tarifa quilométrica média por ano (x100)</t>
  </si>
  <si>
    <t>TKM (x100)</t>
  </si>
  <si>
    <t>Tabela 5 – Tarifa vigente em cada Pórtico, por categoria de veículo, por ano</t>
  </si>
  <si>
    <t>Tabela 6 – Tabela auxiliar para identificar em que ano terminam as duplicações</t>
  </si>
  <si>
    <t>Houve término de duplicação</t>
  </si>
  <si>
    <t>Tabela 1 – Percentual de aumento (com relação ao preço do ano anterior) a ser aplicado em cada ano em cada Pórtico (Degraus Tarifários)</t>
  </si>
  <si>
    <t>Tabela 1 – Passagem na qual se alcança o desconto máximo na tarifa</t>
  </si>
  <si>
    <t>Observação: a partir dessa passagem, o valor da tarifa se torna constante.</t>
  </si>
  <si>
    <t>Tabela 2 – Percentual máximo que a distância de referência pode ser da quilometragem do respectivo trecho de cobertura</t>
  </si>
  <si>
    <t>Observação: valor informado pela Dynatest conforme utilizado em outros projetos.</t>
  </si>
  <si>
    <t>Tabela 3 – Percentual de desconto para cada utilização</t>
  </si>
  <si>
    <t xml:space="preserve">Município do Pórtico </t>
  </si>
  <si>
    <t>Distância referencial do DUF (Dk,ref) medida (Fonte: Dynatest)</t>
  </si>
  <si>
    <t>Distância referencial do DUF (Dk,ref) considerada</t>
  </si>
  <si>
    <t>Razão entre a distância de referência e a quilometragem do Trecho de Cobertura</t>
  </si>
  <si>
    <t>Desconto médio concecido ao usuário (considerando N passagens)</t>
  </si>
  <si>
    <t>Percentual de Desconto Unitário (PDU)</t>
  </si>
  <si>
    <t>A relação entre PDU, TCPk e Dk,ref está de acordo com a equação da observação? (1=Verdadeiro)</t>
  </si>
  <si>
    <t>Booleano</t>
  </si>
  <si>
    <t>Nova Lima</t>
  </si>
  <si>
    <t>Observações: i) as distâncias de referência foram calculadas a partir das viagens com maior frequência; ii) a relação entre o PDU, a TDUF e a T se dá pela fórmula abaixo.</t>
  </si>
  <si>
    <t>Tabela 4 - Distribuição da frequência de uso da rodovia por Pórtico e grupo de veículo</t>
  </si>
  <si>
    <t>Grupo de Veículo</t>
  </si>
  <si>
    <t>Frequência da viagem</t>
  </si>
  <si>
    <t>Percentual dos usuários com determinada frequência</t>
  </si>
  <si>
    <t>Frequência de viagem por mês</t>
  </si>
  <si>
    <t>Diária</t>
  </si>
  <si>
    <t>Semanal</t>
  </si>
  <si>
    <t>Mensal</t>
  </si>
  <si>
    <t>Anual</t>
  </si>
  <si>
    <t>Eventual</t>
  </si>
  <si>
    <t>Primeira Vez</t>
  </si>
  <si>
    <t>Pesados I e II</t>
  </si>
  <si>
    <t>Tabela 5 - Distribuição da frequência de uso da rodovia por Pórtico e categoria de veículo</t>
  </si>
  <si>
    <t>Tem direito ao DUF</t>
  </si>
  <si>
    <t>Desconto na v-ésima viagem no mês</t>
  </si>
  <si>
    <t>Desconto médio das viagens no mês</t>
  </si>
  <si>
    <t>Produto do percentual de usuários pelo desconto médio</t>
  </si>
  <si>
    <t>Tabela 6 - Percentual de uso de TAG para cada categoria, por ano da concessão</t>
  </si>
  <si>
    <t>Tabela 7 - Desconto total sobre a receita, para cada Pórtico, por grupo de veículo, SEM CONSIDERAR o percentual de uso de TAG</t>
  </si>
  <si>
    <t>Tabela 8 - Desconto total sobre a receita, para cada Pórtico, por grupo de veículo, CONSIDERANDO o percentual de uso de TAG</t>
  </si>
  <si>
    <t>Tabela 9 –Tabelas de PDUs</t>
  </si>
  <si>
    <t>N</t>
  </si>
  <si>
    <t>P1</t>
  </si>
  <si>
    <t>P2</t>
  </si>
  <si>
    <t>P3</t>
  </si>
  <si>
    <t>P4</t>
  </si>
  <si>
    <t>Tabela 1 – Receitas tarifárias por passagens, por Pórtico, por categoria, SEM DUF, SEM majoração pelo não uso de TAG, SEM inadimplência, e SEM considerar meses iniciais sem cobrança.</t>
  </si>
  <si>
    <t>Observação: a depender da modelagem do Pedágio Sombra, parte dessas tarifas irá se transformar em contraprestação pecuniária e parte em receita tarifária (fato gerador do ISS).</t>
  </si>
  <si>
    <t>Tabela 2 – Meses, em cada ano, SEM a cobrança de Tarifa</t>
  </si>
  <si>
    <t>Tabela 3 – Receitas tarifárias, por Pórtico, por categoria, SEM DUF, SEM majoração pelo não uso de TAG, SEM inadimplência, e CONSIDERANDO meses iniciais sem cobrança.</t>
  </si>
  <si>
    <t>Observação: a depender da modelagem do Pedágio Sombra, parte dessas "tarifas" irá se transformar em contraprestação pecuniária e parte em receita tarifária propriamente dita (fato gerador do ISS).</t>
  </si>
  <si>
    <t>Tabela 4 – Percentual de desconto total a incidir sobre a receita, por Pórtico, por categoria, por causa do DUF.</t>
  </si>
  <si>
    <t>Tabela 5 – Perda de receita, por Pórtico, por categoria, por causa do DUF, CONSIDERANDO alguns meses iniciais sem cobrança</t>
  </si>
  <si>
    <t>Total em percentual da Receita Tarifária Bruta</t>
  </si>
  <si>
    <t>Tabela 6 – Percentual de uso de TAG por categoria de veículo</t>
  </si>
  <si>
    <t>Tabela 7 – Aumento de receita, por Pórtico, por categoria, por causa da majoração da tarifa para os usuários que não usam TAG, CONSIDERANDO meses iniciais sem cobrança</t>
  </si>
  <si>
    <t>Tabela 8 – Receitas tarifárias, por Pórtico, por categoria, COM DUF, COM majoração pelo não uso de TAG, SEM inadimplência, e  CONSIDERANDO os meses iniciais sem cobrança.</t>
  </si>
  <si>
    <t>Tabela 9 – Receitas FATURADAS por Pórtico, CONSIDERANDO alguns meses iniciais sem cobrança</t>
  </si>
  <si>
    <t>Tabela 10 – Receitas EFETIVAMENTE RECEBIDAS por Pórtico, CONSIDERANDO alguns meses iniciais sem cobrança</t>
  </si>
  <si>
    <t>Tabela 11 – Inadimplência por Pórtico, CONSIDERANDO alguns meses iniciais sem cobrança</t>
  </si>
  <si>
    <t>Tabela 12 – Quilometragem de cada trecho em cada município</t>
  </si>
  <si>
    <t>Quilometragem do trecho no município</t>
  </si>
  <si>
    <t>Tabela 13 – Quilometragem total em cada município e alíquota de ISS</t>
  </si>
  <si>
    <t>Quilometragem total</t>
  </si>
  <si>
    <t>Alíquota ISS</t>
  </si>
  <si>
    <t>Tabela 14 – Percentual de cada município na receita gerada por cada Pórtico</t>
  </si>
  <si>
    <t>Tabela 15 – Receitas tarifárias FATURADAS, por município, CONSIDERANDO alguns meses iniciais sem cobrança</t>
  </si>
  <si>
    <t>Tabela 1 – Projeção do percentual do uso de TAG por grupo de veículo</t>
  </si>
  <si>
    <t>Ano da concessão</t>
  </si>
  <si>
    <t>Fonte:baseado nas projeções adotadas no Lote 8 - Vetor Norte, conforme publicado em consulta pública.</t>
  </si>
  <si>
    <t>Tabela 2 – Projeção da taxa de inadimplência</t>
  </si>
  <si>
    <t>Inadimplência projetada</t>
  </si>
  <si>
    <t>=E5:AH48 * (1-)</t>
  </si>
  <si>
    <t>=(E5:AH48 - E102# + E151#) * (1-</t>
  </si>
  <si>
    <t>Tabela 1 – Regra de compartilhamento do risco de inadimplência</t>
  </si>
  <si>
    <t>Mês inicial (inclusive)</t>
  </si>
  <si>
    <t>Mês final (exclusive)</t>
  </si>
  <si>
    <t>Percentual do risco assumido pela Concessionária</t>
  </si>
  <si>
    <t>Percentual do risco assumido pelo Poder Concedente</t>
  </si>
  <si>
    <t>Importante: a refererência temporal desta tabela é o início da cobrança de pedágio em algum Pórtico, e não o mês da concessão.</t>
  </si>
  <si>
    <t>Tabela 2 - Mês da concessão em que se inicia a cobrança de pedágio</t>
  </si>
  <si>
    <t>Tabela 3 – Risco de inadimplência assumido pelo concessionário em cada mês</t>
  </si>
  <si>
    <t>Mês (contado do início da cobrança, inclusive)</t>
  </si>
  <si>
    <t>Mês (contado do início da concessão, inclusive)</t>
  </si>
  <si>
    <t>Ano da Concessão</t>
  </si>
  <si>
    <t>Tabela 4 – Percentual de risco assumido pelo concessionário em cada ano</t>
  </si>
  <si>
    <t>Risco</t>
  </si>
  <si>
    <t>Inadimplência dos usuários</t>
  </si>
  <si>
    <t>Perda de receita tarifária em função de DUF</t>
  </si>
  <si>
    <t>Observação: o parâmetro para o risco de perda de receita tarifária decorrente de DUF é a Receita Tarifária Bruta, enquanto que o parâmetro para o risco de inadimplência dos usuários é o próprio valor inadimplido.</t>
  </si>
  <si>
    <t>Tabela 5 – Compartilhamento do risco de inadimplência dos usuários</t>
  </si>
  <si>
    <t>Inadimplência que é risco do concessionário</t>
  </si>
  <si>
    <t>Indenização a ser paga pelo poder concedente (inadimplência)</t>
  </si>
  <si>
    <t>Tabela 6 – Compartilhamento do risco de perda de receita por DUF</t>
  </si>
  <si>
    <t>Receita Tarifária Anual</t>
  </si>
  <si>
    <t>Perda percentual de receita tarifária em função de DUF</t>
  </si>
  <si>
    <t>Perda percentual de receita que é risco do concessionário</t>
  </si>
  <si>
    <t>Indenização a ser paga pelo poder concedente (DUF)</t>
  </si>
  <si>
    <t>Tabela 7 –Total de indenizações a serem pagas pelo poder concedente</t>
  </si>
  <si>
    <t>Indenização a ser paga pelo Poder Concedente (total)</t>
  </si>
  <si>
    <t>Tabela 1 – Fluxo de pagamentos, ao Estado, referente ao acordo de reparação</t>
  </si>
  <si>
    <t>Ano Calendário</t>
  </si>
  <si>
    <t>Número da parcela do Acordo</t>
  </si>
  <si>
    <t>Data de pagamento da parcela</t>
  </si>
  <si>
    <t>Valor da parcela, conforme previsto no acordo, a ser pago ao Estado (na data-base do Acordo)</t>
  </si>
  <si>
    <t>Haverá correção monetária pelo IPCA da parcela paga ao Estado?</t>
  </si>
  <si>
    <t>Valor real pago ao Estado considerando a incidência de correção monetária ou não (na data-base do Acordo)</t>
  </si>
  <si>
    <t>Valor real pago ao Estado considerando a incidência de correção monetária ou não (na data-base do MEF)</t>
  </si>
  <si>
    <t>Saldo nominal (sem projeção de inflação)</t>
  </si>
  <si>
    <t>Saldo real na conta do Estado (data-base Acordo)</t>
  </si>
  <si>
    <t>Saldo real na conta do Estado (data-base MEF)</t>
  </si>
  <si>
    <t>Valor inicial NOMINAL a ser pago pelo Estado à conta de contraprestação (Anexo do Contrato 8)</t>
  </si>
  <si>
    <t>Valor inicial REAL a ser pago pelo Estado à conta de contraprestação (Anexo do Contrato 8)</t>
  </si>
  <si>
    <t>Percentual do montante restante de aporte a ser transferido da conta do Estado à conta de contraprestação (Anexo do Contrato 8)</t>
  </si>
  <si>
    <t>Pagamentos reais do Estado à conta de contraprestação, exceto o pagamento incial</t>
  </si>
  <si>
    <t>Fluxo NOMINAL de pagamentos, do Estado, à conta de contraprestação</t>
  </si>
  <si>
    <t>Fluxo REAL de pagamentos, do Estado, à conta de contraprestação (data-base Acordo)</t>
  </si>
  <si>
    <t>Fluxo REAL de pagamentos, do Estado, à conta de contraprestação (data-base MEF)</t>
  </si>
  <si>
    <t>Referências: Novo Acordo de Mariana, Anexo 13, Cláusula 2, I, parágrafo primeiro; Novo Acordo de Mariana, Apêndice 22.2; Novo Acordo de Mariana, Cláusula 13.</t>
  </si>
  <si>
    <t>Tabela 2 – Marco de aporte de Serviços Iniciais</t>
  </si>
  <si>
    <t>Número do Marco</t>
  </si>
  <si>
    <t>Marco</t>
  </si>
  <si>
    <t>Ano máximo em que deve ser concluído (segundo o PER)</t>
  </si>
  <si>
    <t>Capex do Marco que pode ser adquirido com Aporte</t>
  </si>
  <si>
    <t>Percentual de Aporte correspondente ao Marco</t>
  </si>
  <si>
    <t>Valor de Aporte correspondente ao Marco</t>
  </si>
  <si>
    <t>Serviços Iniciais</t>
  </si>
  <si>
    <t>Tabela 3 – Marcos do aporte (com percentuais de aporte arredondados para duas casas decimais)</t>
  </si>
  <si>
    <t>Observação: o arredondamento implementado por essa tabela é necessário para garantir que, ao transpor os percentuais de aporte com duas casas decimais para o contrato, a soma de tais percentuais resultará em exatamente 100%. Eventual ajuste decorrente do arredondamento é implementado no Marco 1 | MG-262.</t>
  </si>
  <si>
    <t>Tabela 4 – Percentual do valor dos marcos que está sendo pago com aporte</t>
  </si>
  <si>
    <t>Tabela 5 - Cenário de Capex e Opex</t>
  </si>
  <si>
    <t>Tabela 6 – Fluxo de pagamento do aporte</t>
  </si>
  <si>
    <t>Saldo no início do período</t>
  </si>
  <si>
    <t>Fluxo de pagamento, do Estado, à conta de contraprestação</t>
  </si>
  <si>
    <t>Saldo disponível para pagamento de aporte</t>
  </si>
  <si>
    <t>Pagamento de aporte</t>
  </si>
  <si>
    <t>Saldo da conta de compensação após pagamento de aporte</t>
  </si>
  <si>
    <t>Tabela 7 – Há saldo para pagamentos</t>
  </si>
  <si>
    <t>Saldo para o Estado transferir para a conta da contraprestação</t>
  </si>
  <si>
    <t>Saldo para a conta da contraprestação pagar o aporte</t>
  </si>
  <si>
    <t>Tabela 8 – Valor total do acordo para o Estado de MG e o limite a ser aplicado no Lote 7</t>
  </si>
  <si>
    <t>Valor real total ao Estado</t>
  </si>
  <si>
    <t>Valor real destinado ao projeto do Lote 7</t>
  </si>
  <si>
    <t>Tabela 9 – Aporte totalmente aplicado (em termos REAIS)</t>
  </si>
  <si>
    <t>Tabela 1 – Fluxos de pagamento pela ótica do Estado</t>
  </si>
  <si>
    <t>Valor nominal pago ao Estado (sem projeção de inflação)</t>
  </si>
  <si>
    <t>Valor real pago ao Estado (na data-base do Acordo)</t>
  </si>
  <si>
    <t>Valor real pago ao Estado (na data-base do MEF)</t>
  </si>
  <si>
    <t>Valor nominal pago do Estado à conta de contaprestação (sem projeção de inflação)</t>
  </si>
  <si>
    <t>Valor real pago do Estado à conta de contaprestação (na data-base do MEF)</t>
  </si>
  <si>
    <t>Valor real pago do Estado à conta de contaprestação (na data-base do Acordo)</t>
  </si>
  <si>
    <t>Saldo nominal do Estado (sem projeção de inflação)</t>
  </si>
  <si>
    <t>Saldo real do Estado (data-base do MEF)</t>
  </si>
  <si>
    <t>Saldo real do Estado (data-base do Acordo)</t>
  </si>
  <si>
    <t>Saldos sempre positivos?</t>
  </si>
  <si>
    <t>GRÁFICO / INFORMAÇÕES NA DATA-BASE DO MEF: JULHO/2024</t>
  </si>
  <si>
    <t>Valor Nominal: sem projeção da inflação</t>
  </si>
  <si>
    <t>Mês:</t>
  </si>
  <si>
    <t>Valor Real: data-base: julho/2024</t>
  </si>
  <si>
    <t>mês:</t>
  </si>
  <si>
    <t>GRÁFICO / INFORMAÇÕES NA DATA-BASE DO ACORDO JUDICIAL: NOVEMBRO/2024</t>
  </si>
  <si>
    <t>Contraprestação total (valor enviado para a escrow) - NOMINAL:</t>
  </si>
  <si>
    <t>Contraprestação total (valor enviado para a escrow) - REAL_Data-base Acordo:</t>
  </si>
  <si>
    <t>Valor Real: data-base: novembro/2024</t>
  </si>
  <si>
    <t>Valor real pago do Estado à conta de contaprestação  (na data-base do Acordo)</t>
  </si>
  <si>
    <t>Tabela 1 – Marcos de aportes de todos os cenários</t>
  </si>
  <si>
    <t>Marco Inicial</t>
  </si>
  <si>
    <t>Marco Final</t>
  </si>
  <si>
    <t>Descrição do Marco</t>
  </si>
  <si>
    <t>Há marco nesta linha?</t>
  </si>
  <si>
    <t>Tabela 1 – Custo base para cada modelo de gestão</t>
  </si>
  <si>
    <t>Alocação de Riscos</t>
  </si>
  <si>
    <t>Público</t>
  </si>
  <si>
    <t>Privado</t>
  </si>
  <si>
    <t xml:space="preserve">A administração pública deverá assumir integralmente este custo </t>
  </si>
  <si>
    <t xml:space="preserve">O poder público realiza pagamentos na forma de aportes e contraprestações </t>
  </si>
  <si>
    <t>Cálculos</t>
  </si>
  <si>
    <t xml:space="preserve">Despesas calculadas em Capex e Opex pelo MEF </t>
  </si>
  <si>
    <t xml:space="preserve">Fluxo de pagamentos calculados pelo MEF </t>
  </si>
  <si>
    <t>Valor Presente Líquido dos gastos do Poder Público</t>
  </si>
  <si>
    <t>Tabela 2 – Sobrecusto de obra e operação</t>
  </si>
  <si>
    <t xml:space="preserve">Aumento de custos dada a operação do serviço pela administração pública </t>
  </si>
  <si>
    <t xml:space="preserve">O privado deverá assumir integralmente este risco </t>
  </si>
  <si>
    <t xml:space="preserve">64% adicional ao CAPEX; 17,6% adicional à folha salarial; e 15,5% adicional às demais despesas operacionais </t>
  </si>
  <si>
    <t>Valor Presente Líquido do sobrecusto de Capex (64,0%)</t>
  </si>
  <si>
    <t>Valor Presente Líquido do sobrecusto de Opex (15,5%)</t>
  </si>
  <si>
    <t>Valor Presente Líquido do sobrecusto de Capex e Opex</t>
  </si>
  <si>
    <t>Tabela 3 – Remuneração do Poder Concedente</t>
  </si>
  <si>
    <t xml:space="preserve">A Administração Pública operaria a rodovia e perceberia receitas a partir dessa operação </t>
  </si>
  <si>
    <t xml:space="preserve">A concessionária operaria a rodovia e perceberia receitas a partir dessa operação </t>
  </si>
  <si>
    <t xml:space="preserve">Receita operacional calculada pelo MEF </t>
  </si>
  <si>
    <t>Fluxo de pagamentos de Outorga Fixa e Variável ao Poder Concedente</t>
  </si>
  <si>
    <t>Valor Presente Líquido da Remuneração do Poder Público</t>
  </si>
  <si>
    <t>Tabela 4 – Arrecadação tributária municipal e federal</t>
  </si>
  <si>
    <t>Imunidade tributária</t>
  </si>
  <si>
    <t xml:space="preserve">Pagamento de tributos, conforme alíquotas e bases de cálculos vigentes </t>
  </si>
  <si>
    <t>Soma dos valores pertinentes à ISS/IRPJ/CSLL/PIS/COFINS</t>
  </si>
  <si>
    <t>Valor Presente Líquido da Arrecadação Tributária</t>
  </si>
  <si>
    <t>Tabela 5 – Comparativo entre os modelos de gestão</t>
  </si>
  <si>
    <t>Aspecto Analisado</t>
  </si>
  <si>
    <t>Tabela 6 – Value for Money</t>
  </si>
  <si>
    <t>Tabela 1 – Capex levando em consideração o REIDI</t>
  </si>
  <si>
    <t>Trata-se de Desapropriações</t>
  </si>
  <si>
    <t>Trata-se de bens não reversíveis</t>
  </si>
  <si>
    <t>Trata-se de Repex lançado no Capex e/ou Bens não reversíveis</t>
  </si>
  <si>
    <t>Trata-se de ítem que pode ser adquirido com Aporte</t>
  </si>
  <si>
    <t>Total da Concessão</t>
  </si>
  <si>
    <t xml:space="preserve">Observações: não são apresentados os subtotais </t>
  </si>
  <si>
    <t>Tabela 2 – Capex total por Pórtico</t>
  </si>
  <si>
    <t>Capex percentual</t>
  </si>
  <si>
    <t>Tabela 3 – Capex, levando em consideração o REIDI, que PODE ser adquirido com Aporte</t>
  </si>
  <si>
    <t>Tabela 1 – Capex no Cenário Escolhido (Data-Base julho de 2024)</t>
  </si>
  <si>
    <t>Pórticos</t>
  </si>
  <si>
    <t>Item</t>
  </si>
  <si>
    <t>Subitem</t>
  </si>
  <si>
    <t>Possibilidade de se beneficiar do REIDI (0 = Não; 1 = Sim)</t>
  </si>
  <si>
    <t>Item de Repex (Replacement Expenditure) (0 = Não; 1 = Sim)</t>
  </si>
  <si>
    <t>Descrição</t>
  </si>
  <si>
    <t>Tabela 1 – Todos os cenários de Capex</t>
  </si>
  <si>
    <t>1.1</t>
  </si>
  <si>
    <t>Pavimento</t>
  </si>
  <si>
    <t>1.2</t>
  </si>
  <si>
    <t>Obras de arte especiais</t>
  </si>
  <si>
    <t>1.3</t>
  </si>
  <si>
    <t>Drenagem e obras de arte correntes</t>
  </si>
  <si>
    <t>1.4</t>
  </si>
  <si>
    <t xml:space="preserve">Sinalização e dispositivos de proteção e segurança </t>
  </si>
  <si>
    <t>1.5</t>
  </si>
  <si>
    <t>Terraplenos e estrutura de contenção</t>
  </si>
  <si>
    <t>1.6</t>
  </si>
  <si>
    <t>Sistemas elétricos e de iluminação</t>
  </si>
  <si>
    <t>1.7</t>
  </si>
  <si>
    <t>Canteiro central e faixa de domínio</t>
  </si>
  <si>
    <t>1.8</t>
  </si>
  <si>
    <t>Administração local (%)</t>
  </si>
  <si>
    <t>1.9</t>
  </si>
  <si>
    <t>Canteiro de obras (%)</t>
  </si>
  <si>
    <t>1.10</t>
  </si>
  <si>
    <t>Mobilização e desmobilização (%)</t>
  </si>
  <si>
    <t>1.11</t>
  </si>
  <si>
    <t>Projetos (%)</t>
  </si>
  <si>
    <t>2.1</t>
  </si>
  <si>
    <t>2.2</t>
  </si>
  <si>
    <t>2.3</t>
  </si>
  <si>
    <t>2.4</t>
  </si>
  <si>
    <t>2.6</t>
  </si>
  <si>
    <t>2.7</t>
  </si>
  <si>
    <t>2.8</t>
  </si>
  <si>
    <t>2.9</t>
  </si>
  <si>
    <t>2.10</t>
  </si>
  <si>
    <t>2.11</t>
  </si>
  <si>
    <t>2.12</t>
  </si>
  <si>
    <t>4</t>
  </si>
  <si>
    <t>4.1</t>
  </si>
  <si>
    <t xml:space="preserve">Duplicação </t>
  </si>
  <si>
    <t>4.2</t>
  </si>
  <si>
    <t xml:space="preserve">Vias marginais </t>
  </si>
  <si>
    <t>4.3</t>
  </si>
  <si>
    <t xml:space="preserve">Contornos urbanos e travessias urbanas </t>
  </si>
  <si>
    <t>4.4</t>
  </si>
  <si>
    <t xml:space="preserve">Faixas adicionais </t>
  </si>
  <si>
    <t>4.5</t>
  </si>
  <si>
    <t xml:space="preserve">Acostamentos e adequação de plataforma </t>
  </si>
  <si>
    <t>4.6</t>
  </si>
  <si>
    <t>Implantação de oae</t>
  </si>
  <si>
    <t>4.7</t>
  </si>
  <si>
    <t xml:space="preserve">Implantação de dispositivo em nível </t>
  </si>
  <si>
    <t>4.8</t>
  </si>
  <si>
    <t>Adequação oae - alargamento e trem tipo</t>
  </si>
  <si>
    <t>4.9</t>
  </si>
  <si>
    <t xml:space="preserve">Adequação de acessos existentes simples </t>
  </si>
  <si>
    <t>4.10</t>
  </si>
  <si>
    <t xml:space="preserve">Adequação de acessos existentes com faixa de aceleração </t>
  </si>
  <si>
    <t>4.12</t>
  </si>
  <si>
    <t>Correções de curvas</t>
  </si>
  <si>
    <t>4.13</t>
  </si>
  <si>
    <t>Passarelas</t>
  </si>
  <si>
    <t>4.14</t>
  </si>
  <si>
    <t>Área de Escape</t>
  </si>
  <si>
    <t>4.15</t>
  </si>
  <si>
    <t xml:space="preserve">Paradas de ônibus com baia </t>
  </si>
  <si>
    <t>4.16</t>
  </si>
  <si>
    <t>Desapropriações</t>
  </si>
  <si>
    <t>4.17</t>
  </si>
  <si>
    <t>4.18</t>
  </si>
  <si>
    <t>4.19</t>
  </si>
  <si>
    <t>4.20</t>
  </si>
  <si>
    <t>3</t>
  </si>
  <si>
    <t>3.1</t>
  </si>
  <si>
    <t>3.2</t>
  </si>
  <si>
    <t>3.3</t>
  </si>
  <si>
    <t>3.4</t>
  </si>
  <si>
    <t>3.5</t>
  </si>
  <si>
    <t>3.6</t>
  </si>
  <si>
    <t>3.7</t>
  </si>
  <si>
    <t>3.8</t>
  </si>
  <si>
    <t>3a</t>
  </si>
  <si>
    <t>Manutenção Do Sistema Rodoviário (Contornos)</t>
  </si>
  <si>
    <t xml:space="preserve">Pavimento </t>
  </si>
  <si>
    <t>Obras De Arte Especiais</t>
  </si>
  <si>
    <t>Drenagem E Obras De Arte Correntes</t>
  </si>
  <si>
    <t xml:space="preserve">Sinalização E Dispositivos De Proteção E Segurança </t>
  </si>
  <si>
    <t>3.9</t>
  </si>
  <si>
    <t>3.10</t>
  </si>
  <si>
    <t xml:space="preserve">Paradas de ônibus sem baia </t>
  </si>
  <si>
    <t>Manutenção da rodovia</t>
  </si>
  <si>
    <t>Administração Local (4,0%)</t>
  </si>
  <si>
    <t>Canteiro De Obras (2,0%)</t>
  </si>
  <si>
    <t>Mobilização E Desmobilização (0,5%)</t>
  </si>
  <si>
    <t>Projetos (2,5%)</t>
  </si>
  <si>
    <t>Operação Geral</t>
  </si>
  <si>
    <t>6</t>
  </si>
  <si>
    <t>6.1</t>
  </si>
  <si>
    <t>IMPLANTAÇÃO E INSTALAÇÃO DOS EQUIPAMENTOS E SISTEMAS</t>
  </si>
  <si>
    <t>6.1.1</t>
  </si>
  <si>
    <t>Aquisição de veículos</t>
  </si>
  <si>
    <t>6.1.2</t>
  </si>
  <si>
    <t>Sede/Centro Administrativo</t>
  </si>
  <si>
    <t>ISO 9001:2008</t>
  </si>
  <si>
    <t>Tecnologia da Informação</t>
  </si>
  <si>
    <t>Servidor de Gerenciamento/Virtualização</t>
  </si>
  <si>
    <t>Servidor de Backup</t>
  </si>
  <si>
    <t>Unidade de Fita para Backup</t>
  </si>
  <si>
    <t>Servidores</t>
  </si>
  <si>
    <t>Storage</t>
  </si>
  <si>
    <t>Rack</t>
  </si>
  <si>
    <t>Nobreak</t>
  </si>
  <si>
    <t>Computador e Periféricos</t>
  </si>
  <si>
    <t>Impressora Multifuncional - A4</t>
  </si>
  <si>
    <t>Impressora A3</t>
  </si>
  <si>
    <t>Software</t>
  </si>
  <si>
    <t>Antivirus</t>
  </si>
  <si>
    <t>Microsoft Office 365</t>
  </si>
  <si>
    <t>Windows Server</t>
  </si>
  <si>
    <t>Banco de Dados</t>
  </si>
  <si>
    <t>ERP</t>
  </si>
  <si>
    <t>Correio eletrônico</t>
  </si>
  <si>
    <t>Backup</t>
  </si>
  <si>
    <t>Implantação Sistema da Qualidade</t>
  </si>
  <si>
    <t>Software Gestão Ambiental</t>
  </si>
  <si>
    <t>Centro de Controle Operacional</t>
  </si>
  <si>
    <t>Video Wall 49"</t>
  </si>
  <si>
    <t>Programas e Sistemas Operacionais</t>
  </si>
  <si>
    <t>Sistema de Gestão da Operação - KCOR</t>
  </si>
  <si>
    <t>SIG - Sistema de Informações Georreferenciadas</t>
  </si>
  <si>
    <t>AutoCAD Civil 3D Autodesk</t>
  </si>
  <si>
    <t>ARCGIS - Sistema de Informações Geográficas</t>
  </si>
  <si>
    <t>Sistema de Comunicação com os Usuários</t>
  </si>
  <si>
    <t>Sistema 0800 - CCO</t>
  </si>
  <si>
    <t>Equipamentos de Pista</t>
  </si>
  <si>
    <t>Rede, Sistema, Equipamentos e instalação de Fibra Óptica (72 Fibras)  -</t>
  </si>
  <si>
    <t>Wi-Fi</t>
  </si>
  <si>
    <t>Call Box</t>
  </si>
  <si>
    <t>Sistema de Monitoração de Tráfego</t>
  </si>
  <si>
    <t>Equipamentos de Detecção e Sensoriamento de Pista</t>
  </si>
  <si>
    <t>Sistema de Sensoriamento de Tráfego</t>
  </si>
  <si>
    <t>Sensoriamento Automático de Tráfego (c/ pesagem)</t>
  </si>
  <si>
    <t>Detecção de Altura</t>
  </si>
  <si>
    <t>Sistema de Circuito fechado de TV</t>
  </si>
  <si>
    <t>Sistema Completo - CFTV (Equipamentos, instalação e monitoramento)</t>
  </si>
  <si>
    <t>Câmeras - CFTV (Pista)</t>
  </si>
  <si>
    <t>Câmeras - CFTV - Edificações</t>
  </si>
  <si>
    <t>Câmeras - CFTV - Pista de pedágio</t>
  </si>
  <si>
    <t>Câmeras - Cabines de Pedágio</t>
  </si>
  <si>
    <t>NVR – gerenciamento de armazenamento de vídeos</t>
  </si>
  <si>
    <t>Câmeras - CFTV - Passarelas</t>
  </si>
  <si>
    <t>Sistema de Controle de Velocidade</t>
  </si>
  <si>
    <t>Radar Fixo - 2 Pistas</t>
  </si>
  <si>
    <t>Radar Fixo - 1 Pistas</t>
  </si>
  <si>
    <t>Radar Móvel (30 a 200 m)</t>
  </si>
  <si>
    <t>Lombada Eletrônica (2 faixas)</t>
  </si>
  <si>
    <t>Estação meteorológica</t>
  </si>
  <si>
    <t>Base meteorológica</t>
  </si>
  <si>
    <t>Painéis de Mensagens</t>
  </si>
  <si>
    <t>Painel de Mensagem Variável Fixo</t>
  </si>
  <si>
    <t>Painel de Mensagem Variável Móvel</t>
  </si>
  <si>
    <t>Serviço de Autoatendimento (SAU)</t>
  </si>
  <si>
    <t>Software com interface web + PABX p/ SA</t>
  </si>
  <si>
    <t>Totem de Autoatendimento</t>
  </si>
  <si>
    <t>Sistema de Radiocomunicação</t>
  </si>
  <si>
    <t>Sistema de Voz e Dados</t>
  </si>
  <si>
    <t>Estação Portátil</t>
  </si>
  <si>
    <t>Estação Fixa</t>
  </si>
  <si>
    <t>Estação Móvel</t>
  </si>
  <si>
    <t>Repetidoras</t>
  </si>
  <si>
    <t xml:space="preserve">Infra </t>
  </si>
  <si>
    <t>Sistema de Telefonia Convencional</t>
  </si>
  <si>
    <t>Central Telefônica - Comunicação - Switch / Firewall</t>
  </si>
  <si>
    <t>Sistema de Telefonia Celular</t>
  </si>
  <si>
    <t>Aparelhos celulares</t>
  </si>
  <si>
    <t>Sistema de Controle e Arrecadação</t>
  </si>
  <si>
    <t>Sistema Free Flow</t>
  </si>
  <si>
    <t>Sistema (Câmeras, sensores, gerador, etc)</t>
  </si>
  <si>
    <t xml:space="preserve">Pórtico Free-flow </t>
  </si>
  <si>
    <t>Sensores de Tráfego (SAT) por localidade</t>
  </si>
  <si>
    <t>PMV + Pórtico</t>
  </si>
  <si>
    <t>Sistema HS-WIM</t>
  </si>
  <si>
    <t>Sistema (Software, sensores, gerador etc.)</t>
  </si>
  <si>
    <t>Câmeras</t>
  </si>
  <si>
    <t>Pórtico HS-WIM (2 ou mais faixas)</t>
  </si>
  <si>
    <t>Autoatendimento - Pagamento de pedágio</t>
  </si>
  <si>
    <t>0</t>
  </si>
  <si>
    <t>6.2</t>
  </si>
  <si>
    <t>Reposição e atualização dos equipamentos e sistemas</t>
  </si>
  <si>
    <t>6.2.1</t>
  </si>
  <si>
    <t>Reposição de veículos</t>
  </si>
  <si>
    <t>6.2.2</t>
  </si>
  <si>
    <t>Pórtico Free-flow (2 ou mais faixas)</t>
  </si>
  <si>
    <t>6.3</t>
  </si>
  <si>
    <t>Edificações e instalações operacionais (28 ud)</t>
  </si>
  <si>
    <t>6.4</t>
  </si>
  <si>
    <t>6.5</t>
  </si>
  <si>
    <t>6.6</t>
  </si>
  <si>
    <t>6.7</t>
  </si>
  <si>
    <t>Socioambiental</t>
  </si>
  <si>
    <t>7</t>
  </si>
  <si>
    <t>7.1</t>
  </si>
  <si>
    <t>Licenciamento Ambiental</t>
  </si>
  <si>
    <t>7.2</t>
  </si>
  <si>
    <t xml:space="preserve">Compensação Ambiental </t>
  </si>
  <si>
    <t>7.3</t>
  </si>
  <si>
    <t>Sistema De Gestão Ambiental - Iso-14001</t>
  </si>
  <si>
    <t>7.4</t>
  </si>
  <si>
    <t>Passivos Ambientais</t>
  </si>
  <si>
    <t>7.5</t>
  </si>
  <si>
    <t>Obras De Engenharia Para Mitigação Ambiental</t>
  </si>
  <si>
    <t>7.6</t>
  </si>
  <si>
    <t>Plantio Compensatório</t>
  </si>
  <si>
    <t>7.7</t>
  </si>
  <si>
    <t>Desocupação</t>
  </si>
  <si>
    <t>7.8</t>
  </si>
  <si>
    <t>Padrão IFC</t>
  </si>
  <si>
    <t>Tabela 1 – Opex sem ônus, seguros e garantias</t>
  </si>
  <si>
    <t>Total sem ônus, seguros e garantias</t>
  </si>
  <si>
    <t>Observarvação: os itens de manutenção estão contabilizados no Opex pois as concessionárias os lançam como custos do serviço prestados (uma despesa), gerando efeitos imediados sobre a DRE.</t>
  </si>
  <si>
    <t>Tabela 2 – Ônus, seguros e garantias</t>
  </si>
  <si>
    <t xml:space="preserve">Ônus de Fiscalização </t>
  </si>
  <si>
    <t>Verificador Independente</t>
  </si>
  <si>
    <t>Recursos Vinculados (Percentual da Receita Bruta)</t>
  </si>
  <si>
    <t>Recursos Vinculados (perda de receita por DUF menor que a esperada)</t>
  </si>
  <si>
    <t>Riscos de Engenharia</t>
  </si>
  <si>
    <t>Risco Operacional</t>
  </si>
  <si>
    <t>Responsabilidade Civil</t>
  </si>
  <si>
    <t>Risco de Perda de Receita</t>
  </si>
  <si>
    <t>Garantia de Execução</t>
  </si>
  <si>
    <t>Total dos ônus, seguros e garantias</t>
  </si>
  <si>
    <t>Tabela 3 – Opex com ônus, seguros e garantias</t>
  </si>
  <si>
    <t>Observação: não é adequado atualizar os ônus, seguros e garantias pelo IPCA já que boa parte dos seus itens é calculado com base na receita tarifária.</t>
  </si>
  <si>
    <t>Tabela 4 – Estimativa da despesa com Verificador Independente</t>
  </si>
  <si>
    <t>Quilometragem total do Lote 2 - Sul de Minas (Contrato nº 004/2022)</t>
  </si>
  <si>
    <t>Custo estimado de Verificador Independente para o Lote 2 (Nota Técnica 136/SEINFRA/DGCON/2023)</t>
  </si>
  <si>
    <t>Custo estimado, por quilômetro, para o Lote 2</t>
  </si>
  <si>
    <t>Quilometragem total do Lote 7</t>
  </si>
  <si>
    <t>Despesa anual estimada com Verificador Independente para o Lote 7</t>
  </si>
  <si>
    <t>Tabela 5 – Base de cálculo para seguro de responsabilidade civil e garantia de execução do contrato</t>
  </si>
  <si>
    <t>Base de cálculo</t>
  </si>
  <si>
    <t>Observação: não é possível simplesmente obter, para esse caso, a receita bruta da DRE porque lá o aporte é contabilizado diferidamente, já que a DRE é um instrumento, na modelagem, de aferição dos tributos a serem pagos.</t>
  </si>
  <si>
    <t>Tabela 6 – Opex total por Pórtico</t>
  </si>
  <si>
    <t>Opex percentual</t>
  </si>
  <si>
    <t>Tabela 7 – Valor Patrimonial da Rodovia</t>
  </si>
  <si>
    <t>Ano 0</t>
  </si>
  <si>
    <t>Valor Patrimonial da Rodovia</t>
  </si>
  <si>
    <t>Observações:
1 – No relatório de avaliação do Departamento Nacional de Trânsito (DNIT) de 31 de março de 2022 (exercício 2021) é dito que: “Em relação a contabilização patrimonial da rede rodoviária federal destaca-se as orientações emitidas pela NBC TSP 07. Nesse aspecto, a Malha Rodoviária Federal não sofre a depreciação sistemática por não possuir vida útil determinada, mas é reavaliada anualmente pelo seu custo de reposição depreciado, estabelecido por meio de índice de preço para ativos iguais ou semelhantes, baseados no preço de períodos passados. Em atendimento a esse normativo, a metodologia adotada atualmente pelo DNIT para a contabilização patrimonial rodoviário é estimada com base no seu Custo de Reposição  a partir de levantamento em campo do ‘Índice da Condição da Superfície – ICS’ e nos custos médios gerenciais de intervenções de manutenção das rodovias, sendo este parametrizado a partir de valores de contratos passados e do sistema de custo referencial da autarquia denominado SICRO.” Link para acessar o relatório: https://eaud.cgu.gov.br/relatorios/download/1039030 (acessado em 20/09/2022).
2 – O pronunciamento técnico CPC 46 (rev 14), que trata da mensuração do valor justo, estabelece em seu item B8: “A abordagem de custo reflete o valor que seria necessário atualmente para substituir a capacidade de serviço de ativo (normalmente referido como custo de substituição/reposição atual).” No item seguinte, B9, o pronunciamento estabelece: “Do ponto de vista de vendedor participante do mercado, o preço que seria recebido pelo ativo baseia-se no custo para um comprador participante do mercado adquirir ou construir um ativo substituto de utilidade comparável, ajustado para refletir a obsolescência. Isso porque um comprador participante do mercado não pagaria mais por um ativo do que o valor pelo qual poderia substituir a capacidade de serviço desse ativo. Obsolescência compreende deterioração física, obsolescência funcional (tecnológica) e obsolescência econômica (externa), sendo mais ampla que a depreciação para fins das demonstrações contábeis (alocação do custo histórico) ou para fins tributários (utilizando as vidas úteis especificadas). Em muitos casos, o método de custo de substituição/reposição atual é utilizado para mensurar o valor justo de ativos tangíveis que sejam utilizados em combinação com outros ativos ou com outros ativos e passivos.”
3 – Diante do exposto acima, o presente modelo estima o valor patrimonial da rodovia (que é utilizado como base de cálculo do seguro contra risco operacional) como a soma cumulativa, ano a ano, do valor de Capex do projeto (exceto as aquisições de bens não reversíveis). Além disso, considerando que o modelo já prevê, na aba Opex, a realização de gastos de manutenção da rodovia, entende-se neste modelo que a depreciação da rodovia já está sendo adequadamente compensada pelos gastos de manutenção.
4 – Considerando que este é um projeto “brownfield”, é necessário estimar o valor patrimonial da rodovia no “Ano 0”. Para tanto, utilizando a mesma solução empregada pelo BNDES na modelagem do Lote 2 – Sul de Minas, adotou-se o valor de R$ 3.000.000,00 (três milhões de reais) por quilômetro de rodovia existente.</t>
  </si>
  <si>
    <t>Elementos de proteção e segurança</t>
  </si>
  <si>
    <t>Terraplenos e estruturas de contenção</t>
  </si>
  <si>
    <t>Faixa de domínio</t>
  </si>
  <si>
    <t>Edificações e instalações operacionais</t>
  </si>
  <si>
    <t>Iluminação e instalações elétricas</t>
  </si>
  <si>
    <t>Administração local</t>
  </si>
  <si>
    <t xml:space="preserve">Canteiro de obras </t>
  </si>
  <si>
    <t>Mobilização e desmobilização</t>
  </si>
  <si>
    <t xml:space="preserve">Obras-de-arte especiais </t>
  </si>
  <si>
    <t xml:space="preserve">Sistema de drenagem e obras-de-arte correntes </t>
  </si>
  <si>
    <t>2.5</t>
  </si>
  <si>
    <t xml:space="preserve">Terraplenos e estruturas de contenção </t>
  </si>
  <si>
    <t>Administração</t>
  </si>
  <si>
    <t>Operação</t>
  </si>
  <si>
    <t>Despesas diversas</t>
  </si>
  <si>
    <t>Conservação dos equipamentos e sistemas</t>
  </si>
  <si>
    <t>5</t>
  </si>
  <si>
    <t>5.1</t>
  </si>
  <si>
    <t>Gestão ambiental da implantação</t>
  </si>
  <si>
    <t>5.2</t>
  </si>
  <si>
    <t>Gestão ambiental da operação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</si>
</sst>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R$&quot;\ #,##0.00;[Red]\-&quot;R$&quot;\ #,##0.00"/>
    <numFmt numFmtId="44" formatCode="_-&quot;R$&quot;\ * #,##0.00_-;\-&quot;R$&quot;\ * #,##0.00_-;_-&quot;R$&quot;\ * &quot;-&quot;??_-;_-@_-"/>
    <numFmt numFmtId="43" formatCode="_-* #,##0.00_-;\-* #,##0.00_-;_-* &quot;-&quot;??_-;_-@_-"/>
    <numFmt numFmtId="164" formatCode="&quot;R$&quot;\ #,##0.00_);[Red]\(&quot;R$&quot;\ #,##0.00\)"/>
    <numFmt numFmtId="165" formatCode="_(* #,##0.00_);_(* \(#,##0.00\);_(* &quot;-&quot;??_);_(@_)"/>
    <numFmt numFmtId="166" formatCode="_ * #,##0.00_ ;_ * \-#,##0.00_ ;_ * \-??_ ;_ @_ "/>
    <numFmt numFmtId="167" formatCode="[$R$-416]\ #,##0.00;[Red]\-[$R$-416]\ #,##0.00"/>
    <numFmt numFmtId="168" formatCode="[$R$-416]\ #,##0.000000000000;[Red]\-[$R$-416]\ #,##0.000000000000"/>
    <numFmt numFmtId="169" formatCode="0.0000"/>
    <numFmt numFmtId="170" formatCode="0.0"/>
    <numFmt numFmtId="171" formatCode="_-* #,##0_-;\-* #,##0_-;_-* &quot;-&quot;??_-;_-@_-"/>
    <numFmt numFmtId="172" formatCode="&quot;R$&quot;\ #,##0.00"/>
    <numFmt numFmtId="173" formatCode="&quot;R$&quot;\ #,##0.000000"/>
    <numFmt numFmtId="174" formatCode="0.0%"/>
    <numFmt numFmtId="175" formatCode="0_ ;[Red]\-0\ "/>
    <numFmt numFmtId="176" formatCode="0.0000%"/>
    <numFmt numFmtId="177" formatCode="0.000000%"/>
    <numFmt numFmtId="178" formatCode="0.000000000000"/>
    <numFmt numFmtId="179" formatCode="0.000"/>
    <numFmt numFmtId="180" formatCode="0.000000000000000%"/>
    <numFmt numFmtId="181" formatCode="0.000000000%"/>
    <numFmt numFmtId="182" formatCode="0.000000"/>
    <numFmt numFmtId="183" formatCode="0.00000000%"/>
    <numFmt numFmtId="184" formatCode="000\+000"/>
    <numFmt numFmtId="185" formatCode="0.00000000000000"/>
    <numFmt numFmtId="186" formatCode="[$R$-416]\ #,##0.000000;[Red]\-[$R$-416]\ #,##0.000000"/>
  </numFmts>
  <fonts count="36">
    <font>
      <sz val="10"/>
      <name val="Arial"/>
      <family val="2"/>
      <charset val="1"/>
    </font>
    <font>
      <sz val="10"/>
      <color rgb="FF000000"/>
      <name val="Arial"/>
      <family val="2"/>
      <charset val="1"/>
    </font>
    <font>
      <sz val="11"/>
      <color rgb="FF000000"/>
      <name val="Calibri"/>
      <family val="2"/>
      <charset val="1"/>
    </font>
    <font>
      <sz val="11"/>
      <name val="Calibri"/>
      <family val="2"/>
      <charset val="1"/>
    </font>
    <font>
      <sz val="20"/>
      <name val="Calibri"/>
      <family val="2"/>
      <charset val="1"/>
    </font>
    <font>
      <b/>
      <sz val="24"/>
      <name val="Calibri"/>
      <family val="2"/>
      <charset val="1"/>
    </font>
    <font>
      <b/>
      <sz val="14"/>
      <color rgb="FF000000"/>
      <name val="Calibri"/>
      <family val="2"/>
      <charset val="1"/>
    </font>
    <font>
      <b/>
      <sz val="20"/>
      <name val="Calibri"/>
      <family val="2"/>
      <charset val="1"/>
    </font>
    <font>
      <sz val="18"/>
      <name val="Calibri"/>
      <family val="2"/>
      <charset val="1"/>
    </font>
    <font>
      <b/>
      <sz val="16"/>
      <name val="Calibri"/>
      <family val="2"/>
      <charset val="1"/>
    </font>
    <font>
      <b/>
      <sz val="10"/>
      <name val="Arial"/>
      <family val="2"/>
      <charset val="1"/>
    </font>
    <font>
      <b/>
      <sz val="10"/>
      <color rgb="FF000000"/>
      <name val="Arial"/>
      <family val="2"/>
      <charset val="1"/>
    </font>
    <font>
      <sz val="10"/>
      <name val="Arial"/>
      <family val="2"/>
      <charset val="1"/>
    </font>
    <font>
      <u/>
      <sz val="10"/>
      <color theme="10"/>
      <name val="Arial"/>
      <family val="2"/>
      <charset val="1"/>
    </font>
    <font>
      <b/>
      <sz val="10"/>
      <name val="Arial"/>
      <family val="2"/>
    </font>
    <font>
      <sz val="10"/>
      <name val="Arial"/>
      <family val="2"/>
    </font>
    <font>
      <sz val="10"/>
      <color rgb="FFFF0000"/>
      <name val="Arial"/>
      <family val="2"/>
      <charset val="1"/>
    </font>
    <font>
      <b/>
      <sz val="10"/>
      <color rgb="FF000000"/>
      <name val="Arial"/>
      <family val="2"/>
    </font>
    <font>
      <sz val="10"/>
      <color rgb="FF000000"/>
      <name val="Arial"/>
      <family val="2"/>
    </font>
    <font>
      <b/>
      <sz val="16"/>
      <color rgb="FF000000"/>
      <name val="Calibri"/>
      <family val="2"/>
    </font>
    <font>
      <sz val="16"/>
      <color rgb="FF000000"/>
      <name val="Calibri"/>
      <family val="2"/>
    </font>
    <font>
      <i/>
      <sz val="10"/>
      <color rgb="FF000000"/>
      <name val="Arial"/>
      <family val="2"/>
    </font>
    <font>
      <sz val="12"/>
      <name val="Calibri"/>
      <family val="2"/>
      <scheme val="minor"/>
    </font>
    <font>
      <i/>
      <sz val="12"/>
      <name val="Calibri"/>
      <family val="2"/>
      <scheme val="minor"/>
    </font>
    <font>
      <u/>
      <sz val="12"/>
      <name val="Calibri"/>
      <family val="2"/>
      <scheme val="minor"/>
    </font>
    <font>
      <b/>
      <u/>
      <sz val="12"/>
      <color rgb="FF000000"/>
      <name val="Calibri"/>
      <family val="2"/>
      <scheme val="minor"/>
    </font>
    <font>
      <b/>
      <u/>
      <sz val="12"/>
      <name val="Calibri"/>
      <family val="2"/>
      <scheme val="minor"/>
    </font>
    <font>
      <b/>
      <sz val="12"/>
      <name val="Calibri"/>
      <family val="2"/>
      <scheme val="minor"/>
    </font>
    <font>
      <sz val="8"/>
      <name val="Arial"/>
      <family val="2"/>
      <charset val="1"/>
    </font>
    <font>
      <b/>
      <i/>
      <sz val="10"/>
      <color rgb="FF000000"/>
      <name val="Arial"/>
      <family val="2"/>
    </font>
    <font>
      <b/>
      <sz val="10"/>
      <color theme="0"/>
      <name val="Arial"/>
      <family val="2"/>
    </font>
    <font>
      <sz val="10"/>
      <color theme="0"/>
      <name val="Arial"/>
      <family val="2"/>
    </font>
    <font>
      <sz val="12"/>
      <color rgb="FF000000"/>
      <name val="MathJax_Size1"/>
      <charset val="1"/>
    </font>
    <font>
      <sz val="10"/>
      <color rgb="FFFF0000"/>
      <name val="Arial"/>
      <family val="2"/>
    </font>
    <font>
      <b/>
      <sz val="10"/>
      <color rgb="FFFF0000"/>
      <name val="Arial"/>
      <family val="2"/>
    </font>
    <font>
      <sz val="10"/>
      <color theme="0"/>
      <name val="Arial"/>
      <family val="2"/>
      <charset val="1"/>
    </font>
  </fonts>
  <fills count="11">
    <fill>
      <patternFill patternType="none"/>
    </fill>
    <fill>
      <patternFill patternType="gray125"/>
    </fill>
    <fill>
      <patternFill patternType="solid">
        <fgColor rgb="FFCCCCCC"/>
        <bgColor rgb="FFCCCCFF"/>
      </patternFill>
    </fill>
    <fill>
      <patternFill patternType="solid">
        <fgColor theme="0"/>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11">
    <xf numFmtId="0" fontId="0" fillId="0" borderId="0"/>
    <xf numFmtId="9" fontId="12" fillId="0" borderId="0" applyBorder="0" applyProtection="0"/>
    <xf numFmtId="166" fontId="1" fillId="0" borderId="0" applyBorder="0" applyProtection="0"/>
    <xf numFmtId="0" fontId="2" fillId="0" borderId="0"/>
    <xf numFmtId="0" fontId="2" fillId="0" borderId="0"/>
    <xf numFmtId="0" fontId="3" fillId="0" borderId="0"/>
    <xf numFmtId="0" fontId="12" fillId="0" borderId="0"/>
    <xf numFmtId="9" fontId="1" fillId="0" borderId="0" applyBorder="0" applyProtection="0"/>
    <xf numFmtId="0" fontId="13" fillId="0" borderId="0" applyNumberFormat="0" applyFill="0" applyBorder="0" applyAlignment="0" applyProtection="0"/>
    <xf numFmtId="44" fontId="12" fillId="0" borderId="0" applyFont="0" applyFill="0" applyBorder="0" applyAlignment="0" applyProtection="0"/>
    <xf numFmtId="165" fontId="12" fillId="0" borderId="0" applyFont="0" applyFill="0" applyBorder="0" applyAlignment="0" applyProtection="0"/>
  </cellStyleXfs>
  <cellXfs count="638">
    <xf numFmtId="0" fontId="0" fillId="0" borderId="0" xfId="0"/>
    <xf numFmtId="0" fontId="3" fillId="0" borderId="0" xfId="5" applyAlignment="1">
      <alignment vertical="center"/>
    </xf>
    <xf numFmtId="0" fontId="10" fillId="0" borderId="0" xfId="0" applyFont="1"/>
    <xf numFmtId="167" fontId="0" fillId="0" borderId="0" xfId="0" applyNumberFormat="1"/>
    <xf numFmtId="168" fontId="0" fillId="0" borderId="0" xfId="0" applyNumberFormat="1"/>
    <xf numFmtId="10" fontId="0" fillId="0" borderId="0" xfId="0" applyNumberFormat="1"/>
    <xf numFmtId="0" fontId="0" fillId="0" borderId="1" xfId="0" applyBorder="1"/>
    <xf numFmtId="167" fontId="0" fillId="0" borderId="1" xfId="0" applyNumberFormat="1" applyBorder="1"/>
    <xf numFmtId="167" fontId="0" fillId="2" borderId="1" xfId="0" applyNumberFormat="1" applyFill="1" applyBorder="1"/>
    <xf numFmtId="167" fontId="0" fillId="0" borderId="1" xfId="0" applyNumberFormat="1" applyBorder="1" applyAlignment="1">
      <alignment horizontal="right"/>
    </xf>
    <xf numFmtId="0" fontId="10" fillId="0" borderId="1" xfId="0" applyFont="1" applyBorder="1" applyAlignment="1">
      <alignment horizontal="center"/>
    </xf>
    <xf numFmtId="0" fontId="10" fillId="2" borderId="1" xfId="0" applyFont="1" applyFill="1" applyBorder="1" applyAlignment="1">
      <alignment horizontal="center"/>
    </xf>
    <xf numFmtId="0" fontId="0" fillId="0" borderId="1" xfId="0" applyBorder="1" applyAlignment="1">
      <alignment horizontal="center"/>
    </xf>
    <xf numFmtId="10" fontId="0" fillId="2" borderId="1" xfId="0" applyNumberFormat="1" applyFill="1" applyBorder="1"/>
    <xf numFmtId="0" fontId="10" fillId="0" borderId="1" xfId="0" applyFont="1" applyBorder="1" applyAlignment="1">
      <alignment horizontal="center" vertical="center"/>
    </xf>
    <xf numFmtId="10" fontId="0" fillId="0" borderId="1" xfId="0" applyNumberFormat="1" applyBorder="1" applyAlignment="1">
      <alignment horizontal="center"/>
    </xf>
    <xf numFmtId="167" fontId="10" fillId="2" borderId="1" xfId="0" applyNumberFormat="1" applyFont="1" applyFill="1" applyBorder="1"/>
    <xf numFmtId="0" fontId="10" fillId="0" borderId="1" xfId="0" applyFont="1" applyBorder="1"/>
    <xf numFmtId="2" fontId="0" fillId="2" borderId="1" xfId="0" applyNumberFormat="1" applyFill="1" applyBorder="1"/>
    <xf numFmtId="10" fontId="0" fillId="0" borderId="1" xfId="0" applyNumberFormat="1" applyBorder="1"/>
    <xf numFmtId="0" fontId="0" fillId="0" borderId="1" xfId="0" applyBorder="1" applyAlignment="1">
      <alignment horizontal="left"/>
    </xf>
    <xf numFmtId="2" fontId="0" fillId="0" borderId="1" xfId="0" applyNumberFormat="1" applyBorder="1"/>
    <xf numFmtId="167" fontId="10" fillId="0" borderId="1" xfId="0" applyNumberFormat="1" applyFont="1" applyBorder="1"/>
    <xf numFmtId="10" fontId="10" fillId="2" borderId="1" xfId="0" applyNumberFormat="1" applyFont="1" applyFill="1" applyBorder="1"/>
    <xf numFmtId="0" fontId="11" fillId="0" borderId="1" xfId="0" applyFont="1" applyBorder="1" applyAlignment="1">
      <alignment horizontal="left" vertical="center"/>
    </xf>
    <xf numFmtId="10" fontId="1" fillId="0" borderId="1" xfId="0" applyNumberFormat="1" applyFont="1" applyBorder="1" applyAlignment="1">
      <alignment horizontal="center"/>
    </xf>
    <xf numFmtId="0" fontId="11" fillId="0" borderId="1" xfId="0" applyFont="1" applyBorder="1" applyAlignment="1">
      <alignment horizontal="center" vertical="center"/>
    </xf>
    <xf numFmtId="0" fontId="1" fillId="0" borderId="1" xfId="0" applyFont="1" applyBorder="1" applyAlignment="1">
      <alignment horizontal="left" vertical="center"/>
    </xf>
    <xf numFmtId="0" fontId="11" fillId="0" borderId="1" xfId="0" applyFont="1" applyBorder="1"/>
    <xf numFmtId="0" fontId="1" fillId="0" borderId="1" xfId="0" applyFont="1" applyBorder="1" applyAlignment="1">
      <alignment horizontal="left" vertical="center" indent="15"/>
    </xf>
    <xf numFmtId="0" fontId="11" fillId="0" borderId="1" xfId="0" applyFont="1" applyBorder="1" applyAlignment="1">
      <alignment horizontal="left" vertical="center" indent="1"/>
    </xf>
    <xf numFmtId="10" fontId="1" fillId="0" borderId="1" xfId="0" applyNumberFormat="1" applyFont="1" applyBorder="1" applyAlignment="1">
      <alignment horizontal="center" vertical="center"/>
    </xf>
    <xf numFmtId="0" fontId="1" fillId="0" borderId="1" xfId="0" applyFont="1" applyBorder="1" applyAlignment="1">
      <alignment horizontal="left" vertical="center" indent="1"/>
    </xf>
    <xf numFmtId="0" fontId="1" fillId="0" borderId="1" xfId="0" applyFont="1" applyBorder="1" applyAlignment="1">
      <alignment horizontal="left" indent="1"/>
    </xf>
    <xf numFmtId="0" fontId="1" fillId="0" borderId="1" xfId="0" applyFont="1" applyBorder="1" applyAlignment="1">
      <alignment horizontal="left"/>
    </xf>
    <xf numFmtId="0" fontId="0" fillId="0" borderId="2" xfId="0" applyBorder="1"/>
    <xf numFmtId="0" fontId="0" fillId="0" borderId="3" xfId="0" applyBorder="1"/>
    <xf numFmtId="171" fontId="0" fillId="0" borderId="0" xfId="0" applyNumberFormat="1"/>
    <xf numFmtId="0" fontId="10" fillId="0" borderId="4" xfId="0" applyFont="1" applyBorder="1" applyAlignment="1">
      <alignment horizontal="center"/>
    </xf>
    <xf numFmtId="0" fontId="10" fillId="0" borderId="0" xfId="0" applyFont="1" applyAlignment="1">
      <alignment horizontal="left"/>
    </xf>
    <xf numFmtId="2" fontId="0" fillId="0" borderId="0" xfId="0" applyNumberFormat="1"/>
    <xf numFmtId="0" fontId="14" fillId="0" borderId="0" xfId="0" applyFont="1"/>
    <xf numFmtId="0" fontId="15" fillId="0" borderId="1" xfId="0" applyFont="1" applyBorder="1"/>
    <xf numFmtId="0" fontId="14" fillId="0" borderId="1" xfId="0" applyFont="1" applyBorder="1"/>
    <xf numFmtId="0" fontId="15" fillId="0" borderId="0" xfId="0" applyFont="1"/>
    <xf numFmtId="0" fontId="15" fillId="0" borderId="3" xfId="0" applyFont="1" applyBorder="1"/>
    <xf numFmtId="0" fontId="10" fillId="5" borderId="1" xfId="0" applyFont="1" applyFill="1" applyBorder="1" applyAlignment="1">
      <alignment horizontal="center"/>
    </xf>
    <xf numFmtId="0" fontId="15" fillId="3" borderId="1" xfId="0" applyFont="1" applyFill="1" applyBorder="1"/>
    <xf numFmtId="0" fontId="11" fillId="5" borderId="1" xfId="0" applyFont="1" applyFill="1" applyBorder="1" applyAlignment="1">
      <alignment horizontal="center"/>
    </xf>
    <xf numFmtId="167" fontId="1" fillId="5" borderId="1" xfId="0" applyNumberFormat="1" applyFont="1" applyFill="1" applyBorder="1"/>
    <xf numFmtId="167" fontId="11" fillId="5" borderId="1" xfId="0" applyNumberFormat="1" applyFont="1" applyFill="1" applyBorder="1"/>
    <xf numFmtId="10" fontId="1" fillId="5" borderId="1" xfId="0" applyNumberFormat="1" applyFont="1" applyFill="1" applyBorder="1" applyAlignment="1">
      <alignment horizontal="center"/>
    </xf>
    <xf numFmtId="0" fontId="10" fillId="5" borderId="5" xfId="0" applyFont="1" applyFill="1" applyBorder="1" applyAlignment="1">
      <alignment horizontal="center"/>
    </xf>
    <xf numFmtId="0" fontId="14" fillId="0" borderId="3" xfId="0" applyFont="1" applyBorder="1"/>
    <xf numFmtId="0" fontId="17" fillId="5" borderId="1" xfId="0" applyFont="1" applyFill="1" applyBorder="1" applyAlignment="1">
      <alignment horizontal="center"/>
    </xf>
    <xf numFmtId="167" fontId="18" fillId="5" borderId="1" xfId="0" applyNumberFormat="1" applyFont="1" applyFill="1" applyBorder="1" applyAlignment="1">
      <alignment horizontal="right"/>
    </xf>
    <xf numFmtId="167" fontId="15" fillId="5" borderId="1" xfId="0" applyNumberFormat="1" applyFont="1" applyFill="1" applyBorder="1"/>
    <xf numFmtId="167" fontId="15" fillId="5" borderId="1" xfId="0" applyNumberFormat="1" applyFont="1" applyFill="1" applyBorder="1" applyAlignment="1">
      <alignment horizontal="right"/>
    </xf>
    <xf numFmtId="167" fontId="15" fillId="5" borderId="3" xfId="0" applyNumberFormat="1" applyFont="1" applyFill="1" applyBorder="1" applyAlignment="1">
      <alignment horizontal="right"/>
    </xf>
    <xf numFmtId="167" fontId="15" fillId="3" borderId="1" xfId="0" applyNumberFormat="1" applyFont="1" applyFill="1" applyBorder="1" applyAlignment="1">
      <alignment horizontal="right"/>
    </xf>
    <xf numFmtId="0" fontId="14" fillId="2" borderId="1" xfId="0" applyFont="1" applyFill="1" applyBorder="1" applyAlignment="1">
      <alignment horizontal="center"/>
    </xf>
    <xf numFmtId="167" fontId="15" fillId="2" borderId="1" xfId="0" applyNumberFormat="1" applyFont="1" applyFill="1" applyBorder="1"/>
    <xf numFmtId="167" fontId="18" fillId="2" borderId="1" xfId="0" applyNumberFormat="1" applyFont="1" applyFill="1" applyBorder="1"/>
    <xf numFmtId="167" fontId="14" fillId="5" borderId="1" xfId="0" applyNumberFormat="1" applyFont="1" applyFill="1" applyBorder="1" applyAlignment="1">
      <alignment horizontal="right"/>
    </xf>
    <xf numFmtId="167" fontId="14" fillId="5" borderId="3" xfId="0" applyNumberFormat="1" applyFont="1" applyFill="1" applyBorder="1" applyAlignment="1">
      <alignment horizontal="right"/>
    </xf>
    <xf numFmtId="0" fontId="11" fillId="0" borderId="3" xfId="0" applyFont="1" applyBorder="1" applyAlignment="1">
      <alignment horizontal="left" vertical="center"/>
    </xf>
    <xf numFmtId="167" fontId="11" fillId="5" borderId="3" xfId="0" applyNumberFormat="1" applyFont="1" applyFill="1" applyBorder="1"/>
    <xf numFmtId="167" fontId="1" fillId="2" borderId="1" xfId="0" applyNumberFormat="1" applyFont="1" applyFill="1" applyBorder="1"/>
    <xf numFmtId="0" fontId="11" fillId="5" borderId="3" xfId="0" applyFont="1" applyFill="1" applyBorder="1" applyAlignment="1">
      <alignment horizontal="center"/>
    </xf>
    <xf numFmtId="0" fontId="1" fillId="3" borderId="1" xfId="0" applyFont="1" applyFill="1" applyBorder="1" applyAlignment="1">
      <alignment horizontal="left" vertical="center"/>
    </xf>
    <xf numFmtId="0" fontId="15" fillId="3" borderId="0" xfId="0" applyFont="1" applyFill="1"/>
    <xf numFmtId="0" fontId="15" fillId="0" borderId="0" xfId="0" applyFont="1" applyAlignment="1">
      <alignment horizontal="center"/>
    </xf>
    <xf numFmtId="0" fontId="14" fillId="0" borderId="1" xfId="0" applyFont="1" applyBorder="1" applyAlignment="1">
      <alignment horizontal="center"/>
    </xf>
    <xf numFmtId="0" fontId="17" fillId="0" borderId="1" xfId="0" applyFont="1" applyBorder="1" applyAlignment="1">
      <alignment horizontal="center" vertical="center"/>
    </xf>
    <xf numFmtId="0" fontId="14" fillId="0" borderId="1" xfId="0" quotePrefix="1" applyFont="1" applyBorder="1" applyAlignment="1">
      <alignment horizontal="left"/>
    </xf>
    <xf numFmtId="0" fontId="17" fillId="0" borderId="5" xfId="0" applyFont="1" applyBorder="1" applyAlignment="1">
      <alignment horizontal="left" vertical="center"/>
    </xf>
    <xf numFmtId="0" fontId="18" fillId="0" borderId="1" xfId="0" applyFont="1" applyBorder="1" applyAlignment="1">
      <alignment horizontal="left" vertical="center"/>
    </xf>
    <xf numFmtId="167" fontId="17" fillId="5" borderId="1" xfId="0" applyNumberFormat="1" applyFont="1" applyFill="1" applyBorder="1"/>
    <xf numFmtId="0" fontId="15" fillId="0" borderId="1" xfId="0" applyFont="1" applyBorder="1" applyAlignment="1">
      <alignment horizontal="left"/>
    </xf>
    <xf numFmtId="0" fontId="18" fillId="0" borderId="5" xfId="0" applyFont="1" applyBorder="1" applyAlignment="1">
      <alignment horizontal="left" vertical="center" indent="2"/>
    </xf>
    <xf numFmtId="167" fontId="18" fillId="5" borderId="1" xfId="0" applyNumberFormat="1" applyFont="1" applyFill="1" applyBorder="1"/>
    <xf numFmtId="0" fontId="18" fillId="0" borderId="5" xfId="0" applyFont="1" applyBorder="1" applyAlignment="1">
      <alignment horizontal="left" vertical="center" indent="4"/>
    </xf>
    <xf numFmtId="0" fontId="18" fillId="0" borderId="5" xfId="0" applyFont="1" applyBorder="1" applyAlignment="1">
      <alignment horizontal="left" vertical="center" indent="6"/>
    </xf>
    <xf numFmtId="0" fontId="18" fillId="0" borderId="7" xfId="0" applyFont="1" applyBorder="1" applyAlignment="1">
      <alignment horizontal="left" vertical="center" indent="2"/>
    </xf>
    <xf numFmtId="0" fontId="18" fillId="0" borderId="3" xfId="0" applyFont="1" applyBorder="1" applyAlignment="1">
      <alignment horizontal="left" vertical="center"/>
    </xf>
    <xf numFmtId="167" fontId="18" fillId="5" borderId="3" xfId="0" applyNumberFormat="1" applyFont="1" applyFill="1" applyBorder="1"/>
    <xf numFmtId="0" fontId="15" fillId="0" borderId="4" xfId="0" applyFont="1" applyBorder="1" applyAlignment="1">
      <alignment horizontal="left"/>
    </xf>
    <xf numFmtId="0" fontId="18" fillId="3" borderId="1" xfId="0" applyFont="1" applyFill="1" applyBorder="1" applyAlignment="1">
      <alignment horizontal="left" vertical="center" indent="4"/>
    </xf>
    <xf numFmtId="0" fontId="15" fillId="5" borderId="1" xfId="0" quotePrefix="1" applyFont="1" applyFill="1" applyBorder="1"/>
    <xf numFmtId="0" fontId="15" fillId="5" borderId="1" xfId="0" applyFont="1" applyFill="1" applyBorder="1"/>
    <xf numFmtId="0" fontId="18" fillId="0" borderId="8" xfId="0" applyFont="1" applyBorder="1" applyAlignment="1">
      <alignment horizontal="left" vertical="center" indent="2"/>
    </xf>
    <xf numFmtId="167" fontId="18" fillId="5" borderId="2" xfId="0" applyNumberFormat="1" applyFont="1" applyFill="1" applyBorder="1"/>
    <xf numFmtId="0" fontId="18" fillId="3" borderId="1" xfId="0" applyFont="1" applyFill="1" applyBorder="1" applyAlignment="1">
      <alignment horizontal="left" vertical="center"/>
    </xf>
    <xf numFmtId="0" fontId="18" fillId="5" borderId="1" xfId="0" applyFont="1" applyFill="1" applyBorder="1" applyAlignment="1">
      <alignment horizontal="left" vertical="center"/>
    </xf>
    <xf numFmtId="0" fontId="14" fillId="0" borderId="1" xfId="0" applyFont="1" applyBorder="1" applyAlignment="1">
      <alignment horizontal="left"/>
    </xf>
    <xf numFmtId="0" fontId="17" fillId="0" borderId="5" xfId="0" applyFont="1" applyBorder="1" applyAlignment="1">
      <alignment horizontal="left" vertical="center" indent="2"/>
    </xf>
    <xf numFmtId="0" fontId="18" fillId="3" borderId="5" xfId="0" applyFont="1" applyFill="1" applyBorder="1" applyAlignment="1">
      <alignment horizontal="left" vertical="center" indent="4"/>
    </xf>
    <xf numFmtId="0" fontId="14" fillId="5" borderId="1" xfId="0" applyFont="1" applyFill="1" applyBorder="1" applyAlignment="1">
      <alignment horizontal="center"/>
    </xf>
    <xf numFmtId="0" fontId="14" fillId="5" borderId="1" xfId="0" quotePrefix="1" applyFont="1" applyFill="1" applyBorder="1" applyAlignment="1">
      <alignment horizontal="left"/>
    </xf>
    <xf numFmtId="0" fontId="15" fillId="5" borderId="1" xfId="0" applyFont="1" applyFill="1" applyBorder="1" applyAlignment="1">
      <alignment horizontal="left"/>
    </xf>
    <xf numFmtId="0" fontId="18" fillId="5" borderId="1" xfId="0" applyFont="1" applyFill="1" applyBorder="1" applyAlignment="1">
      <alignment horizontal="left" vertical="center" indent="4"/>
    </xf>
    <xf numFmtId="172" fontId="15" fillId="0" borderId="0" xfId="0" applyNumberFormat="1" applyFont="1"/>
    <xf numFmtId="0" fontId="11" fillId="5" borderId="1" xfId="0" applyFont="1" applyFill="1" applyBorder="1" applyAlignment="1">
      <alignment horizontal="left" vertical="center"/>
    </xf>
    <xf numFmtId="0" fontId="1" fillId="5" borderId="1" xfId="0" applyFont="1" applyFill="1" applyBorder="1" applyAlignment="1">
      <alignment horizontal="left" vertical="center" indent="15"/>
    </xf>
    <xf numFmtId="0" fontId="11" fillId="5" borderId="1" xfId="0" applyFont="1" applyFill="1" applyBorder="1" applyAlignment="1">
      <alignment horizontal="left" vertical="center" indent="1"/>
    </xf>
    <xf numFmtId="0" fontId="1" fillId="5" borderId="1" xfId="0" applyFont="1" applyFill="1" applyBorder="1" applyAlignment="1">
      <alignment horizontal="left" vertical="center" indent="1"/>
    </xf>
    <xf numFmtId="0" fontId="1" fillId="5" borderId="1" xfId="0" applyFont="1" applyFill="1" applyBorder="1" applyAlignment="1">
      <alignment horizontal="left" indent="1"/>
    </xf>
    <xf numFmtId="0" fontId="11" fillId="5" borderId="3" xfId="0" applyFont="1" applyFill="1" applyBorder="1" applyAlignment="1">
      <alignment horizontal="left" vertical="center"/>
    </xf>
    <xf numFmtId="0" fontId="1" fillId="5" borderId="1" xfId="0" applyFont="1" applyFill="1" applyBorder="1" applyAlignment="1">
      <alignment horizontal="left" vertical="center"/>
    </xf>
    <xf numFmtId="10" fontId="1" fillId="5" borderId="1" xfId="0" applyNumberFormat="1" applyFont="1" applyFill="1" applyBorder="1" applyAlignment="1">
      <alignment horizontal="center" vertical="center"/>
    </xf>
    <xf numFmtId="10" fontId="0" fillId="5" borderId="1" xfId="0" applyNumberFormat="1" applyFill="1" applyBorder="1" applyAlignment="1">
      <alignment horizontal="center"/>
    </xf>
    <xf numFmtId="10" fontId="0" fillId="5" borderId="5" xfId="0" applyNumberFormat="1" applyFill="1" applyBorder="1" applyAlignment="1">
      <alignment horizontal="center"/>
    </xf>
    <xf numFmtId="0" fontId="18" fillId="3" borderId="5" xfId="0" applyFont="1" applyFill="1" applyBorder="1" applyAlignment="1">
      <alignment horizontal="left" vertical="center" indent="6"/>
    </xf>
    <xf numFmtId="0" fontId="18" fillId="0" borderId="1" xfId="0" quotePrefix="1" applyFont="1" applyBorder="1" applyAlignment="1">
      <alignment horizontal="left" vertical="center"/>
    </xf>
    <xf numFmtId="0" fontId="18" fillId="0" borderId="1" xfId="0" quotePrefix="1" applyFont="1" applyBorder="1" applyAlignment="1">
      <alignment horizontal="center" vertical="center"/>
    </xf>
    <xf numFmtId="0" fontId="18" fillId="0" borderId="2" xfId="0" quotePrefix="1" applyFont="1" applyBorder="1" applyAlignment="1">
      <alignment horizontal="left" vertical="center"/>
    </xf>
    <xf numFmtId="0" fontId="17" fillId="5" borderId="1" xfId="0" applyFont="1" applyFill="1" applyBorder="1" applyAlignment="1">
      <alignment horizontal="center" vertical="center"/>
    </xf>
    <xf numFmtId="0" fontId="17" fillId="5" borderId="1" xfId="0" applyFont="1" applyFill="1" applyBorder="1" applyAlignment="1">
      <alignment horizontal="left" vertical="center"/>
    </xf>
    <xf numFmtId="0" fontId="18" fillId="5" borderId="1" xfId="0" applyFont="1" applyFill="1" applyBorder="1" applyAlignment="1">
      <alignment horizontal="left" vertical="center" indent="2"/>
    </xf>
    <xf numFmtId="0" fontId="18" fillId="5" borderId="1" xfId="0" applyFont="1" applyFill="1" applyBorder="1" applyAlignment="1">
      <alignment horizontal="center" vertical="center"/>
    </xf>
    <xf numFmtId="0" fontId="18" fillId="5" borderId="1" xfId="0" applyFont="1" applyFill="1" applyBorder="1" applyAlignment="1">
      <alignment horizontal="left" vertical="center" indent="6"/>
    </xf>
    <xf numFmtId="0" fontId="18" fillId="5" borderId="1" xfId="0" applyFont="1" applyFill="1" applyBorder="1" applyAlignment="1">
      <alignment horizontal="left" vertical="center" indent="8"/>
    </xf>
    <xf numFmtId="0" fontId="0" fillId="5" borderId="1" xfId="0" applyFill="1" applyBorder="1"/>
    <xf numFmtId="0" fontId="18" fillId="3" borderId="5" xfId="0" quotePrefix="1" applyFont="1" applyFill="1" applyBorder="1" applyAlignment="1">
      <alignment horizontal="left" vertical="center" indent="4"/>
    </xf>
    <xf numFmtId="0" fontId="18" fillId="5" borderId="1" xfId="0" quotePrefix="1" applyFont="1" applyFill="1" applyBorder="1" applyAlignment="1">
      <alignment horizontal="left" vertical="center"/>
    </xf>
    <xf numFmtId="167" fontId="18" fillId="5" borderId="1" xfId="0" quotePrefix="1" applyNumberFormat="1" applyFont="1" applyFill="1" applyBorder="1"/>
    <xf numFmtId="0" fontId="15" fillId="5" borderId="1" xfId="0" applyFont="1" applyFill="1" applyBorder="1" applyAlignment="1">
      <alignment horizontal="left" indent="4"/>
    </xf>
    <xf numFmtId="0" fontId="10" fillId="5" borderId="1" xfId="0" applyFont="1" applyFill="1" applyBorder="1" applyAlignment="1">
      <alignment horizontal="left" indent="1"/>
    </xf>
    <xf numFmtId="0" fontId="0" fillId="5" borderId="1" xfId="0" applyFill="1" applyBorder="1" applyAlignment="1">
      <alignment horizontal="left" indent="4"/>
    </xf>
    <xf numFmtId="0" fontId="18" fillId="3" borderId="1" xfId="0" quotePrefix="1" applyFont="1" applyFill="1" applyBorder="1" applyAlignment="1">
      <alignment horizontal="left" vertical="center"/>
    </xf>
    <xf numFmtId="167" fontId="1" fillId="3" borderId="1" xfId="0" applyNumberFormat="1" applyFont="1" applyFill="1" applyBorder="1"/>
    <xf numFmtId="167" fontId="15" fillId="0" borderId="0" xfId="0" applyNumberFormat="1" applyFont="1"/>
    <xf numFmtId="10" fontId="0" fillId="3" borderId="1" xfId="0" applyNumberFormat="1" applyFill="1" applyBorder="1" applyAlignment="1">
      <alignment horizontal="center"/>
    </xf>
    <xf numFmtId="10" fontId="0" fillId="3" borderId="5" xfId="0" applyNumberFormat="1" applyFill="1" applyBorder="1" applyAlignment="1">
      <alignment horizontal="center"/>
    </xf>
    <xf numFmtId="0" fontId="0" fillId="3" borderId="0" xfId="0" applyFill="1"/>
    <xf numFmtId="10" fontId="0" fillId="3" borderId="1" xfId="0" applyNumberFormat="1" applyFill="1" applyBorder="1"/>
    <xf numFmtId="0" fontId="10" fillId="5" borderId="1" xfId="0" applyFont="1" applyFill="1" applyBorder="1"/>
    <xf numFmtId="0" fontId="1" fillId="0" borderId="1" xfId="0" quotePrefix="1" applyFont="1" applyBorder="1" applyAlignment="1">
      <alignment horizontal="left" vertical="center"/>
    </xf>
    <xf numFmtId="0" fontId="16" fillId="5" borderId="1" xfId="0" applyFont="1" applyFill="1" applyBorder="1" applyAlignment="1">
      <alignment horizontal="left" vertical="center"/>
    </xf>
    <xf numFmtId="0" fontId="0" fillId="5" borderId="5" xfId="0" applyFill="1" applyBorder="1"/>
    <xf numFmtId="164" fontId="0" fillId="4" borderId="2" xfId="0" applyNumberFormat="1" applyFill="1" applyBorder="1" applyAlignment="1">
      <alignment horizontal="right"/>
    </xf>
    <xf numFmtId="10" fontId="0" fillId="5" borderId="1" xfId="0" applyNumberFormat="1" applyFill="1" applyBorder="1"/>
    <xf numFmtId="1" fontId="15" fillId="5" borderId="1" xfId="0" applyNumberFormat="1" applyFont="1" applyFill="1" applyBorder="1"/>
    <xf numFmtId="10" fontId="15" fillId="5" borderId="1" xfId="0" applyNumberFormat="1" applyFont="1" applyFill="1" applyBorder="1"/>
    <xf numFmtId="167" fontId="10" fillId="5" borderId="1" xfId="0" applyNumberFormat="1" applyFont="1" applyFill="1" applyBorder="1"/>
    <xf numFmtId="167" fontId="0" fillId="5" borderId="1" xfId="0" applyNumberFormat="1" applyFill="1" applyBorder="1"/>
    <xf numFmtId="0" fontId="0" fillId="3" borderId="1" xfId="0" applyFill="1" applyBorder="1"/>
    <xf numFmtId="172" fontId="0" fillId="5" borderId="1" xfId="0" applyNumberFormat="1" applyFill="1" applyBorder="1"/>
    <xf numFmtId="172" fontId="10" fillId="5" borderId="1" xfId="0" applyNumberFormat="1" applyFont="1" applyFill="1" applyBorder="1"/>
    <xf numFmtId="0" fontId="0" fillId="5" borderId="1" xfId="0" applyFill="1" applyBorder="1" applyAlignment="1">
      <alignment horizontal="center"/>
    </xf>
    <xf numFmtId="0" fontId="10" fillId="5" borderId="3" xfId="0" applyFont="1" applyFill="1" applyBorder="1" applyAlignment="1">
      <alignment horizontal="center"/>
    </xf>
    <xf numFmtId="0" fontId="0" fillId="0" borderId="1" xfId="0" quotePrefix="1" applyBorder="1"/>
    <xf numFmtId="167" fontId="0" fillId="5" borderId="1" xfId="0" applyNumberFormat="1" applyFill="1" applyBorder="1" applyAlignment="1">
      <alignment horizontal="right"/>
    </xf>
    <xf numFmtId="167" fontId="10" fillId="5" borderId="1" xfId="0" applyNumberFormat="1" applyFont="1" applyFill="1" applyBorder="1" applyAlignment="1">
      <alignment horizontal="right"/>
    </xf>
    <xf numFmtId="172" fontId="0" fillId="0" borderId="1" xfId="0" quotePrefix="1" applyNumberFormat="1" applyBorder="1"/>
    <xf numFmtId="172" fontId="0" fillId="0" borderId="0" xfId="0" applyNumberFormat="1"/>
    <xf numFmtId="10" fontId="0" fillId="3" borderId="0" xfId="0" applyNumberFormat="1" applyFill="1" applyAlignment="1">
      <alignment horizontal="center"/>
    </xf>
    <xf numFmtId="10" fontId="10" fillId="3" borderId="1" xfId="0" applyNumberFormat="1" applyFont="1" applyFill="1" applyBorder="1" applyAlignment="1">
      <alignment horizontal="center"/>
    </xf>
    <xf numFmtId="0" fontId="1" fillId="5" borderId="1" xfId="0" quotePrefix="1" applyFont="1" applyFill="1" applyBorder="1" applyAlignment="1">
      <alignment horizontal="left" vertical="center"/>
    </xf>
    <xf numFmtId="9" fontId="0" fillId="0" borderId="1" xfId="0" applyNumberFormat="1" applyBorder="1" applyAlignment="1">
      <alignment horizontal="center"/>
    </xf>
    <xf numFmtId="173" fontId="0" fillId="5" borderId="1" xfId="0" applyNumberFormat="1" applyFill="1" applyBorder="1"/>
    <xf numFmtId="0" fontId="16" fillId="3" borderId="0" xfId="0" applyFont="1" applyFill="1"/>
    <xf numFmtId="167" fontId="18" fillId="5" borderId="4" xfId="0" applyNumberFormat="1" applyFont="1" applyFill="1" applyBorder="1" applyAlignment="1">
      <alignment horizontal="right"/>
    </xf>
    <xf numFmtId="167" fontId="18" fillId="5" borderId="3" xfId="0" applyNumberFormat="1" applyFont="1" applyFill="1" applyBorder="1" applyAlignment="1">
      <alignment horizontal="right"/>
    </xf>
    <xf numFmtId="167" fontId="18" fillId="5" borderId="2" xfId="0" applyNumberFormat="1" applyFont="1" applyFill="1" applyBorder="1" applyAlignment="1">
      <alignment horizontal="right"/>
    </xf>
    <xf numFmtId="9" fontId="0" fillId="0" borderId="0" xfId="0" applyNumberFormat="1"/>
    <xf numFmtId="10" fontId="18" fillId="5" borderId="1" xfId="0" applyNumberFormat="1" applyFont="1" applyFill="1" applyBorder="1" applyAlignment="1">
      <alignment horizontal="right"/>
    </xf>
    <xf numFmtId="0" fontId="14" fillId="3" borderId="1" xfId="0" applyFont="1" applyFill="1" applyBorder="1"/>
    <xf numFmtId="10" fontId="17" fillId="5" borderId="1" xfId="0" applyNumberFormat="1" applyFont="1" applyFill="1" applyBorder="1" applyAlignment="1">
      <alignment horizontal="right"/>
    </xf>
    <xf numFmtId="0" fontId="10" fillId="0" borderId="4" xfId="0" applyFont="1" applyBorder="1" applyAlignment="1">
      <alignment horizontal="center" vertical="center"/>
    </xf>
    <xf numFmtId="1" fontId="10" fillId="0" borderId="1" xfId="0" applyNumberFormat="1" applyFont="1" applyBorder="1" applyAlignment="1">
      <alignment horizontal="center"/>
    </xf>
    <xf numFmtId="0" fontId="10" fillId="5" borderId="1" xfId="0" applyFont="1" applyFill="1" applyBorder="1" applyAlignment="1">
      <alignment horizontal="center" vertical="center"/>
    </xf>
    <xf numFmtId="1" fontId="10" fillId="5" borderId="1" xfId="0" applyNumberFormat="1" applyFont="1" applyFill="1" applyBorder="1" applyAlignment="1">
      <alignment horizontal="center"/>
    </xf>
    <xf numFmtId="0" fontId="10" fillId="3" borderId="1" xfId="0" applyFont="1" applyFill="1" applyBorder="1" applyAlignment="1">
      <alignment horizontal="center"/>
    </xf>
    <xf numFmtId="1" fontId="10" fillId="0" borderId="0" xfId="0" applyNumberFormat="1" applyFont="1" applyAlignment="1">
      <alignment horizontal="center"/>
    </xf>
    <xf numFmtId="0" fontId="0" fillId="0" borderId="4" xfId="0" applyBorder="1" applyAlignment="1">
      <alignment horizontal="center"/>
    </xf>
    <xf numFmtId="0" fontId="10" fillId="0" borderId="5" xfId="0" applyFont="1" applyBorder="1" applyAlignment="1">
      <alignment horizontal="center"/>
    </xf>
    <xf numFmtId="0" fontId="0" fillId="0" borderId="5" xfId="0" applyBorder="1"/>
    <xf numFmtId="0" fontId="10" fillId="0" borderId="3" xfId="0" applyFont="1" applyBorder="1" applyAlignment="1">
      <alignment horizontal="center"/>
    </xf>
    <xf numFmtId="0" fontId="10" fillId="5" borderId="4" xfId="0" applyFont="1" applyFill="1" applyBorder="1" applyAlignment="1">
      <alignment horizontal="center"/>
    </xf>
    <xf numFmtId="0" fontId="0" fillId="5" borderId="4" xfId="0" applyFill="1" applyBorder="1" applyAlignment="1">
      <alignment horizontal="center"/>
    </xf>
    <xf numFmtId="0" fontId="0" fillId="5" borderId="10" xfId="0" applyFill="1" applyBorder="1" applyAlignment="1">
      <alignment horizontal="center"/>
    </xf>
    <xf numFmtId="0" fontId="0" fillId="5" borderId="3" xfId="0" applyFill="1" applyBorder="1" applyAlignment="1">
      <alignment horizontal="center"/>
    </xf>
    <xf numFmtId="0" fontId="0" fillId="5" borderId="3" xfId="0" applyFill="1" applyBorder="1"/>
    <xf numFmtId="167" fontId="0" fillId="5" borderId="3" xfId="0" applyNumberFormat="1" applyFill="1" applyBorder="1"/>
    <xf numFmtId="172" fontId="0" fillId="5" borderId="3" xfId="0" applyNumberFormat="1" applyFill="1" applyBorder="1"/>
    <xf numFmtId="170" fontId="0" fillId="5" borderId="1" xfId="0" applyNumberFormat="1" applyFill="1" applyBorder="1" applyAlignment="1">
      <alignment horizontal="center"/>
    </xf>
    <xf numFmtId="172" fontId="0" fillId="3" borderId="1" xfId="0" applyNumberFormat="1" applyFill="1" applyBorder="1" applyAlignment="1">
      <alignment horizontal="right"/>
    </xf>
    <xf numFmtId="172" fontId="0" fillId="3" borderId="1" xfId="0" quotePrefix="1" applyNumberFormat="1" applyFill="1" applyBorder="1" applyAlignment="1">
      <alignment horizontal="right"/>
    </xf>
    <xf numFmtId="0" fontId="0" fillId="0" borderId="1" xfId="0" quotePrefix="1" applyBorder="1" applyAlignment="1">
      <alignment horizontal="center"/>
    </xf>
    <xf numFmtId="172" fontId="0" fillId="0" borderId="1" xfId="0" applyNumberFormat="1" applyBorder="1"/>
    <xf numFmtId="0" fontId="1" fillId="3" borderId="1" xfId="0" quotePrefix="1" applyFont="1" applyFill="1" applyBorder="1" applyAlignment="1">
      <alignment horizontal="left" vertical="center"/>
    </xf>
    <xf numFmtId="172" fontId="0" fillId="5" borderId="1" xfId="0" applyNumberFormat="1" applyFill="1" applyBorder="1" applyAlignment="1">
      <alignment horizontal="right"/>
    </xf>
    <xf numFmtId="10" fontId="10" fillId="5" borderId="1" xfId="0" applyNumberFormat="1" applyFont="1" applyFill="1" applyBorder="1"/>
    <xf numFmtId="0" fontId="10" fillId="5" borderId="10" xfId="0" applyFont="1" applyFill="1" applyBorder="1" applyAlignment="1">
      <alignment horizontal="center"/>
    </xf>
    <xf numFmtId="10" fontId="0" fillId="5" borderId="3" xfId="0" applyNumberFormat="1" applyFill="1" applyBorder="1"/>
    <xf numFmtId="167" fontId="10" fillId="5" borderId="3" xfId="0" applyNumberFormat="1" applyFont="1" applyFill="1" applyBorder="1"/>
    <xf numFmtId="10" fontId="1" fillId="3" borderId="1" xfId="0" quotePrefix="1" applyNumberFormat="1" applyFont="1" applyFill="1" applyBorder="1" applyAlignment="1">
      <alignment horizontal="center"/>
    </xf>
    <xf numFmtId="0" fontId="17" fillId="5" borderId="3" xfId="0" applyFont="1" applyFill="1" applyBorder="1" applyAlignment="1">
      <alignment horizontal="center"/>
    </xf>
    <xf numFmtId="172" fontId="15" fillId="5" borderId="1" xfId="0" applyNumberFormat="1" applyFont="1" applyFill="1" applyBorder="1"/>
    <xf numFmtId="167" fontId="15" fillId="5" borderId="3" xfId="0" applyNumberFormat="1" applyFont="1" applyFill="1" applyBorder="1"/>
    <xf numFmtId="167" fontId="18" fillId="5" borderId="1" xfId="0" applyNumberFormat="1" applyFont="1" applyFill="1" applyBorder="1" applyAlignment="1">
      <alignment horizontal="center"/>
    </xf>
    <xf numFmtId="2" fontId="10" fillId="2" borderId="1" xfId="0" applyNumberFormat="1" applyFont="1" applyFill="1" applyBorder="1"/>
    <xf numFmtId="2" fontId="0" fillId="5" borderId="4" xfId="0" applyNumberFormat="1" applyFill="1" applyBorder="1" applyAlignment="1">
      <alignment horizontal="center"/>
    </xf>
    <xf numFmtId="0" fontId="15" fillId="5" borderId="1" xfId="0" applyFont="1" applyFill="1" applyBorder="1" applyAlignment="1">
      <alignment horizontal="center"/>
    </xf>
    <xf numFmtId="10" fontId="10" fillId="5" borderId="1" xfId="0" applyNumberFormat="1" applyFont="1" applyFill="1" applyBorder="1" applyAlignment="1">
      <alignment horizontal="center"/>
    </xf>
    <xf numFmtId="10" fontId="0" fillId="5" borderId="2" xfId="0" applyNumberFormat="1" applyFill="1" applyBorder="1"/>
    <xf numFmtId="167" fontId="0" fillId="5" borderId="2" xfId="0" applyNumberFormat="1" applyFill="1" applyBorder="1" applyAlignment="1">
      <alignment horizontal="right"/>
    </xf>
    <xf numFmtId="174" fontId="0" fillId="0" borderId="3" xfId="0" applyNumberFormat="1" applyBorder="1" applyAlignment="1">
      <alignment horizontal="center"/>
    </xf>
    <xf numFmtId="0" fontId="0" fillId="0" borderId="1" xfId="0" applyBorder="1" applyAlignment="1">
      <alignment horizontal="center" vertical="center"/>
    </xf>
    <xf numFmtId="0" fontId="10" fillId="3" borderId="0" xfId="0" applyFont="1" applyFill="1"/>
    <xf numFmtId="0" fontId="1" fillId="6" borderId="1" xfId="0" applyFont="1" applyFill="1" applyBorder="1" applyAlignment="1">
      <alignment horizontal="left" vertical="center" indent="15"/>
    </xf>
    <xf numFmtId="0" fontId="0" fillId="0" borderId="3" xfId="0" applyBorder="1" applyAlignment="1">
      <alignment horizontal="center" vertical="center"/>
    </xf>
    <xf numFmtId="0" fontId="15" fillId="0" borderId="1" xfId="0" applyFont="1" applyBorder="1" applyAlignment="1">
      <alignment horizontal="center"/>
    </xf>
    <xf numFmtId="172" fontId="15" fillId="5" borderId="3" xfId="0" applyNumberFormat="1" applyFont="1" applyFill="1" applyBorder="1"/>
    <xf numFmtId="0" fontId="0" fillId="0" borderId="4" xfId="0" applyBorder="1"/>
    <xf numFmtId="0" fontId="15" fillId="3" borderId="3" xfId="0" applyFont="1" applyFill="1" applyBorder="1"/>
    <xf numFmtId="172" fontId="18" fillId="5" borderId="3" xfId="0" applyNumberFormat="1" applyFont="1" applyFill="1" applyBorder="1" applyAlignment="1">
      <alignment horizontal="right"/>
    </xf>
    <xf numFmtId="0" fontId="0" fillId="0" borderId="0" xfId="0" applyAlignment="1">
      <alignment horizontal="center"/>
    </xf>
    <xf numFmtId="10" fontId="0" fillId="5" borderId="4" xfId="0" applyNumberFormat="1" applyFill="1" applyBorder="1" applyAlignment="1">
      <alignment horizontal="center"/>
    </xf>
    <xf numFmtId="0" fontId="10" fillId="0" borderId="6" xfId="0" applyFont="1" applyBorder="1" applyAlignment="1">
      <alignment horizontal="center" vertical="center"/>
    </xf>
    <xf numFmtId="0" fontId="10" fillId="0" borderId="5" xfId="0" applyFont="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10" xfId="0" applyBorder="1" applyAlignment="1">
      <alignment horizontal="center" vertical="center"/>
    </xf>
    <xf numFmtId="44" fontId="0" fillId="0" borderId="0" xfId="9" applyFont="1"/>
    <xf numFmtId="0" fontId="18" fillId="0" borderId="1" xfId="0" applyFont="1" applyBorder="1"/>
    <xf numFmtId="0" fontId="18" fillId="3" borderId="3" xfId="0" applyFont="1" applyFill="1" applyBorder="1"/>
    <xf numFmtId="2" fontId="0" fillId="3" borderId="4" xfId="0" applyNumberFormat="1" applyFill="1" applyBorder="1" applyAlignment="1">
      <alignment horizontal="center"/>
    </xf>
    <xf numFmtId="2" fontId="0" fillId="5" borderId="1" xfId="0" applyNumberFormat="1" applyFill="1" applyBorder="1" applyAlignment="1">
      <alignment horizontal="center"/>
    </xf>
    <xf numFmtId="0" fontId="0" fillId="0" borderId="2" xfId="0" applyBorder="1" applyAlignment="1">
      <alignment horizontal="center"/>
    </xf>
    <xf numFmtId="167" fontId="0" fillId="5" borderId="5" xfId="0" applyNumberFormat="1" applyFill="1" applyBorder="1" applyAlignment="1">
      <alignment horizontal="right"/>
    </xf>
    <xf numFmtId="0" fontId="10" fillId="0" borderId="4" xfId="0" applyFont="1" applyBorder="1" applyAlignment="1">
      <alignment vertical="center"/>
    </xf>
    <xf numFmtId="0" fontId="10" fillId="0" borderId="5" xfId="0" applyFont="1" applyBorder="1" applyAlignment="1">
      <alignment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0" xfId="0" applyFont="1" applyBorder="1" applyAlignment="1">
      <alignment vertical="center"/>
    </xf>
    <xf numFmtId="0" fontId="10" fillId="3" borderId="1" xfId="0" applyFont="1" applyFill="1" applyBorder="1" applyAlignment="1">
      <alignment horizontal="center" vertical="center"/>
    </xf>
    <xf numFmtId="0" fontId="10" fillId="3" borderId="0" xfId="0" applyFont="1" applyFill="1" applyAlignment="1">
      <alignment horizontal="center" vertical="center"/>
    </xf>
    <xf numFmtId="0" fontId="0" fillId="3" borderId="0" xfId="0" applyFill="1" applyAlignment="1">
      <alignment horizontal="center"/>
    </xf>
    <xf numFmtId="172" fontId="0" fillId="5" borderId="4" xfId="0" applyNumberFormat="1" applyFill="1" applyBorder="1"/>
    <xf numFmtId="172" fontId="0" fillId="3" borderId="0" xfId="0" applyNumberFormat="1" applyFill="1"/>
    <xf numFmtId="10" fontId="0" fillId="5" borderId="2" xfId="0" applyNumberFormat="1" applyFill="1" applyBorder="1" applyAlignment="1">
      <alignment horizontal="center"/>
    </xf>
    <xf numFmtId="10" fontId="0" fillId="5" borderId="3" xfId="0" applyNumberFormat="1" applyFill="1" applyBorder="1" applyAlignment="1">
      <alignment horizontal="center"/>
    </xf>
    <xf numFmtId="3" fontId="10" fillId="5" borderId="1" xfId="0" applyNumberFormat="1" applyFont="1" applyFill="1" applyBorder="1" applyAlignment="1">
      <alignment horizontal="center"/>
    </xf>
    <xf numFmtId="2" fontId="10" fillId="5" borderId="1" xfId="0" applyNumberFormat="1" applyFont="1" applyFill="1" applyBorder="1" applyAlignment="1">
      <alignment horizontal="center"/>
    </xf>
    <xf numFmtId="10" fontId="0" fillId="0" borderId="9" xfId="0" applyNumberFormat="1" applyBorder="1" applyAlignment="1">
      <alignment horizontal="center"/>
    </xf>
    <xf numFmtId="10" fontId="0" fillId="0" borderId="4" xfId="0" applyNumberFormat="1" applyBorder="1" applyAlignment="1">
      <alignment horizontal="center"/>
    </xf>
    <xf numFmtId="10" fontId="0" fillId="0" borderId="10" xfId="0" applyNumberFormat="1" applyBorder="1" applyAlignment="1">
      <alignment horizontal="center"/>
    </xf>
    <xf numFmtId="8" fontId="0" fillId="3" borderId="1" xfId="0" applyNumberFormat="1" applyFill="1" applyBorder="1"/>
    <xf numFmtId="0" fontId="0" fillId="5" borderId="4" xfId="0" applyFill="1" applyBorder="1"/>
    <xf numFmtId="0" fontId="0" fillId="5" borderId="10" xfId="0" applyFill="1" applyBorder="1"/>
    <xf numFmtId="0" fontId="0" fillId="0" borderId="10" xfId="0" applyBorder="1"/>
    <xf numFmtId="177" fontId="10" fillId="5" borderId="1" xfId="0" applyNumberFormat="1" applyFont="1" applyFill="1" applyBorder="1"/>
    <xf numFmtId="3" fontId="0" fillId="0" borderId="1" xfId="0" applyNumberFormat="1" applyBorder="1" applyAlignment="1">
      <alignment horizontal="center"/>
    </xf>
    <xf numFmtId="3" fontId="0" fillId="5" borderId="1" xfId="0" applyNumberFormat="1" applyFill="1" applyBorder="1"/>
    <xf numFmtId="10" fontId="0" fillId="5" borderId="0" xfId="0" applyNumberFormat="1" applyFill="1"/>
    <xf numFmtId="3" fontId="0" fillId="0" borderId="4" xfId="0" applyNumberFormat="1" applyBorder="1" applyAlignment="1">
      <alignment horizontal="center"/>
    </xf>
    <xf numFmtId="3" fontId="0" fillId="0" borderId="3" xfId="0" applyNumberFormat="1" applyBorder="1" applyAlignment="1">
      <alignment horizontal="center"/>
    </xf>
    <xf numFmtId="3" fontId="0" fillId="0" borderId="10" xfId="0" applyNumberFormat="1" applyBorder="1" applyAlignment="1">
      <alignment horizontal="center"/>
    </xf>
    <xf numFmtId="3" fontId="10" fillId="5" borderId="4" xfId="0" applyNumberFormat="1" applyFont="1" applyFill="1" applyBorder="1" applyAlignment="1">
      <alignment horizontal="center"/>
    </xf>
    <xf numFmtId="3" fontId="0" fillId="0" borderId="0" xfId="0" applyNumberFormat="1"/>
    <xf numFmtId="178" fontId="0" fillId="0" borderId="0" xfId="0" applyNumberFormat="1"/>
    <xf numFmtId="0" fontId="10" fillId="0" borderId="3" xfId="0" applyFont="1" applyBorder="1"/>
    <xf numFmtId="8" fontId="10" fillId="5" borderId="1" xfId="0" applyNumberFormat="1" applyFont="1" applyFill="1" applyBorder="1"/>
    <xf numFmtId="0" fontId="0" fillId="3" borderId="1" xfId="0" applyFill="1" applyBorder="1" applyAlignment="1">
      <alignment horizontal="left"/>
    </xf>
    <xf numFmtId="1" fontId="0" fillId="0" borderId="0" xfId="0" applyNumberFormat="1" applyAlignment="1">
      <alignment horizontal="right"/>
    </xf>
    <xf numFmtId="0" fontId="0" fillId="5" borderId="1" xfId="0" applyFill="1" applyBorder="1" applyAlignment="1">
      <alignment horizontal="left"/>
    </xf>
    <xf numFmtId="8" fontId="0" fillId="5" borderId="1" xfId="0" applyNumberFormat="1" applyFill="1" applyBorder="1" applyAlignment="1">
      <alignment horizontal="right"/>
    </xf>
    <xf numFmtId="8" fontId="0" fillId="5" borderId="5" xfId="0" applyNumberFormat="1" applyFill="1" applyBorder="1" applyAlignment="1">
      <alignment horizontal="right"/>
    </xf>
    <xf numFmtId="0" fontId="10" fillId="3" borderId="4" xfId="0" applyFont="1" applyFill="1" applyBorder="1" applyAlignment="1">
      <alignment horizontal="left"/>
    </xf>
    <xf numFmtId="8" fontId="10" fillId="5" borderId="1" xfId="0" applyNumberFormat="1" applyFont="1" applyFill="1" applyBorder="1" applyAlignment="1">
      <alignment horizontal="right"/>
    </xf>
    <xf numFmtId="172" fontId="10" fillId="5" borderId="1" xfId="0" applyNumberFormat="1" applyFont="1" applyFill="1" applyBorder="1" applyAlignment="1">
      <alignment horizontal="right"/>
    </xf>
    <xf numFmtId="0" fontId="3" fillId="0" borderId="15" xfId="5" applyBorder="1" applyAlignment="1">
      <alignment vertical="center"/>
    </xf>
    <xf numFmtId="0" fontId="3" fillId="0" borderId="16" xfId="5" applyBorder="1" applyAlignment="1">
      <alignment vertical="center"/>
    </xf>
    <xf numFmtId="0" fontId="6" fillId="0" borderId="0" xfId="5" applyFont="1" applyAlignment="1">
      <alignment horizontal="center" vertical="center"/>
    </xf>
    <xf numFmtId="0" fontId="5" fillId="0" borderId="0" xfId="5" applyFont="1" applyAlignment="1">
      <alignment vertical="center"/>
    </xf>
    <xf numFmtId="0" fontId="3" fillId="5" borderId="0" xfId="5" applyFill="1" applyAlignment="1">
      <alignment vertical="center"/>
    </xf>
    <xf numFmtId="0" fontId="0" fillId="5" borderId="0" xfId="0" applyFill="1"/>
    <xf numFmtId="0" fontId="22" fillId="0" borderId="15" xfId="5" applyFont="1" applyBorder="1" applyAlignment="1">
      <alignment horizontal="justify" vertical="center" wrapText="1"/>
    </xf>
    <xf numFmtId="0" fontId="22" fillId="0" borderId="0" xfId="5" applyFont="1" applyAlignment="1">
      <alignment horizontal="justify" vertical="center" wrapText="1"/>
    </xf>
    <xf numFmtId="0" fontId="22" fillId="0" borderId="16" xfId="5" applyFont="1" applyBorder="1" applyAlignment="1">
      <alignment horizontal="justify" vertical="center" wrapText="1"/>
    </xf>
    <xf numFmtId="0" fontId="24" fillId="0" borderId="15" xfId="5" applyFont="1" applyBorder="1" applyAlignment="1">
      <alignment vertical="center"/>
    </xf>
    <xf numFmtId="0" fontId="25" fillId="0" borderId="0" xfId="5" applyFont="1" applyAlignment="1">
      <alignment horizontal="left" vertical="center" wrapText="1"/>
    </xf>
    <xf numFmtId="0" fontId="26" fillId="0" borderId="0" xfId="5" applyFont="1" applyAlignment="1">
      <alignment horizontal="left" vertical="center" wrapText="1"/>
    </xf>
    <xf numFmtId="0" fontId="27" fillId="0" borderId="0" xfId="5" applyFont="1" applyAlignment="1">
      <alignment horizontal="left" vertical="center" wrapText="1"/>
    </xf>
    <xf numFmtId="0" fontId="22" fillId="0" borderId="16" xfId="5" applyFont="1" applyBorder="1" applyAlignment="1">
      <alignment vertical="center"/>
    </xf>
    <xf numFmtId="0" fontId="22" fillId="0" borderId="15" xfId="5" applyFont="1" applyBorder="1" applyAlignment="1">
      <alignment horizontal="justify" vertical="center"/>
    </xf>
    <xf numFmtId="0" fontId="22" fillId="0" borderId="0" xfId="5" applyFont="1" applyAlignment="1">
      <alignment horizontal="justify" vertical="center"/>
    </xf>
    <xf numFmtId="0" fontId="22" fillId="0" borderId="16" xfId="5" applyFont="1" applyBorder="1" applyAlignment="1">
      <alignment horizontal="justify" vertical="center"/>
    </xf>
    <xf numFmtId="0" fontId="3" fillId="5" borderId="15" xfId="5" applyFill="1" applyBorder="1" applyAlignment="1">
      <alignment vertical="center"/>
    </xf>
    <xf numFmtId="0" fontId="3" fillId="0" borderId="13" xfId="5" applyBorder="1" applyAlignment="1">
      <alignment vertical="center"/>
    </xf>
    <xf numFmtId="0" fontId="3" fillId="0" borderId="14" xfId="5" applyBorder="1" applyAlignment="1">
      <alignment vertical="center"/>
    </xf>
    <xf numFmtId="0" fontId="3" fillId="0" borderId="18" xfId="5" applyBorder="1" applyAlignment="1">
      <alignment vertical="center"/>
    </xf>
    <xf numFmtId="0" fontId="3" fillId="0" borderId="19" xfId="5" applyBorder="1" applyAlignment="1">
      <alignment vertical="center"/>
    </xf>
    <xf numFmtId="0" fontId="3" fillId="7" borderId="17" xfId="5" applyFill="1" applyBorder="1" applyAlignment="1">
      <alignment vertical="center"/>
    </xf>
    <xf numFmtId="0" fontId="3" fillId="7" borderId="18" xfId="5" applyFill="1" applyBorder="1" applyAlignment="1">
      <alignment vertical="center"/>
    </xf>
    <xf numFmtId="167" fontId="10" fillId="7" borderId="1" xfId="0" applyNumberFormat="1" applyFont="1" applyFill="1" applyBorder="1"/>
    <xf numFmtId="0" fontId="3" fillId="8" borderId="0" xfId="5" applyFill="1" applyAlignment="1">
      <alignment vertical="center"/>
    </xf>
    <xf numFmtId="0" fontId="4" fillId="8" borderId="0" xfId="5" applyFont="1" applyFill="1" applyAlignment="1">
      <alignment vertical="center" wrapText="1"/>
    </xf>
    <xf numFmtId="0" fontId="10" fillId="0" borderId="4" xfId="0" applyFont="1" applyBorder="1" applyAlignment="1">
      <alignment horizontal="center" wrapText="1"/>
    </xf>
    <xf numFmtId="0" fontId="10" fillId="5" borderId="4" xfId="0" applyFont="1" applyFill="1" applyBorder="1" applyAlignment="1">
      <alignment horizontal="center" wrapText="1"/>
    </xf>
    <xf numFmtId="0" fontId="10" fillId="3" borderId="4" xfId="0" applyFont="1" applyFill="1" applyBorder="1" applyAlignment="1">
      <alignment horizontal="center" wrapText="1"/>
    </xf>
    <xf numFmtId="0" fontId="10" fillId="2" borderId="5" xfId="0" applyFont="1" applyFill="1" applyBorder="1" applyAlignment="1">
      <alignment horizontal="center"/>
    </xf>
    <xf numFmtId="167" fontId="0" fillId="2" borderId="5" xfId="0" applyNumberFormat="1" applyFill="1" applyBorder="1"/>
    <xf numFmtId="0" fontId="3" fillId="9" borderId="0" xfId="5" applyFill="1" applyAlignment="1">
      <alignment vertical="center"/>
    </xf>
    <xf numFmtId="0" fontId="4" fillId="9" borderId="0" xfId="5" applyFont="1" applyFill="1" applyAlignment="1">
      <alignment vertical="center" wrapText="1"/>
    </xf>
    <xf numFmtId="10" fontId="0" fillId="3" borderId="0" xfId="0" applyNumberFormat="1" applyFill="1"/>
    <xf numFmtId="0" fontId="0" fillId="0" borderId="4" xfId="0" applyBorder="1" applyAlignment="1">
      <alignment horizontal="left" vertical="center"/>
    </xf>
    <xf numFmtId="0" fontId="0" fillId="0" borderId="10" xfId="0" applyBorder="1" applyAlignment="1">
      <alignment horizontal="left" vertical="center"/>
    </xf>
    <xf numFmtId="172" fontId="0" fillId="5" borderId="2" xfId="0" applyNumberFormat="1" applyFill="1" applyBorder="1"/>
    <xf numFmtId="170" fontId="0" fillId="0" borderId="1" xfId="0" applyNumberFormat="1" applyBorder="1" applyAlignment="1">
      <alignment horizontal="center"/>
    </xf>
    <xf numFmtId="170" fontId="0" fillId="0" borderId="2" xfId="0" applyNumberFormat="1" applyBorder="1" applyAlignment="1">
      <alignment horizontal="center"/>
    </xf>
    <xf numFmtId="1" fontId="0" fillId="5" borderId="1" xfId="0" applyNumberFormat="1" applyFill="1" applyBorder="1"/>
    <xf numFmtId="0" fontId="17" fillId="5" borderId="4" xfId="0" applyFont="1" applyFill="1" applyBorder="1" applyAlignment="1">
      <alignment horizontal="center"/>
    </xf>
    <xf numFmtId="167" fontId="18" fillId="5" borderId="4" xfId="0" applyNumberFormat="1" applyFont="1" applyFill="1" applyBorder="1" applyAlignment="1">
      <alignment horizontal="center"/>
    </xf>
    <xf numFmtId="10" fontId="18" fillId="5" borderId="4" xfId="0" applyNumberFormat="1" applyFont="1" applyFill="1" applyBorder="1" applyAlignment="1">
      <alignment horizontal="right"/>
    </xf>
    <xf numFmtId="10" fontId="17" fillId="5" borderId="4" xfId="0" applyNumberFormat="1" applyFont="1" applyFill="1" applyBorder="1" applyAlignment="1">
      <alignment horizontal="right"/>
    </xf>
    <xf numFmtId="10" fontId="15" fillId="5" borderId="4" xfId="0" applyNumberFormat="1" applyFont="1" applyFill="1" applyBorder="1"/>
    <xf numFmtId="0" fontId="14" fillId="0" borderId="4" xfId="0" applyFont="1" applyBorder="1" applyAlignment="1">
      <alignment horizontal="center"/>
    </xf>
    <xf numFmtId="0" fontId="14" fillId="5" borderId="3" xfId="0" applyFont="1" applyFill="1" applyBorder="1" applyAlignment="1">
      <alignment horizontal="center"/>
    </xf>
    <xf numFmtId="0" fontId="15" fillId="5" borderId="3" xfId="0" applyFont="1" applyFill="1" applyBorder="1"/>
    <xf numFmtId="0" fontId="15" fillId="5" borderId="4" xfId="0" applyFont="1" applyFill="1" applyBorder="1"/>
    <xf numFmtId="0" fontId="15" fillId="5" borderId="3" xfId="0" applyFont="1" applyFill="1" applyBorder="1" applyAlignment="1">
      <alignment horizontal="center"/>
    </xf>
    <xf numFmtId="0" fontId="15" fillId="5" borderId="4" xfId="0" applyFont="1" applyFill="1" applyBorder="1" applyAlignment="1">
      <alignment horizontal="center"/>
    </xf>
    <xf numFmtId="0" fontId="14" fillId="5" borderId="2" xfId="0" applyFont="1" applyFill="1" applyBorder="1" applyAlignment="1">
      <alignment horizontal="center"/>
    </xf>
    <xf numFmtId="0" fontId="15" fillId="5" borderId="2" xfId="0" applyFont="1" applyFill="1" applyBorder="1" applyAlignment="1">
      <alignment horizontal="center"/>
    </xf>
    <xf numFmtId="0" fontId="15" fillId="5" borderId="2" xfId="0" applyFont="1" applyFill="1" applyBorder="1"/>
    <xf numFmtId="10" fontId="15" fillId="5" borderId="9" xfId="0" applyNumberFormat="1" applyFont="1" applyFill="1" applyBorder="1"/>
    <xf numFmtId="0" fontId="1" fillId="5" borderId="1" xfId="0" applyFont="1" applyFill="1" applyBorder="1" applyAlignment="1">
      <alignment horizontal="center"/>
    </xf>
    <xf numFmtId="0" fontId="1" fillId="5" borderId="1" xfId="0" applyFont="1" applyFill="1" applyBorder="1"/>
    <xf numFmtId="1" fontId="1" fillId="5" borderId="1" xfId="0" applyNumberFormat="1" applyFont="1" applyFill="1" applyBorder="1"/>
    <xf numFmtId="0" fontId="1" fillId="5" borderId="1" xfId="0" applyFont="1" applyFill="1" applyBorder="1" applyAlignment="1">
      <alignment horizontal="left"/>
    </xf>
    <xf numFmtId="0" fontId="11" fillId="5" borderId="4" xfId="0" applyFont="1" applyFill="1" applyBorder="1" applyAlignment="1">
      <alignment horizontal="center"/>
    </xf>
    <xf numFmtId="1" fontId="1" fillId="5" borderId="4" xfId="0" applyNumberFormat="1" applyFont="1" applyFill="1" applyBorder="1"/>
    <xf numFmtId="1" fontId="1" fillId="5" borderId="1" xfId="0" applyNumberFormat="1" applyFont="1" applyFill="1" applyBorder="1" applyAlignment="1">
      <alignment horizontal="center"/>
    </xf>
    <xf numFmtId="170" fontId="0" fillId="5" borderId="3" xfId="0" applyNumberFormat="1" applyFill="1" applyBorder="1" applyAlignment="1">
      <alignment horizontal="center"/>
    </xf>
    <xf numFmtId="0" fontId="10" fillId="0" borderId="2" xfId="0" applyFont="1" applyBorder="1" applyAlignment="1">
      <alignment horizontal="center" vertical="center"/>
    </xf>
    <xf numFmtId="167" fontId="0" fillId="5" borderId="10" xfId="0" applyNumberFormat="1" applyFill="1" applyBorder="1"/>
    <xf numFmtId="1" fontId="0" fillId="0" borderId="0" xfId="0" applyNumberFormat="1"/>
    <xf numFmtId="3" fontId="10" fillId="5" borderId="1" xfId="0" applyNumberFormat="1" applyFont="1" applyFill="1" applyBorder="1"/>
    <xf numFmtId="0" fontId="0" fillId="0" borderId="9" xfId="0" applyBorder="1"/>
    <xf numFmtId="0" fontId="10" fillId="0" borderId="3" xfId="0" applyFont="1" applyBorder="1" applyAlignment="1">
      <alignment horizontal="center" vertical="center"/>
    </xf>
    <xf numFmtId="2" fontId="0" fillId="5" borderId="10" xfId="0" applyNumberFormat="1" applyFill="1" applyBorder="1" applyAlignment="1">
      <alignment horizontal="center"/>
    </xf>
    <xf numFmtId="2" fontId="0" fillId="5" borderId="3" xfId="0" applyNumberFormat="1" applyFill="1" applyBorder="1" applyAlignment="1">
      <alignment horizontal="center"/>
    </xf>
    <xf numFmtId="0" fontId="0" fillId="3" borderId="1" xfId="0" applyFill="1" applyBorder="1" applyAlignment="1">
      <alignment horizontal="center"/>
    </xf>
    <xf numFmtId="2" fontId="10" fillId="5" borderId="4" xfId="0" applyNumberFormat="1" applyFont="1" applyFill="1" applyBorder="1" applyAlignment="1">
      <alignment horizontal="center"/>
    </xf>
    <xf numFmtId="170" fontId="0" fillId="3" borderId="1" xfId="0" applyNumberFormat="1" applyFill="1" applyBorder="1" applyAlignment="1">
      <alignment horizontal="center"/>
    </xf>
    <xf numFmtId="0" fontId="10" fillId="0" borderId="0" xfId="0" applyFont="1" applyAlignment="1">
      <alignment horizontal="center"/>
    </xf>
    <xf numFmtId="10" fontId="10" fillId="3" borderId="0" xfId="0" applyNumberFormat="1" applyFont="1" applyFill="1" applyAlignment="1">
      <alignment horizontal="center"/>
    </xf>
    <xf numFmtId="0" fontId="10" fillId="5" borderId="2" xfId="0" applyFont="1" applyFill="1" applyBorder="1" applyAlignment="1">
      <alignment horizontal="center" vertical="center"/>
    </xf>
    <xf numFmtId="0" fontId="0" fillId="5" borderId="2" xfId="0" applyFill="1" applyBorder="1"/>
    <xf numFmtId="10" fontId="0" fillId="3" borderId="2" xfId="0" applyNumberFormat="1" applyFill="1" applyBorder="1" applyAlignment="1">
      <alignment horizontal="center"/>
    </xf>
    <xf numFmtId="10" fontId="10" fillId="5" borderId="4" xfId="0" applyNumberFormat="1" applyFont="1" applyFill="1" applyBorder="1" applyAlignment="1">
      <alignment horizontal="center"/>
    </xf>
    <xf numFmtId="0" fontId="10" fillId="3" borderId="0" xfId="0" applyFont="1" applyFill="1" applyAlignment="1">
      <alignment horizontal="center"/>
    </xf>
    <xf numFmtId="165" fontId="0" fillId="0" borderId="0" xfId="10" applyFont="1"/>
    <xf numFmtId="1" fontId="15" fillId="5" borderId="9" xfId="0" applyNumberFormat="1" applyFont="1" applyFill="1" applyBorder="1"/>
    <xf numFmtId="8" fontId="0" fillId="0" borderId="0" xfId="0" applyNumberFormat="1"/>
    <xf numFmtId="179" fontId="0" fillId="0" borderId="0" xfId="0" applyNumberFormat="1"/>
    <xf numFmtId="8" fontId="0" fillId="3" borderId="1" xfId="0" applyNumberFormat="1" applyFill="1" applyBorder="1" applyAlignment="1">
      <alignment horizontal="right"/>
    </xf>
    <xf numFmtId="0" fontId="0" fillId="3" borderId="3" xfId="0" applyFill="1" applyBorder="1" applyAlignment="1">
      <alignment horizontal="left"/>
    </xf>
    <xf numFmtId="167" fontId="0" fillId="5" borderId="4" xfId="0" applyNumberFormat="1" applyFill="1" applyBorder="1"/>
    <xf numFmtId="172" fontId="0" fillId="5" borderId="5" xfId="0" applyNumberFormat="1" applyFill="1" applyBorder="1"/>
    <xf numFmtId="169" fontId="0" fillId="5" borderId="2" xfId="0" applyNumberFormat="1" applyFill="1" applyBorder="1" applyAlignment="1">
      <alignment horizontal="center"/>
    </xf>
    <xf numFmtId="10" fontId="12" fillId="3" borderId="1" xfId="1" applyNumberFormat="1" applyFill="1" applyBorder="1" applyProtection="1"/>
    <xf numFmtId="164" fontId="10" fillId="4" borderId="1" xfId="0" applyNumberFormat="1" applyFont="1" applyFill="1" applyBorder="1"/>
    <xf numFmtId="172" fontId="10" fillId="5" borderId="3" xfId="0" applyNumberFormat="1" applyFont="1" applyFill="1" applyBorder="1" applyAlignment="1">
      <alignment horizontal="right"/>
    </xf>
    <xf numFmtId="175" fontId="0" fillId="5" borderId="1" xfId="0" applyNumberFormat="1" applyFill="1" applyBorder="1" applyAlignment="1">
      <alignment horizontal="center"/>
    </xf>
    <xf numFmtId="170" fontId="1" fillId="5" borderId="1" xfId="0" applyNumberFormat="1" applyFont="1" applyFill="1" applyBorder="1" applyAlignment="1">
      <alignment horizontal="center"/>
    </xf>
    <xf numFmtId="3" fontId="0" fillId="5" borderId="1" xfId="0" applyNumberFormat="1" applyFill="1" applyBorder="1" applyAlignment="1">
      <alignment horizontal="right"/>
    </xf>
    <xf numFmtId="3" fontId="10" fillId="5" borderId="1" xfId="0" applyNumberFormat="1" applyFont="1" applyFill="1" applyBorder="1" applyAlignment="1">
      <alignment horizontal="right"/>
    </xf>
    <xf numFmtId="0" fontId="1" fillId="5" borderId="3" xfId="0" applyFont="1" applyFill="1" applyBorder="1" applyAlignment="1">
      <alignment horizontal="center"/>
    </xf>
    <xf numFmtId="0" fontId="1" fillId="5" borderId="3" xfId="0" applyFont="1" applyFill="1" applyBorder="1"/>
    <xf numFmtId="3" fontId="1" fillId="5" borderId="1" xfId="0" applyNumberFormat="1" applyFont="1" applyFill="1" applyBorder="1"/>
    <xf numFmtId="3" fontId="1" fillId="5" borderId="3" xfId="0" applyNumberFormat="1" applyFont="1" applyFill="1" applyBorder="1"/>
    <xf numFmtId="0" fontId="10" fillId="0" borderId="3" xfId="0" applyFont="1" applyBorder="1" applyAlignment="1">
      <alignment horizontal="center" vertical="center" wrapText="1"/>
    </xf>
    <xf numFmtId="172" fontId="10" fillId="5" borderId="5" xfId="0" applyNumberFormat="1" applyFont="1" applyFill="1" applyBorder="1" applyAlignment="1">
      <alignment horizontal="right"/>
    </xf>
    <xf numFmtId="172" fontId="0" fillId="5" borderId="5" xfId="0" applyNumberFormat="1" applyFill="1" applyBorder="1" applyAlignment="1">
      <alignment horizontal="right"/>
    </xf>
    <xf numFmtId="2" fontId="0" fillId="3" borderId="1" xfId="0" applyNumberFormat="1" applyFill="1" applyBorder="1" applyAlignment="1">
      <alignment horizontal="center"/>
    </xf>
    <xf numFmtId="2" fontId="0" fillId="0" borderId="1" xfId="0" applyNumberFormat="1" applyBorder="1" applyAlignment="1">
      <alignment horizontal="center"/>
    </xf>
    <xf numFmtId="2" fontId="10" fillId="0" borderId="1" xfId="0" applyNumberFormat="1" applyFont="1" applyBorder="1" applyAlignment="1">
      <alignment horizontal="center"/>
    </xf>
    <xf numFmtId="167" fontId="10" fillId="5" borderId="5" xfId="0" applyNumberFormat="1" applyFont="1" applyFill="1" applyBorder="1"/>
    <xf numFmtId="0" fontId="0" fillId="0" borderId="0" xfId="0" applyAlignment="1">
      <alignment horizontal="left"/>
    </xf>
    <xf numFmtId="0" fontId="11" fillId="3" borderId="1" xfId="0" applyFont="1" applyFill="1" applyBorder="1" applyAlignment="1">
      <alignment horizontal="center"/>
    </xf>
    <xf numFmtId="172" fontId="1" fillId="3" borderId="0" xfId="0" applyNumberFormat="1" applyFont="1" applyFill="1"/>
    <xf numFmtId="0" fontId="10" fillId="3" borderId="1" xfId="0" applyFont="1" applyFill="1" applyBorder="1"/>
    <xf numFmtId="172" fontId="11" fillId="5" borderId="1" xfId="0" applyNumberFormat="1" applyFont="1" applyFill="1" applyBorder="1"/>
    <xf numFmtId="0" fontId="10" fillId="3" borderId="3" xfId="0" applyFont="1" applyFill="1" applyBorder="1" applyAlignment="1">
      <alignment horizontal="center"/>
    </xf>
    <xf numFmtId="0" fontId="10" fillId="0" borderId="1" xfId="0" applyFont="1" applyBorder="1" applyAlignment="1">
      <alignment horizontal="left" vertical="center"/>
    </xf>
    <xf numFmtId="0" fontId="10" fillId="0" borderId="4" xfId="0" applyFont="1" applyBorder="1" applyAlignment="1">
      <alignment horizontal="left" vertical="center"/>
    </xf>
    <xf numFmtId="10" fontId="0" fillId="5" borderId="7" xfId="0" applyNumberFormat="1" applyFill="1" applyBorder="1"/>
    <xf numFmtId="10" fontId="0" fillId="3" borderId="3" xfId="0" applyNumberFormat="1" applyFill="1" applyBorder="1"/>
    <xf numFmtId="0" fontId="10" fillId="0" borderId="0" xfId="0" applyFont="1" applyAlignment="1">
      <alignment horizontal="left" vertical="center"/>
    </xf>
    <xf numFmtId="0" fontId="10" fillId="0" borderId="10" xfId="0" applyFont="1" applyBorder="1" applyAlignment="1">
      <alignment horizontal="left" vertical="center"/>
    </xf>
    <xf numFmtId="10" fontId="0" fillId="3" borderId="2" xfId="0" applyNumberFormat="1" applyFill="1" applyBorder="1"/>
    <xf numFmtId="0" fontId="10" fillId="0" borderId="2" xfId="0" applyFont="1" applyBorder="1" applyAlignment="1">
      <alignment horizontal="left" vertical="center"/>
    </xf>
    <xf numFmtId="2" fontId="0" fillId="5" borderId="1" xfId="0" applyNumberFormat="1" applyFill="1" applyBorder="1"/>
    <xf numFmtId="0" fontId="0" fillId="0" borderId="1" xfId="0" applyBorder="1" applyAlignment="1">
      <alignment horizontal="left" vertical="center"/>
    </xf>
    <xf numFmtId="0" fontId="10" fillId="0" borderId="1" xfId="0" applyFont="1" applyBorder="1" applyAlignment="1">
      <alignment horizontal="left"/>
    </xf>
    <xf numFmtId="172" fontId="0" fillId="0" borderId="0" xfId="0" applyNumberFormat="1" applyAlignment="1">
      <alignment horizontal="center"/>
    </xf>
    <xf numFmtId="0" fontId="0" fillId="0" borderId="3" xfId="0" applyBorder="1" applyAlignment="1">
      <alignment horizontal="left"/>
    </xf>
    <xf numFmtId="167" fontId="15" fillId="3" borderId="1" xfId="0" applyNumberFormat="1" applyFont="1" applyFill="1" applyBorder="1" applyAlignment="1">
      <alignment horizontal="center" vertical="center"/>
    </xf>
    <xf numFmtId="167" fontId="14" fillId="3" borderId="1" xfId="0" applyNumberFormat="1" applyFont="1" applyFill="1" applyBorder="1" applyAlignment="1">
      <alignment horizontal="center" vertical="center"/>
    </xf>
    <xf numFmtId="0" fontId="17" fillId="0" borderId="0" xfId="0" applyFont="1"/>
    <xf numFmtId="0" fontId="18" fillId="0" borderId="0" xfId="0" applyFont="1" applyAlignment="1">
      <alignment vertical="top" wrapText="1"/>
    </xf>
    <xf numFmtId="0" fontId="14" fillId="3" borderId="0" xfId="0" applyFont="1" applyFill="1"/>
    <xf numFmtId="0" fontId="14" fillId="5" borderId="1" xfId="0" applyFont="1" applyFill="1" applyBorder="1" applyAlignment="1">
      <alignment horizontal="center" vertical="center" wrapText="1"/>
    </xf>
    <xf numFmtId="167" fontId="15" fillId="5" borderId="1" xfId="0" applyNumberFormat="1" applyFont="1" applyFill="1" applyBorder="1" applyAlignment="1">
      <alignment horizontal="center" vertical="center"/>
    </xf>
    <xf numFmtId="2" fontId="15" fillId="5" borderId="1" xfId="0" applyNumberFormat="1" applyFont="1" applyFill="1" applyBorder="1" applyAlignment="1">
      <alignment horizontal="center" vertical="center"/>
    </xf>
    <xf numFmtId="1" fontId="15" fillId="5" borderId="1" xfId="0" applyNumberFormat="1" applyFont="1" applyFill="1" applyBorder="1" applyAlignment="1">
      <alignment horizontal="center" vertical="center"/>
    </xf>
    <xf numFmtId="0" fontId="15" fillId="6" borderId="0" xfId="0" applyFont="1" applyFill="1"/>
    <xf numFmtId="0" fontId="30" fillId="3" borderId="0" xfId="0" applyFont="1" applyFill="1"/>
    <xf numFmtId="0" fontId="31" fillId="3" borderId="0" xfId="0" applyFont="1" applyFill="1"/>
    <xf numFmtId="0" fontId="15" fillId="3" borderId="0" xfId="0" applyFont="1" applyFill="1" applyAlignment="1">
      <alignment horizontal="center"/>
    </xf>
    <xf numFmtId="0" fontId="14" fillId="3" borderId="1" xfId="0" applyFont="1" applyFill="1" applyBorder="1" applyAlignment="1">
      <alignment horizontal="center"/>
    </xf>
    <xf numFmtId="0" fontId="15" fillId="3" borderId="1" xfId="0" applyFont="1" applyFill="1" applyBorder="1" applyAlignment="1">
      <alignment horizontal="center"/>
    </xf>
    <xf numFmtId="0" fontId="15" fillId="3" borderId="3" xfId="0" applyFont="1" applyFill="1" applyBorder="1" applyAlignment="1">
      <alignment horizontal="center"/>
    </xf>
    <xf numFmtId="165" fontId="15" fillId="3" borderId="0" xfId="10" applyFont="1" applyFill="1"/>
    <xf numFmtId="43" fontId="15" fillId="3" borderId="0" xfId="0" applyNumberFormat="1" applyFont="1" applyFill="1"/>
    <xf numFmtId="0" fontId="15" fillId="9" borderId="0" xfId="0" applyFont="1" applyFill="1"/>
    <xf numFmtId="0" fontId="14" fillId="9" borderId="0" xfId="0" applyFont="1" applyFill="1"/>
    <xf numFmtId="172" fontId="15" fillId="9" borderId="0" xfId="0" applyNumberFormat="1" applyFont="1" applyFill="1"/>
    <xf numFmtId="3" fontId="0" fillId="5" borderId="1" xfId="0" applyNumberFormat="1" applyFill="1" applyBorder="1" applyAlignment="1">
      <alignment horizontal="center"/>
    </xf>
    <xf numFmtId="3" fontId="0" fillId="5" borderId="4" xfId="0" applyNumberFormat="1" applyFill="1" applyBorder="1" applyAlignment="1">
      <alignment horizontal="center"/>
    </xf>
    <xf numFmtId="3" fontId="0" fillId="5" borderId="3" xfId="0" applyNumberFormat="1" applyFill="1" applyBorder="1" applyAlignment="1">
      <alignment horizontal="center"/>
    </xf>
    <xf numFmtId="3" fontId="0" fillId="5" borderId="10" xfId="0" applyNumberFormat="1" applyFill="1" applyBorder="1" applyAlignment="1">
      <alignment horizontal="center"/>
    </xf>
    <xf numFmtId="177" fontId="0" fillId="0" borderId="0" xfId="0" applyNumberFormat="1"/>
    <xf numFmtId="180" fontId="0" fillId="0" borderId="0" xfId="0" applyNumberFormat="1"/>
    <xf numFmtId="181" fontId="0" fillId="0" borderId="0" xfId="0" applyNumberFormat="1"/>
    <xf numFmtId="167" fontId="1" fillId="5" borderId="4" xfId="0" applyNumberFormat="1" applyFont="1" applyFill="1" applyBorder="1"/>
    <xf numFmtId="167" fontId="11" fillId="5" borderId="4" xfId="0" applyNumberFormat="1" applyFont="1" applyFill="1" applyBorder="1"/>
    <xf numFmtId="167" fontId="11" fillId="5" borderId="10" xfId="0" applyNumberFormat="1" applyFont="1" applyFill="1" applyBorder="1"/>
    <xf numFmtId="0" fontId="11" fillId="3" borderId="3" xfId="0" applyFont="1" applyFill="1" applyBorder="1" applyAlignment="1">
      <alignment horizontal="center"/>
    </xf>
    <xf numFmtId="0" fontId="32" fillId="0" borderId="0" xfId="0" applyFont="1"/>
    <xf numFmtId="183" fontId="0" fillId="0" borderId="0" xfId="0" applyNumberFormat="1" applyAlignment="1">
      <alignment horizontal="center"/>
    </xf>
    <xf numFmtId="182" fontId="0" fillId="5" borderId="4" xfId="0" applyNumberFormat="1" applyFill="1" applyBorder="1" applyAlignment="1">
      <alignment horizontal="center"/>
    </xf>
    <xf numFmtId="172" fontId="0" fillId="5" borderId="1" xfId="0" applyNumberFormat="1" applyFill="1" applyBorder="1" applyAlignment="1">
      <alignment horizontal="center"/>
    </xf>
    <xf numFmtId="9" fontId="0" fillId="0" borderId="1" xfId="0" applyNumberFormat="1" applyBorder="1"/>
    <xf numFmtId="172" fontId="0" fillId="0" borderId="1" xfId="0" applyNumberFormat="1" applyBorder="1" applyAlignment="1">
      <alignment horizontal="right"/>
    </xf>
    <xf numFmtId="1" fontId="10" fillId="5" borderId="4" xfId="0" applyNumberFormat="1" applyFont="1" applyFill="1" applyBorder="1" applyAlignment="1">
      <alignment horizontal="center"/>
    </xf>
    <xf numFmtId="167" fontId="10" fillId="0" borderId="0" xfId="0" applyNumberFormat="1" applyFont="1"/>
    <xf numFmtId="10" fontId="10" fillId="3" borderId="3" xfId="0" applyNumberFormat="1" applyFont="1" applyFill="1" applyBorder="1"/>
    <xf numFmtId="8" fontId="10" fillId="5" borderId="1" xfId="0" applyNumberFormat="1" applyFont="1" applyFill="1" applyBorder="1" applyAlignment="1">
      <alignment horizontal="center"/>
    </xf>
    <xf numFmtId="8" fontId="0" fillId="5" borderId="1" xfId="0" applyNumberFormat="1" applyFill="1" applyBorder="1" applyAlignment="1">
      <alignment horizontal="center"/>
    </xf>
    <xf numFmtId="8" fontId="0" fillId="5" borderId="3" xfId="0" applyNumberFormat="1" applyFill="1" applyBorder="1" applyAlignment="1">
      <alignment horizontal="center"/>
    </xf>
    <xf numFmtId="167" fontId="14" fillId="5" borderId="1" xfId="0" applyNumberFormat="1" applyFont="1" applyFill="1" applyBorder="1" applyAlignment="1">
      <alignment horizontal="center" vertical="center"/>
    </xf>
    <xf numFmtId="0" fontId="10" fillId="0" borderId="5" xfId="0" applyFont="1" applyBorder="1"/>
    <xf numFmtId="167" fontId="10" fillId="3" borderId="1" xfId="0" applyNumberFormat="1" applyFont="1" applyFill="1" applyBorder="1"/>
    <xf numFmtId="0" fontId="0" fillId="5" borderId="5" xfId="0" applyFill="1" applyBorder="1" applyAlignment="1">
      <alignment horizontal="left"/>
    </xf>
    <xf numFmtId="0" fontId="0" fillId="5" borderId="1" xfId="0" quotePrefix="1" applyFill="1" applyBorder="1" applyAlignment="1">
      <alignment horizontal="center"/>
    </xf>
    <xf numFmtId="172" fontId="0" fillId="5" borderId="1" xfId="0" quotePrefix="1" applyNumberFormat="1" applyFill="1" applyBorder="1" applyAlignment="1">
      <alignment horizontal="right"/>
    </xf>
    <xf numFmtId="0" fontId="0" fillId="0" borderId="7" xfId="0" applyBorder="1"/>
    <xf numFmtId="167" fontId="0" fillId="0" borderId="3" xfId="0" applyNumberFormat="1" applyBorder="1"/>
    <xf numFmtId="0" fontId="17" fillId="0" borderId="1" xfId="0" applyFont="1" applyBorder="1" applyAlignment="1">
      <alignment horizontal="center"/>
    </xf>
    <xf numFmtId="0" fontId="0" fillId="3" borderId="3" xfId="0" applyFill="1" applyBorder="1" applyAlignment="1">
      <alignment horizontal="center"/>
    </xf>
    <xf numFmtId="0" fontId="0" fillId="3" borderId="5" xfId="0" applyFill="1" applyBorder="1"/>
    <xf numFmtId="0" fontId="0" fillId="9" borderId="0" xfId="0" applyFill="1"/>
    <xf numFmtId="0" fontId="0" fillId="0" borderId="0" xfId="0" applyAlignment="1">
      <alignment vertical="top" wrapText="1"/>
    </xf>
    <xf numFmtId="10" fontId="0" fillId="0" borderId="5" xfId="0" applyNumberFormat="1" applyBorder="1" applyAlignment="1">
      <alignment horizontal="center"/>
    </xf>
    <xf numFmtId="10" fontId="10" fillId="3" borderId="3" xfId="0" applyNumberFormat="1" applyFont="1" applyFill="1" applyBorder="1" applyAlignment="1">
      <alignment horizontal="right"/>
    </xf>
    <xf numFmtId="1" fontId="10" fillId="3" borderId="1" xfId="0" applyNumberFormat="1" applyFont="1" applyFill="1" applyBorder="1" applyAlignment="1">
      <alignment horizontal="right"/>
    </xf>
    <xf numFmtId="0" fontId="11" fillId="0" borderId="0" xfId="0" applyFont="1"/>
    <xf numFmtId="0" fontId="11" fillId="0" borderId="1" xfId="0" applyFont="1" applyBorder="1" applyAlignment="1">
      <alignment horizontal="center"/>
    </xf>
    <xf numFmtId="10" fontId="10" fillId="5" borderId="3" xfId="0" applyNumberFormat="1" applyFont="1" applyFill="1" applyBorder="1"/>
    <xf numFmtId="167" fontId="0" fillId="3" borderId="0" xfId="0" applyNumberFormat="1" applyFill="1"/>
    <xf numFmtId="0" fontId="33" fillId="3" borderId="0" xfId="0" applyFont="1" applyFill="1"/>
    <xf numFmtId="1" fontId="15" fillId="3" borderId="1" xfId="0" applyNumberFormat="1" applyFont="1" applyFill="1" applyBorder="1" applyAlignment="1">
      <alignment horizontal="center" vertical="center"/>
    </xf>
    <xf numFmtId="0" fontId="10" fillId="3" borderId="9" xfId="0" applyFont="1" applyFill="1" applyBorder="1" applyAlignment="1">
      <alignment horizontal="left"/>
    </xf>
    <xf numFmtId="8" fontId="10" fillId="3" borderId="1" xfId="0" applyNumberFormat="1" applyFont="1" applyFill="1" applyBorder="1" applyAlignment="1">
      <alignment horizontal="right"/>
    </xf>
    <xf numFmtId="172" fontId="0" fillId="3" borderId="2" xfId="0" applyNumberFormat="1" applyFill="1" applyBorder="1" applyAlignment="1">
      <alignment horizontal="right"/>
    </xf>
    <xf numFmtId="172" fontId="0" fillId="3" borderId="0" xfId="0" applyNumberFormat="1" applyFill="1" applyAlignment="1">
      <alignment horizontal="right"/>
    </xf>
    <xf numFmtId="172" fontId="0" fillId="0" borderId="3" xfId="0" applyNumberFormat="1" applyBorder="1" applyAlignment="1">
      <alignment horizontal="center"/>
    </xf>
    <xf numFmtId="172" fontId="0" fillId="0" borderId="3" xfId="0" applyNumberFormat="1" applyBorder="1"/>
    <xf numFmtId="0" fontId="11" fillId="0" borderId="0" xfId="0" applyFont="1" applyAlignment="1">
      <alignment horizontal="left"/>
    </xf>
    <xf numFmtId="0" fontId="0" fillId="0" borderId="8" xfId="0" applyBorder="1"/>
    <xf numFmtId="0" fontId="11" fillId="0" borderId="3" xfId="0" applyFont="1" applyBorder="1" applyAlignment="1">
      <alignment horizontal="center"/>
    </xf>
    <xf numFmtId="176" fontId="0" fillId="3" borderId="1" xfId="0" applyNumberFormat="1" applyFill="1" applyBorder="1" applyAlignment="1">
      <alignment horizontal="right"/>
    </xf>
    <xf numFmtId="176" fontId="0" fillId="5" borderId="1" xfId="0" applyNumberFormat="1" applyFill="1" applyBorder="1" applyAlignment="1">
      <alignment horizontal="center"/>
    </xf>
    <xf numFmtId="184" fontId="0" fillId="0" borderId="1" xfId="0" applyNumberFormat="1" applyBorder="1"/>
    <xf numFmtId="184" fontId="0" fillId="5" borderId="1" xfId="0" applyNumberFormat="1" applyFill="1" applyBorder="1"/>
    <xf numFmtId="184" fontId="0" fillId="5" borderId="4" xfId="0" applyNumberFormat="1" applyFill="1" applyBorder="1"/>
    <xf numFmtId="0" fontId="0" fillId="5" borderId="5" xfId="0" applyFill="1" applyBorder="1" applyAlignment="1">
      <alignment horizontal="center"/>
    </xf>
    <xf numFmtId="172" fontId="0" fillId="5" borderId="10" xfId="0" applyNumberFormat="1" applyFill="1" applyBorder="1"/>
    <xf numFmtId="183" fontId="0" fillId="5" borderId="4" xfId="0" applyNumberFormat="1" applyFill="1" applyBorder="1" applyAlignment="1">
      <alignment horizontal="right"/>
    </xf>
    <xf numFmtId="183" fontId="10" fillId="5" borderId="1" xfId="0" applyNumberFormat="1" applyFont="1" applyFill="1" applyBorder="1" applyAlignment="1">
      <alignment horizontal="right"/>
    </xf>
    <xf numFmtId="0" fontId="0" fillId="0" borderId="1" xfId="0" applyBorder="1" applyAlignment="1">
      <alignment vertical="center"/>
    </xf>
    <xf numFmtId="0" fontId="0" fillId="0" borderId="3" xfId="0" applyBorder="1" applyAlignment="1">
      <alignment vertical="center"/>
    </xf>
    <xf numFmtId="8" fontId="0" fillId="5" borderId="3" xfId="0" applyNumberFormat="1" applyFill="1" applyBorder="1"/>
    <xf numFmtId="0" fontId="0" fillId="0" borderId="5" xfId="0" applyBorder="1" applyAlignment="1">
      <alignment horizontal="center"/>
    </xf>
    <xf numFmtId="14" fontId="0" fillId="0" borderId="1" xfId="0" applyNumberFormat="1" applyBorder="1"/>
    <xf numFmtId="0" fontId="0" fillId="3" borderId="3" xfId="0" applyFill="1" applyBorder="1" applyAlignment="1">
      <alignment vertical="center"/>
    </xf>
    <xf numFmtId="0" fontId="10" fillId="0" borderId="10" xfId="0" applyFont="1" applyBorder="1" applyAlignment="1">
      <alignment horizontal="center"/>
    </xf>
    <xf numFmtId="184" fontId="0" fillId="0" borderId="3" xfId="0" applyNumberFormat="1" applyBorder="1"/>
    <xf numFmtId="0" fontId="1" fillId="0" borderId="1" xfId="0" applyFont="1" applyBorder="1"/>
    <xf numFmtId="0" fontId="10" fillId="3" borderId="5" xfId="0" applyFont="1" applyFill="1" applyBorder="1" applyAlignment="1">
      <alignment horizontal="center"/>
    </xf>
    <xf numFmtId="172" fontId="0" fillId="5" borderId="3" xfId="0" applyNumberFormat="1" applyFill="1" applyBorder="1" applyAlignment="1">
      <alignment horizontal="right"/>
    </xf>
    <xf numFmtId="182" fontId="0" fillId="0" borderId="1" xfId="0" applyNumberFormat="1" applyBorder="1" applyAlignment="1">
      <alignment horizontal="center"/>
    </xf>
    <xf numFmtId="172" fontId="0" fillId="5" borderId="7" xfId="0" applyNumberFormat="1" applyFill="1" applyBorder="1" applyAlignment="1">
      <alignment horizontal="right"/>
    </xf>
    <xf numFmtId="172" fontId="0" fillId="3" borderId="7" xfId="0" applyNumberFormat="1" applyFill="1" applyBorder="1" applyAlignment="1">
      <alignment horizontal="right"/>
    </xf>
    <xf numFmtId="172" fontId="0" fillId="5" borderId="2" xfId="0" applyNumberFormat="1" applyFill="1" applyBorder="1" applyAlignment="1">
      <alignment horizontal="right"/>
    </xf>
    <xf numFmtId="10" fontId="0" fillId="0" borderId="1" xfId="0" applyNumberFormat="1" applyBorder="1" applyAlignment="1">
      <alignment horizontal="right"/>
    </xf>
    <xf numFmtId="10" fontId="0" fillId="3" borderId="1" xfId="0" applyNumberFormat="1" applyFill="1" applyBorder="1" applyAlignment="1">
      <alignment horizontal="right"/>
    </xf>
    <xf numFmtId="10" fontId="0" fillId="3" borderId="7" xfId="0" applyNumberFormat="1" applyFill="1" applyBorder="1" applyAlignment="1">
      <alignment horizontal="right"/>
    </xf>
    <xf numFmtId="1" fontId="10" fillId="3" borderId="3" xfId="0" applyNumberFormat="1" applyFont="1" applyFill="1" applyBorder="1" applyAlignment="1">
      <alignment horizontal="right"/>
    </xf>
    <xf numFmtId="10" fontId="0" fillId="3" borderId="2" xfId="0" applyNumberFormat="1" applyFill="1" applyBorder="1" applyAlignment="1">
      <alignment horizontal="right"/>
    </xf>
    <xf numFmtId="0" fontId="10" fillId="0" borderId="2" xfId="0" applyFont="1" applyBorder="1"/>
    <xf numFmtId="172" fontId="10" fillId="5" borderId="2" xfId="0" applyNumberFormat="1" applyFont="1" applyFill="1" applyBorder="1" applyAlignment="1">
      <alignment horizontal="right"/>
    </xf>
    <xf numFmtId="0" fontId="0" fillId="3" borderId="1" xfId="0" applyFill="1" applyBorder="1" applyAlignment="1">
      <alignment vertical="center"/>
    </xf>
    <xf numFmtId="0" fontId="10" fillId="0" borderId="9" xfId="0" applyFont="1" applyBorder="1" applyAlignment="1">
      <alignment horizontal="center"/>
    </xf>
    <xf numFmtId="184" fontId="0" fillId="0" borderId="2" xfId="0" applyNumberFormat="1" applyBorder="1"/>
    <xf numFmtId="0" fontId="0" fillId="0" borderId="21" xfId="0" applyBorder="1"/>
    <xf numFmtId="167" fontId="10" fillId="5" borderId="7" xfId="0" applyNumberFormat="1" applyFont="1" applyFill="1" applyBorder="1"/>
    <xf numFmtId="170" fontId="0" fillId="5" borderId="2" xfId="0" applyNumberFormat="1" applyFill="1" applyBorder="1" applyAlignment="1">
      <alignment horizontal="left"/>
    </xf>
    <xf numFmtId="170" fontId="0" fillId="5" borderId="1" xfId="0" applyNumberFormat="1" applyFill="1" applyBorder="1" applyAlignment="1">
      <alignment horizontal="left"/>
    </xf>
    <xf numFmtId="170" fontId="0" fillId="3" borderId="1" xfId="0" applyNumberFormat="1" applyFill="1" applyBorder="1" applyAlignment="1">
      <alignment horizontal="left"/>
    </xf>
    <xf numFmtId="1" fontId="0" fillId="5" borderId="3" xfId="0" applyNumberFormat="1" applyFill="1" applyBorder="1"/>
    <xf numFmtId="10" fontId="0" fillId="3" borderId="0" xfId="0" applyNumberFormat="1" applyFill="1" applyAlignment="1">
      <alignment horizontal="right"/>
    </xf>
    <xf numFmtId="17" fontId="10" fillId="0" borderId="1" xfId="0" applyNumberFormat="1" applyFont="1" applyBorder="1" applyAlignment="1">
      <alignment horizontal="center"/>
    </xf>
    <xf numFmtId="172" fontId="0" fillId="0" borderId="4" xfId="0" applyNumberFormat="1" applyBorder="1"/>
    <xf numFmtId="17" fontId="10" fillId="0" borderId="3" xfId="0" applyNumberFormat="1" applyFont="1" applyBorder="1" applyAlignment="1">
      <alignment horizontal="center"/>
    </xf>
    <xf numFmtId="172" fontId="0" fillId="3" borderId="1" xfId="0" applyNumberFormat="1" applyFill="1" applyBorder="1"/>
    <xf numFmtId="172" fontId="1" fillId="3" borderId="1" xfId="0" applyNumberFormat="1" applyFont="1" applyFill="1" applyBorder="1"/>
    <xf numFmtId="0" fontId="0" fillId="0" borderId="20" xfId="0" applyBorder="1"/>
    <xf numFmtId="0" fontId="0" fillId="6" borderId="0" xfId="0" applyFill="1"/>
    <xf numFmtId="0" fontId="14" fillId="6" borderId="0" xfId="0" applyFont="1" applyFill="1"/>
    <xf numFmtId="3" fontId="0" fillId="3" borderId="21" xfId="0" applyNumberFormat="1" applyFill="1" applyBorder="1" applyAlignment="1">
      <alignment horizontal="right"/>
    </xf>
    <xf numFmtId="167" fontId="0" fillId="5" borderId="7" xfId="0" applyNumberFormat="1" applyFill="1" applyBorder="1"/>
    <xf numFmtId="0" fontId="10" fillId="0" borderId="1" xfId="0" applyFont="1" applyBorder="1" applyAlignment="1">
      <alignment horizontal="right"/>
    </xf>
    <xf numFmtId="164" fontId="10" fillId="3" borderId="3" xfId="0" applyNumberFormat="1" applyFont="1" applyFill="1" applyBorder="1"/>
    <xf numFmtId="14" fontId="0" fillId="0" borderId="1" xfId="0" applyNumberFormat="1" applyBorder="1" applyAlignment="1">
      <alignment horizontal="center"/>
    </xf>
    <xf numFmtId="176" fontId="0" fillId="0" borderId="3" xfId="0" applyNumberFormat="1" applyBorder="1"/>
    <xf numFmtId="0" fontId="34" fillId="3" borderId="0" xfId="0" applyFont="1" applyFill="1"/>
    <xf numFmtId="167" fontId="14" fillId="9" borderId="0" xfId="0" applyNumberFormat="1" applyFont="1" applyFill="1"/>
    <xf numFmtId="164" fontId="10" fillId="5" borderId="3" xfId="0" applyNumberFormat="1" applyFont="1" applyFill="1" applyBorder="1"/>
    <xf numFmtId="173" fontId="0" fillId="0" borderId="0" xfId="0" applyNumberFormat="1"/>
    <xf numFmtId="44" fontId="0" fillId="5" borderId="20" xfId="9" applyFont="1" applyFill="1" applyBorder="1"/>
    <xf numFmtId="17" fontId="10" fillId="5" borderId="20" xfId="0" applyNumberFormat="1" applyFont="1" applyFill="1" applyBorder="1" applyAlignment="1">
      <alignment horizontal="center"/>
    </xf>
    <xf numFmtId="0" fontId="10" fillId="6" borderId="0" xfId="0" applyFont="1" applyFill="1"/>
    <xf numFmtId="0" fontId="10" fillId="0" borderId="7" xfId="0" applyFont="1" applyBorder="1" applyAlignment="1">
      <alignment horizontal="center"/>
    </xf>
    <xf numFmtId="14" fontId="0" fillId="0" borderId="2" xfId="0" applyNumberFormat="1" applyBorder="1" applyAlignment="1">
      <alignment horizontal="center"/>
    </xf>
    <xf numFmtId="182" fontId="0" fillId="0" borderId="0" xfId="0" applyNumberFormat="1"/>
    <xf numFmtId="0" fontId="0" fillId="5" borderId="20" xfId="0" applyFill="1" applyBorder="1"/>
    <xf numFmtId="172" fontId="11" fillId="5" borderId="2" xfId="0" applyNumberFormat="1" applyFont="1" applyFill="1" applyBorder="1" applyAlignment="1">
      <alignment horizontal="right"/>
    </xf>
    <xf numFmtId="172" fontId="10" fillId="5" borderId="7" xfId="0" applyNumberFormat="1" applyFont="1" applyFill="1" applyBorder="1" applyAlignment="1">
      <alignment horizontal="right"/>
    </xf>
    <xf numFmtId="172" fontId="0" fillId="5" borderId="20" xfId="9" applyNumberFormat="1" applyFont="1" applyFill="1" applyBorder="1"/>
    <xf numFmtId="44" fontId="0" fillId="0" borderId="0" xfId="0" applyNumberFormat="1"/>
    <xf numFmtId="0" fontId="0" fillId="0" borderId="8" xfId="0" applyBorder="1" applyAlignment="1">
      <alignment horizontal="center"/>
    </xf>
    <xf numFmtId="0" fontId="10" fillId="0" borderId="21" xfId="0" applyFont="1" applyBorder="1" applyAlignment="1">
      <alignment horizontal="center" vertical="center"/>
    </xf>
    <xf numFmtId="0" fontId="10" fillId="0" borderId="2" xfId="0" applyFont="1" applyBorder="1" applyAlignment="1">
      <alignment horizontal="center"/>
    </xf>
    <xf numFmtId="0" fontId="0" fillId="5" borderId="2" xfId="0" applyFill="1" applyBorder="1" applyAlignment="1">
      <alignment horizontal="center"/>
    </xf>
    <xf numFmtId="0" fontId="10" fillId="3" borderId="6" xfId="0" applyFont="1" applyFill="1" applyBorder="1"/>
    <xf numFmtId="0" fontId="15" fillId="10" borderId="0" xfId="0" applyFont="1" applyFill="1"/>
    <xf numFmtId="0" fontId="10" fillId="0" borderId="4" xfId="0" applyFont="1" applyBorder="1" applyAlignment="1">
      <alignment horizontal="center" vertical="center" wrapText="1"/>
    </xf>
    <xf numFmtId="167" fontId="0" fillId="3" borderId="1" xfId="0" applyNumberFormat="1" applyFill="1" applyBorder="1" applyAlignment="1">
      <alignment horizontal="center" vertical="center"/>
    </xf>
    <xf numFmtId="0" fontId="35" fillId="3" borderId="0" xfId="0" applyFont="1" applyFill="1"/>
    <xf numFmtId="167" fontId="0" fillId="5" borderId="1" xfId="0" applyNumberFormat="1" applyFill="1" applyBorder="1" applyAlignment="1">
      <alignment horizontal="center" vertical="center"/>
    </xf>
    <xf numFmtId="1" fontId="14" fillId="5" borderId="1" xfId="0" applyNumberFormat="1" applyFont="1" applyFill="1" applyBorder="1" applyAlignment="1">
      <alignment horizontal="center"/>
    </xf>
    <xf numFmtId="167" fontId="0" fillId="3" borderId="4" xfId="0" applyNumberFormat="1" applyFill="1" applyBorder="1" applyAlignment="1">
      <alignment horizontal="center" vertical="center"/>
    </xf>
    <xf numFmtId="167" fontId="0" fillId="5" borderId="3" xfId="0" applyNumberFormat="1" applyFill="1" applyBorder="1" applyAlignment="1">
      <alignment horizontal="center" vertical="center"/>
    </xf>
    <xf numFmtId="172" fontId="15" fillId="5" borderId="1" xfId="0" applyNumberFormat="1" applyFont="1" applyFill="1" applyBorder="1" applyAlignment="1">
      <alignment horizontal="center"/>
    </xf>
    <xf numFmtId="14" fontId="0" fillId="5" borderId="1" xfId="0" applyNumberFormat="1" applyFill="1" applyBorder="1"/>
    <xf numFmtId="182" fontId="0" fillId="0" borderId="2" xfId="0" applyNumberFormat="1" applyBorder="1" applyAlignment="1">
      <alignment horizontal="center"/>
    </xf>
    <xf numFmtId="185" fontId="0" fillId="0" borderId="0" xfId="0" applyNumberFormat="1"/>
    <xf numFmtId="0" fontId="14" fillId="3" borderId="1" xfId="0" applyFont="1" applyFill="1" applyBorder="1" applyAlignment="1">
      <alignment horizontal="center" vertical="center" wrapText="1"/>
    </xf>
    <xf numFmtId="172" fontId="0" fillId="0" borderId="0" xfId="0" applyNumberFormat="1" applyAlignment="1">
      <alignment horizontal="right"/>
    </xf>
    <xf numFmtId="1" fontId="0" fillId="5" borderId="4" xfId="0" applyNumberFormat="1" applyFill="1" applyBorder="1" applyAlignment="1">
      <alignment horizontal="center"/>
    </xf>
    <xf numFmtId="1" fontId="10" fillId="5" borderId="3" xfId="0" applyNumberFormat="1" applyFont="1" applyFill="1" applyBorder="1" applyAlignment="1">
      <alignment horizontal="center"/>
    </xf>
    <xf numFmtId="10" fontId="0" fillId="5" borderId="9" xfId="0" applyNumberFormat="1" applyFill="1" applyBorder="1" applyAlignment="1">
      <alignment horizontal="center"/>
    </xf>
    <xf numFmtId="186" fontId="0" fillId="0" borderId="0" xfId="0" applyNumberFormat="1"/>
    <xf numFmtId="0" fontId="17" fillId="0" borderId="0" xfId="0" applyFont="1" applyAlignment="1">
      <alignment horizontal="center"/>
    </xf>
    <xf numFmtId="0" fontId="0" fillId="3" borderId="0" xfId="0" applyFill="1" applyAlignment="1">
      <alignment vertical="center" wrapText="1"/>
    </xf>
    <xf numFmtId="0" fontId="0" fillId="0" borderId="0" xfId="0" applyAlignment="1">
      <alignment vertical="center" wrapText="1"/>
    </xf>
    <xf numFmtId="0" fontId="4" fillId="0" borderId="12" xfId="5" applyFont="1" applyBorder="1" applyAlignment="1">
      <alignment horizontal="justify" vertical="center" wrapText="1"/>
    </xf>
    <xf numFmtId="0" fontId="4" fillId="0" borderId="13" xfId="5" applyFont="1" applyBorder="1" applyAlignment="1">
      <alignment horizontal="justify" vertical="center" wrapText="1"/>
    </xf>
    <xf numFmtId="0" fontId="4" fillId="0" borderId="14" xfId="5" applyFont="1" applyBorder="1" applyAlignment="1">
      <alignment horizontal="justify" vertical="center" wrapText="1"/>
    </xf>
    <xf numFmtId="0" fontId="4" fillId="0" borderId="15" xfId="5" applyFont="1" applyBorder="1" applyAlignment="1">
      <alignment horizontal="justify" vertical="center" wrapText="1"/>
    </xf>
    <xf numFmtId="0" fontId="4" fillId="0" borderId="0" xfId="5" applyFont="1" applyAlignment="1">
      <alignment horizontal="justify" vertical="center" wrapText="1"/>
    </xf>
    <xf numFmtId="0" fontId="4" fillId="0" borderId="16" xfId="5" applyFont="1" applyBorder="1" applyAlignment="1">
      <alignment horizontal="justify" vertical="center" wrapText="1"/>
    </xf>
    <xf numFmtId="0" fontId="7" fillId="0" borderId="15" xfId="5" applyFont="1" applyBorder="1" applyAlignment="1">
      <alignment horizontal="center" vertical="center"/>
    </xf>
    <xf numFmtId="0" fontId="7" fillId="0" borderId="0" xfId="5" applyFont="1" applyAlignment="1">
      <alignment horizontal="center" vertical="center"/>
    </xf>
    <xf numFmtId="0" fontId="7" fillId="0" borderId="16" xfId="5" applyFont="1" applyBorder="1" applyAlignment="1">
      <alignment horizontal="center" vertical="center"/>
    </xf>
    <xf numFmtId="0" fontId="5" fillId="0" borderId="15" xfId="5" applyFont="1" applyBorder="1" applyAlignment="1">
      <alignment horizontal="center" vertical="center" wrapText="1"/>
    </xf>
    <xf numFmtId="0" fontId="5" fillId="0" borderId="0" xfId="5" applyFont="1" applyAlignment="1">
      <alignment horizontal="center" vertical="center" wrapText="1"/>
    </xf>
    <xf numFmtId="0" fontId="5" fillId="0" borderId="16" xfId="5" applyFont="1" applyBorder="1" applyAlignment="1">
      <alignment horizontal="center" vertical="center" wrapText="1"/>
    </xf>
    <xf numFmtId="0" fontId="8" fillId="0" borderId="15" xfId="5" applyFont="1" applyBorder="1" applyAlignment="1">
      <alignment horizontal="center" vertical="center"/>
    </xf>
    <xf numFmtId="0" fontId="8" fillId="0" borderId="0" xfId="5" applyFont="1" applyAlignment="1">
      <alignment horizontal="center" vertical="center"/>
    </xf>
    <xf numFmtId="0" fontId="8" fillId="0" borderId="16" xfId="5" applyFont="1" applyBorder="1" applyAlignment="1">
      <alignment horizontal="center" vertical="center"/>
    </xf>
    <xf numFmtId="0" fontId="19" fillId="0" borderId="0" xfId="5" applyFont="1" applyAlignment="1">
      <alignment horizontal="left" vertical="center" wrapText="1"/>
    </xf>
    <xf numFmtId="0" fontId="9" fillId="0" borderId="0" xfId="5" applyFont="1" applyAlignment="1">
      <alignment horizontal="left" vertical="center" wrapText="1"/>
    </xf>
    <xf numFmtId="0" fontId="22" fillId="0" borderId="15" xfId="5" applyFont="1" applyBorder="1" applyAlignment="1">
      <alignment horizontal="justify" vertical="center" wrapText="1"/>
    </xf>
    <xf numFmtId="0" fontId="22" fillId="0" borderId="0" xfId="5" applyFont="1" applyAlignment="1">
      <alignment horizontal="justify" vertical="center" wrapText="1"/>
    </xf>
    <xf numFmtId="0" fontId="22" fillId="0" borderId="16" xfId="5" applyFont="1" applyBorder="1" applyAlignment="1">
      <alignment horizontal="justify" vertical="center" wrapText="1"/>
    </xf>
    <xf numFmtId="0" fontId="23" fillId="0" borderId="15" xfId="5" applyFont="1" applyBorder="1" applyAlignment="1">
      <alignment horizontal="justify" vertical="center" wrapText="1"/>
    </xf>
    <xf numFmtId="0" fontId="23" fillId="0" borderId="0" xfId="5" applyFont="1" applyAlignment="1">
      <alignment horizontal="justify" vertical="center" wrapText="1"/>
    </xf>
    <xf numFmtId="0" fontId="23" fillId="0" borderId="16" xfId="5" applyFont="1" applyBorder="1" applyAlignment="1">
      <alignment horizontal="justify" vertical="center" wrapText="1"/>
    </xf>
    <xf numFmtId="0" fontId="23" fillId="0" borderId="17" xfId="5" applyFont="1" applyBorder="1" applyAlignment="1">
      <alignment horizontal="justify" vertical="center" wrapText="1"/>
    </xf>
    <xf numFmtId="0" fontId="23" fillId="0" borderId="18" xfId="5" applyFont="1" applyBorder="1" applyAlignment="1">
      <alignment horizontal="justify" vertical="center" wrapText="1"/>
    </xf>
    <xf numFmtId="0" fontId="23" fillId="0" borderId="19" xfId="5" applyFont="1" applyBorder="1" applyAlignment="1">
      <alignment horizontal="justify" vertical="center" wrapText="1"/>
    </xf>
    <xf numFmtId="0" fontId="0" fillId="0" borderId="1" xfId="0" applyBorder="1" applyAlignment="1">
      <alignment horizontal="center"/>
    </xf>
    <xf numFmtId="0" fontId="10" fillId="0" borderId="5" xfId="0" applyFont="1" applyBorder="1" applyAlignment="1">
      <alignment horizontal="center" vertical="center"/>
    </xf>
    <xf numFmtId="0" fontId="10" fillId="0" borderId="1" xfId="0" applyFont="1" applyBorder="1" applyAlignment="1">
      <alignment horizontal="center" vertical="center"/>
    </xf>
    <xf numFmtId="0" fontId="15" fillId="5" borderId="4" xfId="0" applyFont="1" applyFill="1" applyBorder="1" applyAlignment="1">
      <alignment horizontal="left"/>
    </xf>
    <xf numFmtId="0" fontId="15" fillId="5" borderId="5" xfId="0" applyFont="1" applyFill="1" applyBorder="1" applyAlignment="1">
      <alignment horizontal="left"/>
    </xf>
    <xf numFmtId="0" fontId="14" fillId="5" borderId="4" xfId="0" applyFont="1" applyFill="1" applyBorder="1" applyAlignment="1">
      <alignment horizontal="center"/>
    </xf>
    <xf numFmtId="0" fontId="14" fillId="5" borderId="5" xfId="0" applyFont="1" applyFill="1" applyBorder="1" applyAlignment="1">
      <alignment horizontal="center"/>
    </xf>
    <xf numFmtId="0" fontId="10" fillId="3" borderId="4" xfId="0" quotePrefix="1" applyFont="1" applyFill="1" applyBorder="1" applyAlignment="1">
      <alignment horizontal="center"/>
    </xf>
    <xf numFmtId="0" fontId="10" fillId="3" borderId="6" xfId="0" applyFont="1" applyFill="1" applyBorder="1" applyAlignment="1">
      <alignment horizontal="center"/>
    </xf>
    <xf numFmtId="0" fontId="10" fillId="3" borderId="4" xfId="0" applyFont="1" applyFill="1" applyBorder="1" applyAlignment="1">
      <alignment horizontal="center"/>
    </xf>
    <xf numFmtId="0" fontId="10" fillId="3" borderId="5" xfId="0" applyFont="1" applyFill="1" applyBorder="1" applyAlignment="1">
      <alignment horizontal="center"/>
    </xf>
    <xf numFmtId="0" fontId="0" fillId="0" borderId="1" xfId="0" applyBorder="1" applyAlignment="1">
      <alignment horizontal="left"/>
    </xf>
    <xf numFmtId="0" fontId="15" fillId="0" borderId="4" xfId="0" applyFont="1" applyBorder="1" applyAlignment="1">
      <alignment horizontal="left"/>
    </xf>
    <xf numFmtId="0" fontId="15" fillId="0" borderId="5" xfId="0" applyFont="1" applyBorder="1" applyAlignment="1">
      <alignment horizontal="left"/>
    </xf>
    <xf numFmtId="0" fontId="14" fillId="0" borderId="4" xfId="0" applyFont="1" applyBorder="1" applyAlignment="1">
      <alignment horizontal="center"/>
    </xf>
    <xf numFmtId="0" fontId="14" fillId="0" borderId="5" xfId="0" applyFont="1" applyBorder="1" applyAlignment="1">
      <alignment horizont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xf>
    <xf numFmtId="0" fontId="10" fillId="0" borderId="5" xfId="0" applyFont="1" applyBorder="1" applyAlignment="1">
      <alignment horizontal="center"/>
    </xf>
    <xf numFmtId="0" fontId="10" fillId="0" borderId="1" xfId="0" applyFont="1" applyBorder="1" applyAlignment="1">
      <alignment horizontal="center"/>
    </xf>
    <xf numFmtId="0" fontId="10" fillId="0" borderId="6" xfId="0" applyFont="1" applyBorder="1" applyAlignment="1">
      <alignment horizontal="center" vertical="center"/>
    </xf>
    <xf numFmtId="0" fontId="10" fillId="3" borderId="1" xfId="0" applyFont="1" applyFill="1" applyBorder="1" applyAlignment="1">
      <alignment horizontal="center"/>
    </xf>
    <xf numFmtId="0" fontId="10" fillId="0" borderId="1" xfId="0" applyFont="1" applyBorder="1" applyAlignment="1">
      <alignment horizontal="left" vertical="center"/>
    </xf>
    <xf numFmtId="167" fontId="10" fillId="0" borderId="1" xfId="0" applyNumberFormat="1" applyFont="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3" borderId="1" xfId="0" applyFill="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applyBorder="1" applyAlignment="1">
      <alignment horizontal="left" vertical="center"/>
    </xf>
    <xf numFmtId="0" fontId="0" fillId="3" borderId="4"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1" fillId="0" borderId="0" xfId="0" applyFont="1" applyAlignment="1">
      <alignment horizontal="left" vertical="top" wrapText="1"/>
    </xf>
    <xf numFmtId="0" fontId="0" fillId="0" borderId="1" xfId="0" applyBorder="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10" fillId="0" borderId="1" xfId="0" applyFont="1" applyBorder="1" applyAlignment="1">
      <alignment horizontal="left"/>
    </xf>
  </cellXfs>
  <cellStyles count="11">
    <cellStyle name="Comma 2" xfId="2" xr:uid="{00000000-0005-0000-0000-000006000000}"/>
    <cellStyle name="Hyperlink" xfId="8" xr:uid="{00000000-000B-0000-0000-000008000000}"/>
    <cellStyle name="Moeda" xfId="9" builtinId="4"/>
    <cellStyle name="Normal" xfId="0" builtinId="0"/>
    <cellStyle name="Normal 3" xfId="3" xr:uid="{00000000-0005-0000-0000-000007000000}"/>
    <cellStyle name="Normal 4 2" xfId="4" xr:uid="{00000000-0005-0000-0000-000008000000}"/>
    <cellStyle name="Normal 49 3" xfId="5" xr:uid="{00000000-0005-0000-0000-000009000000}"/>
    <cellStyle name="Normal 5 2" xfId="6" xr:uid="{00000000-0005-0000-0000-00000A000000}"/>
    <cellStyle name="Percent 3 2" xfId="7" xr:uid="{00000000-0005-0000-0000-00000B000000}"/>
    <cellStyle name="Porcentagem" xfId="1" builtinId="5"/>
    <cellStyle name="Vírgula" xfId="10" builtinId="3"/>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2A6099"/>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a:t>
            </a:r>
            <a:r>
              <a:rPr lang="pt-BR" baseline="0"/>
              <a:t> 1 - </a:t>
            </a:r>
            <a:r>
              <a:rPr lang="pt-BR"/>
              <a:t>CAPEX, aplicado</a:t>
            </a:r>
            <a:r>
              <a:rPr lang="pt-BR" baseline="0"/>
              <a:t> REIDI</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2135009021945749"/>
          <c:y val="2.4488970234419222E-2"/>
          <c:w val="0.76155940105368536"/>
          <c:h val="0.64482615680241373"/>
        </c:manualLayout>
      </c:layout>
      <c:barChart>
        <c:barDir val="col"/>
        <c:grouping val="stacked"/>
        <c:varyColors val="0"/>
        <c:ser>
          <c:idx val="0"/>
          <c:order val="0"/>
          <c:tx>
            <c:strRef>
              <c:f>'Gráficos Antigo'!$C$14</c:f>
              <c:strCache>
                <c:ptCount val="1"/>
                <c:pt idx="0">
                  <c:v>Trabalhos iniciais</c:v>
                </c:pt>
              </c:strCache>
            </c:strRef>
          </c:tx>
          <c:spPr>
            <a:solidFill>
              <a:schemeClr val="accent1"/>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Antigo'!$D$14:$AG$14</c:f>
              <c:numCache>
                <c:formatCode>[$R$-416]\ #,##0.00;[Red]\-[$R$-416]\ #,##0.00</c:formatCode>
                <c:ptCount val="30"/>
                <c:pt idx="0">
                  <c:v>115760500.29243645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0240-4DF2-AA60-C9084851978C}"/>
            </c:ext>
          </c:extLst>
        </c:ser>
        <c:ser>
          <c:idx val="1"/>
          <c:order val="1"/>
          <c:tx>
            <c:strRef>
              <c:f>'Gráficos Antigo'!$C$15</c:f>
              <c:strCache>
                <c:ptCount val="1"/>
                <c:pt idx="0">
                  <c:v>Recuperação do sistema rodoviário</c:v>
                </c:pt>
              </c:strCache>
            </c:strRef>
          </c:tx>
          <c:spPr>
            <a:solidFill>
              <a:schemeClr val="accent2"/>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Antigo'!$D$15:$AG$15</c:f>
              <c:numCache>
                <c:formatCode>[$R$-416]\ #,##0.00;[Red]\-[$R$-416]\ #,##0.00</c:formatCode>
                <c:ptCount val="30"/>
                <c:pt idx="0">
                  <c:v>0</c:v>
                </c:pt>
                <c:pt idx="1">
                  <c:v>84725403.576398253</c:v>
                </c:pt>
                <c:pt idx="2">
                  <c:v>59980698.850137658</c:v>
                </c:pt>
                <c:pt idx="3">
                  <c:v>55001188.967542678</c:v>
                </c:pt>
                <c:pt idx="4">
                  <c:v>44951271.924788408</c:v>
                </c:pt>
                <c:pt idx="5">
                  <c:v>2.749761787162357E-2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0240-4DF2-AA60-C9084851978C}"/>
            </c:ext>
          </c:extLst>
        </c:ser>
        <c:ser>
          <c:idx val="3"/>
          <c:order val="2"/>
          <c:tx>
            <c:strRef>
              <c:f>'Gráficos Antigo'!$C$17</c:f>
              <c:strCache>
                <c:ptCount val="1"/>
                <c:pt idx="0">
                  <c:v>Obras de ampliação da capacidade e outras melhorias</c:v>
                </c:pt>
              </c:strCache>
            </c:strRef>
          </c:tx>
          <c:spPr>
            <a:solidFill>
              <a:schemeClr val="accent4"/>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Antigo'!$D$17:$AG$17</c:f>
              <c:numCache>
                <c:formatCode>[$R$-416]\ #,##0.00;[Red]\-[$R$-416]\ #,##0.00</c:formatCode>
                <c:ptCount val="30"/>
                <c:pt idx="0">
                  <c:v>0</c:v>
                </c:pt>
                <c:pt idx="1">
                  <c:v>396974.87708662852</c:v>
                </c:pt>
                <c:pt idx="2">
                  <c:v>240457211.65702802</c:v>
                </c:pt>
                <c:pt idx="3">
                  <c:v>712222067.70866311</c:v>
                </c:pt>
                <c:pt idx="4">
                  <c:v>428180681.38384914</c:v>
                </c:pt>
                <c:pt idx="5">
                  <c:v>484585328.55617267</c:v>
                </c:pt>
                <c:pt idx="6">
                  <c:v>0</c:v>
                </c:pt>
                <c:pt idx="7">
                  <c:v>0</c:v>
                </c:pt>
                <c:pt idx="8">
                  <c:v>0</c:v>
                </c:pt>
                <c:pt idx="9">
                  <c:v>0</c:v>
                </c:pt>
                <c:pt idx="10">
                  <c:v>0</c:v>
                </c:pt>
                <c:pt idx="11">
                  <c:v>0</c:v>
                </c:pt>
                <c:pt idx="12">
                  <c:v>0</c:v>
                </c:pt>
                <c:pt idx="13">
                  <c:v>0</c:v>
                </c:pt>
                <c:pt idx="14">
                  <c:v>283468345.15892488</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3-0240-4DF2-AA60-C9084851978C}"/>
            </c:ext>
          </c:extLst>
        </c:ser>
        <c:ser>
          <c:idx val="4"/>
          <c:order val="3"/>
          <c:tx>
            <c:strRef>
              <c:f>'Gráficos Antigo'!$C$18</c:f>
              <c:strCache>
                <c:ptCount val="1"/>
                <c:pt idx="0">
                  <c:v>Equipamentos, sistemas e edificações operacionais</c:v>
                </c:pt>
              </c:strCache>
            </c:strRef>
          </c:tx>
          <c:spPr>
            <a:solidFill>
              <a:schemeClr val="accent5"/>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Antigo'!$D$18:$AG$18</c:f>
              <c:numCache>
                <c:formatCode>[$R$-416]\ #,##0.00;[Red]\-[$R$-416]\ #,##0.00</c:formatCode>
                <c:ptCount val="30"/>
                <c:pt idx="0">
                  <c:v>40216134.443028241</c:v>
                </c:pt>
                <c:pt idx="1">
                  <c:v>4932533.5115534682</c:v>
                </c:pt>
                <c:pt idx="2">
                  <c:v>20153523.182826448</c:v>
                </c:pt>
                <c:pt idx="3">
                  <c:v>419985.71925620595</c:v>
                </c:pt>
                <c:pt idx="4">
                  <c:v>8758483.7608739026</c:v>
                </c:pt>
                <c:pt idx="5">
                  <c:v>8010147.1787858587</c:v>
                </c:pt>
                <c:pt idx="6">
                  <c:v>2023282.0916732051</c:v>
                </c:pt>
                <c:pt idx="7">
                  <c:v>812172.78456871887</c:v>
                </c:pt>
                <c:pt idx="8">
                  <c:v>8927820.4496351741</c:v>
                </c:pt>
                <c:pt idx="9">
                  <c:v>419985.71925620595</c:v>
                </c:pt>
                <c:pt idx="10">
                  <c:v>14996707.783499835</c:v>
                </c:pt>
                <c:pt idx="11">
                  <c:v>419985.71925620595</c:v>
                </c:pt>
                <c:pt idx="12">
                  <c:v>9628451.445284782</c:v>
                </c:pt>
                <c:pt idx="13">
                  <c:v>419985.71925620595</c:v>
                </c:pt>
                <c:pt idx="14">
                  <c:v>1706558.0376711995</c:v>
                </c:pt>
                <c:pt idx="15">
                  <c:v>7407342.1490150206</c:v>
                </c:pt>
                <c:pt idx="16">
                  <c:v>12890293.031634117</c:v>
                </c:pt>
                <c:pt idx="17">
                  <c:v>1596546.9151937447</c:v>
                </c:pt>
                <c:pt idx="18">
                  <c:v>1177114.1495933004</c:v>
                </c:pt>
                <c:pt idx="19">
                  <c:v>367535.8718889319</c:v>
                </c:pt>
                <c:pt idx="20">
                  <c:v>21895122.766649328</c:v>
                </c:pt>
                <c:pt idx="21">
                  <c:v>367535.8718889319</c:v>
                </c:pt>
                <c:pt idx="22">
                  <c:v>1962113.1678264705</c:v>
                </c:pt>
                <c:pt idx="23">
                  <c:v>367535.8718889319</c:v>
                </c:pt>
                <c:pt idx="24">
                  <c:v>8654650.3510444332</c:v>
                </c:pt>
                <c:pt idx="25">
                  <c:v>5891029.1673163427</c:v>
                </c:pt>
                <c:pt idx="26">
                  <c:v>617264.27188893186</c:v>
                </c:pt>
                <c:pt idx="27">
                  <c:v>1544097.0678264706</c:v>
                </c:pt>
                <c:pt idx="28">
                  <c:v>4968470.0037328582</c:v>
                </c:pt>
                <c:pt idx="29">
                  <c:v>367535.8718889319</c:v>
                </c:pt>
              </c:numCache>
            </c:numRef>
          </c:val>
          <c:extLst>
            <c:ext xmlns:c16="http://schemas.microsoft.com/office/drawing/2014/chart" uri="{C3380CC4-5D6E-409C-BE32-E72D297353CC}">
              <c16:uniqueId val="{00000004-0240-4DF2-AA60-C9084851978C}"/>
            </c:ext>
          </c:extLst>
        </c:ser>
        <c:ser>
          <c:idx val="5"/>
          <c:order val="4"/>
          <c:tx>
            <c:strRef>
              <c:f>'Gráficos Antigo'!$C$19</c:f>
              <c:strCache>
                <c:ptCount val="1"/>
                <c:pt idx="0">
                  <c:v>Gestão Ambiental Do Sistema Rodoviário </c:v>
                </c:pt>
              </c:strCache>
            </c:strRef>
          </c:tx>
          <c:spPr>
            <a:solidFill>
              <a:schemeClr val="accent6"/>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Antigo'!$D$19:$AG$19</c:f>
              <c:numCache>
                <c:formatCode>[$R$-416]\ #,##0.00;[Red]\-[$R$-416]\ #,##0.00</c:formatCode>
                <c:ptCount val="30"/>
                <c:pt idx="0">
                  <c:v>22623101.311299119</c:v>
                </c:pt>
                <c:pt idx="1">
                  <c:v>26466473.799652711</c:v>
                </c:pt>
                <c:pt idx="2">
                  <c:v>30965145.091813203</c:v>
                </c:pt>
                <c:pt idx="3">
                  <c:v>69757022.177928925</c:v>
                </c:pt>
                <c:pt idx="4">
                  <c:v>23428131.199260607</c:v>
                </c:pt>
                <c:pt idx="5">
                  <c:v>3640877.1536923205</c:v>
                </c:pt>
                <c:pt idx="6">
                  <c:v>3164254.2061468624</c:v>
                </c:pt>
                <c:pt idx="7">
                  <c:v>1344096.9465464307</c:v>
                </c:pt>
                <c:pt idx="8">
                  <c:v>1274798.7740814488</c:v>
                </c:pt>
                <c:pt idx="9">
                  <c:v>1144955.0729537769</c:v>
                </c:pt>
                <c:pt idx="10">
                  <c:v>708151.23251530644</c:v>
                </c:pt>
                <c:pt idx="11">
                  <c:v>171528.28496984829</c:v>
                </c:pt>
                <c:pt idx="12">
                  <c:v>1741877.7818363472</c:v>
                </c:pt>
                <c:pt idx="13">
                  <c:v>231528.28496984829</c:v>
                </c:pt>
                <c:pt idx="14">
                  <c:v>171528.28496984829</c:v>
                </c:pt>
                <c:pt idx="15">
                  <c:v>648151.23251530644</c:v>
                </c:pt>
                <c:pt idx="16">
                  <c:v>361371.98609752028</c:v>
                </c:pt>
                <c:pt idx="17">
                  <c:v>171528.28496984829</c:v>
                </c:pt>
                <c:pt idx="18">
                  <c:v>171528.28496984829</c:v>
                </c:pt>
                <c:pt idx="19">
                  <c:v>231528.28496984829</c:v>
                </c:pt>
                <c:pt idx="20">
                  <c:v>777994.93364297855</c:v>
                </c:pt>
                <c:pt idx="21">
                  <c:v>171528.28496984829</c:v>
                </c:pt>
                <c:pt idx="22">
                  <c:v>231528.28496984829</c:v>
                </c:pt>
                <c:pt idx="23">
                  <c:v>171528.28496984829</c:v>
                </c:pt>
                <c:pt idx="24">
                  <c:v>301371.98609752028</c:v>
                </c:pt>
                <c:pt idx="25">
                  <c:v>708151.23251530644</c:v>
                </c:pt>
                <c:pt idx="26">
                  <c:v>171528.28496984829</c:v>
                </c:pt>
                <c:pt idx="27">
                  <c:v>171528.28496984829</c:v>
                </c:pt>
                <c:pt idx="28">
                  <c:v>361371.98609752028</c:v>
                </c:pt>
                <c:pt idx="29">
                  <c:v>171528.28496984829</c:v>
                </c:pt>
              </c:numCache>
            </c:numRef>
          </c:val>
          <c:extLst>
            <c:ext xmlns:c16="http://schemas.microsoft.com/office/drawing/2014/chart" uri="{C3380CC4-5D6E-409C-BE32-E72D297353CC}">
              <c16:uniqueId val="{00000005-0240-4DF2-AA60-C9084851978C}"/>
            </c:ext>
          </c:extLst>
        </c:ser>
        <c:ser>
          <c:idx val="2"/>
          <c:order val="6"/>
          <c:tx>
            <c:strRef>
              <c:f>{"Manutenção do sistema rodoviário"}</c:f>
              <c:strCache>
                <c:ptCount val="1"/>
                <c:pt idx="0">
                  <c:v>Manutenção do sistema rodoviário</c:v>
                </c:pt>
              </c:strCache>
            </c:strRef>
          </c:tx>
          <c:spPr>
            <a:solidFill>
              <a:schemeClr val="accent3"/>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Antigo'!$D$16:$AH$16</c:f>
              <c:numCache>
                <c:formatCode>[$R$-416]\ #,##0.00;[Red]\-[$R$-416]\ #,##0.00</c:formatCode>
                <c:ptCount val="31"/>
                <c:pt idx="0">
                  <c:v>0</c:v>
                </c:pt>
                <c:pt idx="1">
                  <c:v>0</c:v>
                </c:pt>
                <c:pt idx="2">
                  <c:v>0</c:v>
                </c:pt>
                <c:pt idx="3">
                  <c:v>0</c:v>
                </c:pt>
                <c:pt idx="4">
                  <c:v>0</c:v>
                </c:pt>
                <c:pt idx="5">
                  <c:v>0</c:v>
                </c:pt>
                <c:pt idx="6">
                  <c:v>0</c:v>
                </c:pt>
                <c:pt idx="7">
                  <c:v>59783594.183035195</c:v>
                </c:pt>
                <c:pt idx="8">
                  <c:v>58508430.05575987</c:v>
                </c:pt>
                <c:pt idx="9">
                  <c:v>35843249.887434736</c:v>
                </c:pt>
                <c:pt idx="10">
                  <c:v>19996283.323222749</c:v>
                </c:pt>
                <c:pt idx="11">
                  <c:v>9717391.574904548</c:v>
                </c:pt>
                <c:pt idx="12">
                  <c:v>0</c:v>
                </c:pt>
                <c:pt idx="13">
                  <c:v>0</c:v>
                </c:pt>
                <c:pt idx="14">
                  <c:v>2814213.9739731955</c:v>
                </c:pt>
                <c:pt idx="15">
                  <c:v>46400566.246212982</c:v>
                </c:pt>
                <c:pt idx="16">
                  <c:v>110492398.88386489</c:v>
                </c:pt>
                <c:pt idx="17">
                  <c:v>112217281.56410843</c:v>
                </c:pt>
                <c:pt idx="18">
                  <c:v>67798889.259629413</c:v>
                </c:pt>
                <c:pt idx="19">
                  <c:v>22844455.743856531</c:v>
                </c:pt>
                <c:pt idx="20">
                  <c:v>7123459.036943797</c:v>
                </c:pt>
                <c:pt idx="21">
                  <c:v>2504759.7529233121</c:v>
                </c:pt>
                <c:pt idx="22">
                  <c:v>21004527.438186023</c:v>
                </c:pt>
                <c:pt idx="23">
                  <c:v>29708611.787070893</c:v>
                </c:pt>
                <c:pt idx="24">
                  <c:v>47149363.230014369</c:v>
                </c:pt>
                <c:pt idx="25">
                  <c:v>51458257.606889844</c:v>
                </c:pt>
                <c:pt idx="26">
                  <c:v>25964267.574036885</c:v>
                </c:pt>
                <c:pt idx="27">
                  <c:v>12162770.002102843</c:v>
                </c:pt>
                <c:pt idx="28">
                  <c:v>19580019.40185776</c:v>
                </c:pt>
                <c:pt idx="29">
                  <c:v>33778533.116759084</c:v>
                </c:pt>
                <c:pt idx="30">
                  <c:v>796851323.64278734</c:v>
                </c:pt>
              </c:numCache>
            </c:numRef>
          </c:val>
          <c:extLst>
            <c:ext xmlns:c16="http://schemas.microsoft.com/office/drawing/2014/chart" uri="{C3380CC4-5D6E-409C-BE32-E72D297353CC}">
              <c16:uniqueId val="{00000002-BE9B-4D62-866B-872845961FEC}"/>
            </c:ext>
          </c:extLst>
        </c:ser>
        <c:dLbls>
          <c:showLegendKey val="0"/>
          <c:showVal val="0"/>
          <c:showCatName val="0"/>
          <c:showSerName val="0"/>
          <c:showPercent val="0"/>
          <c:showBubbleSize val="0"/>
        </c:dLbls>
        <c:gapWidth val="219"/>
        <c:overlap val="100"/>
        <c:axId val="2033997887"/>
        <c:axId val="2030172911"/>
      </c:barChart>
      <c:lineChart>
        <c:grouping val="standard"/>
        <c:varyColors val="0"/>
        <c:ser>
          <c:idx val="6"/>
          <c:order val="5"/>
          <c:tx>
            <c:strRef>
              <c:f>'Gráficos Antigo'!$C$20</c:f>
              <c:strCache>
                <c:ptCount val="1"/>
                <c:pt idx="0">
                  <c:v>CAPEX Acumulado</c:v>
                </c:pt>
              </c:strCache>
            </c:strRef>
          </c:tx>
          <c:spPr>
            <a:ln w="28575" cap="rnd">
              <a:solidFill>
                <a:schemeClr val="accent1">
                  <a:lumMod val="60000"/>
                </a:schemeClr>
              </a:solidFill>
              <a:round/>
            </a:ln>
            <a:effectLst/>
          </c:spPr>
          <c:marker>
            <c:symbol val="none"/>
          </c:marker>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Antigo'!$D$20:$AG$20</c:f>
              <c:numCache>
                <c:formatCode>[$R$-416]\ #,##0.00;[Red]\-[$R$-416]\ #,##0.00</c:formatCode>
                <c:ptCount val="30"/>
                <c:pt idx="0">
                  <c:v>178599736.04676381</c:v>
                </c:pt>
                <c:pt idx="1">
                  <c:v>295121121.81145489</c:v>
                </c:pt>
                <c:pt idx="2">
                  <c:v>646677700.59326029</c:v>
                </c:pt>
                <c:pt idx="3">
                  <c:v>1484077965.1666512</c:v>
                </c:pt>
                <c:pt idx="4">
                  <c:v>1989396533.4354234</c:v>
                </c:pt>
                <c:pt idx="5">
                  <c:v>2485632886.351572</c:v>
                </c:pt>
                <c:pt idx="6">
                  <c:v>2490820422.6493921</c:v>
                </c:pt>
                <c:pt idx="7">
                  <c:v>2552760286.5635424</c:v>
                </c:pt>
                <c:pt idx="8">
                  <c:v>2621471335.843019</c:v>
                </c:pt>
                <c:pt idx="9">
                  <c:v>2658879526.5226636</c:v>
                </c:pt>
                <c:pt idx="10">
                  <c:v>2694580668.8619013</c:v>
                </c:pt>
                <c:pt idx="11">
                  <c:v>2704889574.4410319</c:v>
                </c:pt>
                <c:pt idx="12">
                  <c:v>2716259903.6681533</c:v>
                </c:pt>
                <c:pt idx="13">
                  <c:v>2716911417.6723795</c:v>
                </c:pt>
                <c:pt idx="14">
                  <c:v>3005072063.1279187</c:v>
                </c:pt>
                <c:pt idx="15">
                  <c:v>3059528122.755662</c:v>
                </c:pt>
                <c:pt idx="16">
                  <c:v>3183272186.6572585</c:v>
                </c:pt>
                <c:pt idx="17">
                  <c:v>3297257543.4215307</c:v>
                </c:pt>
                <c:pt idx="18">
                  <c:v>3366405075.1157231</c:v>
                </c:pt>
                <c:pt idx="19">
                  <c:v>3389848595.0164385</c:v>
                </c:pt>
                <c:pt idx="20">
                  <c:v>3419645171.7536745</c:v>
                </c:pt>
                <c:pt idx="21">
                  <c:v>3422688995.6634564</c:v>
                </c:pt>
                <c:pt idx="22">
                  <c:v>3445887164.5544386</c:v>
                </c:pt>
                <c:pt idx="23">
                  <c:v>3476134840.4983683</c:v>
                </c:pt>
                <c:pt idx="24">
                  <c:v>3532240226.0655246</c:v>
                </c:pt>
                <c:pt idx="25">
                  <c:v>3590297664.0722461</c:v>
                </c:pt>
                <c:pt idx="26">
                  <c:v>3617050724.2031417</c:v>
                </c:pt>
                <c:pt idx="27">
                  <c:v>3630929119.5580406</c:v>
                </c:pt>
                <c:pt idx="28">
                  <c:v>3655838980.949729</c:v>
                </c:pt>
                <c:pt idx="29">
                  <c:v>3690156578.2233467</c:v>
                </c:pt>
              </c:numCache>
            </c:numRef>
          </c:val>
          <c:smooth val="0"/>
          <c:extLst>
            <c:ext xmlns:c16="http://schemas.microsoft.com/office/drawing/2014/chart" uri="{C3380CC4-5D6E-409C-BE32-E72D297353CC}">
              <c16:uniqueId val="{00000006-0240-4DF2-AA60-C9084851978C}"/>
            </c:ext>
          </c:extLst>
        </c:ser>
        <c:dLbls>
          <c:showLegendKey val="0"/>
          <c:showVal val="0"/>
          <c:showCatName val="0"/>
          <c:showSerName val="0"/>
          <c:showPercent val="0"/>
          <c:showBubbleSize val="0"/>
        </c:dLbls>
        <c:marker val="1"/>
        <c:smooth val="0"/>
        <c:axId val="1431555679"/>
        <c:axId val="1431548479"/>
      </c:lineChart>
      <c:catAx>
        <c:axId val="20339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0172911"/>
        <c:crosses val="autoZero"/>
        <c:auto val="1"/>
        <c:lblAlgn val="ctr"/>
        <c:lblOffset val="100"/>
        <c:noMultiLvlLbl val="0"/>
      </c:catAx>
      <c:valAx>
        <c:axId val="2030172911"/>
        <c:scaling>
          <c:orientation val="minMax"/>
        </c:scaling>
        <c:delete val="0"/>
        <c:axPos val="l"/>
        <c:majorGridlines>
          <c:spPr>
            <a:ln w="9525" cap="flat" cmpd="sng" algn="ctr">
              <a:solidFill>
                <a:schemeClr val="tx1">
                  <a:lumMod val="15000"/>
                  <a:lumOff val="85000"/>
                </a:schemeClr>
              </a:solidFill>
              <a:round/>
            </a:ln>
            <a:effectLst/>
          </c:spPr>
        </c:majorGridlines>
        <c:numFmt formatCode="[$R$-416]\ #,##0;[Red]\-[$R$-416]\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39978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431548479"/>
        <c:scaling>
          <c:orientation val="minMax"/>
        </c:scaling>
        <c:delete val="0"/>
        <c:axPos val="r"/>
        <c:numFmt formatCode="[$R$-416]\ #,##0;[Red]\-[$R$-416]\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31555679"/>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431555679"/>
        <c:scaling>
          <c:orientation val="minMax"/>
        </c:scaling>
        <c:delete val="1"/>
        <c:axPos val="b"/>
        <c:numFmt formatCode="General" sourceLinked="1"/>
        <c:majorTickMark val="out"/>
        <c:minorTickMark val="none"/>
        <c:tickLblPos val="nextTo"/>
        <c:crossAx val="14315484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'Gráficos Antigo'!$C$60</c:f>
              <c:strCache>
                <c:ptCount val="1"/>
                <c:pt idx="0">
                  <c:v>Conservação da rodovia </c:v>
                </c:pt>
              </c:strCache>
            </c:strRef>
          </c:tx>
          <c:spPr>
            <a:solidFill>
              <a:schemeClr val="accent1"/>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Antigo'!$D$60:$AG$60</c:f>
              <c:numCache>
                <c:formatCode>[$R$-416]\ #,##0.00;[Red]\-[$R$-416]\ #,##0.00</c:formatCode>
                <c:ptCount val="30"/>
                <c:pt idx="0">
                  <c:v>12937461.383832892</c:v>
                </c:pt>
                <c:pt idx="1">
                  <c:v>12987200.926058775</c:v>
                </c:pt>
                <c:pt idx="2">
                  <c:v>13895746.314945817</c:v>
                </c:pt>
                <c:pt idx="3">
                  <c:v>16162305.399419738</c:v>
                </c:pt>
                <c:pt idx="4">
                  <c:v>17612762.33664738</c:v>
                </c:pt>
                <c:pt idx="5">
                  <c:v>18128410.45136977</c:v>
                </c:pt>
                <c:pt idx="6">
                  <c:v>18181772.000941437</c:v>
                </c:pt>
                <c:pt idx="7">
                  <c:v>18354431.965279322</c:v>
                </c:pt>
                <c:pt idx="8">
                  <c:v>18715855.805413432</c:v>
                </c:pt>
                <c:pt idx="9">
                  <c:v>18961527.53229047</c:v>
                </c:pt>
                <c:pt idx="10">
                  <c:v>19071159.0932291</c:v>
                </c:pt>
                <c:pt idx="11">
                  <c:v>19333739.630564336</c:v>
                </c:pt>
                <c:pt idx="12">
                  <c:v>19471943.7110423</c:v>
                </c:pt>
                <c:pt idx="13">
                  <c:v>19747643.333727829</c:v>
                </c:pt>
                <c:pt idx="14">
                  <c:v>20255817.95785768</c:v>
                </c:pt>
                <c:pt idx="15">
                  <c:v>21018636.391040377</c:v>
                </c:pt>
                <c:pt idx="16">
                  <c:v>21114641.160059948</c:v>
                </c:pt>
                <c:pt idx="17">
                  <c:v>21241483.186880514</c:v>
                </c:pt>
                <c:pt idx="18">
                  <c:v>21241483.186880514</c:v>
                </c:pt>
                <c:pt idx="19">
                  <c:v>21241483.186880514</c:v>
                </c:pt>
                <c:pt idx="20">
                  <c:v>21241483.186880514</c:v>
                </c:pt>
                <c:pt idx="21">
                  <c:v>21241483.186880514</c:v>
                </c:pt>
                <c:pt idx="22">
                  <c:v>21241483.186880514</c:v>
                </c:pt>
                <c:pt idx="23">
                  <c:v>21241483.186880514</c:v>
                </c:pt>
                <c:pt idx="24">
                  <c:v>21241483.186880514</c:v>
                </c:pt>
                <c:pt idx="25">
                  <c:v>21241483.186880514</c:v>
                </c:pt>
                <c:pt idx="26">
                  <c:v>21241483.186880514</c:v>
                </c:pt>
                <c:pt idx="27">
                  <c:v>21241483.186880514</c:v>
                </c:pt>
                <c:pt idx="28">
                  <c:v>21241483.186880514</c:v>
                </c:pt>
                <c:pt idx="29">
                  <c:v>21241483.186880514</c:v>
                </c:pt>
              </c:numCache>
            </c:numRef>
          </c:val>
          <c:extLst>
            <c:ext xmlns:c16="http://schemas.microsoft.com/office/drawing/2014/chart" uri="{C3380CC4-5D6E-409C-BE32-E72D297353CC}">
              <c16:uniqueId val="{00000000-220B-4F46-9BDF-52785004F616}"/>
            </c:ext>
          </c:extLst>
        </c:ser>
        <c:ser>
          <c:idx val="1"/>
          <c:order val="1"/>
          <c:tx>
            <c:strRef>
              <c:f>'Gráficos Antigo'!$C$61</c:f>
              <c:strCache>
                <c:ptCount val="1"/>
                <c:pt idx="0">
                  <c:v>Monitoração da rodovia </c:v>
                </c:pt>
              </c:strCache>
            </c:strRef>
          </c:tx>
          <c:spPr>
            <a:solidFill>
              <a:schemeClr val="accent2"/>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Antigo'!$D$61:$AG$61</c:f>
              <c:numCache>
                <c:formatCode>[$R$-416]\ #,##0.00;[Red]\-[$R$-416]\ #,##0.00</c:formatCode>
                <c:ptCount val="30"/>
                <c:pt idx="0">
                  <c:v>2170802.7949739667</c:v>
                </c:pt>
                <c:pt idx="1">
                  <c:v>1149325.8910069666</c:v>
                </c:pt>
                <c:pt idx="2">
                  <c:v>1313696.4355061664</c:v>
                </c:pt>
                <c:pt idx="3">
                  <c:v>1243956.8214139666</c:v>
                </c:pt>
                <c:pt idx="4">
                  <c:v>1325279.2580543032</c:v>
                </c:pt>
                <c:pt idx="5">
                  <c:v>1243546.3179551035</c:v>
                </c:pt>
                <c:pt idx="6">
                  <c:v>1422938.5963198368</c:v>
                </c:pt>
                <c:pt idx="7">
                  <c:v>1282847.8498628768</c:v>
                </c:pt>
                <c:pt idx="8">
                  <c:v>1519063.8538285068</c:v>
                </c:pt>
                <c:pt idx="9">
                  <c:v>1282847.8498628768</c:v>
                </c:pt>
                <c:pt idx="10">
                  <c:v>1422938.5963198368</c:v>
                </c:pt>
                <c:pt idx="11">
                  <c:v>1282847.8498628768</c:v>
                </c:pt>
                <c:pt idx="12">
                  <c:v>1422938.5963198368</c:v>
                </c:pt>
                <c:pt idx="13">
                  <c:v>1378973.1073715468</c:v>
                </c:pt>
                <c:pt idx="14">
                  <c:v>1423593.0542871701</c:v>
                </c:pt>
                <c:pt idx="15">
                  <c:v>1286381.8173287399</c:v>
                </c:pt>
                <c:pt idx="16">
                  <c:v>1426472.5637856999</c:v>
                </c:pt>
                <c:pt idx="17">
                  <c:v>1286381.8173287399</c:v>
                </c:pt>
                <c:pt idx="18">
                  <c:v>1533518.7069168999</c:v>
                </c:pt>
                <c:pt idx="19">
                  <c:v>1286381.8173287399</c:v>
                </c:pt>
                <c:pt idx="20">
                  <c:v>1426472.5637856999</c:v>
                </c:pt>
                <c:pt idx="21">
                  <c:v>1286381.8173287399</c:v>
                </c:pt>
                <c:pt idx="22">
                  <c:v>1426472.5637856999</c:v>
                </c:pt>
                <c:pt idx="23">
                  <c:v>1393427.9604599399</c:v>
                </c:pt>
                <c:pt idx="24">
                  <c:v>1426472.5637856999</c:v>
                </c:pt>
                <c:pt idx="25">
                  <c:v>1286381.8173287399</c:v>
                </c:pt>
                <c:pt idx="26">
                  <c:v>1426472.5637856999</c:v>
                </c:pt>
                <c:pt idx="27">
                  <c:v>1286381.8173287399</c:v>
                </c:pt>
                <c:pt idx="28">
                  <c:v>1533518.7069168999</c:v>
                </c:pt>
                <c:pt idx="29">
                  <c:v>1286381.8173287399</c:v>
                </c:pt>
              </c:numCache>
            </c:numRef>
          </c:val>
          <c:extLst>
            <c:ext xmlns:c16="http://schemas.microsoft.com/office/drawing/2014/chart" uri="{C3380CC4-5D6E-409C-BE32-E72D297353CC}">
              <c16:uniqueId val="{00000001-220B-4F46-9BDF-52785004F616}"/>
            </c:ext>
          </c:extLst>
        </c:ser>
        <c:ser>
          <c:idx val="2"/>
          <c:order val="2"/>
          <c:tx>
            <c:strRef>
              <c:f>'Gráficos Antigo'!$C$62</c:f>
              <c:strCache>
                <c:ptCount val="1"/>
                <c:pt idx="0">
                  <c:v>Administração e operação da rodovia</c:v>
                </c:pt>
              </c:strCache>
            </c:strRef>
          </c:tx>
          <c:spPr>
            <a:solidFill>
              <a:schemeClr val="accent3"/>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Antigo'!$D$62:$AG$62</c:f>
              <c:numCache>
                <c:formatCode>[$R$-416]\ #,##0.00;[Red]\-[$R$-416]\ #,##0.00</c:formatCode>
                <c:ptCount val="30"/>
                <c:pt idx="0">
                  <c:v>18908302.570155483</c:v>
                </c:pt>
                <c:pt idx="1">
                  <c:v>24911813.160483122</c:v>
                </c:pt>
                <c:pt idx="2">
                  <c:v>25315453.229141884</c:v>
                </c:pt>
                <c:pt idx="3">
                  <c:v>25405626.141875379</c:v>
                </c:pt>
                <c:pt idx="4">
                  <c:v>25488818.465001296</c:v>
                </c:pt>
                <c:pt idx="5">
                  <c:v>23832534.151884265</c:v>
                </c:pt>
                <c:pt idx="6">
                  <c:v>25664347.122968938</c:v>
                </c:pt>
                <c:pt idx="7">
                  <c:v>25702422.615055066</c:v>
                </c:pt>
                <c:pt idx="8">
                  <c:v>25990057.996988632</c:v>
                </c:pt>
                <c:pt idx="9">
                  <c:v>26052569.489074759</c:v>
                </c:pt>
                <c:pt idx="10">
                  <c:v>26115791.72720395</c:v>
                </c:pt>
                <c:pt idx="11">
                  <c:v>26387376.584469028</c:v>
                </c:pt>
                <c:pt idx="12">
                  <c:v>26475034.822598215</c:v>
                </c:pt>
                <c:pt idx="13">
                  <c:v>26538257.060727403</c:v>
                </c:pt>
                <c:pt idx="14">
                  <c:v>26631005.160827234</c:v>
                </c:pt>
                <c:pt idx="15">
                  <c:v>26824279.732337289</c:v>
                </c:pt>
                <c:pt idx="16">
                  <c:v>26874928.597444944</c:v>
                </c:pt>
                <c:pt idx="17">
                  <c:v>26995632.978451647</c:v>
                </c:pt>
                <c:pt idx="18">
                  <c:v>27007850.978451647</c:v>
                </c:pt>
                <c:pt idx="19">
                  <c:v>25225531.499453101</c:v>
                </c:pt>
                <c:pt idx="20">
                  <c:v>25225531.499453101</c:v>
                </c:pt>
                <c:pt idx="21">
                  <c:v>25237749.499453105</c:v>
                </c:pt>
                <c:pt idx="22">
                  <c:v>25225531.499453101</c:v>
                </c:pt>
                <c:pt idx="23">
                  <c:v>25225531.499453101</c:v>
                </c:pt>
                <c:pt idx="24">
                  <c:v>25237749.499453105</c:v>
                </c:pt>
                <c:pt idx="25">
                  <c:v>23590481.837632798</c:v>
                </c:pt>
                <c:pt idx="26">
                  <c:v>23590481.837632798</c:v>
                </c:pt>
                <c:pt idx="27">
                  <c:v>23602699.837632798</c:v>
                </c:pt>
                <c:pt idx="28">
                  <c:v>23590481.837632798</c:v>
                </c:pt>
                <c:pt idx="29">
                  <c:v>23590481.837632798</c:v>
                </c:pt>
              </c:numCache>
            </c:numRef>
          </c:val>
          <c:extLst>
            <c:ext xmlns:c16="http://schemas.microsoft.com/office/drawing/2014/chart" uri="{C3380CC4-5D6E-409C-BE32-E72D297353CC}">
              <c16:uniqueId val="{00000002-220B-4F46-9BDF-52785004F616}"/>
            </c:ext>
          </c:extLst>
        </c:ser>
        <c:ser>
          <c:idx val="3"/>
          <c:order val="3"/>
          <c:tx>
            <c:strRef>
              <c:f>'Gráficos Antigo'!$C$63</c:f>
              <c:strCache>
                <c:ptCount val="1"/>
                <c:pt idx="0">
                  <c:v>Gestão ambiental do sistema rodoviário - opex</c:v>
                </c:pt>
              </c:strCache>
            </c:strRef>
          </c:tx>
          <c:spPr>
            <a:solidFill>
              <a:schemeClr val="accent4"/>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Antigo'!$D$63:$AG$63</c:f>
              <c:numCache>
                <c:formatCode>[$R$-416]\ #,##0.00;[Red]\-[$R$-416]\ #,##0.00</c:formatCode>
                <c:ptCount val="30"/>
                <c:pt idx="0">
                  <c:v>779335.85735448718</c:v>
                </c:pt>
                <c:pt idx="1">
                  <c:v>1163833.9353101032</c:v>
                </c:pt>
                <c:pt idx="2">
                  <c:v>3843827.8599121887</c:v>
                </c:pt>
                <c:pt idx="3">
                  <c:v>4708558.7674925812</c:v>
                </c:pt>
                <c:pt idx="4">
                  <c:v>4777244.5980187654</c:v>
                </c:pt>
                <c:pt idx="5">
                  <c:v>4708558.7674925812</c:v>
                </c:pt>
                <c:pt idx="6">
                  <c:v>4708558.7674925812</c:v>
                </c:pt>
                <c:pt idx="7">
                  <c:v>4783167.5210606754</c:v>
                </c:pt>
                <c:pt idx="8">
                  <c:v>2171859.4269847758</c:v>
                </c:pt>
                <c:pt idx="9">
                  <c:v>2103173.5964585906</c:v>
                </c:pt>
                <c:pt idx="10">
                  <c:v>2103173.5964585906</c:v>
                </c:pt>
                <c:pt idx="11">
                  <c:v>2103173.5964585906</c:v>
                </c:pt>
                <c:pt idx="12">
                  <c:v>2171859.4269847758</c:v>
                </c:pt>
                <c:pt idx="13">
                  <c:v>2103173.5964585906</c:v>
                </c:pt>
                <c:pt idx="14">
                  <c:v>2103173.5964585906</c:v>
                </c:pt>
                <c:pt idx="15">
                  <c:v>2103173.5964585906</c:v>
                </c:pt>
                <c:pt idx="16">
                  <c:v>2171859.4269847758</c:v>
                </c:pt>
                <c:pt idx="17">
                  <c:v>2103173.5964585906</c:v>
                </c:pt>
                <c:pt idx="18">
                  <c:v>2103173.5964585906</c:v>
                </c:pt>
                <c:pt idx="19">
                  <c:v>2103173.5964585906</c:v>
                </c:pt>
                <c:pt idx="20">
                  <c:v>2171859.4269847758</c:v>
                </c:pt>
                <c:pt idx="21">
                  <c:v>2103173.5964585906</c:v>
                </c:pt>
                <c:pt idx="22">
                  <c:v>2103173.5964585906</c:v>
                </c:pt>
                <c:pt idx="23">
                  <c:v>2103173.5964585906</c:v>
                </c:pt>
                <c:pt idx="24">
                  <c:v>2171859.4269847758</c:v>
                </c:pt>
                <c:pt idx="25">
                  <c:v>2103173.5964585906</c:v>
                </c:pt>
                <c:pt idx="26">
                  <c:v>2103173.5964585906</c:v>
                </c:pt>
                <c:pt idx="27">
                  <c:v>2103173.5964585906</c:v>
                </c:pt>
                <c:pt idx="28">
                  <c:v>2171859.4269847758</c:v>
                </c:pt>
                <c:pt idx="29">
                  <c:v>2103173.5964585906</c:v>
                </c:pt>
              </c:numCache>
            </c:numRef>
          </c:val>
          <c:extLst>
            <c:ext xmlns:c16="http://schemas.microsoft.com/office/drawing/2014/chart" uri="{C3380CC4-5D6E-409C-BE32-E72D297353CC}">
              <c16:uniqueId val="{00000003-220B-4F46-9BDF-52785004F616}"/>
            </c:ext>
          </c:extLst>
        </c:ser>
        <c:dLbls>
          <c:showLegendKey val="0"/>
          <c:showVal val="0"/>
          <c:showCatName val="0"/>
          <c:showSerName val="0"/>
          <c:showPercent val="0"/>
          <c:showBubbleSize val="0"/>
        </c:dLbls>
        <c:gapWidth val="219"/>
        <c:overlap val="100"/>
        <c:axId val="1990998015"/>
        <c:axId val="1990999455"/>
      </c:barChart>
      <c:lineChart>
        <c:grouping val="standard"/>
        <c:varyColors val="0"/>
        <c:ser>
          <c:idx val="4"/>
          <c:order val="4"/>
          <c:tx>
            <c:strRef>
              <c:f>'Gráficos Antigo'!$C$64</c:f>
              <c:strCache>
                <c:ptCount val="1"/>
                <c:pt idx="0">
                  <c:v>OPEX Acumulado</c:v>
                </c:pt>
              </c:strCache>
            </c:strRef>
          </c:tx>
          <c:spPr>
            <a:ln w="28575" cap="rnd">
              <a:solidFill>
                <a:schemeClr val="accent5"/>
              </a:solidFill>
              <a:round/>
            </a:ln>
            <a:effectLst/>
          </c:spPr>
          <c:marker>
            <c:symbol val="none"/>
          </c:marker>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Antigo'!$D$64:$AG$64</c:f>
              <c:numCache>
                <c:formatCode>[$R$-416]\ #,##0.00;[Red]\-[$R$-416]\ #,##0.00</c:formatCode>
                <c:ptCount val="30"/>
                <c:pt idx="0">
                  <c:v>34795902.606316827</c:v>
                </c:pt>
                <c:pt idx="1">
                  <c:v>75008076.519175798</c:v>
                </c:pt>
                <c:pt idx="2">
                  <c:v>119376800.35868186</c:v>
                </c:pt>
                <c:pt idx="3">
                  <c:v>166897247.48888353</c:v>
                </c:pt>
                <c:pt idx="4">
                  <c:v>216101352.14660525</c:v>
                </c:pt>
                <c:pt idx="5">
                  <c:v>264014401.83530697</c:v>
                </c:pt>
                <c:pt idx="6">
                  <c:v>313992018.32302976</c:v>
                </c:pt>
                <c:pt idx="7">
                  <c:v>364114888.2742877</c:v>
                </c:pt>
                <c:pt idx="8">
                  <c:v>412511725.35750306</c:v>
                </c:pt>
                <c:pt idx="9">
                  <c:v>460911843.82518977</c:v>
                </c:pt>
                <c:pt idx="10">
                  <c:v>509624906.83840126</c:v>
                </c:pt>
                <c:pt idx="11">
                  <c:v>558732044.4997561</c:v>
                </c:pt>
                <c:pt idx="12">
                  <c:v>608273821.05670118</c:v>
                </c:pt>
                <c:pt idx="13">
                  <c:v>658041868.1549865</c:v>
                </c:pt>
                <c:pt idx="14">
                  <c:v>708455457.92441714</c:v>
                </c:pt>
                <c:pt idx="15">
                  <c:v>759687929.46158218</c:v>
                </c:pt>
                <c:pt idx="16">
                  <c:v>811275831.20985758</c:v>
                </c:pt>
                <c:pt idx="17">
                  <c:v>862902502.78897703</c:v>
                </c:pt>
                <c:pt idx="18">
                  <c:v>914788529.25768471</c:v>
                </c:pt>
                <c:pt idx="19">
                  <c:v>964645099.35780561</c:v>
                </c:pt>
                <c:pt idx="20">
                  <c:v>1014710446.0349097</c:v>
                </c:pt>
                <c:pt idx="21">
                  <c:v>1064579234.1350306</c:v>
                </c:pt>
                <c:pt idx="22">
                  <c:v>1114575894.9816086</c:v>
                </c:pt>
                <c:pt idx="23">
                  <c:v>1164539511.2248607</c:v>
                </c:pt>
                <c:pt idx="24">
                  <c:v>1214617075.9019647</c:v>
                </c:pt>
                <c:pt idx="25">
                  <c:v>1262838596.3402653</c:v>
                </c:pt>
                <c:pt idx="26">
                  <c:v>1311200207.525023</c:v>
                </c:pt>
                <c:pt idx="27">
                  <c:v>1359433945.9633236</c:v>
                </c:pt>
                <c:pt idx="28">
                  <c:v>1407971289.1217387</c:v>
                </c:pt>
                <c:pt idx="29">
                  <c:v>1456192809.5600393</c:v>
                </c:pt>
              </c:numCache>
            </c:numRef>
          </c:val>
          <c:smooth val="0"/>
          <c:extLst>
            <c:ext xmlns:c16="http://schemas.microsoft.com/office/drawing/2014/chart" uri="{C3380CC4-5D6E-409C-BE32-E72D297353CC}">
              <c16:uniqueId val="{00000004-220B-4F46-9BDF-52785004F616}"/>
            </c:ext>
          </c:extLst>
        </c:ser>
        <c:dLbls>
          <c:showLegendKey val="0"/>
          <c:showVal val="0"/>
          <c:showCatName val="0"/>
          <c:showSerName val="0"/>
          <c:showPercent val="0"/>
          <c:showBubbleSize val="0"/>
        </c:dLbls>
        <c:marker val="1"/>
        <c:smooth val="0"/>
        <c:axId val="1772843088"/>
        <c:axId val="1772843568"/>
      </c:lineChart>
      <c:catAx>
        <c:axId val="199099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0999455"/>
        <c:crosses val="autoZero"/>
        <c:auto val="1"/>
        <c:lblAlgn val="ctr"/>
        <c:lblOffset val="100"/>
        <c:noMultiLvlLbl val="0"/>
      </c:catAx>
      <c:valAx>
        <c:axId val="1990999455"/>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099801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772843568"/>
        <c:scaling>
          <c:orientation val="minMax"/>
        </c:scaling>
        <c:delete val="0"/>
        <c:axPos val="r"/>
        <c:numFmt formatCode="[$R$-416]\ #,##0.00;[Red]\-[$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72843088"/>
        <c:crosses val="max"/>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772843088"/>
        <c:scaling>
          <c:orientation val="minMax"/>
        </c:scaling>
        <c:delete val="1"/>
        <c:axPos val="b"/>
        <c:numFmt formatCode="General" sourceLinked="1"/>
        <c:majorTickMark val="out"/>
        <c:minorTickMark val="none"/>
        <c:tickLblPos val="nextTo"/>
        <c:crossAx val="1772843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7 - FLUXO DE CAIXA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'Gráficos Antigo'!$C$366</c:f>
              <c:strCache>
                <c:ptCount val="1"/>
                <c:pt idx="0">
                  <c:v>Fluxo de Caixa Livre do Projeto</c:v>
                </c:pt>
              </c:strCache>
            </c:strRef>
          </c:tx>
          <c:spPr>
            <a:solidFill>
              <a:schemeClr val="accent1"/>
            </a:solidFill>
            <a:ln>
              <a:noFill/>
            </a:ln>
            <a:effectLst/>
          </c:spPr>
          <c:invertIfNegative val="0"/>
          <c:cat>
            <c:strRef>
              <c:f>'Gráficos Antigo'!$D$365:$AG$365</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Antigo'!$D$366:$AG$366</c:f>
              <c:numCache>
                <c:formatCode>[$R$-416]\ #,##0.00;[Red]\-[$R$-416]\ #,##0.00</c:formatCode>
                <c:ptCount val="30"/>
                <c:pt idx="0">
                  <c:v>-118532213.4148611</c:v>
                </c:pt>
                <c:pt idx="1">
                  <c:v>-78028343.378370821</c:v>
                </c:pt>
                <c:pt idx="2">
                  <c:v>-37627443.546538837</c:v>
                </c:pt>
                <c:pt idx="3">
                  <c:v>-47224572.216623954</c:v>
                </c:pt>
                <c:pt idx="4">
                  <c:v>-70795313.980379477</c:v>
                </c:pt>
                <c:pt idx="5">
                  <c:v>-53720573.917295806</c:v>
                </c:pt>
                <c:pt idx="6">
                  <c:v>84114367.840427399</c:v>
                </c:pt>
                <c:pt idx="7">
                  <c:v>30869505.825510897</c:v>
                </c:pt>
                <c:pt idx="8">
                  <c:v>29378485.414420113</c:v>
                </c:pt>
                <c:pt idx="9">
                  <c:v>64874370.487243466</c:v>
                </c:pt>
                <c:pt idx="10">
                  <c:v>70555250.10663718</c:v>
                </c:pt>
                <c:pt idx="11">
                  <c:v>99486112.906278238</c:v>
                </c:pt>
                <c:pt idx="12">
                  <c:v>101854982.77702543</c:v>
                </c:pt>
                <c:pt idx="13">
                  <c:v>115794823.4046836</c:v>
                </c:pt>
                <c:pt idx="14">
                  <c:v>-163290120.14995688</c:v>
                </c:pt>
                <c:pt idx="15">
                  <c:v>81164830.807957083</c:v>
                </c:pt>
                <c:pt idx="16">
                  <c:v>17238132.107313886</c:v>
                </c:pt>
                <c:pt idx="17">
                  <c:v>32290879.949862443</c:v>
                </c:pt>
                <c:pt idx="18">
                  <c:v>81005586.066990614</c:v>
                </c:pt>
                <c:pt idx="19">
                  <c:v>130595328.9653537</c:v>
                </c:pt>
                <c:pt idx="20">
                  <c:v>126651334.49670541</c:v>
                </c:pt>
                <c:pt idx="21">
                  <c:v>154887000.42695332</c:v>
                </c:pt>
                <c:pt idx="22">
                  <c:v>136573547.69830561</c:v>
                </c:pt>
                <c:pt idx="23">
                  <c:v>131656222.99268518</c:v>
                </c:pt>
                <c:pt idx="24">
                  <c:v>109197116.86784905</c:v>
                </c:pt>
                <c:pt idx="25">
                  <c:v>112237176.74180089</c:v>
                </c:pt>
                <c:pt idx="26">
                  <c:v>145268495.91915864</c:v>
                </c:pt>
                <c:pt idx="27">
                  <c:v>158983884.68062049</c:v>
                </c:pt>
                <c:pt idx="28">
                  <c:v>150805979.90967456</c:v>
                </c:pt>
                <c:pt idx="29">
                  <c:v>151646494.77353448</c:v>
                </c:pt>
              </c:numCache>
            </c:numRef>
          </c:val>
          <c:extLst>
            <c:ext xmlns:c16="http://schemas.microsoft.com/office/drawing/2014/chart" uri="{C3380CC4-5D6E-409C-BE32-E72D297353CC}">
              <c16:uniqueId val="{00000000-D90B-46FC-961D-4FAA2193E10D}"/>
            </c:ext>
          </c:extLst>
        </c:ser>
        <c:dLbls>
          <c:showLegendKey val="0"/>
          <c:showVal val="0"/>
          <c:showCatName val="0"/>
          <c:showSerName val="0"/>
          <c:showPercent val="0"/>
          <c:showBubbleSize val="0"/>
        </c:dLbls>
        <c:gapWidth val="219"/>
        <c:overlap val="-27"/>
        <c:axId val="1784027744"/>
        <c:axId val="1784028224"/>
      </c:barChart>
      <c:lineChart>
        <c:grouping val="standard"/>
        <c:varyColors val="0"/>
        <c:ser>
          <c:idx val="1"/>
          <c:order val="1"/>
          <c:tx>
            <c:strRef>
              <c:f>'Gráficos Antigo'!$C$367</c:f>
              <c:strCache>
                <c:ptCount val="1"/>
                <c:pt idx="0">
                  <c:v>Fluxo de Caixa Acumulado do Projeto</c:v>
                </c:pt>
              </c:strCache>
            </c:strRef>
          </c:tx>
          <c:spPr>
            <a:ln w="28575" cap="rnd">
              <a:solidFill>
                <a:schemeClr val="accent2"/>
              </a:solidFill>
              <a:round/>
            </a:ln>
            <a:effectLst/>
          </c:spPr>
          <c:marker>
            <c:symbol val="none"/>
          </c:marker>
          <c:cat>
            <c:strRef>
              <c:f>'Gráficos Antigo'!$D$365:$AG$365</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Antigo'!$D$367:$AG$367</c:f>
              <c:numCache>
                <c:formatCode>[$R$-416]\ #,##0.00;[Red]\-[$R$-416]\ #,##0.00</c:formatCode>
                <c:ptCount val="30"/>
                <c:pt idx="0">
                  <c:v>-118532213.4148611</c:v>
                </c:pt>
                <c:pt idx="1">
                  <c:v>-196560556.7932319</c:v>
                </c:pt>
                <c:pt idx="2">
                  <c:v>-234188000.33977073</c:v>
                </c:pt>
                <c:pt idx="3">
                  <c:v>-281412572.5563947</c:v>
                </c:pt>
                <c:pt idx="4">
                  <c:v>-352207886.53677416</c:v>
                </c:pt>
                <c:pt idx="5">
                  <c:v>-405928460.45406997</c:v>
                </c:pt>
                <c:pt idx="6">
                  <c:v>-321814092.61364257</c:v>
                </c:pt>
                <c:pt idx="7">
                  <c:v>-290944586.78813165</c:v>
                </c:pt>
                <c:pt idx="8">
                  <c:v>-261566101.37371153</c:v>
                </c:pt>
                <c:pt idx="9">
                  <c:v>-196691730.88646805</c:v>
                </c:pt>
                <c:pt idx="10">
                  <c:v>-126136480.77983087</c:v>
                </c:pt>
                <c:pt idx="11">
                  <c:v>-26650367.873552635</c:v>
                </c:pt>
                <c:pt idx="12">
                  <c:v>75204614.903472796</c:v>
                </c:pt>
                <c:pt idx="13">
                  <c:v>190999438.3081564</c:v>
                </c:pt>
                <c:pt idx="14">
                  <c:v>27709318.158199519</c:v>
                </c:pt>
                <c:pt idx="15">
                  <c:v>108874148.9661566</c:v>
                </c:pt>
                <c:pt idx="16">
                  <c:v>126112281.07347049</c:v>
                </c:pt>
                <c:pt idx="17">
                  <c:v>158403161.02333292</c:v>
                </c:pt>
                <c:pt idx="18">
                  <c:v>239408747.09032354</c:v>
                </c:pt>
                <c:pt idx="19">
                  <c:v>370004076.05567724</c:v>
                </c:pt>
                <c:pt idx="20">
                  <c:v>496655410.55238265</c:v>
                </c:pt>
                <c:pt idx="21">
                  <c:v>651542410.97933602</c:v>
                </c:pt>
                <c:pt idx="22">
                  <c:v>788115958.67764163</c:v>
                </c:pt>
                <c:pt idx="23">
                  <c:v>919772181.67032683</c:v>
                </c:pt>
                <c:pt idx="24">
                  <c:v>1028969298.5381758</c:v>
                </c:pt>
                <c:pt idx="25">
                  <c:v>1141206475.2799766</c:v>
                </c:pt>
                <c:pt idx="26">
                  <c:v>1286474971.1991353</c:v>
                </c:pt>
                <c:pt idx="27">
                  <c:v>1445458855.8797557</c:v>
                </c:pt>
                <c:pt idx="28">
                  <c:v>1596264835.7894304</c:v>
                </c:pt>
                <c:pt idx="29">
                  <c:v>1747911330.5629649</c:v>
                </c:pt>
              </c:numCache>
            </c:numRef>
          </c:val>
          <c:smooth val="0"/>
          <c:extLst>
            <c:ext xmlns:c16="http://schemas.microsoft.com/office/drawing/2014/chart" uri="{C3380CC4-5D6E-409C-BE32-E72D297353CC}">
              <c16:uniqueId val="{00000001-D90B-46FC-961D-4FAA2193E10D}"/>
            </c:ext>
          </c:extLst>
        </c:ser>
        <c:dLbls>
          <c:showLegendKey val="0"/>
          <c:showVal val="0"/>
          <c:showCatName val="0"/>
          <c:showSerName val="0"/>
          <c:showPercent val="0"/>
          <c:showBubbleSize val="0"/>
        </c:dLbls>
        <c:marker val="1"/>
        <c:smooth val="0"/>
        <c:axId val="1784030624"/>
        <c:axId val="1784030144"/>
      </c:lineChart>
      <c:catAx>
        <c:axId val="178402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28224"/>
        <c:crosses val="autoZero"/>
        <c:auto val="1"/>
        <c:lblAlgn val="ctr"/>
        <c:lblOffset val="100"/>
        <c:noMultiLvlLbl val="0"/>
      </c:catAx>
      <c:valAx>
        <c:axId val="1784028224"/>
        <c:scaling>
          <c:orientation val="minMax"/>
          <c:max val="100000000"/>
          <c:min val="-300000000"/>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2774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784030144"/>
        <c:scaling>
          <c:orientation val="minMax"/>
        </c:scaling>
        <c:delete val="0"/>
        <c:axPos val="r"/>
        <c:numFmt formatCode="[$R$-416]\ #,##0.00;[Red]\-[$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30624"/>
        <c:crosses val="max"/>
        <c:crossBetween val="between"/>
      </c:valAx>
      <c:catAx>
        <c:axId val="1784030624"/>
        <c:scaling>
          <c:orientation val="minMax"/>
        </c:scaling>
        <c:delete val="1"/>
        <c:axPos val="b"/>
        <c:numFmt formatCode="General" sourceLinked="1"/>
        <c:majorTickMark val="out"/>
        <c:minorTickMark val="none"/>
        <c:tickLblPos val="nextTo"/>
        <c:crossAx val="17840301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6 - EBITDA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'Gráficos Antigo'!$C$331</c:f>
              <c:strCache>
                <c:ptCount val="1"/>
                <c:pt idx="0">
                  <c:v>Receita Tarifária Bruta</c:v>
                </c:pt>
              </c:strCache>
            </c:strRef>
          </c:tx>
          <c:spPr>
            <a:solidFill>
              <a:schemeClr val="accent1"/>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Antigo'!$D$331:$AG$331</c:f>
              <c:numCache>
                <c:formatCode>[$R$-416]\ #,##0.00;[Red]\-[$R$-416]\ #,##0.00</c:formatCode>
                <c:ptCount val="30"/>
                <c:pt idx="0">
                  <c:v>0</c:v>
                </c:pt>
                <c:pt idx="1">
                  <c:v>109238177.13299778</c:v>
                </c:pt>
                <c:pt idx="2">
                  <c:v>147531234.75532261</c:v>
                </c:pt>
                <c:pt idx="3">
                  <c:v>149919059.56020534</c:v>
                </c:pt>
                <c:pt idx="4">
                  <c:v>177470201.77183709</c:v>
                </c:pt>
                <c:pt idx="5">
                  <c:v>181480353.52438214</c:v>
                </c:pt>
                <c:pt idx="6">
                  <c:v>208837934.471746</c:v>
                </c:pt>
                <c:pt idx="7">
                  <c:v>213671897.94399202</c:v>
                </c:pt>
                <c:pt idx="8">
                  <c:v>219160277.81460238</c:v>
                </c:pt>
                <c:pt idx="9">
                  <c:v>225417122.23380974</c:v>
                </c:pt>
                <c:pt idx="10">
                  <c:v>231865834.10368967</c:v>
                </c:pt>
                <c:pt idx="11">
                  <c:v>238492820.40647805</c:v>
                </c:pt>
                <c:pt idx="12">
                  <c:v>244915077.98549005</c:v>
                </c:pt>
                <c:pt idx="13">
                  <c:v>251093746.84939602</c:v>
                </c:pt>
                <c:pt idx="14">
                  <c:v>256988768.18293226</c:v>
                </c:pt>
                <c:pt idx="15">
                  <c:v>274627737.72099286</c:v>
                </c:pt>
                <c:pt idx="16">
                  <c:v>280103298.28435165</c:v>
                </c:pt>
                <c:pt idx="17">
                  <c:v>285190898.22115886</c:v>
                </c:pt>
                <c:pt idx="18">
                  <c:v>289865052.62145883</c:v>
                </c:pt>
                <c:pt idx="19">
                  <c:v>294104435.98923111</c:v>
                </c:pt>
                <c:pt idx="20">
                  <c:v>297886346.21755207</c:v>
                </c:pt>
                <c:pt idx="21">
                  <c:v>301194131.19534475</c:v>
                </c:pt>
                <c:pt idx="22">
                  <c:v>304016068.79474592</c:v>
                </c:pt>
                <c:pt idx="23">
                  <c:v>306338450.56668079</c:v>
                </c:pt>
                <c:pt idx="24">
                  <c:v>308148424.94242519</c:v>
                </c:pt>
                <c:pt idx="25">
                  <c:v>309438080.1418553</c:v>
                </c:pt>
                <c:pt idx="26">
                  <c:v>310201856.64560527</c:v>
                </c:pt>
                <c:pt idx="27">
                  <c:v>310431629.39116567</c:v>
                </c:pt>
                <c:pt idx="28">
                  <c:v>310120514.25639683</c:v>
                </c:pt>
                <c:pt idx="29">
                  <c:v>309263993.35670298</c:v>
                </c:pt>
              </c:numCache>
            </c:numRef>
          </c:val>
          <c:extLst>
            <c:ext xmlns:c16="http://schemas.microsoft.com/office/drawing/2014/chart" uri="{C3380CC4-5D6E-409C-BE32-E72D297353CC}">
              <c16:uniqueId val="{00000000-72C1-4E60-B505-D30CA5949807}"/>
            </c:ext>
          </c:extLst>
        </c:ser>
        <c:ser>
          <c:idx val="1"/>
          <c:order val="1"/>
          <c:tx>
            <c:strRef>
              <c:f>'Gráficos Antigo'!$C$332</c:f>
              <c:strCache>
                <c:ptCount val="1"/>
                <c:pt idx="0">
                  <c:v>Receita Líquida</c:v>
                </c:pt>
              </c:strCache>
            </c:strRef>
          </c:tx>
          <c:spPr>
            <a:solidFill>
              <a:schemeClr val="accent2"/>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Antigo'!$D$332:$AG$332</c:f>
              <c:numCache>
                <c:formatCode>[$R$-416]\ #,##0.00;[Red]\-[$R$-416]\ #,##0.00</c:formatCode>
                <c:ptCount val="30"/>
                <c:pt idx="0">
                  <c:v>3567551.45</c:v>
                </c:pt>
                <c:pt idx="1">
                  <c:v>121654132.48868108</c:v>
                </c:pt>
                <c:pt idx="2">
                  <c:v>169030867.48725167</c:v>
                </c:pt>
                <c:pt idx="3">
                  <c:v>195935646.21615428</c:v>
                </c:pt>
                <c:pt idx="4">
                  <c:v>233906338.19678485</c:v>
                </c:pt>
                <c:pt idx="5">
                  <c:v>250548124.15692264</c:v>
                </c:pt>
                <c:pt idx="6">
                  <c:v>276730070.69797432</c:v>
                </c:pt>
                <c:pt idx="7">
                  <c:v>279657029.07025284</c:v>
                </c:pt>
                <c:pt idx="8">
                  <c:v>283333950.97196078</c:v>
                </c:pt>
                <c:pt idx="9">
                  <c:v>287934063.70825195</c:v>
                </c:pt>
                <c:pt idx="10">
                  <c:v>292821104.95494497</c:v>
                </c:pt>
                <c:pt idx="11">
                  <c:v>297905725.66703117</c:v>
                </c:pt>
                <c:pt idx="12">
                  <c:v>302841564.53799993</c:v>
                </c:pt>
                <c:pt idx="13">
                  <c:v>307586009.42393351</c:v>
                </c:pt>
                <c:pt idx="14">
                  <c:v>312095263.32761782</c:v>
                </c:pt>
                <c:pt idx="15">
                  <c:v>328876132.39878756</c:v>
                </c:pt>
                <c:pt idx="16">
                  <c:v>333063012.81938183</c:v>
                </c:pt>
                <c:pt idx="17">
                  <c:v>336900156.54250008</c:v>
                </c:pt>
                <c:pt idx="18">
                  <c:v>340359160.65654635</c:v>
                </c:pt>
                <c:pt idx="19">
                  <c:v>343416001.83879036</c:v>
                </c:pt>
                <c:pt idx="20">
                  <c:v>346045289.02326798</c:v>
                </c:pt>
                <c:pt idx="21">
                  <c:v>348227975.00440365</c:v>
                </c:pt>
                <c:pt idx="22">
                  <c:v>349950193.51567268</c:v>
                </c:pt>
                <c:pt idx="23">
                  <c:v>351196074.40155303</c:v>
                </c:pt>
                <c:pt idx="24">
                  <c:v>351950692.32000667</c:v>
                </c:pt>
                <c:pt idx="25">
                  <c:v>352204305.96524072</c:v>
                </c:pt>
                <c:pt idx="26">
                  <c:v>351949666.49487436</c:v>
                </c:pt>
                <c:pt idx="27">
                  <c:v>351176907.22149765</c:v>
                </c:pt>
                <c:pt idx="28">
                  <c:v>349877498.4632436</c:v>
                </c:pt>
                <c:pt idx="29">
                  <c:v>348045417.12160033</c:v>
                </c:pt>
              </c:numCache>
            </c:numRef>
          </c:val>
          <c:extLst>
            <c:ext xmlns:c16="http://schemas.microsoft.com/office/drawing/2014/chart" uri="{C3380CC4-5D6E-409C-BE32-E72D297353CC}">
              <c16:uniqueId val="{00000001-72C1-4E60-B505-D30CA5949807}"/>
            </c:ext>
          </c:extLst>
        </c:ser>
        <c:ser>
          <c:idx val="2"/>
          <c:order val="2"/>
          <c:tx>
            <c:strRef>
              <c:f>'Gráficos Antigo'!$C$333</c:f>
              <c:strCache>
                <c:ptCount val="1"/>
                <c:pt idx="0">
                  <c:v>EBITDA</c:v>
                </c:pt>
              </c:strCache>
            </c:strRef>
          </c:tx>
          <c:spPr>
            <a:solidFill>
              <a:schemeClr val="accent3"/>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Antigo'!$D$333:$AG$333</c:f>
              <c:numCache>
                <c:formatCode>[$R$-416]\ #,##0.00;[Red]\-[$R$-416]\ #,##0.00</c:formatCode>
                <c:ptCount val="30"/>
                <c:pt idx="0">
                  <c:v>-47310777.36809732</c:v>
                </c:pt>
                <c:pt idx="1">
                  <c:v>52120282.434425391</c:v>
                </c:pt>
                <c:pt idx="2">
                  <c:v>89332222.117815882</c:v>
                </c:pt>
                <c:pt idx="3">
                  <c:v>111817737.01514758</c:v>
                </c:pt>
                <c:pt idx="4">
                  <c:v>148029410.01731229</c:v>
                </c:pt>
                <c:pt idx="5">
                  <c:v>164968886.72622785</c:v>
                </c:pt>
                <c:pt idx="6">
                  <c:v>186550986.06816813</c:v>
                </c:pt>
                <c:pt idx="7">
                  <c:v>188706839.71250662</c:v>
                </c:pt>
                <c:pt idx="8">
                  <c:v>193436153.1748018</c:v>
                </c:pt>
                <c:pt idx="9">
                  <c:v>197293216.8947475</c:v>
                </c:pt>
                <c:pt idx="10">
                  <c:v>200890833.5110254</c:v>
                </c:pt>
                <c:pt idx="11">
                  <c:v>204578400.76719376</c:v>
                </c:pt>
                <c:pt idx="12">
                  <c:v>208112914.4667874</c:v>
                </c:pt>
                <c:pt idx="13">
                  <c:v>211692708.55828837</c:v>
                </c:pt>
                <c:pt idx="14">
                  <c:v>213942169.25860232</c:v>
                </c:pt>
                <c:pt idx="15">
                  <c:v>227533513.22051024</c:v>
                </c:pt>
                <c:pt idx="16">
                  <c:v>230324640.15974084</c:v>
                </c:pt>
                <c:pt idx="17">
                  <c:v>233234100.70877695</c:v>
                </c:pt>
                <c:pt idx="18">
                  <c:v>235721064.53129235</c:v>
                </c:pt>
                <c:pt idx="19">
                  <c:v>240208723.85590664</c:v>
                </c:pt>
                <c:pt idx="20">
                  <c:v>242070072.81205878</c:v>
                </c:pt>
                <c:pt idx="21">
                  <c:v>243950573.87135023</c:v>
                </c:pt>
                <c:pt idx="22">
                  <c:v>245066445.30918539</c:v>
                </c:pt>
                <c:pt idx="23">
                  <c:v>245949293.62412426</c:v>
                </c:pt>
                <c:pt idx="24">
                  <c:v>246241065.33415866</c:v>
                </c:pt>
                <c:pt idx="25">
                  <c:v>247950735.10894156</c:v>
                </c:pt>
                <c:pt idx="26">
                  <c:v>247451935.88158458</c:v>
                </c:pt>
                <c:pt idx="27">
                  <c:v>246780669.07080853</c:v>
                </c:pt>
                <c:pt idx="28">
                  <c:v>245193743.87614217</c:v>
                </c:pt>
                <c:pt idx="29">
                  <c:v>243753045.36094397</c:v>
                </c:pt>
              </c:numCache>
            </c:numRef>
          </c:val>
          <c:extLst>
            <c:ext xmlns:c16="http://schemas.microsoft.com/office/drawing/2014/chart" uri="{C3380CC4-5D6E-409C-BE32-E72D297353CC}">
              <c16:uniqueId val="{00000002-72C1-4E60-B505-D30CA5949807}"/>
            </c:ext>
          </c:extLst>
        </c:ser>
        <c:dLbls>
          <c:showLegendKey val="0"/>
          <c:showVal val="0"/>
          <c:showCatName val="0"/>
          <c:showSerName val="0"/>
          <c:showPercent val="0"/>
          <c:showBubbleSize val="0"/>
        </c:dLbls>
        <c:gapWidth val="219"/>
        <c:axId val="1755940400"/>
        <c:axId val="1796725296"/>
      </c:barChart>
      <c:lineChart>
        <c:grouping val="standard"/>
        <c:varyColors val="0"/>
        <c:ser>
          <c:idx val="3"/>
          <c:order val="3"/>
          <c:tx>
            <c:strRef>
              <c:f>'Gráficos Antigo'!$C$334</c:f>
              <c:strCache>
                <c:ptCount val="1"/>
                <c:pt idx="0">
                  <c:v>Margem EBITDA</c:v>
                </c:pt>
              </c:strCache>
            </c:strRef>
          </c:tx>
          <c:spPr>
            <a:ln w="28575" cap="rnd">
              <a:solidFill>
                <a:schemeClr val="accent4"/>
              </a:solidFill>
              <a:round/>
            </a:ln>
            <a:effectLst/>
          </c:spPr>
          <c:marker>
            <c:symbol val="none"/>
          </c:marker>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Antigo'!$D$334:$AG$334</c:f>
              <c:numCache>
                <c:formatCode>[$R$-416]\ #,##0.00;[Red]\-[$R$-416]\ #,##0.00</c:formatCode>
                <c:ptCount val="30"/>
                <c:pt idx="0">
                  <c:v>-13.261414174726847</c:v>
                </c:pt>
                <c:pt idx="1">
                  <c:v>0.42843002015796511</c:v>
                </c:pt>
                <c:pt idx="2">
                  <c:v>0.52849650153131544</c:v>
                </c:pt>
                <c:pt idx="3">
                  <c:v>0.57068603480038216</c:v>
                </c:pt>
                <c:pt idx="4">
                  <c:v>0.63285762651192246</c:v>
                </c:pt>
                <c:pt idx="5">
                  <c:v>0.65843193710324877</c:v>
                </c:pt>
                <c:pt idx="6">
                  <c:v>0.6741261822311011</c:v>
                </c:pt>
                <c:pt idx="7">
                  <c:v>0.67477953384501355</c:v>
                </c:pt>
                <c:pt idx="8">
                  <c:v>0.68271434648488194</c:v>
                </c:pt>
                <c:pt idx="9">
                  <c:v>0.68520276605637764</c:v>
                </c:pt>
                <c:pt idx="10">
                  <c:v>0.68605312291931808</c:v>
                </c:pt>
                <c:pt idx="11">
                  <c:v>0.68672194973469813</c:v>
                </c:pt>
                <c:pt idx="12">
                  <c:v>0.68720063173717305</c:v>
                </c:pt>
                <c:pt idx="13">
                  <c:v>0.68823906833330895</c:v>
                </c:pt>
                <c:pt idx="14">
                  <c:v>0.68550277558688677</c:v>
                </c:pt>
                <c:pt idx="15">
                  <c:v>0.69185170587146283</c:v>
                </c:pt>
                <c:pt idx="16">
                  <c:v>0.6915347285489325</c:v>
                </c:pt>
                <c:pt idx="17">
                  <c:v>0.69229442664077356</c:v>
                </c:pt>
                <c:pt idx="18">
                  <c:v>0.6925656535190382</c:v>
                </c:pt>
                <c:pt idx="19">
                  <c:v>0.69946864027806055</c:v>
                </c:pt>
                <c:pt idx="20">
                  <c:v>0.69953292384160171</c:v>
                </c:pt>
                <c:pt idx="21">
                  <c:v>0.70054846647017732</c:v>
                </c:pt>
                <c:pt idx="22">
                  <c:v>0.70028949790596406</c:v>
                </c:pt>
                <c:pt idx="23">
                  <c:v>0.70031902846074823</c:v>
                </c:pt>
                <c:pt idx="24">
                  <c:v>0.69964648658871542</c:v>
                </c:pt>
                <c:pt idx="25">
                  <c:v>0.70399688734473331</c:v>
                </c:pt>
                <c:pt idx="26">
                  <c:v>0.70308899095146138</c:v>
                </c:pt>
                <c:pt idx="27">
                  <c:v>0.70272464958852399</c:v>
                </c:pt>
                <c:pt idx="28">
                  <c:v>0.70079883660166564</c:v>
                </c:pt>
                <c:pt idx="29">
                  <c:v>0.70034838377366526</c:v>
                </c:pt>
              </c:numCache>
            </c:numRef>
          </c:val>
          <c:smooth val="0"/>
          <c:extLst>
            <c:ext xmlns:c16="http://schemas.microsoft.com/office/drawing/2014/chart" uri="{C3380CC4-5D6E-409C-BE32-E72D297353CC}">
              <c16:uniqueId val="{00000003-72C1-4E60-B505-D30CA5949807}"/>
            </c:ext>
          </c:extLst>
        </c:ser>
        <c:dLbls>
          <c:showLegendKey val="0"/>
          <c:showVal val="0"/>
          <c:showCatName val="0"/>
          <c:showSerName val="0"/>
          <c:showPercent val="0"/>
          <c:showBubbleSize val="0"/>
        </c:dLbls>
        <c:marker val="1"/>
        <c:smooth val="0"/>
        <c:axId val="1693594704"/>
        <c:axId val="1693591344"/>
      </c:lineChart>
      <c:catAx>
        <c:axId val="175594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725296"/>
        <c:crosses val="autoZero"/>
        <c:auto val="1"/>
        <c:lblAlgn val="ctr"/>
        <c:lblOffset val="100"/>
        <c:noMultiLvlLbl val="0"/>
      </c:catAx>
      <c:valAx>
        <c:axId val="1796725296"/>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55940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693591344"/>
        <c:scaling>
          <c:orientation val="minMax"/>
          <c:min val="-0.60000000000000009"/>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93594704"/>
        <c:crosses val="max"/>
        <c:crossBetween val="between"/>
      </c:valAx>
      <c:catAx>
        <c:axId val="1693594704"/>
        <c:scaling>
          <c:orientation val="minMax"/>
        </c:scaling>
        <c:delete val="1"/>
        <c:axPos val="b"/>
        <c:numFmt formatCode="General" sourceLinked="1"/>
        <c:majorTickMark val="out"/>
        <c:minorTickMark val="none"/>
        <c:tickLblPos val="nextTo"/>
        <c:crossAx val="1693591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5 - Aporte vs. CAPEX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'Gráficos Antigo'!$C$230</c:f>
              <c:strCache>
                <c:ptCount val="1"/>
                <c:pt idx="0">
                  <c:v>Recebimento de aporte estatal</c:v>
                </c:pt>
              </c:strCache>
            </c:strRef>
          </c:tx>
          <c:spPr>
            <a:ln w="28575" cap="rnd">
              <a:solidFill>
                <a:schemeClr val="accent1"/>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Antigo'!$D$230:$AG$230</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00-AB63-440D-8485-D2133D7DFE7D}"/>
            </c:ext>
          </c:extLst>
        </c:ser>
        <c:ser>
          <c:idx val="1"/>
          <c:order val="1"/>
          <c:tx>
            <c:strRef>
              <c:f>'Gráficos Antigo'!$C$231</c:f>
              <c:strCache>
                <c:ptCount val="1"/>
                <c:pt idx="0">
                  <c:v>Capex</c:v>
                </c:pt>
              </c:strCache>
            </c:strRef>
          </c:tx>
          <c:spPr>
            <a:ln w="28575" cap="rnd">
              <a:solidFill>
                <a:schemeClr val="accent2"/>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Antigo'!$D$231:$AG$231</c:f>
              <c:numCache>
                <c:formatCode>[$R$-416]\ #,##0.00;[Red]\-[$R$-416]\ #,##0.00</c:formatCode>
                <c:ptCount val="30"/>
                <c:pt idx="0">
                  <c:v>-178599736.04676378</c:v>
                </c:pt>
                <c:pt idx="1">
                  <c:v>-116521385.76469104</c:v>
                </c:pt>
                <c:pt idx="2">
                  <c:v>-351556578.7818054</c:v>
                </c:pt>
                <c:pt idx="3">
                  <c:v>-837400264.57339108</c:v>
                </c:pt>
                <c:pt idx="4">
                  <c:v>-505318568.26877183</c:v>
                </c:pt>
                <c:pt idx="5">
                  <c:v>-496236352.91614836</c:v>
                </c:pt>
                <c:pt idx="6">
                  <c:v>-5187536.297820067</c:v>
                </c:pt>
                <c:pt idx="7">
                  <c:v>-61939863.914150342</c:v>
                </c:pt>
                <c:pt idx="8">
                  <c:v>-68711049.279476479</c:v>
                </c:pt>
                <c:pt idx="9">
                  <c:v>-37408190.679644719</c:v>
                </c:pt>
                <c:pt idx="10">
                  <c:v>-35701142.339237891</c:v>
                </c:pt>
                <c:pt idx="11">
                  <c:v>-10308905.579130599</c:v>
                </c:pt>
                <c:pt idx="12">
                  <c:v>-11370329.22712113</c:v>
                </c:pt>
                <c:pt idx="13">
                  <c:v>-651514.00422605418</c:v>
                </c:pt>
                <c:pt idx="14">
                  <c:v>-288160645.45553917</c:v>
                </c:pt>
                <c:pt idx="15">
                  <c:v>-54456059.627743311</c:v>
                </c:pt>
                <c:pt idx="16">
                  <c:v>-123744063.90159652</c:v>
                </c:pt>
                <c:pt idx="17">
                  <c:v>-113985356.76427202</c:v>
                </c:pt>
                <c:pt idx="18">
                  <c:v>-69147531.694192544</c:v>
                </c:pt>
                <c:pt idx="19">
                  <c:v>-23443519.900715314</c:v>
                </c:pt>
                <c:pt idx="20">
                  <c:v>-29796576.737236101</c:v>
                </c:pt>
                <c:pt idx="21">
                  <c:v>-3043823.9097820926</c:v>
                </c:pt>
                <c:pt idx="22">
                  <c:v>-23198168.890982345</c:v>
                </c:pt>
                <c:pt idx="23">
                  <c:v>-30247675.943929676</c:v>
                </c:pt>
                <c:pt idx="24">
                  <c:v>-56105385.567156322</c:v>
                </c:pt>
                <c:pt idx="25">
                  <c:v>-58057438.006721489</c:v>
                </c:pt>
                <c:pt idx="26">
                  <c:v>-26753060.130895667</c:v>
                </c:pt>
                <c:pt idx="27">
                  <c:v>-13878395.354899159</c:v>
                </c:pt>
                <c:pt idx="28">
                  <c:v>-24909861.391688135</c:v>
                </c:pt>
                <c:pt idx="29">
                  <c:v>-34317597.273617856</c:v>
                </c:pt>
              </c:numCache>
            </c:numRef>
          </c:val>
          <c:smooth val="0"/>
          <c:extLst>
            <c:ext xmlns:c16="http://schemas.microsoft.com/office/drawing/2014/chart" uri="{C3380CC4-5D6E-409C-BE32-E72D297353CC}">
              <c16:uniqueId val="{00000001-AB63-440D-8485-D2133D7DFE7D}"/>
            </c:ext>
          </c:extLst>
        </c:ser>
        <c:ser>
          <c:idx val="2"/>
          <c:order val="2"/>
          <c:tx>
            <c:strRef>
              <c:f>'Gráficos Antigo'!$C$232</c:f>
              <c:strCache>
                <c:ptCount val="1"/>
                <c:pt idx="0">
                  <c:v>Opex com ônus, seguros e garantias</c:v>
                </c:pt>
              </c:strCache>
            </c:strRef>
          </c:tx>
          <c:spPr>
            <a:ln w="28575" cap="rnd">
              <a:solidFill>
                <a:schemeClr val="accent3"/>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Antigo'!$D$232:$AG$232</c:f>
              <c:numCache>
                <c:formatCode>[$R$-416]\ #,##0.00;[Red]\-[$R$-416]\ #,##0.00</c:formatCode>
                <c:ptCount val="30"/>
                <c:pt idx="0">
                  <c:v>-50878328.818097323</c:v>
                </c:pt>
                <c:pt idx="1">
                  <c:v>-49870978.170316093</c:v>
                </c:pt>
                <c:pt idx="2">
                  <c:v>-56093647.808584154</c:v>
                </c:pt>
                <c:pt idx="3">
                  <c:v>-61630050.266975917</c:v>
                </c:pt>
                <c:pt idx="4">
                  <c:v>-62805801.949133761</c:v>
                </c:pt>
                <c:pt idx="5">
                  <c:v>-61986791.47252515</c:v>
                </c:pt>
                <c:pt idx="6">
                  <c:v>-63030153.148479216</c:v>
                </c:pt>
                <c:pt idx="7">
                  <c:v>-63172842.625027247</c:v>
                </c:pt>
                <c:pt idx="8">
                  <c:v>-61406961.681260705</c:v>
                </c:pt>
                <c:pt idx="9">
                  <c:v>-61336620.923109204</c:v>
                </c:pt>
                <c:pt idx="10">
                  <c:v>-61787713.010439932</c:v>
                </c:pt>
                <c:pt idx="11">
                  <c:v>-62323258.246995255</c:v>
                </c:pt>
                <c:pt idx="12">
                  <c:v>-62889689.933098763</c:v>
                </c:pt>
                <c:pt idx="13">
                  <c:v>-63251113.775223687</c:v>
                </c:pt>
                <c:pt idx="14">
                  <c:v>-64744554.205234334</c:v>
                </c:pt>
                <c:pt idx="15">
                  <c:v>-65641013.274548233</c:v>
                </c:pt>
                <c:pt idx="16">
                  <c:v>-66324943.882675245</c:v>
                </c:pt>
                <c:pt idx="17">
                  <c:v>-66591239.06497255</c:v>
                </c:pt>
                <c:pt idx="18">
                  <c:v>-66955639.284464359</c:v>
                </c:pt>
                <c:pt idx="19">
                  <c:v>-64973701.304283708</c:v>
                </c:pt>
                <c:pt idx="20">
                  <c:v>-65249991.202927426</c:v>
                </c:pt>
                <c:pt idx="21">
                  <c:v>-65122164.077658594</c:v>
                </c:pt>
                <c:pt idx="22">
                  <c:v>-65361659.263170317</c:v>
                </c:pt>
                <c:pt idx="23">
                  <c:v>-65422782.203760281</c:v>
                </c:pt>
                <c:pt idx="24">
                  <c:v>-65650331.743332773</c:v>
                </c:pt>
                <c:pt idx="25">
                  <c:v>-64026620.437857978</c:v>
                </c:pt>
                <c:pt idx="26">
                  <c:v>-64171489.249361075</c:v>
                </c:pt>
                <c:pt idx="27">
                  <c:v>-64040126.329837605</c:v>
                </c:pt>
                <c:pt idx="28">
                  <c:v>-64368087.733769827</c:v>
                </c:pt>
                <c:pt idx="29">
                  <c:v>-64088052.624284908</c:v>
                </c:pt>
              </c:numCache>
            </c:numRef>
          </c:val>
          <c:smooth val="0"/>
          <c:extLst>
            <c:ext xmlns:c16="http://schemas.microsoft.com/office/drawing/2014/chart" uri="{C3380CC4-5D6E-409C-BE32-E72D297353CC}">
              <c16:uniqueId val="{00000002-AB63-440D-8485-D2133D7DFE7D}"/>
            </c:ext>
          </c:extLst>
        </c:ser>
        <c:ser>
          <c:idx val="3"/>
          <c:order val="3"/>
          <c:tx>
            <c:strRef>
              <c:f>'Gráficos Antigo'!$C$233</c:f>
              <c:strCache>
                <c:ptCount val="1"/>
                <c:pt idx="0">
                  <c:v>Fluxo de Caixa Livre do Projeto</c:v>
                </c:pt>
              </c:strCache>
            </c:strRef>
          </c:tx>
          <c:spPr>
            <a:ln w="28575" cap="rnd">
              <a:solidFill>
                <a:schemeClr val="accent4"/>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Antigo'!$D$233:$AG$233</c:f>
              <c:numCache>
                <c:formatCode>[$R$-416]\ #,##0.00;[Red]\-[$R$-416]\ #,##0.00</c:formatCode>
                <c:ptCount val="30"/>
                <c:pt idx="0">
                  <c:v>-118532213.4148611</c:v>
                </c:pt>
                <c:pt idx="1">
                  <c:v>-78028343.378370821</c:v>
                </c:pt>
                <c:pt idx="2">
                  <c:v>-37627443.546538837</c:v>
                </c:pt>
                <c:pt idx="3">
                  <c:v>-47224572.216623954</c:v>
                </c:pt>
                <c:pt idx="4">
                  <c:v>-70795313.980379477</c:v>
                </c:pt>
                <c:pt idx="5">
                  <c:v>-53720573.917295806</c:v>
                </c:pt>
                <c:pt idx="6">
                  <c:v>84114367.840427399</c:v>
                </c:pt>
                <c:pt idx="7">
                  <c:v>30869505.825510897</c:v>
                </c:pt>
                <c:pt idx="8">
                  <c:v>29378485.414420113</c:v>
                </c:pt>
                <c:pt idx="9">
                  <c:v>64874370.487243466</c:v>
                </c:pt>
                <c:pt idx="10">
                  <c:v>70555250.10663718</c:v>
                </c:pt>
                <c:pt idx="11">
                  <c:v>99486112.906278238</c:v>
                </c:pt>
                <c:pt idx="12">
                  <c:v>101854982.77702543</c:v>
                </c:pt>
                <c:pt idx="13">
                  <c:v>115794823.4046836</c:v>
                </c:pt>
                <c:pt idx="14">
                  <c:v>-163290120.14995688</c:v>
                </c:pt>
                <c:pt idx="15">
                  <c:v>81164830.807957083</c:v>
                </c:pt>
                <c:pt idx="16">
                  <c:v>17238132.107313886</c:v>
                </c:pt>
                <c:pt idx="17">
                  <c:v>32290879.949862443</c:v>
                </c:pt>
                <c:pt idx="18">
                  <c:v>81005586.066990614</c:v>
                </c:pt>
                <c:pt idx="19">
                  <c:v>130595328.9653537</c:v>
                </c:pt>
                <c:pt idx="20">
                  <c:v>126651334.49670541</c:v>
                </c:pt>
                <c:pt idx="21">
                  <c:v>154887000.42695332</c:v>
                </c:pt>
                <c:pt idx="22">
                  <c:v>136573547.69830561</c:v>
                </c:pt>
                <c:pt idx="23">
                  <c:v>131656222.99268518</c:v>
                </c:pt>
                <c:pt idx="24">
                  <c:v>109197116.86784905</c:v>
                </c:pt>
                <c:pt idx="25">
                  <c:v>112237176.74180089</c:v>
                </c:pt>
                <c:pt idx="26">
                  <c:v>145268495.91915864</c:v>
                </c:pt>
                <c:pt idx="27">
                  <c:v>158983884.68062049</c:v>
                </c:pt>
                <c:pt idx="28">
                  <c:v>150805979.90967456</c:v>
                </c:pt>
                <c:pt idx="29">
                  <c:v>151646494.77353448</c:v>
                </c:pt>
              </c:numCache>
            </c:numRef>
          </c:val>
          <c:smooth val="0"/>
          <c:extLst>
            <c:ext xmlns:c16="http://schemas.microsoft.com/office/drawing/2014/chart" uri="{C3380CC4-5D6E-409C-BE32-E72D297353CC}">
              <c16:uniqueId val="{00000003-AB63-440D-8485-D2133D7DFE7D}"/>
            </c:ext>
          </c:extLst>
        </c:ser>
        <c:ser>
          <c:idx val="4"/>
          <c:order val="4"/>
          <c:tx>
            <c:strRef>
              <c:f>'Gráficos Antigo'!$C$234</c:f>
              <c:strCache>
                <c:ptCount val="1"/>
                <c:pt idx="0">
                  <c:v>Fluxo de Caixa Acumulado do Projeto</c:v>
                </c:pt>
              </c:strCache>
            </c:strRef>
          </c:tx>
          <c:spPr>
            <a:ln w="28575" cap="rnd">
              <a:solidFill>
                <a:schemeClr val="accent5"/>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Antigo'!$D$234:$AG$234</c:f>
              <c:numCache>
                <c:formatCode>[$R$-416]\ #,##0.00;[Red]\-[$R$-416]\ #,##0.00</c:formatCode>
                <c:ptCount val="30"/>
                <c:pt idx="0">
                  <c:v>-118532213.4148611</c:v>
                </c:pt>
                <c:pt idx="1">
                  <c:v>-196560556.7932319</c:v>
                </c:pt>
                <c:pt idx="2">
                  <c:v>-234188000.33977073</c:v>
                </c:pt>
                <c:pt idx="3">
                  <c:v>-281412572.5563947</c:v>
                </c:pt>
                <c:pt idx="4">
                  <c:v>-352207886.53677416</c:v>
                </c:pt>
                <c:pt idx="5">
                  <c:v>-405928460.45406997</c:v>
                </c:pt>
                <c:pt idx="6">
                  <c:v>-321814092.61364257</c:v>
                </c:pt>
                <c:pt idx="7">
                  <c:v>-290944586.78813165</c:v>
                </c:pt>
                <c:pt idx="8">
                  <c:v>-261566101.37371153</c:v>
                </c:pt>
                <c:pt idx="9">
                  <c:v>-196691730.88646805</c:v>
                </c:pt>
                <c:pt idx="10">
                  <c:v>-126136480.77983087</c:v>
                </c:pt>
                <c:pt idx="11">
                  <c:v>-26650367.873552635</c:v>
                </c:pt>
                <c:pt idx="12">
                  <c:v>75204614.903472796</c:v>
                </c:pt>
                <c:pt idx="13">
                  <c:v>190999438.3081564</c:v>
                </c:pt>
                <c:pt idx="14">
                  <c:v>27709318.158199519</c:v>
                </c:pt>
                <c:pt idx="15">
                  <c:v>108874148.9661566</c:v>
                </c:pt>
                <c:pt idx="16">
                  <c:v>126112281.07347049</c:v>
                </c:pt>
                <c:pt idx="17">
                  <c:v>158403161.02333292</c:v>
                </c:pt>
                <c:pt idx="18">
                  <c:v>239408747.09032354</c:v>
                </c:pt>
                <c:pt idx="19">
                  <c:v>370004076.05567724</c:v>
                </c:pt>
                <c:pt idx="20">
                  <c:v>496655410.55238265</c:v>
                </c:pt>
                <c:pt idx="21">
                  <c:v>651542410.97933602</c:v>
                </c:pt>
                <c:pt idx="22">
                  <c:v>788115958.67764163</c:v>
                </c:pt>
                <c:pt idx="23">
                  <c:v>919772181.67032683</c:v>
                </c:pt>
                <c:pt idx="24">
                  <c:v>1028969298.5381758</c:v>
                </c:pt>
                <c:pt idx="25">
                  <c:v>1141206475.2799766</c:v>
                </c:pt>
                <c:pt idx="26">
                  <c:v>1286474971.1991353</c:v>
                </c:pt>
                <c:pt idx="27">
                  <c:v>1445458855.8797557</c:v>
                </c:pt>
                <c:pt idx="28">
                  <c:v>1596264835.7894304</c:v>
                </c:pt>
                <c:pt idx="29">
                  <c:v>1747911330.5629649</c:v>
                </c:pt>
              </c:numCache>
            </c:numRef>
          </c:val>
          <c:smooth val="0"/>
          <c:extLst>
            <c:ext xmlns:c16="http://schemas.microsoft.com/office/drawing/2014/chart" uri="{C3380CC4-5D6E-409C-BE32-E72D297353CC}">
              <c16:uniqueId val="{00000004-AB63-440D-8485-D2133D7DFE7D}"/>
            </c:ext>
          </c:extLst>
        </c:ser>
        <c:dLbls>
          <c:showLegendKey val="0"/>
          <c:showVal val="0"/>
          <c:showCatName val="0"/>
          <c:showSerName val="0"/>
          <c:showPercent val="0"/>
          <c:showBubbleSize val="0"/>
        </c:dLbls>
        <c:smooth val="0"/>
        <c:axId val="1794412592"/>
        <c:axId val="1794413552"/>
      </c:lineChart>
      <c:catAx>
        <c:axId val="179441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4413552"/>
        <c:crosses val="autoZero"/>
        <c:auto val="1"/>
        <c:lblAlgn val="ctr"/>
        <c:lblOffset val="100"/>
        <c:noMultiLvlLbl val="0"/>
      </c:catAx>
      <c:valAx>
        <c:axId val="179441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4412592"/>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9 - VDMA</a:t>
            </a:r>
          </a:p>
        </c:rich>
      </c:tx>
      <c:layout>
        <c:manualLayout>
          <c:xMode val="edge"/>
          <c:yMode val="edge"/>
          <c:x val="0.4775462068474487"/>
          <c:y val="1.7657838365431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Antigo'!$C$449</c:f>
              <c:strCache>
                <c:ptCount val="1"/>
                <c:pt idx="0">
                  <c:v>P-01</c:v>
                </c:pt>
              </c:strCache>
            </c:strRef>
          </c:tx>
          <c:spPr>
            <a:solidFill>
              <a:schemeClr val="accent1"/>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Antigo'!$D$449:$AG$449</c:f>
              <c:numCache>
                <c:formatCode>0</c:formatCode>
                <c:ptCount val="30"/>
                <c:pt idx="0">
                  <c:v>14556.00227577238</c:v>
                </c:pt>
                <c:pt idx="1">
                  <c:v>15118.340982089643</c:v>
                </c:pt>
                <c:pt idx="2">
                  <c:v>15699.399045364693</c:v>
                </c:pt>
                <c:pt idx="3">
                  <c:v>16303.883143836727</c:v>
                </c:pt>
                <c:pt idx="4">
                  <c:v>16931.50618532213</c:v>
                </c:pt>
                <c:pt idx="5">
                  <c:v>17578.385181157468</c:v>
                </c:pt>
                <c:pt idx="6">
                  <c:v>18237.651207184332</c:v>
                </c:pt>
                <c:pt idx="7">
                  <c:v>18903.991703120711</c:v>
                </c:pt>
                <c:pt idx="8">
                  <c:v>19572.541287492943</c:v>
                </c:pt>
                <c:pt idx="9">
                  <c:v>20238.720068707746</c:v>
                </c:pt>
                <c:pt idx="10">
                  <c:v>20897.610638791401</c:v>
                </c:pt>
                <c:pt idx="11">
                  <c:v>21544.357613601936</c:v>
                </c:pt>
                <c:pt idx="12">
                  <c:v>22175.087112575136</c:v>
                </c:pt>
                <c:pt idx="13">
                  <c:v>22785.970262561776</c:v>
                </c:pt>
                <c:pt idx="14">
                  <c:v>23373.030275892765</c:v>
                </c:pt>
                <c:pt idx="15">
                  <c:v>23932.455980393999</c:v>
                </c:pt>
                <c:pt idx="16">
                  <c:v>24461.456663316327</c:v>
                </c:pt>
                <c:pt idx="17">
                  <c:v>24957.634435725249</c:v>
                </c:pt>
                <c:pt idx="18">
                  <c:v>25418.447391750586</c:v>
                </c:pt>
                <c:pt idx="19">
                  <c:v>25841.715354173277</c:v>
                </c:pt>
                <c:pt idx="20">
                  <c:v>26225.137479141049</c:v>
                </c:pt>
                <c:pt idx="21">
                  <c:v>26566.954479835815</c:v>
                </c:pt>
                <c:pt idx="22">
                  <c:v>26865.854379577784</c:v>
                </c:pt>
                <c:pt idx="23">
                  <c:v>27120.357756764282</c:v>
                </c:pt>
                <c:pt idx="24">
                  <c:v>27329.06548258528</c:v>
                </c:pt>
                <c:pt idx="25">
                  <c:v>27491.023512463071</c:v>
                </c:pt>
                <c:pt idx="26">
                  <c:v>27605.486992670201</c:v>
                </c:pt>
                <c:pt idx="27">
                  <c:v>27671.480157891492</c:v>
                </c:pt>
                <c:pt idx="28">
                  <c:v>27688.142377463904</c:v>
                </c:pt>
                <c:pt idx="29">
                  <c:v>27654.834028485217</c:v>
                </c:pt>
              </c:numCache>
            </c:numRef>
          </c:val>
          <c:extLst>
            <c:ext xmlns:c16="http://schemas.microsoft.com/office/drawing/2014/chart" uri="{C3380CC4-5D6E-409C-BE32-E72D297353CC}">
              <c16:uniqueId val="{00000000-4AB6-44F8-8A55-A36EEEE89E4B}"/>
            </c:ext>
          </c:extLst>
        </c:ser>
        <c:ser>
          <c:idx val="1"/>
          <c:order val="1"/>
          <c:tx>
            <c:strRef>
              <c:f>'Gráficos Antigo'!$C$450</c:f>
              <c:strCache>
                <c:ptCount val="1"/>
                <c:pt idx="0">
                  <c:v>P-02</c:v>
                </c:pt>
              </c:strCache>
            </c:strRef>
          </c:tx>
          <c:spPr>
            <a:solidFill>
              <a:schemeClr val="accent2"/>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Antigo'!$D$450:$AG$450</c:f>
              <c:numCache>
                <c:formatCode>0</c:formatCode>
                <c:ptCount val="30"/>
                <c:pt idx="0">
                  <c:v>14683.730278385756</c:v>
                </c:pt>
                <c:pt idx="1">
                  <c:v>15260.555933362142</c:v>
                </c:pt>
                <c:pt idx="2">
                  <c:v>15857.472240577908</c:v>
                </c:pt>
                <c:pt idx="3">
                  <c:v>16479.440905734038</c:v>
                </c:pt>
                <c:pt idx="4">
                  <c:v>17126.229159729115</c:v>
                </c:pt>
                <c:pt idx="5">
                  <c:v>17793.870630427893</c:v>
                </c:pt>
                <c:pt idx="6">
                  <c:v>18475.286000214772</c:v>
                </c:pt>
                <c:pt idx="7">
                  <c:v>19164.989561339233</c:v>
                </c:pt>
                <c:pt idx="8">
                  <c:v>19857.951980951828</c:v>
                </c:pt>
                <c:pt idx="9">
                  <c:v>20549.429060052225</c:v>
                </c:pt>
                <c:pt idx="10">
                  <c:v>21234.32228814948</c:v>
                </c:pt>
                <c:pt idx="11">
                  <c:v>21907.589306233545</c:v>
                </c:pt>
                <c:pt idx="12">
                  <c:v>22565.189069232787</c:v>
                </c:pt>
                <c:pt idx="13">
                  <c:v>23203.119105651993</c:v>
                </c:pt>
                <c:pt idx="14">
                  <c:v>23817.215943426894</c:v>
                </c:pt>
                <c:pt idx="15">
                  <c:v>24403.482261600151</c:v>
                </c:pt>
                <c:pt idx="16">
                  <c:v>24958.968506671034</c:v>
                </c:pt>
                <c:pt idx="17">
                  <c:v>25481.130776100646</c:v>
                </c:pt>
                <c:pt idx="18">
                  <c:v>25967.277180525954</c:v>
                </c:pt>
                <c:pt idx="19">
                  <c:v>26415.086585807934</c:v>
                </c:pt>
                <c:pt idx="20">
                  <c:v>26822.115223262641</c:v>
                </c:pt>
                <c:pt idx="21">
                  <c:v>27186.478137515627</c:v>
                </c:pt>
                <c:pt idx="22">
                  <c:v>27506.753671184477</c:v>
                </c:pt>
                <c:pt idx="23">
                  <c:v>27781.351298248654</c:v>
                </c:pt>
                <c:pt idx="24">
                  <c:v>28008.76497134236</c:v>
                </c:pt>
                <c:pt idx="25">
                  <c:v>28187.948677609431</c:v>
                </c:pt>
                <c:pt idx="26">
                  <c:v>28318.072269238954</c:v>
                </c:pt>
                <c:pt idx="27">
                  <c:v>28398.068133180874</c:v>
                </c:pt>
                <c:pt idx="28">
                  <c:v>28426.989042070083</c:v>
                </c:pt>
                <c:pt idx="29">
                  <c:v>28404.118532224449</c:v>
                </c:pt>
              </c:numCache>
            </c:numRef>
          </c:val>
          <c:extLst>
            <c:ext xmlns:c16="http://schemas.microsoft.com/office/drawing/2014/chart" uri="{C3380CC4-5D6E-409C-BE32-E72D297353CC}">
              <c16:uniqueId val="{00000001-4AB6-44F8-8A55-A36EEEE89E4B}"/>
            </c:ext>
          </c:extLst>
        </c:ser>
        <c:ser>
          <c:idx val="2"/>
          <c:order val="2"/>
          <c:tx>
            <c:strRef>
              <c:f>'Gráficos Antigo'!$C$451</c:f>
              <c:strCache>
                <c:ptCount val="1"/>
                <c:pt idx="0">
                  <c:v>P-03</c:v>
                </c:pt>
              </c:strCache>
            </c:strRef>
          </c:tx>
          <c:spPr>
            <a:solidFill>
              <a:schemeClr val="accent3"/>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Antigo'!$D$451:$AG$451</c:f>
              <c:numCache>
                <c:formatCode>0</c:formatCode>
                <c:ptCount val="30"/>
                <c:pt idx="0">
                  <c:v>3957.964615136978</c:v>
                </c:pt>
                <c:pt idx="1">
                  <c:v>4113.2556623395649</c:v>
                </c:pt>
                <c:pt idx="2">
                  <c:v>4274.0158035779332</c:v>
                </c:pt>
                <c:pt idx="3">
                  <c:v>4441.5950813335921</c:v>
                </c:pt>
                <c:pt idx="4">
                  <c:v>4615.9396238217578</c:v>
                </c:pt>
                <c:pt idx="5">
                  <c:v>4795.9872265668382</c:v>
                </c:pt>
                <c:pt idx="6">
                  <c:v>4979.8338396468389</c:v>
                </c:pt>
                <c:pt idx="7">
                  <c:v>5166.0042407841092</c:v>
                </c:pt>
                <c:pt idx="8">
                  <c:v>5353.1458614645198</c:v>
                </c:pt>
                <c:pt idx="9">
                  <c:v>5539.982072574353</c:v>
                </c:pt>
                <c:pt idx="10">
                  <c:v>5725.1400001885659</c:v>
                </c:pt>
                <c:pt idx="11">
                  <c:v>5907.2609355759414</c:v>
                </c:pt>
                <c:pt idx="12">
                  <c:v>6085.2546787931324</c:v>
                </c:pt>
                <c:pt idx="13">
                  <c:v>6258.0402347700474</c:v>
                </c:pt>
                <c:pt idx="14">
                  <c:v>6424.4918841035169</c:v>
                </c:pt>
                <c:pt idx="15">
                  <c:v>6583.5277110899588</c:v>
                </c:pt>
                <c:pt idx="16">
                  <c:v>6734.3471857866343</c:v>
                </c:pt>
                <c:pt idx="17">
                  <c:v>6876.2586409809155</c:v>
                </c:pt>
                <c:pt idx="18">
                  <c:v>7008.5300684805416</c:v>
                </c:pt>
                <c:pt idx="19">
                  <c:v>7130.528620164233</c:v>
                </c:pt>
                <c:pt idx="20">
                  <c:v>7241.5881030648297</c:v>
                </c:pt>
                <c:pt idx="21">
                  <c:v>7341.1924915360651</c:v>
                </c:pt>
                <c:pt idx="22">
                  <c:v>7428.9504017866666</c:v>
                </c:pt>
                <c:pt idx="23">
                  <c:v>7504.4249507266068</c:v>
                </c:pt>
                <c:pt idx="24">
                  <c:v>7567.2018078579085</c:v>
                </c:pt>
                <c:pt idx="25">
                  <c:v>7616.9903622497477</c:v>
                </c:pt>
                <c:pt idx="26">
                  <c:v>7653.5578194653162</c:v>
                </c:pt>
                <c:pt idx="27">
                  <c:v>7676.6070803925668</c:v>
                </c:pt>
                <c:pt idx="28">
                  <c:v>7685.873329284268</c:v>
                </c:pt>
                <c:pt idx="29">
                  <c:v>7681.1539563912647</c:v>
                </c:pt>
              </c:numCache>
            </c:numRef>
          </c:val>
          <c:extLst>
            <c:ext xmlns:c16="http://schemas.microsoft.com/office/drawing/2014/chart" uri="{C3380CC4-5D6E-409C-BE32-E72D297353CC}">
              <c16:uniqueId val="{00000002-4AB6-44F8-8A55-A36EEEE89E4B}"/>
            </c:ext>
          </c:extLst>
        </c:ser>
        <c:ser>
          <c:idx val="3"/>
          <c:order val="3"/>
          <c:tx>
            <c:strRef>
              <c:f>'Gráficos Antigo'!$C$452</c:f>
              <c:strCache>
                <c:ptCount val="1"/>
                <c:pt idx="0">
                  <c:v>P-04</c:v>
                </c:pt>
              </c:strCache>
            </c:strRef>
          </c:tx>
          <c:spPr>
            <a:solidFill>
              <a:schemeClr val="accent4"/>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Antigo'!$D$452:$AG$452</c:f>
              <c:numCache>
                <c:formatCode>0</c:formatCode>
                <c:ptCount val="30"/>
                <c:pt idx="0">
                  <c:v>7543.7723603054437</c:v>
                </c:pt>
                <c:pt idx="1">
                  <c:v>7840.3216065947927</c:v>
                </c:pt>
                <c:pt idx="2">
                  <c:v>8147.3739498157847</c:v>
                </c:pt>
                <c:pt idx="3">
                  <c:v>8467.5168412768253</c:v>
                </c:pt>
                <c:pt idx="4">
                  <c:v>8800.6519239896752</c:v>
                </c:pt>
                <c:pt idx="5">
                  <c:v>9144.7522849968136</c:v>
                </c:pt>
                <c:pt idx="6">
                  <c:v>9496.1800279208255</c:v>
                </c:pt>
                <c:pt idx="7">
                  <c:v>9852.1159708108353</c:v>
                </c:pt>
                <c:pt idx="8">
                  <c:v>10209.974996409917</c:v>
                </c:pt>
                <c:pt idx="9">
                  <c:v>10567.316464259902</c:v>
                </c:pt>
                <c:pt idx="10">
                  <c:v>10921.515375027695</c:v>
                </c:pt>
                <c:pt idx="11">
                  <c:v>11269.973242967102</c:v>
                </c:pt>
                <c:pt idx="12">
                  <c:v>11610.603910006213</c:v>
                </c:pt>
                <c:pt idx="13">
                  <c:v>11941.338231308398</c:v>
                </c:pt>
                <c:pt idx="14">
                  <c:v>12260.020970531847</c:v>
                </c:pt>
                <c:pt idx="15">
                  <c:v>12564.580231712675</c:v>
                </c:pt>
                <c:pt idx="16">
                  <c:v>12853.481462452104</c:v>
                </c:pt>
                <c:pt idx="17">
                  <c:v>13125.398130896891</c:v>
                </c:pt>
                <c:pt idx="18">
                  <c:v>13378.926607936579</c:v>
                </c:pt>
                <c:pt idx="19">
                  <c:v>13612.852547596176</c:v>
                </c:pt>
                <c:pt idx="20">
                  <c:v>13825.897966655128</c:v>
                </c:pt>
                <c:pt idx="21">
                  <c:v>14017.071821584925</c:v>
                </c:pt>
                <c:pt idx="22">
                  <c:v>14185.621351239193</c:v>
                </c:pt>
                <c:pt idx="23">
                  <c:v>14330.707078616293</c:v>
                </c:pt>
                <c:pt idx="24">
                  <c:v>14451.532704682053</c:v>
                </c:pt>
                <c:pt idx="25">
                  <c:v>14547.538388419393</c:v>
                </c:pt>
                <c:pt idx="26">
                  <c:v>14618.274748028711</c:v>
                </c:pt>
                <c:pt idx="27">
                  <c:v>14663.169532967806</c:v>
                </c:pt>
                <c:pt idx="28">
                  <c:v>14681.712268765667</c:v>
                </c:pt>
                <c:pt idx="29">
                  <c:v>14673.511524303471</c:v>
                </c:pt>
              </c:numCache>
            </c:numRef>
          </c:val>
          <c:extLst>
            <c:ext xmlns:c16="http://schemas.microsoft.com/office/drawing/2014/chart" uri="{C3380CC4-5D6E-409C-BE32-E72D297353CC}">
              <c16:uniqueId val="{00000003-4AB6-44F8-8A55-A36EEEE89E4B}"/>
            </c:ext>
          </c:extLst>
        </c:ser>
        <c:dLbls>
          <c:showLegendKey val="0"/>
          <c:showVal val="0"/>
          <c:showCatName val="0"/>
          <c:showSerName val="0"/>
          <c:showPercent val="0"/>
          <c:showBubbleSize val="0"/>
        </c:dLbls>
        <c:gapWidth val="150"/>
        <c:overlap val="100"/>
        <c:axId val="1199440624"/>
        <c:axId val="1199436304"/>
      </c:barChart>
      <c:catAx>
        <c:axId val="119944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9436304"/>
        <c:crosses val="autoZero"/>
        <c:auto val="1"/>
        <c:lblAlgn val="ctr"/>
        <c:lblOffset val="100"/>
        <c:noMultiLvlLbl val="0"/>
      </c:catAx>
      <c:valAx>
        <c:axId val="119943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944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8 - VDMAeq</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Antigo'!$C$403</c:f>
              <c:strCache>
                <c:ptCount val="1"/>
                <c:pt idx="0">
                  <c:v>P-01</c:v>
                </c:pt>
              </c:strCache>
            </c:strRef>
          </c:tx>
          <c:spPr>
            <a:solidFill>
              <a:schemeClr val="accent1"/>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Antigo'!$D$403:$AF$403</c:f>
              <c:numCache>
                <c:formatCode>0</c:formatCode>
                <c:ptCount val="29"/>
                <c:pt idx="0">
                  <c:v>24865.949860246878</c:v>
                </c:pt>
                <c:pt idx="1">
                  <c:v>25776.094010274563</c:v>
                </c:pt>
                <c:pt idx="2">
                  <c:v>26710.357878300107</c:v>
                </c:pt>
                <c:pt idx="3">
                  <c:v>27675.331200286419</c:v>
                </c:pt>
                <c:pt idx="4">
                  <c:v>28670.033057814999</c:v>
                </c:pt>
                <c:pt idx="5">
                  <c:v>29687.978116819249</c:v>
                </c:pt>
                <c:pt idx="6">
                  <c:v>30718.203712744347</c:v>
                </c:pt>
                <c:pt idx="7">
                  <c:v>31752.286047707075</c:v>
                </c:pt>
                <c:pt idx="8">
                  <c:v>32782.542221249445</c:v>
                </c:pt>
                <c:pt idx="9">
                  <c:v>33801.810670109262</c:v>
                </c:pt>
                <c:pt idx="10">
                  <c:v>34802.44569924238</c:v>
                </c:pt>
                <c:pt idx="11">
                  <c:v>35776.962346717715</c:v>
                </c:pt>
                <c:pt idx="12">
                  <c:v>36719.515354261443</c:v>
                </c:pt>
                <c:pt idx="13">
                  <c:v>37624.397682555857</c:v>
                </c:pt>
                <c:pt idx="14">
                  <c:v>38485.741595084713</c:v>
                </c:pt>
                <c:pt idx="15">
                  <c:v>39297.986118822024</c:v>
                </c:pt>
                <c:pt idx="16">
                  <c:v>40057.229238757856</c:v>
                </c:pt>
                <c:pt idx="17">
                  <c:v>40760.195958257158</c:v>
                </c:pt>
                <c:pt idx="18">
                  <c:v>41403.38916192123</c:v>
                </c:pt>
                <c:pt idx="19">
                  <c:v>41983.911251625119</c:v>
                </c:pt>
                <c:pt idx="20">
                  <c:v>42498.66913274752</c:v>
                </c:pt>
                <c:pt idx="21">
                  <c:v>42945.432728934175</c:v>
                </c:pt>
                <c:pt idx="22">
                  <c:v>43322.672295572833</c:v>
                </c:pt>
                <c:pt idx="23">
                  <c:v>43628.571426558898</c:v>
                </c:pt>
                <c:pt idx="24">
                  <c:v>43861.435302787257</c:v>
                </c:pt>
                <c:pt idx="25">
                  <c:v>44020.272211669217</c:v>
                </c:pt>
                <c:pt idx="26">
                  <c:v>44104.427400489069</c:v>
                </c:pt>
                <c:pt idx="27">
                  <c:v>44044.796683395929</c:v>
                </c:pt>
                <c:pt idx="28">
                  <c:v>43899.65971255461</c:v>
                </c:pt>
              </c:numCache>
            </c:numRef>
          </c:val>
          <c:extLst>
            <c:ext xmlns:c16="http://schemas.microsoft.com/office/drawing/2014/chart" uri="{C3380CC4-5D6E-409C-BE32-E72D297353CC}">
              <c16:uniqueId val="{00000000-6079-488A-BED9-8F8D08EA9840}"/>
            </c:ext>
          </c:extLst>
        </c:ser>
        <c:ser>
          <c:idx val="1"/>
          <c:order val="1"/>
          <c:tx>
            <c:strRef>
              <c:f>'Gráficos Antigo'!$C$404</c:f>
              <c:strCache>
                <c:ptCount val="1"/>
                <c:pt idx="0">
                  <c:v>P-02</c:v>
                </c:pt>
              </c:strCache>
            </c:strRef>
          </c:tx>
          <c:spPr>
            <a:solidFill>
              <a:schemeClr val="accent2"/>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Antigo'!$D$404:$AF$404</c:f>
              <c:numCache>
                <c:formatCode>0</c:formatCode>
                <c:ptCount val="29"/>
                <c:pt idx="0">
                  <c:v>21965.998082890401</c:v>
                </c:pt>
                <c:pt idx="1">
                  <c:v>22786.275558726138</c:v>
                </c:pt>
                <c:pt idx="2">
                  <c:v>23630.153976793896</c:v>
                </c:pt>
                <c:pt idx="3">
                  <c:v>24503.870279849405</c:v>
                </c:pt>
                <c:pt idx="4">
                  <c:v>25406.685323243386</c:v>
                </c:pt>
                <c:pt idx="5">
                  <c:v>26332.804191784882</c:v>
                </c:pt>
                <c:pt idx="6">
                  <c:v>27272.290466335529</c:v>
                </c:pt>
                <c:pt idx="7">
                  <c:v>28217.489922466266</c:v>
                </c:pt>
                <c:pt idx="8">
                  <c:v>29161.411031372565</c:v>
                </c:pt>
                <c:pt idx="9">
                  <c:v>30097.514952708694</c:v>
                </c:pt>
                <c:pt idx="10">
                  <c:v>31018.80850030723</c:v>
                </c:pt>
                <c:pt idx="11">
                  <c:v>31918.426191816798</c:v>
                </c:pt>
                <c:pt idx="12">
                  <c:v>32790.966536207081</c:v>
                </c:pt>
                <c:pt idx="13">
                  <c:v>33631.134452592858</c:v>
                </c:pt>
                <c:pt idx="14">
                  <c:v>34433.468051602751</c:v>
                </c:pt>
                <c:pt idx="15">
                  <c:v>35192.771817456771</c:v>
                </c:pt>
                <c:pt idx="16">
                  <c:v>35905.344948542646</c:v>
                </c:pt>
                <c:pt idx="17">
                  <c:v>36568.055629847411</c:v>
                </c:pt>
                <c:pt idx="18">
                  <c:v>37177.569678773383</c:v>
                </c:pt>
                <c:pt idx="19">
                  <c:v>37731.090474728415</c:v>
                </c:pt>
                <c:pt idx="20">
                  <c:v>38225.646214310669</c:v>
                </c:pt>
                <c:pt idx="21">
                  <c:v>38659.048132364318</c:v>
                </c:pt>
                <c:pt idx="22">
                  <c:v>39029.746681747667</c:v>
                </c:pt>
                <c:pt idx="23">
                  <c:v>39335.939223212757</c:v>
                </c:pt>
                <c:pt idx="24">
                  <c:v>39575.936002861577</c:v>
                </c:pt>
                <c:pt idx="25">
                  <c:v>39748.687009189249</c:v>
                </c:pt>
                <c:pt idx="26">
                  <c:v>39853.447306461509</c:v>
                </c:pt>
                <c:pt idx="27">
                  <c:v>39854.859424537637</c:v>
                </c:pt>
                <c:pt idx="28">
                  <c:v>39749.994635345516</c:v>
                </c:pt>
              </c:numCache>
            </c:numRef>
          </c:val>
          <c:extLst>
            <c:ext xmlns:c16="http://schemas.microsoft.com/office/drawing/2014/chart" uri="{C3380CC4-5D6E-409C-BE32-E72D297353CC}">
              <c16:uniqueId val="{00000001-6079-488A-BED9-8F8D08EA9840}"/>
            </c:ext>
          </c:extLst>
        </c:ser>
        <c:ser>
          <c:idx val="2"/>
          <c:order val="2"/>
          <c:tx>
            <c:strRef>
              <c:f>'Gráficos Antigo'!$C$405</c:f>
              <c:strCache>
                <c:ptCount val="1"/>
                <c:pt idx="0">
                  <c:v>P-03</c:v>
                </c:pt>
              </c:strCache>
            </c:strRef>
          </c:tx>
          <c:spPr>
            <a:solidFill>
              <a:schemeClr val="accent3"/>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Antigo'!$D$405:$AF$405</c:f>
              <c:numCache>
                <c:formatCode>0</c:formatCode>
                <c:ptCount val="29"/>
                <c:pt idx="0">
                  <c:v>4895.5897640500034</c:v>
                </c:pt>
                <c:pt idx="1">
                  <c:v>5076.4008261312383</c:v>
                </c:pt>
                <c:pt idx="2">
                  <c:v>5262.5822027395188</c:v>
                </c:pt>
                <c:pt idx="3">
                  <c:v>5455.5580324155217</c:v>
                </c:pt>
                <c:pt idx="4">
                  <c:v>5655.1984111278689</c:v>
                </c:pt>
                <c:pt idx="5">
                  <c:v>5860.2499095195153</c:v>
                </c:pt>
                <c:pt idx="6">
                  <c:v>6068.5349310511519</c:v>
                </c:pt>
                <c:pt idx="7">
                  <c:v>6278.3783733111577</c:v>
                </c:pt>
                <c:pt idx="8">
                  <c:v>6488.2505284395247</c:v>
                </c:pt>
                <c:pt idx="9">
                  <c:v>6696.7186244726809</c:v>
                </c:pt>
                <c:pt idx="10">
                  <c:v>6902.2467778486916</c:v>
                </c:pt>
                <c:pt idx="11">
                  <c:v>7103.3237798192986</c:v>
                </c:pt>
                <c:pt idx="12">
                  <c:v>7298.7568889915192</c:v>
                </c:pt>
                <c:pt idx="13">
                  <c:v>7487.3723025276904</c:v>
                </c:pt>
                <c:pt idx="14">
                  <c:v>7667.9542129885031</c:v>
                </c:pt>
                <c:pt idx="15">
                  <c:v>7839.3416982191811</c:v>
                </c:pt>
                <c:pt idx="16">
                  <c:v>8000.699978385961</c:v>
                </c:pt>
                <c:pt idx="17">
                  <c:v>8151.3177507024011</c:v>
                </c:pt>
                <c:pt idx="18">
                  <c:v>8290.43681594794</c:v>
                </c:pt>
                <c:pt idx="19">
                  <c:v>8417.4144733116555</c:v>
                </c:pt>
                <c:pt idx="20">
                  <c:v>8531.5677341893042</c:v>
                </c:pt>
                <c:pt idx="21">
                  <c:v>8632.38452267514</c:v>
                </c:pt>
                <c:pt idx="22">
                  <c:v>8719.4927038214155</c:v>
                </c:pt>
                <c:pt idx="23">
                  <c:v>8792.4638184569285</c:v>
                </c:pt>
                <c:pt idx="24">
                  <c:v>8850.8931399766989</c:v>
                </c:pt>
                <c:pt idx="25">
                  <c:v>8894.515919030302</c:v>
                </c:pt>
                <c:pt idx="26">
                  <c:v>8923.133108848102</c:v>
                </c:pt>
                <c:pt idx="27">
                  <c:v>8934.2920561027859</c:v>
                </c:pt>
                <c:pt idx="28">
                  <c:v>8916.4246111166158</c:v>
                </c:pt>
              </c:numCache>
            </c:numRef>
          </c:val>
          <c:extLst>
            <c:ext xmlns:c16="http://schemas.microsoft.com/office/drawing/2014/chart" uri="{C3380CC4-5D6E-409C-BE32-E72D297353CC}">
              <c16:uniqueId val="{00000002-6079-488A-BED9-8F8D08EA9840}"/>
            </c:ext>
          </c:extLst>
        </c:ser>
        <c:ser>
          <c:idx val="3"/>
          <c:order val="3"/>
          <c:tx>
            <c:strRef>
              <c:f>'Gráficos Antigo'!$C$406</c:f>
              <c:strCache>
                <c:ptCount val="1"/>
                <c:pt idx="0">
                  <c:v>P-04</c:v>
                </c:pt>
              </c:strCache>
            </c:strRef>
          </c:tx>
          <c:spPr>
            <a:solidFill>
              <a:schemeClr val="accent4"/>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Antigo'!$D$406:$AF$406</c:f>
              <c:numCache>
                <c:formatCode>0</c:formatCode>
                <c:ptCount val="29"/>
                <c:pt idx="0">
                  <c:v>8940.8649012590358</c:v>
                </c:pt>
                <c:pt idx="1">
                  <c:v>9272.0218723220933</c:v>
                </c:pt>
                <c:pt idx="2">
                  <c:v>9613.1713456503494</c:v>
                </c:pt>
                <c:pt idx="3">
                  <c:v>9966.9495721244639</c:v>
                </c:pt>
                <c:pt idx="4">
                  <c:v>10333.133369333616</c:v>
                </c:pt>
                <c:pt idx="5">
                  <c:v>10709.433759019992</c:v>
                </c:pt>
                <c:pt idx="6">
                  <c:v>11091.859987937623</c:v>
                </c:pt>
                <c:pt idx="7">
                  <c:v>11477.341118452223</c:v>
                </c:pt>
                <c:pt idx="8">
                  <c:v>11863.07205084984</c:v>
                </c:pt>
                <c:pt idx="9">
                  <c:v>12246.423613709889</c:v>
                </c:pt>
                <c:pt idx="10">
                  <c:v>12624.576099526019</c:v>
                </c:pt>
                <c:pt idx="11">
                  <c:v>12994.753303477677</c:v>
                </c:pt>
                <c:pt idx="12">
                  <c:v>13354.760753084596</c:v>
                </c:pt>
                <c:pt idx="13">
                  <c:v>13702.436766736178</c:v>
                </c:pt>
                <c:pt idx="14">
                  <c:v>14035.540466903727</c:v>
                </c:pt>
                <c:pt idx="15">
                  <c:v>14351.930276682844</c:v>
                </c:pt>
                <c:pt idx="16">
                  <c:v>14650.061494457716</c:v>
                </c:pt>
                <c:pt idx="17">
                  <c:v>14928.615601767111</c:v>
                </c:pt>
                <c:pt idx="18">
                  <c:v>15186.187738534518</c:v>
                </c:pt>
                <c:pt idx="19">
                  <c:v>15421.583998545158</c:v>
                </c:pt>
                <c:pt idx="20">
                  <c:v>15633.536548149943</c:v>
                </c:pt>
                <c:pt idx="21">
                  <c:v>15821.090746262831</c:v>
                </c:pt>
                <c:pt idx="22">
                  <c:v>15983.548716056379</c:v>
                </c:pt>
                <c:pt idx="23">
                  <c:v>16120.109736412463</c:v>
                </c:pt>
                <c:pt idx="24">
                  <c:v>16230.016645796959</c:v>
                </c:pt>
                <c:pt idx="25">
                  <c:v>16312.768959753404</c:v>
                </c:pt>
                <c:pt idx="26">
                  <c:v>16367.986432383323</c:v>
                </c:pt>
                <c:pt idx="27">
                  <c:v>16393.813760799618</c:v>
                </c:pt>
                <c:pt idx="28">
                  <c:v>16363.642891891555</c:v>
                </c:pt>
              </c:numCache>
            </c:numRef>
          </c:val>
          <c:extLst>
            <c:ext xmlns:c16="http://schemas.microsoft.com/office/drawing/2014/chart" uri="{C3380CC4-5D6E-409C-BE32-E72D297353CC}">
              <c16:uniqueId val="{00000003-6079-488A-BED9-8F8D08EA9840}"/>
            </c:ext>
          </c:extLst>
        </c:ser>
        <c:dLbls>
          <c:showLegendKey val="0"/>
          <c:showVal val="0"/>
          <c:showCatName val="0"/>
          <c:showSerName val="0"/>
          <c:showPercent val="0"/>
          <c:showBubbleSize val="0"/>
        </c:dLbls>
        <c:gapWidth val="150"/>
        <c:overlap val="100"/>
        <c:axId val="945382815"/>
        <c:axId val="945385215"/>
      </c:barChart>
      <c:catAx>
        <c:axId val="94538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45385215"/>
        <c:crosses val="autoZero"/>
        <c:auto val="1"/>
        <c:lblAlgn val="ctr"/>
        <c:lblOffset val="100"/>
        <c:noMultiLvlLbl val="0"/>
      </c:catAx>
      <c:valAx>
        <c:axId val="945385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45382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4 - Receita Tarifária Bruta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Antigo'!$C$181</c:f>
              <c:strCache>
                <c:ptCount val="1"/>
                <c:pt idx="0">
                  <c:v>P-01</c:v>
                </c:pt>
              </c:strCache>
            </c:strRef>
          </c:tx>
          <c:spPr>
            <a:solidFill>
              <a:schemeClr val="accent1"/>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Antigo'!$D$181:$AG$181</c:f>
              <c:numCache>
                <c:formatCode>[$R$-416]\ #,##0.00;[Red]\-[$R$-416]\ #,##0.00</c:formatCode>
                <c:ptCount val="30"/>
                <c:pt idx="0">
                  <c:v>0</c:v>
                </c:pt>
                <c:pt idx="1">
                  <c:v>44475744.827660337</c:v>
                </c:pt>
                <c:pt idx="2">
                  <c:v>60046222.204019226</c:v>
                </c:pt>
                <c:pt idx="3">
                  <c:v>60987757.134655431</c:v>
                </c:pt>
                <c:pt idx="4">
                  <c:v>86891665.611295938</c:v>
                </c:pt>
                <c:pt idx="5">
                  <c:v>88822066.924905881</c:v>
                </c:pt>
                <c:pt idx="6">
                  <c:v>90825487.627143323</c:v>
                </c:pt>
                <c:pt idx="7">
                  <c:v>92889582.390282333</c:v>
                </c:pt>
                <c:pt idx="8">
                  <c:v>95258486.947280377</c:v>
                </c:pt>
                <c:pt idx="9">
                  <c:v>97949001.664084002</c:v>
                </c:pt>
                <c:pt idx="10">
                  <c:v>100704805.90981841</c:v>
                </c:pt>
                <c:pt idx="11">
                  <c:v>103518709.22283012</c:v>
                </c:pt>
                <c:pt idx="12">
                  <c:v>106239859.086373</c:v>
                </c:pt>
                <c:pt idx="13">
                  <c:v>108851781.88871436</c:v>
                </c:pt>
                <c:pt idx="14">
                  <c:v>111337543.45443267</c:v>
                </c:pt>
                <c:pt idx="15">
                  <c:v>113681098.51405178</c:v>
                </c:pt>
                <c:pt idx="16">
                  <c:v>115871198.91201234</c:v>
                </c:pt>
                <c:pt idx="17">
                  <c:v>117898408.80808893</c:v>
                </c:pt>
                <c:pt idx="18">
                  <c:v>119752650.4392855</c:v>
                </c:pt>
                <c:pt idx="19">
                  <c:v>121425580.09057915</c:v>
                </c:pt>
                <c:pt idx="20">
                  <c:v>122908288.50522393</c:v>
                </c:pt>
                <c:pt idx="21">
                  <c:v>124194360.91348089</c:v>
                </c:pt>
                <c:pt idx="22">
                  <c:v>125279406.07841042</c:v>
                </c:pt>
                <c:pt idx="23">
                  <c:v>126158202.81147511</c:v>
                </c:pt>
                <c:pt idx="24">
                  <c:v>126825880.84405594</c:v>
                </c:pt>
                <c:pt idx="25">
                  <c:v>127279601.84360942</c:v>
                </c:pt>
                <c:pt idx="26">
                  <c:v>127517501.53888954</c:v>
                </c:pt>
                <c:pt idx="27">
                  <c:v>127536665.88164183</c:v>
                </c:pt>
                <c:pt idx="28">
                  <c:v>127334688.45552531</c:v>
                </c:pt>
                <c:pt idx="29">
                  <c:v>126910124.76236716</c:v>
                </c:pt>
              </c:numCache>
            </c:numRef>
          </c:val>
          <c:extLst>
            <c:ext xmlns:c16="http://schemas.microsoft.com/office/drawing/2014/chart" uri="{C3380CC4-5D6E-409C-BE32-E72D297353CC}">
              <c16:uniqueId val="{00000000-5F1A-4533-B6C9-A326B9B8BB1A}"/>
            </c:ext>
          </c:extLst>
        </c:ser>
        <c:ser>
          <c:idx val="1"/>
          <c:order val="1"/>
          <c:tx>
            <c:strRef>
              <c:f>'Gráficos Antigo'!$C$182</c:f>
              <c:strCache>
                <c:ptCount val="1"/>
                <c:pt idx="0">
                  <c:v>P-02</c:v>
                </c:pt>
              </c:strCache>
            </c:strRef>
          </c:tx>
          <c:spPr>
            <a:solidFill>
              <a:schemeClr val="accent2"/>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Antigo'!$D$182:$AG$182</c:f>
              <c:numCache>
                <c:formatCode>[$R$-416]\ #,##0.00;[Red]\-[$R$-416]\ #,##0.00</c:formatCode>
                <c:ptCount val="30"/>
                <c:pt idx="0">
                  <c:v>0</c:v>
                </c:pt>
                <c:pt idx="1">
                  <c:v>39558611.250955388</c:v>
                </c:pt>
                <c:pt idx="2">
                  <c:v>53434570.67186106</c:v>
                </c:pt>
                <c:pt idx="3">
                  <c:v>54310749.954184428</c:v>
                </c:pt>
                <c:pt idx="4">
                  <c:v>55310506.763921902</c:v>
                </c:pt>
                <c:pt idx="5">
                  <c:v>56578605.004875489</c:v>
                </c:pt>
                <c:pt idx="6">
                  <c:v>81070999.623268068</c:v>
                </c:pt>
                <c:pt idx="7">
                  <c:v>82971969.979294747</c:v>
                </c:pt>
                <c:pt idx="8">
                  <c:v>85125755.936898917</c:v>
                </c:pt>
                <c:pt idx="9">
                  <c:v>87583423.630184948</c:v>
                </c:pt>
                <c:pt idx="10">
                  <c:v>90120376.923786059</c:v>
                </c:pt>
                <c:pt idx="11">
                  <c:v>92731468.086103171</c:v>
                </c:pt>
                <c:pt idx="12">
                  <c:v>95263775.9342338</c:v>
                </c:pt>
                <c:pt idx="13">
                  <c:v>97701934.084176138</c:v>
                </c:pt>
                <c:pt idx="14">
                  <c:v>100030093.44361554</c:v>
                </c:pt>
                <c:pt idx="15">
                  <c:v>102233179.36565864</c:v>
                </c:pt>
                <c:pt idx="16">
                  <c:v>104300458.42216887</c:v>
                </c:pt>
                <c:pt idx="17">
                  <c:v>106222849.3920964</c:v>
                </c:pt>
                <c:pt idx="18">
                  <c:v>107990683.45374426</c:v>
                </c:pt>
                <c:pt idx="19">
                  <c:v>109595853.26415737</c:v>
                </c:pt>
                <c:pt idx="20">
                  <c:v>111029742.57626855</c:v>
                </c:pt>
                <c:pt idx="21">
                  <c:v>112286008.92859952</c:v>
                </c:pt>
                <c:pt idx="22">
                  <c:v>113360165.71137017</c:v>
                </c:pt>
                <c:pt idx="23">
                  <c:v>114246990.79155654</c:v>
                </c:pt>
                <c:pt idx="24">
                  <c:v>114941589.60801013</c:v>
                </c:pt>
                <c:pt idx="25">
                  <c:v>115440925.13826799</c:v>
                </c:pt>
                <c:pt idx="26">
                  <c:v>115742846.28160965</c:v>
                </c:pt>
                <c:pt idx="27">
                  <c:v>115844244.47195035</c:v>
                </c:pt>
                <c:pt idx="28">
                  <c:v>115742482.15950739</c:v>
                </c:pt>
                <c:pt idx="29">
                  <c:v>115435816.07189555</c:v>
                </c:pt>
              </c:numCache>
            </c:numRef>
          </c:val>
          <c:extLst>
            <c:ext xmlns:c16="http://schemas.microsoft.com/office/drawing/2014/chart" uri="{C3380CC4-5D6E-409C-BE32-E72D297353CC}">
              <c16:uniqueId val="{00000001-5F1A-4533-B6C9-A326B9B8BB1A}"/>
            </c:ext>
          </c:extLst>
        </c:ser>
        <c:ser>
          <c:idx val="2"/>
          <c:order val="2"/>
          <c:tx>
            <c:strRef>
              <c:f>'Gráficos Antigo'!$C$183</c:f>
              <c:strCache>
                <c:ptCount val="1"/>
                <c:pt idx="0">
                  <c:v>P-03</c:v>
                </c:pt>
              </c:strCache>
            </c:strRef>
          </c:tx>
          <c:spPr>
            <a:solidFill>
              <a:schemeClr val="accent3"/>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Antigo'!$D$183:$AG$183</c:f>
              <c:numCache>
                <c:formatCode>[$R$-416]\ #,##0.00;[Red]\-[$R$-416]\ #,##0.00</c:formatCode>
                <c:ptCount val="30"/>
                <c:pt idx="0">
                  <c:v>0</c:v>
                </c:pt>
                <c:pt idx="1">
                  <c:v>8909895.5982905086</c:v>
                </c:pt>
                <c:pt idx="2">
                  <c:v>12038512.733028399</c:v>
                </c:pt>
                <c:pt idx="3">
                  <c:v>12240679.499985849</c:v>
                </c:pt>
                <c:pt idx="4">
                  <c:v>12470107.115361314</c:v>
                </c:pt>
                <c:pt idx="5">
                  <c:v>12757397.365963761</c:v>
                </c:pt>
                <c:pt idx="6">
                  <c:v>13061763.56429155</c:v>
                </c:pt>
                <c:pt idx="7">
                  <c:v>13369155.258728813</c:v>
                </c:pt>
                <c:pt idx="8">
                  <c:v>13711227.937145667</c:v>
                </c:pt>
                <c:pt idx="9">
                  <c:v>14103057.514211964</c:v>
                </c:pt>
                <c:pt idx="10">
                  <c:v>14510848.723949088</c:v>
                </c:pt>
                <c:pt idx="11">
                  <c:v>14934090.777107716</c:v>
                </c:pt>
                <c:pt idx="12">
                  <c:v>15345484.639099801</c:v>
                </c:pt>
                <c:pt idx="13">
                  <c:v>15742558.967887245</c:v>
                </c:pt>
                <c:pt idx="14">
                  <c:v>16122753.800364507</c:v>
                </c:pt>
                <c:pt idx="15">
                  <c:v>16483624.519126683</c:v>
                </c:pt>
                <c:pt idx="16">
                  <c:v>16823412.555292521</c:v>
                </c:pt>
                <c:pt idx="17">
                  <c:v>17140619.157607514</c:v>
                </c:pt>
                <c:pt idx="18">
                  <c:v>17433646.941202506</c:v>
                </c:pt>
                <c:pt idx="19">
                  <c:v>17701141.465316858</c:v>
                </c:pt>
                <c:pt idx="20">
                  <c:v>17941663.597857434</c:v>
                </c:pt>
                <c:pt idx="21">
                  <c:v>18154133.816400193</c:v>
                </c:pt>
                <c:pt idx="22">
                  <c:v>18337767.096900679</c:v>
                </c:pt>
                <c:pt idx="23">
                  <c:v>18491660.043687325</c:v>
                </c:pt>
                <c:pt idx="24">
                  <c:v>18614959.256046176</c:v>
                </c:pt>
                <c:pt idx="25">
                  <c:v>18707105.876340929</c:v>
                </c:pt>
                <c:pt idx="26">
                  <c:v>18767679.295031413</c:v>
                </c:pt>
                <c:pt idx="27">
                  <c:v>18796102.521724984</c:v>
                </c:pt>
                <c:pt idx="28">
                  <c:v>18791872.04985293</c:v>
                </c:pt>
                <c:pt idx="29">
                  <c:v>18754627.078236621</c:v>
                </c:pt>
              </c:numCache>
            </c:numRef>
          </c:val>
          <c:extLst>
            <c:ext xmlns:c16="http://schemas.microsoft.com/office/drawing/2014/chart" uri="{C3380CC4-5D6E-409C-BE32-E72D297353CC}">
              <c16:uniqueId val="{00000002-5F1A-4533-B6C9-A326B9B8BB1A}"/>
            </c:ext>
          </c:extLst>
        </c:ser>
        <c:ser>
          <c:idx val="3"/>
          <c:order val="3"/>
          <c:tx>
            <c:strRef>
              <c:f>'Gráficos Antigo'!$C$184</c:f>
              <c:strCache>
                <c:ptCount val="1"/>
                <c:pt idx="0">
                  <c:v>P-04</c:v>
                </c:pt>
              </c:strCache>
            </c:strRef>
          </c:tx>
          <c:spPr>
            <a:solidFill>
              <a:schemeClr val="accent4"/>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Antigo'!$D$184:$AG$184</c:f>
              <c:numCache>
                <c:formatCode>[$R$-416]\ #,##0.00;[Red]\-[$R$-416]\ #,##0.00</c:formatCode>
                <c:ptCount val="30"/>
                <c:pt idx="0">
                  <c:v>0</c:v>
                </c:pt>
                <c:pt idx="1">
                  <c:v>16293925.456091529</c:v>
                </c:pt>
                <c:pt idx="2">
                  <c:v>22011929.146413904</c:v>
                </c:pt>
                <c:pt idx="3">
                  <c:v>22379872.971379668</c:v>
                </c:pt>
                <c:pt idx="4">
                  <c:v>22797922.281257946</c:v>
                </c:pt>
                <c:pt idx="5">
                  <c:v>23322284.228636965</c:v>
                </c:pt>
                <c:pt idx="6">
                  <c:v>23879683.657043017</c:v>
                </c:pt>
                <c:pt idx="7">
                  <c:v>24441190.315686125</c:v>
                </c:pt>
                <c:pt idx="8">
                  <c:v>25064806.993277408</c:v>
                </c:pt>
                <c:pt idx="9">
                  <c:v>25781639.425328869</c:v>
                </c:pt>
                <c:pt idx="10">
                  <c:v>26529802.546136133</c:v>
                </c:pt>
                <c:pt idx="11">
                  <c:v>27308552.320437003</c:v>
                </c:pt>
                <c:pt idx="12">
                  <c:v>28065958.32578348</c:v>
                </c:pt>
                <c:pt idx="13">
                  <c:v>28797471.908618256</c:v>
                </c:pt>
                <c:pt idx="14">
                  <c:v>29498377.484519523</c:v>
                </c:pt>
                <c:pt idx="15">
                  <c:v>42229835.322155766</c:v>
                </c:pt>
                <c:pt idx="16">
                  <c:v>43108228.394877918</c:v>
                </c:pt>
                <c:pt idx="17">
                  <c:v>43929020.86336603</c:v>
                </c:pt>
                <c:pt idx="18">
                  <c:v>44688071.787226506</c:v>
                </c:pt>
                <c:pt idx="19">
                  <c:v>45381861.169177771</c:v>
                </c:pt>
                <c:pt idx="20">
                  <c:v>46006651.538202174</c:v>
                </c:pt>
                <c:pt idx="21">
                  <c:v>46559627.536864117</c:v>
                </c:pt>
                <c:pt idx="22">
                  <c:v>47038729.908064678</c:v>
                </c:pt>
                <c:pt idx="23">
                  <c:v>47441596.919961788</c:v>
                </c:pt>
                <c:pt idx="24">
                  <c:v>47765995.234312952</c:v>
                </c:pt>
                <c:pt idx="25">
                  <c:v>48010447.283637002</c:v>
                </c:pt>
                <c:pt idx="26">
                  <c:v>48173829.530074731</c:v>
                </c:pt>
                <c:pt idx="27">
                  <c:v>48254616.515848517</c:v>
                </c:pt>
                <c:pt idx="28">
                  <c:v>48251471.591511197</c:v>
                </c:pt>
                <c:pt idx="29">
                  <c:v>48163425.444203801</c:v>
                </c:pt>
              </c:numCache>
            </c:numRef>
          </c:val>
          <c:extLst>
            <c:ext xmlns:c16="http://schemas.microsoft.com/office/drawing/2014/chart" uri="{C3380CC4-5D6E-409C-BE32-E72D297353CC}">
              <c16:uniqueId val="{00000003-5F1A-4533-B6C9-A326B9B8BB1A}"/>
            </c:ext>
          </c:extLst>
        </c:ser>
        <c:dLbls>
          <c:showLegendKey val="0"/>
          <c:showVal val="0"/>
          <c:showCatName val="0"/>
          <c:showSerName val="0"/>
          <c:showPercent val="0"/>
          <c:showBubbleSize val="0"/>
        </c:dLbls>
        <c:gapWidth val="150"/>
        <c:overlap val="100"/>
        <c:axId val="1147882144"/>
        <c:axId val="1147867744"/>
      </c:barChart>
      <c:lineChart>
        <c:grouping val="standard"/>
        <c:varyColors val="0"/>
        <c:ser>
          <c:idx val="4"/>
          <c:order val="4"/>
          <c:tx>
            <c:strRef>
              <c:f>'Gráficos Antigo'!$C$185</c:f>
              <c:strCache>
                <c:ptCount val="1"/>
                <c:pt idx="0">
                  <c:v>Receita Tarifária Bruta Acumulada</c:v>
                </c:pt>
              </c:strCache>
            </c:strRef>
          </c:tx>
          <c:spPr>
            <a:ln w="28575" cap="rnd">
              <a:solidFill>
                <a:schemeClr val="accent5"/>
              </a:solidFill>
              <a:round/>
            </a:ln>
            <a:effectLst/>
          </c:spPr>
          <c:marker>
            <c:symbol val="none"/>
          </c:marker>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Antigo'!$D$185:$AG$185</c:f>
              <c:numCache>
                <c:formatCode>[$R$-416]\ #,##0.00;[Red]\-[$R$-416]\ #,##0.00</c:formatCode>
                <c:ptCount val="30"/>
                <c:pt idx="0">
                  <c:v>0</c:v>
                </c:pt>
                <c:pt idx="1">
                  <c:v>109238177.13299775</c:v>
                </c:pt>
                <c:pt idx="2">
                  <c:v>256769411.88832033</c:v>
                </c:pt>
                <c:pt idx="3">
                  <c:v>406688471.44852567</c:v>
                </c:pt>
                <c:pt idx="4">
                  <c:v>584158673.22036278</c:v>
                </c:pt>
                <c:pt idx="5">
                  <c:v>765639026.7447449</c:v>
                </c:pt>
                <c:pt idx="6">
                  <c:v>974476961.21649086</c:v>
                </c:pt>
                <c:pt idx="7">
                  <c:v>1188148859.1604829</c:v>
                </c:pt>
                <c:pt idx="8">
                  <c:v>1407309136.9750853</c:v>
                </c:pt>
                <c:pt idx="9">
                  <c:v>1632726259.208895</c:v>
                </c:pt>
                <c:pt idx="10">
                  <c:v>1864592093.3125846</c:v>
                </c:pt>
                <c:pt idx="11">
                  <c:v>2103084913.7190626</c:v>
                </c:pt>
                <c:pt idx="12">
                  <c:v>2347999991.7045527</c:v>
                </c:pt>
                <c:pt idx="13">
                  <c:v>2599093738.5539484</c:v>
                </c:pt>
                <c:pt idx="14">
                  <c:v>2856082506.7368808</c:v>
                </c:pt>
                <c:pt idx="15">
                  <c:v>3130710244.4578738</c:v>
                </c:pt>
                <c:pt idx="16">
                  <c:v>3410813542.7422256</c:v>
                </c:pt>
                <c:pt idx="17">
                  <c:v>3696004440.9633846</c:v>
                </c:pt>
                <c:pt idx="18">
                  <c:v>3985869493.5848436</c:v>
                </c:pt>
                <c:pt idx="19">
                  <c:v>4279973929.5740747</c:v>
                </c:pt>
                <c:pt idx="20">
                  <c:v>4577860275.7916269</c:v>
                </c:pt>
                <c:pt idx="21">
                  <c:v>4879054406.9869719</c:v>
                </c:pt>
                <c:pt idx="22">
                  <c:v>5183070475.7817173</c:v>
                </c:pt>
                <c:pt idx="23">
                  <c:v>5489408926.3483982</c:v>
                </c:pt>
                <c:pt idx="24">
                  <c:v>5797557351.290823</c:v>
                </c:pt>
                <c:pt idx="25">
                  <c:v>6106995431.4326782</c:v>
                </c:pt>
                <c:pt idx="26">
                  <c:v>6417197288.0782833</c:v>
                </c:pt>
                <c:pt idx="27">
                  <c:v>6727628917.469449</c:v>
                </c:pt>
                <c:pt idx="28">
                  <c:v>7037749431.7258463</c:v>
                </c:pt>
                <c:pt idx="29">
                  <c:v>7347013425.0825491</c:v>
                </c:pt>
              </c:numCache>
            </c:numRef>
          </c:val>
          <c:smooth val="0"/>
          <c:extLst>
            <c:ext xmlns:c16="http://schemas.microsoft.com/office/drawing/2014/chart" uri="{C3380CC4-5D6E-409C-BE32-E72D297353CC}">
              <c16:uniqueId val="{00000004-5F1A-4533-B6C9-A326B9B8BB1A}"/>
            </c:ext>
          </c:extLst>
        </c:ser>
        <c:dLbls>
          <c:showLegendKey val="0"/>
          <c:showVal val="0"/>
          <c:showCatName val="0"/>
          <c:showSerName val="0"/>
          <c:showPercent val="0"/>
          <c:showBubbleSize val="0"/>
        </c:dLbls>
        <c:marker val="1"/>
        <c:smooth val="0"/>
        <c:axId val="1120958544"/>
        <c:axId val="1120957104"/>
      </c:lineChart>
      <c:catAx>
        <c:axId val="11478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867744"/>
        <c:crosses val="autoZero"/>
        <c:auto val="1"/>
        <c:lblAlgn val="ctr"/>
        <c:lblOffset val="100"/>
        <c:noMultiLvlLbl val="0"/>
      </c:catAx>
      <c:valAx>
        <c:axId val="1147867744"/>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882144"/>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RTB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120957104"/>
        <c:scaling>
          <c:orientation val="minMax"/>
        </c:scaling>
        <c:delete val="0"/>
        <c:axPos val="r"/>
        <c:numFmt formatCode="&quot;R$&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20958544"/>
        <c:crosses val="max"/>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RTB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120958544"/>
        <c:scaling>
          <c:orientation val="minMax"/>
        </c:scaling>
        <c:delete val="1"/>
        <c:axPos val="b"/>
        <c:numFmt formatCode="General" sourceLinked="1"/>
        <c:majorTickMark val="out"/>
        <c:minorTickMark val="none"/>
        <c:tickLblPos val="nextTo"/>
        <c:crossAx val="1120957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GRÁFICO</a:t>
            </a:r>
            <a:r>
              <a:rPr lang="pt-BR" baseline="0"/>
              <a:t> 3 - GASTOS TOTAIS POR TIPO, ANO A ANO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title>
    <c:autoTitleDeleted val="0"/>
    <c:plotArea>
      <c:layout/>
      <c:barChart>
        <c:barDir val="col"/>
        <c:grouping val="stacked"/>
        <c:varyColors val="0"/>
        <c:ser>
          <c:idx val="0"/>
          <c:order val="0"/>
          <c:tx>
            <c:strRef>
              <c:f>'Gráficos Antigo'!$C$132</c:f>
              <c:strCache>
                <c:ptCount val="1"/>
                <c:pt idx="0">
                  <c:v>Custos operacionais (OPEX)</c:v>
                </c:pt>
              </c:strCache>
            </c:strRef>
          </c:tx>
          <c:spPr>
            <a:solidFill>
              <a:schemeClr val="accent1"/>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Antigo'!$D$132:$AG$132</c:f>
              <c:numCache>
                <c:formatCode>[$R$-416]\ #,##0.00;[Red]\-[$R$-416]\ #,##0.00</c:formatCode>
                <c:ptCount val="30"/>
                <c:pt idx="0">
                  <c:v>34795902.606316827</c:v>
                </c:pt>
                <c:pt idx="1">
                  <c:v>40212173.912858956</c:v>
                </c:pt>
                <c:pt idx="2">
                  <c:v>44368723.83950606</c:v>
                </c:pt>
                <c:pt idx="3">
                  <c:v>47520447.130201668</c:v>
                </c:pt>
                <c:pt idx="4">
                  <c:v>49204104.657721743</c:v>
                </c:pt>
                <c:pt idx="5">
                  <c:v>47913049.688701719</c:v>
                </c:pt>
                <c:pt idx="6">
                  <c:v>49977616.487722784</c:v>
                </c:pt>
                <c:pt idx="7">
                  <c:v>50122869.951257944</c:v>
                </c:pt>
                <c:pt idx="8">
                  <c:v>48396837.083215356</c:v>
                </c:pt>
                <c:pt idx="9">
                  <c:v>48400118.467686698</c:v>
                </c:pt>
                <c:pt idx="10">
                  <c:v>48713063.013211466</c:v>
                </c:pt>
                <c:pt idx="11">
                  <c:v>49107137.661354832</c:v>
                </c:pt>
                <c:pt idx="12">
                  <c:v>49541776.556945115</c:v>
                </c:pt>
                <c:pt idx="13">
                  <c:v>49768047.098285362</c:v>
                </c:pt>
                <c:pt idx="14">
                  <c:v>50413589.769430682</c:v>
                </c:pt>
                <c:pt idx="15">
                  <c:v>51232471.537165008</c:v>
                </c:pt>
                <c:pt idx="16">
                  <c:v>51587901.748275369</c:v>
                </c:pt>
                <c:pt idx="17">
                  <c:v>51626671.579119496</c:v>
                </c:pt>
                <c:pt idx="18">
                  <c:v>51886026.468707658</c:v>
                </c:pt>
                <c:pt idx="19">
                  <c:v>49856570.100120954</c:v>
                </c:pt>
                <c:pt idx="20">
                  <c:v>50065346.677104086</c:v>
                </c:pt>
                <c:pt idx="21">
                  <c:v>49868788.100120954</c:v>
                </c:pt>
                <c:pt idx="22">
                  <c:v>49996660.846577905</c:v>
                </c:pt>
                <c:pt idx="23">
                  <c:v>49963616.243252151</c:v>
                </c:pt>
                <c:pt idx="24">
                  <c:v>50077564.677104086</c:v>
                </c:pt>
                <c:pt idx="25">
                  <c:v>48221520.438300647</c:v>
                </c:pt>
                <c:pt idx="26">
                  <c:v>48361611.184757598</c:v>
                </c:pt>
                <c:pt idx="27">
                  <c:v>48233738.438300647</c:v>
                </c:pt>
                <c:pt idx="28">
                  <c:v>48537343.158414975</c:v>
                </c:pt>
                <c:pt idx="29">
                  <c:v>48221520.438300647</c:v>
                </c:pt>
              </c:numCache>
            </c:numRef>
          </c:val>
          <c:extLst>
            <c:ext xmlns:c16="http://schemas.microsoft.com/office/drawing/2014/chart" uri="{C3380CC4-5D6E-409C-BE32-E72D297353CC}">
              <c16:uniqueId val="{00000000-B6F2-4C03-BB9D-2234AE5C3E08}"/>
            </c:ext>
          </c:extLst>
        </c:ser>
        <c:ser>
          <c:idx val="1"/>
          <c:order val="1"/>
          <c:tx>
            <c:strRef>
              <c:f>'Gráficos Antigo'!$C$133</c:f>
              <c:strCache>
                <c:ptCount val="1"/>
                <c:pt idx="0">
                  <c:v>Despesas Obrigatórias</c:v>
                </c:pt>
              </c:strCache>
            </c:strRef>
          </c:tx>
          <c:spPr>
            <a:solidFill>
              <a:schemeClr val="accent2"/>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Antigo'!$D$133:$AG$133</c:f>
              <c:numCache>
                <c:formatCode>[$R$-416]\ #,##0.00;[Red]\-[$R$-416]\ #,##0.00</c:formatCode>
                <c:ptCount val="30"/>
                <c:pt idx="0">
                  <c:v>4637663.567079585</c:v>
                </c:pt>
                <c:pt idx="1">
                  <c:v>4637663.567079585</c:v>
                </c:pt>
                <c:pt idx="2">
                  <c:v>4637663.567079585</c:v>
                </c:pt>
                <c:pt idx="3">
                  <c:v>4637663.567079585</c:v>
                </c:pt>
                <c:pt idx="4">
                  <c:v>4637663.567079585</c:v>
                </c:pt>
                <c:pt idx="5">
                  <c:v>4637663.567079585</c:v>
                </c:pt>
                <c:pt idx="6">
                  <c:v>4637663.567079585</c:v>
                </c:pt>
                <c:pt idx="7">
                  <c:v>4637663.567079585</c:v>
                </c:pt>
                <c:pt idx="8">
                  <c:v>4637663.567079585</c:v>
                </c:pt>
                <c:pt idx="9">
                  <c:v>4637663.567079585</c:v>
                </c:pt>
                <c:pt idx="10">
                  <c:v>4637663.567079585</c:v>
                </c:pt>
                <c:pt idx="11">
                  <c:v>4637663.567079585</c:v>
                </c:pt>
                <c:pt idx="12">
                  <c:v>4637663.567079585</c:v>
                </c:pt>
                <c:pt idx="13">
                  <c:v>4637663.567079585</c:v>
                </c:pt>
                <c:pt idx="14">
                  <c:v>4637663.567079585</c:v>
                </c:pt>
                <c:pt idx="15">
                  <c:v>4637663.567079585</c:v>
                </c:pt>
                <c:pt idx="16">
                  <c:v>4637663.567079585</c:v>
                </c:pt>
                <c:pt idx="17">
                  <c:v>4637663.567079585</c:v>
                </c:pt>
                <c:pt idx="18">
                  <c:v>4637663.567079585</c:v>
                </c:pt>
                <c:pt idx="19">
                  <c:v>4637663.567079585</c:v>
                </c:pt>
                <c:pt idx="20">
                  <c:v>4637663.567079585</c:v>
                </c:pt>
                <c:pt idx="21">
                  <c:v>4637663.567079585</c:v>
                </c:pt>
                <c:pt idx="22">
                  <c:v>4637663.567079585</c:v>
                </c:pt>
                <c:pt idx="23">
                  <c:v>4637663.567079585</c:v>
                </c:pt>
                <c:pt idx="24">
                  <c:v>4637663.567079585</c:v>
                </c:pt>
                <c:pt idx="25">
                  <c:v>4637663.567079585</c:v>
                </c:pt>
                <c:pt idx="26">
                  <c:v>4637663.567079585</c:v>
                </c:pt>
                <c:pt idx="27">
                  <c:v>4637663.567079585</c:v>
                </c:pt>
                <c:pt idx="28">
                  <c:v>4637663.567079585</c:v>
                </c:pt>
                <c:pt idx="29">
                  <c:v>4637663.567079585</c:v>
                </c:pt>
              </c:numCache>
            </c:numRef>
          </c:val>
          <c:extLst>
            <c:ext xmlns:c16="http://schemas.microsoft.com/office/drawing/2014/chart" uri="{C3380CC4-5D6E-409C-BE32-E72D297353CC}">
              <c16:uniqueId val="{00000001-B6F2-4C03-BB9D-2234AE5C3E08}"/>
            </c:ext>
          </c:extLst>
        </c:ser>
        <c:ser>
          <c:idx val="2"/>
          <c:order val="2"/>
          <c:tx>
            <c:strRef>
              <c:f>'Gráficos Antigo'!$C$134</c:f>
              <c:strCache>
                <c:ptCount val="1"/>
                <c:pt idx="0">
                  <c:v>Seguros e garantias</c:v>
                </c:pt>
              </c:strCache>
            </c:strRef>
          </c:tx>
          <c:spPr>
            <a:solidFill>
              <a:schemeClr val="accent3"/>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Antigo'!$D$134:$AG$134</c:f>
              <c:numCache>
                <c:formatCode>[$R$-416]\ #,##0.00;[Red]\-[$R$-416]\ #,##0.00</c:formatCode>
                <c:ptCount val="30"/>
                <c:pt idx="0">
                  <c:v>1546035.194325991</c:v>
                </c:pt>
                <c:pt idx="1">
                  <c:v>1598671.9098605916</c:v>
                </c:pt>
                <c:pt idx="2">
                  <c:v>2780137.7208677582</c:v>
                </c:pt>
                <c:pt idx="3">
                  <c:v>5372696.1008601943</c:v>
                </c:pt>
                <c:pt idx="4">
                  <c:v>4473534.4782226998</c:v>
                </c:pt>
                <c:pt idx="5">
                  <c:v>5097952.0079270313</c:v>
                </c:pt>
                <c:pt idx="6">
                  <c:v>3696383.4256276675</c:v>
                </c:pt>
                <c:pt idx="7">
                  <c:v>3853789.2901112284</c:v>
                </c:pt>
                <c:pt idx="8">
                  <c:v>3922195.2759333858</c:v>
                </c:pt>
                <c:pt idx="9">
                  <c:v>3790496.4436667268</c:v>
                </c:pt>
                <c:pt idx="10">
                  <c:v>3799669.7480750876</c:v>
                </c:pt>
                <c:pt idx="11">
                  <c:v>3808600.6104312772</c:v>
                </c:pt>
                <c:pt idx="12">
                  <c:v>3811948.249364262</c:v>
                </c:pt>
                <c:pt idx="13">
                  <c:v>3823528.1728708139</c:v>
                </c:pt>
                <c:pt idx="14">
                  <c:v>4553525.5050654234</c:v>
                </c:pt>
                <c:pt idx="15">
                  <c:v>4278323.4158837842</c:v>
                </c:pt>
                <c:pt idx="16">
                  <c:v>4497312.6016332563</c:v>
                </c:pt>
                <c:pt idx="17">
                  <c:v>4623085.9543502918</c:v>
                </c:pt>
                <c:pt idx="18">
                  <c:v>4634648.1962479362</c:v>
                </c:pt>
                <c:pt idx="19">
                  <c:v>4597378.9172985498</c:v>
                </c:pt>
                <c:pt idx="20">
                  <c:v>4589254.0343927145</c:v>
                </c:pt>
                <c:pt idx="21">
                  <c:v>4591829.7865511589</c:v>
                </c:pt>
                <c:pt idx="22">
                  <c:v>4647013.4736179113</c:v>
                </c:pt>
                <c:pt idx="23">
                  <c:v>4694733.3820949299</c:v>
                </c:pt>
                <c:pt idx="24">
                  <c:v>4772135.0003005955</c:v>
                </c:pt>
                <c:pt idx="25">
                  <c:v>4978674.8296406381</c:v>
                </c:pt>
                <c:pt idx="26">
                  <c:v>4968177.3646117877</c:v>
                </c:pt>
                <c:pt idx="27">
                  <c:v>4960091.736634057</c:v>
                </c:pt>
                <c:pt idx="28">
                  <c:v>4990670.723147328</c:v>
                </c:pt>
                <c:pt idx="29">
                  <c:v>5043588.75177061</c:v>
                </c:pt>
              </c:numCache>
            </c:numRef>
          </c:val>
          <c:extLst>
            <c:ext xmlns:c16="http://schemas.microsoft.com/office/drawing/2014/chart" uri="{C3380CC4-5D6E-409C-BE32-E72D297353CC}">
              <c16:uniqueId val="{00000002-B6F2-4C03-BB9D-2234AE5C3E08}"/>
            </c:ext>
          </c:extLst>
        </c:ser>
        <c:ser>
          <c:idx val="3"/>
          <c:order val="3"/>
          <c:tx>
            <c:strRef>
              <c:f>'Gráficos Antigo'!$C$135</c:f>
              <c:strCache>
                <c:ptCount val="1"/>
                <c:pt idx="0">
                  <c:v>Outros gastos</c:v>
                </c:pt>
              </c:strCache>
            </c:strRef>
          </c:tx>
          <c:spPr>
            <a:solidFill>
              <a:schemeClr val="accent4"/>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Antigo'!$D$135:$AG$135</c:f>
              <c:numCache>
                <c:formatCode>[$R$-416]\ #,##0.00;[Red]\-[$R$-416]\ #,##0.00</c:formatCode>
                <c:ptCount val="30"/>
                <c:pt idx="0">
                  <c:v>9898727.4503749236</c:v>
                </c:pt>
                <c:pt idx="1">
                  <c:v>3422468.7805169588</c:v>
                </c:pt>
                <c:pt idx="2">
                  <c:v>4307122.6811307548</c:v>
                </c:pt>
                <c:pt idx="3">
                  <c:v>4099243.468834471</c:v>
                </c:pt>
                <c:pt idx="4">
                  <c:v>4490499.2461097371</c:v>
                </c:pt>
                <c:pt idx="5">
                  <c:v>4338126.2088168152</c:v>
                </c:pt>
                <c:pt idx="6">
                  <c:v>4718489.668049179</c:v>
                </c:pt>
                <c:pt idx="7">
                  <c:v>4558519.8165784907</c:v>
                </c:pt>
                <c:pt idx="8">
                  <c:v>4450265.755032382</c:v>
                </c:pt>
                <c:pt idx="9">
                  <c:v>4508342.4446761953</c:v>
                </c:pt>
                <c:pt idx="10">
                  <c:v>4637316.6820737934</c:v>
                </c:pt>
                <c:pt idx="11">
                  <c:v>4769856.4081295608</c:v>
                </c:pt>
                <c:pt idx="12">
                  <c:v>4898301.5597098013</c:v>
                </c:pt>
                <c:pt idx="13">
                  <c:v>5021874.9369879207</c:v>
                </c:pt>
                <c:pt idx="14">
                  <c:v>5139775.3636586452</c:v>
                </c:pt>
                <c:pt idx="15">
                  <c:v>5492554.7544198576</c:v>
                </c:pt>
                <c:pt idx="16">
                  <c:v>5602065.9656870328</c:v>
                </c:pt>
                <c:pt idx="17">
                  <c:v>5703817.9644231778</c:v>
                </c:pt>
                <c:pt idx="18">
                  <c:v>5797301.0524291769</c:v>
                </c:pt>
                <c:pt idx="19">
                  <c:v>5882088.7197846221</c:v>
                </c:pt>
                <c:pt idx="20">
                  <c:v>5957726.9243510412</c:v>
                </c:pt>
                <c:pt idx="21">
                  <c:v>6023882.6239068946</c:v>
                </c:pt>
                <c:pt idx="22">
                  <c:v>6080321.3758949181</c:v>
                </c:pt>
                <c:pt idx="23">
                  <c:v>6126769.0113336155</c:v>
                </c:pt>
                <c:pt idx="24">
                  <c:v>6162968.4988485044</c:v>
                </c:pt>
                <c:pt idx="25">
                  <c:v>6188761.6028371062</c:v>
                </c:pt>
                <c:pt idx="26">
                  <c:v>6204037.1329121059</c:v>
                </c:pt>
                <c:pt idx="27">
                  <c:v>6208632.5878233146</c:v>
                </c:pt>
                <c:pt idx="28">
                  <c:v>6202410.2851279369</c:v>
                </c:pt>
                <c:pt idx="29">
                  <c:v>6185279.8671340598</c:v>
                </c:pt>
              </c:numCache>
            </c:numRef>
          </c:val>
          <c:extLst>
            <c:ext xmlns:c16="http://schemas.microsoft.com/office/drawing/2014/chart" uri="{C3380CC4-5D6E-409C-BE32-E72D297353CC}">
              <c16:uniqueId val="{00000003-B6F2-4C03-BB9D-2234AE5C3E08}"/>
            </c:ext>
          </c:extLst>
        </c:ser>
        <c:dLbls>
          <c:showLegendKey val="0"/>
          <c:showVal val="0"/>
          <c:showCatName val="0"/>
          <c:showSerName val="0"/>
          <c:showPercent val="0"/>
          <c:showBubbleSize val="0"/>
        </c:dLbls>
        <c:gapWidth val="219"/>
        <c:overlap val="100"/>
        <c:axId val="975479135"/>
        <c:axId val="975474335"/>
      </c:barChart>
      <c:lineChart>
        <c:grouping val="standard"/>
        <c:varyColors val="0"/>
        <c:ser>
          <c:idx val="4"/>
          <c:order val="4"/>
          <c:tx>
            <c:strRef>
              <c:f>'Gráficos Antigo'!$C$136</c:f>
              <c:strCache>
                <c:ptCount val="1"/>
                <c:pt idx="0">
                  <c:v>Gastos Totais acumulado</c:v>
                </c:pt>
              </c:strCache>
            </c:strRef>
          </c:tx>
          <c:spPr>
            <a:ln w="28575" cap="rnd">
              <a:solidFill>
                <a:schemeClr val="accent5"/>
              </a:solidFill>
              <a:round/>
            </a:ln>
            <a:effectLst/>
          </c:spPr>
          <c:marker>
            <c:symbol val="none"/>
          </c:marker>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Antigo'!$D$136:$AG$136</c:f>
              <c:numCache>
                <c:formatCode>[$R$-416]\ #,##0.00;[Red]\-[$R$-416]\ #,##0.00</c:formatCode>
                <c:ptCount val="30"/>
                <c:pt idx="0">
                  <c:v>50878328.818097323</c:v>
                </c:pt>
                <c:pt idx="1">
                  <c:v>100749306.98841341</c:v>
                </c:pt>
                <c:pt idx="2">
                  <c:v>156842954.79699758</c:v>
                </c:pt>
                <c:pt idx="3">
                  <c:v>218473005.06397349</c:v>
                </c:pt>
                <c:pt idx="4">
                  <c:v>281278807.01310724</c:v>
                </c:pt>
                <c:pt idx="5">
                  <c:v>343265598.48563242</c:v>
                </c:pt>
                <c:pt idx="6">
                  <c:v>406295751.63411164</c:v>
                </c:pt>
                <c:pt idx="7">
                  <c:v>469468594.25913888</c:v>
                </c:pt>
                <c:pt idx="8">
                  <c:v>530875555.94039959</c:v>
                </c:pt>
                <c:pt idx="9">
                  <c:v>592212176.86350882</c:v>
                </c:pt>
                <c:pt idx="10">
                  <c:v>653999889.87394881</c:v>
                </c:pt>
                <c:pt idx="11">
                  <c:v>716323148.12094402</c:v>
                </c:pt>
                <c:pt idx="12">
                  <c:v>779212838.05404282</c:v>
                </c:pt>
                <c:pt idx="13">
                  <c:v>842463951.82926655</c:v>
                </c:pt>
                <c:pt idx="14">
                  <c:v>907208506.03450084</c:v>
                </c:pt>
                <c:pt idx="15">
                  <c:v>972849519.30904913</c:v>
                </c:pt>
                <c:pt idx="16">
                  <c:v>1039174463.1917244</c:v>
                </c:pt>
                <c:pt idx="17">
                  <c:v>1105765702.2566969</c:v>
                </c:pt>
                <c:pt idx="18">
                  <c:v>1172721341.5411613</c:v>
                </c:pt>
                <c:pt idx="19">
                  <c:v>1237695042.8454449</c:v>
                </c:pt>
                <c:pt idx="20">
                  <c:v>1302945034.0483723</c:v>
                </c:pt>
                <c:pt idx="21">
                  <c:v>1368067198.1260309</c:v>
                </c:pt>
                <c:pt idx="22">
                  <c:v>1433428857.3892012</c:v>
                </c:pt>
                <c:pt idx="23">
                  <c:v>1498851639.5929615</c:v>
                </c:pt>
                <c:pt idx="24">
                  <c:v>1564501971.3362944</c:v>
                </c:pt>
                <c:pt idx="25">
                  <c:v>1628528591.7741523</c:v>
                </c:pt>
                <c:pt idx="26">
                  <c:v>1692700081.0235133</c:v>
                </c:pt>
                <c:pt idx="27">
                  <c:v>1756740207.3533509</c:v>
                </c:pt>
                <c:pt idx="28">
                  <c:v>1821108295.0871208</c:v>
                </c:pt>
                <c:pt idx="29">
                  <c:v>1885196347.7114058</c:v>
                </c:pt>
              </c:numCache>
            </c:numRef>
          </c:val>
          <c:smooth val="0"/>
          <c:extLst>
            <c:ext xmlns:c16="http://schemas.microsoft.com/office/drawing/2014/chart" uri="{C3380CC4-5D6E-409C-BE32-E72D297353CC}">
              <c16:uniqueId val="{00000004-B6F2-4C03-BB9D-2234AE5C3E08}"/>
            </c:ext>
          </c:extLst>
        </c:ser>
        <c:dLbls>
          <c:showLegendKey val="0"/>
          <c:showVal val="0"/>
          <c:showCatName val="0"/>
          <c:showSerName val="0"/>
          <c:showPercent val="0"/>
          <c:showBubbleSize val="0"/>
        </c:dLbls>
        <c:marker val="1"/>
        <c:smooth val="0"/>
        <c:axId val="975462815"/>
        <c:axId val="975477215"/>
      </c:lineChart>
      <c:catAx>
        <c:axId val="97547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74335"/>
        <c:crosses val="autoZero"/>
        <c:auto val="1"/>
        <c:lblAlgn val="ctr"/>
        <c:lblOffset val="100"/>
        <c:noMultiLvlLbl val="0"/>
      </c:catAx>
      <c:valAx>
        <c:axId val="975474335"/>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79135"/>
        <c:crosses val="autoZero"/>
        <c:crossBetween val="between"/>
        <c:dispUnits>
          <c:builtInUnit val="millions"/>
          <c:dispUnitsLbl>
            <c:layout>
              <c:manualLayout>
                <c:xMode val="edge"/>
                <c:yMode val="edge"/>
                <c:x val="1.6172666004139184E-2"/>
                <c:y val="0.1378072455620514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Gastos anuais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dispUnitsLbl>
        </c:dispUnits>
      </c:valAx>
      <c:valAx>
        <c:axId val="975477215"/>
        <c:scaling>
          <c:orientation val="minMax"/>
        </c:scaling>
        <c:delete val="0"/>
        <c:axPos val="r"/>
        <c:numFmt formatCode="&quot;R$&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62815"/>
        <c:crosses val="max"/>
        <c:crossBetween val="between"/>
        <c:dispUnits>
          <c:builtInUnit val="millions"/>
          <c:dispUnitsLbl>
            <c:layout>
              <c:manualLayout>
                <c:xMode val="edge"/>
                <c:yMode val="edge"/>
                <c:x val="0.95923673166465373"/>
                <c:y val="0.20849776765144812"/>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Gastos totais acumulado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dispUnitsLbl>
        </c:dispUnits>
      </c:valAx>
      <c:catAx>
        <c:axId val="975462815"/>
        <c:scaling>
          <c:orientation val="minMax"/>
        </c:scaling>
        <c:delete val="1"/>
        <c:axPos val="b"/>
        <c:numFmt formatCode="General" sourceLinked="1"/>
        <c:majorTickMark val="out"/>
        <c:minorTickMark val="none"/>
        <c:tickLblPos val="nextTo"/>
        <c:crossAx val="97547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GASTOS</a:t>
            </a:r>
            <a:r>
              <a:rPr lang="pt-BR" baseline="0"/>
              <a:t> TOTAIS, POR TIPO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8-425B-8055-71D426E82D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8-425B-8055-71D426E82D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8-425B-8055-71D426E82D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A8-425B-8055-71D426E82D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'Gráficos Antigo'!$C$132:$C$135</c:f>
              <c:strCache>
                <c:ptCount val="4"/>
                <c:pt idx="0">
                  <c:v>Custos operacionais (OPEX)</c:v>
                </c:pt>
                <c:pt idx="1">
                  <c:v>Despesas Obrigatórias</c:v>
                </c:pt>
                <c:pt idx="2">
                  <c:v>Seguros e garantias</c:v>
                </c:pt>
                <c:pt idx="3">
                  <c:v>Outros gastos</c:v>
                </c:pt>
              </c:strCache>
            </c:strRef>
          </c:cat>
          <c:val>
            <c:numRef>
              <c:f>'Gráficos Antigo'!$AH$132:$AH$135</c:f>
              <c:numCache>
                <c:formatCode>[$R$-416]\ #,##0.00;[Red]\-[$R$-416]\ #,##0.00</c:formatCode>
                <c:ptCount val="4"/>
                <c:pt idx="0">
                  <c:v>1456192809.5600393</c:v>
                </c:pt>
                <c:pt idx="1">
                  <c:v>139129907.0123876</c:v>
                </c:pt>
                <c:pt idx="2">
                  <c:v>126796082.30138573</c:v>
                </c:pt>
                <c:pt idx="3">
                  <c:v>163077548.83759299</c:v>
                </c:pt>
              </c:numCache>
            </c:numRef>
          </c:val>
          <c:extLst>
            <c:ext xmlns:c16="http://schemas.microsoft.com/office/drawing/2014/chart" uri="{C3380CC4-5D6E-409C-BE32-E72D297353CC}">
              <c16:uniqueId val="{00000000-B02C-4E57-AA11-8DA433A6B49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RTB</a:t>
            </a:r>
            <a:r>
              <a:rPr lang="pt-BR" baseline="0"/>
              <a:t> por pórtico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4A-42E7-88FD-3CD95B09B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4A-42E7-88FD-3CD95B09B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4A-42E7-88FD-3CD95B09B7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4A-42E7-88FD-3CD95B09B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'Gráficos Antigo'!$C$181:$C$184</c:f>
              <c:strCache>
                <c:ptCount val="4"/>
                <c:pt idx="0">
                  <c:v>P-01</c:v>
                </c:pt>
                <c:pt idx="1">
                  <c:v>P-02</c:v>
                </c:pt>
                <c:pt idx="2">
                  <c:v>P-03</c:v>
                </c:pt>
                <c:pt idx="3">
                  <c:v>P-04</c:v>
                </c:pt>
              </c:strCache>
            </c:strRef>
          </c:cat>
          <c:val>
            <c:numRef>
              <c:f>'Gráficos Antigo'!$AH$181:$AH$184</c:f>
              <c:numCache>
                <c:formatCode>[$R$-416]\ #,##0.00;[Red]\-[$R$-416]\ #,##0.00</c:formatCode>
                <c:ptCount val="4"/>
                <c:pt idx="0">
                  <c:v>3099372373.2921934</c:v>
                </c:pt>
                <c:pt idx="1">
                  <c:v>2746206676.924221</c:v>
                </c:pt>
                <c:pt idx="2">
                  <c:v>460257548.76604098</c:v>
                </c:pt>
                <c:pt idx="3">
                  <c:v>1041176826.100095</c:v>
                </c:pt>
              </c:numCache>
            </c:numRef>
          </c:val>
          <c:extLst>
            <c:ext xmlns:c16="http://schemas.microsoft.com/office/drawing/2014/chart" uri="{C3380CC4-5D6E-409C-BE32-E72D297353CC}">
              <c16:uniqueId val="{00000000-1396-4A24-8CCA-C7661404C4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Taxa de Crescimento Anual de Tráfego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Tráfego!$D$76</c:f>
              <c:strCache>
                <c:ptCount val="1"/>
                <c:pt idx="0">
                  <c:v>Leves</c:v>
                </c:pt>
              </c:strCache>
            </c:strRef>
          </c:tx>
          <c:spPr>
            <a:ln w="28575" cap="rnd">
              <a:solidFill>
                <a:schemeClr val="accent1"/>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Tráfego!$E$76:$AI$76</c:f>
              <c:numCache>
                <c:formatCode>0.00%</c:formatCode>
                <c:ptCount val="31"/>
                <c:pt idx="0">
                  <c:v>5.201634983156822E-2</c:v>
                </c:pt>
                <c:pt idx="1">
                  <c:v>4.2434573214249038E-2</c:v>
                </c:pt>
                <c:pt idx="2">
                  <c:v>4.1362061442293152E-2</c:v>
                </c:pt>
                <c:pt idx="3">
                  <c:v>4.1281097637926534E-2</c:v>
                </c:pt>
                <c:pt idx="4">
                  <c:v>4.1498144582299501E-2</c:v>
                </c:pt>
                <c:pt idx="5">
                  <c:v>4.1620841948875942E-2</c:v>
                </c:pt>
                <c:pt idx="6">
                  <c:v>4.1423939854035696E-2</c:v>
                </c:pt>
                <c:pt idx="7">
                  <c:v>4.076384576545844E-2</c:v>
                </c:pt>
                <c:pt idx="8">
                  <c:v>3.9801509106502708E-2</c:v>
                </c:pt>
                <c:pt idx="9">
                  <c:v>3.8609699844784906E-2</c:v>
                </c:pt>
                <c:pt idx="10">
                  <c:v>3.7239543680354981E-2</c:v>
                </c:pt>
                <c:pt idx="11">
                  <c:v>3.5701268224812788E-2</c:v>
                </c:pt>
                <c:pt idx="12">
                  <c:v>3.402298776184276E-2</c:v>
                </c:pt>
                <c:pt idx="13">
                  <c:v>3.2271865844316405E-2</c:v>
                </c:pt>
                <c:pt idx="14">
                  <c:v>3.0459296826106375E-2</c:v>
                </c:pt>
                <c:pt idx="15">
                  <c:v>2.8584702152538277E-2</c:v>
                </c:pt>
                <c:pt idx="16">
                  <c:v>2.6660875990153432E-2</c:v>
                </c:pt>
                <c:pt idx="17">
                  <c:v>2.4734752236325264E-2</c:v>
                </c:pt>
                <c:pt idx="18">
                  <c:v>2.2820136524287049E-2</c:v>
                </c:pt>
                <c:pt idx="19">
                  <c:v>2.0905867746881412E-2</c:v>
                </c:pt>
                <c:pt idx="20">
                  <c:v>1.9001299478206723E-2</c:v>
                </c:pt>
                <c:pt idx="21">
                  <c:v>1.7095255556733191E-2</c:v>
                </c:pt>
                <c:pt idx="22">
                  <c:v>1.5202613390204123E-2</c:v>
                </c:pt>
                <c:pt idx="23">
                  <c:v>1.3332888035535451E-2</c:v>
                </c:pt>
                <c:pt idx="24">
                  <c:v>1.1471137222978545E-2</c:v>
                </c:pt>
                <c:pt idx="25">
                  <c:v>9.6120160470318794E-3</c:v>
                </c:pt>
                <c:pt idx="26">
                  <c:v>7.7635545615790669E-3</c:v>
                </c:pt>
                <c:pt idx="27">
                  <c:v>5.9241051649265852E-3</c:v>
                </c:pt>
                <c:pt idx="28">
                  <c:v>4.0755997081156625E-3</c:v>
                </c:pt>
                <c:pt idx="29">
                  <c:v>2.2130037430230232E-3</c:v>
                </c:pt>
                <c:pt idx="30">
                  <c:v>3.3495597102750629E-4</c:v>
                </c:pt>
              </c:numCache>
            </c:numRef>
          </c:val>
          <c:smooth val="0"/>
          <c:extLst>
            <c:ext xmlns:c16="http://schemas.microsoft.com/office/drawing/2014/chart" uri="{C3380CC4-5D6E-409C-BE32-E72D297353CC}">
              <c16:uniqueId val="{00000000-4612-4898-84B6-8AA836A74D83}"/>
            </c:ext>
          </c:extLst>
        </c:ser>
        <c:ser>
          <c:idx val="1"/>
          <c:order val="1"/>
          <c:tx>
            <c:strRef>
              <c:f>Tráfego!$D$77</c:f>
              <c:strCache>
                <c:ptCount val="1"/>
                <c:pt idx="0">
                  <c:v>Pesados I</c:v>
                </c:pt>
              </c:strCache>
            </c:strRef>
          </c:tx>
          <c:spPr>
            <a:ln w="28575" cap="rnd">
              <a:solidFill>
                <a:schemeClr val="accent2"/>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Tráfego!$E$77:$AI$77</c:f>
              <c:numCache>
                <c:formatCode>0.00%</c:formatCode>
                <c:ptCount val="31"/>
                <c:pt idx="0">
                  <c:v>3.0118430399525442E-2</c:v>
                </c:pt>
                <c:pt idx="1">
                  <c:v>2.5873749562629555E-2</c:v>
                </c:pt>
                <c:pt idx="2">
                  <c:v>2.4696063538655944E-2</c:v>
                </c:pt>
                <c:pt idx="3">
                  <c:v>2.3866480144202118E-2</c:v>
                </c:pt>
                <c:pt idx="4">
                  <c:v>2.3140809758195546E-2</c:v>
                </c:pt>
                <c:pt idx="5">
                  <c:v>2.2384408256667321E-2</c:v>
                </c:pt>
                <c:pt idx="6">
                  <c:v>2.1505202342800844E-2</c:v>
                </c:pt>
                <c:pt idx="7">
                  <c:v>2.0449100661185771E-2</c:v>
                </c:pt>
                <c:pt idx="8">
                  <c:v>1.9292767347866446E-2</c:v>
                </c:pt>
                <c:pt idx="9">
                  <c:v>1.8061937781853388E-2</c:v>
                </c:pt>
                <c:pt idx="10">
                  <c:v>1.6777864073701076E-2</c:v>
                </c:pt>
                <c:pt idx="11">
                  <c:v>1.5436799937950552E-2</c:v>
                </c:pt>
                <c:pt idx="12">
                  <c:v>1.4047789571695946E-2</c:v>
                </c:pt>
                <c:pt idx="13">
                  <c:v>1.2648274499693191E-2</c:v>
                </c:pt>
                <c:pt idx="14">
                  <c:v>1.1241891566651674E-2</c:v>
                </c:pt>
                <c:pt idx="15">
                  <c:v>9.8263244401486372E-3</c:v>
                </c:pt>
                <c:pt idx="16">
                  <c:v>8.4046974570424204E-3</c:v>
                </c:pt>
                <c:pt idx="17">
                  <c:v>7.0039826124952409E-3</c:v>
                </c:pt>
                <c:pt idx="18">
                  <c:v>5.6277779407334361E-3</c:v>
                </c:pt>
                <c:pt idx="19">
                  <c:v>4.2644833204854571E-3</c:v>
                </c:pt>
                <c:pt idx="20">
                  <c:v>2.9194081162255969E-3</c:v>
                </c:pt>
                <c:pt idx="21">
                  <c:v>1.5810177650310564E-3</c:v>
                </c:pt>
                <c:pt idx="22">
                  <c:v>2.577955994567116E-4</c:v>
                </c:pt>
                <c:pt idx="23">
                  <c:v>-1.0456724282574825E-3</c:v>
                </c:pt>
                <c:pt idx="24">
                  <c:v>-2.3432310620314922E-3</c:v>
                </c:pt>
                <c:pt idx="25">
                  <c:v>-3.6399315224205919E-3</c:v>
                </c:pt>
                <c:pt idx="26">
                  <c:v>-4.9299416182954081E-3</c:v>
                </c:pt>
                <c:pt idx="27">
                  <c:v>-6.2131487403940255E-3</c:v>
                </c:pt>
                <c:pt idx="28">
                  <c:v>-7.5022554878176884E-3</c:v>
                </c:pt>
                <c:pt idx="29">
                  <c:v>-8.80101956907553E-3</c:v>
                </c:pt>
                <c:pt idx="30">
                  <c:v>-1.0111101302390346E-2</c:v>
                </c:pt>
              </c:numCache>
            </c:numRef>
          </c:val>
          <c:smooth val="0"/>
          <c:extLst>
            <c:ext xmlns:c16="http://schemas.microsoft.com/office/drawing/2014/chart" uri="{C3380CC4-5D6E-409C-BE32-E72D297353CC}">
              <c16:uniqueId val="{00000001-4612-4898-84B6-8AA836A74D83}"/>
            </c:ext>
          </c:extLst>
        </c:ser>
        <c:ser>
          <c:idx val="2"/>
          <c:order val="2"/>
          <c:tx>
            <c:strRef>
              <c:f>Tráfego!$D$78</c:f>
              <c:strCache>
                <c:ptCount val="1"/>
                <c:pt idx="0">
                  <c:v>Pesados II</c:v>
                </c:pt>
              </c:strCache>
            </c:strRef>
          </c:tx>
          <c:spPr>
            <a:ln w="28575" cap="rnd">
              <a:solidFill>
                <a:schemeClr val="accent3"/>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Tráfego!$E$78:$AI$78</c:f>
              <c:numCache>
                <c:formatCode>0.00%</c:formatCode>
                <c:ptCount val="31"/>
                <c:pt idx="0">
                  <c:v>4.59861095869325E-2</c:v>
                </c:pt>
                <c:pt idx="1">
                  <c:v>3.8280971463876323E-2</c:v>
                </c:pt>
                <c:pt idx="2">
                  <c:v>3.7001360600877886E-2</c:v>
                </c:pt>
                <c:pt idx="3">
                  <c:v>3.6464917394647633E-2</c:v>
                </c:pt>
                <c:pt idx="4">
                  <c:v>3.6151171942034432E-2</c:v>
                </c:pt>
                <c:pt idx="5">
                  <c:v>3.5767953094089977E-2</c:v>
                </c:pt>
                <c:pt idx="6">
                  <c:v>3.5138934190216187E-2</c:v>
                </c:pt>
                <c:pt idx="7">
                  <c:v>3.4154595989367209E-2</c:v>
                </c:pt>
                <c:pt idx="8">
                  <c:v>3.2947600332596583E-2</c:v>
                </c:pt>
                <c:pt idx="9">
                  <c:v>3.1572640074927882E-2</c:v>
                </c:pt>
                <c:pt idx="10">
                  <c:v>3.0070017199207211E-2</c:v>
                </c:pt>
                <c:pt idx="11">
                  <c:v>2.8443081834588213E-2</c:v>
                </c:pt>
                <c:pt idx="12">
                  <c:v>2.6712426232015307E-2</c:v>
                </c:pt>
                <c:pt idx="13">
                  <c:v>2.4936556541528487E-2</c:v>
                </c:pt>
                <c:pt idx="14">
                  <c:v>2.312378928440717E-2</c:v>
                </c:pt>
                <c:pt idx="15">
                  <c:v>2.1272444192702578E-2</c:v>
                </c:pt>
                <c:pt idx="16">
                  <c:v>1.9391282238855334E-2</c:v>
                </c:pt>
                <c:pt idx="17">
                  <c:v>1.7521615977907468E-2</c:v>
                </c:pt>
                <c:pt idx="18">
                  <c:v>1.5673009228538204E-2</c:v>
                </c:pt>
                <c:pt idx="19">
                  <c:v>1.3832550877741712E-2</c:v>
                </c:pt>
                <c:pt idx="20">
                  <c:v>1.2008420922976049E-2</c:v>
                </c:pt>
                <c:pt idx="21">
                  <c:v>1.018774922776311E-2</c:v>
                </c:pt>
                <c:pt idx="22">
                  <c:v>8.383576613466337E-3</c:v>
                </c:pt>
                <c:pt idx="23">
                  <c:v>6.6037387894102295E-3</c:v>
                </c:pt>
                <c:pt idx="24">
                  <c:v>4.8319763128461535E-3</c:v>
                </c:pt>
                <c:pt idx="25">
                  <c:v>3.0624168645716487E-3</c:v>
                </c:pt>
                <c:pt idx="26">
                  <c:v>1.3028382509170378E-3</c:v>
                </c:pt>
                <c:pt idx="27">
                  <c:v>-4.4758652536369681E-4</c:v>
                </c:pt>
                <c:pt idx="28">
                  <c:v>-2.2061093440393087E-3</c:v>
                </c:pt>
                <c:pt idx="29">
                  <c:v>-3.9776601384263754E-3</c:v>
                </c:pt>
                <c:pt idx="30">
                  <c:v>-5.7639460928983199E-3</c:v>
                </c:pt>
              </c:numCache>
            </c:numRef>
          </c:val>
          <c:smooth val="0"/>
          <c:extLst>
            <c:ext xmlns:c16="http://schemas.microsoft.com/office/drawing/2014/chart" uri="{C3380CC4-5D6E-409C-BE32-E72D297353CC}">
              <c16:uniqueId val="{00000002-4612-4898-84B6-8AA836A74D83}"/>
            </c:ext>
          </c:extLst>
        </c:ser>
        <c:dLbls>
          <c:showLegendKey val="0"/>
          <c:showVal val="0"/>
          <c:showCatName val="0"/>
          <c:showSerName val="0"/>
          <c:showPercent val="0"/>
          <c:showBubbleSize val="0"/>
        </c:dLbls>
        <c:smooth val="0"/>
        <c:axId val="915274759"/>
        <c:axId val="1765143559"/>
      </c:lineChart>
      <c:catAx>
        <c:axId val="91527475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65143559"/>
        <c:crosses val="autoZero"/>
        <c:auto val="1"/>
        <c:lblAlgn val="ctr"/>
        <c:lblOffset val="100"/>
        <c:noMultiLvlLbl val="0"/>
      </c:catAx>
      <c:valAx>
        <c:axId val="17651435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15274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1"/>
          <c:order val="0"/>
          <c:tx>
            <c:strRef>
              <c:f>'TAG e inad.'!$B$11</c:f>
              <c:strCache>
                <c:ptCount val="1"/>
                <c:pt idx="0">
                  <c:v>Inadimplência projetada</c:v>
                </c:pt>
              </c:strCache>
            </c:strRef>
          </c:tx>
          <c:spPr>
            <a:ln w="28575" cap="rnd">
              <a:solidFill>
                <a:schemeClr val="accent2"/>
              </a:solidFill>
              <a:round/>
            </a:ln>
            <a:effectLst/>
          </c:spPr>
          <c:marker>
            <c:symbol val="none"/>
          </c:marker>
          <c:val>
            <c:numRef>
              <c:f>'TAG e inad.'!$C$11:$AF$11</c:f>
              <c:numCache>
                <c:formatCode>0.00%</c:formatCode>
                <c:ptCount val="30"/>
                <c:pt idx="0">
                  <c:v>0.18</c:v>
                </c:pt>
                <c:pt idx="1">
                  <c:v>0.18</c:v>
                </c:pt>
                <c:pt idx="2">
                  <c:v>0.16</c:v>
                </c:pt>
                <c:pt idx="3">
                  <c:v>0.15</c:v>
                </c:pt>
                <c:pt idx="4">
                  <c:v>0.13</c:v>
                </c:pt>
                <c:pt idx="5">
                  <c:v>0.13</c:v>
                </c:pt>
                <c:pt idx="6">
                  <c:v>0.13</c:v>
                </c:pt>
                <c:pt idx="7">
                  <c:v>0.13</c:v>
                </c:pt>
                <c:pt idx="8">
                  <c:v>0.13</c:v>
                </c:pt>
                <c:pt idx="9">
                  <c:v>0.13</c:v>
                </c:pt>
                <c:pt idx="10">
                  <c:v>0.13</c:v>
                </c:pt>
                <c:pt idx="11">
                  <c:v>0.13</c:v>
                </c:pt>
                <c:pt idx="12">
                  <c:v>0.13</c:v>
                </c:pt>
                <c:pt idx="13">
                  <c:v>0.13</c:v>
                </c:pt>
                <c:pt idx="14">
                  <c:v>0.13</c:v>
                </c:pt>
                <c:pt idx="15">
                  <c:v>0.13</c:v>
                </c:pt>
                <c:pt idx="16">
                  <c:v>0.13</c:v>
                </c:pt>
                <c:pt idx="17">
                  <c:v>0.13</c:v>
                </c:pt>
                <c:pt idx="18">
                  <c:v>0.13</c:v>
                </c:pt>
                <c:pt idx="19">
                  <c:v>0.13</c:v>
                </c:pt>
                <c:pt idx="20">
                  <c:v>0.13</c:v>
                </c:pt>
                <c:pt idx="21">
                  <c:v>0.13</c:v>
                </c:pt>
                <c:pt idx="22">
                  <c:v>0.13</c:v>
                </c:pt>
                <c:pt idx="23">
                  <c:v>0.13</c:v>
                </c:pt>
                <c:pt idx="24">
                  <c:v>0.13</c:v>
                </c:pt>
                <c:pt idx="25">
                  <c:v>0.13</c:v>
                </c:pt>
                <c:pt idx="26">
                  <c:v>0.13</c:v>
                </c:pt>
                <c:pt idx="27">
                  <c:v>0.13</c:v>
                </c:pt>
                <c:pt idx="28">
                  <c:v>0.13</c:v>
                </c:pt>
                <c:pt idx="29">
                  <c:v>0.13</c:v>
                </c:pt>
              </c:numCache>
            </c:numRef>
          </c:val>
          <c:smooth val="0"/>
          <c:extLst>
            <c:ext xmlns:c16="http://schemas.microsoft.com/office/drawing/2014/chart" uri="{C3380CC4-5D6E-409C-BE32-E72D297353CC}">
              <c16:uniqueId val="{00000000-AD6A-49DF-8EDB-D66BE8393B5D}"/>
            </c:ext>
          </c:extLst>
        </c:ser>
        <c:dLbls>
          <c:showLegendKey val="0"/>
          <c:showVal val="0"/>
          <c:showCatName val="0"/>
          <c:showSerName val="0"/>
          <c:showPercent val="0"/>
          <c:showBubbleSize val="0"/>
        </c:dLbls>
        <c:smooth val="0"/>
        <c:axId val="380427272"/>
        <c:axId val="380429320"/>
      </c:lineChart>
      <c:catAx>
        <c:axId val="380427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29320"/>
        <c:crosses val="autoZero"/>
        <c:auto val="1"/>
        <c:lblAlgn val="ctr"/>
        <c:lblOffset val="100"/>
        <c:noMultiLvlLbl val="0"/>
      </c:catAx>
      <c:valAx>
        <c:axId val="380429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2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APORTE X CAPEX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areaChart>
        <c:grouping val="stacked"/>
        <c:varyColors val="0"/>
        <c:ser>
          <c:idx val="0"/>
          <c:order val="0"/>
          <c:tx>
            <c:strRef>
              <c:f>'Gráficos Antigo'!$C$265</c:f>
              <c:strCache>
                <c:ptCount val="1"/>
                <c:pt idx="0">
                  <c:v>Recebimento de aporte estatal</c:v>
                </c:pt>
              </c:strCache>
            </c:strRef>
          </c:tx>
          <c:spPr>
            <a:solidFill>
              <a:schemeClr val="accent1"/>
            </a:solidFill>
            <a:ln>
              <a:noFill/>
            </a:ln>
            <a:effectLst/>
          </c:spPr>
          <c:cat>
            <c:strRef>
              <c:f>'Gráficos Antigo'!$D$264:$AG$264</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Antigo'!$D$265:$AG$265</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15C3-42F8-9137-7A3BF2B031C1}"/>
            </c:ext>
          </c:extLst>
        </c:ser>
        <c:ser>
          <c:idx val="1"/>
          <c:order val="1"/>
          <c:tx>
            <c:strRef>
              <c:f>'Gráficos Antigo'!$C$266</c:f>
              <c:strCache>
                <c:ptCount val="1"/>
                <c:pt idx="0">
                  <c:v>Capex</c:v>
                </c:pt>
              </c:strCache>
            </c:strRef>
          </c:tx>
          <c:spPr>
            <a:solidFill>
              <a:schemeClr val="accent2"/>
            </a:solidFill>
            <a:ln>
              <a:noFill/>
            </a:ln>
            <a:effectLst/>
          </c:spPr>
          <c:cat>
            <c:strRef>
              <c:f>'Gráficos Antigo'!$D$264:$AG$264</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Antigo'!$D$266:$AG$266</c:f>
              <c:numCache>
                <c:formatCode>[$R$-416]\ #,##0.00;[Red]\-[$R$-416]\ #,##0.00</c:formatCode>
                <c:ptCount val="30"/>
                <c:pt idx="0">
                  <c:v>178599736.04676378</c:v>
                </c:pt>
                <c:pt idx="1">
                  <c:v>116521385.76469104</c:v>
                </c:pt>
                <c:pt idx="2">
                  <c:v>351556578.7818054</c:v>
                </c:pt>
                <c:pt idx="3">
                  <c:v>837400264.57339108</c:v>
                </c:pt>
                <c:pt idx="4">
                  <c:v>505318568.26877183</c:v>
                </c:pt>
                <c:pt idx="5">
                  <c:v>496236352.91614836</c:v>
                </c:pt>
                <c:pt idx="6">
                  <c:v>5187536.297820067</c:v>
                </c:pt>
                <c:pt idx="7">
                  <c:v>61939863.914150342</c:v>
                </c:pt>
                <c:pt idx="8">
                  <c:v>68711049.279476479</c:v>
                </c:pt>
                <c:pt idx="9">
                  <c:v>37408190.679644719</c:v>
                </c:pt>
                <c:pt idx="10">
                  <c:v>35701142.339237891</c:v>
                </c:pt>
                <c:pt idx="11">
                  <c:v>10308905.579130599</c:v>
                </c:pt>
                <c:pt idx="12">
                  <c:v>11370329.22712113</c:v>
                </c:pt>
                <c:pt idx="13">
                  <c:v>651514.00422605418</c:v>
                </c:pt>
                <c:pt idx="14">
                  <c:v>288160645.45553917</c:v>
                </c:pt>
                <c:pt idx="15">
                  <c:v>54456059.627743311</c:v>
                </c:pt>
                <c:pt idx="16">
                  <c:v>123744063.90159652</c:v>
                </c:pt>
                <c:pt idx="17">
                  <c:v>113985356.76427202</c:v>
                </c:pt>
                <c:pt idx="18">
                  <c:v>69147531.694192544</c:v>
                </c:pt>
                <c:pt idx="19">
                  <c:v>23443519.900715314</c:v>
                </c:pt>
                <c:pt idx="20">
                  <c:v>29796576.737236101</c:v>
                </c:pt>
                <c:pt idx="21">
                  <c:v>3043823.9097820926</c:v>
                </c:pt>
                <c:pt idx="22">
                  <c:v>23198168.890982345</c:v>
                </c:pt>
                <c:pt idx="23">
                  <c:v>30247675.943929676</c:v>
                </c:pt>
                <c:pt idx="24">
                  <c:v>56105385.567156322</c:v>
                </c:pt>
                <c:pt idx="25">
                  <c:v>58057438.006721489</c:v>
                </c:pt>
                <c:pt idx="26">
                  <c:v>26753060.130895667</c:v>
                </c:pt>
                <c:pt idx="27">
                  <c:v>13878395.354899159</c:v>
                </c:pt>
                <c:pt idx="28">
                  <c:v>24909861.391688135</c:v>
                </c:pt>
                <c:pt idx="29">
                  <c:v>34317597.273617856</c:v>
                </c:pt>
              </c:numCache>
            </c:numRef>
          </c:val>
          <c:extLst>
            <c:ext xmlns:c16="http://schemas.microsoft.com/office/drawing/2014/chart" uri="{C3380CC4-5D6E-409C-BE32-E72D297353CC}">
              <c16:uniqueId val="{00000001-15C3-42F8-9137-7A3BF2B031C1}"/>
            </c:ext>
          </c:extLst>
        </c:ser>
        <c:dLbls>
          <c:showLegendKey val="0"/>
          <c:showVal val="0"/>
          <c:showCatName val="0"/>
          <c:showSerName val="0"/>
          <c:showPercent val="0"/>
          <c:showBubbleSize val="0"/>
        </c:dLbls>
        <c:axId val="1658651215"/>
        <c:axId val="1658649775"/>
      </c:areaChart>
      <c:catAx>
        <c:axId val="1658651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58649775"/>
        <c:crosses val="autoZero"/>
        <c:auto val="1"/>
        <c:lblAlgn val="ctr"/>
        <c:lblOffset val="100"/>
        <c:noMultiLvlLbl val="0"/>
      </c:catAx>
      <c:valAx>
        <c:axId val="1658649775"/>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586512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Aporte x (CAPEX+OPEX)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areaChart>
        <c:grouping val="stacked"/>
        <c:varyColors val="0"/>
        <c:ser>
          <c:idx val="0"/>
          <c:order val="0"/>
          <c:tx>
            <c:strRef>
              <c:f>'Gráficos Antigo'!$C$293</c:f>
              <c:strCache>
                <c:ptCount val="1"/>
                <c:pt idx="0">
                  <c:v>Recebimento de aporte estatal</c:v>
                </c:pt>
              </c:strCache>
            </c:strRef>
          </c:tx>
          <c:spPr>
            <a:solidFill>
              <a:schemeClr val="accent1"/>
            </a:solidFill>
            <a:ln>
              <a:noFill/>
            </a:ln>
            <a:effectLst/>
          </c:spPr>
          <c:cat>
            <c:strRef>
              <c:f>'Gráficos Antigo'!$D$292:$AG$292</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Antigo'!$D$293:$AG$293</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BAAE-468E-B97E-45C81CED3CCA}"/>
            </c:ext>
          </c:extLst>
        </c:ser>
        <c:ser>
          <c:idx val="1"/>
          <c:order val="1"/>
          <c:tx>
            <c:strRef>
              <c:f>'Gráficos Antigo'!$C$294</c:f>
              <c:strCache>
                <c:ptCount val="1"/>
                <c:pt idx="0">
                  <c:v>CAPEX+OPEX</c:v>
                </c:pt>
              </c:strCache>
            </c:strRef>
          </c:tx>
          <c:spPr>
            <a:solidFill>
              <a:schemeClr val="accent2"/>
            </a:solidFill>
            <a:ln>
              <a:noFill/>
            </a:ln>
            <a:effectLst/>
          </c:spPr>
          <c:cat>
            <c:strRef>
              <c:f>'Gráficos Antigo'!$D$292:$AG$292</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Antigo'!$D$294:$AG$294</c:f>
              <c:numCache>
                <c:formatCode>[$R$-416]\ #,##0.00;[Red]\-[$R$-416]\ #,##0.00</c:formatCode>
                <c:ptCount val="30"/>
                <c:pt idx="0">
                  <c:v>229478064.8648611</c:v>
                </c:pt>
                <c:pt idx="1">
                  <c:v>166392363.93500713</c:v>
                </c:pt>
                <c:pt idx="2">
                  <c:v>407650226.59038955</c:v>
                </c:pt>
                <c:pt idx="3">
                  <c:v>899030314.84036696</c:v>
                </c:pt>
                <c:pt idx="4">
                  <c:v>568124370.21790564</c:v>
                </c:pt>
                <c:pt idx="5">
                  <c:v>558223144.38867354</c:v>
                </c:pt>
                <c:pt idx="6">
                  <c:v>68217689.446299285</c:v>
                </c:pt>
                <c:pt idx="7">
                  <c:v>125112706.5391776</c:v>
                </c:pt>
                <c:pt idx="8">
                  <c:v>130118010.96073718</c:v>
                </c:pt>
                <c:pt idx="9">
                  <c:v>98744811.602753922</c:v>
                </c:pt>
                <c:pt idx="10">
                  <c:v>97488855.349677831</c:v>
                </c:pt>
                <c:pt idx="11">
                  <c:v>72632163.82612586</c:v>
                </c:pt>
                <c:pt idx="12">
                  <c:v>74260019.160219893</c:v>
                </c:pt>
                <c:pt idx="13">
                  <c:v>63902627.779449739</c:v>
                </c:pt>
                <c:pt idx="14">
                  <c:v>352905199.66077352</c:v>
                </c:pt>
                <c:pt idx="15">
                  <c:v>120097072.90229154</c:v>
                </c:pt>
                <c:pt idx="16">
                  <c:v>190069007.78427178</c:v>
                </c:pt>
                <c:pt idx="17">
                  <c:v>180576595.82924455</c:v>
                </c:pt>
                <c:pt idx="18">
                  <c:v>136103170.97865689</c:v>
                </c:pt>
                <c:pt idx="19">
                  <c:v>88417221.20499903</c:v>
                </c:pt>
                <c:pt idx="20">
                  <c:v>95046567.940163523</c:v>
                </c:pt>
                <c:pt idx="21">
                  <c:v>68165987.98744069</c:v>
                </c:pt>
                <c:pt idx="22">
                  <c:v>88559828.154152662</c:v>
                </c:pt>
                <c:pt idx="23">
                  <c:v>95670458.147689953</c:v>
                </c:pt>
                <c:pt idx="24">
                  <c:v>121755717.31048909</c:v>
                </c:pt>
                <c:pt idx="25">
                  <c:v>122084058.44457947</c:v>
                </c:pt>
                <c:pt idx="26">
                  <c:v>90924549.380256742</c:v>
                </c:pt>
                <c:pt idx="27">
                  <c:v>77918521.684736758</c:v>
                </c:pt>
                <c:pt idx="28">
                  <c:v>89277949.125457957</c:v>
                </c:pt>
                <c:pt idx="29">
                  <c:v>98405649.897902757</c:v>
                </c:pt>
              </c:numCache>
            </c:numRef>
          </c:val>
          <c:extLst>
            <c:ext xmlns:c16="http://schemas.microsoft.com/office/drawing/2014/chart" uri="{C3380CC4-5D6E-409C-BE32-E72D297353CC}">
              <c16:uniqueId val="{00000001-BAAE-468E-B97E-45C81CED3CCA}"/>
            </c:ext>
          </c:extLst>
        </c:ser>
        <c:dLbls>
          <c:showLegendKey val="0"/>
          <c:showVal val="0"/>
          <c:showCatName val="0"/>
          <c:showSerName val="0"/>
          <c:showPercent val="0"/>
          <c:showBubbleSize val="0"/>
        </c:dLbls>
        <c:axId val="1786620079"/>
        <c:axId val="1786620559"/>
      </c:areaChart>
      <c:catAx>
        <c:axId val="178662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6620559"/>
        <c:crosses val="autoZero"/>
        <c:auto val="1"/>
        <c:lblAlgn val="ctr"/>
        <c:lblOffset val="100"/>
        <c:noMultiLvlLbl val="0"/>
      </c:catAx>
      <c:valAx>
        <c:axId val="1786620559"/>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66200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Valores Reais</a:t>
            </a:r>
          </a:p>
          <a:p>
            <a:pPr>
              <a:defRPr/>
            </a:pPr>
            <a:r>
              <a:rPr lang="pt-BR"/>
              <a:t>(</a:t>
            </a:r>
            <a:r>
              <a:rPr lang="pt-BR" baseline="0"/>
              <a:t>data-base: jul/2024)</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Aporte!$B$10</c:f>
              <c:strCache>
                <c:ptCount val="1"/>
                <c:pt idx="0">
                  <c:v>Valor real pago ao Estado considerando a incidência de correção monetária ou não (na data-base do MEF)</c:v>
                </c:pt>
              </c:strCache>
            </c:strRef>
          </c:tx>
          <c:spPr>
            <a:solidFill>
              <a:schemeClr val="accent6">
                <a:lumMod val="75000"/>
              </a:schemeClr>
            </a:solidFill>
            <a:ln>
              <a:noFill/>
            </a:ln>
            <a:effectLst/>
          </c:spPr>
          <c:invertIfNegative val="0"/>
          <c:cat>
            <c:numRef>
              <c:f>Aporte!$C$3:$N$3</c:f>
              <c:numCache>
                <c:formatCode>General</c:formatCode>
                <c:ptCount val="12"/>
                <c:pt idx="0">
                  <c:v>2024</c:v>
                </c:pt>
                <c:pt idx="1">
                  <c:v>2025</c:v>
                </c:pt>
                <c:pt idx="2">
                  <c:v>2026</c:v>
                </c:pt>
                <c:pt idx="3">
                  <c:v>2027</c:v>
                </c:pt>
                <c:pt idx="4">
                  <c:v>2028</c:v>
                </c:pt>
                <c:pt idx="5">
                  <c:v>2029</c:v>
                </c:pt>
                <c:pt idx="6">
                  <c:v>2030</c:v>
                </c:pt>
                <c:pt idx="7">
                  <c:v>2031</c:v>
                </c:pt>
                <c:pt idx="8">
                  <c:v>2032</c:v>
                </c:pt>
                <c:pt idx="9">
                  <c:v>2033</c:v>
                </c:pt>
                <c:pt idx="10">
                  <c:v>2034</c:v>
                </c:pt>
                <c:pt idx="11">
                  <c:v>2035</c:v>
                </c:pt>
              </c:numCache>
            </c:numRef>
          </c:cat>
          <c:val>
            <c:numRef>
              <c:f>Aporte!$C$10:$N$10</c:f>
              <c:numCache>
                <c:formatCode>"R$"\ #,##0.00</c:formatCode>
                <c:ptCount val="12"/>
                <c:pt idx="0">
                  <c:v>9813234.5206038672</c:v>
                </c:pt>
                <c:pt idx="1">
                  <c:v>330363093.01310879</c:v>
                </c:pt>
                <c:pt idx="2">
                  <c:v>340317234.84848487</c:v>
                </c:pt>
                <c:pt idx="3">
                  <c:v>317629419.19191921</c:v>
                </c:pt>
                <c:pt idx="4">
                  <c:v>317629419.19191921</c:v>
                </c:pt>
                <c:pt idx="5">
                  <c:v>317629419.19191921</c:v>
                </c:pt>
                <c:pt idx="6">
                  <c:v>329466540.4040404</c:v>
                </c:pt>
                <c:pt idx="7">
                  <c:v>0</c:v>
                </c:pt>
                <c:pt idx="8">
                  <c:v>0</c:v>
                </c:pt>
                <c:pt idx="9">
                  <c:v>0</c:v>
                </c:pt>
                <c:pt idx="10">
                  <c:v>0</c:v>
                </c:pt>
                <c:pt idx="11">
                  <c:v>0</c:v>
                </c:pt>
              </c:numCache>
            </c:numRef>
          </c:val>
          <c:extLst>
            <c:ext xmlns:c16="http://schemas.microsoft.com/office/drawing/2014/chart" uri="{C3380CC4-5D6E-409C-BE32-E72D297353CC}">
              <c16:uniqueId val="{00000001-51AA-4893-A6DA-732CFDCE8A39}"/>
            </c:ext>
          </c:extLst>
        </c:ser>
        <c:ser>
          <c:idx val="5"/>
          <c:order val="2"/>
          <c:tx>
            <c:strRef>
              <c:f>Aporte!$B$18</c:f>
              <c:strCache>
                <c:ptCount val="1"/>
                <c:pt idx="0">
                  <c:v>Pagamentos reais do Estado à conta de contraprestação, exceto o pagamento incial</c:v>
                </c:pt>
              </c:strCache>
            </c:strRef>
          </c:tx>
          <c:spPr>
            <a:solidFill>
              <a:srgbClr val="FF0000"/>
            </a:solidFill>
            <a:ln>
              <a:noFill/>
            </a:ln>
            <a:effectLst/>
          </c:spPr>
          <c:invertIfNegative val="0"/>
          <c:cat>
            <c:numRef>
              <c:f>Aporte!$C$3:$N$3</c:f>
              <c:numCache>
                <c:formatCode>General</c:formatCode>
                <c:ptCount val="12"/>
                <c:pt idx="0">
                  <c:v>2024</c:v>
                </c:pt>
                <c:pt idx="1">
                  <c:v>2025</c:v>
                </c:pt>
                <c:pt idx="2">
                  <c:v>2026</c:v>
                </c:pt>
                <c:pt idx="3">
                  <c:v>2027</c:v>
                </c:pt>
                <c:pt idx="4">
                  <c:v>2028</c:v>
                </c:pt>
                <c:pt idx="5">
                  <c:v>2029</c:v>
                </c:pt>
                <c:pt idx="6">
                  <c:v>2030</c:v>
                </c:pt>
                <c:pt idx="7">
                  <c:v>2031</c:v>
                </c:pt>
                <c:pt idx="8">
                  <c:v>2032</c:v>
                </c:pt>
                <c:pt idx="9">
                  <c:v>2033</c:v>
                </c:pt>
                <c:pt idx="10">
                  <c:v>2034</c:v>
                </c:pt>
                <c:pt idx="11">
                  <c:v>2035</c:v>
                </c:pt>
              </c:numCache>
            </c:numRef>
          </c:cat>
          <c:val>
            <c:numRef>
              <c:f>Aporte!$C$18:$N$18</c:f>
              <c:numCache>
                <c:formatCode>"R$"\ #,##0.00</c:formatCode>
                <c:ptCount val="12"/>
                <c:pt idx="0" formatCode="0.00%">
                  <c:v>0</c:v>
                </c:pt>
                <c:pt idx="1">
                  <c:v>0</c:v>
                </c:pt>
                <c:pt idx="2">
                  <c:v>-306000000</c:v>
                </c:pt>
                <c:pt idx="3">
                  <c:v>-305999999.99999994</c:v>
                </c:pt>
                <c:pt idx="4">
                  <c:v>-305999999.99999994</c:v>
                </c:pt>
                <c:pt idx="5">
                  <c:v>-305999999.99999994</c:v>
                </c:pt>
                <c:pt idx="6">
                  <c:v>-305999999.99999994</c:v>
                </c:pt>
                <c:pt idx="7">
                  <c:v>0</c:v>
                </c:pt>
                <c:pt idx="8">
                  <c:v>0</c:v>
                </c:pt>
                <c:pt idx="9">
                  <c:v>0</c:v>
                </c:pt>
                <c:pt idx="10">
                  <c:v>0</c:v>
                </c:pt>
                <c:pt idx="11">
                  <c:v>0</c:v>
                </c:pt>
              </c:numCache>
            </c:numRef>
          </c:val>
          <c:extLst>
            <c:ext xmlns:c16="http://schemas.microsoft.com/office/drawing/2014/chart" uri="{C3380CC4-5D6E-409C-BE32-E72D297353CC}">
              <c16:uniqueId val="{0000000B-51AA-4893-A6DA-732CFDCE8A39}"/>
            </c:ext>
          </c:extLst>
        </c:ser>
        <c:dLbls>
          <c:showLegendKey val="0"/>
          <c:showVal val="0"/>
          <c:showCatName val="0"/>
          <c:showSerName val="0"/>
          <c:showPercent val="0"/>
          <c:showBubbleSize val="0"/>
        </c:dLbls>
        <c:gapWidth val="150"/>
        <c:overlap val="100"/>
        <c:axId val="51833864"/>
        <c:axId val="245471752"/>
      </c:barChart>
      <c:lineChart>
        <c:grouping val="standard"/>
        <c:varyColors val="0"/>
        <c:ser>
          <c:idx val="1"/>
          <c:order val="1"/>
          <c:tx>
            <c:strRef>
              <c:f>Aporte!$B$13</c:f>
              <c:strCache>
                <c:ptCount val="1"/>
                <c:pt idx="0">
                  <c:v>Saldo real na conta do Estado (data-base MEF)</c:v>
                </c:pt>
              </c:strCache>
            </c:strRef>
          </c:tx>
          <c:spPr>
            <a:ln w="28575" cap="rnd">
              <a:solidFill>
                <a:schemeClr val="accent1"/>
              </a:solidFill>
              <a:round/>
            </a:ln>
            <a:effectLst/>
          </c:spPr>
          <c:marker>
            <c:symbol val="none"/>
          </c:marker>
          <c:val>
            <c:numRef>
              <c:f>Aporte!$C$13:$N$13</c:f>
              <c:numCache>
                <c:formatCode>"R$"\ #,##0.00</c:formatCode>
                <c:ptCount val="12"/>
                <c:pt idx="0">
                  <c:v>9813234.5206038672</c:v>
                </c:pt>
                <c:pt idx="1">
                  <c:v>340176327.53371269</c:v>
                </c:pt>
                <c:pt idx="2">
                  <c:v>680493562.38219762</c:v>
                </c:pt>
                <c:pt idx="3">
                  <c:v>392122981.57411683</c:v>
                </c:pt>
                <c:pt idx="4">
                  <c:v>403752400.76603609</c:v>
                </c:pt>
                <c:pt idx="5">
                  <c:v>415381819.95795536</c:v>
                </c:pt>
                <c:pt idx="6">
                  <c:v>438848360.36199582</c:v>
                </c:pt>
                <c:pt idx="7">
                  <c:v>132848360.36199588</c:v>
                </c:pt>
                <c:pt idx="8">
                  <c:v>132848360.36199588</c:v>
                </c:pt>
                <c:pt idx="9">
                  <c:v>132848360.36199588</c:v>
                </c:pt>
                <c:pt idx="10">
                  <c:v>132848360.36199588</c:v>
                </c:pt>
                <c:pt idx="11">
                  <c:v>132848360.36199588</c:v>
                </c:pt>
              </c:numCache>
            </c:numRef>
          </c:val>
          <c:smooth val="0"/>
          <c:extLst>
            <c:ext xmlns:c16="http://schemas.microsoft.com/office/drawing/2014/chart" uri="{C3380CC4-5D6E-409C-BE32-E72D297353CC}">
              <c16:uniqueId val="{00000003-51AA-4893-A6DA-732CFDCE8A39}"/>
            </c:ext>
          </c:extLst>
        </c:ser>
        <c:dLbls>
          <c:showLegendKey val="0"/>
          <c:showVal val="0"/>
          <c:showCatName val="0"/>
          <c:showSerName val="0"/>
          <c:showPercent val="0"/>
          <c:showBubbleSize val="0"/>
        </c:dLbls>
        <c:marker val="1"/>
        <c:smooth val="0"/>
        <c:axId val="51833864"/>
        <c:axId val="245471752"/>
      </c:lineChart>
      <c:catAx>
        <c:axId val="51833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71752"/>
        <c:crosses val="autoZero"/>
        <c:auto val="1"/>
        <c:lblAlgn val="ctr"/>
        <c:lblOffset val="100"/>
        <c:noMultiLvlLbl val="0"/>
      </c:catAx>
      <c:valAx>
        <c:axId val="245471752"/>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386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Valores Nominais(sem projeção de inflação)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Aporte!$B$10</c:f>
              <c:strCache>
                <c:ptCount val="1"/>
                <c:pt idx="0">
                  <c:v>Valor real pago ao Estado considerando a incidência de correção monetária ou não (na data-base do MEF)</c:v>
                </c:pt>
              </c:strCache>
            </c:strRef>
          </c:tx>
          <c:spPr>
            <a:solidFill>
              <a:schemeClr val="accent6">
                <a:lumMod val="75000"/>
              </a:schemeClr>
            </a:solidFill>
            <a:ln>
              <a:noFill/>
            </a:ln>
            <a:effectLst/>
          </c:spPr>
          <c:invertIfNegative val="0"/>
          <c:val>
            <c:numRef>
              <c:f>Aporte!$C$10:$N$10</c:f>
              <c:numCache>
                <c:formatCode>"R$"\ #,##0.00</c:formatCode>
                <c:ptCount val="12"/>
                <c:pt idx="0">
                  <c:v>9813234.5206038672</c:v>
                </c:pt>
                <c:pt idx="1">
                  <c:v>330363093.01310879</c:v>
                </c:pt>
                <c:pt idx="2">
                  <c:v>340317234.84848487</c:v>
                </c:pt>
                <c:pt idx="3">
                  <c:v>317629419.19191921</c:v>
                </c:pt>
                <c:pt idx="4">
                  <c:v>317629419.19191921</c:v>
                </c:pt>
                <c:pt idx="5">
                  <c:v>317629419.19191921</c:v>
                </c:pt>
                <c:pt idx="6">
                  <c:v>329466540.4040404</c:v>
                </c:pt>
                <c:pt idx="7">
                  <c:v>0</c:v>
                </c:pt>
                <c:pt idx="8">
                  <c:v>0</c:v>
                </c:pt>
                <c:pt idx="9">
                  <c:v>0</c:v>
                </c:pt>
                <c:pt idx="10">
                  <c:v>0</c:v>
                </c:pt>
                <c:pt idx="11">
                  <c:v>0</c:v>
                </c:pt>
              </c:numCache>
            </c:numRef>
          </c:val>
          <c:extLst>
            <c:ext xmlns:c16="http://schemas.microsoft.com/office/drawing/2014/chart" uri="{C3380CC4-5D6E-409C-BE32-E72D297353CC}">
              <c16:uniqueId val="{00000000-8664-4F3E-A9F7-D9FC20318D66}"/>
            </c:ext>
          </c:extLst>
        </c:ser>
        <c:ser>
          <c:idx val="5"/>
          <c:order val="2"/>
          <c:tx>
            <c:strRef>
              <c:f>Aporte!$B$18</c:f>
              <c:strCache>
                <c:ptCount val="1"/>
                <c:pt idx="0">
                  <c:v>Pagamentos reais do Estado à conta de contraprestação, exceto o pagamento incial</c:v>
                </c:pt>
              </c:strCache>
            </c:strRef>
          </c:tx>
          <c:spPr>
            <a:solidFill>
              <a:srgbClr val="FF0000"/>
            </a:solidFill>
            <a:ln>
              <a:noFill/>
            </a:ln>
            <a:effectLst/>
          </c:spPr>
          <c:invertIfNegative val="0"/>
          <c:val>
            <c:numRef>
              <c:f>Aporte!$C$18:$N$18</c:f>
              <c:numCache>
                <c:formatCode>"R$"\ #,##0.00</c:formatCode>
                <c:ptCount val="12"/>
                <c:pt idx="0" formatCode="0.00%">
                  <c:v>0</c:v>
                </c:pt>
                <c:pt idx="1">
                  <c:v>0</c:v>
                </c:pt>
                <c:pt idx="2">
                  <c:v>-306000000</c:v>
                </c:pt>
                <c:pt idx="3">
                  <c:v>-305999999.99999994</c:v>
                </c:pt>
                <c:pt idx="4">
                  <c:v>-305999999.99999994</c:v>
                </c:pt>
                <c:pt idx="5">
                  <c:v>-305999999.99999994</c:v>
                </c:pt>
                <c:pt idx="6">
                  <c:v>-305999999.99999994</c:v>
                </c:pt>
                <c:pt idx="7">
                  <c:v>0</c:v>
                </c:pt>
                <c:pt idx="8">
                  <c:v>0</c:v>
                </c:pt>
                <c:pt idx="9">
                  <c:v>0</c:v>
                </c:pt>
                <c:pt idx="10">
                  <c:v>0</c:v>
                </c:pt>
                <c:pt idx="11">
                  <c:v>0</c:v>
                </c:pt>
              </c:numCache>
            </c:numRef>
          </c:val>
          <c:extLst>
            <c:ext xmlns:c16="http://schemas.microsoft.com/office/drawing/2014/chart" uri="{C3380CC4-5D6E-409C-BE32-E72D297353CC}">
              <c16:uniqueId val="{00000001-8664-4F3E-A9F7-D9FC20318D66}"/>
            </c:ext>
          </c:extLst>
        </c:ser>
        <c:dLbls>
          <c:showLegendKey val="0"/>
          <c:showVal val="0"/>
          <c:showCatName val="0"/>
          <c:showSerName val="0"/>
          <c:showPercent val="0"/>
          <c:showBubbleSize val="0"/>
        </c:dLbls>
        <c:gapWidth val="150"/>
        <c:overlap val="100"/>
        <c:axId val="51833864"/>
        <c:axId val="245471752"/>
      </c:barChart>
      <c:lineChart>
        <c:grouping val="standard"/>
        <c:varyColors val="0"/>
        <c:ser>
          <c:idx val="1"/>
          <c:order val="1"/>
          <c:tx>
            <c:strRef>
              <c:f>Aporte!$B$13</c:f>
              <c:strCache>
                <c:ptCount val="1"/>
                <c:pt idx="0">
                  <c:v>Saldo real na conta do Estado (data-base MEF)</c:v>
                </c:pt>
              </c:strCache>
            </c:strRef>
          </c:tx>
          <c:spPr>
            <a:ln w="28575" cap="rnd">
              <a:solidFill>
                <a:schemeClr val="accent1"/>
              </a:solidFill>
              <a:round/>
            </a:ln>
            <a:effectLst/>
          </c:spPr>
          <c:marker>
            <c:symbol val="none"/>
          </c:marker>
          <c:val>
            <c:numRef>
              <c:f>Aporte!$C$13:$N$13</c:f>
              <c:numCache>
                <c:formatCode>"R$"\ #,##0.00</c:formatCode>
                <c:ptCount val="12"/>
                <c:pt idx="0">
                  <c:v>9813234.5206038672</c:v>
                </c:pt>
                <c:pt idx="1">
                  <c:v>340176327.53371269</c:v>
                </c:pt>
                <c:pt idx="2">
                  <c:v>680493562.38219762</c:v>
                </c:pt>
                <c:pt idx="3">
                  <c:v>392122981.57411683</c:v>
                </c:pt>
                <c:pt idx="4">
                  <c:v>403752400.76603609</c:v>
                </c:pt>
                <c:pt idx="5">
                  <c:v>415381819.95795536</c:v>
                </c:pt>
                <c:pt idx="6">
                  <c:v>438848360.36199582</c:v>
                </c:pt>
                <c:pt idx="7">
                  <c:v>132848360.36199588</c:v>
                </c:pt>
                <c:pt idx="8">
                  <c:v>132848360.36199588</c:v>
                </c:pt>
                <c:pt idx="9">
                  <c:v>132848360.36199588</c:v>
                </c:pt>
                <c:pt idx="10">
                  <c:v>132848360.36199588</c:v>
                </c:pt>
                <c:pt idx="11">
                  <c:v>132848360.36199588</c:v>
                </c:pt>
              </c:numCache>
            </c:numRef>
          </c:val>
          <c:smooth val="0"/>
          <c:extLst>
            <c:ext xmlns:c16="http://schemas.microsoft.com/office/drawing/2014/chart" uri="{C3380CC4-5D6E-409C-BE32-E72D297353CC}">
              <c16:uniqueId val="{00000002-8664-4F3E-A9F7-D9FC20318D66}"/>
            </c:ext>
          </c:extLst>
        </c:ser>
        <c:dLbls>
          <c:showLegendKey val="0"/>
          <c:showVal val="0"/>
          <c:showCatName val="0"/>
          <c:showSerName val="0"/>
          <c:showPercent val="0"/>
          <c:showBubbleSize val="0"/>
        </c:dLbls>
        <c:marker val="1"/>
        <c:smooth val="0"/>
        <c:axId val="51833864"/>
        <c:axId val="245471752"/>
      </c:lineChart>
      <c:catAx>
        <c:axId val="518338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71752"/>
        <c:crosses val="autoZero"/>
        <c:auto val="1"/>
        <c:lblAlgn val="ctr"/>
        <c:lblOffset val="100"/>
        <c:noMultiLvlLbl val="0"/>
      </c:catAx>
      <c:valAx>
        <c:axId val="245471752"/>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3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b="1"/>
              <a:t>Valores Reais</a:t>
            </a:r>
          </a:p>
          <a:p>
            <a:pPr>
              <a:defRPr b="1"/>
            </a:pPr>
            <a:r>
              <a:rPr lang="pt-BR" b="1"/>
              <a:t>(data-base: julho/2024)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(mensal)'!$B$27</c:f>
              <c:strCache>
                <c:ptCount val="1"/>
                <c:pt idx="0">
                  <c:v>Valor real pago ao Estado (na data-base do MEF)</c:v>
                </c:pt>
              </c:strCache>
            </c:strRef>
          </c:tx>
          <c:spPr>
            <a:solidFill>
              <a:schemeClr val="accent6">
                <a:lumMod val="75000"/>
              </a:schemeClr>
            </a:solidFill>
            <a:ln>
              <a:noFill/>
            </a:ln>
            <a:effectLst/>
          </c:spPr>
          <c:invertIfNegative val="0"/>
          <c:dPt>
            <c:idx val="28"/>
            <c:invertIfNegative val="0"/>
            <c:bubble3D val="0"/>
            <c:spPr>
              <a:solidFill>
                <a:schemeClr val="accent6">
                  <a:lumMod val="75000"/>
                </a:schemeClr>
              </a:solidFill>
              <a:ln>
                <a:noFill/>
              </a:ln>
              <a:effectLst/>
            </c:spPr>
            <c:extLst>
              <c:ext xmlns:c16="http://schemas.microsoft.com/office/drawing/2014/chart" uri="{C3380CC4-5D6E-409C-BE32-E72D297353CC}">
                <c16:uniqueId val="{00000006-0AF5-4713-B74E-9D7999E0F6CC}"/>
              </c:ext>
            </c:extLst>
          </c:dPt>
          <c:dPt>
            <c:idx val="40"/>
            <c:invertIfNegative val="0"/>
            <c:bubble3D val="0"/>
            <c:spPr>
              <a:solidFill>
                <a:schemeClr val="accent6">
                  <a:lumMod val="75000"/>
                </a:schemeClr>
              </a:solidFill>
              <a:ln>
                <a:noFill/>
              </a:ln>
              <a:effectLst/>
            </c:spPr>
            <c:extLst>
              <c:ext xmlns:c16="http://schemas.microsoft.com/office/drawing/2014/chart" uri="{C3380CC4-5D6E-409C-BE32-E72D297353CC}">
                <c16:uniqueId val="{00000003-0AF5-4713-B74E-9D7999E0F6CC}"/>
              </c:ext>
            </c:extLst>
          </c:dPt>
          <c:dPt>
            <c:idx val="52"/>
            <c:invertIfNegative val="0"/>
            <c:bubble3D val="0"/>
            <c:spPr>
              <a:solidFill>
                <a:schemeClr val="accent6">
                  <a:lumMod val="75000"/>
                </a:schemeClr>
              </a:solidFill>
              <a:ln>
                <a:noFill/>
              </a:ln>
              <a:effectLst/>
            </c:spPr>
            <c:extLst>
              <c:ext xmlns:c16="http://schemas.microsoft.com/office/drawing/2014/chart" uri="{C3380CC4-5D6E-409C-BE32-E72D297353CC}">
                <c16:uniqueId val="{00000004-0AF5-4713-B74E-9D7999E0F6CC}"/>
              </c:ext>
            </c:extLst>
          </c:dPt>
          <c:dPt>
            <c:idx val="64"/>
            <c:invertIfNegative val="0"/>
            <c:bubble3D val="0"/>
            <c:spPr>
              <a:solidFill>
                <a:schemeClr val="accent6">
                  <a:lumMod val="75000"/>
                </a:schemeClr>
              </a:solidFill>
              <a:ln>
                <a:noFill/>
              </a:ln>
              <a:effectLst/>
            </c:spPr>
            <c:extLst>
              <c:ext xmlns:c16="http://schemas.microsoft.com/office/drawing/2014/chart" uri="{C3380CC4-5D6E-409C-BE32-E72D297353CC}">
                <c16:uniqueId val="{00000005-0AF5-4713-B74E-9D7999E0F6CC}"/>
              </c:ext>
            </c:extLst>
          </c:dPt>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(mensal)'!$C$27:$BQ$27</c:f>
              <c:numCache>
                <c:formatCode>_("R$"* #,##0.00_);_("R$"* \(#,##0.00\);_("R$"* "-"??_);_(@_)</c:formatCode>
                <c:ptCount val="67"/>
                <c:pt idx="0">
                  <c:v>9813234.5206038672</c:v>
                </c:pt>
                <c:pt idx="1">
                  <c:v>0</c:v>
                </c:pt>
                <c:pt idx="2">
                  <c:v>0</c:v>
                </c:pt>
                <c:pt idx="3">
                  <c:v>0</c:v>
                </c:pt>
                <c:pt idx="4">
                  <c:v>0</c:v>
                </c:pt>
                <c:pt idx="5">
                  <c:v>0</c:v>
                </c:pt>
                <c:pt idx="6">
                  <c:v>330363093.01310879</c:v>
                </c:pt>
                <c:pt idx="7">
                  <c:v>0</c:v>
                </c:pt>
                <c:pt idx="8">
                  <c:v>0</c:v>
                </c:pt>
                <c:pt idx="9">
                  <c:v>0</c:v>
                </c:pt>
                <c:pt idx="10">
                  <c:v>0</c:v>
                </c:pt>
                <c:pt idx="11">
                  <c:v>0</c:v>
                </c:pt>
                <c:pt idx="12">
                  <c:v>0</c:v>
                </c:pt>
                <c:pt idx="13">
                  <c:v>0</c:v>
                </c:pt>
                <c:pt idx="14">
                  <c:v>0</c:v>
                </c:pt>
                <c:pt idx="15">
                  <c:v>0</c:v>
                </c:pt>
                <c:pt idx="16">
                  <c:v>340317234.84848487</c:v>
                </c:pt>
                <c:pt idx="17">
                  <c:v>0</c:v>
                </c:pt>
                <c:pt idx="18">
                  <c:v>0</c:v>
                </c:pt>
                <c:pt idx="19">
                  <c:v>0</c:v>
                </c:pt>
                <c:pt idx="20">
                  <c:v>0</c:v>
                </c:pt>
                <c:pt idx="21">
                  <c:v>0</c:v>
                </c:pt>
                <c:pt idx="22">
                  <c:v>0</c:v>
                </c:pt>
                <c:pt idx="23">
                  <c:v>0</c:v>
                </c:pt>
                <c:pt idx="24">
                  <c:v>0</c:v>
                </c:pt>
                <c:pt idx="25">
                  <c:v>0</c:v>
                </c:pt>
                <c:pt idx="26">
                  <c:v>0</c:v>
                </c:pt>
                <c:pt idx="27">
                  <c:v>0</c:v>
                </c:pt>
                <c:pt idx="28">
                  <c:v>317629419.19191921</c:v>
                </c:pt>
                <c:pt idx="29">
                  <c:v>0</c:v>
                </c:pt>
                <c:pt idx="30">
                  <c:v>0</c:v>
                </c:pt>
                <c:pt idx="31">
                  <c:v>0</c:v>
                </c:pt>
                <c:pt idx="32">
                  <c:v>0</c:v>
                </c:pt>
                <c:pt idx="33">
                  <c:v>0</c:v>
                </c:pt>
                <c:pt idx="34">
                  <c:v>0</c:v>
                </c:pt>
                <c:pt idx="35">
                  <c:v>0</c:v>
                </c:pt>
                <c:pt idx="36">
                  <c:v>0</c:v>
                </c:pt>
                <c:pt idx="37">
                  <c:v>0</c:v>
                </c:pt>
                <c:pt idx="38">
                  <c:v>0</c:v>
                </c:pt>
                <c:pt idx="39">
                  <c:v>0</c:v>
                </c:pt>
                <c:pt idx="40">
                  <c:v>317629419.19191921</c:v>
                </c:pt>
                <c:pt idx="41">
                  <c:v>0</c:v>
                </c:pt>
                <c:pt idx="42">
                  <c:v>0</c:v>
                </c:pt>
                <c:pt idx="43">
                  <c:v>0</c:v>
                </c:pt>
                <c:pt idx="44">
                  <c:v>0</c:v>
                </c:pt>
                <c:pt idx="45">
                  <c:v>0</c:v>
                </c:pt>
                <c:pt idx="46">
                  <c:v>0</c:v>
                </c:pt>
                <c:pt idx="47">
                  <c:v>0</c:v>
                </c:pt>
                <c:pt idx="48">
                  <c:v>0</c:v>
                </c:pt>
                <c:pt idx="49">
                  <c:v>0</c:v>
                </c:pt>
                <c:pt idx="50">
                  <c:v>0</c:v>
                </c:pt>
                <c:pt idx="51">
                  <c:v>0</c:v>
                </c:pt>
                <c:pt idx="52">
                  <c:v>317629419.19191921</c:v>
                </c:pt>
                <c:pt idx="53">
                  <c:v>0</c:v>
                </c:pt>
                <c:pt idx="54">
                  <c:v>0</c:v>
                </c:pt>
                <c:pt idx="55">
                  <c:v>0</c:v>
                </c:pt>
                <c:pt idx="56">
                  <c:v>0</c:v>
                </c:pt>
                <c:pt idx="57">
                  <c:v>0</c:v>
                </c:pt>
                <c:pt idx="58">
                  <c:v>0</c:v>
                </c:pt>
                <c:pt idx="59">
                  <c:v>0</c:v>
                </c:pt>
                <c:pt idx="60">
                  <c:v>0</c:v>
                </c:pt>
                <c:pt idx="61">
                  <c:v>0</c:v>
                </c:pt>
                <c:pt idx="62">
                  <c:v>0</c:v>
                </c:pt>
                <c:pt idx="63">
                  <c:v>0</c:v>
                </c:pt>
                <c:pt idx="64">
                  <c:v>329466540.4040404</c:v>
                </c:pt>
                <c:pt idx="65">
                  <c:v>0</c:v>
                </c:pt>
                <c:pt idx="66">
                  <c:v>0</c:v>
                </c:pt>
              </c:numCache>
            </c:numRef>
          </c:val>
          <c:extLst>
            <c:ext xmlns:c16="http://schemas.microsoft.com/office/drawing/2014/chart" uri="{C3380CC4-5D6E-409C-BE32-E72D297353CC}">
              <c16:uniqueId val="{00000000-0AF5-4713-B74E-9D7999E0F6CC}"/>
            </c:ext>
          </c:extLst>
        </c:ser>
        <c:ser>
          <c:idx val="1"/>
          <c:order val="1"/>
          <c:tx>
            <c:strRef>
              <c:f>'Estudo de Fluxos (mensal)'!$B$28</c:f>
              <c:strCache>
                <c:ptCount val="1"/>
                <c:pt idx="0">
                  <c:v>Valor real pago do Estado à conta de contaprestação (na data-base do MEF)</c:v>
                </c:pt>
              </c:strCache>
            </c:strRef>
          </c:tx>
          <c:spPr>
            <a:solidFill>
              <a:srgbClr val="FF0000"/>
            </a:solidFill>
            <a:ln>
              <a:noFill/>
            </a:ln>
            <a:effectLst/>
          </c:spPr>
          <c:invertIfNegative val="0"/>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(mensal)'!$C$28:$BQ$28</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0AF5-4713-B74E-9D7999E0F6CC}"/>
            </c:ext>
          </c:extLst>
        </c:ser>
        <c:dLbls>
          <c:showLegendKey val="0"/>
          <c:showVal val="0"/>
          <c:showCatName val="0"/>
          <c:showSerName val="0"/>
          <c:showPercent val="0"/>
          <c:showBubbleSize val="0"/>
        </c:dLbls>
        <c:gapWidth val="70"/>
        <c:overlap val="100"/>
        <c:axId val="1669861167"/>
        <c:axId val="1669872687"/>
      </c:barChart>
      <c:lineChart>
        <c:grouping val="standard"/>
        <c:varyColors val="0"/>
        <c:ser>
          <c:idx val="2"/>
          <c:order val="2"/>
          <c:tx>
            <c:strRef>
              <c:f>'Estudo de Fluxos (mensal)'!$B$29</c:f>
              <c:strCache>
                <c:ptCount val="1"/>
                <c:pt idx="0">
                  <c:v>Saldo real do Estado (data-base do MEF)</c:v>
                </c:pt>
              </c:strCache>
            </c:strRef>
          </c:tx>
          <c:spPr>
            <a:ln w="28575" cap="rnd">
              <a:solidFill>
                <a:schemeClr val="accent1"/>
              </a:solidFill>
              <a:round/>
            </a:ln>
            <a:effectLst/>
          </c:spPr>
          <c:marker>
            <c:symbol val="none"/>
          </c:marker>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(mensal)'!$C$29:$BQ$29</c:f>
              <c:numCache>
                <c:formatCode>_("R$"* #,##0.00_);_("R$"* \(#,##0.00\);_("R$"* "-"??_);_(@_)</c:formatCode>
                <c:ptCount val="67"/>
                <c:pt idx="0">
                  <c:v>9813234.5206038672</c:v>
                </c:pt>
                <c:pt idx="1">
                  <c:v>9813234.5206038672</c:v>
                </c:pt>
                <c:pt idx="2">
                  <c:v>9813234.5206038672</c:v>
                </c:pt>
                <c:pt idx="3">
                  <c:v>9813234.5206038672</c:v>
                </c:pt>
                <c:pt idx="4">
                  <c:v>9813234.5206038672</c:v>
                </c:pt>
                <c:pt idx="5">
                  <c:v>9813234.5206038672</c:v>
                </c:pt>
                <c:pt idx="6">
                  <c:v>340176327.53371269</c:v>
                </c:pt>
                <c:pt idx="7">
                  <c:v>340176327.53371269</c:v>
                </c:pt>
                <c:pt idx="8">
                  <c:v>340176327.53371269</c:v>
                </c:pt>
                <c:pt idx="9">
                  <c:v>340176327.53371269</c:v>
                </c:pt>
                <c:pt idx="10">
                  <c:v>340176327.53371269</c:v>
                </c:pt>
                <c:pt idx="11">
                  <c:v>40176327.533712685</c:v>
                </c:pt>
                <c:pt idx="12">
                  <c:v>40176327.533712685</c:v>
                </c:pt>
                <c:pt idx="13">
                  <c:v>40176327.533712685</c:v>
                </c:pt>
                <c:pt idx="14">
                  <c:v>40176327.533712685</c:v>
                </c:pt>
                <c:pt idx="15">
                  <c:v>40176327.533712685</c:v>
                </c:pt>
                <c:pt idx="16">
                  <c:v>380493562.38219756</c:v>
                </c:pt>
                <c:pt idx="17">
                  <c:v>74493562.382197559</c:v>
                </c:pt>
                <c:pt idx="18">
                  <c:v>74493562.382197559</c:v>
                </c:pt>
                <c:pt idx="19">
                  <c:v>74493562.382197559</c:v>
                </c:pt>
                <c:pt idx="20">
                  <c:v>74493562.382197559</c:v>
                </c:pt>
                <c:pt idx="21">
                  <c:v>74493562.382197559</c:v>
                </c:pt>
                <c:pt idx="22">
                  <c:v>74493562.382197559</c:v>
                </c:pt>
                <c:pt idx="23">
                  <c:v>74493562.382197559</c:v>
                </c:pt>
                <c:pt idx="24">
                  <c:v>74493562.382197559</c:v>
                </c:pt>
                <c:pt idx="25">
                  <c:v>74493562.382197559</c:v>
                </c:pt>
                <c:pt idx="26">
                  <c:v>74493562.382197559</c:v>
                </c:pt>
                <c:pt idx="27">
                  <c:v>74493562.382197559</c:v>
                </c:pt>
                <c:pt idx="28">
                  <c:v>392122981.57411677</c:v>
                </c:pt>
                <c:pt idx="29">
                  <c:v>86122981.574116826</c:v>
                </c:pt>
                <c:pt idx="30">
                  <c:v>86122981.574116826</c:v>
                </c:pt>
                <c:pt idx="31">
                  <c:v>86122981.574116826</c:v>
                </c:pt>
                <c:pt idx="32">
                  <c:v>86122981.574116826</c:v>
                </c:pt>
                <c:pt idx="33">
                  <c:v>86122981.574116826</c:v>
                </c:pt>
                <c:pt idx="34">
                  <c:v>86122981.574116826</c:v>
                </c:pt>
                <c:pt idx="35">
                  <c:v>86122981.574116826</c:v>
                </c:pt>
                <c:pt idx="36">
                  <c:v>86122981.574116826</c:v>
                </c:pt>
                <c:pt idx="37">
                  <c:v>86122981.574116826</c:v>
                </c:pt>
                <c:pt idx="38">
                  <c:v>86122981.574116826</c:v>
                </c:pt>
                <c:pt idx="39">
                  <c:v>86122981.574116826</c:v>
                </c:pt>
                <c:pt idx="40">
                  <c:v>403752400.76603603</c:v>
                </c:pt>
                <c:pt idx="41">
                  <c:v>97752400.766036093</c:v>
                </c:pt>
                <c:pt idx="42">
                  <c:v>97752400.766036093</c:v>
                </c:pt>
                <c:pt idx="43">
                  <c:v>97752400.766036093</c:v>
                </c:pt>
                <c:pt idx="44">
                  <c:v>97752400.766036093</c:v>
                </c:pt>
                <c:pt idx="45">
                  <c:v>97752400.766036093</c:v>
                </c:pt>
                <c:pt idx="46">
                  <c:v>97752400.766036093</c:v>
                </c:pt>
                <c:pt idx="47">
                  <c:v>97752400.766036093</c:v>
                </c:pt>
                <c:pt idx="48">
                  <c:v>97752400.766036093</c:v>
                </c:pt>
                <c:pt idx="49">
                  <c:v>97752400.766036093</c:v>
                </c:pt>
                <c:pt idx="50">
                  <c:v>97752400.766036093</c:v>
                </c:pt>
                <c:pt idx="51">
                  <c:v>97752400.766036093</c:v>
                </c:pt>
                <c:pt idx="52">
                  <c:v>415381819.9579553</c:v>
                </c:pt>
                <c:pt idx="53">
                  <c:v>109381819.95795536</c:v>
                </c:pt>
                <c:pt idx="54">
                  <c:v>109381819.95795536</c:v>
                </c:pt>
                <c:pt idx="55">
                  <c:v>109381819.95795536</c:v>
                </c:pt>
                <c:pt idx="56">
                  <c:v>109381819.95795536</c:v>
                </c:pt>
                <c:pt idx="57">
                  <c:v>109381819.95795536</c:v>
                </c:pt>
                <c:pt idx="58">
                  <c:v>109381819.95795536</c:v>
                </c:pt>
                <c:pt idx="59">
                  <c:v>109381819.95795536</c:v>
                </c:pt>
                <c:pt idx="60">
                  <c:v>109381819.95795536</c:v>
                </c:pt>
                <c:pt idx="61">
                  <c:v>109381819.95795536</c:v>
                </c:pt>
                <c:pt idx="62">
                  <c:v>109381819.95795536</c:v>
                </c:pt>
                <c:pt idx="63">
                  <c:v>109381819.95795536</c:v>
                </c:pt>
                <c:pt idx="64">
                  <c:v>438848360.36199576</c:v>
                </c:pt>
                <c:pt idx="65">
                  <c:v>132848360.36199582</c:v>
                </c:pt>
                <c:pt idx="66">
                  <c:v>132848360.36199582</c:v>
                </c:pt>
              </c:numCache>
            </c:numRef>
          </c:val>
          <c:smooth val="0"/>
          <c:extLst>
            <c:ext xmlns:c16="http://schemas.microsoft.com/office/drawing/2014/chart" uri="{C3380CC4-5D6E-409C-BE32-E72D297353CC}">
              <c16:uniqueId val="{00000002-0AF5-4713-B74E-9D7999E0F6CC}"/>
            </c:ext>
          </c:extLst>
        </c:ser>
        <c:dLbls>
          <c:showLegendKey val="0"/>
          <c:showVal val="0"/>
          <c:showCatName val="0"/>
          <c:showSerName val="0"/>
          <c:showPercent val="0"/>
          <c:showBubbleSize val="0"/>
        </c:dLbls>
        <c:marker val="1"/>
        <c:smooth val="0"/>
        <c:axId val="1669861167"/>
        <c:axId val="1669872687"/>
      </c:lineChart>
      <c:dateAx>
        <c:axId val="16698611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72687"/>
        <c:crosses val="autoZero"/>
        <c:auto val="1"/>
        <c:lblOffset val="100"/>
        <c:baseTimeUnit val="months"/>
        <c:majorUnit val="2"/>
        <c:majorTimeUnit val="months"/>
      </c:dateAx>
      <c:valAx>
        <c:axId val="166987268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611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sz="1400"/>
              <a:t>Valores Nominais</a:t>
            </a:r>
          </a:p>
          <a:p>
            <a:pPr>
              <a:defRPr sz="1400"/>
            </a:pPr>
            <a:r>
              <a:rPr lang="pt-BR" sz="1400"/>
              <a:t>(sem projeção da inflação)</a:t>
            </a:r>
          </a:p>
        </c:rich>
      </c:tx>
      <c:layout>
        <c:manualLayout>
          <c:xMode val="edge"/>
          <c:yMode val="edge"/>
          <c:x val="0.4028006396050714"/>
          <c:y val="1.352015706377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(mensal)'!$B$21</c:f>
              <c:strCache>
                <c:ptCount val="1"/>
                <c:pt idx="0">
                  <c:v>Valor nominal pago ao Estado (sem projeção de inflação)</c:v>
                </c:pt>
              </c:strCache>
            </c:strRef>
          </c:tx>
          <c:spPr>
            <a:solidFill>
              <a:schemeClr val="accent6">
                <a:lumMod val="75000"/>
              </a:schemeClr>
            </a:solidFill>
            <a:ln>
              <a:noFill/>
            </a:ln>
            <a:effectLst/>
          </c:spPr>
          <c:invertIfNegative val="0"/>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(mensal)'!$C$21:$BQ$21</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283D-4009-BC65-C896CA8A8147}"/>
            </c:ext>
          </c:extLst>
        </c:ser>
        <c:ser>
          <c:idx val="1"/>
          <c:order val="1"/>
          <c:tx>
            <c:strRef>
              <c:f>'Estudo de Fluxos (mensal)'!$B$22</c:f>
              <c:strCache>
                <c:ptCount val="1"/>
                <c:pt idx="0">
                  <c:v>Valor nominal pago do Estado à conta de contaprestação (sem projeção de inflação)</c:v>
                </c:pt>
              </c:strCache>
            </c:strRef>
          </c:tx>
          <c:spPr>
            <a:solidFill>
              <a:srgbClr val="FF0000"/>
            </a:solidFill>
            <a:ln>
              <a:noFill/>
            </a:ln>
            <a:effectLst/>
          </c:spPr>
          <c:invertIfNegative val="0"/>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(mensal)'!$C$22:$BQ$22</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283D-4009-BC65-C896CA8A8147}"/>
            </c:ext>
          </c:extLst>
        </c:ser>
        <c:dLbls>
          <c:showLegendKey val="0"/>
          <c:showVal val="0"/>
          <c:showCatName val="0"/>
          <c:showSerName val="0"/>
          <c:showPercent val="0"/>
          <c:showBubbleSize val="0"/>
        </c:dLbls>
        <c:gapWidth val="90"/>
        <c:overlap val="100"/>
        <c:axId val="1307745903"/>
        <c:axId val="1307767503"/>
      </c:barChart>
      <c:lineChart>
        <c:grouping val="standard"/>
        <c:varyColors val="0"/>
        <c:ser>
          <c:idx val="2"/>
          <c:order val="2"/>
          <c:tx>
            <c:strRef>
              <c:f>'Estudo de Fluxos (mensal)'!$B$23</c:f>
              <c:strCache>
                <c:ptCount val="1"/>
                <c:pt idx="0">
                  <c:v>Saldo nominal do Estado (sem projeção de inflação)</c:v>
                </c:pt>
              </c:strCache>
            </c:strRef>
          </c:tx>
          <c:spPr>
            <a:ln w="28575" cap="rnd">
              <a:solidFill>
                <a:srgbClr val="0070C0"/>
              </a:solidFill>
              <a:round/>
            </a:ln>
            <a:effectLst/>
          </c:spPr>
          <c:marker>
            <c:symbol val="none"/>
          </c:marker>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(mensal)'!$C$23:$BQ$23</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283D-4009-BC65-C896CA8A8147}"/>
            </c:ext>
          </c:extLst>
        </c:ser>
        <c:dLbls>
          <c:showLegendKey val="0"/>
          <c:showVal val="0"/>
          <c:showCatName val="0"/>
          <c:showSerName val="0"/>
          <c:showPercent val="0"/>
          <c:showBubbleSize val="0"/>
        </c:dLbls>
        <c:marker val="1"/>
        <c:smooth val="0"/>
        <c:axId val="1307745903"/>
        <c:axId val="1307767503"/>
      </c:lineChart>
      <c:dateAx>
        <c:axId val="130774590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67503"/>
        <c:crosses val="autoZero"/>
        <c:auto val="1"/>
        <c:lblOffset val="100"/>
        <c:baseTimeUnit val="months"/>
      </c:dateAx>
      <c:valAx>
        <c:axId val="1307767503"/>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45903"/>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layout>
        <c:manualLayout>
          <c:xMode val="edge"/>
          <c:yMode val="edge"/>
          <c:x val="4.8710469154095361E-2"/>
          <c:y val="0.863884594494294"/>
          <c:w val="0.93303828810637224"/>
          <c:h val="0.119891217029180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(mensal)'!$B$72</c:f>
              <c:strCache>
                <c:ptCount val="1"/>
                <c:pt idx="0">
                  <c:v>Valor nominal pago ao Estado (sem projeção de inflação)</c:v>
                </c:pt>
              </c:strCache>
            </c:strRef>
          </c:tx>
          <c:spPr>
            <a:solidFill>
              <a:schemeClr val="accent1"/>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(mensal)'!$C$72:$BQ$72</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5CCD-431B-A96A-A07F08F99D1C}"/>
            </c:ext>
          </c:extLst>
        </c:ser>
        <c:ser>
          <c:idx val="1"/>
          <c:order val="1"/>
          <c:tx>
            <c:strRef>
              <c:f>'Estudo de Fluxos (mensal)'!$B$73</c:f>
              <c:strCache>
                <c:ptCount val="1"/>
                <c:pt idx="0">
                  <c:v>Valor nominal pago do Estado à conta de contaprestação (sem projeção de inflação)</c:v>
                </c:pt>
              </c:strCache>
            </c:strRef>
          </c:tx>
          <c:spPr>
            <a:solidFill>
              <a:schemeClr val="accent2"/>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(mensal)'!$C$73:$BQ$73</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5CCD-431B-A96A-A07F08F99D1C}"/>
            </c:ext>
          </c:extLst>
        </c:ser>
        <c:dLbls>
          <c:showLegendKey val="0"/>
          <c:showVal val="0"/>
          <c:showCatName val="0"/>
          <c:showSerName val="0"/>
          <c:showPercent val="0"/>
          <c:showBubbleSize val="0"/>
        </c:dLbls>
        <c:gapWidth val="150"/>
        <c:overlap val="100"/>
        <c:axId val="681407808"/>
        <c:axId val="681421728"/>
      </c:barChart>
      <c:lineChart>
        <c:grouping val="standard"/>
        <c:varyColors val="0"/>
        <c:ser>
          <c:idx val="2"/>
          <c:order val="2"/>
          <c:tx>
            <c:strRef>
              <c:f>'Estudo de Fluxos (mensal)'!$B$74</c:f>
              <c:strCache>
                <c:ptCount val="1"/>
                <c:pt idx="0">
                  <c:v>Saldo nominal do Estado (sem projeção de inflação)</c:v>
                </c:pt>
              </c:strCache>
            </c:strRef>
          </c:tx>
          <c:spPr>
            <a:ln w="28575" cap="rnd">
              <a:solidFill>
                <a:schemeClr val="accent3"/>
              </a:solidFill>
              <a:round/>
            </a:ln>
            <a:effectLst/>
          </c:spPr>
          <c:marker>
            <c:symbol val="none"/>
          </c:marker>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(mensal)'!$C$74:$BQ$74</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5CCD-431B-A96A-A07F08F99D1C}"/>
            </c:ext>
          </c:extLst>
        </c:ser>
        <c:dLbls>
          <c:showLegendKey val="0"/>
          <c:showVal val="0"/>
          <c:showCatName val="0"/>
          <c:showSerName val="0"/>
          <c:showPercent val="0"/>
          <c:showBubbleSize val="0"/>
        </c:dLbls>
        <c:marker val="1"/>
        <c:smooth val="0"/>
        <c:axId val="681407808"/>
        <c:axId val="681421728"/>
      </c:lineChart>
      <c:dateAx>
        <c:axId val="68140780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1421728"/>
        <c:crosses val="autoZero"/>
        <c:auto val="1"/>
        <c:lblOffset val="100"/>
        <c:baseTimeUnit val="months"/>
      </c:dateAx>
      <c:valAx>
        <c:axId val="681421728"/>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140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b="1"/>
              <a:t>Valores Reais</a:t>
            </a:r>
          </a:p>
          <a:p>
            <a:pPr>
              <a:defRPr b="1"/>
            </a:pPr>
            <a:r>
              <a:rPr lang="pt-BR" b="1"/>
              <a:t>(data-base: julho/2024)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(mensal)'!$B$78</c:f>
              <c:strCache>
                <c:ptCount val="1"/>
                <c:pt idx="0">
                  <c:v>Valor real pago ao Estado (na data-base do Acordo)</c:v>
                </c:pt>
              </c:strCache>
            </c:strRef>
          </c:tx>
          <c:spPr>
            <a:solidFill>
              <a:schemeClr val="accent6">
                <a:lumMod val="75000"/>
              </a:schemeClr>
            </a:solidFill>
            <a:ln>
              <a:noFill/>
            </a:ln>
            <a:effectLst/>
          </c:spPr>
          <c:invertIfNegative val="0"/>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(mensal)'!$C$78:$BQ$78</c:f>
              <c:numCache>
                <c:formatCode>_("R$"* #,##0.00_);_("R$"* \(#,##0.00\);_("R$"* "-"??_);_(@_)</c:formatCode>
                <c:ptCount val="67"/>
                <c:pt idx="0" formatCode="&quot;R$&quot;\ #,##0.00">
                  <c:v>9948264.6276073772</c:v>
                </c:pt>
                <c:pt idx="1">
                  <c:v>0</c:v>
                </c:pt>
                <c:pt idx="2">
                  <c:v>0</c:v>
                </c:pt>
                <c:pt idx="3">
                  <c:v>0</c:v>
                </c:pt>
                <c:pt idx="4">
                  <c:v>0</c:v>
                </c:pt>
                <c:pt idx="5">
                  <c:v>0</c:v>
                </c:pt>
                <c:pt idx="6">
                  <c:v>334908889.17296916</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8-CEF2-411E-BD8D-9E8545578D02}"/>
            </c:ext>
          </c:extLst>
        </c:ser>
        <c:ser>
          <c:idx val="1"/>
          <c:order val="1"/>
          <c:tx>
            <c:strRef>
              <c:f>'Estudo de Fluxos (mensal)'!$B$79</c:f>
              <c:strCache>
                <c:ptCount val="1"/>
                <c:pt idx="0">
                  <c:v>Valor real pago do Estado à conta de contaprestação  (na data-base do Acordo)</c:v>
                </c:pt>
              </c:strCache>
            </c:strRef>
          </c:tx>
          <c:spPr>
            <a:solidFill>
              <a:srgbClr val="FF0000"/>
            </a:solidFill>
            <a:ln>
              <a:noFill/>
            </a:ln>
            <a:effectLst/>
          </c:spPr>
          <c:invertIfNegative val="0"/>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(mensal)'!$C$79:$BQ$79</c:f>
              <c:numCache>
                <c:formatCode>_("R$"* #,##0.00_);_("R$"* \(#,##0.00\);_("R$"* "-"??_);_(@_)</c:formatCode>
                <c:ptCount val="67"/>
                <c:pt idx="0" formatCode="&quot;R$&quot;\ #,##0.00">
                  <c:v>0</c:v>
                </c:pt>
                <c:pt idx="1">
                  <c:v>0</c:v>
                </c:pt>
                <c:pt idx="2">
                  <c:v>0</c:v>
                </c:pt>
                <c:pt idx="3">
                  <c:v>0</c:v>
                </c:pt>
                <c:pt idx="4">
                  <c:v>0</c:v>
                </c:pt>
                <c:pt idx="5">
                  <c:v>0</c:v>
                </c:pt>
                <c:pt idx="6">
                  <c:v>0</c:v>
                </c:pt>
                <c:pt idx="7">
                  <c:v>0</c:v>
                </c:pt>
                <c:pt idx="8">
                  <c:v>0</c:v>
                </c:pt>
                <c:pt idx="9">
                  <c:v>0</c:v>
                </c:pt>
                <c:pt idx="10">
                  <c:v>0</c:v>
                </c:pt>
                <c:pt idx="11">
                  <c:v>-304128000</c:v>
                </c:pt>
                <c:pt idx="12">
                  <c:v>0</c:v>
                </c:pt>
                <c:pt idx="13">
                  <c:v>0</c:v>
                </c:pt>
                <c:pt idx="14">
                  <c:v>0</c:v>
                </c:pt>
                <c:pt idx="15">
                  <c:v>0</c:v>
                </c:pt>
                <c:pt idx="16">
                  <c:v>0</c:v>
                </c:pt>
                <c:pt idx="17">
                  <c:v>-310210560</c:v>
                </c:pt>
                <c:pt idx="18">
                  <c:v>0</c:v>
                </c:pt>
                <c:pt idx="19">
                  <c:v>0</c:v>
                </c:pt>
                <c:pt idx="20">
                  <c:v>0</c:v>
                </c:pt>
                <c:pt idx="21">
                  <c:v>0</c:v>
                </c:pt>
                <c:pt idx="22">
                  <c:v>0</c:v>
                </c:pt>
                <c:pt idx="23">
                  <c:v>0</c:v>
                </c:pt>
                <c:pt idx="24">
                  <c:v>0</c:v>
                </c:pt>
                <c:pt idx="25">
                  <c:v>0</c:v>
                </c:pt>
                <c:pt idx="26">
                  <c:v>0</c:v>
                </c:pt>
                <c:pt idx="27">
                  <c:v>0</c:v>
                </c:pt>
                <c:pt idx="28">
                  <c:v>0</c:v>
                </c:pt>
                <c:pt idx="29">
                  <c:v>-310210559.99999994</c:v>
                </c:pt>
                <c:pt idx="30">
                  <c:v>0</c:v>
                </c:pt>
                <c:pt idx="31">
                  <c:v>0</c:v>
                </c:pt>
                <c:pt idx="32">
                  <c:v>0</c:v>
                </c:pt>
                <c:pt idx="33">
                  <c:v>0</c:v>
                </c:pt>
                <c:pt idx="34">
                  <c:v>0</c:v>
                </c:pt>
                <c:pt idx="35">
                  <c:v>0</c:v>
                </c:pt>
                <c:pt idx="36">
                  <c:v>0</c:v>
                </c:pt>
                <c:pt idx="37">
                  <c:v>0</c:v>
                </c:pt>
                <c:pt idx="38">
                  <c:v>0</c:v>
                </c:pt>
                <c:pt idx="39">
                  <c:v>0</c:v>
                </c:pt>
                <c:pt idx="40">
                  <c:v>0</c:v>
                </c:pt>
                <c:pt idx="41">
                  <c:v>-310210559.99999994</c:v>
                </c:pt>
                <c:pt idx="42">
                  <c:v>0</c:v>
                </c:pt>
                <c:pt idx="43">
                  <c:v>0</c:v>
                </c:pt>
                <c:pt idx="44">
                  <c:v>0</c:v>
                </c:pt>
                <c:pt idx="45">
                  <c:v>0</c:v>
                </c:pt>
                <c:pt idx="46">
                  <c:v>0</c:v>
                </c:pt>
                <c:pt idx="47">
                  <c:v>0</c:v>
                </c:pt>
                <c:pt idx="48">
                  <c:v>0</c:v>
                </c:pt>
                <c:pt idx="49">
                  <c:v>0</c:v>
                </c:pt>
                <c:pt idx="50">
                  <c:v>0</c:v>
                </c:pt>
                <c:pt idx="51">
                  <c:v>0</c:v>
                </c:pt>
                <c:pt idx="52">
                  <c:v>0</c:v>
                </c:pt>
                <c:pt idx="53">
                  <c:v>-310210559.99999994</c:v>
                </c:pt>
                <c:pt idx="54">
                  <c:v>0</c:v>
                </c:pt>
                <c:pt idx="55">
                  <c:v>0</c:v>
                </c:pt>
                <c:pt idx="56">
                  <c:v>0</c:v>
                </c:pt>
                <c:pt idx="57">
                  <c:v>0</c:v>
                </c:pt>
                <c:pt idx="58">
                  <c:v>0</c:v>
                </c:pt>
                <c:pt idx="59">
                  <c:v>0</c:v>
                </c:pt>
                <c:pt idx="60">
                  <c:v>0</c:v>
                </c:pt>
                <c:pt idx="61">
                  <c:v>0</c:v>
                </c:pt>
                <c:pt idx="62">
                  <c:v>0</c:v>
                </c:pt>
                <c:pt idx="63">
                  <c:v>0</c:v>
                </c:pt>
                <c:pt idx="64">
                  <c:v>0</c:v>
                </c:pt>
                <c:pt idx="65">
                  <c:v>-310210559.99999994</c:v>
                </c:pt>
                <c:pt idx="66">
                  <c:v>0</c:v>
                </c:pt>
              </c:numCache>
            </c:numRef>
          </c:val>
          <c:extLst>
            <c:ext xmlns:c16="http://schemas.microsoft.com/office/drawing/2014/chart" uri="{C3380CC4-5D6E-409C-BE32-E72D297353CC}">
              <c16:uniqueId val="{00000009-CEF2-411E-BD8D-9E8545578D02}"/>
            </c:ext>
          </c:extLst>
        </c:ser>
        <c:dLbls>
          <c:showLegendKey val="0"/>
          <c:showVal val="0"/>
          <c:showCatName val="0"/>
          <c:showSerName val="0"/>
          <c:showPercent val="0"/>
          <c:showBubbleSize val="0"/>
        </c:dLbls>
        <c:gapWidth val="70"/>
        <c:overlap val="100"/>
        <c:axId val="1669861167"/>
        <c:axId val="1669872687"/>
      </c:barChart>
      <c:lineChart>
        <c:grouping val="standard"/>
        <c:varyColors val="0"/>
        <c:ser>
          <c:idx val="2"/>
          <c:order val="2"/>
          <c:tx>
            <c:strRef>
              <c:f>'Estudo de Fluxos (mensal)'!$B$80</c:f>
              <c:strCache>
                <c:ptCount val="1"/>
                <c:pt idx="0">
                  <c:v>Saldo real do Estado (data-base do Acordo)</c:v>
                </c:pt>
              </c:strCache>
            </c:strRef>
          </c:tx>
          <c:spPr>
            <a:ln w="28575" cap="rnd">
              <a:solidFill>
                <a:schemeClr val="accent1"/>
              </a:solidFill>
              <a:round/>
            </a:ln>
            <a:effectLst/>
          </c:spPr>
          <c:marker>
            <c:symbol val="none"/>
          </c:marker>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(mensal)'!$C$80:$BQ$80</c:f>
              <c:numCache>
                <c:formatCode>_("R$"* #,##0.00_);_("R$"* \(#,##0.00\);_("R$"* "-"??_);_(@_)</c:formatCode>
                <c:ptCount val="67"/>
                <c:pt idx="0" formatCode="&quot;R$&quot;\ #,##0.00">
                  <c:v>9948264.6276073772</c:v>
                </c:pt>
                <c:pt idx="1">
                  <c:v>9948264.6276073772</c:v>
                </c:pt>
                <c:pt idx="2">
                  <c:v>9948264.6276073772</c:v>
                </c:pt>
                <c:pt idx="3">
                  <c:v>9948264.6276073772</c:v>
                </c:pt>
                <c:pt idx="4">
                  <c:v>9948264.6276073772</c:v>
                </c:pt>
                <c:pt idx="5">
                  <c:v>9948264.6276073772</c:v>
                </c:pt>
                <c:pt idx="6">
                  <c:v>344857153.80057657</c:v>
                </c:pt>
                <c:pt idx="7">
                  <c:v>344857153.80057657</c:v>
                </c:pt>
                <c:pt idx="8">
                  <c:v>344857153.80057657</c:v>
                </c:pt>
                <c:pt idx="9">
                  <c:v>344857153.80057657</c:v>
                </c:pt>
                <c:pt idx="10">
                  <c:v>344857153.80057657</c:v>
                </c:pt>
                <c:pt idx="11">
                  <c:v>40729153.800576575</c:v>
                </c:pt>
                <c:pt idx="12">
                  <c:v>40729153.800576575</c:v>
                </c:pt>
                <c:pt idx="13">
                  <c:v>40729153.800576575</c:v>
                </c:pt>
                <c:pt idx="14">
                  <c:v>40729153.800576575</c:v>
                </c:pt>
                <c:pt idx="15">
                  <c:v>40729153.800576575</c:v>
                </c:pt>
                <c:pt idx="16">
                  <c:v>385729153.80057657</c:v>
                </c:pt>
                <c:pt idx="17">
                  <c:v>75518593.800576597</c:v>
                </c:pt>
                <c:pt idx="18">
                  <c:v>75518593.800576597</c:v>
                </c:pt>
                <c:pt idx="19">
                  <c:v>75518593.800576597</c:v>
                </c:pt>
                <c:pt idx="20">
                  <c:v>75518593.800576597</c:v>
                </c:pt>
                <c:pt idx="21">
                  <c:v>75518593.800576597</c:v>
                </c:pt>
                <c:pt idx="22">
                  <c:v>75518593.800576597</c:v>
                </c:pt>
                <c:pt idx="23">
                  <c:v>75518593.800576597</c:v>
                </c:pt>
                <c:pt idx="24">
                  <c:v>75518593.800576597</c:v>
                </c:pt>
                <c:pt idx="25">
                  <c:v>75518593.800576597</c:v>
                </c:pt>
                <c:pt idx="26">
                  <c:v>75518593.800576597</c:v>
                </c:pt>
                <c:pt idx="27">
                  <c:v>75518593.800576597</c:v>
                </c:pt>
                <c:pt idx="28">
                  <c:v>397518593.80057663</c:v>
                </c:pt>
                <c:pt idx="29">
                  <c:v>87308033.800576672</c:v>
                </c:pt>
                <c:pt idx="30">
                  <c:v>87308033.800576672</c:v>
                </c:pt>
                <c:pt idx="31">
                  <c:v>87308033.800576672</c:v>
                </c:pt>
                <c:pt idx="32">
                  <c:v>87308033.800576672</c:v>
                </c:pt>
                <c:pt idx="33">
                  <c:v>87308033.800576672</c:v>
                </c:pt>
                <c:pt idx="34">
                  <c:v>87308033.800576672</c:v>
                </c:pt>
                <c:pt idx="35">
                  <c:v>87308033.800576672</c:v>
                </c:pt>
                <c:pt idx="36">
                  <c:v>87308033.800576672</c:v>
                </c:pt>
                <c:pt idx="37">
                  <c:v>87308033.800576672</c:v>
                </c:pt>
                <c:pt idx="38">
                  <c:v>87308033.800576672</c:v>
                </c:pt>
                <c:pt idx="39">
                  <c:v>87308033.800576672</c:v>
                </c:pt>
                <c:pt idx="40">
                  <c:v>409308033.80057669</c:v>
                </c:pt>
                <c:pt idx="41">
                  <c:v>99097473.800576746</c:v>
                </c:pt>
                <c:pt idx="42">
                  <c:v>99097473.800576746</c:v>
                </c:pt>
                <c:pt idx="43">
                  <c:v>99097473.800576746</c:v>
                </c:pt>
                <c:pt idx="44">
                  <c:v>99097473.800576746</c:v>
                </c:pt>
                <c:pt idx="45">
                  <c:v>99097473.800576746</c:v>
                </c:pt>
                <c:pt idx="46">
                  <c:v>99097473.800576746</c:v>
                </c:pt>
                <c:pt idx="47">
                  <c:v>99097473.800576746</c:v>
                </c:pt>
                <c:pt idx="48">
                  <c:v>99097473.800576746</c:v>
                </c:pt>
                <c:pt idx="49">
                  <c:v>99097473.800576746</c:v>
                </c:pt>
                <c:pt idx="50">
                  <c:v>99097473.800576746</c:v>
                </c:pt>
                <c:pt idx="51">
                  <c:v>99097473.800576746</c:v>
                </c:pt>
                <c:pt idx="52">
                  <c:v>421097473.80057675</c:v>
                </c:pt>
                <c:pt idx="53">
                  <c:v>110886913.80057682</c:v>
                </c:pt>
                <c:pt idx="54">
                  <c:v>110886913.80057682</c:v>
                </c:pt>
                <c:pt idx="55">
                  <c:v>110886913.80057682</c:v>
                </c:pt>
                <c:pt idx="56">
                  <c:v>110886913.80057682</c:v>
                </c:pt>
                <c:pt idx="57">
                  <c:v>110886913.80057682</c:v>
                </c:pt>
                <c:pt idx="58">
                  <c:v>110886913.80057682</c:v>
                </c:pt>
                <c:pt idx="59">
                  <c:v>110886913.80057682</c:v>
                </c:pt>
                <c:pt idx="60">
                  <c:v>110886913.80057682</c:v>
                </c:pt>
                <c:pt idx="61">
                  <c:v>110886913.80057682</c:v>
                </c:pt>
                <c:pt idx="62">
                  <c:v>110886913.80057682</c:v>
                </c:pt>
                <c:pt idx="63">
                  <c:v>110886913.80057682</c:v>
                </c:pt>
                <c:pt idx="64">
                  <c:v>444886913.80057681</c:v>
                </c:pt>
                <c:pt idx="65">
                  <c:v>134676353.80057687</c:v>
                </c:pt>
                <c:pt idx="66">
                  <c:v>134676353.80057687</c:v>
                </c:pt>
              </c:numCache>
            </c:numRef>
          </c:val>
          <c:smooth val="0"/>
          <c:extLst>
            <c:ext xmlns:c16="http://schemas.microsoft.com/office/drawing/2014/chart" uri="{C3380CC4-5D6E-409C-BE32-E72D297353CC}">
              <c16:uniqueId val="{0000000A-CEF2-411E-BD8D-9E8545578D02}"/>
            </c:ext>
          </c:extLst>
        </c:ser>
        <c:dLbls>
          <c:showLegendKey val="0"/>
          <c:showVal val="0"/>
          <c:showCatName val="0"/>
          <c:showSerName val="0"/>
          <c:showPercent val="0"/>
          <c:showBubbleSize val="0"/>
        </c:dLbls>
        <c:marker val="1"/>
        <c:smooth val="0"/>
        <c:axId val="1669861167"/>
        <c:axId val="1669872687"/>
      </c:lineChart>
      <c:dateAx>
        <c:axId val="16698611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72687"/>
        <c:crosses val="autoZero"/>
        <c:auto val="1"/>
        <c:lblOffset val="100"/>
        <c:baseTimeUnit val="months"/>
        <c:majorUnit val="2"/>
        <c:majorTimeUnit val="months"/>
      </c:dateAx>
      <c:valAx>
        <c:axId val="166987268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611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sz="1400"/>
              <a:t>Valores Nominais</a:t>
            </a:r>
          </a:p>
          <a:p>
            <a:pPr>
              <a:defRPr sz="1400"/>
            </a:pPr>
            <a:r>
              <a:rPr lang="pt-BR" sz="1400"/>
              <a:t>(sem projeção da inflação)</a:t>
            </a:r>
          </a:p>
        </c:rich>
      </c:tx>
      <c:layout>
        <c:manualLayout>
          <c:xMode val="edge"/>
          <c:yMode val="edge"/>
          <c:x val="0.4028006396050714"/>
          <c:y val="1.352015706377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(mensal)'!$B$72</c:f>
              <c:strCache>
                <c:ptCount val="1"/>
                <c:pt idx="0">
                  <c:v>Valor nominal pago ao Estado (sem projeção de inflação)</c:v>
                </c:pt>
              </c:strCache>
            </c:strRef>
          </c:tx>
          <c:spPr>
            <a:solidFill>
              <a:schemeClr val="accent6">
                <a:lumMod val="75000"/>
              </a:schemeClr>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(mensal)'!$C$72:$BQ$72</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5549-4E28-BEC4-CEF63BD15B47}"/>
            </c:ext>
          </c:extLst>
        </c:ser>
        <c:ser>
          <c:idx val="1"/>
          <c:order val="1"/>
          <c:tx>
            <c:strRef>
              <c:f>'Estudo de Fluxos (mensal)'!$B$73</c:f>
              <c:strCache>
                <c:ptCount val="1"/>
                <c:pt idx="0">
                  <c:v>Valor nominal pago do Estado à conta de contaprestação (sem projeção de inflação)</c:v>
                </c:pt>
              </c:strCache>
            </c:strRef>
          </c:tx>
          <c:spPr>
            <a:solidFill>
              <a:srgbClr val="FF0000"/>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(mensal)'!$C$73:$BQ$73</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5549-4E28-BEC4-CEF63BD15B47}"/>
            </c:ext>
          </c:extLst>
        </c:ser>
        <c:dLbls>
          <c:showLegendKey val="0"/>
          <c:showVal val="0"/>
          <c:showCatName val="0"/>
          <c:showSerName val="0"/>
          <c:showPercent val="0"/>
          <c:showBubbleSize val="0"/>
        </c:dLbls>
        <c:gapWidth val="90"/>
        <c:overlap val="100"/>
        <c:axId val="1307745903"/>
        <c:axId val="1307767503"/>
      </c:barChart>
      <c:lineChart>
        <c:grouping val="standard"/>
        <c:varyColors val="0"/>
        <c:ser>
          <c:idx val="2"/>
          <c:order val="2"/>
          <c:tx>
            <c:strRef>
              <c:f>'Estudo de Fluxos (mensal)'!$B$74</c:f>
              <c:strCache>
                <c:ptCount val="1"/>
                <c:pt idx="0">
                  <c:v>Saldo nominal do Estado (sem projeção de inflação)</c:v>
                </c:pt>
              </c:strCache>
            </c:strRef>
          </c:tx>
          <c:spPr>
            <a:ln w="28575" cap="rnd">
              <a:solidFill>
                <a:srgbClr val="0070C0"/>
              </a:solidFill>
              <a:round/>
            </a:ln>
            <a:effectLst/>
          </c:spPr>
          <c:marker>
            <c:symbol val="none"/>
          </c:marker>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(mensal)'!$C$74:$BQ$74</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5549-4E28-BEC4-CEF63BD15B47}"/>
            </c:ext>
          </c:extLst>
        </c:ser>
        <c:dLbls>
          <c:showLegendKey val="0"/>
          <c:showVal val="0"/>
          <c:showCatName val="0"/>
          <c:showSerName val="0"/>
          <c:showPercent val="0"/>
          <c:showBubbleSize val="0"/>
        </c:dLbls>
        <c:marker val="1"/>
        <c:smooth val="0"/>
        <c:axId val="1307745903"/>
        <c:axId val="1307767503"/>
      </c:lineChart>
      <c:dateAx>
        <c:axId val="130774590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67503"/>
        <c:crosses val="autoZero"/>
        <c:auto val="1"/>
        <c:lblOffset val="100"/>
        <c:baseTimeUnit val="months"/>
      </c:dateAx>
      <c:valAx>
        <c:axId val="1307767503"/>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45903"/>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layout>
        <c:manualLayout>
          <c:xMode val="edge"/>
          <c:yMode val="edge"/>
          <c:x val="4.8710469154095361E-2"/>
          <c:y val="0.863884594494294"/>
          <c:w val="0.93303828810637224"/>
          <c:h val="0.119891217029180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1</xdr:col>
      <xdr:colOff>244732</xdr:colOff>
      <xdr:row>2</xdr:row>
      <xdr:rowOff>70709</xdr:rowOff>
    </xdr:from>
    <xdr:to>
      <xdr:col>6</xdr:col>
      <xdr:colOff>1482</xdr:colOff>
      <xdr:row>4</xdr:row>
      <xdr:rowOff>72149</xdr:rowOff>
    </xdr:to>
    <xdr:pic>
      <xdr:nvPicPr>
        <xdr:cNvPr id="2" name="Imagem 1" descr="Logotipo&#10;&#10;Descrição gerada automaticament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41280" y="463804"/>
          <a:ext cx="2256684" cy="394535"/>
        </a:xfrm>
        <a:prstGeom prst="rect">
          <a:avLst/>
        </a:prstGeom>
        <a:ln w="0">
          <a:noFill/>
        </a:ln>
      </xdr:spPr>
    </xdr:pic>
    <xdr:clientData/>
  </xdr:twoCellAnchor>
  <xdr:twoCellAnchor editAs="oneCell">
    <xdr:from>
      <xdr:col>22</xdr:col>
      <xdr:colOff>28222</xdr:colOff>
      <xdr:row>0</xdr:row>
      <xdr:rowOff>183443</xdr:rowOff>
    </xdr:from>
    <xdr:to>
      <xdr:col>44</xdr:col>
      <xdr:colOff>237356</xdr:colOff>
      <xdr:row>27</xdr:row>
      <xdr:rowOff>25204</xdr:rowOff>
    </xdr:to>
    <xdr:pic>
      <xdr:nvPicPr>
        <xdr:cNvPr id="3" name="Imagem 2">
          <a:extLst>
            <a:ext uri="{FF2B5EF4-FFF2-40B4-BE49-F238E27FC236}">
              <a16:creationId xmlns:a16="http://schemas.microsoft.com/office/drawing/2014/main" id="{84C6F7FF-0D40-A7F1-0107-D88C30DB7FBF}"/>
            </a:ext>
          </a:extLst>
        </xdr:cNvPr>
        <xdr:cNvPicPr>
          <a:picLocks noChangeAspect="1"/>
        </xdr:cNvPicPr>
      </xdr:nvPicPr>
      <xdr:blipFill>
        <a:blip xmlns:r="http://schemas.openxmlformats.org/officeDocument/2006/relationships" r:embed="rId2"/>
        <a:stretch>
          <a:fillRect/>
        </a:stretch>
      </xdr:blipFill>
      <xdr:spPr>
        <a:xfrm>
          <a:off x="15001679" y="183443"/>
          <a:ext cx="10933578" cy="106977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78922</xdr:colOff>
      <xdr:row>21</xdr:row>
      <xdr:rowOff>102055</xdr:rowOff>
    </xdr:from>
    <xdr:to>
      <xdr:col>5</xdr:col>
      <xdr:colOff>1876426</xdr:colOff>
      <xdr:row>45</xdr:row>
      <xdr:rowOff>149679</xdr:rowOff>
    </xdr:to>
    <xdr:graphicFrame macro="">
      <xdr:nvGraphicFramePr>
        <xdr:cNvPr id="10" name="Gráfico 1">
          <a:extLst>
            <a:ext uri="{FF2B5EF4-FFF2-40B4-BE49-F238E27FC236}">
              <a16:creationId xmlns:a16="http://schemas.microsoft.com/office/drawing/2014/main" id="{2888BECA-5B2B-0042-61C9-BA784C82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65</xdr:row>
      <xdr:rowOff>9525</xdr:rowOff>
    </xdr:from>
    <xdr:to>
      <xdr:col>4</xdr:col>
      <xdr:colOff>1209675</xdr:colOff>
      <xdr:row>99</xdr:row>
      <xdr:rowOff>47625</xdr:rowOff>
    </xdr:to>
    <xdr:graphicFrame macro="">
      <xdr:nvGraphicFramePr>
        <xdr:cNvPr id="7" name="Gráfico 2">
          <a:extLst>
            <a:ext uri="{FF2B5EF4-FFF2-40B4-BE49-F238E27FC236}">
              <a16:creationId xmlns:a16="http://schemas.microsoft.com/office/drawing/2014/main" id="{8E2180F7-71B4-30D0-E3ED-4F32F3C93CC8}"/>
            </a:ext>
            <a:ext uri="{147F2762-F138-4A5C-976F-8EAC2B608ADB}">
              <a16:predDERef xmlns:a16="http://schemas.microsoft.com/office/drawing/2014/main" pred="{2888BECA-5B2B-0042-61C9-BA784C82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369</xdr:row>
      <xdr:rowOff>57151</xdr:rowOff>
    </xdr:from>
    <xdr:to>
      <xdr:col>4</xdr:col>
      <xdr:colOff>1329429</xdr:colOff>
      <xdr:row>393</xdr:row>
      <xdr:rowOff>64866</xdr:rowOff>
    </xdr:to>
    <xdr:graphicFrame macro="">
      <xdr:nvGraphicFramePr>
        <xdr:cNvPr id="20" name="Gráfico 7">
          <a:extLst>
            <a:ext uri="{FF2B5EF4-FFF2-40B4-BE49-F238E27FC236}">
              <a16:creationId xmlns:a16="http://schemas.microsoft.com/office/drawing/2014/main" id="{BD5D45ED-188F-EB40-6BBE-5862739F08AB}"/>
            </a:ext>
            <a:ext uri="{147F2762-F138-4A5C-976F-8EAC2B608ADB}">
              <a16:predDERef xmlns:a16="http://schemas.microsoft.com/office/drawing/2014/main" pred="{8E2180F7-71B4-30D0-E3ED-4F32F3C93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7822</xdr:colOff>
      <xdr:row>335</xdr:row>
      <xdr:rowOff>57151</xdr:rowOff>
    </xdr:from>
    <xdr:to>
      <xdr:col>4</xdr:col>
      <xdr:colOff>1337251</xdr:colOff>
      <xdr:row>359</xdr:row>
      <xdr:rowOff>64865</xdr:rowOff>
    </xdr:to>
    <xdr:graphicFrame macro="">
      <xdr:nvGraphicFramePr>
        <xdr:cNvPr id="22" name="Gráfico 8">
          <a:extLst>
            <a:ext uri="{FF2B5EF4-FFF2-40B4-BE49-F238E27FC236}">
              <a16:creationId xmlns:a16="http://schemas.microsoft.com/office/drawing/2014/main" id="{00EE308B-3A6E-5BB2-5422-01A085455F4C}"/>
            </a:ext>
            <a:ext uri="{147F2762-F138-4A5C-976F-8EAC2B608ADB}">
              <a16:predDERef xmlns:a16="http://schemas.microsoft.com/office/drawing/2014/main" pred="{BD5D45ED-188F-EB40-6BBE-5862739F0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281668</xdr:colOff>
      <xdr:row>234</xdr:row>
      <xdr:rowOff>141514</xdr:rowOff>
    </xdr:from>
    <xdr:to>
      <xdr:col>4</xdr:col>
      <xdr:colOff>1311740</xdr:colOff>
      <xdr:row>258</xdr:row>
      <xdr:rowOff>149228</xdr:rowOff>
    </xdr:to>
    <xdr:graphicFrame macro="">
      <xdr:nvGraphicFramePr>
        <xdr:cNvPr id="23" name="Gráfico 15">
          <a:extLst>
            <a:ext uri="{FF2B5EF4-FFF2-40B4-BE49-F238E27FC236}">
              <a16:creationId xmlns:a16="http://schemas.microsoft.com/office/drawing/2014/main" id="{D9E0846C-E78A-B030-9130-D92C90DE45DE}"/>
            </a:ext>
            <a:ext uri="{147F2762-F138-4A5C-976F-8EAC2B608ADB}">
              <a16:predDERef xmlns:a16="http://schemas.microsoft.com/office/drawing/2014/main" pred="{00EE308B-3A6E-5BB2-5422-01A085455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605627</xdr:colOff>
      <xdr:row>454</xdr:row>
      <xdr:rowOff>19070</xdr:rowOff>
    </xdr:from>
    <xdr:to>
      <xdr:col>8</xdr:col>
      <xdr:colOff>17318</xdr:colOff>
      <xdr:row>481</xdr:row>
      <xdr:rowOff>98610</xdr:rowOff>
    </xdr:to>
    <xdr:graphicFrame macro="">
      <xdr:nvGraphicFramePr>
        <xdr:cNvPr id="3" name="Gráfico 2">
          <a:extLst>
            <a:ext uri="{FF2B5EF4-FFF2-40B4-BE49-F238E27FC236}">
              <a16:creationId xmlns:a16="http://schemas.microsoft.com/office/drawing/2014/main" id="{0C99A16C-A42D-E65A-0C1C-A81E5024BD2C}"/>
            </a:ext>
            <a:ext uri="{147F2762-F138-4A5C-976F-8EAC2B608ADB}">
              <a16:predDERef xmlns:a16="http://schemas.microsoft.com/office/drawing/2014/main" pred="{D9E0846C-E78A-B030-9130-D92C90DE4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407</xdr:row>
      <xdr:rowOff>114300</xdr:rowOff>
    </xdr:from>
    <xdr:to>
      <xdr:col>4</xdr:col>
      <xdr:colOff>1333500</xdr:colOff>
      <xdr:row>434</xdr:row>
      <xdr:rowOff>28575</xdr:rowOff>
    </xdr:to>
    <xdr:graphicFrame macro="">
      <xdr:nvGraphicFramePr>
        <xdr:cNvPr id="57" name="Gráfico 56">
          <a:extLst>
            <a:ext uri="{FF2B5EF4-FFF2-40B4-BE49-F238E27FC236}">
              <a16:creationId xmlns:a16="http://schemas.microsoft.com/office/drawing/2014/main" id="{537A18E8-2FC2-DDE3-13E8-D811D3B609D2}"/>
            </a:ext>
            <a:ext uri="{147F2762-F138-4A5C-976F-8EAC2B608ADB}">
              <a16:predDERef xmlns:a16="http://schemas.microsoft.com/office/drawing/2014/main" pred="{0C99A16C-A42D-E65A-0C1C-A81E5024B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676275</xdr:colOff>
      <xdr:row>0</xdr:row>
      <xdr:rowOff>-923925</xdr:rowOff>
    </xdr:from>
    <xdr:to>
      <xdr:col>2</xdr:col>
      <xdr:colOff>676275</xdr:colOff>
      <xdr:row>0</xdr:row>
      <xdr:rowOff>-923925</xdr:rowOff>
    </xdr:to>
    <xdr:graphicFrame macro="">
      <xdr:nvGraphicFramePr>
        <xdr:cNvPr id="39" name="Gráfico 57">
          <a:extLst>
            <a:ext uri="{FF2B5EF4-FFF2-40B4-BE49-F238E27FC236}">
              <a16:creationId xmlns:a16="http://schemas.microsoft.com/office/drawing/2014/main" id="{1A282BA8-9AC1-81DA-89D6-E29E5151C9EC}"/>
            </a:ext>
            <a:ext uri="{147F2762-F138-4A5C-976F-8EAC2B608ADB}">
              <a16:predDERef xmlns:a16="http://schemas.microsoft.com/office/drawing/2014/main" pred="{537A18E8-2FC2-DDE3-13E8-D811D3B6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9525</xdr:colOff>
      <xdr:row>137</xdr:row>
      <xdr:rowOff>142875</xdr:rowOff>
    </xdr:from>
    <xdr:to>
      <xdr:col>4</xdr:col>
      <xdr:colOff>1333500</xdr:colOff>
      <xdr:row>174</xdr:row>
      <xdr:rowOff>66675</xdr:rowOff>
    </xdr:to>
    <xdr:graphicFrame macro="">
      <xdr:nvGraphicFramePr>
        <xdr:cNvPr id="29" name="Gráfico 62">
          <a:extLst>
            <a:ext uri="{FF2B5EF4-FFF2-40B4-BE49-F238E27FC236}">
              <a16:creationId xmlns:a16="http://schemas.microsoft.com/office/drawing/2014/main" id="{BB747C51-2E39-BD08-6A19-14B4DF884767}"/>
            </a:ext>
            <a:ext uri="{147F2762-F138-4A5C-976F-8EAC2B608ADB}">
              <a16:predDERef xmlns:a16="http://schemas.microsoft.com/office/drawing/2014/main" pred="{1A282BA8-9AC1-81DA-89D6-E29E5151C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246783</xdr:colOff>
      <xdr:row>137</xdr:row>
      <xdr:rowOff>130133</xdr:rowOff>
    </xdr:from>
    <xdr:to>
      <xdr:col>8</xdr:col>
      <xdr:colOff>1183640</xdr:colOff>
      <xdr:row>161</xdr:row>
      <xdr:rowOff>137848</xdr:rowOff>
    </xdr:to>
    <xdr:graphicFrame macro="">
      <xdr:nvGraphicFramePr>
        <xdr:cNvPr id="32" name="Gráfico 65">
          <a:extLst>
            <a:ext uri="{FF2B5EF4-FFF2-40B4-BE49-F238E27FC236}">
              <a16:creationId xmlns:a16="http://schemas.microsoft.com/office/drawing/2014/main" id="{87E7262C-122D-A813-AE92-33FA71B4A6CF}"/>
            </a:ext>
            <a:ext uri="{147F2762-F138-4A5C-976F-8EAC2B608ADB}">
              <a16:predDERef xmlns:a16="http://schemas.microsoft.com/office/drawing/2014/main" pred="{BB747C51-2E39-BD08-6A19-14B4DF884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155244</xdr:colOff>
      <xdr:row>186</xdr:row>
      <xdr:rowOff>54428</xdr:rowOff>
    </xdr:from>
    <xdr:to>
      <xdr:col>8</xdr:col>
      <xdr:colOff>1092101</xdr:colOff>
      <xdr:row>222</xdr:row>
      <xdr:rowOff>62142</xdr:rowOff>
    </xdr:to>
    <xdr:graphicFrame macro="">
      <xdr:nvGraphicFramePr>
        <xdr:cNvPr id="41" name="Gráfico 66">
          <a:extLst>
            <a:ext uri="{FF2B5EF4-FFF2-40B4-BE49-F238E27FC236}">
              <a16:creationId xmlns:a16="http://schemas.microsoft.com/office/drawing/2014/main" id="{179B28DF-403E-01BF-3906-83BE3CA2032E}"/>
            </a:ext>
            <a:ext uri="{147F2762-F138-4A5C-976F-8EAC2B608ADB}">
              <a16:predDERef xmlns:a16="http://schemas.microsoft.com/office/drawing/2014/main" pred="{87E7262C-122D-A813-AE92-33FA71B4A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488</xdr:row>
      <xdr:rowOff>152400</xdr:rowOff>
    </xdr:from>
    <xdr:to>
      <xdr:col>8</xdr:col>
      <xdr:colOff>428625</xdr:colOff>
      <xdr:row>522</xdr:row>
      <xdr:rowOff>114300</xdr:rowOff>
    </xdr:to>
    <xdr:graphicFrame macro="">
      <xdr:nvGraphicFramePr>
        <xdr:cNvPr id="2" name="Gráfico 1">
          <a:extLst>
            <a:ext uri="{FF2B5EF4-FFF2-40B4-BE49-F238E27FC236}">
              <a16:creationId xmlns:a16="http://schemas.microsoft.com/office/drawing/2014/main" id="{C8133E46-9365-484D-BBF3-46590823E894}"/>
            </a:ext>
            <a:ext uri="{147F2762-F138-4A5C-976F-8EAC2B608ADB}">
              <a16:predDERef xmlns:a16="http://schemas.microsoft.com/office/drawing/2014/main" pred="{179B28DF-403E-01BF-3906-83BE3CA20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0</xdr:colOff>
      <xdr:row>533</xdr:row>
      <xdr:rowOff>0</xdr:rowOff>
    </xdr:from>
    <xdr:to>
      <xdr:col>2</xdr:col>
      <xdr:colOff>4572000</xdr:colOff>
      <xdr:row>549</xdr:row>
      <xdr:rowOff>152400</xdr:rowOff>
    </xdr:to>
    <xdr:graphicFrame macro="">
      <xdr:nvGraphicFramePr>
        <xdr:cNvPr id="4" name="Gráfico 3">
          <a:extLst>
            <a:ext uri="{FF2B5EF4-FFF2-40B4-BE49-F238E27FC236}">
              <a16:creationId xmlns:a16="http://schemas.microsoft.com/office/drawing/2014/main" id="{9037369B-457C-4CBB-8B1F-206203800EF3}"/>
            </a:ext>
            <a:ext uri="{147F2762-F138-4A5C-976F-8EAC2B608ADB}">
              <a16:predDERef xmlns:a16="http://schemas.microsoft.com/office/drawing/2014/main" pred="{C8133E46-9365-484D-BBF3-46590823E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1415143</xdr:colOff>
      <xdr:row>268</xdr:row>
      <xdr:rowOff>84365</xdr:rowOff>
    </xdr:from>
    <xdr:to>
      <xdr:col>4</xdr:col>
      <xdr:colOff>326570</xdr:colOff>
      <xdr:row>285</xdr:row>
      <xdr:rowOff>51708</xdr:rowOff>
    </xdr:to>
    <xdr:graphicFrame macro="">
      <xdr:nvGraphicFramePr>
        <xdr:cNvPr id="30" name="Gráfico 4">
          <a:extLst>
            <a:ext uri="{FF2B5EF4-FFF2-40B4-BE49-F238E27FC236}">
              <a16:creationId xmlns:a16="http://schemas.microsoft.com/office/drawing/2014/main" id="{BAE2889F-C1D2-6DC2-83AF-4B4C6E1C0C9E}"/>
            </a:ext>
            <a:ext uri="{147F2762-F138-4A5C-976F-8EAC2B608ADB}">
              <a16:predDERef xmlns:a16="http://schemas.microsoft.com/office/drawing/2014/main" pred="{9037369B-457C-4CBB-8B1F-206203800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2381248</xdr:colOff>
      <xdr:row>294</xdr:row>
      <xdr:rowOff>85165</xdr:rowOff>
    </xdr:from>
    <xdr:to>
      <xdr:col>4</xdr:col>
      <xdr:colOff>324970</xdr:colOff>
      <xdr:row>312</xdr:row>
      <xdr:rowOff>4483</xdr:rowOff>
    </xdr:to>
    <xdr:graphicFrame macro="">
      <xdr:nvGraphicFramePr>
        <xdr:cNvPr id="97" name="Gráfico 7">
          <a:extLst>
            <a:ext uri="{FF2B5EF4-FFF2-40B4-BE49-F238E27FC236}">
              <a16:creationId xmlns:a16="http://schemas.microsoft.com/office/drawing/2014/main" id="{16858B91-282A-B01B-1205-145867075A8C}"/>
            </a:ext>
            <a:ext uri="{147F2762-F138-4A5C-976F-8EAC2B608ADB}">
              <a16:predDERef xmlns:a16="http://schemas.microsoft.com/office/drawing/2014/main" pred="{BAE2889F-C1D2-6DC2-83AF-4B4C6E1C0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142875</xdr:colOff>
      <xdr:row>16</xdr:row>
      <xdr:rowOff>19050</xdr:rowOff>
    </xdr:from>
    <xdr:to>
      <xdr:col>2</xdr:col>
      <xdr:colOff>571500</xdr:colOff>
      <xdr:row>29</xdr:row>
      <xdr:rowOff>133350</xdr:rowOff>
    </xdr:to>
    <xdr:pic>
      <xdr:nvPicPr>
        <xdr:cNvPr id="6" name="Imagem 5">
          <a:extLst>
            <a:ext uri="{FF2B5EF4-FFF2-40B4-BE49-F238E27FC236}">
              <a16:creationId xmlns:a16="http://schemas.microsoft.com/office/drawing/2014/main" id="{50772881-C4F4-25E1-9102-8AE307F6B8D5}"/>
            </a:ext>
            <a:ext uri="{147F2762-F138-4A5C-976F-8EAC2B608ADB}">
              <a16:predDERef xmlns:a16="http://schemas.microsoft.com/office/drawing/2014/main" pred="{EF7FA33B-F401-7882-9159-13AC99403576}"/>
            </a:ext>
          </a:extLst>
        </xdr:cNvPr>
        <xdr:cNvPicPr>
          <a:picLocks noChangeAspect="1"/>
        </xdr:cNvPicPr>
      </xdr:nvPicPr>
      <xdr:blipFill>
        <a:blip xmlns:r="http://schemas.openxmlformats.org/officeDocument/2006/relationships" r:embed="rId1"/>
        <a:stretch>
          <a:fillRect/>
        </a:stretch>
      </xdr:blipFill>
      <xdr:spPr>
        <a:xfrm>
          <a:off x="142875" y="2733675"/>
          <a:ext cx="4572000" cy="2247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104774</xdr:colOff>
      <xdr:row>24</xdr:row>
      <xdr:rowOff>156482</xdr:rowOff>
    </xdr:from>
    <xdr:to>
      <xdr:col>4</xdr:col>
      <xdr:colOff>605117</xdr:colOff>
      <xdr:row>48</xdr:row>
      <xdr:rowOff>85725</xdr:rowOff>
    </xdr:to>
    <xdr:graphicFrame macro="">
      <xdr:nvGraphicFramePr>
        <xdr:cNvPr id="6" name="Gráfico 4">
          <a:extLst>
            <a:ext uri="{FF2B5EF4-FFF2-40B4-BE49-F238E27FC236}">
              <a16:creationId xmlns:a16="http://schemas.microsoft.com/office/drawing/2014/main" id="{87188E4B-FD88-A48C-2192-F06C7512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1322294</xdr:colOff>
      <xdr:row>25</xdr:row>
      <xdr:rowOff>0</xdr:rowOff>
    </xdr:from>
    <xdr:to>
      <xdr:col>9</xdr:col>
      <xdr:colOff>328893</xdr:colOff>
      <xdr:row>48</xdr:row>
      <xdr:rowOff>91168</xdr:rowOff>
    </xdr:to>
    <xdr:graphicFrame macro="">
      <xdr:nvGraphicFramePr>
        <xdr:cNvPr id="3" name="Gráfico 77">
          <a:extLst>
            <a:ext uri="{FF2B5EF4-FFF2-40B4-BE49-F238E27FC236}">
              <a16:creationId xmlns:a16="http://schemas.microsoft.com/office/drawing/2014/main" id="{8517EFDD-289C-4237-9FC5-B2D6DC7B5118}"/>
            </a:ext>
            <a:ext uri="{147F2762-F138-4A5C-976F-8EAC2B608ADB}">
              <a16:predDERef xmlns:a16="http://schemas.microsoft.com/office/drawing/2014/main" pred="{87188E4B-FD88-A48C-2192-F06C75120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421821</xdr:colOff>
      <xdr:row>32</xdr:row>
      <xdr:rowOff>75996</xdr:rowOff>
    </xdr:from>
    <xdr:to>
      <xdr:col>8</xdr:col>
      <xdr:colOff>69273</xdr:colOff>
      <xdr:row>62</xdr:row>
      <xdr:rowOff>121227</xdr:rowOff>
    </xdr:to>
    <xdr:graphicFrame macro="">
      <xdr:nvGraphicFramePr>
        <xdr:cNvPr id="2" name="Gráfico 7">
          <a:extLst>
            <a:ext uri="{FF2B5EF4-FFF2-40B4-BE49-F238E27FC236}">
              <a16:creationId xmlns:a16="http://schemas.microsoft.com/office/drawing/2014/main" id="{6B058A35-E39D-043A-EA03-C1CC785F4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270978</xdr:colOff>
      <xdr:row>32</xdr:row>
      <xdr:rowOff>83127</xdr:rowOff>
    </xdr:from>
    <xdr:to>
      <xdr:col>19</xdr:col>
      <xdr:colOff>554181</xdr:colOff>
      <xdr:row>62</xdr:row>
      <xdr:rowOff>103909</xdr:rowOff>
    </xdr:to>
    <xdr:graphicFrame macro="">
      <xdr:nvGraphicFramePr>
        <xdr:cNvPr id="5" name="Gráfico 8">
          <a:extLst>
            <a:ext uri="{FF2B5EF4-FFF2-40B4-BE49-F238E27FC236}">
              <a16:creationId xmlns:a16="http://schemas.microsoft.com/office/drawing/2014/main" id="{513F7AB3-6FA1-6E94-FB1E-C28D0172B44A}"/>
            </a:ext>
            <a:ext uri="{147F2762-F138-4A5C-976F-8EAC2B608ADB}">
              <a16:predDERef xmlns:a16="http://schemas.microsoft.com/office/drawing/2014/main" pred="{6B058A35-E39D-043A-EA03-C1CC785F4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207065</xdr:colOff>
      <xdr:row>82</xdr:row>
      <xdr:rowOff>160684</xdr:rowOff>
    </xdr:from>
    <xdr:to>
      <xdr:col>55</xdr:col>
      <xdr:colOff>853109</xdr:colOff>
      <xdr:row>99</xdr:row>
      <xdr:rowOff>87797</xdr:rowOff>
    </xdr:to>
    <xdr:graphicFrame macro="">
      <xdr:nvGraphicFramePr>
        <xdr:cNvPr id="3" name="Gráfico 2">
          <a:extLst>
            <a:ext uri="{FF2B5EF4-FFF2-40B4-BE49-F238E27FC236}">
              <a16:creationId xmlns:a16="http://schemas.microsoft.com/office/drawing/2014/main" id="{03DA83EE-904F-F226-279E-DBB6041D6C35}"/>
            </a:ext>
            <a:ext uri="{147F2762-F138-4A5C-976F-8EAC2B608ADB}">
              <a16:predDERef xmlns:a16="http://schemas.microsoft.com/office/drawing/2014/main" pred="{513F7AB3-6FA1-6E94-FB1E-C28D0172B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86</xdr:row>
      <xdr:rowOff>0</xdr:rowOff>
    </xdr:from>
    <xdr:to>
      <xdr:col>7</xdr:col>
      <xdr:colOff>790452</xdr:colOff>
      <xdr:row>116</xdr:row>
      <xdr:rowOff>45231</xdr:rowOff>
    </xdr:to>
    <xdr:graphicFrame macro="">
      <xdr:nvGraphicFramePr>
        <xdr:cNvPr id="15" name="Gráfico 3">
          <a:extLst>
            <a:ext uri="{FF2B5EF4-FFF2-40B4-BE49-F238E27FC236}">
              <a16:creationId xmlns:a16="http://schemas.microsoft.com/office/drawing/2014/main" id="{D29D44D7-F751-4EBF-9EED-766FF730EE04}"/>
            </a:ext>
            <a:ext uri="{147F2762-F138-4A5C-976F-8EAC2B608ADB}">
              <a16:predDERef xmlns:a16="http://schemas.microsoft.com/office/drawing/2014/main" pred="{03DA83EE-904F-F226-279E-DBB6041D6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714375</xdr:colOff>
      <xdr:row>86</xdr:row>
      <xdr:rowOff>133350</xdr:rowOff>
    </xdr:from>
    <xdr:to>
      <xdr:col>19</xdr:col>
      <xdr:colOff>997578</xdr:colOff>
      <xdr:row>116</xdr:row>
      <xdr:rowOff>154132</xdr:rowOff>
    </xdr:to>
    <xdr:graphicFrame macro="">
      <xdr:nvGraphicFramePr>
        <xdr:cNvPr id="19" name="Gráfico 5">
          <a:extLst>
            <a:ext uri="{FF2B5EF4-FFF2-40B4-BE49-F238E27FC236}">
              <a16:creationId xmlns:a16="http://schemas.microsoft.com/office/drawing/2014/main" id="{A551175A-F8DD-497B-8C60-52D5D229AE20}"/>
            </a:ext>
            <a:ext uri="{147F2762-F138-4A5C-976F-8EAC2B608ADB}">
              <a16:predDERef xmlns:a16="http://schemas.microsoft.com/office/drawing/2014/main" pred="{D29D44D7-F751-4EBF-9EED-766FF730E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ema do Office 2013 - 2022">
  <a:themeElements>
    <a:clrScheme name="Personalizada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00B050"/>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A6099"/>
  </sheetPr>
  <dimension ref="A2:AMJ27"/>
  <sheetViews>
    <sheetView showGridLines="0" topLeftCell="A28" zoomScale="84" zoomScaleNormal="90" workbookViewId="0">
      <selection activeCell="C26" sqref="C26"/>
    </sheetView>
  </sheetViews>
  <sheetFormatPr defaultColWidth="6.42578125" defaultRowHeight="15"/>
  <cols>
    <col min="1" max="1" width="2.42578125" style="298" customWidth="1"/>
    <col min="2" max="2" width="6.42578125" style="1"/>
    <col min="3" max="3" width="7.42578125" style="1" customWidth="1"/>
    <col min="4" max="21" width="6.42578125" style="1"/>
    <col min="22" max="22" width="58.7109375" style="1" customWidth="1"/>
    <col min="23" max="23" width="2.42578125" style="305" customWidth="1"/>
    <col min="24" max="69" width="6.42578125" style="305"/>
    <col min="70" max="83" width="6.42578125" style="298"/>
    <col min="84" max="1024" width="6.42578125" style="1"/>
  </cols>
  <sheetData>
    <row r="2" spans="1:23" ht="15" customHeight="1">
      <c r="B2" s="572"/>
      <c r="C2" s="573"/>
      <c r="D2" s="573"/>
      <c r="E2" s="573"/>
      <c r="F2" s="573"/>
      <c r="G2" s="573"/>
      <c r="H2" s="573"/>
      <c r="I2" s="573"/>
      <c r="J2" s="573"/>
      <c r="K2" s="573"/>
      <c r="L2" s="573"/>
      <c r="M2" s="573"/>
      <c r="N2" s="573"/>
      <c r="O2" s="573"/>
      <c r="P2" s="573"/>
      <c r="Q2" s="573"/>
      <c r="R2" s="573"/>
      <c r="S2" s="573"/>
      <c r="T2" s="573"/>
      <c r="U2" s="573"/>
      <c r="V2" s="574"/>
      <c r="W2" s="306"/>
    </row>
    <row r="3" spans="1:23" ht="15" customHeight="1">
      <c r="A3" s="299"/>
      <c r="B3" s="575"/>
      <c r="C3" s="576"/>
      <c r="D3" s="576"/>
      <c r="E3" s="576"/>
      <c r="F3" s="576"/>
      <c r="G3" s="576"/>
      <c r="H3" s="576"/>
      <c r="I3" s="576"/>
      <c r="J3" s="576"/>
      <c r="K3" s="576"/>
      <c r="L3" s="576"/>
      <c r="M3" s="576"/>
      <c r="N3" s="576"/>
      <c r="O3" s="576"/>
      <c r="P3" s="576"/>
      <c r="Q3" s="576"/>
      <c r="R3" s="576"/>
      <c r="S3" s="576"/>
      <c r="T3" s="576"/>
      <c r="U3" s="576"/>
      <c r="V3" s="577"/>
      <c r="W3" s="306"/>
    </row>
    <row r="4" spans="1:23" ht="15" customHeight="1">
      <c r="A4" s="299"/>
      <c r="B4" s="575"/>
      <c r="C4" s="576"/>
      <c r="D4" s="576"/>
      <c r="E4" s="576"/>
      <c r="F4" s="576"/>
      <c r="G4" s="576"/>
      <c r="H4" s="576"/>
      <c r="I4" s="576"/>
      <c r="J4" s="576"/>
      <c r="K4" s="576"/>
      <c r="L4" s="576"/>
      <c r="M4" s="576"/>
      <c r="N4" s="576"/>
      <c r="O4" s="576"/>
      <c r="P4" s="576"/>
      <c r="Q4" s="576"/>
      <c r="R4" s="576"/>
      <c r="S4" s="576"/>
      <c r="T4" s="576"/>
      <c r="U4" s="576"/>
      <c r="V4" s="577"/>
      <c r="W4" s="306"/>
    </row>
    <row r="5" spans="1:23" ht="15" customHeight="1">
      <c r="A5" s="299"/>
      <c r="B5" s="575"/>
      <c r="C5" s="576"/>
      <c r="D5" s="576"/>
      <c r="E5" s="576"/>
      <c r="F5" s="576"/>
      <c r="G5" s="576"/>
      <c r="H5" s="576"/>
      <c r="I5" s="576"/>
      <c r="J5" s="576"/>
      <c r="K5" s="576"/>
      <c r="L5" s="576"/>
      <c r="M5" s="576"/>
      <c r="N5" s="576"/>
      <c r="O5" s="576"/>
      <c r="P5" s="576"/>
      <c r="Q5" s="576"/>
      <c r="R5" s="576"/>
      <c r="S5" s="576"/>
      <c r="T5" s="576"/>
      <c r="U5" s="576"/>
      <c r="V5" s="577"/>
      <c r="W5" s="306"/>
    </row>
    <row r="6" spans="1:23" ht="15" customHeight="1">
      <c r="A6" s="299"/>
      <c r="B6" s="575"/>
      <c r="C6" s="576"/>
      <c r="D6" s="576"/>
      <c r="E6" s="576"/>
      <c r="F6" s="576"/>
      <c r="G6" s="576"/>
      <c r="H6" s="576"/>
      <c r="I6" s="576"/>
      <c r="J6" s="576"/>
      <c r="K6" s="576"/>
      <c r="L6" s="576"/>
      <c r="M6" s="576"/>
      <c r="N6" s="576"/>
      <c r="O6" s="576"/>
      <c r="P6" s="576"/>
      <c r="Q6" s="576"/>
      <c r="R6" s="576"/>
      <c r="S6" s="576"/>
      <c r="T6" s="576"/>
      <c r="U6" s="576"/>
      <c r="V6" s="577"/>
      <c r="W6" s="306"/>
    </row>
    <row r="7" spans="1:23" ht="15" customHeight="1">
      <c r="B7" s="273"/>
      <c r="E7" s="275"/>
      <c r="V7" s="274"/>
    </row>
    <row r="8" spans="1:23" ht="26.25">
      <c r="B8" s="578" t="s">
        <v>0</v>
      </c>
      <c r="C8" s="579"/>
      <c r="D8" s="579"/>
      <c r="E8" s="579"/>
      <c r="F8" s="579"/>
      <c r="G8" s="579"/>
      <c r="H8" s="579"/>
      <c r="I8" s="579"/>
      <c r="J8" s="579"/>
      <c r="K8" s="579"/>
      <c r="L8" s="579"/>
      <c r="M8" s="579"/>
      <c r="N8" s="579"/>
      <c r="O8" s="579"/>
      <c r="P8" s="579"/>
      <c r="Q8" s="579"/>
      <c r="R8" s="579"/>
      <c r="S8" s="579"/>
      <c r="T8" s="579"/>
      <c r="U8" s="579"/>
      <c r="V8" s="580"/>
    </row>
    <row r="9" spans="1:23" ht="26.25">
      <c r="B9" s="578" t="s">
        <v>1</v>
      </c>
      <c r="C9" s="579"/>
      <c r="D9" s="579"/>
      <c r="E9" s="579"/>
      <c r="F9" s="579"/>
      <c r="G9" s="579"/>
      <c r="H9" s="579"/>
      <c r="I9" s="579"/>
      <c r="J9" s="579"/>
      <c r="K9" s="579"/>
      <c r="L9" s="579"/>
      <c r="M9" s="579"/>
      <c r="N9" s="579"/>
      <c r="O9" s="579"/>
      <c r="P9" s="579"/>
      <c r="Q9" s="579"/>
      <c r="R9" s="579"/>
      <c r="S9" s="579"/>
      <c r="T9" s="579"/>
      <c r="U9" s="579"/>
      <c r="V9" s="580"/>
    </row>
    <row r="10" spans="1:23" ht="31.5">
      <c r="B10" s="273"/>
      <c r="C10" s="276"/>
      <c r="V10" s="274"/>
    </row>
    <row r="11" spans="1:23">
      <c r="B11" s="273"/>
      <c r="V11" s="274"/>
    </row>
    <row r="12" spans="1:23" ht="31.5" customHeight="1">
      <c r="B12" s="581" t="s">
        <v>2</v>
      </c>
      <c r="C12" s="582"/>
      <c r="D12" s="582"/>
      <c r="E12" s="582"/>
      <c r="F12" s="582"/>
      <c r="G12" s="582"/>
      <c r="H12" s="582"/>
      <c r="I12" s="582"/>
      <c r="J12" s="582"/>
      <c r="K12" s="582"/>
      <c r="L12" s="582"/>
      <c r="M12" s="582"/>
      <c r="N12" s="582"/>
      <c r="O12" s="582"/>
      <c r="P12" s="582"/>
      <c r="Q12" s="582"/>
      <c r="R12" s="582"/>
      <c r="S12" s="582"/>
      <c r="T12" s="582"/>
      <c r="U12" s="582"/>
      <c r="V12" s="583"/>
    </row>
    <row r="13" spans="1:23" ht="35.25" customHeight="1">
      <c r="B13" s="584"/>
      <c r="C13" s="585"/>
      <c r="D13" s="585"/>
      <c r="E13" s="585"/>
      <c r="F13" s="585"/>
      <c r="G13" s="585"/>
      <c r="H13" s="585"/>
      <c r="I13" s="585"/>
      <c r="J13" s="585"/>
      <c r="K13" s="585"/>
      <c r="L13" s="585"/>
      <c r="M13" s="585"/>
      <c r="N13" s="585"/>
      <c r="O13" s="585"/>
      <c r="P13" s="585"/>
      <c r="Q13" s="585"/>
      <c r="R13" s="585"/>
      <c r="S13" s="585"/>
      <c r="T13" s="585"/>
      <c r="U13" s="585"/>
      <c r="V13" s="586"/>
    </row>
    <row r="14" spans="1:23" ht="201.95" customHeight="1">
      <c r="B14" s="273"/>
      <c r="C14" s="587" t="s">
        <v>3</v>
      </c>
      <c r="D14" s="588"/>
      <c r="E14" s="588"/>
      <c r="F14" s="588"/>
      <c r="G14" s="588"/>
      <c r="H14" s="588"/>
      <c r="I14" s="588"/>
      <c r="J14" s="588"/>
      <c r="K14" s="588"/>
      <c r="L14" s="588"/>
      <c r="M14" s="588"/>
      <c r="N14" s="588"/>
      <c r="O14" s="588"/>
      <c r="P14" s="588"/>
      <c r="Q14" s="588"/>
      <c r="R14" s="588"/>
      <c r="S14" s="588"/>
      <c r="T14" s="588"/>
      <c r="U14" s="588"/>
      <c r="V14" s="274"/>
    </row>
    <row r="15" spans="1:23" ht="18" customHeight="1">
      <c r="B15" s="282" t="s">
        <v>4</v>
      </c>
      <c r="C15" s="283"/>
      <c r="D15" s="284"/>
      <c r="E15" s="284"/>
      <c r="F15" s="285"/>
      <c r="G15" s="285"/>
      <c r="H15" s="285"/>
      <c r="I15" s="285"/>
      <c r="J15" s="285"/>
      <c r="K15" s="285"/>
      <c r="L15" s="285"/>
      <c r="M15" s="285"/>
      <c r="N15" s="285"/>
      <c r="O15" s="285"/>
      <c r="P15" s="285"/>
      <c r="Q15" s="285"/>
      <c r="R15" s="285"/>
      <c r="S15" s="285"/>
      <c r="T15" s="285"/>
      <c r="U15" s="285"/>
      <c r="V15" s="286"/>
    </row>
    <row r="16" spans="1:23" ht="50.1" customHeight="1">
      <c r="B16" s="589" t="s">
        <v>5</v>
      </c>
      <c r="C16" s="590"/>
      <c r="D16" s="590"/>
      <c r="E16" s="590"/>
      <c r="F16" s="590"/>
      <c r="G16" s="590"/>
      <c r="H16" s="590"/>
      <c r="I16" s="590"/>
      <c r="J16" s="590"/>
      <c r="K16" s="590"/>
      <c r="L16" s="590"/>
      <c r="M16" s="590"/>
      <c r="N16" s="590"/>
      <c r="O16" s="590"/>
      <c r="P16" s="590"/>
      <c r="Q16" s="590"/>
      <c r="R16" s="590"/>
      <c r="S16" s="590"/>
      <c r="T16" s="590"/>
      <c r="U16" s="590"/>
      <c r="V16" s="591"/>
    </row>
    <row r="17" spans="1:23" ht="6" customHeight="1">
      <c r="B17" s="287"/>
      <c r="C17" s="288"/>
      <c r="D17" s="288"/>
      <c r="E17" s="288"/>
      <c r="F17" s="288"/>
      <c r="G17" s="288"/>
      <c r="H17" s="288"/>
      <c r="I17" s="288"/>
      <c r="J17" s="288"/>
      <c r="K17" s="288"/>
      <c r="L17" s="288"/>
      <c r="M17" s="288"/>
      <c r="N17" s="288"/>
      <c r="O17" s="288"/>
      <c r="P17" s="288"/>
      <c r="Q17" s="288"/>
      <c r="R17" s="288"/>
      <c r="S17" s="288"/>
      <c r="T17" s="288"/>
      <c r="U17" s="288"/>
      <c r="V17" s="289"/>
    </row>
    <row r="18" spans="1:23" ht="36" customHeight="1">
      <c r="B18" s="592" t="s">
        <v>6</v>
      </c>
      <c r="C18" s="593"/>
      <c r="D18" s="593"/>
      <c r="E18" s="593"/>
      <c r="F18" s="593"/>
      <c r="G18" s="593"/>
      <c r="H18" s="593"/>
      <c r="I18" s="593"/>
      <c r="J18" s="593"/>
      <c r="K18" s="593"/>
      <c r="L18" s="593"/>
      <c r="M18" s="593"/>
      <c r="N18" s="593"/>
      <c r="O18" s="593"/>
      <c r="P18" s="593"/>
      <c r="Q18" s="593"/>
      <c r="R18" s="593"/>
      <c r="S18" s="593"/>
      <c r="T18" s="593"/>
      <c r="U18" s="593"/>
      <c r="V18" s="594"/>
    </row>
    <row r="19" spans="1:23" ht="5.0999999999999996" customHeight="1">
      <c r="B19" s="279"/>
      <c r="C19" s="280"/>
      <c r="D19" s="280"/>
      <c r="E19" s="280"/>
      <c r="F19" s="280"/>
      <c r="G19" s="280"/>
      <c r="H19" s="280"/>
      <c r="I19" s="280"/>
      <c r="J19" s="280"/>
      <c r="K19" s="280"/>
      <c r="L19" s="280"/>
      <c r="M19" s="280"/>
      <c r="N19" s="280"/>
      <c r="O19" s="280"/>
      <c r="P19" s="280"/>
      <c r="Q19" s="280"/>
      <c r="R19" s="280"/>
      <c r="S19" s="280"/>
      <c r="T19" s="280"/>
      <c r="U19" s="280"/>
      <c r="V19" s="281"/>
    </row>
    <row r="20" spans="1:23" s="278" customFormat="1" ht="15" customHeight="1">
      <c r="A20" s="298"/>
      <c r="B20" s="282" t="s">
        <v>7</v>
      </c>
      <c r="C20" s="283"/>
      <c r="D20" s="284"/>
      <c r="E20" s="284"/>
      <c r="F20" s="285"/>
      <c r="G20" s="285"/>
      <c r="H20" s="285"/>
      <c r="I20" s="285"/>
      <c r="J20" s="285"/>
      <c r="K20" s="285"/>
      <c r="L20" s="285"/>
      <c r="M20" s="285"/>
      <c r="N20" s="285"/>
      <c r="O20" s="285"/>
      <c r="P20" s="285"/>
      <c r="Q20" s="285"/>
      <c r="R20" s="285"/>
      <c r="S20" s="285"/>
      <c r="T20" s="285"/>
      <c r="U20" s="285"/>
      <c r="V20" s="286"/>
      <c r="W20" s="305"/>
    </row>
    <row r="21" spans="1:23" s="278" customFormat="1" ht="89.1" customHeight="1">
      <c r="A21" s="298"/>
      <c r="B21" s="589" t="s">
        <v>8</v>
      </c>
      <c r="C21" s="590"/>
      <c r="D21" s="590"/>
      <c r="E21" s="590"/>
      <c r="F21" s="590"/>
      <c r="G21" s="590"/>
      <c r="H21" s="590"/>
      <c r="I21" s="590"/>
      <c r="J21" s="590"/>
      <c r="K21" s="590"/>
      <c r="L21" s="590"/>
      <c r="M21" s="590"/>
      <c r="N21" s="590"/>
      <c r="O21" s="590"/>
      <c r="P21" s="590"/>
      <c r="Q21" s="590"/>
      <c r="R21" s="590"/>
      <c r="S21" s="590"/>
      <c r="T21" s="590"/>
      <c r="U21" s="590"/>
      <c r="V21" s="591"/>
      <c r="W21" s="305"/>
    </row>
    <row r="22" spans="1:23" s="278" customFormat="1" ht="8.1" customHeight="1">
      <c r="A22" s="298"/>
      <c r="B22" s="287"/>
      <c r="C22" s="288"/>
      <c r="D22" s="288"/>
      <c r="E22" s="288"/>
      <c r="F22" s="288"/>
      <c r="G22" s="288"/>
      <c r="H22" s="288"/>
      <c r="I22" s="288"/>
      <c r="J22" s="288"/>
      <c r="K22" s="288"/>
      <c r="L22" s="288"/>
      <c r="M22" s="288"/>
      <c r="N22" s="288"/>
      <c r="O22" s="288"/>
      <c r="P22" s="288"/>
      <c r="Q22" s="288"/>
      <c r="R22" s="288"/>
      <c r="S22" s="288"/>
      <c r="T22" s="288"/>
      <c r="U22" s="288"/>
      <c r="V22" s="289"/>
      <c r="W22" s="305"/>
    </row>
    <row r="23" spans="1:23" s="278" customFormat="1" ht="96" customHeight="1" thickBot="1">
      <c r="A23" s="298"/>
      <c r="B23" s="595" t="s">
        <v>9</v>
      </c>
      <c r="C23" s="596"/>
      <c r="D23" s="596"/>
      <c r="E23" s="596"/>
      <c r="F23" s="596"/>
      <c r="G23" s="596"/>
      <c r="H23" s="596"/>
      <c r="I23" s="596"/>
      <c r="J23" s="596"/>
      <c r="K23" s="596"/>
      <c r="L23" s="596"/>
      <c r="M23" s="596"/>
      <c r="N23" s="596"/>
      <c r="O23" s="596"/>
      <c r="P23" s="596"/>
      <c r="Q23" s="596"/>
      <c r="R23" s="596"/>
      <c r="S23" s="596"/>
      <c r="T23" s="596"/>
      <c r="U23" s="596"/>
      <c r="V23" s="597"/>
      <c r="W23" s="305"/>
    </row>
    <row r="24" spans="1:23" s="278" customFormat="1" ht="15.75">
      <c r="A24" s="298"/>
      <c r="B24" s="282" t="s">
        <v>10</v>
      </c>
      <c r="C24" s="291"/>
      <c r="D24" s="291"/>
      <c r="E24" s="291"/>
      <c r="F24" s="291"/>
      <c r="G24" s="291"/>
      <c r="H24" s="291"/>
      <c r="I24" s="291"/>
      <c r="J24" s="291"/>
      <c r="K24" s="291"/>
      <c r="L24" s="291"/>
      <c r="M24" s="291"/>
      <c r="N24" s="291"/>
      <c r="O24" s="291"/>
      <c r="P24" s="291"/>
      <c r="Q24" s="291"/>
      <c r="R24" s="291"/>
      <c r="S24" s="291"/>
      <c r="T24" s="291"/>
      <c r="U24" s="291"/>
      <c r="V24" s="292"/>
      <c r="W24" s="305"/>
    </row>
    <row r="25" spans="1:23" s="278" customFormat="1">
      <c r="A25" s="298"/>
      <c r="B25" s="273" t="s">
        <v>11</v>
      </c>
      <c r="C25" s="1"/>
      <c r="D25" s="1" t="s">
        <v>12</v>
      </c>
      <c r="E25" s="1"/>
      <c r="F25" s="1"/>
      <c r="G25" s="1"/>
      <c r="H25" s="1"/>
      <c r="I25" s="1"/>
      <c r="J25" s="1"/>
      <c r="K25" s="1"/>
      <c r="L25" s="1"/>
      <c r="M25" s="1"/>
      <c r="N25" s="1"/>
      <c r="O25" s="1"/>
      <c r="P25" s="1"/>
      <c r="Q25" s="1"/>
      <c r="R25" s="1"/>
      <c r="S25" s="1"/>
      <c r="T25" s="1"/>
      <c r="U25" s="1"/>
      <c r="V25" s="274"/>
      <c r="W25" s="305"/>
    </row>
    <row r="26" spans="1:23" s="278" customFormat="1">
      <c r="A26" s="298"/>
      <c r="B26" s="290" t="s">
        <v>13</v>
      </c>
      <c r="C26" s="277"/>
      <c r="D26" s="1" t="s">
        <v>14</v>
      </c>
      <c r="E26" s="1"/>
      <c r="F26" s="1"/>
      <c r="G26" s="1"/>
      <c r="H26" s="1"/>
      <c r="I26" s="1"/>
      <c r="J26" s="1"/>
      <c r="K26" s="1"/>
      <c r="L26" s="1"/>
      <c r="M26" s="1"/>
      <c r="N26" s="1"/>
      <c r="O26" s="1"/>
      <c r="P26" s="1"/>
      <c r="Q26" s="1"/>
      <c r="R26" s="1"/>
      <c r="S26" s="1"/>
      <c r="T26" s="1"/>
      <c r="U26" s="1"/>
      <c r="V26" s="274"/>
      <c r="W26" s="305"/>
    </row>
    <row r="27" spans="1:23" s="278" customFormat="1" ht="15.75" thickBot="1">
      <c r="A27" s="298"/>
      <c r="B27" s="295" t="s">
        <v>15</v>
      </c>
      <c r="C27" s="296"/>
      <c r="D27" s="293" t="s">
        <v>16</v>
      </c>
      <c r="E27" s="293"/>
      <c r="F27" s="293"/>
      <c r="G27" s="293"/>
      <c r="H27" s="293"/>
      <c r="I27" s="293"/>
      <c r="J27" s="293"/>
      <c r="K27" s="293"/>
      <c r="L27" s="293"/>
      <c r="M27" s="293"/>
      <c r="N27" s="293"/>
      <c r="O27" s="293"/>
      <c r="P27" s="293"/>
      <c r="Q27" s="293"/>
      <c r="R27" s="293"/>
      <c r="S27" s="293"/>
      <c r="T27" s="293"/>
      <c r="U27" s="293"/>
      <c r="V27" s="294"/>
      <c r="W27" s="305"/>
    </row>
  </sheetData>
  <mergeCells count="10">
    <mergeCell ref="C14:U14"/>
    <mergeCell ref="B16:V16"/>
    <mergeCell ref="B18:V18"/>
    <mergeCell ref="B21:V21"/>
    <mergeCell ref="B23:V23"/>
    <mergeCell ref="B2:V6"/>
    <mergeCell ref="B8:V8"/>
    <mergeCell ref="B9:V9"/>
    <mergeCell ref="B12:V12"/>
    <mergeCell ref="B13:V13"/>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1B9D7-EB7B-45C5-97B6-C8DD98358797}">
  <sheetPr>
    <tabColor rgb="FFFF00FF"/>
  </sheetPr>
  <dimension ref="A3:AH549"/>
  <sheetViews>
    <sheetView topLeftCell="A183" zoomScale="70" zoomScaleNormal="70" workbookViewId="0">
      <selection activeCell="B223" sqref="B223"/>
    </sheetView>
  </sheetViews>
  <sheetFormatPr defaultRowHeight="12.75"/>
  <cols>
    <col min="1" max="1" width="7.5703125" style="70" customWidth="1"/>
    <col min="2" max="2" width="35.85546875" style="70" customWidth="1"/>
    <col min="3" max="3" width="120.85546875" style="70" bestFit="1" customWidth="1"/>
    <col min="4" max="4" width="21.140625" style="70" bestFit="1" customWidth="1"/>
    <col min="5" max="5" width="22.28515625" style="70" bestFit="1" customWidth="1"/>
    <col min="6" max="6" width="36.5703125" style="70" customWidth="1"/>
    <col min="7" max="7" width="22.7109375" style="70" bestFit="1" customWidth="1"/>
    <col min="8" max="8" width="29" style="70" customWidth="1"/>
    <col min="9" max="10" width="22.42578125" style="70" bestFit="1" customWidth="1"/>
    <col min="11" max="11" width="22.28515625" style="70" bestFit="1" customWidth="1"/>
    <col min="12" max="13" width="22.7109375" style="70" bestFit="1" customWidth="1"/>
    <col min="14" max="15" width="22.42578125" style="70" bestFit="1" customWidth="1"/>
    <col min="16" max="16" width="24.85546875" style="70" bestFit="1" customWidth="1"/>
    <col min="17" max="19" width="24.5703125" style="70" bestFit="1" customWidth="1"/>
    <col min="20" max="21" width="24.28515625" style="70" bestFit="1" customWidth="1"/>
    <col min="22" max="22" width="24.5703125" style="70" bestFit="1" customWidth="1"/>
    <col min="23" max="24" width="24.28515625" style="70" bestFit="1" customWidth="1"/>
    <col min="25" max="26" width="25.140625" style="70" bestFit="1" customWidth="1"/>
    <col min="27" max="28" width="24.85546875" style="70" bestFit="1" customWidth="1"/>
    <col min="29" max="29" width="25.140625" style="70" bestFit="1" customWidth="1"/>
    <col min="30" max="31" width="24.85546875" style="70" bestFit="1" customWidth="1"/>
    <col min="32" max="32" width="25.140625" style="70" bestFit="1" customWidth="1"/>
    <col min="33" max="34" width="24.85546875" style="70" bestFit="1" customWidth="1"/>
    <col min="35" max="16384" width="9.140625" style="70"/>
  </cols>
  <sheetData>
    <row r="3" spans="1:34">
      <c r="C3" s="405" t="s">
        <v>17</v>
      </c>
    </row>
    <row r="4" spans="1:34" ht="38.25">
      <c r="A4" s="551"/>
      <c r="C4" s="563" t="s">
        <v>18</v>
      </c>
      <c r="D4" s="563" t="s">
        <v>19</v>
      </c>
      <c r="E4" s="406" t="str">
        <f>'Painel Controle'!G83</f>
        <v>Quilometragem do Trecho de Cobertura (TCPk)</v>
      </c>
      <c r="F4" s="563" t="s">
        <v>20</v>
      </c>
      <c r="G4" s="563" t="s">
        <v>21</v>
      </c>
      <c r="H4" s="563" t="s">
        <v>22</v>
      </c>
      <c r="I4" s="563" t="s">
        <v>23</v>
      </c>
      <c r="J4" s="563" t="s">
        <v>24</v>
      </c>
      <c r="K4" s="563" t="s">
        <v>25</v>
      </c>
    </row>
    <row r="5" spans="1:34">
      <c r="A5" s="551"/>
      <c r="C5" s="401" t="s">
        <v>26</v>
      </c>
      <c r="D5" s="401" t="s">
        <v>27</v>
      </c>
      <c r="E5" s="408">
        <f>'Painel Controle'!G84</f>
        <v>38.200000000000003</v>
      </c>
      <c r="F5" s="401" t="s">
        <v>28</v>
      </c>
      <c r="G5" s="401" t="s">
        <v>29</v>
      </c>
      <c r="H5" s="409">
        <f>'Painel Controle'!D69+1</f>
        <v>16</v>
      </c>
      <c r="I5" s="407">
        <f>'Painel Controle'!$C$19</f>
        <v>5.58</v>
      </c>
      <c r="J5" s="407">
        <f>'Painel Controle'!$C$20</f>
        <v>7.81</v>
      </c>
      <c r="K5" s="409" cm="1">
        <f t="array" ref="K5:K8">'Painel Controle'!I84:I87</f>
        <v>5</v>
      </c>
    </row>
    <row r="6" spans="1:34">
      <c r="A6" s="551"/>
      <c r="C6" s="401" t="s">
        <v>26</v>
      </c>
      <c r="D6" s="401" t="s">
        <v>30</v>
      </c>
      <c r="E6" s="408">
        <f>'Painel Controle'!G85</f>
        <v>45.099999999999994</v>
      </c>
      <c r="F6" s="401" t="s">
        <v>31</v>
      </c>
      <c r="G6" s="401" t="s">
        <v>32</v>
      </c>
      <c r="H6" s="409">
        <f>'Painel Controle'!D70+1</f>
        <v>16</v>
      </c>
      <c r="I6" s="407">
        <f>'Painel Controle'!$C$19</f>
        <v>5.58</v>
      </c>
      <c r="J6" s="407">
        <f>'Painel Controle'!$C$20</f>
        <v>7.81</v>
      </c>
      <c r="K6" s="409">
        <v>7</v>
      </c>
    </row>
    <row r="7" spans="1:34">
      <c r="A7" s="551"/>
      <c r="C7" s="401" t="s">
        <v>33</v>
      </c>
      <c r="D7" s="401" t="s">
        <v>34</v>
      </c>
      <c r="E7" s="408">
        <f>'Painel Controle'!G86</f>
        <v>72.800000000000011</v>
      </c>
      <c r="F7" s="401" t="s">
        <v>35</v>
      </c>
      <c r="G7" s="401" t="s">
        <v>36</v>
      </c>
      <c r="H7" s="409">
        <f>'Painel Controle'!D71+1</f>
        <v>16</v>
      </c>
      <c r="I7" s="407">
        <f>'Painel Controle'!$C$19</f>
        <v>5.58</v>
      </c>
      <c r="J7" s="407" t="s">
        <v>37</v>
      </c>
      <c r="K7" s="409" t="str">
        <v>-</v>
      </c>
    </row>
    <row r="8" spans="1:34">
      <c r="A8" s="551"/>
      <c r="C8" s="401" t="s">
        <v>38</v>
      </c>
      <c r="D8" s="401" t="s">
        <v>39</v>
      </c>
      <c r="E8" s="408">
        <f>'Painel Controle'!G87</f>
        <v>34</v>
      </c>
      <c r="F8" s="401" t="s">
        <v>40</v>
      </c>
      <c r="G8" s="401" t="s">
        <v>41</v>
      </c>
      <c r="H8" s="409">
        <f>'Painel Controle'!D72+1</f>
        <v>16</v>
      </c>
      <c r="I8" s="407">
        <f>'Painel Controle'!$C$19</f>
        <v>5.58</v>
      </c>
      <c r="J8" s="407">
        <f>'Painel Controle'!$C$20</f>
        <v>7.81</v>
      </c>
      <c r="K8" s="409">
        <v>16</v>
      </c>
    </row>
    <row r="10" spans="1:34" s="410" customFormat="1"/>
    <row r="11" spans="1:34">
      <c r="A11" s="419"/>
    </row>
    <row r="12" spans="1:34">
      <c r="A12" s="419"/>
      <c r="B12" s="465"/>
      <c r="C12" s="405" t="s">
        <v>42</v>
      </c>
    </row>
    <row r="13" spans="1:34" s="405" customFormat="1">
      <c r="A13" s="532"/>
      <c r="B13" s="531"/>
      <c r="C13" s="402"/>
      <c r="D13" s="402" t="s">
        <v>43</v>
      </c>
      <c r="E13" s="402" t="s">
        <v>44</v>
      </c>
      <c r="F13" s="402" t="s">
        <v>45</v>
      </c>
      <c r="G13" s="402" t="s">
        <v>46</v>
      </c>
      <c r="H13" s="402" t="s">
        <v>47</v>
      </c>
      <c r="I13" s="402" t="s">
        <v>48</v>
      </c>
      <c r="J13" s="402" t="s">
        <v>49</v>
      </c>
      <c r="K13" s="402" t="s">
        <v>50</v>
      </c>
      <c r="L13" s="402" t="s">
        <v>51</v>
      </c>
      <c r="M13" s="402" t="s">
        <v>52</v>
      </c>
      <c r="N13" s="402" t="s">
        <v>53</v>
      </c>
      <c r="O13" s="402" t="s">
        <v>54</v>
      </c>
      <c r="P13" s="402" t="s">
        <v>55</v>
      </c>
      <c r="Q13" s="402" t="s">
        <v>56</v>
      </c>
      <c r="R13" s="402" t="s">
        <v>57</v>
      </c>
      <c r="S13" s="402" t="s">
        <v>58</v>
      </c>
      <c r="T13" s="402" t="s">
        <v>59</v>
      </c>
      <c r="U13" s="402" t="s">
        <v>60</v>
      </c>
      <c r="V13" s="402" t="s">
        <v>61</v>
      </c>
      <c r="W13" s="402" t="s">
        <v>62</v>
      </c>
      <c r="X13" s="402" t="s">
        <v>63</v>
      </c>
      <c r="Y13" s="402" t="s">
        <v>64</v>
      </c>
      <c r="Z13" s="402" t="s">
        <v>65</v>
      </c>
      <c r="AA13" s="402" t="s">
        <v>66</v>
      </c>
      <c r="AB13" s="402" t="s">
        <v>67</v>
      </c>
      <c r="AC13" s="402" t="s">
        <v>68</v>
      </c>
      <c r="AD13" s="402" t="s">
        <v>69</v>
      </c>
      <c r="AE13" s="402" t="s">
        <v>70</v>
      </c>
      <c r="AF13" s="402" t="s">
        <v>71</v>
      </c>
      <c r="AG13" s="402" t="s">
        <v>72</v>
      </c>
      <c r="AH13" s="402" t="s">
        <v>73</v>
      </c>
    </row>
    <row r="14" spans="1:34">
      <c r="A14" s="532"/>
      <c r="B14" s="465">
        <v>1</v>
      </c>
      <c r="C14" s="401" t="s">
        <v>74</v>
      </c>
      <c r="D14" s="407">
        <f ca="1">SUMIF(Capex!$C$5:$C$420,'Gráficos Antigo'!$B14,Capex!L$5:L$366)</f>
        <v>115760500.29243645</v>
      </c>
      <c r="E14" s="407">
        <f ca="1">SUMIF(Capex!$C$5:$C$420,'Gráficos Antigo'!$B14,Capex!M$5:M$366)</f>
        <v>0</v>
      </c>
      <c r="F14" s="407">
        <f ca="1">SUMIF(Capex!$C$5:$C$420,'Gráficos Antigo'!$B14,Capex!N$5:N$366)</f>
        <v>0</v>
      </c>
      <c r="G14" s="407">
        <f ca="1">SUMIF(Capex!$C$5:$C$420,'Gráficos Antigo'!$B14,Capex!O$5:O$366)</f>
        <v>0</v>
      </c>
      <c r="H14" s="407">
        <f ca="1">SUMIF(Capex!$C$5:$C$420,'Gráficos Antigo'!$B14,Capex!P$5:P$366)</f>
        <v>0</v>
      </c>
      <c r="I14" s="407">
        <f ca="1">SUMIF(Capex!$C$5:$C$420,'Gráficos Antigo'!$B14,Capex!Q$5:Q$366)</f>
        <v>0</v>
      </c>
      <c r="J14" s="407">
        <f ca="1">SUMIF(Capex!$C$5:$C$420,'Gráficos Antigo'!$B14,Capex!R$5:R$366)</f>
        <v>0</v>
      </c>
      <c r="K14" s="407">
        <f ca="1">SUMIF(Capex!$C$5:$C$420,'Gráficos Antigo'!$B14,Capex!S$5:S$366)</f>
        <v>0</v>
      </c>
      <c r="L14" s="407">
        <f ca="1">SUMIF(Capex!$C$5:$C$420,'Gráficos Antigo'!$B14,Capex!T$5:T$366)</f>
        <v>0</v>
      </c>
      <c r="M14" s="407">
        <f ca="1">SUMIF(Capex!$C$5:$C$420,'Gráficos Antigo'!$B14,Capex!U$5:U$366)</f>
        <v>0</v>
      </c>
      <c r="N14" s="407">
        <f ca="1">SUMIF(Capex!$C$5:$C$420,'Gráficos Antigo'!$B14,Capex!V$5:V$366)</f>
        <v>0</v>
      </c>
      <c r="O14" s="407">
        <f ca="1">SUMIF(Capex!$C$5:$C$420,'Gráficos Antigo'!$B14,Capex!W$5:W$366)</f>
        <v>0</v>
      </c>
      <c r="P14" s="407">
        <f ca="1">SUMIF(Capex!$C$5:$C$420,'Gráficos Antigo'!$B14,Capex!X$5:X$366)</f>
        <v>0</v>
      </c>
      <c r="Q14" s="407">
        <f ca="1">SUMIF(Capex!$C$5:$C$420,'Gráficos Antigo'!$B14,Capex!Y$5:Y$366)</f>
        <v>0</v>
      </c>
      <c r="R14" s="407">
        <f ca="1">SUMIF(Capex!$C$5:$C$420,'Gráficos Antigo'!$B14,Capex!Z$5:Z$366)</f>
        <v>0</v>
      </c>
      <c r="S14" s="407">
        <f ca="1">SUMIF(Capex!$C$5:$C$420,'Gráficos Antigo'!$B14,Capex!AA$5:AA$366)</f>
        <v>0</v>
      </c>
      <c r="T14" s="407">
        <f ca="1">SUMIF(Capex!$C$5:$C$420,'Gráficos Antigo'!$B14,Capex!AB$5:AB$366)</f>
        <v>0</v>
      </c>
      <c r="U14" s="407">
        <f ca="1">SUMIF(Capex!$C$5:$C$420,'Gráficos Antigo'!$B14,Capex!AC$5:AC$366)</f>
        <v>0</v>
      </c>
      <c r="V14" s="407">
        <f ca="1">SUMIF(Capex!$C$5:$C$420,'Gráficos Antigo'!$B14,Capex!AD$5:AD$366)</f>
        <v>0</v>
      </c>
      <c r="W14" s="407">
        <f ca="1">SUMIF(Capex!$C$5:$C$420,'Gráficos Antigo'!$B14,Capex!AE$5:AE$366)</f>
        <v>0</v>
      </c>
      <c r="X14" s="407">
        <f ca="1">SUMIF(Capex!$C$5:$C$420,'Gráficos Antigo'!$B14,Capex!AF$5:AF$366)</f>
        <v>0</v>
      </c>
      <c r="Y14" s="407">
        <f ca="1">SUMIF(Capex!$C$5:$C$420,'Gráficos Antigo'!$B14,Capex!AG$5:AG$366)</f>
        <v>0</v>
      </c>
      <c r="Z14" s="407">
        <f ca="1">SUMIF(Capex!$C$5:$C$420,'Gráficos Antigo'!$B14,Capex!AH$5:AH$366)</f>
        <v>0</v>
      </c>
      <c r="AA14" s="407">
        <f ca="1">SUMIF(Capex!$C$5:$C$420,'Gráficos Antigo'!$B14,Capex!AI$5:AI$366)</f>
        <v>0</v>
      </c>
      <c r="AB14" s="407">
        <f ca="1">SUMIF(Capex!$C$5:$C$420,'Gráficos Antigo'!$B14,Capex!AJ$5:AJ$366)</f>
        <v>0</v>
      </c>
      <c r="AC14" s="407">
        <f ca="1">SUMIF(Capex!$C$5:$C$420,'Gráficos Antigo'!$B14,Capex!AK$5:AK$366)</f>
        <v>0</v>
      </c>
      <c r="AD14" s="407">
        <f ca="1">SUMIF(Capex!$C$5:$C$420,'Gráficos Antigo'!$B14,Capex!AL$5:AL$366)</f>
        <v>0</v>
      </c>
      <c r="AE14" s="407">
        <f ca="1">SUMIF(Capex!$C$5:$C$420,'Gráficos Antigo'!$B14,Capex!AM$5:AM$366)</f>
        <v>0</v>
      </c>
      <c r="AF14" s="407">
        <f ca="1">SUMIF(Capex!$C$5:$C$420,'Gráficos Antigo'!$B14,Capex!AN$5:AN$366)</f>
        <v>0</v>
      </c>
      <c r="AG14" s="407">
        <f ca="1">SUMIF(Capex!$C$5:$C$420,'Gráficos Antigo'!$B14,Capex!AO$5:AO$366)</f>
        <v>0</v>
      </c>
      <c r="AH14" s="407">
        <f ca="1">SUMIF(Capex!$C$5:$C$420,'Gráficos Antigo'!$B14,Capex!AP$5:AP$366)</f>
        <v>115760500.29243645</v>
      </c>
    </row>
    <row r="15" spans="1:34">
      <c r="A15" s="532"/>
      <c r="B15" s="465">
        <v>2</v>
      </c>
      <c r="C15" s="401" t="s">
        <v>75</v>
      </c>
      <c r="D15" s="407">
        <f ca="1">SUMIF(Capex!$C$5:$C$420,'Gráficos Antigo'!$B15,Capex!L$5:L$366)</f>
        <v>0</v>
      </c>
      <c r="E15" s="407">
        <f ca="1">SUMIF(Capex!$C$5:$C$420,'Gráficos Antigo'!$B15,Capex!M$5:M$366)</f>
        <v>84725403.576398253</v>
      </c>
      <c r="F15" s="407">
        <f ca="1">SUMIF(Capex!$C$5:$C$420,'Gráficos Antigo'!$B15,Capex!N$5:N$366)</f>
        <v>59980698.850137658</v>
      </c>
      <c r="G15" s="407">
        <f ca="1">SUMIF(Capex!$C$5:$C$420,'Gráficos Antigo'!$B15,Capex!O$5:O$366)</f>
        <v>55001188.967542678</v>
      </c>
      <c r="H15" s="407">
        <f ca="1">SUMIF(Capex!$C$5:$C$420,'Gráficos Antigo'!$B15,Capex!P$5:P$366)</f>
        <v>44951271.924788408</v>
      </c>
      <c r="I15" s="407">
        <f ca="1">SUMIF(Capex!$C$5:$C$420,'Gráficos Antigo'!$B15,Capex!Q$5:Q$366)</f>
        <v>2.749761787162357E-2</v>
      </c>
      <c r="J15" s="407">
        <f ca="1">SUMIF(Capex!$C$5:$C$420,'Gráficos Antigo'!$B15,Capex!R$5:R$366)</f>
        <v>0</v>
      </c>
      <c r="K15" s="407">
        <f ca="1">SUMIF(Capex!$C$5:$C$420,'Gráficos Antigo'!$B15,Capex!S$5:S$366)</f>
        <v>0</v>
      </c>
      <c r="L15" s="407">
        <f ca="1">SUMIF(Capex!$C$5:$C$420,'Gráficos Antigo'!$B15,Capex!T$5:T$366)</f>
        <v>0</v>
      </c>
      <c r="M15" s="407">
        <f ca="1">SUMIF(Capex!$C$5:$C$420,'Gráficos Antigo'!$B15,Capex!U$5:U$366)</f>
        <v>0</v>
      </c>
      <c r="N15" s="407">
        <f ca="1">SUMIF(Capex!$C$5:$C$420,'Gráficos Antigo'!$B15,Capex!V$5:V$366)</f>
        <v>0</v>
      </c>
      <c r="O15" s="407">
        <f ca="1">SUMIF(Capex!$C$5:$C$420,'Gráficos Antigo'!$B15,Capex!W$5:W$366)</f>
        <v>0</v>
      </c>
      <c r="P15" s="407">
        <f ca="1">SUMIF(Capex!$C$5:$C$420,'Gráficos Antigo'!$B15,Capex!X$5:X$366)</f>
        <v>0</v>
      </c>
      <c r="Q15" s="407">
        <f ca="1">SUMIF(Capex!$C$5:$C$420,'Gráficos Antigo'!$B15,Capex!Y$5:Y$366)</f>
        <v>0</v>
      </c>
      <c r="R15" s="407">
        <f ca="1">SUMIF(Capex!$C$5:$C$420,'Gráficos Antigo'!$B15,Capex!Z$5:Z$366)</f>
        <v>0</v>
      </c>
      <c r="S15" s="407">
        <f ca="1">SUMIF(Capex!$C$5:$C$420,'Gráficos Antigo'!$B15,Capex!AA$5:AA$366)</f>
        <v>0</v>
      </c>
      <c r="T15" s="407">
        <f ca="1">SUMIF(Capex!$C$5:$C$420,'Gráficos Antigo'!$B15,Capex!AB$5:AB$366)</f>
        <v>0</v>
      </c>
      <c r="U15" s="407">
        <f ca="1">SUMIF(Capex!$C$5:$C$420,'Gráficos Antigo'!$B15,Capex!AC$5:AC$366)</f>
        <v>0</v>
      </c>
      <c r="V15" s="407">
        <f ca="1">SUMIF(Capex!$C$5:$C$420,'Gráficos Antigo'!$B15,Capex!AD$5:AD$366)</f>
        <v>0</v>
      </c>
      <c r="W15" s="407">
        <f ca="1">SUMIF(Capex!$C$5:$C$420,'Gráficos Antigo'!$B15,Capex!AE$5:AE$366)</f>
        <v>0</v>
      </c>
      <c r="X15" s="407">
        <f ca="1">SUMIF(Capex!$C$5:$C$420,'Gráficos Antigo'!$B15,Capex!AF$5:AF$366)</f>
        <v>0</v>
      </c>
      <c r="Y15" s="407">
        <f ca="1">SUMIF(Capex!$C$5:$C$420,'Gráficos Antigo'!$B15,Capex!AG$5:AG$366)</f>
        <v>0</v>
      </c>
      <c r="Z15" s="407">
        <f ca="1">SUMIF(Capex!$C$5:$C$420,'Gráficos Antigo'!$B15,Capex!AH$5:AH$366)</f>
        <v>0</v>
      </c>
      <c r="AA15" s="407">
        <f ca="1">SUMIF(Capex!$C$5:$C$420,'Gráficos Antigo'!$B15,Capex!AI$5:AI$366)</f>
        <v>0</v>
      </c>
      <c r="AB15" s="407">
        <f ca="1">SUMIF(Capex!$C$5:$C$420,'Gráficos Antigo'!$B15,Capex!AJ$5:AJ$366)</f>
        <v>0</v>
      </c>
      <c r="AC15" s="407">
        <f ca="1">SUMIF(Capex!$C$5:$C$420,'Gráficos Antigo'!$B15,Capex!AK$5:AK$366)</f>
        <v>0</v>
      </c>
      <c r="AD15" s="407">
        <f ca="1">SUMIF(Capex!$C$5:$C$420,'Gráficos Antigo'!$B15,Capex!AL$5:AL$366)</f>
        <v>0</v>
      </c>
      <c r="AE15" s="407">
        <f ca="1">SUMIF(Capex!$C$5:$C$420,'Gráficos Antigo'!$B15,Capex!AM$5:AM$366)</f>
        <v>0</v>
      </c>
      <c r="AF15" s="407">
        <f ca="1">SUMIF(Capex!$C$5:$C$420,'Gráficos Antigo'!$B15,Capex!AN$5:AN$366)</f>
        <v>0</v>
      </c>
      <c r="AG15" s="407">
        <f ca="1">SUMIF(Capex!$C$5:$C$420,'Gráficos Antigo'!$B15,Capex!AO$5:AO$366)</f>
        <v>0</v>
      </c>
      <c r="AH15" s="407">
        <f ca="1">SUMIF(Capex!$C$5:$C$420,'Gráficos Antigo'!$B15,Capex!AP$5:AP$366)</f>
        <v>244658563.34636456</v>
      </c>
    </row>
    <row r="16" spans="1:34">
      <c r="A16" s="532"/>
      <c r="B16" s="465">
        <v>3</v>
      </c>
      <c r="C16" s="401" t="s">
        <v>76</v>
      </c>
      <c r="D16" s="407">
        <f ca="1">SUMIF(Capex!$C$5:$C$420,'Gráficos Antigo'!$B16,Capex!L$5:L$366)</f>
        <v>0</v>
      </c>
      <c r="E16" s="407">
        <f ca="1">SUMIF(Capex!$C$5:$C$420,'Gráficos Antigo'!$B16,Capex!M$5:M$366)</f>
        <v>0</v>
      </c>
      <c r="F16" s="407">
        <f ca="1">SUMIF(Capex!$C$5:$C$420,'Gráficos Antigo'!$B16,Capex!N$5:N$366)</f>
        <v>0</v>
      </c>
      <c r="G16" s="407">
        <f ca="1">SUMIF(Capex!$C$5:$C$420,'Gráficos Antigo'!$B16,Capex!O$5:O$366)</f>
        <v>0</v>
      </c>
      <c r="H16" s="407">
        <f ca="1">SUMIF(Capex!$C$5:$C$420,'Gráficos Antigo'!$B16,Capex!P$5:P$366)</f>
        <v>0</v>
      </c>
      <c r="I16" s="407">
        <f ca="1">SUMIF(Capex!$C$5:$C$420,'Gráficos Antigo'!$B16,Capex!Q$5:Q$366)</f>
        <v>0</v>
      </c>
      <c r="J16" s="407">
        <f ca="1">SUMIF(Capex!$C$5:$C$420,'Gráficos Antigo'!$B16,Capex!R$5:R$366)</f>
        <v>0</v>
      </c>
      <c r="K16" s="407">
        <f ca="1">SUMIF(Capex!$C$5:$C$420,'Gráficos Antigo'!$B16,Capex!S$5:S$366)</f>
        <v>59783594.183035195</v>
      </c>
      <c r="L16" s="407">
        <f ca="1">SUMIF(Capex!$C$5:$C$420,'Gráficos Antigo'!$B16,Capex!T$5:T$366)</f>
        <v>58508430.05575987</v>
      </c>
      <c r="M16" s="407">
        <f ca="1">SUMIF(Capex!$C$5:$C$420,'Gráficos Antigo'!$B16,Capex!U$5:U$366)</f>
        <v>35843249.887434736</v>
      </c>
      <c r="N16" s="407">
        <f ca="1">SUMIF(Capex!$C$5:$C$420,'Gráficos Antigo'!$B16,Capex!V$5:V$366)</f>
        <v>19996283.323222749</v>
      </c>
      <c r="O16" s="407">
        <f ca="1">SUMIF(Capex!$C$5:$C$420,'Gráficos Antigo'!$B16,Capex!W$5:W$366)</f>
        <v>9717391.574904548</v>
      </c>
      <c r="P16" s="407">
        <f ca="1">SUMIF(Capex!$C$5:$C$420,'Gráficos Antigo'!$B16,Capex!X$5:X$366)</f>
        <v>0</v>
      </c>
      <c r="Q16" s="407">
        <f ca="1">SUMIF(Capex!$C$5:$C$420,'Gráficos Antigo'!$B16,Capex!Y$5:Y$366)</f>
        <v>0</v>
      </c>
      <c r="R16" s="407">
        <f ca="1">SUMIF(Capex!$C$5:$C$420,'Gráficos Antigo'!$B16,Capex!Z$5:Z$366)</f>
        <v>2814213.9739731955</v>
      </c>
      <c r="S16" s="407">
        <f ca="1">SUMIF(Capex!$C$5:$C$420,'Gráficos Antigo'!$B16,Capex!AA$5:AA$366)</f>
        <v>46400566.246212982</v>
      </c>
      <c r="T16" s="407">
        <f ca="1">SUMIF(Capex!$C$5:$C$420,'Gráficos Antigo'!$B16,Capex!AB$5:AB$366)</f>
        <v>110492398.88386489</v>
      </c>
      <c r="U16" s="407">
        <f ca="1">SUMIF(Capex!$C$5:$C$420,'Gráficos Antigo'!$B16,Capex!AC$5:AC$366)</f>
        <v>112217281.56410843</v>
      </c>
      <c r="V16" s="407">
        <f ca="1">SUMIF(Capex!$C$5:$C$420,'Gráficos Antigo'!$B16,Capex!AD$5:AD$366)</f>
        <v>67798889.259629413</v>
      </c>
      <c r="W16" s="407">
        <f ca="1">SUMIF(Capex!$C$5:$C$420,'Gráficos Antigo'!$B16,Capex!AE$5:AE$366)</f>
        <v>22844455.743856531</v>
      </c>
      <c r="X16" s="407">
        <f ca="1">SUMIF(Capex!$C$5:$C$420,'Gráficos Antigo'!$B16,Capex!AF$5:AF$366)</f>
        <v>7123459.036943797</v>
      </c>
      <c r="Y16" s="407">
        <f ca="1">SUMIF(Capex!$C$5:$C$420,'Gráficos Antigo'!$B16,Capex!AG$5:AG$366)</f>
        <v>2504759.7529233121</v>
      </c>
      <c r="Z16" s="407">
        <f ca="1">SUMIF(Capex!$C$5:$C$420,'Gráficos Antigo'!$B16,Capex!AH$5:AH$366)</f>
        <v>21004527.438186023</v>
      </c>
      <c r="AA16" s="407">
        <f ca="1">SUMIF(Capex!$C$5:$C$420,'Gráficos Antigo'!$B16,Capex!AI$5:AI$366)</f>
        <v>29708611.787070893</v>
      </c>
      <c r="AB16" s="407">
        <f ca="1">SUMIF(Capex!$C$5:$C$420,'Gráficos Antigo'!$B16,Capex!AJ$5:AJ$366)</f>
        <v>47149363.230014369</v>
      </c>
      <c r="AC16" s="407">
        <f ca="1">SUMIF(Capex!$C$5:$C$420,'Gráficos Antigo'!$B16,Capex!AK$5:AK$366)</f>
        <v>51458257.606889844</v>
      </c>
      <c r="AD16" s="407">
        <f ca="1">SUMIF(Capex!$C$5:$C$420,'Gráficos Antigo'!$B16,Capex!AL$5:AL$366)</f>
        <v>25964267.574036885</v>
      </c>
      <c r="AE16" s="407">
        <f ca="1">SUMIF(Capex!$C$5:$C$420,'Gráficos Antigo'!$B16,Capex!AM$5:AM$366)</f>
        <v>12162770.002102843</v>
      </c>
      <c r="AF16" s="407">
        <f ca="1">SUMIF(Capex!$C$5:$C$420,'Gráficos Antigo'!$B16,Capex!AN$5:AN$366)</f>
        <v>19580019.40185776</v>
      </c>
      <c r="AG16" s="407">
        <f ca="1">SUMIF(Capex!$C$5:$C$420,'Gráficos Antigo'!$B16,Capex!AO$5:AO$366)</f>
        <v>33778533.116759084</v>
      </c>
      <c r="AH16" s="407">
        <f ca="1">SUMIF(Capex!$C$5:$C$420,'Gráficos Antigo'!$B16,Capex!AP$5:AP$366)</f>
        <v>796851323.64278734</v>
      </c>
    </row>
    <row r="17" spans="1:34">
      <c r="A17" s="532"/>
      <c r="B17" s="465">
        <v>4</v>
      </c>
      <c r="C17" s="401" t="s">
        <v>77</v>
      </c>
      <c r="D17" s="407">
        <f ca="1">SUMIF(Capex!$C$5:$C$420,'Gráficos Antigo'!$B17,Capex!L$5:L$366)</f>
        <v>0</v>
      </c>
      <c r="E17" s="407">
        <f ca="1">SUMIF(Capex!$C$5:$C$420,'Gráficos Antigo'!$B17,Capex!M$5:M$366)</f>
        <v>396974.87708662852</v>
      </c>
      <c r="F17" s="407">
        <f ca="1">SUMIF(Capex!$C$5:$C$420,'Gráficos Antigo'!$B17,Capex!N$5:N$366)</f>
        <v>240457211.65702802</v>
      </c>
      <c r="G17" s="407">
        <f ca="1">SUMIF(Capex!$C$5:$C$420,'Gráficos Antigo'!$B17,Capex!O$5:O$366)</f>
        <v>712222067.70866311</v>
      </c>
      <c r="H17" s="407">
        <f ca="1">SUMIF(Capex!$C$5:$C$420,'Gráficos Antigo'!$B17,Capex!P$5:P$366)</f>
        <v>428180681.38384914</v>
      </c>
      <c r="I17" s="407">
        <f ca="1">SUMIF(Capex!$C$5:$C$420,'Gráficos Antigo'!$B17,Capex!Q$5:Q$366)</f>
        <v>484585328.55617267</v>
      </c>
      <c r="J17" s="407">
        <f ca="1">SUMIF(Capex!$C$5:$C$420,'Gráficos Antigo'!$B17,Capex!R$5:R$366)</f>
        <v>0</v>
      </c>
      <c r="K17" s="407">
        <f ca="1">SUMIF(Capex!$C$5:$C$420,'Gráficos Antigo'!$B17,Capex!S$5:S$366)</f>
        <v>0</v>
      </c>
      <c r="L17" s="407">
        <f ca="1">SUMIF(Capex!$C$5:$C$420,'Gráficos Antigo'!$B17,Capex!T$5:T$366)</f>
        <v>0</v>
      </c>
      <c r="M17" s="407">
        <f ca="1">SUMIF(Capex!$C$5:$C$420,'Gráficos Antigo'!$B17,Capex!U$5:U$366)</f>
        <v>0</v>
      </c>
      <c r="N17" s="407">
        <f ca="1">SUMIF(Capex!$C$5:$C$420,'Gráficos Antigo'!$B17,Capex!V$5:V$366)</f>
        <v>0</v>
      </c>
      <c r="O17" s="407">
        <f ca="1">SUMIF(Capex!$C$5:$C$420,'Gráficos Antigo'!$B17,Capex!W$5:W$366)</f>
        <v>0</v>
      </c>
      <c r="P17" s="407">
        <f ca="1">SUMIF(Capex!$C$5:$C$420,'Gráficos Antigo'!$B17,Capex!X$5:X$366)</f>
        <v>0</v>
      </c>
      <c r="Q17" s="407">
        <f ca="1">SUMIF(Capex!$C$5:$C$420,'Gráficos Antigo'!$B17,Capex!Y$5:Y$366)</f>
        <v>0</v>
      </c>
      <c r="R17" s="407">
        <f ca="1">SUMIF(Capex!$C$5:$C$420,'Gráficos Antigo'!$B17,Capex!Z$5:Z$366)</f>
        <v>283468345.15892488</v>
      </c>
      <c r="S17" s="407">
        <f ca="1">SUMIF(Capex!$C$5:$C$420,'Gráficos Antigo'!$B17,Capex!AA$5:AA$366)</f>
        <v>0</v>
      </c>
      <c r="T17" s="407">
        <f ca="1">SUMIF(Capex!$C$5:$C$420,'Gráficos Antigo'!$B17,Capex!AB$5:AB$366)</f>
        <v>0</v>
      </c>
      <c r="U17" s="407">
        <f ca="1">SUMIF(Capex!$C$5:$C$420,'Gráficos Antigo'!$B17,Capex!AC$5:AC$366)</f>
        <v>0</v>
      </c>
      <c r="V17" s="407">
        <f ca="1">SUMIF(Capex!$C$5:$C$420,'Gráficos Antigo'!$B17,Capex!AD$5:AD$366)</f>
        <v>0</v>
      </c>
      <c r="W17" s="407">
        <f ca="1">SUMIF(Capex!$C$5:$C$420,'Gráficos Antigo'!$B17,Capex!AE$5:AE$366)</f>
        <v>0</v>
      </c>
      <c r="X17" s="407">
        <f ca="1">SUMIF(Capex!$C$5:$C$420,'Gráficos Antigo'!$B17,Capex!AF$5:AF$366)</f>
        <v>0</v>
      </c>
      <c r="Y17" s="407">
        <f ca="1">SUMIF(Capex!$C$5:$C$420,'Gráficos Antigo'!$B17,Capex!AG$5:AG$366)</f>
        <v>0</v>
      </c>
      <c r="Z17" s="407">
        <f ca="1">SUMIF(Capex!$C$5:$C$420,'Gráficos Antigo'!$B17,Capex!AH$5:AH$366)</f>
        <v>0</v>
      </c>
      <c r="AA17" s="407">
        <f ca="1">SUMIF(Capex!$C$5:$C$420,'Gráficos Antigo'!$B17,Capex!AI$5:AI$366)</f>
        <v>0</v>
      </c>
      <c r="AB17" s="407">
        <f ca="1">SUMIF(Capex!$C$5:$C$420,'Gráficos Antigo'!$B17,Capex!AJ$5:AJ$366)</f>
        <v>0</v>
      </c>
      <c r="AC17" s="407">
        <f ca="1">SUMIF(Capex!$C$5:$C$420,'Gráficos Antigo'!$B17,Capex!AK$5:AK$366)</f>
        <v>0</v>
      </c>
      <c r="AD17" s="407">
        <f ca="1">SUMIF(Capex!$C$5:$C$420,'Gráficos Antigo'!$B17,Capex!AL$5:AL$366)</f>
        <v>0</v>
      </c>
      <c r="AE17" s="407">
        <f ca="1">SUMIF(Capex!$C$5:$C$420,'Gráficos Antigo'!$B17,Capex!AM$5:AM$366)</f>
        <v>0</v>
      </c>
      <c r="AF17" s="407">
        <f ca="1">SUMIF(Capex!$C$5:$C$420,'Gráficos Antigo'!$B17,Capex!AN$5:AN$366)</f>
        <v>0</v>
      </c>
      <c r="AG17" s="407">
        <f ca="1">SUMIF(Capex!$C$5:$C$420,'Gráficos Antigo'!$B17,Capex!AO$5:AO$366)</f>
        <v>0</v>
      </c>
      <c r="AH17" s="407">
        <f ca="1">SUMIF(Capex!$C$5:$C$420,'Gráficos Antigo'!$B17,Capex!AP$5:AP$366)</f>
        <v>2149310609.3417244</v>
      </c>
    </row>
    <row r="18" spans="1:34">
      <c r="A18" s="532"/>
      <c r="B18" s="465">
        <v>6</v>
      </c>
      <c r="C18" s="401" t="s">
        <v>78</v>
      </c>
      <c r="D18" s="407">
        <f ca="1">SUMIF(Capex!$C$5:$C$420,'Gráficos Antigo'!$B18,Capex!L$5:L$366)</f>
        <v>40216134.443028241</v>
      </c>
      <c r="E18" s="407">
        <f ca="1">SUMIF(Capex!$C$5:$C$420,'Gráficos Antigo'!$B18,Capex!M$5:M$366)</f>
        <v>4932533.5115534682</v>
      </c>
      <c r="F18" s="407">
        <f ca="1">SUMIF(Capex!$C$5:$C$420,'Gráficos Antigo'!$B18,Capex!N$5:N$366)</f>
        <v>20153523.182826448</v>
      </c>
      <c r="G18" s="407">
        <f ca="1">SUMIF(Capex!$C$5:$C$420,'Gráficos Antigo'!$B18,Capex!O$5:O$366)</f>
        <v>419985.71925620595</v>
      </c>
      <c r="H18" s="407">
        <f ca="1">SUMIF(Capex!$C$5:$C$420,'Gráficos Antigo'!$B18,Capex!P$5:P$366)</f>
        <v>8758483.7608739026</v>
      </c>
      <c r="I18" s="407">
        <f ca="1">SUMIF(Capex!$C$5:$C$420,'Gráficos Antigo'!$B18,Capex!Q$5:Q$366)</f>
        <v>8010147.1787858587</v>
      </c>
      <c r="J18" s="407">
        <f ca="1">SUMIF(Capex!$C$5:$C$420,'Gráficos Antigo'!$B18,Capex!R$5:R$366)</f>
        <v>2023282.0916732051</v>
      </c>
      <c r="K18" s="407">
        <f ca="1">SUMIF(Capex!$C$5:$C$420,'Gráficos Antigo'!$B18,Capex!S$5:S$366)</f>
        <v>812172.78456871887</v>
      </c>
      <c r="L18" s="407">
        <f ca="1">SUMIF(Capex!$C$5:$C$420,'Gráficos Antigo'!$B18,Capex!T$5:T$366)</f>
        <v>8927820.4496351741</v>
      </c>
      <c r="M18" s="407">
        <f ca="1">SUMIF(Capex!$C$5:$C$420,'Gráficos Antigo'!$B18,Capex!U$5:U$366)</f>
        <v>419985.71925620595</v>
      </c>
      <c r="N18" s="407">
        <f ca="1">SUMIF(Capex!$C$5:$C$420,'Gráficos Antigo'!$B18,Capex!V$5:V$366)</f>
        <v>14996707.783499835</v>
      </c>
      <c r="O18" s="407">
        <f ca="1">SUMIF(Capex!$C$5:$C$420,'Gráficos Antigo'!$B18,Capex!W$5:W$366)</f>
        <v>419985.71925620595</v>
      </c>
      <c r="P18" s="407">
        <f ca="1">SUMIF(Capex!$C$5:$C$420,'Gráficos Antigo'!$B18,Capex!X$5:X$366)</f>
        <v>9628451.445284782</v>
      </c>
      <c r="Q18" s="407">
        <f ca="1">SUMIF(Capex!$C$5:$C$420,'Gráficos Antigo'!$B18,Capex!Y$5:Y$366)</f>
        <v>419985.71925620595</v>
      </c>
      <c r="R18" s="407">
        <f ca="1">SUMIF(Capex!$C$5:$C$420,'Gráficos Antigo'!$B18,Capex!Z$5:Z$366)</f>
        <v>1706558.0376711995</v>
      </c>
      <c r="S18" s="407">
        <f ca="1">SUMIF(Capex!$C$5:$C$420,'Gráficos Antigo'!$B18,Capex!AA$5:AA$366)</f>
        <v>7407342.1490150206</v>
      </c>
      <c r="T18" s="407">
        <f ca="1">SUMIF(Capex!$C$5:$C$420,'Gráficos Antigo'!$B18,Capex!AB$5:AB$366)</f>
        <v>12890293.031634117</v>
      </c>
      <c r="U18" s="407">
        <f ca="1">SUMIF(Capex!$C$5:$C$420,'Gráficos Antigo'!$B18,Capex!AC$5:AC$366)</f>
        <v>1596546.9151937447</v>
      </c>
      <c r="V18" s="407">
        <f ca="1">SUMIF(Capex!$C$5:$C$420,'Gráficos Antigo'!$B18,Capex!AD$5:AD$366)</f>
        <v>1177114.1495933004</v>
      </c>
      <c r="W18" s="407">
        <f ca="1">SUMIF(Capex!$C$5:$C$420,'Gráficos Antigo'!$B18,Capex!AE$5:AE$366)</f>
        <v>367535.8718889319</v>
      </c>
      <c r="X18" s="407">
        <f ca="1">SUMIF(Capex!$C$5:$C$420,'Gráficos Antigo'!$B18,Capex!AF$5:AF$366)</f>
        <v>21895122.766649328</v>
      </c>
      <c r="Y18" s="407">
        <f ca="1">SUMIF(Capex!$C$5:$C$420,'Gráficos Antigo'!$B18,Capex!AG$5:AG$366)</f>
        <v>367535.8718889319</v>
      </c>
      <c r="Z18" s="407">
        <f ca="1">SUMIF(Capex!$C$5:$C$420,'Gráficos Antigo'!$B18,Capex!AH$5:AH$366)</f>
        <v>1962113.1678264705</v>
      </c>
      <c r="AA18" s="407">
        <f ca="1">SUMIF(Capex!$C$5:$C$420,'Gráficos Antigo'!$B18,Capex!AI$5:AI$366)</f>
        <v>367535.8718889319</v>
      </c>
      <c r="AB18" s="407">
        <f ca="1">SUMIF(Capex!$C$5:$C$420,'Gráficos Antigo'!$B18,Capex!AJ$5:AJ$366)</f>
        <v>8654650.3510444332</v>
      </c>
      <c r="AC18" s="407">
        <f ca="1">SUMIF(Capex!$C$5:$C$420,'Gráficos Antigo'!$B18,Capex!AK$5:AK$366)</f>
        <v>5891029.1673163427</v>
      </c>
      <c r="AD18" s="407">
        <f ca="1">SUMIF(Capex!$C$5:$C$420,'Gráficos Antigo'!$B18,Capex!AL$5:AL$366)</f>
        <v>617264.27188893186</v>
      </c>
      <c r="AE18" s="407">
        <f ca="1">SUMIF(Capex!$C$5:$C$420,'Gráficos Antigo'!$B18,Capex!AM$5:AM$366)</f>
        <v>1544097.0678264706</v>
      </c>
      <c r="AF18" s="407">
        <f ca="1">SUMIF(Capex!$C$5:$C$420,'Gráficos Antigo'!$B18,Capex!AN$5:AN$366)</f>
        <v>4968470.0037328582</v>
      </c>
      <c r="AG18" s="407">
        <f ca="1">SUMIF(Capex!$C$5:$C$420,'Gráficos Antigo'!$B18,Capex!AO$5:AO$366)</f>
        <v>367535.8718889319</v>
      </c>
      <c r="AH18" s="407">
        <f ca="1">SUMIF(Capex!$C$5:$C$420,'Gráficos Antigo'!$B18,Capex!AP$5:AP$366)</f>
        <v>191919944.07570243</v>
      </c>
    </row>
    <row r="19" spans="1:34">
      <c r="A19" s="532"/>
      <c r="B19" s="465">
        <v>7</v>
      </c>
      <c r="C19" s="401" t="s">
        <v>79</v>
      </c>
      <c r="D19" s="407">
        <f ca="1">SUMIF(Capex!$C$5:$C$420,'Gráficos Antigo'!$B19,Capex!L$5:L$366)</f>
        <v>22623101.311299119</v>
      </c>
      <c r="E19" s="407">
        <f ca="1">SUMIF(Capex!$C$5:$C$420,'Gráficos Antigo'!$B19,Capex!M$5:M$366)</f>
        <v>26466473.799652711</v>
      </c>
      <c r="F19" s="407">
        <f ca="1">SUMIF(Capex!$C$5:$C$420,'Gráficos Antigo'!$B19,Capex!N$5:N$366)</f>
        <v>30965145.091813203</v>
      </c>
      <c r="G19" s="407">
        <f ca="1">SUMIF(Capex!$C$5:$C$420,'Gráficos Antigo'!$B19,Capex!O$5:O$366)</f>
        <v>69757022.177928925</v>
      </c>
      <c r="H19" s="407">
        <f ca="1">SUMIF(Capex!$C$5:$C$420,'Gráficos Antigo'!$B19,Capex!P$5:P$366)</f>
        <v>23428131.199260607</v>
      </c>
      <c r="I19" s="407">
        <f ca="1">SUMIF(Capex!$C$5:$C$420,'Gráficos Antigo'!$B19,Capex!Q$5:Q$366)</f>
        <v>3640877.1536923205</v>
      </c>
      <c r="J19" s="407">
        <f ca="1">SUMIF(Capex!$C$5:$C$420,'Gráficos Antigo'!$B19,Capex!R$5:R$366)</f>
        <v>3164254.2061468624</v>
      </c>
      <c r="K19" s="407">
        <f ca="1">SUMIF(Capex!$C$5:$C$420,'Gráficos Antigo'!$B19,Capex!S$5:S$366)</f>
        <v>1344096.9465464307</v>
      </c>
      <c r="L19" s="407">
        <f ca="1">SUMIF(Capex!$C$5:$C$420,'Gráficos Antigo'!$B19,Capex!T$5:T$366)</f>
        <v>1274798.7740814488</v>
      </c>
      <c r="M19" s="407">
        <f ca="1">SUMIF(Capex!$C$5:$C$420,'Gráficos Antigo'!$B19,Capex!U$5:U$366)</f>
        <v>1144955.0729537769</v>
      </c>
      <c r="N19" s="407">
        <f ca="1">SUMIF(Capex!$C$5:$C$420,'Gráficos Antigo'!$B19,Capex!V$5:V$366)</f>
        <v>708151.23251530644</v>
      </c>
      <c r="O19" s="407">
        <f ca="1">SUMIF(Capex!$C$5:$C$420,'Gráficos Antigo'!$B19,Capex!W$5:W$366)</f>
        <v>171528.28496984829</v>
      </c>
      <c r="P19" s="407">
        <f ca="1">SUMIF(Capex!$C$5:$C$420,'Gráficos Antigo'!$B19,Capex!X$5:X$366)</f>
        <v>1741877.7818363472</v>
      </c>
      <c r="Q19" s="407">
        <f ca="1">SUMIF(Capex!$C$5:$C$420,'Gráficos Antigo'!$B19,Capex!Y$5:Y$366)</f>
        <v>231528.28496984829</v>
      </c>
      <c r="R19" s="407">
        <f ca="1">SUMIF(Capex!$C$5:$C$420,'Gráficos Antigo'!$B19,Capex!Z$5:Z$366)</f>
        <v>171528.28496984829</v>
      </c>
      <c r="S19" s="407">
        <f ca="1">SUMIF(Capex!$C$5:$C$420,'Gráficos Antigo'!$B19,Capex!AA$5:AA$366)</f>
        <v>648151.23251530644</v>
      </c>
      <c r="T19" s="407">
        <f ca="1">SUMIF(Capex!$C$5:$C$420,'Gráficos Antigo'!$B19,Capex!AB$5:AB$366)</f>
        <v>361371.98609752028</v>
      </c>
      <c r="U19" s="407">
        <f ca="1">SUMIF(Capex!$C$5:$C$420,'Gráficos Antigo'!$B19,Capex!AC$5:AC$366)</f>
        <v>171528.28496984829</v>
      </c>
      <c r="V19" s="407">
        <f ca="1">SUMIF(Capex!$C$5:$C$420,'Gráficos Antigo'!$B19,Capex!AD$5:AD$366)</f>
        <v>171528.28496984829</v>
      </c>
      <c r="W19" s="407">
        <f ca="1">SUMIF(Capex!$C$5:$C$420,'Gráficos Antigo'!$B19,Capex!AE$5:AE$366)</f>
        <v>231528.28496984829</v>
      </c>
      <c r="X19" s="407">
        <f ca="1">SUMIF(Capex!$C$5:$C$420,'Gráficos Antigo'!$B19,Capex!AF$5:AF$366)</f>
        <v>777994.93364297855</v>
      </c>
      <c r="Y19" s="407">
        <f ca="1">SUMIF(Capex!$C$5:$C$420,'Gráficos Antigo'!$B19,Capex!AG$5:AG$366)</f>
        <v>171528.28496984829</v>
      </c>
      <c r="Z19" s="407">
        <f ca="1">SUMIF(Capex!$C$5:$C$420,'Gráficos Antigo'!$B19,Capex!AH$5:AH$366)</f>
        <v>231528.28496984829</v>
      </c>
      <c r="AA19" s="407">
        <f ca="1">SUMIF(Capex!$C$5:$C$420,'Gráficos Antigo'!$B19,Capex!AI$5:AI$366)</f>
        <v>171528.28496984829</v>
      </c>
      <c r="AB19" s="407">
        <f ca="1">SUMIF(Capex!$C$5:$C$420,'Gráficos Antigo'!$B19,Capex!AJ$5:AJ$366)</f>
        <v>301371.98609752028</v>
      </c>
      <c r="AC19" s="407">
        <f ca="1">SUMIF(Capex!$C$5:$C$420,'Gráficos Antigo'!$B19,Capex!AK$5:AK$366)</f>
        <v>708151.23251530644</v>
      </c>
      <c r="AD19" s="407">
        <f ca="1">SUMIF(Capex!$C$5:$C$420,'Gráficos Antigo'!$B19,Capex!AL$5:AL$366)</f>
        <v>171528.28496984829</v>
      </c>
      <c r="AE19" s="407">
        <f ca="1">SUMIF(Capex!$C$5:$C$420,'Gráficos Antigo'!$B19,Capex!AM$5:AM$366)</f>
        <v>171528.28496984829</v>
      </c>
      <c r="AF19" s="407">
        <f ca="1">SUMIF(Capex!$C$5:$C$420,'Gráficos Antigo'!$B19,Capex!AN$5:AN$366)</f>
        <v>361371.98609752028</v>
      </c>
      <c r="AG19" s="407">
        <f ca="1">SUMIF(Capex!$C$5:$C$420,'Gráficos Antigo'!$B19,Capex!AO$5:AO$366)</f>
        <v>171528.28496984829</v>
      </c>
      <c r="AH19" s="407">
        <f ca="1">SUMIF(Capex!$C$5:$C$420,'Gráficos Antigo'!$B19,Capex!AP$5:AP$366)</f>
        <v>191655637.52433139</v>
      </c>
    </row>
    <row r="20" spans="1:34">
      <c r="A20" s="532"/>
      <c r="B20" s="465"/>
      <c r="C20" s="401" t="s">
        <v>80</v>
      </c>
      <c r="D20" s="445">
        <f ca="1">SUM(D14:D19)</f>
        <v>178599736.04676381</v>
      </c>
      <c r="E20" s="445">
        <f t="shared" ref="E20:AG20" ca="1" si="0">SUM(E14:E19)+D20</f>
        <v>295121121.81145489</v>
      </c>
      <c r="F20" s="445">
        <f t="shared" ca="1" si="0"/>
        <v>646677700.59326029</v>
      </c>
      <c r="G20" s="445">
        <f t="shared" ca="1" si="0"/>
        <v>1484077965.1666512</v>
      </c>
      <c r="H20" s="445">
        <f t="shared" ca="1" si="0"/>
        <v>1989396533.4354234</v>
      </c>
      <c r="I20" s="445">
        <f t="shared" ca="1" si="0"/>
        <v>2485632886.351572</v>
      </c>
      <c r="J20" s="445">
        <f t="shared" ca="1" si="0"/>
        <v>2490820422.6493921</v>
      </c>
      <c r="K20" s="445">
        <f t="shared" ca="1" si="0"/>
        <v>2552760286.5635424</v>
      </c>
      <c r="L20" s="445">
        <f t="shared" ca="1" si="0"/>
        <v>2621471335.843019</v>
      </c>
      <c r="M20" s="445">
        <f t="shared" ca="1" si="0"/>
        <v>2658879526.5226636</v>
      </c>
      <c r="N20" s="445">
        <f t="shared" ca="1" si="0"/>
        <v>2694580668.8619013</v>
      </c>
      <c r="O20" s="445">
        <f t="shared" ca="1" si="0"/>
        <v>2704889574.4410319</v>
      </c>
      <c r="P20" s="445">
        <f t="shared" ca="1" si="0"/>
        <v>2716259903.6681533</v>
      </c>
      <c r="Q20" s="445">
        <f t="shared" ca="1" si="0"/>
        <v>2716911417.6723795</v>
      </c>
      <c r="R20" s="445">
        <f t="shared" ca="1" si="0"/>
        <v>3005072063.1279187</v>
      </c>
      <c r="S20" s="445">
        <f t="shared" ca="1" si="0"/>
        <v>3059528122.755662</v>
      </c>
      <c r="T20" s="445">
        <f t="shared" ca="1" si="0"/>
        <v>3183272186.6572585</v>
      </c>
      <c r="U20" s="445">
        <f t="shared" ca="1" si="0"/>
        <v>3297257543.4215307</v>
      </c>
      <c r="V20" s="445">
        <f t="shared" ca="1" si="0"/>
        <v>3366405075.1157231</v>
      </c>
      <c r="W20" s="445">
        <f t="shared" ca="1" si="0"/>
        <v>3389848595.0164385</v>
      </c>
      <c r="X20" s="445">
        <f t="shared" ca="1" si="0"/>
        <v>3419645171.7536745</v>
      </c>
      <c r="Y20" s="445">
        <f t="shared" ca="1" si="0"/>
        <v>3422688995.6634564</v>
      </c>
      <c r="Z20" s="445">
        <f t="shared" ca="1" si="0"/>
        <v>3445887164.5544386</v>
      </c>
      <c r="AA20" s="445">
        <f t="shared" ca="1" si="0"/>
        <v>3476134840.4983683</v>
      </c>
      <c r="AB20" s="445">
        <f t="shared" ca="1" si="0"/>
        <v>3532240226.0655246</v>
      </c>
      <c r="AC20" s="445">
        <f t="shared" ca="1" si="0"/>
        <v>3590297664.0722461</v>
      </c>
      <c r="AD20" s="445">
        <f t="shared" ca="1" si="0"/>
        <v>3617050724.2031417</v>
      </c>
      <c r="AE20" s="445">
        <f t="shared" ca="1" si="0"/>
        <v>3630929119.5580406</v>
      </c>
      <c r="AF20" s="445">
        <f t="shared" ca="1" si="0"/>
        <v>3655838980.949729</v>
      </c>
      <c r="AG20" s="445">
        <f t="shared" ca="1" si="0"/>
        <v>3690156578.2233467</v>
      </c>
      <c r="AH20" s="445">
        <f ca="1">SUM(AH14:AH19)</f>
        <v>3690156578.2233472</v>
      </c>
    </row>
    <row r="21" spans="1:34">
      <c r="A21" s="532"/>
      <c r="B21" s="465"/>
      <c r="C21" s="464"/>
    </row>
    <row r="22" spans="1:34">
      <c r="A22" s="419"/>
    </row>
    <row r="23" spans="1:34">
      <c r="A23" s="419"/>
    </row>
    <row r="24" spans="1:34">
      <c r="A24" s="419"/>
    </row>
    <row r="25" spans="1:34">
      <c r="A25" s="419"/>
      <c r="F25" s="134"/>
      <c r="G25" s="134"/>
    </row>
    <row r="26" spans="1:34">
      <c r="A26" s="419"/>
      <c r="F26" s="134"/>
      <c r="G26" s="134"/>
      <c r="H26" s="134"/>
      <c r="I26" s="134"/>
    </row>
    <row r="27" spans="1:34">
      <c r="A27" s="419"/>
      <c r="F27" s="134"/>
      <c r="G27" s="134"/>
      <c r="H27" s="134"/>
      <c r="I27" s="134"/>
    </row>
    <row r="28" spans="1:34">
      <c r="A28" s="419"/>
      <c r="F28" s="134"/>
      <c r="G28" s="134"/>
      <c r="H28" s="134"/>
      <c r="I28" s="134"/>
    </row>
    <row r="29" spans="1:34">
      <c r="A29" s="419"/>
      <c r="F29" s="134"/>
      <c r="G29" s="134"/>
      <c r="H29" s="134"/>
      <c r="I29" s="134"/>
    </row>
    <row r="30" spans="1:34">
      <c r="A30" s="419"/>
      <c r="F30" s="134"/>
      <c r="G30" s="134"/>
      <c r="H30" s="134"/>
      <c r="I30" s="134"/>
    </row>
    <row r="31" spans="1:34">
      <c r="A31" s="419"/>
      <c r="F31" s="134"/>
      <c r="G31" s="134"/>
      <c r="H31" s="134"/>
      <c r="I31" s="134"/>
    </row>
    <row r="32" spans="1:34">
      <c r="A32" s="419"/>
      <c r="F32" s="134"/>
      <c r="G32" s="134"/>
      <c r="H32" s="134"/>
      <c r="I32" s="134"/>
    </row>
    <row r="33" spans="1:8">
      <c r="A33" s="419"/>
    </row>
    <row r="34" spans="1:8">
      <c r="A34" s="419"/>
    </row>
    <row r="35" spans="1:8">
      <c r="A35" s="419"/>
      <c r="G35" s="134"/>
      <c r="H35" s="134"/>
    </row>
    <row r="36" spans="1:8">
      <c r="A36" s="419"/>
      <c r="G36" s="134"/>
      <c r="H36" s="134"/>
    </row>
    <row r="37" spans="1:8">
      <c r="A37" s="419"/>
      <c r="G37" s="134"/>
      <c r="H37" s="134"/>
    </row>
    <row r="38" spans="1:8">
      <c r="A38" s="419"/>
      <c r="H38" s="134"/>
    </row>
    <row r="39" spans="1:8">
      <c r="A39" s="419"/>
    </row>
    <row r="40" spans="1:8">
      <c r="A40" s="419"/>
    </row>
    <row r="41" spans="1:8">
      <c r="A41" s="419"/>
    </row>
    <row r="42" spans="1:8">
      <c r="A42" s="419"/>
    </row>
    <row r="43" spans="1:8">
      <c r="A43" s="419"/>
    </row>
    <row r="44" spans="1:8">
      <c r="A44" s="419"/>
    </row>
    <row r="45" spans="1:8">
      <c r="A45" s="419"/>
    </row>
    <row r="46" spans="1:8">
      <c r="A46" s="419"/>
    </row>
    <row r="47" spans="1:8">
      <c r="A47" s="419"/>
    </row>
    <row r="48" spans="1:8">
      <c r="A48" s="419"/>
    </row>
    <row r="49" spans="2:34" s="410" customFormat="1"/>
    <row r="50" spans="2:34" s="410" customFormat="1"/>
    <row r="51" spans="2:34" s="410" customFormat="1"/>
    <row r="52" spans="2:34" s="410" customFormat="1"/>
    <row r="53" spans="2:34" s="410" customFormat="1"/>
    <row r="54" spans="2:34" s="410" customFormat="1"/>
    <row r="55" spans="2:34" s="410" customFormat="1"/>
    <row r="56" spans="2:34" s="410" customFormat="1"/>
    <row r="58" spans="2:34">
      <c r="C58" s="405" t="s">
        <v>81</v>
      </c>
    </row>
    <row r="59" spans="2:34" s="405" customFormat="1">
      <c r="B59" s="411"/>
      <c r="C59" s="402"/>
      <c r="D59" s="402" t="str">
        <f t="shared" ref="D59:AG59" si="1">D$13</f>
        <v>Ano 1</v>
      </c>
      <c r="E59" s="402" t="str">
        <f t="shared" si="1"/>
        <v>Ano 2</v>
      </c>
      <c r="F59" s="402" t="str">
        <f t="shared" si="1"/>
        <v>Ano 3</v>
      </c>
      <c r="G59" s="402" t="str">
        <f t="shared" si="1"/>
        <v>Ano 4</v>
      </c>
      <c r="H59" s="402" t="str">
        <f t="shared" si="1"/>
        <v>Ano 5</v>
      </c>
      <c r="I59" s="402" t="str">
        <f t="shared" si="1"/>
        <v>Ano 6</v>
      </c>
      <c r="J59" s="402" t="str">
        <f t="shared" si="1"/>
        <v>Ano 7</v>
      </c>
      <c r="K59" s="402" t="str">
        <f t="shared" si="1"/>
        <v>Ano 8</v>
      </c>
      <c r="L59" s="402" t="str">
        <f t="shared" si="1"/>
        <v>Ano 9</v>
      </c>
      <c r="M59" s="402" t="str">
        <f t="shared" si="1"/>
        <v>Ano 10</v>
      </c>
      <c r="N59" s="402" t="str">
        <f t="shared" si="1"/>
        <v>Ano 11</v>
      </c>
      <c r="O59" s="402" t="str">
        <f t="shared" si="1"/>
        <v>Ano 12</v>
      </c>
      <c r="P59" s="402" t="str">
        <f t="shared" si="1"/>
        <v>Ano 13</v>
      </c>
      <c r="Q59" s="402" t="str">
        <f t="shared" si="1"/>
        <v>Ano 14</v>
      </c>
      <c r="R59" s="402" t="str">
        <f t="shared" si="1"/>
        <v>Ano 15</v>
      </c>
      <c r="S59" s="402" t="str">
        <f t="shared" si="1"/>
        <v>Ano 16</v>
      </c>
      <c r="T59" s="402" t="str">
        <f t="shared" si="1"/>
        <v>Ano 17</v>
      </c>
      <c r="U59" s="402" t="str">
        <f t="shared" si="1"/>
        <v>Ano 18</v>
      </c>
      <c r="V59" s="402" t="str">
        <f t="shared" si="1"/>
        <v>Ano 19</v>
      </c>
      <c r="W59" s="402" t="str">
        <f t="shared" si="1"/>
        <v>Ano 20</v>
      </c>
      <c r="X59" s="402" t="str">
        <f t="shared" si="1"/>
        <v>Ano 21</v>
      </c>
      <c r="Y59" s="402" t="str">
        <f t="shared" si="1"/>
        <v>Ano 22</v>
      </c>
      <c r="Z59" s="402" t="str">
        <f t="shared" si="1"/>
        <v>Ano 23</v>
      </c>
      <c r="AA59" s="402" t="str">
        <f t="shared" si="1"/>
        <v>Ano 24</v>
      </c>
      <c r="AB59" s="402" t="str">
        <f t="shared" si="1"/>
        <v>Ano 25</v>
      </c>
      <c r="AC59" s="402" t="str">
        <f t="shared" si="1"/>
        <v>Ano 26</v>
      </c>
      <c r="AD59" s="402" t="str">
        <f t="shared" si="1"/>
        <v>Ano 27</v>
      </c>
      <c r="AE59" s="402" t="str">
        <f t="shared" si="1"/>
        <v>Ano 28</v>
      </c>
      <c r="AF59" s="402" t="str">
        <f t="shared" si="1"/>
        <v>Ano 29</v>
      </c>
      <c r="AG59" s="402" t="str">
        <f t="shared" si="1"/>
        <v>Ano 30</v>
      </c>
      <c r="AH59" s="402" t="s">
        <v>73</v>
      </c>
    </row>
    <row r="60" spans="2:34">
      <c r="B60" s="412">
        <v>1</v>
      </c>
      <c r="C60" s="401" t="s">
        <v>82</v>
      </c>
      <c r="D60" s="407">
        <f>SUMIF(Opex!$C$5:$C$75,'Gráficos Antigo'!$B60,Opex!F$5:F$75)</f>
        <v>12937461.383832892</v>
      </c>
      <c r="E60" s="407">
        <f>SUMIF(Opex!$C$5:$C$75,'Gráficos Antigo'!$B60,Opex!G$5:G$75)</f>
        <v>12987200.926058775</v>
      </c>
      <c r="F60" s="407">
        <f>SUMIF(Opex!$C$5:$C$75,'Gráficos Antigo'!$B60,Opex!H$5:H$75)</f>
        <v>13895746.314945817</v>
      </c>
      <c r="G60" s="407">
        <f>SUMIF(Opex!$C$5:$C$75,'Gráficos Antigo'!$B60,Opex!I$5:I$75)</f>
        <v>16162305.399419738</v>
      </c>
      <c r="H60" s="407">
        <f>SUMIF(Opex!$C$5:$C$75,'Gráficos Antigo'!$B60,Opex!J$5:J$75)</f>
        <v>17612762.33664738</v>
      </c>
      <c r="I60" s="407">
        <f>SUMIF(Opex!$C$5:$C$75,'Gráficos Antigo'!$B60,Opex!K$5:K$75)</f>
        <v>18128410.45136977</v>
      </c>
      <c r="J60" s="407">
        <f>SUMIF(Opex!$C$5:$C$75,'Gráficos Antigo'!$B60,Opex!L$5:L$75)</f>
        <v>18181772.000941437</v>
      </c>
      <c r="K60" s="407">
        <f>SUMIF(Opex!$C$5:$C$75,'Gráficos Antigo'!$B60,Opex!M$5:M$75)</f>
        <v>18354431.965279322</v>
      </c>
      <c r="L60" s="407">
        <f>SUMIF(Opex!$C$5:$C$75,'Gráficos Antigo'!$B60,Opex!N$5:N$75)</f>
        <v>18715855.805413432</v>
      </c>
      <c r="M60" s="407">
        <f>SUMIF(Opex!$C$5:$C$75,'Gráficos Antigo'!$B60,Opex!O$5:O$75)</f>
        <v>18961527.53229047</v>
      </c>
      <c r="N60" s="407">
        <f>SUMIF(Opex!$C$5:$C$75,'Gráficos Antigo'!$B60,Opex!P$5:P$75)</f>
        <v>19071159.0932291</v>
      </c>
      <c r="O60" s="407">
        <f>SUMIF(Opex!$C$5:$C$75,'Gráficos Antigo'!$B60,Opex!Q$5:Q$75)</f>
        <v>19333739.630564336</v>
      </c>
      <c r="P60" s="407">
        <f>SUMIF(Opex!$C$5:$C$75,'Gráficos Antigo'!$B60,Opex!R$5:R$75)</f>
        <v>19471943.7110423</v>
      </c>
      <c r="Q60" s="407">
        <f>SUMIF(Opex!$C$5:$C$75,'Gráficos Antigo'!$B60,Opex!S$5:S$75)</f>
        <v>19747643.333727829</v>
      </c>
      <c r="R60" s="407">
        <f>SUMIF(Opex!$C$5:$C$75,'Gráficos Antigo'!$B60,Opex!T$5:T$75)</f>
        <v>20255817.95785768</v>
      </c>
      <c r="S60" s="407">
        <f>SUMIF(Opex!$C$5:$C$75,'Gráficos Antigo'!$B60,Opex!U$5:U$75)</f>
        <v>21018636.391040377</v>
      </c>
      <c r="T60" s="407">
        <f>SUMIF(Opex!$C$5:$C$75,'Gráficos Antigo'!$B60,Opex!V$5:V$75)</f>
        <v>21114641.160059948</v>
      </c>
      <c r="U60" s="407">
        <f>SUMIF(Opex!$C$5:$C$75,'Gráficos Antigo'!$B60,Opex!W$5:W$75)</f>
        <v>21241483.186880514</v>
      </c>
      <c r="V60" s="407">
        <f>SUMIF(Opex!$C$5:$C$75,'Gráficos Antigo'!$B60,Opex!X$5:X$75)</f>
        <v>21241483.186880514</v>
      </c>
      <c r="W60" s="407">
        <f>SUMIF(Opex!$C$5:$C$75,'Gráficos Antigo'!$B60,Opex!Y$5:Y$75)</f>
        <v>21241483.186880514</v>
      </c>
      <c r="X60" s="407">
        <f>SUMIF(Opex!$C$5:$C$75,'Gráficos Antigo'!$B60,Opex!Z$5:Z$75)</f>
        <v>21241483.186880514</v>
      </c>
      <c r="Y60" s="407">
        <f>SUMIF(Opex!$C$5:$C$75,'Gráficos Antigo'!$B60,Opex!AA$5:AA$75)</f>
        <v>21241483.186880514</v>
      </c>
      <c r="Z60" s="407">
        <f>SUMIF(Opex!$C$5:$C$75,'Gráficos Antigo'!$B60,Opex!AB$5:AB$75)</f>
        <v>21241483.186880514</v>
      </c>
      <c r="AA60" s="407">
        <f>SUMIF(Opex!$C$5:$C$75,'Gráficos Antigo'!$B60,Opex!AC$5:AC$75)</f>
        <v>21241483.186880514</v>
      </c>
      <c r="AB60" s="407">
        <f>SUMIF(Opex!$C$5:$C$75,'Gráficos Antigo'!$B60,Opex!AD$5:AD$75)</f>
        <v>21241483.186880514</v>
      </c>
      <c r="AC60" s="407">
        <f>SUMIF(Opex!$C$5:$C$75,'Gráficos Antigo'!$B60,Opex!AE$5:AE$75)</f>
        <v>21241483.186880514</v>
      </c>
      <c r="AD60" s="407">
        <f>SUMIF(Opex!$C$5:$C$75,'Gráficos Antigo'!$B60,Opex!AF$5:AF$75)</f>
        <v>21241483.186880514</v>
      </c>
      <c r="AE60" s="407">
        <f>SUMIF(Opex!$C$5:$C$75,'Gráficos Antigo'!$B60,Opex!AG$5:AG$75)</f>
        <v>21241483.186880514</v>
      </c>
      <c r="AF60" s="407">
        <f>SUMIF(Opex!$C$5:$C$75,'Gráficos Antigo'!$B60,Opex!AH$5:AH$75)</f>
        <v>21241483.186880514</v>
      </c>
      <c r="AG60" s="407">
        <f>SUMIF(Opex!$C$5:$C$75,'Gráficos Antigo'!$B60,Opex!AI$5:AI$75)</f>
        <v>21241483.186880514</v>
      </c>
      <c r="AH60" s="407">
        <f>SUM(D60:AG60)</f>
        <v>582090336.82316732</v>
      </c>
    </row>
    <row r="61" spans="2:34">
      <c r="B61" s="412">
        <v>2</v>
      </c>
      <c r="C61" s="401" t="s">
        <v>83</v>
      </c>
      <c r="D61" s="407">
        <f>SUMIF(Opex!$C$5:$C$75,'Gráficos Antigo'!$B61,Opex!F$5:F$75)</f>
        <v>2170802.7949739667</v>
      </c>
      <c r="E61" s="407">
        <f>SUMIF(Opex!$C$5:$C$75,'Gráficos Antigo'!$B61,Opex!G$5:G$75)</f>
        <v>1149325.8910069666</v>
      </c>
      <c r="F61" s="407">
        <f>SUMIF(Opex!$C$5:$C$75,'Gráficos Antigo'!$B61,Opex!H$5:H$75)</f>
        <v>1313696.4355061664</v>
      </c>
      <c r="G61" s="407">
        <f>SUMIF(Opex!$C$5:$C$75,'Gráficos Antigo'!$B61,Opex!I$5:I$75)</f>
        <v>1243956.8214139666</v>
      </c>
      <c r="H61" s="407">
        <f>SUMIF(Opex!$C$5:$C$75,'Gráficos Antigo'!$B61,Opex!J$5:J$75)</f>
        <v>1325279.2580543032</v>
      </c>
      <c r="I61" s="407">
        <f>SUMIF(Opex!$C$5:$C$75,'Gráficos Antigo'!$B61,Opex!K$5:K$75)</f>
        <v>1243546.3179551035</v>
      </c>
      <c r="J61" s="407">
        <f>SUMIF(Opex!$C$5:$C$75,'Gráficos Antigo'!$B61,Opex!L$5:L$75)</f>
        <v>1422938.5963198368</v>
      </c>
      <c r="K61" s="407">
        <f>SUMIF(Opex!$C$5:$C$75,'Gráficos Antigo'!$B61,Opex!M$5:M$75)</f>
        <v>1282847.8498628768</v>
      </c>
      <c r="L61" s="407">
        <f>SUMIF(Opex!$C$5:$C$75,'Gráficos Antigo'!$B61,Opex!N$5:N$75)</f>
        <v>1519063.8538285068</v>
      </c>
      <c r="M61" s="407">
        <f>SUMIF(Opex!$C$5:$C$75,'Gráficos Antigo'!$B61,Opex!O$5:O$75)</f>
        <v>1282847.8498628768</v>
      </c>
      <c r="N61" s="407">
        <f>SUMIF(Opex!$C$5:$C$75,'Gráficos Antigo'!$B61,Opex!P$5:P$75)</f>
        <v>1422938.5963198368</v>
      </c>
      <c r="O61" s="407">
        <f>SUMIF(Opex!$C$5:$C$75,'Gráficos Antigo'!$B61,Opex!Q$5:Q$75)</f>
        <v>1282847.8498628768</v>
      </c>
      <c r="P61" s="407">
        <f>SUMIF(Opex!$C$5:$C$75,'Gráficos Antigo'!$B61,Opex!R$5:R$75)</f>
        <v>1422938.5963198368</v>
      </c>
      <c r="Q61" s="407">
        <f>SUMIF(Opex!$C$5:$C$75,'Gráficos Antigo'!$B61,Opex!S$5:S$75)</f>
        <v>1378973.1073715468</v>
      </c>
      <c r="R61" s="407">
        <f>SUMIF(Opex!$C$5:$C$75,'Gráficos Antigo'!$B61,Opex!T$5:T$75)</f>
        <v>1423593.0542871701</v>
      </c>
      <c r="S61" s="407">
        <f>SUMIF(Opex!$C$5:$C$75,'Gráficos Antigo'!$B61,Opex!U$5:U$75)</f>
        <v>1286381.8173287399</v>
      </c>
      <c r="T61" s="407">
        <f>SUMIF(Opex!$C$5:$C$75,'Gráficos Antigo'!$B61,Opex!V$5:V$75)</f>
        <v>1426472.5637856999</v>
      </c>
      <c r="U61" s="407">
        <f>SUMIF(Opex!$C$5:$C$75,'Gráficos Antigo'!$B61,Opex!W$5:W$75)</f>
        <v>1286381.8173287399</v>
      </c>
      <c r="V61" s="407">
        <f>SUMIF(Opex!$C$5:$C$75,'Gráficos Antigo'!$B61,Opex!X$5:X$75)</f>
        <v>1533518.7069168999</v>
      </c>
      <c r="W61" s="407">
        <f>SUMIF(Opex!$C$5:$C$75,'Gráficos Antigo'!$B61,Opex!Y$5:Y$75)</f>
        <v>1286381.8173287399</v>
      </c>
      <c r="X61" s="407">
        <f>SUMIF(Opex!$C$5:$C$75,'Gráficos Antigo'!$B61,Opex!Z$5:Z$75)</f>
        <v>1426472.5637856999</v>
      </c>
      <c r="Y61" s="407">
        <f>SUMIF(Opex!$C$5:$C$75,'Gráficos Antigo'!$B61,Opex!AA$5:AA$75)</f>
        <v>1286381.8173287399</v>
      </c>
      <c r="Z61" s="407">
        <f>SUMIF(Opex!$C$5:$C$75,'Gráficos Antigo'!$B61,Opex!AB$5:AB$75)</f>
        <v>1426472.5637856999</v>
      </c>
      <c r="AA61" s="407">
        <f>SUMIF(Opex!$C$5:$C$75,'Gráficos Antigo'!$B61,Opex!AC$5:AC$75)</f>
        <v>1393427.9604599399</v>
      </c>
      <c r="AB61" s="407">
        <f>SUMIF(Opex!$C$5:$C$75,'Gráficos Antigo'!$B61,Opex!AD$5:AD$75)</f>
        <v>1426472.5637856999</v>
      </c>
      <c r="AC61" s="407">
        <f>SUMIF(Opex!$C$5:$C$75,'Gráficos Antigo'!$B61,Opex!AE$5:AE$75)</f>
        <v>1286381.8173287399</v>
      </c>
      <c r="AD61" s="407">
        <f>SUMIF(Opex!$C$5:$C$75,'Gráficos Antigo'!$B61,Opex!AF$5:AF$75)</f>
        <v>1426472.5637856999</v>
      </c>
      <c r="AE61" s="407">
        <f>SUMIF(Opex!$C$5:$C$75,'Gráficos Antigo'!$B61,Opex!AG$5:AG$75)</f>
        <v>1286381.8173287399</v>
      </c>
      <c r="AF61" s="407">
        <f>SUMIF(Opex!$C$5:$C$75,'Gráficos Antigo'!$B61,Opex!AH$5:AH$75)</f>
        <v>1533518.7069168999</v>
      </c>
      <c r="AG61" s="407">
        <f>SUMIF(Opex!$C$5:$C$75,'Gráficos Antigo'!$B61,Opex!AI$5:AI$75)</f>
        <v>1286381.8173287399</v>
      </c>
      <c r="AH61" s="407">
        <f t="shared" ref="AH61:AH63" si="2">SUM(D61:AG61)</f>
        <v>41483097.787469238</v>
      </c>
    </row>
    <row r="62" spans="2:34">
      <c r="B62" s="412">
        <v>3</v>
      </c>
      <c r="C62" s="401" t="s">
        <v>84</v>
      </c>
      <c r="D62" s="407">
        <f>SUMIF(Opex!$C$5:$C$75,'Gráficos Antigo'!$B62,Opex!F$5:F$75)</f>
        <v>18908302.570155483</v>
      </c>
      <c r="E62" s="407">
        <f>SUMIF(Opex!$C$5:$C$75,'Gráficos Antigo'!$B62,Opex!G$5:G$75)</f>
        <v>24911813.160483122</v>
      </c>
      <c r="F62" s="407">
        <f>SUMIF(Opex!$C$5:$C$75,'Gráficos Antigo'!$B62,Opex!H$5:H$75)</f>
        <v>25315453.229141884</v>
      </c>
      <c r="G62" s="407">
        <f>SUMIF(Opex!$C$5:$C$75,'Gráficos Antigo'!$B62,Opex!I$5:I$75)</f>
        <v>25405626.141875379</v>
      </c>
      <c r="H62" s="407">
        <f>SUMIF(Opex!$C$5:$C$75,'Gráficos Antigo'!$B62,Opex!J$5:J$75)</f>
        <v>25488818.465001296</v>
      </c>
      <c r="I62" s="407">
        <f>SUMIF(Opex!$C$5:$C$75,'Gráficos Antigo'!$B62,Opex!K$5:K$75)</f>
        <v>23832534.151884265</v>
      </c>
      <c r="J62" s="407">
        <f>SUMIF(Opex!$C$5:$C$75,'Gráficos Antigo'!$B62,Opex!L$5:L$75)</f>
        <v>25664347.122968938</v>
      </c>
      <c r="K62" s="407">
        <f>SUMIF(Opex!$C$5:$C$75,'Gráficos Antigo'!$B62,Opex!M$5:M$75)</f>
        <v>25702422.615055066</v>
      </c>
      <c r="L62" s="407">
        <f>SUMIF(Opex!$C$5:$C$75,'Gráficos Antigo'!$B62,Opex!N$5:N$75)</f>
        <v>25990057.996988632</v>
      </c>
      <c r="M62" s="407">
        <f>SUMIF(Opex!$C$5:$C$75,'Gráficos Antigo'!$B62,Opex!O$5:O$75)</f>
        <v>26052569.489074759</v>
      </c>
      <c r="N62" s="407">
        <f>SUMIF(Opex!$C$5:$C$75,'Gráficos Antigo'!$B62,Opex!P$5:P$75)</f>
        <v>26115791.72720395</v>
      </c>
      <c r="O62" s="407">
        <f>SUMIF(Opex!$C$5:$C$75,'Gráficos Antigo'!$B62,Opex!Q$5:Q$75)</f>
        <v>26387376.584469028</v>
      </c>
      <c r="P62" s="407">
        <f>SUMIF(Opex!$C$5:$C$75,'Gráficos Antigo'!$B62,Opex!R$5:R$75)</f>
        <v>26475034.822598215</v>
      </c>
      <c r="Q62" s="407">
        <f>SUMIF(Opex!$C$5:$C$75,'Gráficos Antigo'!$B62,Opex!S$5:S$75)</f>
        <v>26538257.060727403</v>
      </c>
      <c r="R62" s="407">
        <f>SUMIF(Opex!$C$5:$C$75,'Gráficos Antigo'!$B62,Opex!T$5:T$75)</f>
        <v>26631005.160827234</v>
      </c>
      <c r="S62" s="407">
        <f>SUMIF(Opex!$C$5:$C$75,'Gráficos Antigo'!$B62,Opex!U$5:U$75)</f>
        <v>26824279.732337289</v>
      </c>
      <c r="T62" s="407">
        <f>SUMIF(Opex!$C$5:$C$75,'Gráficos Antigo'!$B62,Opex!V$5:V$75)</f>
        <v>26874928.597444944</v>
      </c>
      <c r="U62" s="407">
        <f>SUMIF(Opex!$C$5:$C$75,'Gráficos Antigo'!$B62,Opex!W$5:W$75)</f>
        <v>26995632.978451647</v>
      </c>
      <c r="V62" s="407">
        <f>SUMIF(Opex!$C$5:$C$75,'Gráficos Antigo'!$B62,Opex!X$5:X$75)</f>
        <v>27007850.978451647</v>
      </c>
      <c r="W62" s="407">
        <f>SUMIF(Opex!$C$5:$C$75,'Gráficos Antigo'!$B62,Opex!Y$5:Y$75)</f>
        <v>25225531.499453101</v>
      </c>
      <c r="X62" s="407">
        <f>SUMIF(Opex!$C$5:$C$75,'Gráficos Antigo'!$B62,Opex!Z$5:Z$75)</f>
        <v>25225531.499453101</v>
      </c>
      <c r="Y62" s="407">
        <f>SUMIF(Opex!$C$5:$C$75,'Gráficos Antigo'!$B62,Opex!AA$5:AA$75)</f>
        <v>25237749.499453105</v>
      </c>
      <c r="Z62" s="407">
        <f>SUMIF(Opex!$C$5:$C$75,'Gráficos Antigo'!$B62,Opex!AB$5:AB$75)</f>
        <v>25225531.499453101</v>
      </c>
      <c r="AA62" s="407">
        <f>SUMIF(Opex!$C$5:$C$75,'Gráficos Antigo'!$B62,Opex!AC$5:AC$75)</f>
        <v>25225531.499453101</v>
      </c>
      <c r="AB62" s="407">
        <f>SUMIF(Opex!$C$5:$C$75,'Gráficos Antigo'!$B62,Opex!AD$5:AD$75)</f>
        <v>25237749.499453105</v>
      </c>
      <c r="AC62" s="407">
        <f>SUMIF(Opex!$C$5:$C$75,'Gráficos Antigo'!$B62,Opex!AE$5:AE$75)</f>
        <v>23590481.837632798</v>
      </c>
      <c r="AD62" s="407">
        <f>SUMIF(Opex!$C$5:$C$75,'Gráficos Antigo'!$B62,Opex!AF$5:AF$75)</f>
        <v>23590481.837632798</v>
      </c>
      <c r="AE62" s="407">
        <f>SUMIF(Opex!$C$5:$C$75,'Gráficos Antigo'!$B62,Opex!AG$5:AG$75)</f>
        <v>23602699.837632798</v>
      </c>
      <c r="AF62" s="407">
        <f>SUMIF(Opex!$C$5:$C$75,'Gráficos Antigo'!$B62,Opex!AH$5:AH$75)</f>
        <v>23590481.837632798</v>
      </c>
      <c r="AG62" s="407">
        <f>SUMIF(Opex!$C$5:$C$75,'Gráficos Antigo'!$B62,Opex!AI$5:AI$75)</f>
        <v>23590481.837632798</v>
      </c>
      <c r="AH62" s="407">
        <f t="shared" si="2"/>
        <v>756464354.77002263</v>
      </c>
    </row>
    <row r="63" spans="2:34">
      <c r="B63" s="412">
        <v>5</v>
      </c>
      <c r="C63" s="401" t="s">
        <v>85</v>
      </c>
      <c r="D63" s="407">
        <f>SUMIF(Opex!$C$5:$C$75,'Gráficos Antigo'!$B63,Opex!F$5:F$75)</f>
        <v>779335.85735448718</v>
      </c>
      <c r="E63" s="407">
        <f>SUMIF(Opex!$C$5:$C$75,'Gráficos Antigo'!$B63,Opex!G$5:G$75)</f>
        <v>1163833.9353101032</v>
      </c>
      <c r="F63" s="407">
        <f>SUMIF(Opex!$C$5:$C$75,'Gráficos Antigo'!$B63,Opex!H$5:H$75)</f>
        <v>3843827.8599121887</v>
      </c>
      <c r="G63" s="407">
        <f>SUMIF(Opex!$C$5:$C$75,'Gráficos Antigo'!$B63,Opex!I$5:I$75)</f>
        <v>4708558.7674925812</v>
      </c>
      <c r="H63" s="407">
        <f>SUMIF(Opex!$C$5:$C$75,'Gráficos Antigo'!$B63,Opex!J$5:J$75)</f>
        <v>4777244.5980187654</v>
      </c>
      <c r="I63" s="407">
        <f>SUMIF(Opex!$C$5:$C$75,'Gráficos Antigo'!$B63,Opex!K$5:K$75)</f>
        <v>4708558.7674925812</v>
      </c>
      <c r="J63" s="407">
        <f>SUMIF(Opex!$C$5:$C$75,'Gráficos Antigo'!$B63,Opex!L$5:L$75)</f>
        <v>4708558.7674925812</v>
      </c>
      <c r="K63" s="407">
        <f>SUMIF(Opex!$C$5:$C$75,'Gráficos Antigo'!$B63,Opex!M$5:M$75)</f>
        <v>4783167.5210606754</v>
      </c>
      <c r="L63" s="407">
        <f>SUMIF(Opex!$C$5:$C$75,'Gráficos Antigo'!$B63,Opex!N$5:N$75)</f>
        <v>2171859.4269847758</v>
      </c>
      <c r="M63" s="407">
        <f>SUMIF(Opex!$C$5:$C$75,'Gráficos Antigo'!$B63,Opex!O$5:O$75)</f>
        <v>2103173.5964585906</v>
      </c>
      <c r="N63" s="407">
        <f>SUMIF(Opex!$C$5:$C$75,'Gráficos Antigo'!$B63,Opex!P$5:P$75)</f>
        <v>2103173.5964585906</v>
      </c>
      <c r="O63" s="407">
        <f>SUMIF(Opex!$C$5:$C$75,'Gráficos Antigo'!$B63,Opex!Q$5:Q$75)</f>
        <v>2103173.5964585906</v>
      </c>
      <c r="P63" s="407">
        <f>SUMIF(Opex!$C$5:$C$75,'Gráficos Antigo'!$B63,Opex!R$5:R$75)</f>
        <v>2171859.4269847758</v>
      </c>
      <c r="Q63" s="407">
        <f>SUMIF(Opex!$C$5:$C$75,'Gráficos Antigo'!$B63,Opex!S$5:S$75)</f>
        <v>2103173.5964585906</v>
      </c>
      <c r="R63" s="407">
        <f>SUMIF(Opex!$C$5:$C$75,'Gráficos Antigo'!$B63,Opex!T$5:T$75)</f>
        <v>2103173.5964585906</v>
      </c>
      <c r="S63" s="407">
        <f>SUMIF(Opex!$C$5:$C$75,'Gráficos Antigo'!$B63,Opex!U$5:U$75)</f>
        <v>2103173.5964585906</v>
      </c>
      <c r="T63" s="407">
        <f>SUMIF(Opex!$C$5:$C$75,'Gráficos Antigo'!$B63,Opex!V$5:V$75)</f>
        <v>2171859.4269847758</v>
      </c>
      <c r="U63" s="407">
        <f>SUMIF(Opex!$C$5:$C$75,'Gráficos Antigo'!$B63,Opex!W$5:W$75)</f>
        <v>2103173.5964585906</v>
      </c>
      <c r="V63" s="407">
        <f>SUMIF(Opex!$C$5:$C$75,'Gráficos Antigo'!$B63,Opex!X$5:X$75)</f>
        <v>2103173.5964585906</v>
      </c>
      <c r="W63" s="407">
        <f>SUMIF(Opex!$C$5:$C$75,'Gráficos Antigo'!$B63,Opex!Y$5:Y$75)</f>
        <v>2103173.5964585906</v>
      </c>
      <c r="X63" s="407">
        <f>SUMIF(Opex!$C$5:$C$75,'Gráficos Antigo'!$B63,Opex!Z$5:Z$75)</f>
        <v>2171859.4269847758</v>
      </c>
      <c r="Y63" s="407">
        <f>SUMIF(Opex!$C$5:$C$75,'Gráficos Antigo'!$B63,Opex!AA$5:AA$75)</f>
        <v>2103173.5964585906</v>
      </c>
      <c r="Z63" s="407">
        <f>SUMIF(Opex!$C$5:$C$75,'Gráficos Antigo'!$B63,Opex!AB$5:AB$75)</f>
        <v>2103173.5964585906</v>
      </c>
      <c r="AA63" s="407">
        <f>SUMIF(Opex!$C$5:$C$75,'Gráficos Antigo'!$B63,Opex!AC$5:AC$75)</f>
        <v>2103173.5964585906</v>
      </c>
      <c r="AB63" s="407">
        <f>SUMIF(Opex!$C$5:$C$75,'Gráficos Antigo'!$B63,Opex!AD$5:AD$75)</f>
        <v>2171859.4269847758</v>
      </c>
      <c r="AC63" s="407">
        <f>SUMIF(Opex!$C$5:$C$75,'Gráficos Antigo'!$B63,Opex!AE$5:AE$75)</f>
        <v>2103173.5964585906</v>
      </c>
      <c r="AD63" s="407">
        <f>SUMIF(Opex!$C$5:$C$75,'Gráficos Antigo'!$B63,Opex!AF$5:AF$75)</f>
        <v>2103173.5964585906</v>
      </c>
      <c r="AE63" s="407">
        <f>SUMIF(Opex!$C$5:$C$75,'Gráficos Antigo'!$B63,Opex!AG$5:AG$75)</f>
        <v>2103173.5964585906</v>
      </c>
      <c r="AF63" s="407">
        <f>SUMIF(Opex!$C$5:$C$75,'Gráficos Antigo'!$B63,Opex!AH$5:AH$75)</f>
        <v>2171859.4269847758</v>
      </c>
      <c r="AG63" s="407">
        <f>SUMIF(Opex!$C$5:$C$75,'Gráficos Antigo'!$B63,Opex!AI$5:AI$75)</f>
        <v>2103173.5964585906</v>
      </c>
      <c r="AH63" s="407">
        <f t="shared" si="2"/>
        <v>76155020.179380059</v>
      </c>
    </row>
    <row r="64" spans="2:34">
      <c r="B64" s="412"/>
      <c r="C64" s="401" t="s">
        <v>86</v>
      </c>
      <c r="D64" s="407">
        <f>SUM(D60:D63)</f>
        <v>34795902.606316827</v>
      </c>
      <c r="E64" s="407">
        <f>SUM(E60:E63)+D64</f>
        <v>75008076.519175798</v>
      </c>
      <c r="F64" s="407">
        <f t="shared" ref="F64:O64" si="3">SUM(F60:F63)+E64</f>
        <v>119376800.35868186</v>
      </c>
      <c r="G64" s="407">
        <f t="shared" si="3"/>
        <v>166897247.48888353</v>
      </c>
      <c r="H64" s="407">
        <f t="shared" si="3"/>
        <v>216101352.14660525</v>
      </c>
      <c r="I64" s="407">
        <f t="shared" si="3"/>
        <v>264014401.83530697</v>
      </c>
      <c r="J64" s="407">
        <f t="shared" si="3"/>
        <v>313992018.32302976</v>
      </c>
      <c r="K64" s="407">
        <f t="shared" si="3"/>
        <v>364114888.2742877</v>
      </c>
      <c r="L64" s="407">
        <f t="shared" si="3"/>
        <v>412511725.35750306</v>
      </c>
      <c r="M64" s="407">
        <f t="shared" si="3"/>
        <v>460911843.82518977</v>
      </c>
      <c r="N64" s="407">
        <f t="shared" si="3"/>
        <v>509624906.83840126</v>
      </c>
      <c r="O64" s="407">
        <f t="shared" si="3"/>
        <v>558732044.4997561</v>
      </c>
      <c r="P64" s="407">
        <f t="shared" ref="P64" si="4">SUM(P60:P63)+O64</f>
        <v>608273821.05670118</v>
      </c>
      <c r="Q64" s="407">
        <f t="shared" ref="Q64" si="5">SUM(Q60:Q63)+P64</f>
        <v>658041868.1549865</v>
      </c>
      <c r="R64" s="407">
        <f t="shared" ref="R64" si="6">SUM(R60:R63)+Q64</f>
        <v>708455457.92441714</v>
      </c>
      <c r="S64" s="407">
        <f t="shared" ref="S64" si="7">SUM(S60:S63)+R64</f>
        <v>759687929.46158218</v>
      </c>
      <c r="T64" s="407">
        <f t="shared" ref="T64" si="8">SUM(T60:T63)+S64</f>
        <v>811275831.20985758</v>
      </c>
      <c r="U64" s="407">
        <f t="shared" ref="U64" si="9">SUM(U60:U63)+T64</f>
        <v>862902502.78897703</v>
      </c>
      <c r="V64" s="407">
        <f t="shared" ref="V64" si="10">SUM(V60:V63)+U64</f>
        <v>914788529.25768471</v>
      </c>
      <c r="W64" s="407">
        <f t="shared" ref="W64" si="11">SUM(W60:W63)+V64</f>
        <v>964645099.35780561</v>
      </c>
      <c r="X64" s="407">
        <f t="shared" ref="X64" si="12">SUM(X60:X63)+W64</f>
        <v>1014710446.0349097</v>
      </c>
      <c r="Y64" s="407">
        <f t="shared" ref="Y64" si="13">SUM(Y60:Y63)+X64</f>
        <v>1064579234.1350306</v>
      </c>
      <c r="Z64" s="407">
        <f t="shared" ref="Z64" si="14">SUM(Z60:Z63)+Y64</f>
        <v>1114575894.9816086</v>
      </c>
      <c r="AA64" s="407">
        <f t="shared" ref="AA64" si="15">SUM(AA60:AA63)+Z64</f>
        <v>1164539511.2248607</v>
      </c>
      <c r="AB64" s="407">
        <f t="shared" ref="AB64" si="16">SUM(AB60:AB63)+AA64</f>
        <v>1214617075.9019647</v>
      </c>
      <c r="AC64" s="407">
        <f t="shared" ref="AC64" si="17">SUM(AC60:AC63)+AB64</f>
        <v>1262838596.3402653</v>
      </c>
      <c r="AD64" s="407">
        <f t="shared" ref="AD64" si="18">SUM(AD60:AD63)+AC64</f>
        <v>1311200207.525023</v>
      </c>
      <c r="AE64" s="407">
        <f t="shared" ref="AE64" si="19">SUM(AE60:AE63)+AD64</f>
        <v>1359433945.9633236</v>
      </c>
      <c r="AF64" s="407">
        <f t="shared" ref="AF64" si="20">SUM(AF60:AF63)+AE64</f>
        <v>1407971289.1217387</v>
      </c>
      <c r="AG64" s="407">
        <f>SUM(AG60:AG63)+AF64</f>
        <v>1456192809.5600393</v>
      </c>
      <c r="AH64" s="407">
        <f>SUM(AH60:AH63)</f>
        <v>1456192809.560039</v>
      </c>
    </row>
    <row r="104" spans="1:34" s="410" customFormat="1"/>
    <row r="105" spans="1:34">
      <c r="A105" s="419"/>
    </row>
    <row r="106" spans="1:34">
      <c r="A106" s="419"/>
      <c r="C106" s="405" t="s">
        <v>87</v>
      </c>
    </row>
    <row r="107" spans="1:34" s="405" customFormat="1">
      <c r="A107" s="420"/>
      <c r="B107" s="411"/>
      <c r="C107" s="402"/>
      <c r="D107" s="402" t="str">
        <f t="shared" ref="D107:AG107" si="21">D$13</f>
        <v>Ano 1</v>
      </c>
      <c r="E107" s="402" t="str">
        <f t="shared" si="21"/>
        <v>Ano 2</v>
      </c>
      <c r="F107" s="402" t="str">
        <f t="shared" si="21"/>
        <v>Ano 3</v>
      </c>
      <c r="G107" s="402" t="str">
        <f t="shared" si="21"/>
        <v>Ano 4</v>
      </c>
      <c r="H107" s="402" t="str">
        <f t="shared" si="21"/>
        <v>Ano 5</v>
      </c>
      <c r="I107" s="402" t="str">
        <f t="shared" si="21"/>
        <v>Ano 6</v>
      </c>
      <c r="J107" s="402" t="str">
        <f t="shared" si="21"/>
        <v>Ano 7</v>
      </c>
      <c r="K107" s="402" t="str">
        <f t="shared" si="21"/>
        <v>Ano 8</v>
      </c>
      <c r="L107" s="402" t="str">
        <f t="shared" si="21"/>
        <v>Ano 9</v>
      </c>
      <c r="M107" s="402" t="str">
        <f t="shared" si="21"/>
        <v>Ano 10</v>
      </c>
      <c r="N107" s="402" t="str">
        <f t="shared" si="21"/>
        <v>Ano 11</v>
      </c>
      <c r="O107" s="402" t="str">
        <f t="shared" si="21"/>
        <v>Ano 12</v>
      </c>
      <c r="P107" s="402" t="str">
        <f t="shared" si="21"/>
        <v>Ano 13</v>
      </c>
      <c r="Q107" s="402" t="str">
        <f t="shared" si="21"/>
        <v>Ano 14</v>
      </c>
      <c r="R107" s="402" t="str">
        <f t="shared" si="21"/>
        <v>Ano 15</v>
      </c>
      <c r="S107" s="402" t="str">
        <f t="shared" si="21"/>
        <v>Ano 16</v>
      </c>
      <c r="T107" s="402" t="str">
        <f t="shared" si="21"/>
        <v>Ano 17</v>
      </c>
      <c r="U107" s="402" t="str">
        <f t="shared" si="21"/>
        <v>Ano 18</v>
      </c>
      <c r="V107" s="402" t="str">
        <f t="shared" si="21"/>
        <v>Ano 19</v>
      </c>
      <c r="W107" s="402" t="str">
        <f t="shared" si="21"/>
        <v>Ano 20</v>
      </c>
      <c r="X107" s="402" t="str">
        <f t="shared" si="21"/>
        <v>Ano 21</v>
      </c>
      <c r="Y107" s="402" t="str">
        <f t="shared" si="21"/>
        <v>Ano 22</v>
      </c>
      <c r="Z107" s="402" t="str">
        <f t="shared" si="21"/>
        <v>Ano 23</v>
      </c>
      <c r="AA107" s="402" t="str">
        <f t="shared" si="21"/>
        <v>Ano 24</v>
      </c>
      <c r="AB107" s="402" t="str">
        <f t="shared" si="21"/>
        <v>Ano 25</v>
      </c>
      <c r="AC107" s="402" t="str">
        <f t="shared" si="21"/>
        <v>Ano 26</v>
      </c>
      <c r="AD107" s="402" t="str">
        <f t="shared" si="21"/>
        <v>Ano 27</v>
      </c>
      <c r="AE107" s="402" t="str">
        <f t="shared" si="21"/>
        <v>Ano 28</v>
      </c>
      <c r="AF107" s="402" t="str">
        <f t="shared" si="21"/>
        <v>Ano 29</v>
      </c>
      <c r="AG107" s="402" t="str">
        <f t="shared" si="21"/>
        <v>Ano 30</v>
      </c>
      <c r="AH107" s="402" t="s">
        <v>73</v>
      </c>
    </row>
    <row r="108" spans="1:34">
      <c r="A108" s="419"/>
      <c r="B108" s="412">
        <v>4</v>
      </c>
      <c r="C108" s="407" t="str" cm="1">
        <f t="array" ref="C108:C120">Opex!B81:B93</f>
        <v>Pagamento à B3</v>
      </c>
      <c r="D108" s="407" cm="1">
        <f t="array" aca="1" ref="D108:AG120" ca="1">Opex!E81:AH93</f>
        <v>571948.12778373249</v>
      </c>
      <c r="E108" s="407">
        <f ca="1"/>
        <v>0</v>
      </c>
      <c r="F108" s="407">
        <f ca="1"/>
        <v>0</v>
      </c>
      <c r="G108" s="407">
        <f ca="1"/>
        <v>0</v>
      </c>
      <c r="H108" s="407">
        <f ca="1"/>
        <v>0</v>
      </c>
      <c r="I108" s="407">
        <f ca="1"/>
        <v>0</v>
      </c>
      <c r="J108" s="407">
        <f ca="1"/>
        <v>0</v>
      </c>
      <c r="K108" s="407">
        <f ca="1"/>
        <v>0</v>
      </c>
      <c r="L108" s="407">
        <f ca="1"/>
        <v>0</v>
      </c>
      <c r="M108" s="407">
        <f ca="1"/>
        <v>0</v>
      </c>
      <c r="N108" s="407">
        <f ca="1"/>
        <v>0</v>
      </c>
      <c r="O108" s="407">
        <f ca="1"/>
        <v>0</v>
      </c>
      <c r="P108" s="407">
        <f ca="1"/>
        <v>0</v>
      </c>
      <c r="Q108" s="407">
        <f ca="1"/>
        <v>0</v>
      </c>
      <c r="R108" s="407">
        <f ca="1"/>
        <v>0</v>
      </c>
      <c r="S108" s="407">
        <f ca="1"/>
        <v>0</v>
      </c>
      <c r="T108" s="407">
        <f ca="1"/>
        <v>0</v>
      </c>
      <c r="U108" s="407">
        <f ca="1"/>
        <v>0</v>
      </c>
      <c r="V108" s="407">
        <f ca="1"/>
        <v>0</v>
      </c>
      <c r="W108" s="407">
        <f ca="1"/>
        <v>0</v>
      </c>
      <c r="X108" s="407">
        <f ca="1"/>
        <v>0</v>
      </c>
      <c r="Y108" s="407">
        <f ca="1"/>
        <v>0</v>
      </c>
      <c r="Z108" s="407">
        <f ca="1"/>
        <v>0</v>
      </c>
      <c r="AA108" s="407">
        <f ca="1"/>
        <v>0</v>
      </c>
      <c r="AB108" s="407">
        <f ca="1"/>
        <v>0</v>
      </c>
      <c r="AC108" s="407">
        <f ca="1"/>
        <v>0</v>
      </c>
      <c r="AD108" s="407">
        <f ca="1"/>
        <v>0</v>
      </c>
      <c r="AE108" s="407">
        <f ca="1"/>
        <v>0</v>
      </c>
      <c r="AF108" s="407">
        <f ca="1"/>
        <v>0</v>
      </c>
      <c r="AG108" s="407">
        <f ca="1"/>
        <v>0</v>
      </c>
      <c r="AH108" s="407">
        <f ca="1">SUM(D108:AG108)</f>
        <v>571948.12778373249</v>
      </c>
    </row>
    <row r="109" spans="1:34">
      <c r="A109" s="419"/>
      <c r="B109" s="412">
        <v>4</v>
      </c>
      <c r="C109" s="407" t="str">
        <v>Ressarcimento ao Estado pelo pagamento de parcela à B3</v>
      </c>
      <c r="D109" s="407">
        <f ca="1"/>
        <v>97863.231654534582</v>
      </c>
      <c r="E109" s="407">
        <f ca="1"/>
        <v>0</v>
      </c>
      <c r="F109" s="407">
        <f ca="1"/>
        <v>0</v>
      </c>
      <c r="G109" s="407">
        <f ca="1"/>
        <v>0</v>
      </c>
      <c r="H109" s="407">
        <f ca="1"/>
        <v>0</v>
      </c>
      <c r="I109" s="407">
        <f ca="1"/>
        <v>0</v>
      </c>
      <c r="J109" s="407">
        <f ca="1"/>
        <v>0</v>
      </c>
      <c r="K109" s="407">
        <f ca="1"/>
        <v>0</v>
      </c>
      <c r="L109" s="407">
        <f ca="1"/>
        <v>0</v>
      </c>
      <c r="M109" s="407">
        <f ca="1"/>
        <v>0</v>
      </c>
      <c r="N109" s="407">
        <f ca="1"/>
        <v>0</v>
      </c>
      <c r="O109" s="407">
        <f ca="1"/>
        <v>0</v>
      </c>
      <c r="P109" s="407">
        <f ca="1"/>
        <v>0</v>
      </c>
      <c r="Q109" s="407">
        <f ca="1"/>
        <v>0</v>
      </c>
      <c r="R109" s="407">
        <f ca="1"/>
        <v>0</v>
      </c>
      <c r="S109" s="407">
        <f ca="1"/>
        <v>0</v>
      </c>
      <c r="T109" s="407">
        <f ca="1"/>
        <v>0</v>
      </c>
      <c r="U109" s="407">
        <f ca="1"/>
        <v>0</v>
      </c>
      <c r="V109" s="407">
        <f ca="1"/>
        <v>0</v>
      </c>
      <c r="W109" s="407">
        <f ca="1"/>
        <v>0</v>
      </c>
      <c r="X109" s="407">
        <f ca="1"/>
        <v>0</v>
      </c>
      <c r="Y109" s="407">
        <f ca="1"/>
        <v>0</v>
      </c>
      <c r="Z109" s="407">
        <f ca="1"/>
        <v>0</v>
      </c>
      <c r="AA109" s="407">
        <f ca="1"/>
        <v>0</v>
      </c>
      <c r="AB109" s="407">
        <f ca="1"/>
        <v>0</v>
      </c>
      <c r="AC109" s="407">
        <f ca="1"/>
        <v>0</v>
      </c>
      <c r="AD109" s="407">
        <f ca="1"/>
        <v>0</v>
      </c>
      <c r="AE109" s="407">
        <f ca="1"/>
        <v>0</v>
      </c>
      <c r="AF109" s="407">
        <f ca="1"/>
        <v>0</v>
      </c>
      <c r="AG109" s="407">
        <f ca="1"/>
        <v>0</v>
      </c>
      <c r="AH109" s="407">
        <f t="shared" ref="AH109:AH121" ca="1" si="22">SUM(D109:AG109)</f>
        <v>97863.231654534582</v>
      </c>
    </row>
    <row r="110" spans="1:34">
      <c r="A110" s="419"/>
      <c r="B110" s="412">
        <v>2</v>
      </c>
      <c r="C110" s="407" t="str">
        <v>Ressarcimento Estudos (BDMG)</v>
      </c>
      <c r="D110" s="407">
        <f ca="1"/>
        <v>9228916.090936657</v>
      </c>
      <c r="E110" s="407">
        <f ca="1"/>
        <v>0</v>
      </c>
      <c r="F110" s="407">
        <f ca="1"/>
        <v>0</v>
      </c>
      <c r="G110" s="407">
        <f ca="1"/>
        <v>0</v>
      </c>
      <c r="H110" s="407">
        <f ca="1"/>
        <v>0</v>
      </c>
      <c r="I110" s="407">
        <f ca="1"/>
        <v>0</v>
      </c>
      <c r="J110" s="407">
        <f ca="1"/>
        <v>0</v>
      </c>
      <c r="K110" s="407">
        <f ca="1"/>
        <v>0</v>
      </c>
      <c r="L110" s="407">
        <f ca="1"/>
        <v>0</v>
      </c>
      <c r="M110" s="407">
        <f ca="1"/>
        <v>0</v>
      </c>
      <c r="N110" s="407">
        <f ca="1"/>
        <v>0</v>
      </c>
      <c r="O110" s="407">
        <f ca="1"/>
        <v>0</v>
      </c>
      <c r="P110" s="407">
        <f ca="1"/>
        <v>0</v>
      </c>
      <c r="Q110" s="407">
        <f ca="1"/>
        <v>0</v>
      </c>
      <c r="R110" s="407">
        <f ca="1"/>
        <v>0</v>
      </c>
      <c r="S110" s="407">
        <f ca="1"/>
        <v>0</v>
      </c>
      <c r="T110" s="407">
        <f ca="1"/>
        <v>0</v>
      </c>
      <c r="U110" s="407">
        <f ca="1"/>
        <v>0</v>
      </c>
      <c r="V110" s="407">
        <f ca="1"/>
        <v>0</v>
      </c>
      <c r="W110" s="407">
        <f ca="1"/>
        <v>0</v>
      </c>
      <c r="X110" s="407">
        <f ca="1"/>
        <v>0</v>
      </c>
      <c r="Y110" s="407">
        <f ca="1"/>
        <v>0</v>
      </c>
      <c r="Z110" s="407">
        <f ca="1"/>
        <v>0</v>
      </c>
      <c r="AA110" s="407">
        <f ca="1"/>
        <v>0</v>
      </c>
      <c r="AB110" s="407">
        <f ca="1"/>
        <v>0</v>
      </c>
      <c r="AC110" s="407">
        <f ca="1"/>
        <v>0</v>
      </c>
      <c r="AD110" s="407">
        <f ca="1"/>
        <v>0</v>
      </c>
      <c r="AE110" s="407">
        <f ca="1"/>
        <v>0</v>
      </c>
      <c r="AF110" s="407">
        <f ca="1"/>
        <v>0</v>
      </c>
      <c r="AG110" s="407">
        <f ca="1"/>
        <v>0</v>
      </c>
      <c r="AH110" s="407">
        <f t="shared" ca="1" si="22"/>
        <v>9228916.090936657</v>
      </c>
    </row>
    <row r="111" spans="1:34">
      <c r="A111" s="419"/>
      <c r="B111" s="412">
        <v>2</v>
      </c>
      <c r="C111" s="407" t="str">
        <v xml:space="preserve">Ônus de Fiscalização </v>
      </c>
      <c r="D111" s="407">
        <f ca="1"/>
        <v>2770373.5611297716</v>
      </c>
      <c r="E111" s="407">
        <f ca="1"/>
        <v>2770373.5611297716</v>
      </c>
      <c r="F111" s="407">
        <f ca="1"/>
        <v>2770373.5611297716</v>
      </c>
      <c r="G111" s="407">
        <f ca="1"/>
        <v>2770373.5611297716</v>
      </c>
      <c r="H111" s="407">
        <f ca="1"/>
        <v>2770373.5611297716</v>
      </c>
      <c r="I111" s="407">
        <f ca="1"/>
        <v>2770373.5611297716</v>
      </c>
      <c r="J111" s="407">
        <f ca="1"/>
        <v>2770373.5611297716</v>
      </c>
      <c r="K111" s="407">
        <f ca="1"/>
        <v>2770373.5611297716</v>
      </c>
      <c r="L111" s="407">
        <f ca="1"/>
        <v>2770373.5611297716</v>
      </c>
      <c r="M111" s="407">
        <f ca="1"/>
        <v>2770373.5611297716</v>
      </c>
      <c r="N111" s="407">
        <f ca="1"/>
        <v>2770373.5611297716</v>
      </c>
      <c r="O111" s="407">
        <f ca="1"/>
        <v>2770373.5611297716</v>
      </c>
      <c r="P111" s="407">
        <f ca="1"/>
        <v>2770373.5611297716</v>
      </c>
      <c r="Q111" s="407">
        <f ca="1"/>
        <v>2770373.5611297716</v>
      </c>
      <c r="R111" s="407">
        <f ca="1"/>
        <v>2770373.5611297716</v>
      </c>
      <c r="S111" s="407">
        <f ca="1"/>
        <v>2770373.5611297716</v>
      </c>
      <c r="T111" s="407">
        <f ca="1"/>
        <v>2770373.5611297716</v>
      </c>
      <c r="U111" s="407">
        <f ca="1"/>
        <v>2770373.5611297716</v>
      </c>
      <c r="V111" s="407">
        <f ca="1"/>
        <v>2770373.5611297716</v>
      </c>
      <c r="W111" s="407">
        <f ca="1"/>
        <v>2770373.5611297716</v>
      </c>
      <c r="X111" s="407">
        <f ca="1"/>
        <v>2770373.5611297716</v>
      </c>
      <c r="Y111" s="407">
        <f ca="1"/>
        <v>2770373.5611297716</v>
      </c>
      <c r="Z111" s="407">
        <f ca="1"/>
        <v>2770373.5611297716</v>
      </c>
      <c r="AA111" s="407">
        <f ca="1"/>
        <v>2770373.5611297716</v>
      </c>
      <c r="AB111" s="407">
        <f ca="1"/>
        <v>2770373.5611297716</v>
      </c>
      <c r="AC111" s="407">
        <f ca="1"/>
        <v>2770373.5611297716</v>
      </c>
      <c r="AD111" s="407">
        <f ca="1"/>
        <v>2770373.5611297716</v>
      </c>
      <c r="AE111" s="407">
        <f ca="1"/>
        <v>2770373.5611297716</v>
      </c>
      <c r="AF111" s="407">
        <f ca="1"/>
        <v>2770373.5611297716</v>
      </c>
      <c r="AG111" s="407">
        <f ca="1"/>
        <v>2770373.5611297716</v>
      </c>
      <c r="AH111" s="407">
        <f t="shared" ca="1" si="22"/>
        <v>83111206.83389318</v>
      </c>
    </row>
    <row r="112" spans="1:34">
      <c r="A112" s="419"/>
      <c r="B112" s="412">
        <v>2</v>
      </c>
      <c r="C112" s="407" t="str">
        <v>Verificador Independente</v>
      </c>
      <c r="D112" s="407">
        <f ca="1"/>
        <v>1479486.0059498129</v>
      </c>
      <c r="E112" s="407">
        <f ca="1"/>
        <v>1479486.0059498129</v>
      </c>
      <c r="F112" s="407">
        <f ca="1"/>
        <v>1479486.0059498129</v>
      </c>
      <c r="G112" s="407">
        <f ca="1"/>
        <v>1479486.0059498129</v>
      </c>
      <c r="H112" s="407">
        <f ca="1"/>
        <v>1479486.0059498129</v>
      </c>
      <c r="I112" s="407">
        <f ca="1"/>
        <v>1479486.0059498129</v>
      </c>
      <c r="J112" s="407">
        <f ca="1"/>
        <v>1479486.0059498129</v>
      </c>
      <c r="K112" s="407">
        <f ca="1"/>
        <v>1479486.0059498129</v>
      </c>
      <c r="L112" s="407">
        <f ca="1"/>
        <v>1479486.0059498129</v>
      </c>
      <c r="M112" s="407">
        <f ca="1"/>
        <v>1479486.0059498129</v>
      </c>
      <c r="N112" s="407">
        <f ca="1"/>
        <v>1479486.0059498129</v>
      </c>
      <c r="O112" s="407">
        <f ca="1"/>
        <v>1479486.0059498129</v>
      </c>
      <c r="P112" s="407">
        <f ca="1"/>
        <v>1479486.0059498129</v>
      </c>
      <c r="Q112" s="407">
        <f ca="1"/>
        <v>1479486.0059498129</v>
      </c>
      <c r="R112" s="407">
        <f ca="1"/>
        <v>1479486.0059498129</v>
      </c>
      <c r="S112" s="407">
        <f ca="1"/>
        <v>1479486.0059498129</v>
      </c>
      <c r="T112" s="407">
        <f ca="1"/>
        <v>1479486.0059498129</v>
      </c>
      <c r="U112" s="407">
        <f ca="1"/>
        <v>1479486.0059498129</v>
      </c>
      <c r="V112" s="407">
        <f ca="1"/>
        <v>1479486.0059498129</v>
      </c>
      <c r="W112" s="407">
        <f ca="1"/>
        <v>1479486.0059498129</v>
      </c>
      <c r="X112" s="407">
        <f ca="1"/>
        <v>1479486.0059498129</v>
      </c>
      <c r="Y112" s="407">
        <f ca="1"/>
        <v>1479486.0059498129</v>
      </c>
      <c r="Z112" s="407">
        <f ca="1"/>
        <v>1479486.0059498129</v>
      </c>
      <c r="AA112" s="407">
        <f ca="1"/>
        <v>1479486.0059498129</v>
      </c>
      <c r="AB112" s="407">
        <f ca="1"/>
        <v>1479486.0059498129</v>
      </c>
      <c r="AC112" s="407">
        <f ca="1"/>
        <v>1479486.0059498129</v>
      </c>
      <c r="AD112" s="407">
        <f ca="1"/>
        <v>1479486.0059498129</v>
      </c>
      <c r="AE112" s="407">
        <f ca="1"/>
        <v>1479486.0059498129</v>
      </c>
      <c r="AF112" s="407">
        <f ca="1"/>
        <v>1479486.0059498129</v>
      </c>
      <c r="AG112" s="407">
        <f ca="1"/>
        <v>1479486.0059498129</v>
      </c>
      <c r="AH112" s="407">
        <f t="shared" ca="1" si="22"/>
        <v>44384580.178494379</v>
      </c>
    </row>
    <row r="113" spans="1:34">
      <c r="A113" s="419"/>
      <c r="B113" s="412">
        <v>4</v>
      </c>
      <c r="C113" s="407" t="str">
        <v xml:space="preserve">Verba de Segurança no Trânsito </v>
      </c>
      <c r="D113" s="407">
        <f ca="1"/>
        <v>387804.00000000006</v>
      </c>
      <c r="E113" s="407">
        <f ca="1"/>
        <v>387804.00000000006</v>
      </c>
      <c r="F113" s="407">
        <f ca="1"/>
        <v>387804.00000000006</v>
      </c>
      <c r="G113" s="407">
        <f ca="1"/>
        <v>387804.00000000006</v>
      </c>
      <c r="H113" s="407">
        <f ca="1"/>
        <v>387804.00000000006</v>
      </c>
      <c r="I113" s="407">
        <f ca="1"/>
        <v>387804.00000000006</v>
      </c>
      <c r="J113" s="407">
        <f ca="1"/>
        <v>387804.00000000006</v>
      </c>
      <c r="K113" s="407">
        <f ca="1"/>
        <v>387804.00000000006</v>
      </c>
      <c r="L113" s="407">
        <f ca="1"/>
        <v>387804.00000000006</v>
      </c>
      <c r="M113" s="407">
        <f ca="1"/>
        <v>387804.00000000006</v>
      </c>
      <c r="N113" s="407">
        <f ca="1"/>
        <v>387804.00000000006</v>
      </c>
      <c r="O113" s="407">
        <f ca="1"/>
        <v>387804.00000000006</v>
      </c>
      <c r="P113" s="407">
        <f ca="1"/>
        <v>387804.00000000006</v>
      </c>
      <c r="Q113" s="407">
        <f ca="1"/>
        <v>387804.00000000006</v>
      </c>
      <c r="R113" s="407">
        <f ca="1"/>
        <v>387804.00000000006</v>
      </c>
      <c r="S113" s="407">
        <f ca="1"/>
        <v>387804.00000000006</v>
      </c>
      <c r="T113" s="407">
        <f ca="1"/>
        <v>387804.00000000006</v>
      </c>
      <c r="U113" s="407">
        <f ca="1"/>
        <v>387804.00000000006</v>
      </c>
      <c r="V113" s="407">
        <f ca="1"/>
        <v>387804.00000000006</v>
      </c>
      <c r="W113" s="407">
        <f ca="1"/>
        <v>387804.00000000006</v>
      </c>
      <c r="X113" s="407">
        <f ca="1"/>
        <v>387804.00000000006</v>
      </c>
      <c r="Y113" s="407">
        <f ca="1"/>
        <v>387804.00000000006</v>
      </c>
      <c r="Z113" s="407">
        <f ca="1"/>
        <v>387804.00000000006</v>
      </c>
      <c r="AA113" s="407">
        <f ca="1"/>
        <v>387804.00000000006</v>
      </c>
      <c r="AB113" s="407">
        <f ca="1"/>
        <v>387804.00000000006</v>
      </c>
      <c r="AC113" s="407">
        <f ca="1"/>
        <v>387804.00000000006</v>
      </c>
      <c r="AD113" s="407">
        <f ca="1"/>
        <v>387804.00000000006</v>
      </c>
      <c r="AE113" s="407">
        <f ca="1"/>
        <v>387804.00000000006</v>
      </c>
      <c r="AF113" s="407">
        <f ca="1"/>
        <v>387804.00000000006</v>
      </c>
      <c r="AG113" s="407">
        <f ca="1"/>
        <v>387804.00000000006</v>
      </c>
      <c r="AH113" s="407">
        <f t="shared" ca="1" si="22"/>
        <v>11634120.000000002</v>
      </c>
    </row>
    <row r="114" spans="1:34">
      <c r="A114" s="419"/>
      <c r="B114" s="412">
        <v>4</v>
      </c>
      <c r="C114" s="407" t="str">
        <v>Recursos Vinculados (Percentual da Receita Bruta)</v>
      </c>
      <c r="D114" s="407">
        <f ca="1"/>
        <v>0</v>
      </c>
      <c r="E114" s="407">
        <f ca="1"/>
        <v>2184763.5426599556</v>
      </c>
      <c r="F114" s="407">
        <f ca="1"/>
        <v>2950624.6951064523</v>
      </c>
      <c r="G114" s="407">
        <f ca="1"/>
        <v>2998381.1912041069</v>
      </c>
      <c r="H114" s="407">
        <f ca="1"/>
        <v>3549404.035436742</v>
      </c>
      <c r="I114" s="407">
        <f ca="1"/>
        <v>3629607.0704876431</v>
      </c>
      <c r="J114" s="407">
        <f ca="1"/>
        <v>4176758.68943492</v>
      </c>
      <c r="K114" s="407">
        <f ca="1"/>
        <v>4273437.9588798415</v>
      </c>
      <c r="L114" s="407">
        <f ca="1"/>
        <v>4383205.5562920477</v>
      </c>
      <c r="M114" s="407">
        <f ca="1"/>
        <v>4508342.4446761953</v>
      </c>
      <c r="N114" s="407">
        <f ca="1"/>
        <v>4637316.6820737934</v>
      </c>
      <c r="O114" s="407">
        <f ca="1"/>
        <v>4769856.4081295608</v>
      </c>
      <c r="P114" s="407">
        <f ca="1"/>
        <v>4898301.5597098013</v>
      </c>
      <c r="Q114" s="407">
        <f ca="1"/>
        <v>5021874.9369879207</v>
      </c>
      <c r="R114" s="407">
        <f ca="1"/>
        <v>5139775.3636586452</v>
      </c>
      <c r="S114" s="407">
        <f ca="1"/>
        <v>5492554.7544198576</v>
      </c>
      <c r="T114" s="407">
        <f ca="1"/>
        <v>5602065.9656870328</v>
      </c>
      <c r="U114" s="407">
        <f ca="1"/>
        <v>5703817.9644231778</v>
      </c>
      <c r="V114" s="407">
        <f ca="1"/>
        <v>5797301.0524291769</v>
      </c>
      <c r="W114" s="407">
        <f ca="1"/>
        <v>5882088.7197846221</v>
      </c>
      <c r="X114" s="407">
        <f ca="1"/>
        <v>5957726.9243510412</v>
      </c>
      <c r="Y114" s="407">
        <f ca="1"/>
        <v>6023882.6239068946</v>
      </c>
      <c r="Z114" s="407">
        <f ca="1"/>
        <v>6080321.3758949181</v>
      </c>
      <c r="AA114" s="407">
        <f ca="1"/>
        <v>6126769.0113336155</v>
      </c>
      <c r="AB114" s="407">
        <f ca="1"/>
        <v>6162968.4988485044</v>
      </c>
      <c r="AC114" s="407">
        <f ca="1"/>
        <v>6188761.6028371062</v>
      </c>
      <c r="AD114" s="407">
        <f ca="1"/>
        <v>6204037.1329121059</v>
      </c>
      <c r="AE114" s="407">
        <f ca="1"/>
        <v>6208632.5878233146</v>
      </c>
      <c r="AF114" s="407">
        <f ca="1"/>
        <v>6202410.2851279369</v>
      </c>
      <c r="AG114" s="407">
        <f ca="1"/>
        <v>6185279.8671340598</v>
      </c>
      <c r="AH114" s="407">
        <f t="shared" ca="1" si="22"/>
        <v>146940268.50165096</v>
      </c>
    </row>
    <row r="115" spans="1:34">
      <c r="A115" s="419"/>
      <c r="B115" s="412">
        <v>3</v>
      </c>
      <c r="C115" s="407" t="str">
        <v>Recursos Vinculados (perda de receita por DUF menor que a esperada)</v>
      </c>
      <c r="D115" s="407">
        <f ca="1"/>
        <v>0</v>
      </c>
      <c r="E115" s="407">
        <f ca="1"/>
        <v>1237705.2378570035</v>
      </c>
      <c r="F115" s="407">
        <f ca="1"/>
        <v>1356497.9860243024</v>
      </c>
      <c r="G115" s="407">
        <f ca="1"/>
        <v>1100862.2776303641</v>
      </c>
      <c r="H115" s="407">
        <f ca="1"/>
        <v>941095.21067299484</v>
      </c>
      <c r="I115" s="407">
        <f ca="1"/>
        <v>708519.13832917239</v>
      </c>
      <c r="J115" s="407">
        <f ca="1"/>
        <v>541730.97861425939</v>
      </c>
      <c r="K115" s="407">
        <f ca="1"/>
        <v>285081.85769864894</v>
      </c>
      <c r="L115" s="407">
        <f ca="1"/>
        <v>67060.198740334294</v>
      </c>
      <c r="M115" s="407">
        <f ca="1"/>
        <v>0</v>
      </c>
      <c r="N115" s="407">
        <f ca="1"/>
        <v>0</v>
      </c>
      <c r="O115" s="407">
        <f ca="1"/>
        <v>0</v>
      </c>
      <c r="P115" s="407">
        <f ca="1"/>
        <v>0</v>
      </c>
      <c r="Q115" s="407">
        <f ca="1"/>
        <v>0</v>
      </c>
      <c r="R115" s="407">
        <f ca="1"/>
        <v>0</v>
      </c>
      <c r="S115" s="407">
        <f ca="1"/>
        <v>0</v>
      </c>
      <c r="T115" s="407">
        <f ca="1"/>
        <v>0</v>
      </c>
      <c r="U115" s="407">
        <f ca="1"/>
        <v>0</v>
      </c>
      <c r="V115" s="407">
        <f ca="1"/>
        <v>0</v>
      </c>
      <c r="W115" s="407">
        <f ca="1"/>
        <v>0</v>
      </c>
      <c r="X115" s="407">
        <f ca="1"/>
        <v>0</v>
      </c>
      <c r="Y115" s="407">
        <f ca="1"/>
        <v>0</v>
      </c>
      <c r="Z115" s="407">
        <f ca="1"/>
        <v>0</v>
      </c>
      <c r="AA115" s="407">
        <f ca="1"/>
        <v>0</v>
      </c>
      <c r="AB115" s="407">
        <f ca="1"/>
        <v>0</v>
      </c>
      <c r="AC115" s="407">
        <f ca="1"/>
        <v>0</v>
      </c>
      <c r="AD115" s="407">
        <f ca="1"/>
        <v>0</v>
      </c>
      <c r="AE115" s="407">
        <f ca="1"/>
        <v>0</v>
      </c>
      <c r="AF115" s="407">
        <f ca="1"/>
        <v>0</v>
      </c>
      <c r="AG115" s="407">
        <f ca="1"/>
        <v>0</v>
      </c>
      <c r="AH115" s="407">
        <f t="shared" ca="1" si="22"/>
        <v>6238552.8855670802</v>
      </c>
    </row>
    <row r="116" spans="1:34">
      <c r="A116" s="419"/>
      <c r="B116" s="412">
        <v>3</v>
      </c>
      <c r="C116" s="407" t="str">
        <v>Riscos de Engenharia</v>
      </c>
      <c r="D116" s="407">
        <f ca="1"/>
        <v>254308.21800056568</v>
      </c>
      <c r="E116" s="407">
        <f ca="1"/>
        <v>173379.07746845699</v>
      </c>
      <c r="F116" s="407">
        <f ca="1"/>
        <v>457336.87858980347</v>
      </c>
      <c r="G116" s="407">
        <f ca="1"/>
        <v>1250054.818045232</v>
      </c>
      <c r="H116" s="407">
        <f ca="1"/>
        <v>614742.6126317837</v>
      </c>
      <c r="I116" s="407">
        <f ca="1"/>
        <v>734489.03023611265</v>
      </c>
      <c r="J116" s="407">
        <f ca="1"/>
        <v>5736.767446247899</v>
      </c>
      <c r="K116" s="407">
        <f ca="1"/>
        <v>91566.239673170843</v>
      </c>
      <c r="L116" s="407">
        <f ca="1"/>
        <v>89943.06126983765</v>
      </c>
      <c r="M116" s="407">
        <f ca="1"/>
        <v>55357.010419381179</v>
      </c>
      <c r="N116" s="407">
        <f ca="1"/>
        <v>30216.420391087297</v>
      </c>
      <c r="O116" s="407">
        <f ca="1"/>
        <v>14708.082768609998</v>
      </c>
      <c r="P116" s="407">
        <f ca="1"/>
        <v>2292.7540998614168</v>
      </c>
      <c r="Q116" s="407">
        <f ca="1"/>
        <v>221.9954062531765</v>
      </c>
      <c r="R116" s="407">
        <f ca="1"/>
        <v>430144.11470356921</v>
      </c>
      <c r="S116" s="407">
        <f ca="1"/>
        <v>69732.844775572652</v>
      </c>
      <c r="T116" s="407">
        <f ca="1"/>
        <v>165960.59373205053</v>
      </c>
      <c r="U116" s="407">
        <f ca="1"/>
        <v>168457.91775241581</v>
      </c>
      <c r="V116" s="407">
        <f ca="1"/>
        <v>101830.3292956973</v>
      </c>
      <c r="W116" s="407">
        <f ca="1"/>
        <v>34488.67902203797</v>
      </c>
      <c r="X116" s="407">
        <f ca="1"/>
        <v>10817.183961668872</v>
      </c>
      <c r="Y116" s="407">
        <f ca="1"/>
        <v>3889.1350356381449</v>
      </c>
      <c r="Z116" s="407">
        <f ca="1"/>
        <v>31728.786563532209</v>
      </c>
      <c r="AA116" s="407">
        <f ca="1"/>
        <v>44694.913086859517</v>
      </c>
      <c r="AB116" s="407">
        <f ca="1"/>
        <v>70856.040251274724</v>
      </c>
      <c r="AC116" s="407">
        <f ca="1"/>
        <v>77409.381816587935</v>
      </c>
      <c r="AD116" s="407">
        <f ca="1"/>
        <v>39078.396767308499</v>
      </c>
      <c r="AE116" s="407">
        <f ca="1"/>
        <v>18376.150409407441</v>
      </c>
      <c r="AF116" s="407">
        <f ca="1"/>
        <v>29592.024509039813</v>
      </c>
      <c r="AG116" s="407">
        <f ca="1"/>
        <v>50799.7950813918</v>
      </c>
      <c r="AH116" s="407">
        <f t="shared" ca="1" si="22"/>
        <v>5122209.253210458</v>
      </c>
    </row>
    <row r="117" spans="1:34">
      <c r="A117" s="419"/>
      <c r="B117" s="412">
        <v>3</v>
      </c>
      <c r="C117" s="407" t="str">
        <v>Risco Operacional</v>
      </c>
      <c r="D117" s="407">
        <f ca="1"/>
        <v>774634.71460669395</v>
      </c>
      <c r="E117" s="407">
        <f ca="1"/>
        <v>895637.03755887412</v>
      </c>
      <c r="F117" s="407">
        <f ca="1"/>
        <v>1204684.8398787237</v>
      </c>
      <c r="G117" s="407">
        <f ca="1"/>
        <v>2041206.4418662402</v>
      </c>
      <c r="H117" s="407">
        <f ca="1"/>
        <v>2452718.5078149494</v>
      </c>
      <c r="I117" s="407">
        <f ca="1"/>
        <v>2941086.8063366716</v>
      </c>
      <c r="J117" s="407">
        <f ca="1"/>
        <v>2946975.8847665242</v>
      </c>
      <c r="K117" s="407">
        <f ca="1"/>
        <v>3008165.2980121737</v>
      </c>
      <c r="L117" s="407">
        <f ca="1"/>
        <v>3066401.3059906894</v>
      </c>
      <c r="M117" s="407">
        <f ca="1"/>
        <v>3103309.2609880813</v>
      </c>
      <c r="N117" s="407">
        <f ca="1"/>
        <v>3123766.4857943309</v>
      </c>
      <c r="O117" s="407">
        <f ca="1"/>
        <v>3133965.9489548816</v>
      </c>
      <c r="P117" s="407">
        <f ca="1"/>
        <v>3135929.0905837133</v>
      </c>
      <c r="Q117" s="407">
        <f ca="1"/>
        <v>3136303.3580625551</v>
      </c>
      <c r="R117" s="407">
        <f ca="1"/>
        <v>3423711.6438694131</v>
      </c>
      <c r="S117" s="407">
        <f ca="1"/>
        <v>3471019.0888208626</v>
      </c>
      <c r="T117" s="407">
        <f ca="1"/>
        <v>3582014.9148533391</v>
      </c>
      <c r="U117" s="407">
        <f ca="1"/>
        <v>3694358.9631857947</v>
      </c>
      <c r="V117" s="407">
        <f ca="1"/>
        <v>3762505.2042725137</v>
      </c>
      <c r="W117" s="407">
        <f ca="1"/>
        <v>3783468.2005852861</v>
      </c>
      <c r="X117" s="407">
        <f ca="1"/>
        <v>3790888.4331367151</v>
      </c>
      <c r="Y117" s="407">
        <f ca="1"/>
        <v>3793284.6312501575</v>
      </c>
      <c r="Z117" s="407">
        <f ca="1"/>
        <v>3814565.0283723027</v>
      </c>
      <c r="AA117" s="407">
        <f ca="1"/>
        <v>3844328.5924935499</v>
      </c>
      <c r="AB117" s="407">
        <f ca="1"/>
        <v>3891679.9010949181</v>
      </c>
      <c r="AC117" s="407">
        <f ca="1"/>
        <v>3941430.1114005069</v>
      </c>
      <c r="AD117" s="407">
        <f ca="1"/>
        <v>3967622.4666585033</v>
      </c>
      <c r="AE117" s="407">
        <f ca="1"/>
        <v>3979745.3608516506</v>
      </c>
      <c r="AF117" s="407">
        <f ca="1"/>
        <v>3999776.9819111247</v>
      </c>
      <c r="AG117" s="407">
        <f ca="1"/>
        <v>4033327.689245272</v>
      </c>
      <c r="AH117" s="407">
        <f t="shared" ca="1" si="22"/>
        <v>95738512.193216994</v>
      </c>
    </row>
    <row r="118" spans="1:34">
      <c r="A118" s="419"/>
      <c r="B118" s="412">
        <v>3</v>
      </c>
      <c r="C118" s="407" t="str">
        <v>Responsabilidade Civil</v>
      </c>
      <c r="D118" s="407">
        <f ca="1"/>
        <v>222162</v>
      </c>
      <c r="E118" s="407">
        <f ca="1"/>
        <v>218476.35426599556</v>
      </c>
      <c r="F118" s="407">
        <f ca="1"/>
        <v>801240.46951064514</v>
      </c>
      <c r="G118" s="407">
        <f ca="1"/>
        <v>1764204.1191204106</v>
      </c>
      <c r="H118" s="407">
        <f ca="1"/>
        <v>1084744.4035436742</v>
      </c>
      <c r="I118" s="407">
        <f ca="1"/>
        <v>1100450.7070487642</v>
      </c>
      <c r="J118" s="407">
        <f ca="1"/>
        <v>417675.86894349201</v>
      </c>
      <c r="K118" s="407">
        <f ca="1"/>
        <v>427343.7958879841</v>
      </c>
      <c r="L118" s="407">
        <f ca="1"/>
        <v>438320.55562920478</v>
      </c>
      <c r="M118" s="407">
        <f ca="1"/>
        <v>450834.24446761952</v>
      </c>
      <c r="N118" s="407">
        <f ca="1"/>
        <v>463731.66820737935</v>
      </c>
      <c r="O118" s="407">
        <f ca="1"/>
        <v>476985.64081295609</v>
      </c>
      <c r="P118" s="407">
        <f ca="1"/>
        <v>489830.15597098012</v>
      </c>
      <c r="Q118" s="407">
        <f ca="1"/>
        <v>502187.49369879207</v>
      </c>
      <c r="R118" s="407">
        <f ca="1"/>
        <v>513977.53636586451</v>
      </c>
      <c r="S118" s="407">
        <f ca="1"/>
        <v>549255.47544198576</v>
      </c>
      <c r="T118" s="407">
        <f ca="1"/>
        <v>560206.5965687033</v>
      </c>
      <c r="U118" s="407">
        <f ca="1"/>
        <v>570381.79644231778</v>
      </c>
      <c r="V118" s="407">
        <f ca="1"/>
        <v>579730.10524291766</v>
      </c>
      <c r="W118" s="407">
        <f ca="1"/>
        <v>588208.87197846221</v>
      </c>
      <c r="X118" s="407">
        <f ca="1"/>
        <v>595772.69243510417</v>
      </c>
      <c r="Y118" s="407">
        <f ca="1"/>
        <v>602388.26239068946</v>
      </c>
      <c r="Z118" s="407">
        <f ca="1"/>
        <v>608032.1375894919</v>
      </c>
      <c r="AA118" s="407">
        <f ca="1"/>
        <v>612676.90113336162</v>
      </c>
      <c r="AB118" s="407">
        <f ca="1"/>
        <v>616296.84988485044</v>
      </c>
      <c r="AC118" s="407">
        <f ca="1"/>
        <v>618876.16028371057</v>
      </c>
      <c r="AD118" s="407">
        <f ca="1"/>
        <v>620403.71329121059</v>
      </c>
      <c r="AE118" s="407">
        <f ca="1"/>
        <v>620863.25878233148</v>
      </c>
      <c r="AF118" s="407">
        <f ca="1"/>
        <v>620241.02851279371</v>
      </c>
      <c r="AG118" s="407">
        <f ca="1"/>
        <v>618527.98671340593</v>
      </c>
      <c r="AH118" s="407">
        <f t="shared" ca="1" si="22"/>
        <v>18354026.850165103</v>
      </c>
    </row>
    <row r="119" spans="1:34">
      <c r="A119" s="419"/>
      <c r="B119" s="412">
        <v>3</v>
      </c>
      <c r="C119" s="407" t="str">
        <v>Risco de Perda de Receita</v>
      </c>
      <c r="D119" s="407">
        <f ca="1"/>
        <v>0</v>
      </c>
      <c r="E119" s="407">
        <f ca="1"/>
        <v>16249.178848533422</v>
      </c>
      <c r="F119" s="407">
        <f ca="1"/>
        <v>21945.271169854241</v>
      </c>
      <c r="G119" s="407">
        <f ca="1"/>
        <v>22300.460109580545</v>
      </c>
      <c r="H119" s="407">
        <f ca="1"/>
        <v>26398.692513560767</v>
      </c>
      <c r="I119" s="407">
        <f ca="1"/>
        <v>26995.202586751846</v>
      </c>
      <c r="J119" s="407">
        <f ca="1"/>
        <v>31064.642752672218</v>
      </c>
      <c r="K119" s="407">
        <f ca="1"/>
        <v>31783.694819168813</v>
      </c>
      <c r="L119" s="407">
        <f ca="1"/>
        <v>32600.091324922105</v>
      </c>
      <c r="M119" s="407">
        <f ca="1"/>
        <v>33530.796932279198</v>
      </c>
      <c r="N119" s="407">
        <f ca="1"/>
        <v>34490.042822923839</v>
      </c>
      <c r="O119" s="407">
        <f ca="1"/>
        <v>35475.807035463615</v>
      </c>
      <c r="P119" s="407">
        <f ca="1"/>
        <v>36431.117850341645</v>
      </c>
      <c r="Q119" s="407">
        <f ca="1"/>
        <v>37350.194843847668</v>
      </c>
      <c r="R119" s="407">
        <f ca="1"/>
        <v>38227.079267211178</v>
      </c>
      <c r="S119" s="407">
        <f ca="1"/>
        <v>40850.875985997693</v>
      </c>
      <c r="T119" s="407">
        <f ca="1"/>
        <v>41665.365619797311</v>
      </c>
      <c r="U119" s="407">
        <f ca="1"/>
        <v>42422.146110397385</v>
      </c>
      <c r="V119" s="407">
        <f ca="1"/>
        <v>43117.426577442006</v>
      </c>
      <c r="W119" s="407">
        <f ca="1"/>
        <v>43748.034853398131</v>
      </c>
      <c r="X119" s="407">
        <f ca="1"/>
        <v>44310.593999860874</v>
      </c>
      <c r="Y119" s="407">
        <f ca="1"/>
        <v>44802.627015307531</v>
      </c>
      <c r="Z119" s="407">
        <f ca="1"/>
        <v>45222.390233218459</v>
      </c>
      <c r="AA119" s="407">
        <f ca="1"/>
        <v>45567.84452179377</v>
      </c>
      <c r="AB119" s="407">
        <f ca="1"/>
        <v>45837.078210185748</v>
      </c>
      <c r="AC119" s="407">
        <f ca="1"/>
        <v>46028.914421100977</v>
      </c>
      <c r="AD119" s="407">
        <f ca="1"/>
        <v>46142.526176033789</v>
      </c>
      <c r="AE119" s="407">
        <f ca="1"/>
        <v>46176.704871935908</v>
      </c>
      <c r="AF119" s="407">
        <f ca="1"/>
        <v>46130.426495639033</v>
      </c>
      <c r="AG119" s="407">
        <f ca="1"/>
        <v>46003.019011809571</v>
      </c>
      <c r="AH119" s="407">
        <f t="shared" ca="1" si="22"/>
        <v>1092868.2469810292</v>
      </c>
    </row>
    <row r="120" spans="1:34">
      <c r="A120" s="419"/>
      <c r="B120" s="412"/>
      <c r="C120" s="407" t="str">
        <v>Garantia de Execução</v>
      </c>
      <c r="D120" s="407">
        <f ca="1"/>
        <v>294930.26171873143</v>
      </c>
      <c r="E120" s="407">
        <f ca="1"/>
        <v>294930.26171873143</v>
      </c>
      <c r="F120" s="407">
        <f ca="1"/>
        <v>294930.26171873143</v>
      </c>
      <c r="G120" s="407">
        <f ca="1"/>
        <v>294930.26171873143</v>
      </c>
      <c r="H120" s="407">
        <f ca="1"/>
        <v>294930.26171873143</v>
      </c>
      <c r="I120" s="407">
        <f ca="1"/>
        <v>294930.26171873143</v>
      </c>
      <c r="J120" s="407">
        <f ca="1"/>
        <v>294930.26171873143</v>
      </c>
      <c r="K120" s="407">
        <f ca="1"/>
        <v>294930.26171873143</v>
      </c>
      <c r="L120" s="407">
        <f ca="1"/>
        <v>294930.26171873143</v>
      </c>
      <c r="M120" s="407">
        <f ca="1"/>
        <v>147465.13085936572</v>
      </c>
      <c r="N120" s="407">
        <f ca="1"/>
        <v>147465.13085936572</v>
      </c>
      <c r="O120" s="407">
        <f ca="1"/>
        <v>147465.13085936572</v>
      </c>
      <c r="P120" s="407">
        <f ca="1"/>
        <v>147465.13085936572</v>
      </c>
      <c r="Q120" s="407">
        <f ca="1"/>
        <v>147465.13085936572</v>
      </c>
      <c r="R120" s="407">
        <f ca="1"/>
        <v>147465.13085936572</v>
      </c>
      <c r="S120" s="407">
        <f ca="1"/>
        <v>147465.13085936572</v>
      </c>
      <c r="T120" s="407">
        <f ca="1"/>
        <v>147465.13085936572</v>
      </c>
      <c r="U120" s="407">
        <f ca="1"/>
        <v>147465.13085936572</v>
      </c>
      <c r="V120" s="407">
        <f ca="1"/>
        <v>147465.13085936572</v>
      </c>
      <c r="W120" s="407">
        <f ca="1"/>
        <v>147465.13085936572</v>
      </c>
      <c r="X120" s="407">
        <f ca="1"/>
        <v>147465.13085936572</v>
      </c>
      <c r="Y120" s="407">
        <f ca="1"/>
        <v>147465.13085936572</v>
      </c>
      <c r="Z120" s="407">
        <f ca="1"/>
        <v>147465.13085936572</v>
      </c>
      <c r="AA120" s="407">
        <f ca="1"/>
        <v>147465.13085936572</v>
      </c>
      <c r="AB120" s="407">
        <f ca="1"/>
        <v>147465.13085936572</v>
      </c>
      <c r="AC120" s="407">
        <f ca="1"/>
        <v>294930.26171873143</v>
      </c>
      <c r="AD120" s="407">
        <f ca="1"/>
        <v>294930.26171873143</v>
      </c>
      <c r="AE120" s="407">
        <f ca="1"/>
        <v>294930.26171873143</v>
      </c>
      <c r="AF120" s="407">
        <f ca="1"/>
        <v>294930.26171873143</v>
      </c>
      <c r="AG120" s="407">
        <f ca="1"/>
        <v>294930.26171873143</v>
      </c>
      <c r="AH120" s="407"/>
    </row>
    <row r="121" spans="1:34">
      <c r="A121" s="419"/>
      <c r="B121" s="412">
        <v>1</v>
      </c>
      <c r="C121" s="401" t="s">
        <v>88</v>
      </c>
      <c r="D121" s="407" cm="1">
        <f t="array" ref="D121:AG121">Opex!F76:AI76</f>
        <v>34795902.606316827</v>
      </c>
      <c r="E121" s="407">
        <v>40212173.912858956</v>
      </c>
      <c r="F121" s="407">
        <v>44368723.83950606</v>
      </c>
      <c r="G121" s="407">
        <v>47520447.130201668</v>
      </c>
      <c r="H121" s="407">
        <v>49204104.657721743</v>
      </c>
      <c r="I121" s="407">
        <v>47913049.688701719</v>
      </c>
      <c r="J121" s="407">
        <v>49977616.487722784</v>
      </c>
      <c r="K121" s="407">
        <v>50122869.951257944</v>
      </c>
      <c r="L121" s="407">
        <v>48396837.083215356</v>
      </c>
      <c r="M121" s="407">
        <v>48400118.467686698</v>
      </c>
      <c r="N121" s="407">
        <v>48713063.013211466</v>
      </c>
      <c r="O121" s="407">
        <v>49107137.661354832</v>
      </c>
      <c r="P121" s="407">
        <v>49541776.556945115</v>
      </c>
      <c r="Q121" s="407">
        <v>49768047.098285362</v>
      </c>
      <c r="R121" s="407">
        <v>50413589.769430682</v>
      </c>
      <c r="S121" s="407">
        <v>51232471.537165008</v>
      </c>
      <c r="T121" s="407">
        <v>51587901.748275369</v>
      </c>
      <c r="U121" s="407">
        <v>51626671.579119496</v>
      </c>
      <c r="V121" s="407">
        <v>51886026.468707658</v>
      </c>
      <c r="W121" s="407">
        <v>49856570.100120954</v>
      </c>
      <c r="X121" s="407">
        <v>50065346.677104086</v>
      </c>
      <c r="Y121" s="407">
        <v>49868788.100120954</v>
      </c>
      <c r="Z121" s="407">
        <v>49996660.846577905</v>
      </c>
      <c r="AA121" s="407">
        <v>49963616.243252151</v>
      </c>
      <c r="AB121" s="407">
        <v>50077564.677104086</v>
      </c>
      <c r="AC121" s="407">
        <v>48221520.438300647</v>
      </c>
      <c r="AD121" s="407">
        <v>48361611.184757598</v>
      </c>
      <c r="AE121" s="407">
        <v>48233738.438300647</v>
      </c>
      <c r="AF121" s="407">
        <v>48537343.158414975</v>
      </c>
      <c r="AG121" s="407">
        <v>48221520.438300647</v>
      </c>
      <c r="AH121" s="407">
        <f t="shared" si="22"/>
        <v>1456192809.5600393</v>
      </c>
    </row>
    <row r="122" spans="1:34">
      <c r="A122" s="419"/>
      <c r="B122" s="412"/>
      <c r="C122" s="402" t="s">
        <v>73</v>
      </c>
      <c r="D122" s="445">
        <f ca="1">SUM(D108:D121)</f>
        <v>50878328.818097323</v>
      </c>
      <c r="E122" s="445">
        <f ca="1">SUM(E108:E121)+D122</f>
        <v>100749306.98841342</v>
      </c>
      <c r="F122" s="445">
        <f t="shared" ref="F122:AG122" ca="1" si="23">SUM(F108:F121)+E122</f>
        <v>156842954.79699758</v>
      </c>
      <c r="G122" s="445">
        <f t="shared" ca="1" si="23"/>
        <v>218473005.06397349</v>
      </c>
      <c r="H122" s="445">
        <f t="shared" ca="1" si="23"/>
        <v>281278807.01310724</v>
      </c>
      <c r="I122" s="445">
        <f t="shared" ca="1" si="23"/>
        <v>343265598.48563242</v>
      </c>
      <c r="J122" s="445">
        <f t="shared" ca="1" si="23"/>
        <v>406295751.63411164</v>
      </c>
      <c r="K122" s="445">
        <f t="shared" ca="1" si="23"/>
        <v>469468594.25913888</v>
      </c>
      <c r="L122" s="445">
        <f t="shared" ca="1" si="23"/>
        <v>530875555.94039959</v>
      </c>
      <c r="M122" s="445">
        <f t="shared" ca="1" si="23"/>
        <v>592212176.86350882</v>
      </c>
      <c r="N122" s="445">
        <f t="shared" ca="1" si="23"/>
        <v>653999889.87394881</v>
      </c>
      <c r="O122" s="445">
        <f t="shared" ca="1" si="23"/>
        <v>716323148.12094402</v>
      </c>
      <c r="P122" s="445">
        <f t="shared" ca="1" si="23"/>
        <v>779212838.05404282</v>
      </c>
      <c r="Q122" s="445">
        <f t="shared" ca="1" si="23"/>
        <v>842463951.82926655</v>
      </c>
      <c r="R122" s="445">
        <f t="shared" ca="1" si="23"/>
        <v>907208506.03450084</v>
      </c>
      <c r="S122" s="445">
        <f t="shared" ca="1" si="23"/>
        <v>972849519.30904913</v>
      </c>
      <c r="T122" s="445">
        <f t="shared" ca="1" si="23"/>
        <v>1039174463.1917244</v>
      </c>
      <c r="U122" s="445">
        <f t="shared" ca="1" si="23"/>
        <v>1105765702.2566969</v>
      </c>
      <c r="V122" s="445">
        <f t="shared" ca="1" si="23"/>
        <v>1172721341.5411613</v>
      </c>
      <c r="W122" s="445">
        <f t="shared" ca="1" si="23"/>
        <v>1237695042.8454449</v>
      </c>
      <c r="X122" s="445">
        <f t="shared" ca="1" si="23"/>
        <v>1302945034.0483723</v>
      </c>
      <c r="Y122" s="445">
        <f t="shared" ca="1" si="23"/>
        <v>1368067198.1260309</v>
      </c>
      <c r="Z122" s="445">
        <f t="shared" ca="1" si="23"/>
        <v>1433428857.3892012</v>
      </c>
      <c r="AA122" s="445">
        <f t="shared" ca="1" si="23"/>
        <v>1498851639.5929615</v>
      </c>
      <c r="AB122" s="445">
        <f t="shared" ca="1" si="23"/>
        <v>1564501971.3362944</v>
      </c>
      <c r="AC122" s="445">
        <f t="shared" ca="1" si="23"/>
        <v>1628528591.7741523</v>
      </c>
      <c r="AD122" s="445">
        <f t="shared" ca="1" si="23"/>
        <v>1692700081.0235133</v>
      </c>
      <c r="AE122" s="445">
        <f t="shared" ca="1" si="23"/>
        <v>1756740207.3533509</v>
      </c>
      <c r="AF122" s="445">
        <f t="shared" ca="1" si="23"/>
        <v>1821108295.0871208</v>
      </c>
      <c r="AG122" s="445">
        <f t="shared" ca="1" si="23"/>
        <v>1885196347.7114058</v>
      </c>
      <c r="AH122" s="445">
        <f ca="1">SUM(AH108:AH121)</f>
        <v>1878707881.9535933</v>
      </c>
    </row>
    <row r="123" spans="1:34">
      <c r="A123" s="421"/>
    </row>
    <row r="124" spans="1:34">
      <c r="A124" s="421"/>
    </row>
    <row r="125" spans="1:34">
      <c r="A125" s="421"/>
    </row>
    <row r="126" spans="1:34">
      <c r="A126" s="421"/>
    </row>
    <row r="127" spans="1:34">
      <c r="A127" s="421"/>
    </row>
    <row r="128" spans="1:34">
      <c r="A128" s="421"/>
    </row>
    <row r="129" spans="1:34">
      <c r="A129" s="421"/>
    </row>
    <row r="130" spans="1:34">
      <c r="A130" s="419"/>
      <c r="C130" s="405" t="s">
        <v>89</v>
      </c>
    </row>
    <row r="131" spans="1:34" s="405" customFormat="1">
      <c r="A131" s="420"/>
      <c r="B131" s="411"/>
      <c r="C131" s="402"/>
      <c r="D131" s="402" t="str">
        <f t="shared" ref="D131:AG131" si="24">D107</f>
        <v>Ano 1</v>
      </c>
      <c r="E131" s="402" t="str">
        <f t="shared" si="24"/>
        <v>Ano 2</v>
      </c>
      <c r="F131" s="402" t="str">
        <f t="shared" si="24"/>
        <v>Ano 3</v>
      </c>
      <c r="G131" s="402" t="str">
        <f t="shared" si="24"/>
        <v>Ano 4</v>
      </c>
      <c r="H131" s="402" t="str">
        <f t="shared" si="24"/>
        <v>Ano 5</v>
      </c>
      <c r="I131" s="402" t="str">
        <f t="shared" si="24"/>
        <v>Ano 6</v>
      </c>
      <c r="J131" s="402" t="str">
        <f t="shared" si="24"/>
        <v>Ano 7</v>
      </c>
      <c r="K131" s="402" t="str">
        <f t="shared" si="24"/>
        <v>Ano 8</v>
      </c>
      <c r="L131" s="402" t="str">
        <f t="shared" si="24"/>
        <v>Ano 9</v>
      </c>
      <c r="M131" s="402" t="str">
        <f t="shared" si="24"/>
        <v>Ano 10</v>
      </c>
      <c r="N131" s="402" t="str">
        <f t="shared" si="24"/>
        <v>Ano 11</v>
      </c>
      <c r="O131" s="402" t="str">
        <f t="shared" si="24"/>
        <v>Ano 12</v>
      </c>
      <c r="P131" s="402" t="str">
        <f t="shared" si="24"/>
        <v>Ano 13</v>
      </c>
      <c r="Q131" s="402" t="str">
        <f t="shared" si="24"/>
        <v>Ano 14</v>
      </c>
      <c r="R131" s="402" t="str">
        <f t="shared" si="24"/>
        <v>Ano 15</v>
      </c>
      <c r="S131" s="402" t="str">
        <f t="shared" si="24"/>
        <v>Ano 16</v>
      </c>
      <c r="T131" s="402" t="str">
        <f t="shared" si="24"/>
        <v>Ano 17</v>
      </c>
      <c r="U131" s="402" t="str">
        <f t="shared" si="24"/>
        <v>Ano 18</v>
      </c>
      <c r="V131" s="402" t="str">
        <f t="shared" si="24"/>
        <v>Ano 19</v>
      </c>
      <c r="W131" s="402" t="str">
        <f t="shared" si="24"/>
        <v>Ano 20</v>
      </c>
      <c r="X131" s="402" t="str">
        <f t="shared" si="24"/>
        <v>Ano 21</v>
      </c>
      <c r="Y131" s="402" t="str">
        <f t="shared" si="24"/>
        <v>Ano 22</v>
      </c>
      <c r="Z131" s="402" t="str">
        <f t="shared" si="24"/>
        <v>Ano 23</v>
      </c>
      <c r="AA131" s="402" t="str">
        <f t="shared" si="24"/>
        <v>Ano 24</v>
      </c>
      <c r="AB131" s="402" t="str">
        <f t="shared" si="24"/>
        <v>Ano 25</v>
      </c>
      <c r="AC131" s="402" t="str">
        <f t="shared" si="24"/>
        <v>Ano 26</v>
      </c>
      <c r="AD131" s="402" t="str">
        <f t="shared" si="24"/>
        <v>Ano 27</v>
      </c>
      <c r="AE131" s="402" t="str">
        <f t="shared" si="24"/>
        <v>Ano 28</v>
      </c>
      <c r="AF131" s="402" t="str">
        <f t="shared" si="24"/>
        <v>Ano 29</v>
      </c>
      <c r="AG131" s="402" t="str">
        <f t="shared" si="24"/>
        <v>Ano 30</v>
      </c>
      <c r="AH131" s="402" t="s">
        <v>73</v>
      </c>
    </row>
    <row r="132" spans="1:34">
      <c r="A132" s="419"/>
      <c r="B132" s="412"/>
      <c r="C132" s="401" t="s">
        <v>90</v>
      </c>
      <c r="D132" s="407">
        <f t="shared" ref="D132:AG132" si="25">D121</f>
        <v>34795902.606316827</v>
      </c>
      <c r="E132" s="407">
        <f t="shared" si="25"/>
        <v>40212173.912858956</v>
      </c>
      <c r="F132" s="407">
        <f t="shared" si="25"/>
        <v>44368723.83950606</v>
      </c>
      <c r="G132" s="407">
        <f t="shared" si="25"/>
        <v>47520447.130201668</v>
      </c>
      <c r="H132" s="407">
        <f t="shared" si="25"/>
        <v>49204104.657721743</v>
      </c>
      <c r="I132" s="407">
        <f t="shared" si="25"/>
        <v>47913049.688701719</v>
      </c>
      <c r="J132" s="407">
        <f t="shared" si="25"/>
        <v>49977616.487722784</v>
      </c>
      <c r="K132" s="407">
        <f t="shared" si="25"/>
        <v>50122869.951257944</v>
      </c>
      <c r="L132" s="407">
        <f t="shared" si="25"/>
        <v>48396837.083215356</v>
      </c>
      <c r="M132" s="407">
        <f t="shared" si="25"/>
        <v>48400118.467686698</v>
      </c>
      <c r="N132" s="407">
        <f t="shared" si="25"/>
        <v>48713063.013211466</v>
      </c>
      <c r="O132" s="407">
        <f t="shared" si="25"/>
        <v>49107137.661354832</v>
      </c>
      <c r="P132" s="407">
        <f t="shared" si="25"/>
        <v>49541776.556945115</v>
      </c>
      <c r="Q132" s="407">
        <f t="shared" si="25"/>
        <v>49768047.098285362</v>
      </c>
      <c r="R132" s="407">
        <f t="shared" si="25"/>
        <v>50413589.769430682</v>
      </c>
      <c r="S132" s="407">
        <f t="shared" si="25"/>
        <v>51232471.537165008</v>
      </c>
      <c r="T132" s="407">
        <f t="shared" si="25"/>
        <v>51587901.748275369</v>
      </c>
      <c r="U132" s="407">
        <f t="shared" si="25"/>
        <v>51626671.579119496</v>
      </c>
      <c r="V132" s="407">
        <f t="shared" si="25"/>
        <v>51886026.468707658</v>
      </c>
      <c r="W132" s="407">
        <f t="shared" si="25"/>
        <v>49856570.100120954</v>
      </c>
      <c r="X132" s="407">
        <f t="shared" si="25"/>
        <v>50065346.677104086</v>
      </c>
      <c r="Y132" s="407">
        <f t="shared" si="25"/>
        <v>49868788.100120954</v>
      </c>
      <c r="Z132" s="407">
        <f t="shared" si="25"/>
        <v>49996660.846577905</v>
      </c>
      <c r="AA132" s="407">
        <f t="shared" si="25"/>
        <v>49963616.243252151</v>
      </c>
      <c r="AB132" s="407">
        <f t="shared" si="25"/>
        <v>50077564.677104086</v>
      </c>
      <c r="AC132" s="407">
        <f t="shared" si="25"/>
        <v>48221520.438300647</v>
      </c>
      <c r="AD132" s="407">
        <f t="shared" si="25"/>
        <v>48361611.184757598</v>
      </c>
      <c r="AE132" s="407">
        <f t="shared" si="25"/>
        <v>48233738.438300647</v>
      </c>
      <c r="AF132" s="407">
        <f t="shared" si="25"/>
        <v>48537343.158414975</v>
      </c>
      <c r="AG132" s="407">
        <f t="shared" si="25"/>
        <v>48221520.438300647</v>
      </c>
      <c r="AH132" s="445">
        <f>SUM(D132:AG132)</f>
        <v>1456192809.5600393</v>
      </c>
    </row>
    <row r="133" spans="1:34">
      <c r="A133" s="419"/>
      <c r="B133" s="412"/>
      <c r="C133" s="401" t="s">
        <v>91</v>
      </c>
      <c r="D133" s="407">
        <f ca="1">D111+D113+D112</f>
        <v>4637663.567079585</v>
      </c>
      <c r="E133" s="407">
        <f t="shared" ref="E133:AG133" ca="1" si="26">E111+E113+E112</f>
        <v>4637663.567079585</v>
      </c>
      <c r="F133" s="407">
        <f t="shared" ca="1" si="26"/>
        <v>4637663.567079585</v>
      </c>
      <c r="G133" s="407">
        <f t="shared" ca="1" si="26"/>
        <v>4637663.567079585</v>
      </c>
      <c r="H133" s="407">
        <f t="shared" ca="1" si="26"/>
        <v>4637663.567079585</v>
      </c>
      <c r="I133" s="407">
        <f t="shared" ca="1" si="26"/>
        <v>4637663.567079585</v>
      </c>
      <c r="J133" s="407">
        <f t="shared" ca="1" si="26"/>
        <v>4637663.567079585</v>
      </c>
      <c r="K133" s="407">
        <f t="shared" ca="1" si="26"/>
        <v>4637663.567079585</v>
      </c>
      <c r="L133" s="407">
        <f t="shared" ca="1" si="26"/>
        <v>4637663.567079585</v>
      </c>
      <c r="M133" s="407">
        <f t="shared" ca="1" si="26"/>
        <v>4637663.567079585</v>
      </c>
      <c r="N133" s="407">
        <f t="shared" ca="1" si="26"/>
        <v>4637663.567079585</v>
      </c>
      <c r="O133" s="407">
        <f t="shared" ca="1" si="26"/>
        <v>4637663.567079585</v>
      </c>
      <c r="P133" s="407">
        <f t="shared" ca="1" si="26"/>
        <v>4637663.567079585</v>
      </c>
      <c r="Q133" s="407">
        <f t="shared" ca="1" si="26"/>
        <v>4637663.567079585</v>
      </c>
      <c r="R133" s="407">
        <f t="shared" ca="1" si="26"/>
        <v>4637663.567079585</v>
      </c>
      <c r="S133" s="407">
        <f t="shared" ca="1" si="26"/>
        <v>4637663.567079585</v>
      </c>
      <c r="T133" s="407">
        <f t="shared" ca="1" si="26"/>
        <v>4637663.567079585</v>
      </c>
      <c r="U133" s="407">
        <f t="shared" ca="1" si="26"/>
        <v>4637663.567079585</v>
      </c>
      <c r="V133" s="407">
        <f t="shared" ca="1" si="26"/>
        <v>4637663.567079585</v>
      </c>
      <c r="W133" s="407">
        <f t="shared" ca="1" si="26"/>
        <v>4637663.567079585</v>
      </c>
      <c r="X133" s="407">
        <f t="shared" ca="1" si="26"/>
        <v>4637663.567079585</v>
      </c>
      <c r="Y133" s="407">
        <f t="shared" ca="1" si="26"/>
        <v>4637663.567079585</v>
      </c>
      <c r="Z133" s="407">
        <f t="shared" ca="1" si="26"/>
        <v>4637663.567079585</v>
      </c>
      <c r="AA133" s="407">
        <f t="shared" ca="1" si="26"/>
        <v>4637663.567079585</v>
      </c>
      <c r="AB133" s="407">
        <f t="shared" ca="1" si="26"/>
        <v>4637663.567079585</v>
      </c>
      <c r="AC133" s="407">
        <f t="shared" ca="1" si="26"/>
        <v>4637663.567079585</v>
      </c>
      <c r="AD133" s="407">
        <f t="shared" ca="1" si="26"/>
        <v>4637663.567079585</v>
      </c>
      <c r="AE133" s="407">
        <f t="shared" ca="1" si="26"/>
        <v>4637663.567079585</v>
      </c>
      <c r="AF133" s="407">
        <f t="shared" ca="1" si="26"/>
        <v>4637663.567079585</v>
      </c>
      <c r="AG133" s="407">
        <f t="shared" ca="1" si="26"/>
        <v>4637663.567079585</v>
      </c>
      <c r="AH133" s="445">
        <f t="shared" ref="AH133:AH135" ca="1" si="27">SUM(D133:AG133)</f>
        <v>139129907.0123876</v>
      </c>
    </row>
    <row r="134" spans="1:34">
      <c r="A134" s="419"/>
      <c r="B134" s="412"/>
      <c r="C134" s="401" t="s">
        <v>92</v>
      </c>
      <c r="D134" s="407">
        <f ca="1">D120+D116+D117+D118+D119</f>
        <v>1546035.194325991</v>
      </c>
      <c r="E134" s="407">
        <f t="shared" ref="E134:AG134" ca="1" si="28">E120+E116+E117+E118+E119</f>
        <v>1598671.9098605916</v>
      </c>
      <c r="F134" s="407">
        <f t="shared" ca="1" si="28"/>
        <v>2780137.7208677582</v>
      </c>
      <c r="G134" s="407">
        <f t="shared" ca="1" si="28"/>
        <v>5372696.1008601943</v>
      </c>
      <c r="H134" s="407">
        <f t="shared" ca="1" si="28"/>
        <v>4473534.4782226998</v>
      </c>
      <c r="I134" s="407">
        <f t="shared" ca="1" si="28"/>
        <v>5097952.0079270313</v>
      </c>
      <c r="J134" s="407">
        <f t="shared" ca="1" si="28"/>
        <v>3696383.4256276675</v>
      </c>
      <c r="K134" s="407">
        <f t="shared" ca="1" si="28"/>
        <v>3853789.2901112284</v>
      </c>
      <c r="L134" s="407">
        <f t="shared" ca="1" si="28"/>
        <v>3922195.2759333858</v>
      </c>
      <c r="M134" s="407">
        <f t="shared" ca="1" si="28"/>
        <v>3790496.4436667268</v>
      </c>
      <c r="N134" s="407">
        <f t="shared" ca="1" si="28"/>
        <v>3799669.7480750876</v>
      </c>
      <c r="O134" s="407">
        <f t="shared" ca="1" si="28"/>
        <v>3808600.6104312772</v>
      </c>
      <c r="P134" s="407">
        <f t="shared" ca="1" si="28"/>
        <v>3811948.249364262</v>
      </c>
      <c r="Q134" s="407">
        <f t="shared" ca="1" si="28"/>
        <v>3823528.1728708139</v>
      </c>
      <c r="R134" s="407">
        <f t="shared" ca="1" si="28"/>
        <v>4553525.5050654234</v>
      </c>
      <c r="S134" s="407">
        <f t="shared" ca="1" si="28"/>
        <v>4278323.4158837842</v>
      </c>
      <c r="T134" s="407">
        <f t="shared" ca="1" si="28"/>
        <v>4497312.6016332563</v>
      </c>
      <c r="U134" s="407">
        <f t="shared" ca="1" si="28"/>
        <v>4623085.9543502918</v>
      </c>
      <c r="V134" s="407">
        <f t="shared" ca="1" si="28"/>
        <v>4634648.1962479362</v>
      </c>
      <c r="W134" s="407">
        <f t="shared" ca="1" si="28"/>
        <v>4597378.9172985498</v>
      </c>
      <c r="X134" s="407">
        <f t="shared" ca="1" si="28"/>
        <v>4589254.0343927145</v>
      </c>
      <c r="Y134" s="407">
        <f t="shared" ca="1" si="28"/>
        <v>4591829.7865511589</v>
      </c>
      <c r="Z134" s="407">
        <f t="shared" ca="1" si="28"/>
        <v>4647013.4736179113</v>
      </c>
      <c r="AA134" s="407">
        <f t="shared" ca="1" si="28"/>
        <v>4694733.3820949299</v>
      </c>
      <c r="AB134" s="407">
        <f t="shared" ca="1" si="28"/>
        <v>4772135.0003005955</v>
      </c>
      <c r="AC134" s="407">
        <f t="shared" ca="1" si="28"/>
        <v>4978674.8296406381</v>
      </c>
      <c r="AD134" s="407">
        <f t="shared" ca="1" si="28"/>
        <v>4968177.3646117877</v>
      </c>
      <c r="AE134" s="407">
        <f t="shared" ca="1" si="28"/>
        <v>4960091.736634057</v>
      </c>
      <c r="AF134" s="407">
        <f t="shared" ca="1" si="28"/>
        <v>4990670.723147328</v>
      </c>
      <c r="AG134" s="407">
        <f t="shared" ca="1" si="28"/>
        <v>5043588.75177061</v>
      </c>
      <c r="AH134" s="445">
        <f t="shared" ca="1" si="27"/>
        <v>126796082.30138573</v>
      </c>
    </row>
    <row r="135" spans="1:34">
      <c r="A135" s="419"/>
      <c r="B135" s="412"/>
      <c r="C135" s="401" t="s">
        <v>93</v>
      </c>
      <c r="D135" s="407">
        <f ca="1">D108+D109+D114+D115+D110</f>
        <v>9898727.4503749236</v>
      </c>
      <c r="E135" s="407">
        <f t="shared" ref="E135:AG135" ca="1" si="29">E108+E109+E114+E115+E110</f>
        <v>3422468.7805169588</v>
      </c>
      <c r="F135" s="407">
        <f t="shared" ca="1" si="29"/>
        <v>4307122.6811307548</v>
      </c>
      <c r="G135" s="407">
        <f t="shared" ca="1" si="29"/>
        <v>4099243.468834471</v>
      </c>
      <c r="H135" s="407">
        <f t="shared" ca="1" si="29"/>
        <v>4490499.2461097371</v>
      </c>
      <c r="I135" s="407">
        <f t="shared" ca="1" si="29"/>
        <v>4338126.2088168152</v>
      </c>
      <c r="J135" s="407">
        <f t="shared" ca="1" si="29"/>
        <v>4718489.668049179</v>
      </c>
      <c r="K135" s="407">
        <f t="shared" ca="1" si="29"/>
        <v>4558519.8165784907</v>
      </c>
      <c r="L135" s="407">
        <f t="shared" ca="1" si="29"/>
        <v>4450265.755032382</v>
      </c>
      <c r="M135" s="407">
        <f t="shared" ca="1" si="29"/>
        <v>4508342.4446761953</v>
      </c>
      <c r="N135" s="407">
        <f t="shared" ca="1" si="29"/>
        <v>4637316.6820737934</v>
      </c>
      <c r="O135" s="407">
        <f t="shared" ca="1" si="29"/>
        <v>4769856.4081295608</v>
      </c>
      <c r="P135" s="407">
        <f t="shared" ca="1" si="29"/>
        <v>4898301.5597098013</v>
      </c>
      <c r="Q135" s="407">
        <f t="shared" ca="1" si="29"/>
        <v>5021874.9369879207</v>
      </c>
      <c r="R135" s="407">
        <f t="shared" ca="1" si="29"/>
        <v>5139775.3636586452</v>
      </c>
      <c r="S135" s="407">
        <f t="shared" ca="1" si="29"/>
        <v>5492554.7544198576</v>
      </c>
      <c r="T135" s="407">
        <f t="shared" ca="1" si="29"/>
        <v>5602065.9656870328</v>
      </c>
      <c r="U135" s="407">
        <f t="shared" ca="1" si="29"/>
        <v>5703817.9644231778</v>
      </c>
      <c r="V135" s="407">
        <f t="shared" ca="1" si="29"/>
        <v>5797301.0524291769</v>
      </c>
      <c r="W135" s="407">
        <f t="shared" ca="1" si="29"/>
        <v>5882088.7197846221</v>
      </c>
      <c r="X135" s="407">
        <f t="shared" ca="1" si="29"/>
        <v>5957726.9243510412</v>
      </c>
      <c r="Y135" s="407">
        <f t="shared" ca="1" si="29"/>
        <v>6023882.6239068946</v>
      </c>
      <c r="Z135" s="407">
        <f t="shared" ca="1" si="29"/>
        <v>6080321.3758949181</v>
      </c>
      <c r="AA135" s="407">
        <f t="shared" ca="1" si="29"/>
        <v>6126769.0113336155</v>
      </c>
      <c r="AB135" s="407">
        <f t="shared" ca="1" si="29"/>
        <v>6162968.4988485044</v>
      </c>
      <c r="AC135" s="407">
        <f t="shared" ca="1" si="29"/>
        <v>6188761.6028371062</v>
      </c>
      <c r="AD135" s="407">
        <f t="shared" ca="1" si="29"/>
        <v>6204037.1329121059</v>
      </c>
      <c r="AE135" s="407">
        <f t="shared" ca="1" si="29"/>
        <v>6208632.5878233146</v>
      </c>
      <c r="AF135" s="407">
        <f t="shared" ca="1" si="29"/>
        <v>6202410.2851279369</v>
      </c>
      <c r="AG135" s="407">
        <f t="shared" ca="1" si="29"/>
        <v>6185279.8671340598</v>
      </c>
      <c r="AH135" s="445">
        <f t="shared" ca="1" si="27"/>
        <v>163077548.83759299</v>
      </c>
    </row>
    <row r="136" spans="1:34" s="405" customFormat="1">
      <c r="A136" s="420"/>
      <c r="B136" s="411"/>
      <c r="C136" s="402" t="s">
        <v>94</v>
      </c>
      <c r="D136" s="445">
        <f ca="1">SUM(D132:D135)</f>
        <v>50878328.818097323</v>
      </c>
      <c r="E136" s="445">
        <f ca="1">SUM(E132:E135)+D136</f>
        <v>100749306.98841341</v>
      </c>
      <c r="F136" s="445">
        <f t="shared" ref="F136:AG136" ca="1" si="30">SUM(F132:F135)+E136</f>
        <v>156842954.79699758</v>
      </c>
      <c r="G136" s="445">
        <f t="shared" ca="1" si="30"/>
        <v>218473005.06397349</v>
      </c>
      <c r="H136" s="445">
        <f t="shared" ca="1" si="30"/>
        <v>281278807.01310724</v>
      </c>
      <c r="I136" s="445">
        <f t="shared" ca="1" si="30"/>
        <v>343265598.48563242</v>
      </c>
      <c r="J136" s="445">
        <f t="shared" ca="1" si="30"/>
        <v>406295751.63411164</v>
      </c>
      <c r="K136" s="445">
        <f t="shared" ca="1" si="30"/>
        <v>469468594.25913888</v>
      </c>
      <c r="L136" s="445">
        <f t="shared" ca="1" si="30"/>
        <v>530875555.94039959</v>
      </c>
      <c r="M136" s="445">
        <f t="shared" ca="1" si="30"/>
        <v>592212176.86350882</v>
      </c>
      <c r="N136" s="445">
        <f t="shared" ca="1" si="30"/>
        <v>653999889.87394881</v>
      </c>
      <c r="O136" s="445">
        <f t="shared" ca="1" si="30"/>
        <v>716323148.12094402</v>
      </c>
      <c r="P136" s="445">
        <f t="shared" ca="1" si="30"/>
        <v>779212838.05404282</v>
      </c>
      <c r="Q136" s="445">
        <f t="shared" ca="1" si="30"/>
        <v>842463951.82926655</v>
      </c>
      <c r="R136" s="445">
        <f t="shared" ca="1" si="30"/>
        <v>907208506.03450084</v>
      </c>
      <c r="S136" s="445">
        <f t="shared" ca="1" si="30"/>
        <v>972849519.30904913</v>
      </c>
      <c r="T136" s="445">
        <f t="shared" ca="1" si="30"/>
        <v>1039174463.1917244</v>
      </c>
      <c r="U136" s="445">
        <f t="shared" ca="1" si="30"/>
        <v>1105765702.2566969</v>
      </c>
      <c r="V136" s="445">
        <f t="shared" ca="1" si="30"/>
        <v>1172721341.5411613</v>
      </c>
      <c r="W136" s="445">
        <f t="shared" ca="1" si="30"/>
        <v>1237695042.8454449</v>
      </c>
      <c r="X136" s="445">
        <f t="shared" ca="1" si="30"/>
        <v>1302945034.0483723</v>
      </c>
      <c r="Y136" s="445">
        <f t="shared" ca="1" si="30"/>
        <v>1368067198.1260309</v>
      </c>
      <c r="Z136" s="445">
        <f t="shared" ca="1" si="30"/>
        <v>1433428857.3892012</v>
      </c>
      <c r="AA136" s="445">
        <f t="shared" ca="1" si="30"/>
        <v>1498851639.5929615</v>
      </c>
      <c r="AB136" s="445">
        <f t="shared" ca="1" si="30"/>
        <v>1564501971.3362944</v>
      </c>
      <c r="AC136" s="445">
        <f t="shared" ca="1" si="30"/>
        <v>1628528591.7741523</v>
      </c>
      <c r="AD136" s="445">
        <f t="shared" ca="1" si="30"/>
        <v>1692700081.0235133</v>
      </c>
      <c r="AE136" s="445">
        <f t="shared" ca="1" si="30"/>
        <v>1756740207.3533509</v>
      </c>
      <c r="AF136" s="445">
        <f t="shared" ca="1" si="30"/>
        <v>1821108295.0871208</v>
      </c>
      <c r="AG136" s="445">
        <f t="shared" ca="1" si="30"/>
        <v>1885196347.7114058</v>
      </c>
      <c r="AH136" s="445">
        <f ca="1">SUM(AH132:AH135)</f>
        <v>1885196347.7114055</v>
      </c>
    </row>
    <row r="137" spans="1:34">
      <c r="A137" s="419"/>
    </row>
    <row r="138" spans="1:34">
      <c r="A138" s="419"/>
    </row>
    <row r="139" spans="1:34">
      <c r="A139" s="419"/>
    </row>
    <row r="140" spans="1:34">
      <c r="A140" s="419"/>
    </row>
    <row r="141" spans="1:34">
      <c r="A141" s="419"/>
    </row>
    <row r="142" spans="1:34">
      <c r="A142" s="419"/>
    </row>
    <row r="143" spans="1:34">
      <c r="A143" s="419"/>
    </row>
    <row r="144" spans="1:34">
      <c r="A144" s="419"/>
    </row>
    <row r="145" spans="1:1">
      <c r="A145" s="419"/>
    </row>
    <row r="146" spans="1:1">
      <c r="A146" s="419"/>
    </row>
    <row r="147" spans="1:1">
      <c r="A147" s="419"/>
    </row>
    <row r="148" spans="1:1">
      <c r="A148" s="419"/>
    </row>
    <row r="149" spans="1:1">
      <c r="A149" s="419"/>
    </row>
    <row r="150" spans="1:1">
      <c r="A150" s="419"/>
    </row>
    <row r="151" spans="1:1">
      <c r="A151" s="419"/>
    </row>
    <row r="152" spans="1:1">
      <c r="A152" s="419"/>
    </row>
    <row r="153" spans="1:1">
      <c r="A153" s="419"/>
    </row>
    <row r="154" spans="1:1">
      <c r="A154" s="419"/>
    </row>
    <row r="155" spans="1:1">
      <c r="A155" s="419"/>
    </row>
    <row r="156" spans="1:1">
      <c r="A156" s="419"/>
    </row>
    <row r="157" spans="1:1">
      <c r="A157" s="419"/>
    </row>
    <row r="158" spans="1:1">
      <c r="A158" s="419"/>
    </row>
    <row r="159" spans="1:1">
      <c r="A159" s="419"/>
    </row>
    <row r="160" spans="1:1">
      <c r="A160" s="419"/>
    </row>
    <row r="161" spans="1:1">
      <c r="A161" s="419"/>
    </row>
    <row r="162" spans="1:1">
      <c r="A162" s="419"/>
    </row>
    <row r="163" spans="1:1">
      <c r="A163" s="419"/>
    </row>
    <row r="164" spans="1:1">
      <c r="A164" s="419"/>
    </row>
    <row r="165" spans="1:1">
      <c r="A165" s="419"/>
    </row>
    <row r="166" spans="1:1">
      <c r="A166" s="419"/>
    </row>
    <row r="167" spans="1:1">
      <c r="A167" s="419"/>
    </row>
    <row r="168" spans="1:1">
      <c r="A168" s="419"/>
    </row>
    <row r="169" spans="1:1">
      <c r="A169" s="419"/>
    </row>
    <row r="170" spans="1:1">
      <c r="A170" s="419"/>
    </row>
    <row r="171" spans="1:1">
      <c r="A171" s="419"/>
    </row>
    <row r="172" spans="1:1">
      <c r="A172" s="419"/>
    </row>
    <row r="173" spans="1:1">
      <c r="A173" s="419"/>
    </row>
    <row r="174" spans="1:1">
      <c r="A174" s="419"/>
    </row>
    <row r="175" spans="1:1">
      <c r="A175" s="419"/>
    </row>
    <row r="176" spans="1:1">
      <c r="A176" s="419"/>
    </row>
    <row r="177" spans="2:34" s="410" customFormat="1"/>
    <row r="179" spans="2:34">
      <c r="C179" s="405" t="s">
        <v>95</v>
      </c>
    </row>
    <row r="180" spans="2:34" s="405" customFormat="1">
      <c r="B180" s="411"/>
      <c r="C180" s="402"/>
      <c r="D180" s="402" t="str">
        <f>'Receitas Tarifárias'!E378</f>
        <v>Ano 1</v>
      </c>
      <c r="E180" s="402" t="str">
        <f>'Receitas Tarifárias'!F378</f>
        <v>Ano 2</v>
      </c>
      <c r="F180" s="402" t="str">
        <f>'Receitas Tarifárias'!G378</f>
        <v>Ano 3</v>
      </c>
      <c r="G180" s="402" t="str">
        <f>'Receitas Tarifárias'!H378</f>
        <v>Ano 4</v>
      </c>
      <c r="H180" s="402" t="str">
        <f>'Receitas Tarifárias'!I378</f>
        <v>Ano 5</v>
      </c>
      <c r="I180" s="402" t="str">
        <f>'Receitas Tarifárias'!J378</f>
        <v>Ano 6</v>
      </c>
      <c r="J180" s="402" t="str">
        <f>'Receitas Tarifárias'!K378</f>
        <v>Ano 7</v>
      </c>
      <c r="K180" s="402" t="str">
        <f>'Receitas Tarifárias'!L378</f>
        <v>Ano 8</v>
      </c>
      <c r="L180" s="402" t="str">
        <f>'Receitas Tarifárias'!M378</f>
        <v>Ano 9</v>
      </c>
      <c r="M180" s="402" t="str">
        <f>'Receitas Tarifárias'!N378</f>
        <v>Ano 10</v>
      </c>
      <c r="N180" s="402" t="str">
        <f>'Receitas Tarifárias'!O378</f>
        <v>Ano 11</v>
      </c>
      <c r="O180" s="402" t="str">
        <f>'Receitas Tarifárias'!P378</f>
        <v>Ano 12</v>
      </c>
      <c r="P180" s="402" t="str">
        <f>'Receitas Tarifárias'!Q378</f>
        <v>Ano 13</v>
      </c>
      <c r="Q180" s="402" t="str">
        <f>'Receitas Tarifárias'!R378</f>
        <v>Ano 14</v>
      </c>
      <c r="R180" s="402" t="str">
        <f>'Receitas Tarifárias'!S378</f>
        <v>Ano 15</v>
      </c>
      <c r="S180" s="402" t="str">
        <f>'Receitas Tarifárias'!T378</f>
        <v>Ano 16</v>
      </c>
      <c r="T180" s="402" t="str">
        <f>'Receitas Tarifárias'!U378</f>
        <v>Ano 17</v>
      </c>
      <c r="U180" s="402" t="str">
        <f>'Receitas Tarifárias'!V378</f>
        <v>Ano 18</v>
      </c>
      <c r="V180" s="402" t="str">
        <f>'Receitas Tarifárias'!W378</f>
        <v>Ano 19</v>
      </c>
      <c r="W180" s="402" t="str">
        <f>'Receitas Tarifárias'!X378</f>
        <v>Ano 20</v>
      </c>
      <c r="X180" s="402" t="str">
        <f>'Receitas Tarifárias'!Y378</f>
        <v>Ano 21</v>
      </c>
      <c r="Y180" s="402" t="str">
        <f>'Receitas Tarifárias'!Z378</f>
        <v>Ano 22</v>
      </c>
      <c r="Z180" s="402" t="str">
        <f>'Receitas Tarifárias'!AA378</f>
        <v>Ano 23</v>
      </c>
      <c r="AA180" s="402" t="str">
        <f>'Receitas Tarifárias'!AB378</f>
        <v>Ano 24</v>
      </c>
      <c r="AB180" s="402" t="str">
        <f>'Receitas Tarifárias'!AC378</f>
        <v>Ano 25</v>
      </c>
      <c r="AC180" s="402" t="str">
        <f>'Receitas Tarifárias'!AD378</f>
        <v>Ano 26</v>
      </c>
      <c r="AD180" s="402" t="str">
        <f>'Receitas Tarifárias'!AE378</f>
        <v>Ano 27</v>
      </c>
      <c r="AE180" s="402" t="str">
        <f>'Receitas Tarifárias'!AF378</f>
        <v>Ano 28</v>
      </c>
      <c r="AF180" s="402" t="str">
        <f>'Receitas Tarifárias'!AG378</f>
        <v>Ano 29</v>
      </c>
      <c r="AG180" s="402" t="str">
        <f>'Receitas Tarifárias'!AH378</f>
        <v>Ano 30</v>
      </c>
      <c r="AH180" s="402" t="s">
        <v>73</v>
      </c>
    </row>
    <row r="181" spans="2:34">
      <c r="B181" s="412"/>
      <c r="C181" s="401" t="s">
        <v>28</v>
      </c>
      <c r="D181" s="407">
        <f ca="1">'Receitas Tarifárias'!E379</f>
        <v>0</v>
      </c>
      <c r="E181" s="407">
        <f ca="1">'Receitas Tarifárias'!F379</f>
        <v>44475744.827660337</v>
      </c>
      <c r="F181" s="407">
        <f ca="1">'Receitas Tarifárias'!G379</f>
        <v>60046222.204019226</v>
      </c>
      <c r="G181" s="407">
        <f ca="1">'Receitas Tarifárias'!H379</f>
        <v>60987757.134655431</v>
      </c>
      <c r="H181" s="407">
        <f ca="1">'Receitas Tarifárias'!I379</f>
        <v>86891665.611295938</v>
      </c>
      <c r="I181" s="407">
        <f ca="1">'Receitas Tarifárias'!J379</f>
        <v>88822066.924905881</v>
      </c>
      <c r="J181" s="407">
        <f ca="1">'Receitas Tarifárias'!K379</f>
        <v>90825487.627143323</v>
      </c>
      <c r="K181" s="407">
        <f ca="1">'Receitas Tarifárias'!L379</f>
        <v>92889582.390282333</v>
      </c>
      <c r="L181" s="407">
        <f ca="1">'Receitas Tarifárias'!M379</f>
        <v>95258486.947280377</v>
      </c>
      <c r="M181" s="407">
        <f ca="1">'Receitas Tarifárias'!N379</f>
        <v>97949001.664084002</v>
      </c>
      <c r="N181" s="407">
        <f ca="1">'Receitas Tarifárias'!O379</f>
        <v>100704805.90981841</v>
      </c>
      <c r="O181" s="407">
        <f ca="1">'Receitas Tarifárias'!P379</f>
        <v>103518709.22283012</v>
      </c>
      <c r="P181" s="407">
        <f ca="1">'Receitas Tarifárias'!Q379</f>
        <v>106239859.086373</v>
      </c>
      <c r="Q181" s="407">
        <f ca="1">'Receitas Tarifárias'!R379</f>
        <v>108851781.88871436</v>
      </c>
      <c r="R181" s="407">
        <f ca="1">'Receitas Tarifárias'!S379</f>
        <v>111337543.45443267</v>
      </c>
      <c r="S181" s="407">
        <f ca="1">'Receitas Tarifárias'!T379</f>
        <v>113681098.51405178</v>
      </c>
      <c r="T181" s="407">
        <f ca="1">'Receitas Tarifárias'!U379</f>
        <v>115871198.91201234</v>
      </c>
      <c r="U181" s="407">
        <f ca="1">'Receitas Tarifárias'!V379</f>
        <v>117898408.80808893</v>
      </c>
      <c r="V181" s="407">
        <f ca="1">'Receitas Tarifárias'!W379</f>
        <v>119752650.4392855</v>
      </c>
      <c r="W181" s="407">
        <f ca="1">'Receitas Tarifárias'!X379</f>
        <v>121425580.09057915</v>
      </c>
      <c r="X181" s="407">
        <f ca="1">'Receitas Tarifárias'!Y379</f>
        <v>122908288.50522393</v>
      </c>
      <c r="Y181" s="407">
        <f ca="1">'Receitas Tarifárias'!Z379</f>
        <v>124194360.91348089</v>
      </c>
      <c r="Z181" s="407">
        <f ca="1">'Receitas Tarifárias'!AA379</f>
        <v>125279406.07841042</v>
      </c>
      <c r="AA181" s="407">
        <f ca="1">'Receitas Tarifárias'!AB379</f>
        <v>126158202.81147511</v>
      </c>
      <c r="AB181" s="407">
        <f ca="1">'Receitas Tarifárias'!AC379</f>
        <v>126825880.84405594</v>
      </c>
      <c r="AC181" s="407">
        <f ca="1">'Receitas Tarifárias'!AD379</f>
        <v>127279601.84360942</v>
      </c>
      <c r="AD181" s="407">
        <f ca="1">'Receitas Tarifárias'!AE379</f>
        <v>127517501.53888954</v>
      </c>
      <c r="AE181" s="407">
        <f ca="1">'Receitas Tarifárias'!AF379</f>
        <v>127536665.88164183</v>
      </c>
      <c r="AF181" s="407">
        <f ca="1">'Receitas Tarifárias'!AG379</f>
        <v>127334688.45552531</v>
      </c>
      <c r="AG181" s="407">
        <f ca="1">'Receitas Tarifárias'!AH379</f>
        <v>126910124.76236716</v>
      </c>
      <c r="AH181" s="401">
        <f ca="1">SUM(D181:AG181)</f>
        <v>3099372373.2921934</v>
      </c>
    </row>
    <row r="182" spans="2:34">
      <c r="B182" s="412"/>
      <c r="C182" s="401" t="s">
        <v>31</v>
      </c>
      <c r="D182" s="407">
        <f ca="1">'Receitas Tarifárias'!E380</f>
        <v>0</v>
      </c>
      <c r="E182" s="407">
        <f ca="1">'Receitas Tarifárias'!F380</f>
        <v>39558611.250955388</v>
      </c>
      <c r="F182" s="407">
        <f ca="1">'Receitas Tarifárias'!G380</f>
        <v>53434570.67186106</v>
      </c>
      <c r="G182" s="407">
        <f ca="1">'Receitas Tarifárias'!H380</f>
        <v>54310749.954184428</v>
      </c>
      <c r="H182" s="407">
        <f ca="1">'Receitas Tarifárias'!I380</f>
        <v>55310506.763921902</v>
      </c>
      <c r="I182" s="407">
        <f ca="1">'Receitas Tarifárias'!J380</f>
        <v>56578605.004875489</v>
      </c>
      <c r="J182" s="407">
        <f ca="1">'Receitas Tarifárias'!K380</f>
        <v>81070999.623268068</v>
      </c>
      <c r="K182" s="407">
        <f ca="1">'Receitas Tarifárias'!L380</f>
        <v>82971969.979294747</v>
      </c>
      <c r="L182" s="407">
        <f ca="1">'Receitas Tarifárias'!M380</f>
        <v>85125755.936898917</v>
      </c>
      <c r="M182" s="407">
        <f ca="1">'Receitas Tarifárias'!N380</f>
        <v>87583423.630184948</v>
      </c>
      <c r="N182" s="407">
        <f ca="1">'Receitas Tarifárias'!O380</f>
        <v>90120376.923786059</v>
      </c>
      <c r="O182" s="407">
        <f ca="1">'Receitas Tarifárias'!P380</f>
        <v>92731468.086103171</v>
      </c>
      <c r="P182" s="407">
        <f ca="1">'Receitas Tarifárias'!Q380</f>
        <v>95263775.9342338</v>
      </c>
      <c r="Q182" s="407">
        <f ca="1">'Receitas Tarifárias'!R380</f>
        <v>97701934.084176138</v>
      </c>
      <c r="R182" s="407">
        <f ca="1">'Receitas Tarifárias'!S380</f>
        <v>100030093.44361554</v>
      </c>
      <c r="S182" s="407">
        <f ca="1">'Receitas Tarifárias'!T380</f>
        <v>102233179.36565864</v>
      </c>
      <c r="T182" s="407">
        <f ca="1">'Receitas Tarifárias'!U380</f>
        <v>104300458.42216887</v>
      </c>
      <c r="U182" s="407">
        <f ca="1">'Receitas Tarifárias'!V380</f>
        <v>106222849.3920964</v>
      </c>
      <c r="V182" s="407">
        <f ca="1">'Receitas Tarifárias'!W380</f>
        <v>107990683.45374426</v>
      </c>
      <c r="W182" s="407">
        <f ca="1">'Receitas Tarifárias'!X380</f>
        <v>109595853.26415737</v>
      </c>
      <c r="X182" s="407">
        <f ca="1">'Receitas Tarifárias'!Y380</f>
        <v>111029742.57626855</v>
      </c>
      <c r="Y182" s="407">
        <f ca="1">'Receitas Tarifárias'!Z380</f>
        <v>112286008.92859952</v>
      </c>
      <c r="Z182" s="407">
        <f ca="1">'Receitas Tarifárias'!AA380</f>
        <v>113360165.71137017</v>
      </c>
      <c r="AA182" s="407">
        <f ca="1">'Receitas Tarifárias'!AB380</f>
        <v>114246990.79155654</v>
      </c>
      <c r="AB182" s="407">
        <f ca="1">'Receitas Tarifárias'!AC380</f>
        <v>114941589.60801013</v>
      </c>
      <c r="AC182" s="407">
        <f ca="1">'Receitas Tarifárias'!AD380</f>
        <v>115440925.13826799</v>
      </c>
      <c r="AD182" s="407">
        <f ca="1">'Receitas Tarifárias'!AE380</f>
        <v>115742846.28160965</v>
      </c>
      <c r="AE182" s="407">
        <f ca="1">'Receitas Tarifárias'!AF380</f>
        <v>115844244.47195035</v>
      </c>
      <c r="AF182" s="407">
        <f ca="1">'Receitas Tarifárias'!AG380</f>
        <v>115742482.15950739</v>
      </c>
      <c r="AG182" s="407">
        <f ca="1">'Receitas Tarifárias'!AH380</f>
        <v>115435816.07189555</v>
      </c>
      <c r="AH182" s="401">
        <f ca="1">SUM(D182:AG182)</f>
        <v>2746206676.924221</v>
      </c>
    </row>
    <row r="183" spans="2:34">
      <c r="B183" s="412"/>
      <c r="C183" s="401" t="s">
        <v>35</v>
      </c>
      <c r="D183" s="407">
        <f ca="1">'Receitas Tarifárias'!E381</f>
        <v>0</v>
      </c>
      <c r="E183" s="407">
        <f ca="1">'Receitas Tarifárias'!F381</f>
        <v>8909895.5982905086</v>
      </c>
      <c r="F183" s="407">
        <f ca="1">'Receitas Tarifárias'!G381</f>
        <v>12038512.733028399</v>
      </c>
      <c r="G183" s="407">
        <f ca="1">'Receitas Tarifárias'!H381</f>
        <v>12240679.499985849</v>
      </c>
      <c r="H183" s="407">
        <f ca="1">'Receitas Tarifárias'!I381</f>
        <v>12470107.115361314</v>
      </c>
      <c r="I183" s="407">
        <f ca="1">'Receitas Tarifárias'!J381</f>
        <v>12757397.365963761</v>
      </c>
      <c r="J183" s="407">
        <f ca="1">'Receitas Tarifárias'!K381</f>
        <v>13061763.56429155</v>
      </c>
      <c r="K183" s="407">
        <f ca="1">'Receitas Tarifárias'!L381</f>
        <v>13369155.258728813</v>
      </c>
      <c r="L183" s="407">
        <f ca="1">'Receitas Tarifárias'!M381</f>
        <v>13711227.937145667</v>
      </c>
      <c r="M183" s="407">
        <f ca="1">'Receitas Tarifárias'!N381</f>
        <v>14103057.514211964</v>
      </c>
      <c r="N183" s="407">
        <f ca="1">'Receitas Tarifárias'!O381</f>
        <v>14510848.723949088</v>
      </c>
      <c r="O183" s="407">
        <f ca="1">'Receitas Tarifárias'!P381</f>
        <v>14934090.777107716</v>
      </c>
      <c r="P183" s="407">
        <f ca="1">'Receitas Tarifárias'!Q381</f>
        <v>15345484.639099801</v>
      </c>
      <c r="Q183" s="407">
        <f ca="1">'Receitas Tarifárias'!R381</f>
        <v>15742558.967887245</v>
      </c>
      <c r="R183" s="407">
        <f ca="1">'Receitas Tarifárias'!S381</f>
        <v>16122753.800364507</v>
      </c>
      <c r="S183" s="407">
        <f ca="1">'Receitas Tarifárias'!T381</f>
        <v>16483624.519126683</v>
      </c>
      <c r="T183" s="407">
        <f ca="1">'Receitas Tarifárias'!U381</f>
        <v>16823412.555292521</v>
      </c>
      <c r="U183" s="407">
        <f ca="1">'Receitas Tarifárias'!V381</f>
        <v>17140619.157607514</v>
      </c>
      <c r="V183" s="407">
        <f ca="1">'Receitas Tarifárias'!W381</f>
        <v>17433646.941202506</v>
      </c>
      <c r="W183" s="407">
        <f ca="1">'Receitas Tarifárias'!X381</f>
        <v>17701141.465316858</v>
      </c>
      <c r="X183" s="407">
        <f ca="1">'Receitas Tarifárias'!Y381</f>
        <v>17941663.597857434</v>
      </c>
      <c r="Y183" s="407">
        <f ca="1">'Receitas Tarifárias'!Z381</f>
        <v>18154133.816400193</v>
      </c>
      <c r="Z183" s="407">
        <f ca="1">'Receitas Tarifárias'!AA381</f>
        <v>18337767.096900679</v>
      </c>
      <c r="AA183" s="407">
        <f ca="1">'Receitas Tarifárias'!AB381</f>
        <v>18491660.043687325</v>
      </c>
      <c r="AB183" s="407">
        <f ca="1">'Receitas Tarifárias'!AC381</f>
        <v>18614959.256046176</v>
      </c>
      <c r="AC183" s="407">
        <f ca="1">'Receitas Tarifárias'!AD381</f>
        <v>18707105.876340929</v>
      </c>
      <c r="AD183" s="407">
        <f ca="1">'Receitas Tarifárias'!AE381</f>
        <v>18767679.295031413</v>
      </c>
      <c r="AE183" s="407">
        <f ca="1">'Receitas Tarifárias'!AF381</f>
        <v>18796102.521724984</v>
      </c>
      <c r="AF183" s="407">
        <f ca="1">'Receitas Tarifárias'!AG381</f>
        <v>18791872.04985293</v>
      </c>
      <c r="AG183" s="407">
        <f ca="1">'Receitas Tarifárias'!AH381</f>
        <v>18754627.078236621</v>
      </c>
      <c r="AH183" s="401">
        <f ca="1">SUM(D183:AG183)</f>
        <v>460257548.76604098</v>
      </c>
    </row>
    <row r="184" spans="2:34">
      <c r="B184" s="412"/>
      <c r="C184" s="401" t="s">
        <v>40</v>
      </c>
      <c r="D184" s="407">
        <f ca="1">'Receitas Tarifárias'!E382</f>
        <v>0</v>
      </c>
      <c r="E184" s="407">
        <f ca="1">'Receitas Tarifárias'!F382</f>
        <v>16293925.456091529</v>
      </c>
      <c r="F184" s="407">
        <f ca="1">'Receitas Tarifárias'!G382</f>
        <v>22011929.146413904</v>
      </c>
      <c r="G184" s="407">
        <f ca="1">'Receitas Tarifárias'!H382</f>
        <v>22379872.971379668</v>
      </c>
      <c r="H184" s="407">
        <f ca="1">'Receitas Tarifárias'!I382</f>
        <v>22797922.281257946</v>
      </c>
      <c r="I184" s="407">
        <f ca="1">'Receitas Tarifárias'!J382</f>
        <v>23322284.228636965</v>
      </c>
      <c r="J184" s="407">
        <f ca="1">'Receitas Tarifárias'!K382</f>
        <v>23879683.657043017</v>
      </c>
      <c r="K184" s="407">
        <f ca="1">'Receitas Tarifárias'!L382</f>
        <v>24441190.315686125</v>
      </c>
      <c r="L184" s="407">
        <f ca="1">'Receitas Tarifárias'!M382</f>
        <v>25064806.993277408</v>
      </c>
      <c r="M184" s="407">
        <f ca="1">'Receitas Tarifárias'!N382</f>
        <v>25781639.425328869</v>
      </c>
      <c r="N184" s="407">
        <f ca="1">'Receitas Tarifárias'!O382</f>
        <v>26529802.546136133</v>
      </c>
      <c r="O184" s="407">
        <f ca="1">'Receitas Tarifárias'!P382</f>
        <v>27308552.320437003</v>
      </c>
      <c r="P184" s="407">
        <f ca="1">'Receitas Tarifárias'!Q382</f>
        <v>28065958.32578348</v>
      </c>
      <c r="Q184" s="407">
        <f ca="1">'Receitas Tarifárias'!R382</f>
        <v>28797471.908618256</v>
      </c>
      <c r="R184" s="407">
        <f ca="1">'Receitas Tarifárias'!S382</f>
        <v>29498377.484519523</v>
      </c>
      <c r="S184" s="407">
        <f ca="1">'Receitas Tarifárias'!T382</f>
        <v>42229835.322155766</v>
      </c>
      <c r="T184" s="407">
        <f ca="1">'Receitas Tarifárias'!U382</f>
        <v>43108228.394877918</v>
      </c>
      <c r="U184" s="407">
        <f ca="1">'Receitas Tarifárias'!V382</f>
        <v>43929020.86336603</v>
      </c>
      <c r="V184" s="407">
        <f ca="1">'Receitas Tarifárias'!W382</f>
        <v>44688071.787226506</v>
      </c>
      <c r="W184" s="407">
        <f ca="1">'Receitas Tarifárias'!X382</f>
        <v>45381861.169177771</v>
      </c>
      <c r="X184" s="407">
        <f ca="1">'Receitas Tarifárias'!Y382</f>
        <v>46006651.538202174</v>
      </c>
      <c r="Y184" s="407">
        <f ca="1">'Receitas Tarifárias'!Z382</f>
        <v>46559627.536864117</v>
      </c>
      <c r="Z184" s="407">
        <f ca="1">'Receitas Tarifárias'!AA382</f>
        <v>47038729.908064678</v>
      </c>
      <c r="AA184" s="407">
        <f ca="1">'Receitas Tarifárias'!AB382</f>
        <v>47441596.919961788</v>
      </c>
      <c r="AB184" s="407">
        <f ca="1">'Receitas Tarifárias'!AC382</f>
        <v>47765995.234312952</v>
      </c>
      <c r="AC184" s="407">
        <f ca="1">'Receitas Tarifárias'!AD382</f>
        <v>48010447.283637002</v>
      </c>
      <c r="AD184" s="407">
        <f ca="1">'Receitas Tarifárias'!AE382</f>
        <v>48173829.530074731</v>
      </c>
      <c r="AE184" s="407">
        <f ca="1">'Receitas Tarifárias'!AF382</f>
        <v>48254616.515848517</v>
      </c>
      <c r="AF184" s="407">
        <f ca="1">'Receitas Tarifárias'!AG382</f>
        <v>48251471.591511197</v>
      </c>
      <c r="AG184" s="407">
        <f ca="1">'Receitas Tarifárias'!AH382</f>
        <v>48163425.444203801</v>
      </c>
      <c r="AH184" s="401">
        <f ca="1">SUM(D184:AG184)</f>
        <v>1041176826.100095</v>
      </c>
    </row>
    <row r="185" spans="2:34">
      <c r="B185" s="412"/>
      <c r="C185" s="401" t="s">
        <v>96</v>
      </c>
      <c r="D185" s="407">
        <f ca="1">'Receitas Tarifárias'!E383</f>
        <v>0</v>
      </c>
      <c r="E185" s="407">
        <f ca="1">'Receitas Tarifárias'!F383+D185</f>
        <v>109238177.13299775</v>
      </c>
      <c r="F185" s="407">
        <f ca="1">'Receitas Tarifárias'!G383+E185</f>
        <v>256769411.88832033</v>
      </c>
      <c r="G185" s="407">
        <f ca="1">'Receitas Tarifárias'!H383+F185</f>
        <v>406688471.44852567</v>
      </c>
      <c r="H185" s="407">
        <f ca="1">'Receitas Tarifárias'!I383+G185</f>
        <v>584158673.22036278</v>
      </c>
      <c r="I185" s="407">
        <f ca="1">'Receitas Tarifárias'!J383+H185</f>
        <v>765639026.7447449</v>
      </c>
      <c r="J185" s="407">
        <f ca="1">'Receitas Tarifárias'!K383+I185</f>
        <v>974476961.21649086</v>
      </c>
      <c r="K185" s="407">
        <f ca="1">'Receitas Tarifárias'!L383+J185</f>
        <v>1188148859.1604829</v>
      </c>
      <c r="L185" s="407">
        <f ca="1">'Receitas Tarifárias'!M383+K185</f>
        <v>1407309136.9750853</v>
      </c>
      <c r="M185" s="407">
        <f ca="1">'Receitas Tarifárias'!N383+L185</f>
        <v>1632726259.208895</v>
      </c>
      <c r="N185" s="407">
        <f ca="1">'Receitas Tarifárias'!O383+M185</f>
        <v>1864592093.3125846</v>
      </c>
      <c r="O185" s="407">
        <f ca="1">'Receitas Tarifárias'!P383+N185</f>
        <v>2103084913.7190626</v>
      </c>
      <c r="P185" s="407">
        <f ca="1">'Receitas Tarifárias'!Q383+O185</f>
        <v>2347999991.7045527</v>
      </c>
      <c r="Q185" s="407">
        <f ca="1">'Receitas Tarifárias'!R383+P185</f>
        <v>2599093738.5539484</v>
      </c>
      <c r="R185" s="407">
        <f ca="1">'Receitas Tarifárias'!S383+Q185</f>
        <v>2856082506.7368808</v>
      </c>
      <c r="S185" s="407">
        <f ca="1">'Receitas Tarifárias'!T383+R185</f>
        <v>3130710244.4578738</v>
      </c>
      <c r="T185" s="407">
        <f ca="1">'Receitas Tarifárias'!U383+S185</f>
        <v>3410813542.7422256</v>
      </c>
      <c r="U185" s="407">
        <f ca="1">'Receitas Tarifárias'!V383+T185</f>
        <v>3696004440.9633846</v>
      </c>
      <c r="V185" s="407">
        <f ca="1">'Receitas Tarifárias'!W383+U185</f>
        <v>3985869493.5848436</v>
      </c>
      <c r="W185" s="407">
        <f ca="1">'Receitas Tarifárias'!X383+V185</f>
        <v>4279973929.5740747</v>
      </c>
      <c r="X185" s="407">
        <f ca="1">'Receitas Tarifárias'!Y383+W185</f>
        <v>4577860275.7916269</v>
      </c>
      <c r="Y185" s="407">
        <f ca="1">'Receitas Tarifárias'!Z383+X185</f>
        <v>4879054406.9869719</v>
      </c>
      <c r="Z185" s="407">
        <f ca="1">'Receitas Tarifárias'!AA383+Y185</f>
        <v>5183070475.7817173</v>
      </c>
      <c r="AA185" s="407">
        <f ca="1">'Receitas Tarifárias'!AB383+Z185</f>
        <v>5489408926.3483982</v>
      </c>
      <c r="AB185" s="407">
        <f ca="1">'Receitas Tarifárias'!AC383+AA185</f>
        <v>5797557351.290823</v>
      </c>
      <c r="AC185" s="407">
        <f ca="1">'Receitas Tarifárias'!AD383+AB185</f>
        <v>6106995431.4326782</v>
      </c>
      <c r="AD185" s="407">
        <f ca="1">'Receitas Tarifárias'!AE383+AC185</f>
        <v>6417197288.0782833</v>
      </c>
      <c r="AE185" s="407">
        <f ca="1">'Receitas Tarifárias'!AF383+AD185</f>
        <v>6727628917.469449</v>
      </c>
      <c r="AF185" s="407">
        <f ca="1">'Receitas Tarifárias'!AG383+AE185</f>
        <v>7037749431.7258463</v>
      </c>
      <c r="AG185" s="407">
        <f ca="1">'Receitas Tarifárias'!AH383+AF185</f>
        <v>7347013425.0825491</v>
      </c>
      <c r="AH185" s="401">
        <f ca="1">SUM(AH181:AH184)</f>
        <v>7347013425.08255</v>
      </c>
    </row>
    <row r="210" spans="3:3">
      <c r="C210" s="405" t="s">
        <v>97</v>
      </c>
    </row>
    <row r="211" spans="3:3">
      <c r="C211" s="405"/>
    </row>
    <row r="212" spans="3:3">
      <c r="C212" s="405"/>
    </row>
    <row r="213" spans="3:3">
      <c r="C213" s="405"/>
    </row>
    <row r="214" spans="3:3">
      <c r="C214" s="405"/>
    </row>
    <row r="215" spans="3:3">
      <c r="C215" s="405"/>
    </row>
    <row r="216" spans="3:3">
      <c r="C216" s="405"/>
    </row>
    <row r="217" spans="3:3">
      <c r="C217" s="405"/>
    </row>
    <row r="218" spans="3:3">
      <c r="C218" s="405"/>
    </row>
    <row r="219" spans="3:3">
      <c r="C219" s="405"/>
    </row>
    <row r="220" spans="3:3">
      <c r="C220" s="405"/>
    </row>
    <row r="221" spans="3:3">
      <c r="C221" s="405"/>
    </row>
    <row r="222" spans="3:3">
      <c r="C222" s="405"/>
    </row>
    <row r="225" spans="1:34" s="410" customFormat="1"/>
    <row r="226" spans="1:34">
      <c r="A226" s="419"/>
    </row>
    <row r="227" spans="1:34">
      <c r="A227" s="419"/>
    </row>
    <row r="228" spans="1:34">
      <c r="A228" s="419"/>
      <c r="C228" s="405" t="s">
        <v>98</v>
      </c>
    </row>
    <row r="229" spans="1:34" s="405" customFormat="1">
      <c r="A229" s="420"/>
      <c r="B229" s="411"/>
      <c r="C229" s="402"/>
      <c r="D229" s="402" t="str">
        <f>DFC!C4</f>
        <v>Ano 1</v>
      </c>
      <c r="E229" s="402" t="str">
        <f>DFC!D4</f>
        <v>Ano 2</v>
      </c>
      <c r="F229" s="402" t="str">
        <f>DFC!E4</f>
        <v>Ano 3</v>
      </c>
      <c r="G229" s="402" t="str">
        <f>DFC!F4</f>
        <v>Ano 4</v>
      </c>
      <c r="H229" s="402" t="str">
        <f>DFC!G4</f>
        <v>Ano 5</v>
      </c>
      <c r="I229" s="402" t="str">
        <f>DFC!H4</f>
        <v>Ano 6</v>
      </c>
      <c r="J229" s="402" t="str">
        <f>DFC!I4</f>
        <v>Ano 7</v>
      </c>
      <c r="K229" s="402" t="str">
        <f>DFC!J4</f>
        <v>Ano 8</v>
      </c>
      <c r="L229" s="402" t="str">
        <f>DFC!K4</f>
        <v>Ano 9</v>
      </c>
      <c r="M229" s="402" t="str">
        <f>DFC!L4</f>
        <v>Ano 10</v>
      </c>
      <c r="N229" s="402" t="str">
        <f>DFC!M4</f>
        <v>Ano 11</v>
      </c>
      <c r="O229" s="402" t="str">
        <f>DFC!N4</f>
        <v>Ano 12</v>
      </c>
      <c r="P229" s="402" t="str">
        <f>DFC!O4</f>
        <v>Ano 13</v>
      </c>
      <c r="Q229" s="402" t="str">
        <f>DFC!P4</f>
        <v>Ano 14</v>
      </c>
      <c r="R229" s="402" t="str">
        <f>DFC!Q4</f>
        <v>Ano 15</v>
      </c>
      <c r="S229" s="402" t="str">
        <f>DFC!R4</f>
        <v>Ano 16</v>
      </c>
      <c r="T229" s="402" t="str">
        <f>DFC!S4</f>
        <v>Ano 17</v>
      </c>
      <c r="U229" s="402" t="str">
        <f>DFC!T4</f>
        <v>Ano 18</v>
      </c>
      <c r="V229" s="402" t="str">
        <f>DFC!U4</f>
        <v>Ano 19</v>
      </c>
      <c r="W229" s="402" t="str">
        <f>DFC!V4</f>
        <v>Ano 20</v>
      </c>
      <c r="X229" s="402" t="str">
        <f>DFC!W4</f>
        <v>Ano 21</v>
      </c>
      <c r="Y229" s="402" t="str">
        <f>DFC!X4</f>
        <v>Ano 22</v>
      </c>
      <c r="Z229" s="402" t="str">
        <f>DFC!Y4</f>
        <v>Ano 23</v>
      </c>
      <c r="AA229" s="402" t="str">
        <f>DFC!Z4</f>
        <v>Ano 24</v>
      </c>
      <c r="AB229" s="402" t="str">
        <f>DFC!AA4</f>
        <v>Ano 25</v>
      </c>
      <c r="AC229" s="402" t="str">
        <f>DFC!AB4</f>
        <v>Ano 26</v>
      </c>
      <c r="AD229" s="402" t="str">
        <f>DFC!AC4</f>
        <v>Ano 27</v>
      </c>
      <c r="AE229" s="402" t="str">
        <f>DFC!AD4</f>
        <v>Ano 28</v>
      </c>
      <c r="AF229" s="402" t="str">
        <f>DFC!AE4</f>
        <v>Ano 29</v>
      </c>
      <c r="AG229" s="402" t="str">
        <f>DFC!AF4</f>
        <v>Ano 30</v>
      </c>
      <c r="AH229" s="70"/>
    </row>
    <row r="230" spans="1:34">
      <c r="A230" s="419"/>
      <c r="B230" s="412"/>
      <c r="C230" s="407" t="str">
        <f>DFC!$B$6</f>
        <v>Recebimento de aporte estatal</v>
      </c>
      <c r="D230" s="407">
        <f ca="1">DFC!C6</f>
        <v>111081000</v>
      </c>
      <c r="E230" s="407">
        <f ca="1">DFC!D6</f>
        <v>0</v>
      </c>
      <c r="F230" s="407">
        <f ca="1">DFC!E6</f>
        <v>253089000</v>
      </c>
      <c r="G230" s="407">
        <f ca="1">DFC!F6</f>
        <v>732183000</v>
      </c>
      <c r="H230" s="407">
        <f ca="1">DFC!G6</f>
        <v>364902000</v>
      </c>
      <c r="I230" s="407">
        <f ca="1">DFC!H6</f>
        <v>368745000</v>
      </c>
      <c r="J230" s="407">
        <f ca="1">DFC!I6</f>
        <v>0</v>
      </c>
      <c r="K230" s="407">
        <f ca="1">DFC!J6</f>
        <v>0</v>
      </c>
      <c r="L230" s="407">
        <f ca="1">DFC!K6</f>
        <v>0</v>
      </c>
      <c r="M230" s="407">
        <f ca="1">DFC!L6</f>
        <v>0</v>
      </c>
      <c r="N230" s="407">
        <f ca="1">DFC!M6</f>
        <v>0</v>
      </c>
      <c r="O230" s="407">
        <f ca="1">DFC!N6</f>
        <v>0</v>
      </c>
      <c r="P230" s="407">
        <f ca="1">DFC!O6</f>
        <v>0</v>
      </c>
      <c r="Q230" s="407">
        <f ca="1">DFC!P6</f>
        <v>0</v>
      </c>
      <c r="R230" s="407">
        <f ca="1">DFC!Q6</f>
        <v>0</v>
      </c>
      <c r="S230" s="407">
        <f ca="1">DFC!R6</f>
        <v>0</v>
      </c>
      <c r="T230" s="407">
        <f ca="1">DFC!S6</f>
        <v>0</v>
      </c>
      <c r="U230" s="407">
        <f ca="1">DFC!T6</f>
        <v>0</v>
      </c>
      <c r="V230" s="407">
        <f ca="1">DFC!U6</f>
        <v>0</v>
      </c>
      <c r="W230" s="407">
        <f ca="1">DFC!V6</f>
        <v>0</v>
      </c>
      <c r="X230" s="407">
        <f ca="1">DFC!W6</f>
        <v>0</v>
      </c>
      <c r="Y230" s="407">
        <f ca="1">DFC!X6</f>
        <v>0</v>
      </c>
      <c r="Z230" s="407">
        <f ca="1">DFC!Y6</f>
        <v>0</v>
      </c>
      <c r="AA230" s="407">
        <f ca="1">DFC!Z6</f>
        <v>0</v>
      </c>
      <c r="AB230" s="407">
        <f ca="1">DFC!AA6</f>
        <v>0</v>
      </c>
      <c r="AC230" s="407">
        <f ca="1">DFC!AB6</f>
        <v>0</v>
      </c>
      <c r="AD230" s="407">
        <f ca="1">DFC!AC6</f>
        <v>0</v>
      </c>
      <c r="AE230" s="407">
        <f ca="1">DFC!AD6</f>
        <v>0</v>
      </c>
      <c r="AF230" s="407">
        <f ca="1">DFC!AE6</f>
        <v>0</v>
      </c>
      <c r="AG230" s="407">
        <f ca="1">DFC!AF6</f>
        <v>0</v>
      </c>
    </row>
    <row r="231" spans="1:34">
      <c r="A231" s="419"/>
      <c r="B231" s="412"/>
      <c r="C231" s="407" t="str">
        <f>DFC!$B$10</f>
        <v>Capex</v>
      </c>
      <c r="D231" s="407">
        <f>DFC!C10</f>
        <v>-178599736.04676378</v>
      </c>
      <c r="E231" s="407">
        <f>DFC!D10</f>
        <v>-116521385.76469104</v>
      </c>
      <c r="F231" s="407">
        <f>DFC!E10</f>
        <v>-351556578.7818054</v>
      </c>
      <c r="G231" s="407">
        <f>DFC!F10</f>
        <v>-837400264.57339108</v>
      </c>
      <c r="H231" s="407">
        <f>DFC!G10</f>
        <v>-505318568.26877183</v>
      </c>
      <c r="I231" s="407">
        <f>DFC!H10</f>
        <v>-496236352.91614836</v>
      </c>
      <c r="J231" s="407">
        <f>DFC!I10</f>
        <v>-5187536.297820067</v>
      </c>
      <c r="K231" s="407">
        <f>DFC!J10</f>
        <v>-61939863.914150342</v>
      </c>
      <c r="L231" s="407">
        <f>DFC!K10</f>
        <v>-68711049.279476479</v>
      </c>
      <c r="M231" s="407">
        <f>DFC!L10</f>
        <v>-37408190.679644719</v>
      </c>
      <c r="N231" s="407">
        <f>DFC!M10</f>
        <v>-35701142.339237891</v>
      </c>
      <c r="O231" s="407">
        <f>DFC!N10</f>
        <v>-10308905.579130599</v>
      </c>
      <c r="P231" s="407">
        <f>DFC!O10</f>
        <v>-11370329.22712113</v>
      </c>
      <c r="Q231" s="407">
        <f>DFC!P10</f>
        <v>-651514.00422605418</v>
      </c>
      <c r="R231" s="407">
        <f>DFC!Q10</f>
        <v>-288160645.45553917</v>
      </c>
      <c r="S231" s="407">
        <f>DFC!R10</f>
        <v>-54456059.627743311</v>
      </c>
      <c r="T231" s="407">
        <f>DFC!S10</f>
        <v>-123744063.90159652</v>
      </c>
      <c r="U231" s="407">
        <f>DFC!T10</f>
        <v>-113985356.76427202</v>
      </c>
      <c r="V231" s="407">
        <f>DFC!U10</f>
        <v>-69147531.694192544</v>
      </c>
      <c r="W231" s="407">
        <f>DFC!V10</f>
        <v>-23443519.900715314</v>
      </c>
      <c r="X231" s="407">
        <f>DFC!W10</f>
        <v>-29796576.737236101</v>
      </c>
      <c r="Y231" s="407">
        <f>DFC!X10</f>
        <v>-3043823.9097820926</v>
      </c>
      <c r="Z231" s="407">
        <f>DFC!Y10</f>
        <v>-23198168.890982345</v>
      </c>
      <c r="AA231" s="407">
        <f>DFC!Z10</f>
        <v>-30247675.943929676</v>
      </c>
      <c r="AB231" s="407">
        <f>DFC!AA10</f>
        <v>-56105385.567156322</v>
      </c>
      <c r="AC231" s="407">
        <f>DFC!AB10</f>
        <v>-58057438.006721489</v>
      </c>
      <c r="AD231" s="407">
        <f>DFC!AC10</f>
        <v>-26753060.130895667</v>
      </c>
      <c r="AE231" s="407">
        <f>DFC!AD10</f>
        <v>-13878395.354899159</v>
      </c>
      <c r="AF231" s="407">
        <f>DFC!AE10</f>
        <v>-24909861.391688135</v>
      </c>
      <c r="AG231" s="407">
        <f>DFC!AF10</f>
        <v>-34317597.273617856</v>
      </c>
    </row>
    <row r="232" spans="1:34">
      <c r="A232" s="419"/>
      <c r="B232" s="412"/>
      <c r="C232" s="407" t="str">
        <f>DFC!$B$11</f>
        <v>Opex com ônus, seguros e garantias</v>
      </c>
      <c r="D232" s="407">
        <f ca="1">DFC!C11</f>
        <v>-50878328.818097323</v>
      </c>
      <c r="E232" s="407">
        <f ca="1">DFC!D11</f>
        <v>-49870978.170316093</v>
      </c>
      <c r="F232" s="407">
        <f ca="1">DFC!E11</f>
        <v>-56093647.808584154</v>
      </c>
      <c r="G232" s="407">
        <f ca="1">DFC!F11</f>
        <v>-61630050.266975917</v>
      </c>
      <c r="H232" s="407">
        <f ca="1">DFC!G11</f>
        <v>-62805801.949133761</v>
      </c>
      <c r="I232" s="407">
        <f ca="1">DFC!H11</f>
        <v>-61986791.47252515</v>
      </c>
      <c r="J232" s="407">
        <f ca="1">DFC!I11</f>
        <v>-63030153.148479216</v>
      </c>
      <c r="K232" s="407">
        <f ca="1">DFC!J11</f>
        <v>-63172842.625027247</v>
      </c>
      <c r="L232" s="407">
        <f ca="1">DFC!K11</f>
        <v>-61406961.681260705</v>
      </c>
      <c r="M232" s="407">
        <f ca="1">DFC!L11</f>
        <v>-61336620.923109204</v>
      </c>
      <c r="N232" s="407">
        <f ca="1">DFC!M11</f>
        <v>-61787713.010439932</v>
      </c>
      <c r="O232" s="407">
        <f ca="1">DFC!N11</f>
        <v>-62323258.246995255</v>
      </c>
      <c r="P232" s="407">
        <f ca="1">DFC!O11</f>
        <v>-62889689.933098763</v>
      </c>
      <c r="Q232" s="407">
        <f ca="1">DFC!P11</f>
        <v>-63251113.775223687</v>
      </c>
      <c r="R232" s="407">
        <f ca="1">DFC!Q11</f>
        <v>-64744554.205234334</v>
      </c>
      <c r="S232" s="407">
        <f ca="1">DFC!R11</f>
        <v>-65641013.274548233</v>
      </c>
      <c r="T232" s="407">
        <f ca="1">DFC!S11</f>
        <v>-66324943.882675245</v>
      </c>
      <c r="U232" s="407">
        <f ca="1">DFC!T11</f>
        <v>-66591239.06497255</v>
      </c>
      <c r="V232" s="407">
        <f ca="1">DFC!U11</f>
        <v>-66955639.284464359</v>
      </c>
      <c r="W232" s="407">
        <f ca="1">DFC!V11</f>
        <v>-64973701.304283708</v>
      </c>
      <c r="X232" s="407">
        <f ca="1">DFC!W11</f>
        <v>-65249991.202927426</v>
      </c>
      <c r="Y232" s="407">
        <f ca="1">DFC!X11</f>
        <v>-65122164.077658594</v>
      </c>
      <c r="Z232" s="407">
        <f ca="1">DFC!Y11</f>
        <v>-65361659.263170317</v>
      </c>
      <c r="AA232" s="407">
        <f ca="1">DFC!Z11</f>
        <v>-65422782.203760281</v>
      </c>
      <c r="AB232" s="407">
        <f ca="1">DFC!AA11</f>
        <v>-65650331.743332773</v>
      </c>
      <c r="AC232" s="407">
        <f ca="1">DFC!AB11</f>
        <v>-64026620.437857978</v>
      </c>
      <c r="AD232" s="407">
        <f ca="1">DFC!AC11</f>
        <v>-64171489.249361075</v>
      </c>
      <c r="AE232" s="407">
        <f ca="1">DFC!AD11</f>
        <v>-64040126.329837605</v>
      </c>
      <c r="AF232" s="407">
        <f ca="1">DFC!AE11</f>
        <v>-64368087.733769827</v>
      </c>
      <c r="AG232" s="407">
        <f ca="1">DFC!AF11</f>
        <v>-64088052.624284908</v>
      </c>
    </row>
    <row r="233" spans="1:34">
      <c r="A233" s="419"/>
      <c r="B233" s="412"/>
      <c r="C233" s="407" t="str">
        <f>DFC!$B$13</f>
        <v>Fluxo de Caixa Livre do Projeto</v>
      </c>
      <c r="D233" s="407">
        <f ca="1">DFC!C13</f>
        <v>-118532213.4148611</v>
      </c>
      <c r="E233" s="407">
        <f ca="1">DFC!D13</f>
        <v>-78028343.378370821</v>
      </c>
      <c r="F233" s="407">
        <f ca="1">DFC!E13</f>
        <v>-37627443.546538837</v>
      </c>
      <c r="G233" s="407">
        <f ca="1">DFC!F13</f>
        <v>-47224572.216623954</v>
      </c>
      <c r="H233" s="407">
        <f ca="1">DFC!G13</f>
        <v>-70795313.980379477</v>
      </c>
      <c r="I233" s="407">
        <f ca="1">DFC!H13</f>
        <v>-53720573.917295806</v>
      </c>
      <c r="J233" s="407">
        <f ca="1">DFC!I13</f>
        <v>84114367.840427399</v>
      </c>
      <c r="K233" s="407">
        <f ca="1">DFC!J13</f>
        <v>30869505.825510897</v>
      </c>
      <c r="L233" s="407">
        <f ca="1">DFC!K13</f>
        <v>29378485.414420113</v>
      </c>
      <c r="M233" s="407">
        <f ca="1">DFC!L13</f>
        <v>64874370.487243466</v>
      </c>
      <c r="N233" s="407">
        <f ca="1">DFC!M13</f>
        <v>70555250.10663718</v>
      </c>
      <c r="O233" s="407">
        <f ca="1">DFC!N13</f>
        <v>99486112.906278238</v>
      </c>
      <c r="P233" s="407">
        <f ca="1">DFC!O13</f>
        <v>101854982.77702543</v>
      </c>
      <c r="Q233" s="407">
        <f ca="1">DFC!P13</f>
        <v>115794823.4046836</v>
      </c>
      <c r="R233" s="407">
        <f ca="1">DFC!Q13</f>
        <v>-163290120.14995688</v>
      </c>
      <c r="S233" s="407">
        <f ca="1">DFC!R13</f>
        <v>81164830.807957083</v>
      </c>
      <c r="T233" s="407">
        <f ca="1">DFC!S13</f>
        <v>17238132.107313886</v>
      </c>
      <c r="U233" s="407">
        <f ca="1">DFC!T13</f>
        <v>32290879.949862443</v>
      </c>
      <c r="V233" s="407">
        <f ca="1">DFC!U13</f>
        <v>81005586.066990614</v>
      </c>
      <c r="W233" s="407">
        <f ca="1">DFC!V13</f>
        <v>130595328.9653537</v>
      </c>
      <c r="X233" s="407">
        <f ca="1">DFC!W13</f>
        <v>126651334.49670541</v>
      </c>
      <c r="Y233" s="407">
        <f ca="1">DFC!X13</f>
        <v>154887000.42695332</v>
      </c>
      <c r="Z233" s="407">
        <f ca="1">DFC!Y13</f>
        <v>136573547.69830561</v>
      </c>
      <c r="AA233" s="407">
        <f ca="1">DFC!Z13</f>
        <v>131656222.99268518</v>
      </c>
      <c r="AB233" s="407">
        <f ca="1">DFC!AA13</f>
        <v>109197116.86784905</v>
      </c>
      <c r="AC233" s="407">
        <f ca="1">DFC!AB13</f>
        <v>112237176.74180089</v>
      </c>
      <c r="AD233" s="407">
        <f ca="1">DFC!AC13</f>
        <v>145268495.91915864</v>
      </c>
      <c r="AE233" s="407">
        <f ca="1">DFC!AD13</f>
        <v>158983884.68062049</v>
      </c>
      <c r="AF233" s="407">
        <f ca="1">DFC!AE13</f>
        <v>150805979.90967456</v>
      </c>
      <c r="AG233" s="407">
        <f ca="1">DFC!AF13</f>
        <v>151646494.77353448</v>
      </c>
    </row>
    <row r="234" spans="1:34">
      <c r="A234" s="419"/>
      <c r="B234" s="412"/>
      <c r="C234" s="407" t="str">
        <f>DFC!$B$14</f>
        <v>Fluxo de Caixa Acumulado do Projeto</v>
      </c>
      <c r="D234" s="407">
        <f ca="1">DFC!C14</f>
        <v>-118532213.4148611</v>
      </c>
      <c r="E234" s="407">
        <f ca="1">DFC!D14</f>
        <v>-196560556.7932319</v>
      </c>
      <c r="F234" s="407">
        <f ca="1">DFC!E14</f>
        <v>-234188000.33977073</v>
      </c>
      <c r="G234" s="407">
        <f ca="1">DFC!F14</f>
        <v>-281412572.5563947</v>
      </c>
      <c r="H234" s="407">
        <f ca="1">DFC!G14</f>
        <v>-352207886.53677416</v>
      </c>
      <c r="I234" s="407">
        <f ca="1">DFC!H14</f>
        <v>-405928460.45406997</v>
      </c>
      <c r="J234" s="407">
        <f ca="1">DFC!I14</f>
        <v>-321814092.61364257</v>
      </c>
      <c r="K234" s="407">
        <f ca="1">DFC!J14</f>
        <v>-290944586.78813165</v>
      </c>
      <c r="L234" s="407">
        <f ca="1">DFC!K14</f>
        <v>-261566101.37371153</v>
      </c>
      <c r="M234" s="407">
        <f ca="1">DFC!L14</f>
        <v>-196691730.88646805</v>
      </c>
      <c r="N234" s="407">
        <f ca="1">DFC!M14</f>
        <v>-126136480.77983087</v>
      </c>
      <c r="O234" s="407">
        <f ca="1">DFC!N14</f>
        <v>-26650367.873552635</v>
      </c>
      <c r="P234" s="407">
        <f ca="1">DFC!O14</f>
        <v>75204614.903472796</v>
      </c>
      <c r="Q234" s="407">
        <f ca="1">DFC!P14</f>
        <v>190999438.3081564</v>
      </c>
      <c r="R234" s="407">
        <f ca="1">DFC!Q14</f>
        <v>27709318.158199519</v>
      </c>
      <c r="S234" s="407">
        <f ca="1">DFC!R14</f>
        <v>108874148.9661566</v>
      </c>
      <c r="T234" s="407">
        <f ca="1">DFC!S14</f>
        <v>126112281.07347049</v>
      </c>
      <c r="U234" s="407">
        <f ca="1">DFC!T14</f>
        <v>158403161.02333292</v>
      </c>
      <c r="V234" s="407">
        <f ca="1">DFC!U14</f>
        <v>239408747.09032354</v>
      </c>
      <c r="W234" s="407">
        <f ca="1">DFC!V14</f>
        <v>370004076.05567724</v>
      </c>
      <c r="X234" s="407">
        <f ca="1">DFC!W14</f>
        <v>496655410.55238265</v>
      </c>
      <c r="Y234" s="407">
        <f ca="1">DFC!X14</f>
        <v>651542410.97933602</v>
      </c>
      <c r="Z234" s="407">
        <f ca="1">DFC!Y14</f>
        <v>788115958.67764163</v>
      </c>
      <c r="AA234" s="407">
        <f ca="1">DFC!Z14</f>
        <v>919772181.67032683</v>
      </c>
      <c r="AB234" s="407">
        <f ca="1">DFC!AA14</f>
        <v>1028969298.5381758</v>
      </c>
      <c r="AC234" s="407">
        <f ca="1">DFC!AB14</f>
        <v>1141206475.2799766</v>
      </c>
      <c r="AD234" s="407">
        <f ca="1">DFC!AC14</f>
        <v>1286474971.1991353</v>
      </c>
      <c r="AE234" s="407">
        <f ca="1">DFC!AD14</f>
        <v>1445458855.8797557</v>
      </c>
      <c r="AF234" s="407">
        <f ca="1">DFC!AE14</f>
        <v>1596264835.7894304</v>
      </c>
      <c r="AG234" s="407">
        <f ca="1">DFC!AF14</f>
        <v>1747911330.5629649</v>
      </c>
    </row>
    <row r="235" spans="1:34">
      <c r="A235" s="419"/>
    </row>
    <row r="236" spans="1:34">
      <c r="A236" s="419"/>
    </row>
    <row r="237" spans="1:34">
      <c r="A237" s="419"/>
    </row>
    <row r="238" spans="1:34">
      <c r="A238" s="419"/>
    </row>
    <row r="239" spans="1:34">
      <c r="A239" s="419"/>
    </row>
    <row r="240" spans="1:34">
      <c r="A240" s="419"/>
    </row>
    <row r="241" spans="1:1">
      <c r="A241" s="419"/>
    </row>
    <row r="242" spans="1:1">
      <c r="A242" s="419"/>
    </row>
    <row r="243" spans="1:1">
      <c r="A243" s="419"/>
    </row>
    <row r="244" spans="1:1">
      <c r="A244" s="419"/>
    </row>
    <row r="245" spans="1:1">
      <c r="A245" s="419"/>
    </row>
    <row r="246" spans="1:1">
      <c r="A246" s="419"/>
    </row>
    <row r="247" spans="1:1">
      <c r="A247" s="419"/>
    </row>
    <row r="248" spans="1:1">
      <c r="A248" s="419"/>
    </row>
    <row r="249" spans="1:1">
      <c r="A249" s="419"/>
    </row>
    <row r="250" spans="1:1">
      <c r="A250" s="419"/>
    </row>
    <row r="251" spans="1:1">
      <c r="A251" s="419"/>
    </row>
    <row r="252" spans="1:1">
      <c r="A252" s="419"/>
    </row>
    <row r="253" spans="1:1">
      <c r="A253" s="419"/>
    </row>
    <row r="254" spans="1:1">
      <c r="A254" s="419"/>
    </row>
    <row r="255" spans="1:1">
      <c r="A255" s="419"/>
    </row>
    <row r="256" spans="1:1">
      <c r="A256" s="419"/>
    </row>
    <row r="257" spans="1:34">
      <c r="A257" s="419"/>
    </row>
    <row r="258" spans="1:34">
      <c r="A258" s="419"/>
    </row>
    <row r="259" spans="1:34">
      <c r="A259" s="419"/>
    </row>
    <row r="260" spans="1:34">
      <c r="A260" s="419"/>
    </row>
    <row r="261" spans="1:34">
      <c r="A261" s="419"/>
    </row>
    <row r="262" spans="1:34">
      <c r="A262" s="419"/>
    </row>
    <row r="263" spans="1:34">
      <c r="A263" s="419"/>
      <c r="C263" s="210" t="s">
        <v>99</v>
      </c>
    </row>
    <row r="264" spans="1:34">
      <c r="A264" s="456"/>
      <c r="B264" s="554"/>
      <c r="C264" s="553"/>
      <c r="D264" s="555" t="str">
        <f t="shared" ref="D264:AG264" si="31">D229</f>
        <v>Ano 1</v>
      </c>
      <c r="E264" s="555" t="str">
        <f t="shared" si="31"/>
        <v>Ano 2</v>
      </c>
      <c r="F264" s="555" t="str">
        <f t="shared" si="31"/>
        <v>Ano 3</v>
      </c>
      <c r="G264" s="555" t="str">
        <f t="shared" si="31"/>
        <v>Ano 4</v>
      </c>
      <c r="H264" s="555" t="str">
        <f t="shared" si="31"/>
        <v>Ano 5</v>
      </c>
      <c r="I264" s="555" t="str">
        <f t="shared" si="31"/>
        <v>Ano 6</v>
      </c>
      <c r="J264" s="555" t="str">
        <f t="shared" si="31"/>
        <v>Ano 7</v>
      </c>
      <c r="K264" s="555" t="str">
        <f t="shared" si="31"/>
        <v>Ano 8</v>
      </c>
      <c r="L264" s="555" t="str">
        <f t="shared" si="31"/>
        <v>Ano 9</v>
      </c>
      <c r="M264" s="555" t="str">
        <f t="shared" si="31"/>
        <v>Ano 10</v>
      </c>
      <c r="N264" s="555" t="str">
        <f t="shared" si="31"/>
        <v>Ano 11</v>
      </c>
      <c r="O264" s="555" t="str">
        <f t="shared" si="31"/>
        <v>Ano 12</v>
      </c>
      <c r="P264" s="555" t="str">
        <f t="shared" si="31"/>
        <v>Ano 13</v>
      </c>
      <c r="Q264" s="555" t="str">
        <f t="shared" si="31"/>
        <v>Ano 14</v>
      </c>
      <c r="R264" s="555" t="str">
        <f t="shared" si="31"/>
        <v>Ano 15</v>
      </c>
      <c r="S264" s="555" t="str">
        <f t="shared" si="31"/>
        <v>Ano 16</v>
      </c>
      <c r="T264" s="555" t="str">
        <f t="shared" si="31"/>
        <v>Ano 17</v>
      </c>
      <c r="U264" s="555" t="str">
        <f t="shared" si="31"/>
        <v>Ano 18</v>
      </c>
      <c r="V264" s="555" t="str">
        <f t="shared" si="31"/>
        <v>Ano 19</v>
      </c>
      <c r="W264" s="555" t="str">
        <f t="shared" si="31"/>
        <v>Ano 20</v>
      </c>
      <c r="X264" s="555" t="str">
        <f t="shared" si="31"/>
        <v>Ano 21</v>
      </c>
      <c r="Y264" s="555" t="str">
        <f t="shared" si="31"/>
        <v>Ano 22</v>
      </c>
      <c r="Z264" s="555" t="str">
        <f t="shared" si="31"/>
        <v>Ano 23</v>
      </c>
      <c r="AA264" s="555" t="str">
        <f t="shared" si="31"/>
        <v>Ano 24</v>
      </c>
      <c r="AB264" s="555" t="str">
        <f t="shared" si="31"/>
        <v>Ano 25</v>
      </c>
      <c r="AC264" s="555" t="str">
        <f t="shared" si="31"/>
        <v>Ano 26</v>
      </c>
      <c r="AD264" s="555" t="str">
        <f t="shared" si="31"/>
        <v>Ano 27</v>
      </c>
      <c r="AE264" s="555" t="str">
        <f t="shared" si="31"/>
        <v>Ano 28</v>
      </c>
      <c r="AF264" s="555" t="str">
        <f t="shared" si="31"/>
        <v>Ano 29</v>
      </c>
      <c r="AG264" s="555" t="str">
        <f t="shared" si="31"/>
        <v>Ano 30</v>
      </c>
      <c r="AH264" s="134"/>
    </row>
    <row r="265" spans="1:34">
      <c r="A265" s="456"/>
      <c r="B265" s="554"/>
      <c r="C265" s="553" t="str">
        <f>DFC!$B$6</f>
        <v>Recebimento de aporte estatal</v>
      </c>
      <c r="D265" s="555">
        <f t="shared" ref="D265:AG265" ca="1" si="32">D230</f>
        <v>111081000</v>
      </c>
      <c r="E265" s="555">
        <f t="shared" ca="1" si="32"/>
        <v>0</v>
      </c>
      <c r="F265" s="555">
        <f t="shared" ca="1" si="32"/>
        <v>253089000</v>
      </c>
      <c r="G265" s="555">
        <f t="shared" ca="1" si="32"/>
        <v>732183000</v>
      </c>
      <c r="H265" s="555">
        <f t="shared" ca="1" si="32"/>
        <v>364902000</v>
      </c>
      <c r="I265" s="555">
        <f t="shared" ca="1" si="32"/>
        <v>368745000</v>
      </c>
      <c r="J265" s="555">
        <f t="shared" ca="1" si="32"/>
        <v>0</v>
      </c>
      <c r="K265" s="555">
        <f t="shared" ca="1" si="32"/>
        <v>0</v>
      </c>
      <c r="L265" s="555">
        <f t="shared" ca="1" si="32"/>
        <v>0</v>
      </c>
      <c r="M265" s="555">
        <f t="shared" ca="1" si="32"/>
        <v>0</v>
      </c>
      <c r="N265" s="555">
        <f t="shared" ca="1" si="32"/>
        <v>0</v>
      </c>
      <c r="O265" s="555">
        <f t="shared" ca="1" si="32"/>
        <v>0</v>
      </c>
      <c r="P265" s="555">
        <f t="shared" ca="1" si="32"/>
        <v>0</v>
      </c>
      <c r="Q265" s="555">
        <f t="shared" ca="1" si="32"/>
        <v>0</v>
      </c>
      <c r="R265" s="555">
        <f t="shared" ca="1" si="32"/>
        <v>0</v>
      </c>
      <c r="S265" s="555">
        <f t="shared" ca="1" si="32"/>
        <v>0</v>
      </c>
      <c r="T265" s="555">
        <f t="shared" ca="1" si="32"/>
        <v>0</v>
      </c>
      <c r="U265" s="555">
        <f t="shared" ca="1" si="32"/>
        <v>0</v>
      </c>
      <c r="V265" s="555">
        <f t="shared" ca="1" si="32"/>
        <v>0</v>
      </c>
      <c r="W265" s="555">
        <f t="shared" ca="1" si="32"/>
        <v>0</v>
      </c>
      <c r="X265" s="555">
        <f t="shared" ca="1" si="32"/>
        <v>0</v>
      </c>
      <c r="Y265" s="555">
        <f t="shared" ca="1" si="32"/>
        <v>0</v>
      </c>
      <c r="Z265" s="555">
        <f t="shared" ca="1" si="32"/>
        <v>0</v>
      </c>
      <c r="AA265" s="555">
        <f t="shared" ca="1" si="32"/>
        <v>0</v>
      </c>
      <c r="AB265" s="555">
        <f t="shared" ca="1" si="32"/>
        <v>0</v>
      </c>
      <c r="AC265" s="555">
        <f t="shared" ca="1" si="32"/>
        <v>0</v>
      </c>
      <c r="AD265" s="555">
        <f t="shared" ca="1" si="32"/>
        <v>0</v>
      </c>
      <c r="AE265" s="555">
        <f t="shared" ca="1" si="32"/>
        <v>0</v>
      </c>
      <c r="AF265" s="555">
        <f t="shared" ca="1" si="32"/>
        <v>0</v>
      </c>
      <c r="AG265" s="555">
        <f t="shared" ca="1" si="32"/>
        <v>0</v>
      </c>
      <c r="AH265" s="134"/>
    </row>
    <row r="266" spans="1:34">
      <c r="A266" s="456"/>
      <c r="B266" s="554"/>
      <c r="C266" s="553" t="str">
        <f>DFC!$B$10</f>
        <v>Capex</v>
      </c>
      <c r="D266" s="558">
        <f t="shared" ref="D266:AG266" si="33">D231*-1</f>
        <v>178599736.04676378</v>
      </c>
      <c r="E266" s="558">
        <f t="shared" si="33"/>
        <v>116521385.76469104</v>
      </c>
      <c r="F266" s="558">
        <f t="shared" si="33"/>
        <v>351556578.7818054</v>
      </c>
      <c r="G266" s="558">
        <f t="shared" si="33"/>
        <v>837400264.57339108</v>
      </c>
      <c r="H266" s="558">
        <f t="shared" si="33"/>
        <v>505318568.26877183</v>
      </c>
      <c r="I266" s="558">
        <f t="shared" si="33"/>
        <v>496236352.91614836</v>
      </c>
      <c r="J266" s="558">
        <f t="shared" si="33"/>
        <v>5187536.297820067</v>
      </c>
      <c r="K266" s="558">
        <f t="shared" si="33"/>
        <v>61939863.914150342</v>
      </c>
      <c r="L266" s="558">
        <f t="shared" si="33"/>
        <v>68711049.279476479</v>
      </c>
      <c r="M266" s="558">
        <f t="shared" si="33"/>
        <v>37408190.679644719</v>
      </c>
      <c r="N266" s="558">
        <f t="shared" si="33"/>
        <v>35701142.339237891</v>
      </c>
      <c r="O266" s="558">
        <f t="shared" si="33"/>
        <v>10308905.579130599</v>
      </c>
      <c r="P266" s="558">
        <f t="shared" si="33"/>
        <v>11370329.22712113</v>
      </c>
      <c r="Q266" s="558">
        <f t="shared" si="33"/>
        <v>651514.00422605418</v>
      </c>
      <c r="R266" s="558">
        <f t="shared" si="33"/>
        <v>288160645.45553917</v>
      </c>
      <c r="S266" s="558">
        <f t="shared" si="33"/>
        <v>54456059.627743311</v>
      </c>
      <c r="T266" s="558">
        <f t="shared" si="33"/>
        <v>123744063.90159652</v>
      </c>
      <c r="U266" s="558">
        <f t="shared" si="33"/>
        <v>113985356.76427202</v>
      </c>
      <c r="V266" s="558">
        <f t="shared" si="33"/>
        <v>69147531.694192544</v>
      </c>
      <c r="W266" s="558">
        <f t="shared" si="33"/>
        <v>23443519.900715314</v>
      </c>
      <c r="X266" s="558">
        <f t="shared" si="33"/>
        <v>29796576.737236101</v>
      </c>
      <c r="Y266" s="558">
        <f t="shared" si="33"/>
        <v>3043823.9097820926</v>
      </c>
      <c r="Z266" s="558">
        <f t="shared" si="33"/>
        <v>23198168.890982345</v>
      </c>
      <c r="AA266" s="558">
        <f t="shared" si="33"/>
        <v>30247675.943929676</v>
      </c>
      <c r="AB266" s="558">
        <f t="shared" si="33"/>
        <v>56105385.567156322</v>
      </c>
      <c r="AC266" s="558">
        <f t="shared" si="33"/>
        <v>58057438.006721489</v>
      </c>
      <c r="AD266" s="558">
        <f t="shared" si="33"/>
        <v>26753060.130895667</v>
      </c>
      <c r="AE266" s="558">
        <f t="shared" si="33"/>
        <v>13878395.354899159</v>
      </c>
      <c r="AF266" s="558">
        <f t="shared" si="33"/>
        <v>24909861.391688135</v>
      </c>
      <c r="AG266" s="558">
        <f t="shared" si="33"/>
        <v>34317597.273617856</v>
      </c>
      <c r="AH266" s="134"/>
    </row>
    <row r="267" spans="1:34">
      <c r="A267" s="456"/>
      <c r="B267" s="554"/>
      <c r="C267" s="557" t="s">
        <v>100</v>
      </c>
      <c r="D267" s="559" cm="1">
        <f t="array" ref="D267:AG267">Capex!L734:AO734</f>
        <v>169538812.00037712</v>
      </c>
      <c r="E267" s="559">
        <v>115586051.64563799</v>
      </c>
      <c r="F267" s="559">
        <v>304891252.3932023</v>
      </c>
      <c r="G267" s="559">
        <v>833369878.69682133</v>
      </c>
      <c r="H267" s="559">
        <v>409828408.42118913</v>
      </c>
      <c r="I267" s="559">
        <v>489659353.49074179</v>
      </c>
      <c r="J267" s="559">
        <v>3824511.6308319326</v>
      </c>
      <c r="K267" s="559">
        <v>61044159.782113895</v>
      </c>
      <c r="L267" s="559">
        <v>59962040.846558429</v>
      </c>
      <c r="M267" s="559">
        <v>36904673.612920783</v>
      </c>
      <c r="N267" s="559">
        <v>20144280.260724865</v>
      </c>
      <c r="O267" s="559">
        <v>9805388.5124066658</v>
      </c>
      <c r="P267" s="559">
        <v>1528502.7332409446</v>
      </c>
      <c r="Q267" s="559">
        <v>147996.93750211765</v>
      </c>
      <c r="R267" s="559">
        <v>286762743.1357128</v>
      </c>
      <c r="S267" s="559">
        <v>46488563.183715098</v>
      </c>
      <c r="T267" s="559">
        <v>110640395.82136701</v>
      </c>
      <c r="U267" s="559">
        <v>112305278.50161055</v>
      </c>
      <c r="V267" s="559">
        <v>67886886.197131529</v>
      </c>
      <c r="W267" s="559">
        <v>22992452.681358647</v>
      </c>
      <c r="X267" s="559">
        <v>7211455.9744459148</v>
      </c>
      <c r="Y267" s="559">
        <v>2592756.69042543</v>
      </c>
      <c r="Z267" s="559">
        <v>21152524.375688139</v>
      </c>
      <c r="AA267" s="559">
        <v>29796608.724573009</v>
      </c>
      <c r="AB267" s="559">
        <v>47237360.167516485</v>
      </c>
      <c r="AC267" s="559">
        <v>51606254.54439196</v>
      </c>
      <c r="AD267" s="559">
        <v>26052264.511539001</v>
      </c>
      <c r="AE267" s="559">
        <v>12250766.93960496</v>
      </c>
      <c r="AF267" s="559">
        <v>19728016.339359876</v>
      </c>
      <c r="AG267" s="559">
        <v>33866530.0542612</v>
      </c>
      <c r="AH267" s="134"/>
    </row>
    <row r="268" spans="1:34">
      <c r="A268" s="419"/>
    </row>
    <row r="269" spans="1:34">
      <c r="A269" s="419"/>
    </row>
    <row r="270" spans="1:34">
      <c r="A270" s="419"/>
    </row>
    <row r="271" spans="1:34">
      <c r="A271" s="419"/>
    </row>
    <row r="272" spans="1:34">
      <c r="A272" s="419"/>
    </row>
    <row r="273" spans="1:1">
      <c r="A273" s="419"/>
    </row>
    <row r="274" spans="1:1">
      <c r="A274" s="419"/>
    </row>
    <row r="275" spans="1:1">
      <c r="A275" s="419"/>
    </row>
    <row r="276" spans="1:1">
      <c r="A276" s="419"/>
    </row>
    <row r="277" spans="1:1">
      <c r="A277" s="419"/>
    </row>
    <row r="278" spans="1:1">
      <c r="A278" s="419"/>
    </row>
    <row r="279" spans="1:1">
      <c r="A279" s="419"/>
    </row>
    <row r="280" spans="1:1">
      <c r="A280" s="419"/>
    </row>
    <row r="281" spans="1:1">
      <c r="A281" s="419"/>
    </row>
    <row r="282" spans="1:1">
      <c r="A282" s="419"/>
    </row>
    <row r="283" spans="1:1">
      <c r="A283" s="419"/>
    </row>
    <row r="284" spans="1:1">
      <c r="A284" s="419"/>
    </row>
    <row r="285" spans="1:1">
      <c r="A285" s="419"/>
    </row>
    <row r="286" spans="1:1">
      <c r="A286" s="419"/>
    </row>
    <row r="287" spans="1:1">
      <c r="A287" s="419"/>
    </row>
    <row r="288" spans="1:1">
      <c r="A288" s="419"/>
    </row>
    <row r="289" spans="1:34">
      <c r="A289" s="419"/>
    </row>
    <row r="290" spans="1:34">
      <c r="A290" s="419"/>
    </row>
    <row r="291" spans="1:34">
      <c r="A291" s="456"/>
      <c r="B291" s="134"/>
      <c r="C291" s="210" t="s">
        <v>99</v>
      </c>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c r="AF291" s="134"/>
      <c r="AG291" s="134"/>
      <c r="AH291" s="134"/>
    </row>
    <row r="292" spans="1:34">
      <c r="A292" s="456"/>
      <c r="B292" s="554"/>
      <c r="C292" s="553"/>
      <c r="D292" s="555" t="str">
        <f t="shared" ref="D292:AG292" si="34">D264</f>
        <v>Ano 1</v>
      </c>
      <c r="E292" s="555" t="str">
        <f t="shared" si="34"/>
        <v>Ano 2</v>
      </c>
      <c r="F292" s="555" t="str">
        <f t="shared" si="34"/>
        <v>Ano 3</v>
      </c>
      <c r="G292" s="555" t="str">
        <f t="shared" si="34"/>
        <v>Ano 4</v>
      </c>
      <c r="H292" s="555" t="str">
        <f t="shared" si="34"/>
        <v>Ano 5</v>
      </c>
      <c r="I292" s="555" t="str">
        <f t="shared" si="34"/>
        <v>Ano 6</v>
      </c>
      <c r="J292" s="555" t="str">
        <f t="shared" si="34"/>
        <v>Ano 7</v>
      </c>
      <c r="K292" s="555" t="str">
        <f t="shared" si="34"/>
        <v>Ano 8</v>
      </c>
      <c r="L292" s="555" t="str">
        <f t="shared" si="34"/>
        <v>Ano 9</v>
      </c>
      <c r="M292" s="555" t="str">
        <f t="shared" si="34"/>
        <v>Ano 10</v>
      </c>
      <c r="N292" s="555" t="str">
        <f t="shared" si="34"/>
        <v>Ano 11</v>
      </c>
      <c r="O292" s="555" t="str">
        <f t="shared" si="34"/>
        <v>Ano 12</v>
      </c>
      <c r="P292" s="555" t="str">
        <f t="shared" si="34"/>
        <v>Ano 13</v>
      </c>
      <c r="Q292" s="555" t="str">
        <f t="shared" si="34"/>
        <v>Ano 14</v>
      </c>
      <c r="R292" s="555" t="str">
        <f t="shared" si="34"/>
        <v>Ano 15</v>
      </c>
      <c r="S292" s="555" t="str">
        <f t="shared" si="34"/>
        <v>Ano 16</v>
      </c>
      <c r="T292" s="555" t="str">
        <f t="shared" si="34"/>
        <v>Ano 17</v>
      </c>
      <c r="U292" s="555" t="str">
        <f t="shared" si="34"/>
        <v>Ano 18</v>
      </c>
      <c r="V292" s="555" t="str">
        <f t="shared" si="34"/>
        <v>Ano 19</v>
      </c>
      <c r="W292" s="555" t="str">
        <f t="shared" si="34"/>
        <v>Ano 20</v>
      </c>
      <c r="X292" s="555" t="str">
        <f t="shared" si="34"/>
        <v>Ano 21</v>
      </c>
      <c r="Y292" s="555" t="str">
        <f t="shared" si="34"/>
        <v>Ano 22</v>
      </c>
      <c r="Z292" s="555" t="str">
        <f t="shared" si="34"/>
        <v>Ano 23</v>
      </c>
      <c r="AA292" s="555" t="str">
        <f t="shared" si="34"/>
        <v>Ano 24</v>
      </c>
      <c r="AB292" s="555" t="str">
        <f t="shared" si="34"/>
        <v>Ano 25</v>
      </c>
      <c r="AC292" s="555" t="str">
        <f t="shared" si="34"/>
        <v>Ano 26</v>
      </c>
      <c r="AD292" s="555" t="str">
        <f t="shared" si="34"/>
        <v>Ano 27</v>
      </c>
      <c r="AE292" s="555" t="str">
        <f t="shared" si="34"/>
        <v>Ano 28</v>
      </c>
      <c r="AF292" s="555" t="str">
        <f t="shared" si="34"/>
        <v>Ano 29</v>
      </c>
      <c r="AG292" s="555" t="str">
        <f t="shared" si="34"/>
        <v>Ano 30</v>
      </c>
      <c r="AH292" s="134"/>
    </row>
    <row r="293" spans="1:34">
      <c r="A293" s="456"/>
      <c r="B293" s="554"/>
      <c r="C293" s="553" t="str">
        <f>DFC!$B$6</f>
        <v>Recebimento de aporte estatal</v>
      </c>
      <c r="D293" s="555">
        <f t="shared" ref="D293:AG293" ca="1" si="35">D230</f>
        <v>111081000</v>
      </c>
      <c r="E293" s="555">
        <f t="shared" ca="1" si="35"/>
        <v>0</v>
      </c>
      <c r="F293" s="555">
        <f t="shared" ca="1" si="35"/>
        <v>253089000</v>
      </c>
      <c r="G293" s="555">
        <f t="shared" ca="1" si="35"/>
        <v>732183000</v>
      </c>
      <c r="H293" s="555">
        <f t="shared" ca="1" si="35"/>
        <v>364902000</v>
      </c>
      <c r="I293" s="555">
        <f t="shared" ca="1" si="35"/>
        <v>368745000</v>
      </c>
      <c r="J293" s="555">
        <f t="shared" ca="1" si="35"/>
        <v>0</v>
      </c>
      <c r="K293" s="555">
        <f t="shared" ca="1" si="35"/>
        <v>0</v>
      </c>
      <c r="L293" s="555">
        <f t="shared" ca="1" si="35"/>
        <v>0</v>
      </c>
      <c r="M293" s="555">
        <f t="shared" ca="1" si="35"/>
        <v>0</v>
      </c>
      <c r="N293" s="555">
        <f t="shared" ca="1" si="35"/>
        <v>0</v>
      </c>
      <c r="O293" s="555">
        <f t="shared" ca="1" si="35"/>
        <v>0</v>
      </c>
      <c r="P293" s="555">
        <f t="shared" ca="1" si="35"/>
        <v>0</v>
      </c>
      <c r="Q293" s="555">
        <f t="shared" ca="1" si="35"/>
        <v>0</v>
      </c>
      <c r="R293" s="555">
        <f t="shared" ca="1" si="35"/>
        <v>0</v>
      </c>
      <c r="S293" s="555">
        <f t="shared" ca="1" si="35"/>
        <v>0</v>
      </c>
      <c r="T293" s="555">
        <f t="shared" ca="1" si="35"/>
        <v>0</v>
      </c>
      <c r="U293" s="555">
        <f t="shared" ca="1" si="35"/>
        <v>0</v>
      </c>
      <c r="V293" s="555">
        <f t="shared" ca="1" si="35"/>
        <v>0</v>
      </c>
      <c r="W293" s="555">
        <f t="shared" ca="1" si="35"/>
        <v>0</v>
      </c>
      <c r="X293" s="555">
        <f t="shared" ca="1" si="35"/>
        <v>0</v>
      </c>
      <c r="Y293" s="555">
        <f t="shared" ca="1" si="35"/>
        <v>0</v>
      </c>
      <c r="Z293" s="555">
        <f t="shared" ca="1" si="35"/>
        <v>0</v>
      </c>
      <c r="AA293" s="555">
        <f t="shared" ca="1" si="35"/>
        <v>0</v>
      </c>
      <c r="AB293" s="555">
        <f t="shared" ca="1" si="35"/>
        <v>0</v>
      </c>
      <c r="AC293" s="555">
        <f t="shared" ca="1" si="35"/>
        <v>0</v>
      </c>
      <c r="AD293" s="555">
        <f t="shared" ca="1" si="35"/>
        <v>0</v>
      </c>
      <c r="AE293" s="555">
        <f t="shared" ca="1" si="35"/>
        <v>0</v>
      </c>
      <c r="AF293" s="555">
        <f t="shared" ca="1" si="35"/>
        <v>0</v>
      </c>
      <c r="AG293" s="555">
        <f t="shared" ca="1" si="35"/>
        <v>0</v>
      </c>
      <c r="AH293" s="134"/>
    </row>
    <row r="294" spans="1:34">
      <c r="A294" s="456"/>
      <c r="B294" s="554"/>
      <c r="C294" s="553" t="s">
        <v>101</v>
      </c>
      <c r="D294" s="555">
        <f t="shared" ref="D294:AG294" ca="1" si="36">(D231+D232)*-1</f>
        <v>229478064.8648611</v>
      </c>
      <c r="E294" s="555">
        <f t="shared" ca="1" si="36"/>
        <v>166392363.93500713</v>
      </c>
      <c r="F294" s="555">
        <f t="shared" ca="1" si="36"/>
        <v>407650226.59038955</v>
      </c>
      <c r="G294" s="555">
        <f t="shared" ca="1" si="36"/>
        <v>899030314.84036696</v>
      </c>
      <c r="H294" s="555">
        <f t="shared" ca="1" si="36"/>
        <v>568124370.21790564</v>
      </c>
      <c r="I294" s="555">
        <f t="shared" ca="1" si="36"/>
        <v>558223144.38867354</v>
      </c>
      <c r="J294" s="555">
        <f t="shared" ca="1" si="36"/>
        <v>68217689.446299285</v>
      </c>
      <c r="K294" s="555">
        <f t="shared" ca="1" si="36"/>
        <v>125112706.5391776</v>
      </c>
      <c r="L294" s="555">
        <f t="shared" ca="1" si="36"/>
        <v>130118010.96073718</v>
      </c>
      <c r="M294" s="555">
        <f t="shared" ca="1" si="36"/>
        <v>98744811.602753922</v>
      </c>
      <c r="N294" s="555">
        <f t="shared" ca="1" si="36"/>
        <v>97488855.349677831</v>
      </c>
      <c r="O294" s="555">
        <f t="shared" ca="1" si="36"/>
        <v>72632163.82612586</v>
      </c>
      <c r="P294" s="555">
        <f t="shared" ca="1" si="36"/>
        <v>74260019.160219893</v>
      </c>
      <c r="Q294" s="555">
        <f t="shared" ca="1" si="36"/>
        <v>63902627.779449739</v>
      </c>
      <c r="R294" s="555">
        <f t="shared" ca="1" si="36"/>
        <v>352905199.66077352</v>
      </c>
      <c r="S294" s="555">
        <f t="shared" ca="1" si="36"/>
        <v>120097072.90229154</v>
      </c>
      <c r="T294" s="555">
        <f t="shared" ca="1" si="36"/>
        <v>190069007.78427178</v>
      </c>
      <c r="U294" s="555">
        <f t="shared" ca="1" si="36"/>
        <v>180576595.82924455</v>
      </c>
      <c r="V294" s="555">
        <f t="shared" ca="1" si="36"/>
        <v>136103170.97865689</v>
      </c>
      <c r="W294" s="555">
        <f t="shared" ca="1" si="36"/>
        <v>88417221.20499903</v>
      </c>
      <c r="X294" s="555">
        <f t="shared" ca="1" si="36"/>
        <v>95046567.940163523</v>
      </c>
      <c r="Y294" s="555">
        <f t="shared" ca="1" si="36"/>
        <v>68165987.98744069</v>
      </c>
      <c r="Z294" s="555">
        <f t="shared" ca="1" si="36"/>
        <v>88559828.154152662</v>
      </c>
      <c r="AA294" s="555">
        <f t="shared" ca="1" si="36"/>
        <v>95670458.147689953</v>
      </c>
      <c r="AB294" s="555">
        <f t="shared" ca="1" si="36"/>
        <v>121755717.31048909</v>
      </c>
      <c r="AC294" s="555">
        <f t="shared" ca="1" si="36"/>
        <v>122084058.44457947</v>
      </c>
      <c r="AD294" s="555">
        <f t="shared" ca="1" si="36"/>
        <v>90924549.380256742</v>
      </c>
      <c r="AE294" s="555">
        <f t="shared" ca="1" si="36"/>
        <v>77918521.684736758</v>
      </c>
      <c r="AF294" s="555">
        <f t="shared" ca="1" si="36"/>
        <v>89277949.125457957</v>
      </c>
      <c r="AG294" s="555">
        <f t="shared" ca="1" si="36"/>
        <v>98405649.897902757</v>
      </c>
      <c r="AH294" s="134"/>
    </row>
    <row r="295" spans="1:34">
      <c r="A295" s="419"/>
    </row>
    <row r="296" spans="1:34">
      <c r="A296" s="419"/>
    </row>
    <row r="297" spans="1:34">
      <c r="A297" s="419"/>
    </row>
    <row r="298" spans="1:34">
      <c r="A298" s="419"/>
    </row>
    <row r="299" spans="1:34">
      <c r="A299" s="419"/>
    </row>
    <row r="300" spans="1:34">
      <c r="A300" s="419"/>
    </row>
    <row r="301" spans="1:34">
      <c r="A301" s="419"/>
    </row>
    <row r="302" spans="1:34">
      <c r="A302" s="419"/>
    </row>
    <row r="303" spans="1:34">
      <c r="A303" s="419"/>
    </row>
    <row r="304" spans="1:34">
      <c r="A304" s="419"/>
    </row>
    <row r="305" spans="1:1">
      <c r="A305" s="419"/>
    </row>
    <row r="306" spans="1:1">
      <c r="A306" s="419"/>
    </row>
    <row r="307" spans="1:1">
      <c r="A307" s="419"/>
    </row>
    <row r="308" spans="1:1">
      <c r="A308" s="419"/>
    </row>
    <row r="309" spans="1:1">
      <c r="A309" s="419"/>
    </row>
    <row r="310" spans="1:1">
      <c r="A310" s="419"/>
    </row>
    <row r="311" spans="1:1">
      <c r="A311" s="419"/>
    </row>
    <row r="312" spans="1:1">
      <c r="A312" s="419"/>
    </row>
    <row r="313" spans="1:1">
      <c r="A313" s="419"/>
    </row>
    <row r="314" spans="1:1">
      <c r="A314" s="419"/>
    </row>
    <row r="315" spans="1:1">
      <c r="A315" s="419"/>
    </row>
    <row r="316" spans="1:1">
      <c r="A316" s="419"/>
    </row>
    <row r="317" spans="1:1">
      <c r="A317" s="419"/>
    </row>
    <row r="318" spans="1:1">
      <c r="A318" s="419"/>
    </row>
    <row r="319" spans="1:1">
      <c r="A319" s="419"/>
    </row>
    <row r="320" spans="1:1">
      <c r="A320" s="419"/>
    </row>
    <row r="321" spans="1:34">
      <c r="A321" s="419"/>
    </row>
    <row r="322" spans="1:34">
      <c r="A322" s="419"/>
    </row>
    <row r="323" spans="1:34">
      <c r="A323" s="419"/>
    </row>
    <row r="324" spans="1:34">
      <c r="A324" s="419"/>
    </row>
    <row r="325" spans="1:34" s="410" customFormat="1"/>
    <row r="329" spans="1:34">
      <c r="C329" s="405" t="s">
        <v>102</v>
      </c>
    </row>
    <row r="330" spans="1:34" s="405" customFormat="1">
      <c r="B330" s="411"/>
      <c r="C330" s="402"/>
      <c r="D330" s="402" t="str">
        <f>'DRE Real'!E56</f>
        <v>Ano 1</v>
      </c>
      <c r="E330" s="402" t="str">
        <f>'DRE Real'!F56</f>
        <v>Ano 2</v>
      </c>
      <c r="F330" s="402" t="str">
        <f>'DRE Real'!G56</f>
        <v>Ano 3</v>
      </c>
      <c r="G330" s="402" t="str">
        <f>'DRE Real'!H56</f>
        <v>Ano 4</v>
      </c>
      <c r="H330" s="402" t="str">
        <f>'DRE Real'!I56</f>
        <v>Ano 5</v>
      </c>
      <c r="I330" s="402" t="str">
        <f>'DRE Real'!J56</f>
        <v>Ano 6</v>
      </c>
      <c r="J330" s="402" t="str">
        <f>'DRE Real'!K56</f>
        <v>Ano 7</v>
      </c>
      <c r="K330" s="402" t="str">
        <f>'DRE Real'!L56</f>
        <v>Ano 8</v>
      </c>
      <c r="L330" s="402" t="str">
        <f>'DRE Real'!M56</f>
        <v>Ano 9</v>
      </c>
      <c r="M330" s="402" t="str">
        <f>'DRE Real'!N56</f>
        <v>Ano 10</v>
      </c>
      <c r="N330" s="402" t="str">
        <f>'DRE Real'!O56</f>
        <v>Ano 11</v>
      </c>
      <c r="O330" s="402" t="str">
        <f>'DRE Real'!P56</f>
        <v>Ano 12</v>
      </c>
      <c r="P330" s="402" t="str">
        <f>'DRE Real'!Q56</f>
        <v>Ano 13</v>
      </c>
      <c r="Q330" s="402" t="str">
        <f>'DRE Real'!R56</f>
        <v>Ano 14</v>
      </c>
      <c r="R330" s="402" t="str">
        <f>'DRE Real'!S56</f>
        <v>Ano 15</v>
      </c>
      <c r="S330" s="402" t="str">
        <f>'DRE Real'!T56</f>
        <v>Ano 16</v>
      </c>
      <c r="T330" s="402" t="str">
        <f>'DRE Real'!U56</f>
        <v>Ano 17</v>
      </c>
      <c r="U330" s="402" t="str">
        <f>'DRE Real'!V56</f>
        <v>Ano 18</v>
      </c>
      <c r="V330" s="402" t="str">
        <f>'DRE Real'!W56</f>
        <v>Ano 19</v>
      </c>
      <c r="W330" s="402" t="str">
        <f>'DRE Real'!X56</f>
        <v>Ano 20</v>
      </c>
      <c r="X330" s="402" t="str">
        <f>'DRE Real'!Y56</f>
        <v>Ano 21</v>
      </c>
      <c r="Y330" s="402" t="str">
        <f>'DRE Real'!Z56</f>
        <v>Ano 22</v>
      </c>
      <c r="Z330" s="402" t="str">
        <f>'DRE Real'!AA56</f>
        <v>Ano 23</v>
      </c>
      <c r="AA330" s="402" t="str">
        <f>'DRE Real'!AB56</f>
        <v>Ano 24</v>
      </c>
      <c r="AB330" s="402" t="str">
        <f>'DRE Real'!AC56</f>
        <v>Ano 25</v>
      </c>
      <c r="AC330" s="402" t="str">
        <f>'DRE Real'!AD56</f>
        <v>Ano 26</v>
      </c>
      <c r="AD330" s="402" t="str">
        <f>'DRE Real'!AE56</f>
        <v>Ano 27</v>
      </c>
      <c r="AE330" s="402" t="str">
        <f>'DRE Real'!AF56</f>
        <v>Ano 28</v>
      </c>
      <c r="AF330" s="402" t="str">
        <f>'DRE Real'!AG56</f>
        <v>Ano 29</v>
      </c>
      <c r="AG330" s="402" t="str">
        <f>'DRE Real'!AH56</f>
        <v>Ano 30</v>
      </c>
      <c r="AH330" s="70"/>
    </row>
    <row r="331" spans="1:34">
      <c r="B331" s="412"/>
      <c r="C331" s="401" t="str">
        <f>'DRE Real'!B57</f>
        <v>Receita Tarifária Bruta</v>
      </c>
      <c r="D331" s="407">
        <f ca="1">'DRE Real'!E57</f>
        <v>0</v>
      </c>
      <c r="E331" s="407">
        <f ca="1">'DRE Real'!F57</f>
        <v>109238177.13299778</v>
      </c>
      <c r="F331" s="407">
        <f ca="1">'DRE Real'!G57</f>
        <v>147531234.75532261</v>
      </c>
      <c r="G331" s="407">
        <f ca="1">'DRE Real'!H57</f>
        <v>149919059.56020534</v>
      </c>
      <c r="H331" s="407">
        <f ca="1">'DRE Real'!I57</f>
        <v>177470201.77183709</v>
      </c>
      <c r="I331" s="407">
        <f ca="1">'DRE Real'!J57</f>
        <v>181480353.52438214</v>
      </c>
      <c r="J331" s="407">
        <f ca="1">'DRE Real'!K57</f>
        <v>208837934.471746</v>
      </c>
      <c r="K331" s="407">
        <f ca="1">'DRE Real'!L57</f>
        <v>213671897.94399202</v>
      </c>
      <c r="L331" s="407">
        <f ca="1">'DRE Real'!M57</f>
        <v>219160277.81460238</v>
      </c>
      <c r="M331" s="407">
        <f ca="1">'DRE Real'!N57</f>
        <v>225417122.23380974</v>
      </c>
      <c r="N331" s="407">
        <f ca="1">'DRE Real'!O57</f>
        <v>231865834.10368967</v>
      </c>
      <c r="O331" s="407">
        <f ca="1">'DRE Real'!P57</f>
        <v>238492820.40647805</v>
      </c>
      <c r="P331" s="407">
        <f ca="1">'DRE Real'!Q57</f>
        <v>244915077.98549005</v>
      </c>
      <c r="Q331" s="407">
        <f ca="1">'DRE Real'!R57</f>
        <v>251093746.84939602</v>
      </c>
      <c r="R331" s="407">
        <f ca="1">'DRE Real'!S57</f>
        <v>256988768.18293226</v>
      </c>
      <c r="S331" s="407">
        <f ca="1">'DRE Real'!T57</f>
        <v>274627737.72099286</v>
      </c>
      <c r="T331" s="407">
        <f ca="1">'DRE Real'!U57</f>
        <v>280103298.28435165</v>
      </c>
      <c r="U331" s="407">
        <f ca="1">'DRE Real'!V57</f>
        <v>285190898.22115886</v>
      </c>
      <c r="V331" s="407">
        <f ca="1">'DRE Real'!W57</f>
        <v>289865052.62145883</v>
      </c>
      <c r="W331" s="407">
        <f ca="1">'DRE Real'!X57</f>
        <v>294104435.98923111</v>
      </c>
      <c r="X331" s="407">
        <f ca="1">'DRE Real'!Y57</f>
        <v>297886346.21755207</v>
      </c>
      <c r="Y331" s="407">
        <f ca="1">'DRE Real'!Z57</f>
        <v>301194131.19534475</v>
      </c>
      <c r="Z331" s="407">
        <f ca="1">'DRE Real'!AA57</f>
        <v>304016068.79474592</v>
      </c>
      <c r="AA331" s="407">
        <f ca="1">'DRE Real'!AB57</f>
        <v>306338450.56668079</v>
      </c>
      <c r="AB331" s="407">
        <f ca="1">'DRE Real'!AC57</f>
        <v>308148424.94242519</v>
      </c>
      <c r="AC331" s="407">
        <f ca="1">'DRE Real'!AD57</f>
        <v>309438080.1418553</v>
      </c>
      <c r="AD331" s="407">
        <f ca="1">'DRE Real'!AE57</f>
        <v>310201856.64560527</v>
      </c>
      <c r="AE331" s="407">
        <f ca="1">'DRE Real'!AF57</f>
        <v>310431629.39116567</v>
      </c>
      <c r="AF331" s="407">
        <f ca="1">'DRE Real'!AG57</f>
        <v>310120514.25639683</v>
      </c>
      <c r="AG331" s="407">
        <f ca="1">'DRE Real'!AH57</f>
        <v>309263993.35670298</v>
      </c>
    </row>
    <row r="332" spans="1:34">
      <c r="B332" s="412"/>
      <c r="C332" s="401" t="str">
        <f>'DRE Real'!B58</f>
        <v>Receita Líquida</v>
      </c>
      <c r="D332" s="407">
        <f ca="1">'DRE Real'!E58</f>
        <v>3567551.45</v>
      </c>
      <c r="E332" s="407">
        <f ca="1">'DRE Real'!F58</f>
        <v>121654132.48868108</v>
      </c>
      <c r="F332" s="407">
        <f ca="1">'DRE Real'!G58</f>
        <v>169030867.48725167</v>
      </c>
      <c r="G332" s="407">
        <f ca="1">'DRE Real'!H58</f>
        <v>195935646.21615428</v>
      </c>
      <c r="H332" s="407">
        <f ca="1">'DRE Real'!I58</f>
        <v>233906338.19678485</v>
      </c>
      <c r="I332" s="407">
        <f ca="1">'DRE Real'!J58</f>
        <v>250548124.15692264</v>
      </c>
      <c r="J332" s="407">
        <f ca="1">'DRE Real'!K58</f>
        <v>276730070.69797432</v>
      </c>
      <c r="K332" s="407">
        <f ca="1">'DRE Real'!L58</f>
        <v>279657029.07025284</v>
      </c>
      <c r="L332" s="407">
        <f ca="1">'DRE Real'!M58</f>
        <v>283333950.97196078</v>
      </c>
      <c r="M332" s="407">
        <f ca="1">'DRE Real'!N58</f>
        <v>287934063.70825195</v>
      </c>
      <c r="N332" s="407">
        <f ca="1">'DRE Real'!O58</f>
        <v>292821104.95494497</v>
      </c>
      <c r="O332" s="407">
        <f ca="1">'DRE Real'!P58</f>
        <v>297905725.66703117</v>
      </c>
      <c r="P332" s="407">
        <f ca="1">'DRE Real'!Q58</f>
        <v>302841564.53799993</v>
      </c>
      <c r="Q332" s="407">
        <f ca="1">'DRE Real'!R58</f>
        <v>307586009.42393351</v>
      </c>
      <c r="R332" s="407">
        <f ca="1">'DRE Real'!S58</f>
        <v>312095263.32761782</v>
      </c>
      <c r="S332" s="407">
        <f ca="1">'DRE Real'!T58</f>
        <v>328876132.39878756</v>
      </c>
      <c r="T332" s="407">
        <f ca="1">'DRE Real'!U58</f>
        <v>333063012.81938183</v>
      </c>
      <c r="U332" s="407">
        <f ca="1">'DRE Real'!V58</f>
        <v>336900156.54250008</v>
      </c>
      <c r="V332" s="407">
        <f ca="1">'DRE Real'!W58</f>
        <v>340359160.65654635</v>
      </c>
      <c r="W332" s="407">
        <f ca="1">'DRE Real'!X58</f>
        <v>343416001.83879036</v>
      </c>
      <c r="X332" s="407">
        <f ca="1">'DRE Real'!Y58</f>
        <v>346045289.02326798</v>
      </c>
      <c r="Y332" s="407">
        <f ca="1">'DRE Real'!Z58</f>
        <v>348227975.00440365</v>
      </c>
      <c r="Z332" s="407">
        <f ca="1">'DRE Real'!AA58</f>
        <v>349950193.51567268</v>
      </c>
      <c r="AA332" s="407">
        <f ca="1">'DRE Real'!AB58</f>
        <v>351196074.40155303</v>
      </c>
      <c r="AB332" s="407">
        <f ca="1">'DRE Real'!AC58</f>
        <v>351950692.32000667</v>
      </c>
      <c r="AC332" s="407">
        <f ca="1">'DRE Real'!AD58</f>
        <v>352204305.96524072</v>
      </c>
      <c r="AD332" s="407">
        <f ca="1">'DRE Real'!AE58</f>
        <v>351949666.49487436</v>
      </c>
      <c r="AE332" s="407">
        <f ca="1">'DRE Real'!AF58</f>
        <v>351176907.22149765</v>
      </c>
      <c r="AF332" s="407">
        <f ca="1">'DRE Real'!AG58</f>
        <v>349877498.4632436</v>
      </c>
      <c r="AG332" s="407">
        <f ca="1">'DRE Real'!AH58</f>
        <v>348045417.12160033</v>
      </c>
    </row>
    <row r="333" spans="1:34">
      <c r="B333" s="412"/>
      <c r="C333" s="401" t="str">
        <f>'DRE Real'!B59</f>
        <v>EBITDA</v>
      </c>
      <c r="D333" s="407">
        <f ca="1">'DRE Real'!E59</f>
        <v>-47310777.36809732</v>
      </c>
      <c r="E333" s="407">
        <f ca="1">'DRE Real'!F59</f>
        <v>52120282.434425391</v>
      </c>
      <c r="F333" s="407">
        <f ca="1">'DRE Real'!G59</f>
        <v>89332222.117815882</v>
      </c>
      <c r="G333" s="407">
        <f ca="1">'DRE Real'!H59</f>
        <v>111817737.01514758</v>
      </c>
      <c r="H333" s="407">
        <f ca="1">'DRE Real'!I59</f>
        <v>148029410.01731229</v>
      </c>
      <c r="I333" s="407">
        <f ca="1">'DRE Real'!J59</f>
        <v>164968886.72622785</v>
      </c>
      <c r="J333" s="407">
        <f ca="1">'DRE Real'!K59</f>
        <v>186550986.06816813</v>
      </c>
      <c r="K333" s="407">
        <f ca="1">'DRE Real'!L59</f>
        <v>188706839.71250662</v>
      </c>
      <c r="L333" s="407">
        <f ca="1">'DRE Real'!M59</f>
        <v>193436153.1748018</v>
      </c>
      <c r="M333" s="407">
        <f ca="1">'DRE Real'!N59</f>
        <v>197293216.8947475</v>
      </c>
      <c r="N333" s="407">
        <f ca="1">'DRE Real'!O59</f>
        <v>200890833.5110254</v>
      </c>
      <c r="O333" s="407">
        <f ca="1">'DRE Real'!P59</f>
        <v>204578400.76719376</v>
      </c>
      <c r="P333" s="407">
        <f ca="1">'DRE Real'!Q59</f>
        <v>208112914.4667874</v>
      </c>
      <c r="Q333" s="407">
        <f ca="1">'DRE Real'!R59</f>
        <v>211692708.55828837</v>
      </c>
      <c r="R333" s="407">
        <f ca="1">'DRE Real'!S59</f>
        <v>213942169.25860232</v>
      </c>
      <c r="S333" s="407">
        <f ca="1">'DRE Real'!T59</f>
        <v>227533513.22051024</v>
      </c>
      <c r="T333" s="407">
        <f ca="1">'DRE Real'!U59</f>
        <v>230324640.15974084</v>
      </c>
      <c r="U333" s="407">
        <f ca="1">'DRE Real'!V59</f>
        <v>233234100.70877695</v>
      </c>
      <c r="V333" s="407">
        <f ca="1">'DRE Real'!W59</f>
        <v>235721064.53129235</v>
      </c>
      <c r="W333" s="407">
        <f ca="1">'DRE Real'!X59</f>
        <v>240208723.85590664</v>
      </c>
      <c r="X333" s="407">
        <f ca="1">'DRE Real'!Y59</f>
        <v>242070072.81205878</v>
      </c>
      <c r="Y333" s="407">
        <f ca="1">'DRE Real'!Z59</f>
        <v>243950573.87135023</v>
      </c>
      <c r="Z333" s="407">
        <f ca="1">'DRE Real'!AA59</f>
        <v>245066445.30918539</v>
      </c>
      <c r="AA333" s="407">
        <f ca="1">'DRE Real'!AB59</f>
        <v>245949293.62412426</v>
      </c>
      <c r="AB333" s="407">
        <f ca="1">'DRE Real'!AC59</f>
        <v>246241065.33415866</v>
      </c>
      <c r="AC333" s="407">
        <f ca="1">'DRE Real'!AD59</f>
        <v>247950735.10894156</v>
      </c>
      <c r="AD333" s="407">
        <f ca="1">'DRE Real'!AE59</f>
        <v>247451935.88158458</v>
      </c>
      <c r="AE333" s="407">
        <f ca="1">'DRE Real'!AF59</f>
        <v>246780669.07080853</v>
      </c>
      <c r="AF333" s="407">
        <f ca="1">'DRE Real'!AG59</f>
        <v>245193743.87614217</v>
      </c>
      <c r="AG333" s="407">
        <f ca="1">'DRE Real'!AH59</f>
        <v>243753045.36094397</v>
      </c>
    </row>
    <row r="334" spans="1:34">
      <c r="B334" s="412"/>
      <c r="C334" s="401" t="str">
        <f>'DRE Real'!B60</f>
        <v>Margem EBITDA</v>
      </c>
      <c r="D334" s="407">
        <f ca="1">'DRE Real'!E60</f>
        <v>-13.261414174726847</v>
      </c>
      <c r="E334" s="407">
        <f ca="1">'DRE Real'!F60</f>
        <v>0.42843002015796511</v>
      </c>
      <c r="F334" s="407">
        <f ca="1">'DRE Real'!G60</f>
        <v>0.52849650153131544</v>
      </c>
      <c r="G334" s="407">
        <f ca="1">'DRE Real'!H60</f>
        <v>0.57068603480038216</v>
      </c>
      <c r="H334" s="407">
        <f ca="1">'DRE Real'!I60</f>
        <v>0.63285762651192246</v>
      </c>
      <c r="I334" s="407">
        <f ca="1">'DRE Real'!J60</f>
        <v>0.65843193710324877</v>
      </c>
      <c r="J334" s="407">
        <f ca="1">'DRE Real'!K60</f>
        <v>0.6741261822311011</v>
      </c>
      <c r="K334" s="407">
        <f ca="1">'DRE Real'!L60</f>
        <v>0.67477953384501355</v>
      </c>
      <c r="L334" s="407">
        <f ca="1">'DRE Real'!M60</f>
        <v>0.68271434648488194</v>
      </c>
      <c r="M334" s="407">
        <f ca="1">'DRE Real'!N60</f>
        <v>0.68520276605637764</v>
      </c>
      <c r="N334" s="407">
        <f ca="1">'DRE Real'!O60</f>
        <v>0.68605312291931808</v>
      </c>
      <c r="O334" s="407">
        <f ca="1">'DRE Real'!P60</f>
        <v>0.68672194973469813</v>
      </c>
      <c r="P334" s="407">
        <f ca="1">'DRE Real'!Q60</f>
        <v>0.68720063173717305</v>
      </c>
      <c r="Q334" s="407">
        <f ca="1">'DRE Real'!R60</f>
        <v>0.68823906833330895</v>
      </c>
      <c r="R334" s="407">
        <f ca="1">'DRE Real'!S60</f>
        <v>0.68550277558688677</v>
      </c>
      <c r="S334" s="407">
        <f ca="1">'DRE Real'!T60</f>
        <v>0.69185170587146283</v>
      </c>
      <c r="T334" s="407">
        <f ca="1">'DRE Real'!U60</f>
        <v>0.6915347285489325</v>
      </c>
      <c r="U334" s="407">
        <f ca="1">'DRE Real'!V60</f>
        <v>0.69229442664077356</v>
      </c>
      <c r="V334" s="407">
        <f ca="1">'DRE Real'!W60</f>
        <v>0.6925656535190382</v>
      </c>
      <c r="W334" s="407">
        <f ca="1">'DRE Real'!X60</f>
        <v>0.69946864027806055</v>
      </c>
      <c r="X334" s="407">
        <f ca="1">'DRE Real'!Y60</f>
        <v>0.69953292384160171</v>
      </c>
      <c r="Y334" s="407">
        <f ca="1">'DRE Real'!Z60</f>
        <v>0.70054846647017732</v>
      </c>
      <c r="Z334" s="407">
        <f ca="1">'DRE Real'!AA60</f>
        <v>0.70028949790596406</v>
      </c>
      <c r="AA334" s="407">
        <f ca="1">'DRE Real'!AB60</f>
        <v>0.70031902846074823</v>
      </c>
      <c r="AB334" s="407">
        <f ca="1">'DRE Real'!AC60</f>
        <v>0.69964648658871542</v>
      </c>
      <c r="AC334" s="407">
        <f ca="1">'DRE Real'!AD60</f>
        <v>0.70399688734473331</v>
      </c>
      <c r="AD334" s="407">
        <f ca="1">'DRE Real'!AE60</f>
        <v>0.70308899095146138</v>
      </c>
      <c r="AE334" s="407">
        <f ca="1">'DRE Real'!AF60</f>
        <v>0.70272464958852399</v>
      </c>
      <c r="AF334" s="407">
        <f ca="1">'DRE Real'!AG60</f>
        <v>0.70079883660166564</v>
      </c>
      <c r="AG334" s="407">
        <f ca="1">'DRE Real'!AH60</f>
        <v>0.70034838377366526</v>
      </c>
    </row>
    <row r="335" spans="1:34">
      <c r="C335" s="413"/>
    </row>
    <row r="362" spans="1:34" s="410" customFormat="1"/>
    <row r="363" spans="1:34">
      <c r="A363" s="419"/>
    </row>
    <row r="364" spans="1:34">
      <c r="A364" s="419"/>
      <c r="C364" s="405" t="s">
        <v>103</v>
      </c>
    </row>
    <row r="365" spans="1:34" s="405" customFormat="1">
      <c r="A365" s="420"/>
      <c r="B365" s="411"/>
      <c r="C365" s="402"/>
      <c r="D365" s="402" t="str">
        <f>DFC!C4</f>
        <v>Ano 1</v>
      </c>
      <c r="E365" s="402" t="str">
        <f>DFC!D4</f>
        <v>Ano 2</v>
      </c>
      <c r="F365" s="402" t="str">
        <f>DFC!E4</f>
        <v>Ano 3</v>
      </c>
      <c r="G365" s="402" t="str">
        <f>DFC!F4</f>
        <v>Ano 4</v>
      </c>
      <c r="H365" s="402" t="str">
        <f>DFC!G4</f>
        <v>Ano 5</v>
      </c>
      <c r="I365" s="402" t="str">
        <f>DFC!H4</f>
        <v>Ano 6</v>
      </c>
      <c r="J365" s="402" t="str">
        <f>DFC!I4</f>
        <v>Ano 7</v>
      </c>
      <c r="K365" s="402" t="str">
        <f>DFC!J4</f>
        <v>Ano 8</v>
      </c>
      <c r="L365" s="402" t="str">
        <f>DFC!K4</f>
        <v>Ano 9</v>
      </c>
      <c r="M365" s="402" t="str">
        <f>DFC!L4</f>
        <v>Ano 10</v>
      </c>
      <c r="N365" s="402" t="str">
        <f>DFC!M4</f>
        <v>Ano 11</v>
      </c>
      <c r="O365" s="402" t="str">
        <f>DFC!N4</f>
        <v>Ano 12</v>
      </c>
      <c r="P365" s="402" t="str">
        <f>DFC!O4</f>
        <v>Ano 13</v>
      </c>
      <c r="Q365" s="402" t="str">
        <f>DFC!P4</f>
        <v>Ano 14</v>
      </c>
      <c r="R365" s="402" t="str">
        <f>DFC!Q4</f>
        <v>Ano 15</v>
      </c>
      <c r="S365" s="402" t="str">
        <f>DFC!R4</f>
        <v>Ano 16</v>
      </c>
      <c r="T365" s="402" t="str">
        <f>DFC!S4</f>
        <v>Ano 17</v>
      </c>
      <c r="U365" s="402" t="str">
        <f>DFC!T4</f>
        <v>Ano 18</v>
      </c>
      <c r="V365" s="402" t="str">
        <f>DFC!U4</f>
        <v>Ano 19</v>
      </c>
      <c r="W365" s="402" t="str">
        <f>DFC!V4</f>
        <v>Ano 20</v>
      </c>
      <c r="X365" s="402" t="str">
        <f>DFC!W4</f>
        <v>Ano 21</v>
      </c>
      <c r="Y365" s="402" t="str">
        <f>DFC!X4</f>
        <v>Ano 22</v>
      </c>
      <c r="Z365" s="402" t="str">
        <f>DFC!Y4</f>
        <v>Ano 23</v>
      </c>
      <c r="AA365" s="402" t="str">
        <f>DFC!Z4</f>
        <v>Ano 24</v>
      </c>
      <c r="AB365" s="402" t="str">
        <f>DFC!AA4</f>
        <v>Ano 25</v>
      </c>
      <c r="AC365" s="402" t="str">
        <f>DFC!AB4</f>
        <v>Ano 26</v>
      </c>
      <c r="AD365" s="402" t="str">
        <f>DFC!AC4</f>
        <v>Ano 27</v>
      </c>
      <c r="AE365" s="402" t="str">
        <f>DFC!AD4</f>
        <v>Ano 28</v>
      </c>
      <c r="AF365" s="402" t="str">
        <f>DFC!AE4</f>
        <v>Ano 29</v>
      </c>
      <c r="AG365" s="402" t="str">
        <f>DFC!AF4</f>
        <v>Ano 30</v>
      </c>
      <c r="AH365" s="70"/>
    </row>
    <row r="366" spans="1:34">
      <c r="A366" s="419"/>
      <c r="B366" s="412"/>
      <c r="C366" s="401" t="str">
        <f>DFC!B13</f>
        <v>Fluxo de Caixa Livre do Projeto</v>
      </c>
      <c r="D366" s="407">
        <f ca="1">DFC!C13</f>
        <v>-118532213.4148611</v>
      </c>
      <c r="E366" s="407">
        <f ca="1">DFC!D13</f>
        <v>-78028343.378370821</v>
      </c>
      <c r="F366" s="407">
        <f ca="1">DFC!E13</f>
        <v>-37627443.546538837</v>
      </c>
      <c r="G366" s="407">
        <f ca="1">DFC!F13</f>
        <v>-47224572.216623954</v>
      </c>
      <c r="H366" s="407">
        <f ca="1">DFC!G13</f>
        <v>-70795313.980379477</v>
      </c>
      <c r="I366" s="407">
        <f ca="1">DFC!H13</f>
        <v>-53720573.917295806</v>
      </c>
      <c r="J366" s="407">
        <f ca="1">DFC!I13</f>
        <v>84114367.840427399</v>
      </c>
      <c r="K366" s="407">
        <f ca="1">DFC!J13</f>
        <v>30869505.825510897</v>
      </c>
      <c r="L366" s="407">
        <f ca="1">DFC!K13</f>
        <v>29378485.414420113</v>
      </c>
      <c r="M366" s="407">
        <f ca="1">DFC!L13</f>
        <v>64874370.487243466</v>
      </c>
      <c r="N366" s="407">
        <f ca="1">DFC!M13</f>
        <v>70555250.10663718</v>
      </c>
      <c r="O366" s="407">
        <f ca="1">DFC!N13</f>
        <v>99486112.906278238</v>
      </c>
      <c r="P366" s="407">
        <f ca="1">DFC!O13</f>
        <v>101854982.77702543</v>
      </c>
      <c r="Q366" s="407">
        <f ca="1">DFC!P13</f>
        <v>115794823.4046836</v>
      </c>
      <c r="R366" s="407">
        <f ca="1">DFC!Q13</f>
        <v>-163290120.14995688</v>
      </c>
      <c r="S366" s="407">
        <f ca="1">DFC!R13</f>
        <v>81164830.807957083</v>
      </c>
      <c r="T366" s="407">
        <f ca="1">DFC!S13</f>
        <v>17238132.107313886</v>
      </c>
      <c r="U366" s="407">
        <f ca="1">DFC!T13</f>
        <v>32290879.949862443</v>
      </c>
      <c r="V366" s="407">
        <f ca="1">DFC!U13</f>
        <v>81005586.066990614</v>
      </c>
      <c r="W366" s="407">
        <f ca="1">DFC!V13</f>
        <v>130595328.9653537</v>
      </c>
      <c r="X366" s="407">
        <f ca="1">DFC!W13</f>
        <v>126651334.49670541</v>
      </c>
      <c r="Y366" s="407">
        <f ca="1">DFC!X13</f>
        <v>154887000.42695332</v>
      </c>
      <c r="Z366" s="407">
        <f ca="1">DFC!Y13</f>
        <v>136573547.69830561</v>
      </c>
      <c r="AA366" s="407">
        <f ca="1">DFC!Z13</f>
        <v>131656222.99268518</v>
      </c>
      <c r="AB366" s="407">
        <f ca="1">DFC!AA13</f>
        <v>109197116.86784905</v>
      </c>
      <c r="AC366" s="407">
        <f ca="1">DFC!AB13</f>
        <v>112237176.74180089</v>
      </c>
      <c r="AD366" s="407">
        <f ca="1">DFC!AC13</f>
        <v>145268495.91915864</v>
      </c>
      <c r="AE366" s="407">
        <f ca="1">DFC!AD13</f>
        <v>158983884.68062049</v>
      </c>
      <c r="AF366" s="407">
        <f ca="1">DFC!AE13</f>
        <v>150805979.90967456</v>
      </c>
      <c r="AG366" s="407">
        <f ca="1">DFC!AF13</f>
        <v>151646494.77353448</v>
      </c>
    </row>
    <row r="367" spans="1:34">
      <c r="A367" s="419"/>
      <c r="B367" s="412"/>
      <c r="C367" s="401" t="str">
        <f>DFC!B14</f>
        <v>Fluxo de Caixa Acumulado do Projeto</v>
      </c>
      <c r="D367" s="407">
        <f ca="1">DFC!C14</f>
        <v>-118532213.4148611</v>
      </c>
      <c r="E367" s="407">
        <f ca="1">DFC!D14</f>
        <v>-196560556.7932319</v>
      </c>
      <c r="F367" s="407">
        <f ca="1">DFC!E14</f>
        <v>-234188000.33977073</v>
      </c>
      <c r="G367" s="407">
        <f ca="1">DFC!F14</f>
        <v>-281412572.5563947</v>
      </c>
      <c r="H367" s="407">
        <f ca="1">DFC!G14</f>
        <v>-352207886.53677416</v>
      </c>
      <c r="I367" s="407">
        <f ca="1">DFC!H14</f>
        <v>-405928460.45406997</v>
      </c>
      <c r="J367" s="407">
        <f ca="1">DFC!I14</f>
        <v>-321814092.61364257</v>
      </c>
      <c r="K367" s="407">
        <f ca="1">DFC!J14</f>
        <v>-290944586.78813165</v>
      </c>
      <c r="L367" s="407">
        <f ca="1">DFC!K14</f>
        <v>-261566101.37371153</v>
      </c>
      <c r="M367" s="407">
        <f ca="1">DFC!L14</f>
        <v>-196691730.88646805</v>
      </c>
      <c r="N367" s="407">
        <f ca="1">DFC!M14</f>
        <v>-126136480.77983087</v>
      </c>
      <c r="O367" s="407">
        <f ca="1">DFC!N14</f>
        <v>-26650367.873552635</v>
      </c>
      <c r="P367" s="407">
        <f ca="1">DFC!O14</f>
        <v>75204614.903472796</v>
      </c>
      <c r="Q367" s="407">
        <f ca="1">DFC!P14</f>
        <v>190999438.3081564</v>
      </c>
      <c r="R367" s="407">
        <f ca="1">DFC!Q14</f>
        <v>27709318.158199519</v>
      </c>
      <c r="S367" s="407">
        <f ca="1">DFC!R14</f>
        <v>108874148.9661566</v>
      </c>
      <c r="T367" s="407">
        <f ca="1">DFC!S14</f>
        <v>126112281.07347049</v>
      </c>
      <c r="U367" s="407">
        <f ca="1">DFC!T14</f>
        <v>158403161.02333292</v>
      </c>
      <c r="V367" s="407">
        <f ca="1">DFC!U14</f>
        <v>239408747.09032354</v>
      </c>
      <c r="W367" s="407">
        <f ca="1">DFC!V14</f>
        <v>370004076.05567724</v>
      </c>
      <c r="X367" s="407">
        <f ca="1">DFC!W14</f>
        <v>496655410.55238265</v>
      </c>
      <c r="Y367" s="407">
        <f ca="1">DFC!X14</f>
        <v>651542410.97933602</v>
      </c>
      <c r="Z367" s="407">
        <f ca="1">DFC!Y14</f>
        <v>788115958.67764163</v>
      </c>
      <c r="AA367" s="407">
        <f ca="1">DFC!Z14</f>
        <v>919772181.67032683</v>
      </c>
      <c r="AB367" s="407">
        <f ca="1">DFC!AA14</f>
        <v>1028969298.5381758</v>
      </c>
      <c r="AC367" s="407">
        <f ca="1">DFC!AB14</f>
        <v>1141206475.2799766</v>
      </c>
      <c r="AD367" s="407">
        <f ca="1">DFC!AC14</f>
        <v>1286474971.1991353</v>
      </c>
      <c r="AE367" s="407">
        <f ca="1">DFC!AD14</f>
        <v>1445458855.8797557</v>
      </c>
      <c r="AF367" s="407">
        <f ca="1">DFC!AE14</f>
        <v>1596264835.7894304</v>
      </c>
      <c r="AG367" s="407">
        <f ca="1">DFC!AF14</f>
        <v>1747911330.5629649</v>
      </c>
    </row>
    <row r="368" spans="1:34">
      <c r="A368" s="419"/>
    </row>
    <row r="369" spans="1:1">
      <c r="A369" s="419"/>
    </row>
    <row r="370" spans="1:1">
      <c r="A370" s="419"/>
    </row>
    <row r="371" spans="1:1">
      <c r="A371" s="419"/>
    </row>
    <row r="372" spans="1:1">
      <c r="A372" s="419"/>
    </row>
    <row r="373" spans="1:1">
      <c r="A373" s="419"/>
    </row>
    <row r="374" spans="1:1">
      <c r="A374" s="419"/>
    </row>
    <row r="375" spans="1:1">
      <c r="A375" s="419"/>
    </row>
    <row r="376" spans="1:1">
      <c r="A376" s="419"/>
    </row>
    <row r="377" spans="1:1">
      <c r="A377" s="419"/>
    </row>
    <row r="378" spans="1:1">
      <c r="A378" s="419"/>
    </row>
    <row r="379" spans="1:1">
      <c r="A379" s="419"/>
    </row>
    <row r="380" spans="1:1">
      <c r="A380" s="419"/>
    </row>
    <row r="381" spans="1:1">
      <c r="A381" s="419"/>
    </row>
    <row r="382" spans="1:1">
      <c r="A382" s="419"/>
    </row>
    <row r="383" spans="1:1">
      <c r="A383" s="419"/>
    </row>
    <row r="384" spans="1:1">
      <c r="A384" s="419"/>
    </row>
    <row r="385" spans="1:3">
      <c r="A385" s="419"/>
    </row>
    <row r="386" spans="1:3">
      <c r="A386" s="419"/>
    </row>
    <row r="387" spans="1:3">
      <c r="A387" s="419"/>
    </row>
    <row r="388" spans="1:3">
      <c r="A388" s="419"/>
    </row>
    <row r="389" spans="1:3">
      <c r="A389" s="419"/>
    </row>
    <row r="390" spans="1:3">
      <c r="A390" s="419"/>
    </row>
    <row r="391" spans="1:3">
      <c r="A391" s="419"/>
    </row>
    <row r="392" spans="1:3">
      <c r="A392" s="419"/>
    </row>
    <row r="393" spans="1:3">
      <c r="A393" s="419"/>
    </row>
    <row r="394" spans="1:3">
      <c r="A394" s="419"/>
    </row>
    <row r="395" spans="1:3">
      <c r="A395" s="419"/>
    </row>
    <row r="396" spans="1:3" s="410" customFormat="1"/>
    <row r="399" spans="1:3">
      <c r="C399" s="405" t="s">
        <v>104</v>
      </c>
    </row>
    <row r="401" spans="2:34">
      <c r="C401" s="405" t="str">
        <f>Tráfego!B337</f>
        <v>Tabela 15 – Volumes diários médios anuais de tráfego por eixo equivalente (VDMAeq) estimados por Pórtico COM EFEITO FUGA</v>
      </c>
    </row>
    <row r="402" spans="2:34" s="405" customFormat="1">
      <c r="B402" s="411"/>
      <c r="C402" s="402" t="s">
        <v>105</v>
      </c>
      <c r="D402" s="402" t="str">
        <f>Tráfego!D338</f>
        <v>Ano 1</v>
      </c>
      <c r="E402" s="402" t="str">
        <f>Tráfego!E338</f>
        <v>Ano 2</v>
      </c>
      <c r="F402" s="402" t="str">
        <f>Tráfego!F338</f>
        <v>Ano 3</v>
      </c>
      <c r="G402" s="402" t="str">
        <f>Tráfego!G338</f>
        <v>Ano 4</v>
      </c>
      <c r="H402" s="402" t="str">
        <f>Tráfego!H338</f>
        <v>Ano 5</v>
      </c>
      <c r="I402" s="402" t="str">
        <f>Tráfego!I338</f>
        <v>Ano 6</v>
      </c>
      <c r="J402" s="402" t="str">
        <f>Tráfego!J338</f>
        <v>Ano 7</v>
      </c>
      <c r="K402" s="402" t="str">
        <f>Tráfego!K338</f>
        <v>Ano 8</v>
      </c>
      <c r="L402" s="402" t="str">
        <f>Tráfego!L338</f>
        <v>Ano 9</v>
      </c>
      <c r="M402" s="402" t="str">
        <f>Tráfego!M338</f>
        <v>Ano 10</v>
      </c>
      <c r="N402" s="402" t="str">
        <f>Tráfego!N338</f>
        <v>Ano 11</v>
      </c>
      <c r="O402" s="402" t="str">
        <f>Tráfego!O338</f>
        <v>Ano 12</v>
      </c>
      <c r="P402" s="402" t="str">
        <f>Tráfego!P338</f>
        <v>Ano 13</v>
      </c>
      <c r="Q402" s="402" t="str">
        <f>Tráfego!Q338</f>
        <v>Ano 14</v>
      </c>
      <c r="R402" s="402" t="str">
        <f>Tráfego!R338</f>
        <v>Ano 15</v>
      </c>
      <c r="S402" s="402" t="str">
        <f>Tráfego!S338</f>
        <v>Ano 16</v>
      </c>
      <c r="T402" s="402" t="str">
        <f>Tráfego!T338</f>
        <v>Ano 17</v>
      </c>
      <c r="U402" s="402" t="str">
        <f>Tráfego!U338</f>
        <v>Ano 18</v>
      </c>
      <c r="V402" s="402" t="str">
        <f>Tráfego!V338</f>
        <v>Ano 19</v>
      </c>
      <c r="W402" s="402" t="str">
        <f>Tráfego!W338</f>
        <v>Ano 20</v>
      </c>
      <c r="X402" s="402" t="str">
        <f>Tráfego!X338</f>
        <v>Ano 21</v>
      </c>
      <c r="Y402" s="402" t="str">
        <f>Tráfego!Y338</f>
        <v>Ano 22</v>
      </c>
      <c r="Z402" s="402" t="str">
        <f>Tráfego!Z338</f>
        <v>Ano 23</v>
      </c>
      <c r="AA402" s="402" t="str">
        <f>Tráfego!AA338</f>
        <v>Ano 24</v>
      </c>
      <c r="AB402" s="402" t="str">
        <f>Tráfego!AB338</f>
        <v>Ano 25</v>
      </c>
      <c r="AC402" s="402" t="str">
        <f>Tráfego!AC338</f>
        <v>Ano 26</v>
      </c>
      <c r="AD402" s="402" t="str">
        <f>Tráfego!AD338</f>
        <v>Ano 27</v>
      </c>
      <c r="AE402" s="402" t="str">
        <f>Tráfego!AF338</f>
        <v>Ano 29</v>
      </c>
      <c r="AF402" s="402" t="str">
        <f>Tráfego!AG338</f>
        <v>Ano 30</v>
      </c>
      <c r="AG402" s="402" t="s">
        <v>106</v>
      </c>
      <c r="AH402" s="70"/>
    </row>
    <row r="403" spans="2:34">
      <c r="B403" s="412"/>
      <c r="C403" s="401" t="s">
        <v>28</v>
      </c>
      <c r="D403" s="409">
        <f ca="1">Tráfego!D339</f>
        <v>24865.949860246878</v>
      </c>
      <c r="E403" s="409">
        <f ca="1">Tráfego!E339</f>
        <v>25776.094010274563</v>
      </c>
      <c r="F403" s="409">
        <f ca="1">Tráfego!F339</f>
        <v>26710.357878300107</v>
      </c>
      <c r="G403" s="409">
        <f ca="1">Tráfego!G339</f>
        <v>27675.331200286419</v>
      </c>
      <c r="H403" s="409">
        <f ca="1">Tráfego!H339</f>
        <v>28670.033057814999</v>
      </c>
      <c r="I403" s="409">
        <f ca="1">Tráfego!I339</f>
        <v>29687.978116819249</v>
      </c>
      <c r="J403" s="409">
        <f ca="1">Tráfego!J339</f>
        <v>30718.203712744347</v>
      </c>
      <c r="K403" s="409">
        <f ca="1">Tráfego!K339</f>
        <v>31752.286047707075</v>
      </c>
      <c r="L403" s="409">
        <f ca="1">Tráfego!L339</f>
        <v>32782.542221249445</v>
      </c>
      <c r="M403" s="409">
        <f ca="1">Tráfego!M339</f>
        <v>33801.810670109262</v>
      </c>
      <c r="N403" s="409">
        <f ca="1">Tráfego!N339</f>
        <v>34802.44569924238</v>
      </c>
      <c r="O403" s="409">
        <f ca="1">Tráfego!O339</f>
        <v>35776.962346717715</v>
      </c>
      <c r="P403" s="409">
        <f ca="1">Tráfego!P339</f>
        <v>36719.515354261443</v>
      </c>
      <c r="Q403" s="409">
        <f ca="1">Tráfego!Q339</f>
        <v>37624.397682555857</v>
      </c>
      <c r="R403" s="409">
        <f ca="1">Tráfego!R339</f>
        <v>38485.741595084713</v>
      </c>
      <c r="S403" s="409">
        <f ca="1">Tráfego!S339</f>
        <v>39297.986118822024</v>
      </c>
      <c r="T403" s="409">
        <f ca="1">Tráfego!T339</f>
        <v>40057.229238757856</v>
      </c>
      <c r="U403" s="409">
        <f ca="1">Tráfego!U339</f>
        <v>40760.195958257158</v>
      </c>
      <c r="V403" s="409">
        <f ca="1">Tráfego!V339</f>
        <v>41403.38916192123</v>
      </c>
      <c r="W403" s="409">
        <f ca="1">Tráfego!W339</f>
        <v>41983.911251625119</v>
      </c>
      <c r="X403" s="409">
        <f ca="1">Tráfego!X339</f>
        <v>42498.66913274752</v>
      </c>
      <c r="Y403" s="409">
        <f ca="1">Tráfego!Y339</f>
        <v>42945.432728934175</v>
      </c>
      <c r="Z403" s="409">
        <f ca="1">Tráfego!Z339</f>
        <v>43322.672295572833</v>
      </c>
      <c r="AA403" s="409">
        <f ca="1">Tráfego!AA339</f>
        <v>43628.571426558898</v>
      </c>
      <c r="AB403" s="409">
        <f ca="1">Tráfego!AB339</f>
        <v>43861.435302787257</v>
      </c>
      <c r="AC403" s="409">
        <f ca="1">Tráfego!AC339</f>
        <v>44020.272211669217</v>
      </c>
      <c r="AD403" s="409">
        <f ca="1">Tráfego!AD339</f>
        <v>44104.427400489069</v>
      </c>
      <c r="AE403" s="409">
        <f ca="1">Tráfego!AF339</f>
        <v>44044.796683395929</v>
      </c>
      <c r="AF403" s="409">
        <f ca="1">Tráfego!AG339</f>
        <v>43899.65971255461</v>
      </c>
      <c r="AG403" s="466">
        <f ca="1">SUM(D403:AF403)</f>
        <v>1071678.2980775076</v>
      </c>
    </row>
    <row r="404" spans="2:34">
      <c r="B404" s="412"/>
      <c r="C404" s="401" t="s">
        <v>31</v>
      </c>
      <c r="D404" s="409">
        <f ca="1">Tráfego!D340</f>
        <v>21965.998082890401</v>
      </c>
      <c r="E404" s="409">
        <f ca="1">Tráfego!E340</f>
        <v>22786.275558726138</v>
      </c>
      <c r="F404" s="409">
        <f ca="1">Tráfego!F340</f>
        <v>23630.153976793896</v>
      </c>
      <c r="G404" s="409">
        <f ca="1">Tráfego!G340</f>
        <v>24503.870279849405</v>
      </c>
      <c r="H404" s="409">
        <f ca="1">Tráfego!H340</f>
        <v>25406.685323243386</v>
      </c>
      <c r="I404" s="409">
        <f ca="1">Tráfego!I340</f>
        <v>26332.804191784882</v>
      </c>
      <c r="J404" s="409">
        <f ca="1">Tráfego!J340</f>
        <v>27272.290466335529</v>
      </c>
      <c r="K404" s="409">
        <f ca="1">Tráfego!K340</f>
        <v>28217.489922466266</v>
      </c>
      <c r="L404" s="409">
        <f ca="1">Tráfego!L340</f>
        <v>29161.411031372565</v>
      </c>
      <c r="M404" s="409">
        <f ca="1">Tráfego!M340</f>
        <v>30097.514952708694</v>
      </c>
      <c r="N404" s="409">
        <f ca="1">Tráfego!N340</f>
        <v>31018.80850030723</v>
      </c>
      <c r="O404" s="409">
        <f ca="1">Tráfego!O340</f>
        <v>31918.426191816798</v>
      </c>
      <c r="P404" s="409">
        <f ca="1">Tráfego!P340</f>
        <v>32790.966536207081</v>
      </c>
      <c r="Q404" s="409">
        <f ca="1">Tráfego!Q340</f>
        <v>33631.134452592858</v>
      </c>
      <c r="R404" s="409">
        <f ca="1">Tráfego!R340</f>
        <v>34433.468051602751</v>
      </c>
      <c r="S404" s="409">
        <f ca="1">Tráfego!S340</f>
        <v>35192.771817456771</v>
      </c>
      <c r="T404" s="409">
        <f ca="1">Tráfego!T340</f>
        <v>35905.344948542646</v>
      </c>
      <c r="U404" s="409">
        <f ca="1">Tráfego!U340</f>
        <v>36568.055629847411</v>
      </c>
      <c r="V404" s="409">
        <f ca="1">Tráfego!V340</f>
        <v>37177.569678773383</v>
      </c>
      <c r="W404" s="409">
        <f ca="1">Tráfego!W340</f>
        <v>37731.090474728415</v>
      </c>
      <c r="X404" s="409">
        <f ca="1">Tráfego!X340</f>
        <v>38225.646214310669</v>
      </c>
      <c r="Y404" s="409">
        <f ca="1">Tráfego!Y340</f>
        <v>38659.048132364318</v>
      </c>
      <c r="Z404" s="409">
        <f ca="1">Tráfego!Z340</f>
        <v>39029.746681747667</v>
      </c>
      <c r="AA404" s="409">
        <f ca="1">Tráfego!AA340</f>
        <v>39335.939223212757</v>
      </c>
      <c r="AB404" s="409">
        <f ca="1">Tráfego!AB340</f>
        <v>39575.936002861577</v>
      </c>
      <c r="AC404" s="409">
        <f ca="1">Tráfego!AC340</f>
        <v>39748.687009189249</v>
      </c>
      <c r="AD404" s="409">
        <f ca="1">Tráfego!AD340</f>
        <v>39853.447306461509</v>
      </c>
      <c r="AE404" s="409">
        <f ca="1">Tráfego!AF340</f>
        <v>39854.859424537637</v>
      </c>
      <c r="AF404" s="409">
        <f ca="1">Tráfego!AG340</f>
        <v>39749.994635345516</v>
      </c>
      <c r="AG404" s="466">
        <f ca="1">SUM(D404:AF404)</f>
        <v>959775.4346980775</v>
      </c>
    </row>
    <row r="405" spans="2:34">
      <c r="B405" s="412"/>
      <c r="C405" s="401" t="s">
        <v>35</v>
      </c>
      <c r="D405" s="409">
        <f ca="1">Tráfego!D341</f>
        <v>4895.5897640500034</v>
      </c>
      <c r="E405" s="409">
        <f ca="1">Tráfego!E341</f>
        <v>5076.4008261312383</v>
      </c>
      <c r="F405" s="409">
        <f ca="1">Tráfego!F341</f>
        <v>5262.5822027395188</v>
      </c>
      <c r="G405" s="409">
        <f ca="1">Tráfego!G341</f>
        <v>5455.5580324155217</v>
      </c>
      <c r="H405" s="409">
        <f ca="1">Tráfego!H341</f>
        <v>5655.1984111278689</v>
      </c>
      <c r="I405" s="409">
        <f ca="1">Tráfego!I341</f>
        <v>5860.2499095195153</v>
      </c>
      <c r="J405" s="409">
        <f ca="1">Tráfego!J341</f>
        <v>6068.5349310511519</v>
      </c>
      <c r="K405" s="409">
        <f ca="1">Tráfego!K341</f>
        <v>6278.3783733111577</v>
      </c>
      <c r="L405" s="409">
        <f ca="1">Tráfego!L341</f>
        <v>6488.2505284395247</v>
      </c>
      <c r="M405" s="409">
        <f ca="1">Tráfego!M341</f>
        <v>6696.7186244726809</v>
      </c>
      <c r="N405" s="409">
        <f ca="1">Tráfego!N341</f>
        <v>6902.2467778486916</v>
      </c>
      <c r="O405" s="409">
        <f ca="1">Tráfego!O341</f>
        <v>7103.3237798192986</v>
      </c>
      <c r="P405" s="409">
        <f ca="1">Tráfego!P341</f>
        <v>7298.7568889915192</v>
      </c>
      <c r="Q405" s="409">
        <f ca="1">Tráfego!Q341</f>
        <v>7487.3723025276904</v>
      </c>
      <c r="R405" s="409">
        <f ca="1">Tráfego!R341</f>
        <v>7667.9542129885031</v>
      </c>
      <c r="S405" s="409">
        <f ca="1">Tráfego!S341</f>
        <v>7839.3416982191811</v>
      </c>
      <c r="T405" s="409">
        <f ca="1">Tráfego!T341</f>
        <v>8000.699978385961</v>
      </c>
      <c r="U405" s="409">
        <f ca="1">Tráfego!U341</f>
        <v>8151.3177507024011</v>
      </c>
      <c r="V405" s="409">
        <f ca="1">Tráfego!V341</f>
        <v>8290.43681594794</v>
      </c>
      <c r="W405" s="409">
        <f ca="1">Tráfego!W341</f>
        <v>8417.4144733116555</v>
      </c>
      <c r="X405" s="409">
        <f ca="1">Tráfego!X341</f>
        <v>8531.5677341893042</v>
      </c>
      <c r="Y405" s="409">
        <f ca="1">Tráfego!Y341</f>
        <v>8632.38452267514</v>
      </c>
      <c r="Z405" s="409">
        <f ca="1">Tráfego!Z341</f>
        <v>8719.4927038214155</v>
      </c>
      <c r="AA405" s="409">
        <f ca="1">Tráfego!AA341</f>
        <v>8792.4638184569285</v>
      </c>
      <c r="AB405" s="409">
        <f ca="1">Tráfego!AB341</f>
        <v>8850.8931399766989</v>
      </c>
      <c r="AC405" s="409">
        <f ca="1">Tráfego!AC341</f>
        <v>8894.515919030302</v>
      </c>
      <c r="AD405" s="409">
        <f ca="1">Tráfego!AD341</f>
        <v>8923.133108848102</v>
      </c>
      <c r="AE405" s="409">
        <f ca="1">Tráfego!AF341</f>
        <v>8934.2920561027859</v>
      </c>
      <c r="AF405" s="409">
        <f ca="1">Tráfego!AG341</f>
        <v>8916.4246111166158</v>
      </c>
      <c r="AG405" s="466">
        <f ca="1">SUM(D405:AF405)</f>
        <v>214091.49389621828</v>
      </c>
    </row>
    <row r="406" spans="2:34">
      <c r="B406" s="412"/>
      <c r="C406" s="401" t="s">
        <v>40</v>
      </c>
      <c r="D406" s="409">
        <f ca="1">Tráfego!D342</f>
        <v>8940.8649012590358</v>
      </c>
      <c r="E406" s="409">
        <f ca="1">Tráfego!E342</f>
        <v>9272.0218723220933</v>
      </c>
      <c r="F406" s="409">
        <f ca="1">Tráfego!F342</f>
        <v>9613.1713456503494</v>
      </c>
      <c r="G406" s="409">
        <f ca="1">Tráfego!G342</f>
        <v>9966.9495721244639</v>
      </c>
      <c r="H406" s="409">
        <f ca="1">Tráfego!H342</f>
        <v>10333.133369333616</v>
      </c>
      <c r="I406" s="409">
        <f ca="1">Tráfego!I342</f>
        <v>10709.433759019992</v>
      </c>
      <c r="J406" s="409">
        <f ca="1">Tráfego!J342</f>
        <v>11091.859987937623</v>
      </c>
      <c r="K406" s="409">
        <f ca="1">Tráfego!K342</f>
        <v>11477.341118452223</v>
      </c>
      <c r="L406" s="409">
        <f ca="1">Tráfego!L342</f>
        <v>11863.07205084984</v>
      </c>
      <c r="M406" s="409">
        <f ca="1">Tráfego!M342</f>
        <v>12246.423613709889</v>
      </c>
      <c r="N406" s="409">
        <f ca="1">Tráfego!N342</f>
        <v>12624.576099526019</v>
      </c>
      <c r="O406" s="409">
        <f ca="1">Tráfego!O342</f>
        <v>12994.753303477677</v>
      </c>
      <c r="P406" s="409">
        <f ca="1">Tráfego!P342</f>
        <v>13354.760753084596</v>
      </c>
      <c r="Q406" s="409">
        <f ca="1">Tráfego!Q342</f>
        <v>13702.436766736178</v>
      </c>
      <c r="R406" s="409">
        <f ca="1">Tráfego!R342</f>
        <v>14035.540466903727</v>
      </c>
      <c r="S406" s="409">
        <f ca="1">Tráfego!S342</f>
        <v>14351.930276682844</v>
      </c>
      <c r="T406" s="409">
        <f ca="1">Tráfego!T342</f>
        <v>14650.061494457716</v>
      </c>
      <c r="U406" s="409">
        <f ca="1">Tráfego!U342</f>
        <v>14928.615601767111</v>
      </c>
      <c r="V406" s="409">
        <f ca="1">Tráfego!V342</f>
        <v>15186.187738534518</v>
      </c>
      <c r="W406" s="409">
        <f ca="1">Tráfego!W342</f>
        <v>15421.583998545158</v>
      </c>
      <c r="X406" s="409">
        <f ca="1">Tráfego!X342</f>
        <v>15633.536548149943</v>
      </c>
      <c r="Y406" s="409">
        <f ca="1">Tráfego!Y342</f>
        <v>15821.090746262831</v>
      </c>
      <c r="Z406" s="409">
        <f ca="1">Tráfego!Z342</f>
        <v>15983.548716056379</v>
      </c>
      <c r="AA406" s="409">
        <f ca="1">Tráfego!AA342</f>
        <v>16120.109736412463</v>
      </c>
      <c r="AB406" s="409">
        <f ca="1">Tráfego!AB342</f>
        <v>16230.016645796959</v>
      </c>
      <c r="AC406" s="409">
        <f ca="1">Tráfego!AC342</f>
        <v>16312.768959753404</v>
      </c>
      <c r="AD406" s="409">
        <f ca="1">Tráfego!AD342</f>
        <v>16367.986432383323</v>
      </c>
      <c r="AE406" s="409">
        <f ca="1">Tráfego!AF342</f>
        <v>16393.813760799618</v>
      </c>
      <c r="AF406" s="409">
        <f ca="1">Tráfego!AG342</f>
        <v>16363.642891891555</v>
      </c>
      <c r="AG406" s="466">
        <f ca="1">SUM(D406:AF406)</f>
        <v>391991.23252788105</v>
      </c>
    </row>
    <row r="407" spans="2:34">
      <c r="B407" s="412"/>
      <c r="C407" s="401" t="s">
        <v>73</v>
      </c>
      <c r="D407" s="409">
        <f ca="1">Tráfego!D343</f>
        <v>60668.402608446311</v>
      </c>
      <c r="E407" s="409">
        <f ca="1">Tráfego!E343</f>
        <v>62910.792267454031</v>
      </c>
      <c r="F407" s="409">
        <f ca="1">Tráfego!F343</f>
        <v>65216.265403483871</v>
      </c>
      <c r="G407" s="409">
        <f ca="1">Tráfego!G343</f>
        <v>67601.709084675807</v>
      </c>
      <c r="H407" s="409">
        <f ca="1">Tráfego!H343</f>
        <v>70065.050161519874</v>
      </c>
      <c r="I407" s="409">
        <f ca="1">Tráfego!I343</f>
        <v>72590.465977143642</v>
      </c>
      <c r="J407" s="409">
        <f ca="1">Tráfego!J343</f>
        <v>75150.889098068656</v>
      </c>
      <c r="K407" s="409">
        <f ca="1">Tráfego!K343</f>
        <v>77725.495461936735</v>
      </c>
      <c r="L407" s="409">
        <f ca="1">Tráfego!L343</f>
        <v>80295.275831911378</v>
      </c>
      <c r="M407" s="409">
        <f ca="1">Tráfego!M343</f>
        <v>82842.467861000521</v>
      </c>
      <c r="N407" s="409">
        <f ca="1">Tráfego!N343</f>
        <v>85348.077076924325</v>
      </c>
      <c r="O407" s="409">
        <f ca="1">Tráfego!O343</f>
        <v>87793.465621831492</v>
      </c>
      <c r="P407" s="409">
        <f ca="1">Tráfego!P343</f>
        <v>90163.999532544636</v>
      </c>
      <c r="Q407" s="409">
        <f ca="1">Tráfego!Q343</f>
        <v>92445.341204412573</v>
      </c>
      <c r="R407" s="409">
        <f ca="1">Tráfego!R343</f>
        <v>94622.704326579696</v>
      </c>
      <c r="S407" s="409">
        <f ca="1">Tráfego!S343</f>
        <v>96682.029911180827</v>
      </c>
      <c r="T407" s="409">
        <f ca="1">Tráfego!T343</f>
        <v>98613.335660144177</v>
      </c>
      <c r="U407" s="409">
        <f ca="1">Tráfego!U343</f>
        <v>100408.18494057408</v>
      </c>
      <c r="V407" s="409">
        <f ca="1">Tráfego!V343</f>
        <v>102057.58339517706</v>
      </c>
      <c r="W407" s="409">
        <f ca="1">Tráfego!W343</f>
        <v>103554.00019821036</v>
      </c>
      <c r="X407" s="409">
        <f ca="1">Tráfego!X343</f>
        <v>104889.41962939744</v>
      </c>
      <c r="Y407" s="409">
        <f ca="1">Tráfego!Y343</f>
        <v>106057.95613023647</v>
      </c>
      <c r="Z407" s="409">
        <f ca="1">Tráfego!Z343</f>
        <v>107055.46039719829</v>
      </c>
      <c r="AA407" s="409">
        <f ca="1">Tráfego!AA343</f>
        <v>107877.08420464105</v>
      </c>
      <c r="AB407" s="409">
        <f ca="1">Tráfego!AB343</f>
        <v>108518.2810914225</v>
      </c>
      <c r="AC407" s="409">
        <f ca="1">Tráfego!AC343</f>
        <v>108976.24409964216</v>
      </c>
      <c r="AD407" s="409">
        <f ca="1">Tráfego!AD343</f>
        <v>109248.994248182</v>
      </c>
      <c r="AE407" s="409">
        <f ca="1">Tráfego!AF343</f>
        <v>109227.76192483597</v>
      </c>
      <c r="AF407" s="409">
        <f ca="1">Tráfego!AG343</f>
        <v>108929.7218509083</v>
      </c>
      <c r="AG407" s="466">
        <f ca="1">SUM(AG403:AG406)</f>
        <v>2637536.4591996847</v>
      </c>
    </row>
    <row r="443" spans="1:33" s="410" customFormat="1"/>
    <row r="444" spans="1:33">
      <c r="A444" s="419"/>
      <c r="B444" s="405"/>
    </row>
    <row r="445" spans="1:33">
      <c r="A445" s="419"/>
      <c r="B445" s="405"/>
      <c r="C445" s="405" t="s">
        <v>107</v>
      </c>
    </row>
    <row r="446" spans="1:33">
      <c r="A446" s="419"/>
      <c r="B446" s="405"/>
      <c r="C446" s="405"/>
    </row>
    <row r="447" spans="1:33">
      <c r="A447" s="419"/>
      <c r="C447" s="405" t="str">
        <f>Tráfego!B296</f>
        <v>Tabela 12 – Volumes diários médios anuais de tráfego (VDMA) estimados por Pórtico COM EFEITO FUGA</v>
      </c>
    </row>
    <row r="448" spans="1:33">
      <c r="A448" s="419"/>
      <c r="C448" s="414" t="s">
        <v>105</v>
      </c>
      <c r="D448" s="556" t="str">
        <f>Tráfego!D297</f>
        <v>Ano 1</v>
      </c>
      <c r="E448" s="556" t="str">
        <f>Tráfego!E297</f>
        <v>Ano 2</v>
      </c>
      <c r="F448" s="556" t="str">
        <f>Tráfego!F297</f>
        <v>Ano 3</v>
      </c>
      <c r="G448" s="556" t="str">
        <f>Tráfego!G297</f>
        <v>Ano 4</v>
      </c>
      <c r="H448" s="556" t="str">
        <f>Tráfego!H297</f>
        <v>Ano 5</v>
      </c>
      <c r="I448" s="556" t="str">
        <f>Tráfego!I297</f>
        <v>Ano 6</v>
      </c>
      <c r="J448" s="556" t="str">
        <f>Tráfego!J297</f>
        <v>Ano 7</v>
      </c>
      <c r="K448" s="556" t="str">
        <f>Tráfego!K297</f>
        <v>Ano 8</v>
      </c>
      <c r="L448" s="556" t="str">
        <f>Tráfego!L297</f>
        <v>Ano 9</v>
      </c>
      <c r="M448" s="556" t="str">
        <f>Tráfego!M297</f>
        <v>Ano 10</v>
      </c>
      <c r="N448" s="556" t="str">
        <f>Tráfego!N297</f>
        <v>Ano 11</v>
      </c>
      <c r="O448" s="556" t="str">
        <f>Tráfego!O297</f>
        <v>Ano 12</v>
      </c>
      <c r="P448" s="556" t="str">
        <f>Tráfego!P297</f>
        <v>Ano 13</v>
      </c>
      <c r="Q448" s="556" t="str">
        <f>Tráfego!Q297</f>
        <v>Ano 14</v>
      </c>
      <c r="R448" s="556" t="str">
        <f>Tráfego!R297</f>
        <v>Ano 15</v>
      </c>
      <c r="S448" s="556" t="str">
        <f>Tráfego!S297</f>
        <v>Ano 16</v>
      </c>
      <c r="T448" s="556" t="str">
        <f>Tráfego!T297</f>
        <v>Ano 17</v>
      </c>
      <c r="U448" s="556" t="str">
        <f>Tráfego!U297</f>
        <v>Ano 18</v>
      </c>
      <c r="V448" s="556" t="str">
        <f>Tráfego!V297</f>
        <v>Ano 19</v>
      </c>
      <c r="W448" s="556" t="str">
        <f>Tráfego!W297</f>
        <v>Ano 20</v>
      </c>
      <c r="X448" s="556" t="str">
        <f>Tráfego!X297</f>
        <v>Ano 21</v>
      </c>
      <c r="Y448" s="556" t="str">
        <f>Tráfego!Y297</f>
        <v>Ano 22</v>
      </c>
      <c r="Z448" s="556" t="str">
        <f>Tráfego!Z297</f>
        <v>Ano 23</v>
      </c>
      <c r="AA448" s="556" t="str">
        <f>Tráfego!AA297</f>
        <v>Ano 24</v>
      </c>
      <c r="AB448" s="556" t="str">
        <f>Tráfego!AB297</f>
        <v>Ano 25</v>
      </c>
      <c r="AC448" s="556" t="str">
        <f>Tráfego!AC297</f>
        <v>Ano 26</v>
      </c>
      <c r="AD448" s="556" t="str">
        <f>Tráfego!AD297</f>
        <v>Ano 27</v>
      </c>
      <c r="AE448" s="556" t="str">
        <f>Tráfego!AE297</f>
        <v>Ano 28</v>
      </c>
      <c r="AF448" s="556" t="str">
        <f>Tráfego!AF297</f>
        <v>Ano 29</v>
      </c>
      <c r="AG448" s="556" t="str">
        <f>Tráfego!AG297</f>
        <v>Ano 30</v>
      </c>
    </row>
    <row r="449" spans="1:33">
      <c r="A449" s="419"/>
      <c r="C449" s="415" t="s">
        <v>28</v>
      </c>
      <c r="D449" s="556">
        <f ca="1">Tráfego!D298</f>
        <v>14556.00227577238</v>
      </c>
      <c r="E449" s="556">
        <f ca="1">Tráfego!E298</f>
        <v>15118.340982089643</v>
      </c>
      <c r="F449" s="556">
        <f ca="1">Tráfego!F298</f>
        <v>15699.399045364693</v>
      </c>
      <c r="G449" s="556">
        <f ca="1">Tráfego!G298</f>
        <v>16303.883143836727</v>
      </c>
      <c r="H449" s="556">
        <f ca="1">Tráfego!H298</f>
        <v>16931.50618532213</v>
      </c>
      <c r="I449" s="556">
        <f ca="1">Tráfego!I298</f>
        <v>17578.385181157468</v>
      </c>
      <c r="J449" s="556">
        <f ca="1">Tráfego!J298</f>
        <v>18237.651207184332</v>
      </c>
      <c r="K449" s="556">
        <f ca="1">Tráfego!K298</f>
        <v>18903.991703120711</v>
      </c>
      <c r="L449" s="556">
        <f ca="1">Tráfego!L298</f>
        <v>19572.541287492943</v>
      </c>
      <c r="M449" s="556">
        <f ca="1">Tráfego!M298</f>
        <v>20238.720068707746</v>
      </c>
      <c r="N449" s="556">
        <f ca="1">Tráfego!N298</f>
        <v>20897.610638791401</v>
      </c>
      <c r="O449" s="556">
        <f ca="1">Tráfego!O298</f>
        <v>21544.357613601936</v>
      </c>
      <c r="P449" s="556">
        <f ca="1">Tráfego!P298</f>
        <v>22175.087112575136</v>
      </c>
      <c r="Q449" s="556">
        <f ca="1">Tráfego!Q298</f>
        <v>22785.970262561776</v>
      </c>
      <c r="R449" s="556">
        <f ca="1">Tráfego!R298</f>
        <v>23373.030275892765</v>
      </c>
      <c r="S449" s="556">
        <f ca="1">Tráfego!S298</f>
        <v>23932.455980393999</v>
      </c>
      <c r="T449" s="556">
        <f ca="1">Tráfego!T298</f>
        <v>24461.456663316327</v>
      </c>
      <c r="U449" s="556">
        <f ca="1">Tráfego!U298</f>
        <v>24957.634435725249</v>
      </c>
      <c r="V449" s="556">
        <f ca="1">Tráfego!V298</f>
        <v>25418.447391750586</v>
      </c>
      <c r="W449" s="556">
        <f ca="1">Tráfego!W298</f>
        <v>25841.715354173277</v>
      </c>
      <c r="X449" s="556">
        <f ca="1">Tráfego!X298</f>
        <v>26225.137479141049</v>
      </c>
      <c r="Y449" s="556">
        <f ca="1">Tráfego!Y298</f>
        <v>26566.954479835815</v>
      </c>
      <c r="Z449" s="556">
        <f ca="1">Tráfego!Z298</f>
        <v>26865.854379577784</v>
      </c>
      <c r="AA449" s="556">
        <f ca="1">Tráfego!AA298</f>
        <v>27120.357756764282</v>
      </c>
      <c r="AB449" s="556">
        <f ca="1">Tráfego!AB298</f>
        <v>27329.06548258528</v>
      </c>
      <c r="AC449" s="556">
        <f ca="1">Tráfego!AC298</f>
        <v>27491.023512463071</v>
      </c>
      <c r="AD449" s="556">
        <f ca="1">Tráfego!AD298</f>
        <v>27605.486992670201</v>
      </c>
      <c r="AE449" s="556">
        <f ca="1">Tráfego!AE298</f>
        <v>27671.480157891492</v>
      </c>
      <c r="AF449" s="556">
        <f ca="1">Tráfego!AF298</f>
        <v>27688.142377463904</v>
      </c>
      <c r="AG449" s="556">
        <f ca="1">Tráfego!AG298</f>
        <v>27654.834028485217</v>
      </c>
    </row>
    <row r="450" spans="1:33">
      <c r="A450" s="419"/>
      <c r="C450" s="415" t="s">
        <v>31</v>
      </c>
      <c r="D450" s="556">
        <f ca="1">Tráfego!D299</f>
        <v>14683.730278385756</v>
      </c>
      <c r="E450" s="556">
        <f ca="1">Tráfego!E299</f>
        <v>15260.555933362142</v>
      </c>
      <c r="F450" s="556">
        <f ca="1">Tráfego!F299</f>
        <v>15857.472240577908</v>
      </c>
      <c r="G450" s="556">
        <f ca="1">Tráfego!G299</f>
        <v>16479.440905734038</v>
      </c>
      <c r="H450" s="556">
        <f ca="1">Tráfego!H299</f>
        <v>17126.229159729115</v>
      </c>
      <c r="I450" s="556">
        <f ca="1">Tráfego!I299</f>
        <v>17793.870630427893</v>
      </c>
      <c r="J450" s="556">
        <f ca="1">Tráfego!J299</f>
        <v>18475.286000214772</v>
      </c>
      <c r="K450" s="556">
        <f ca="1">Tráfego!K299</f>
        <v>19164.989561339233</v>
      </c>
      <c r="L450" s="556">
        <f ca="1">Tráfego!L299</f>
        <v>19857.951980951828</v>
      </c>
      <c r="M450" s="556">
        <f ca="1">Tráfego!M299</f>
        <v>20549.429060052225</v>
      </c>
      <c r="N450" s="556">
        <f ca="1">Tráfego!N299</f>
        <v>21234.32228814948</v>
      </c>
      <c r="O450" s="556">
        <f ca="1">Tráfego!O299</f>
        <v>21907.589306233545</v>
      </c>
      <c r="P450" s="556">
        <f ca="1">Tráfego!P299</f>
        <v>22565.189069232787</v>
      </c>
      <c r="Q450" s="556">
        <f ca="1">Tráfego!Q299</f>
        <v>23203.119105651993</v>
      </c>
      <c r="R450" s="556">
        <f ca="1">Tráfego!R299</f>
        <v>23817.215943426894</v>
      </c>
      <c r="S450" s="556">
        <f ca="1">Tráfego!S299</f>
        <v>24403.482261600151</v>
      </c>
      <c r="T450" s="556">
        <f ca="1">Tráfego!T299</f>
        <v>24958.968506671034</v>
      </c>
      <c r="U450" s="556">
        <f ca="1">Tráfego!U299</f>
        <v>25481.130776100646</v>
      </c>
      <c r="V450" s="556">
        <f ca="1">Tráfego!V299</f>
        <v>25967.277180525954</v>
      </c>
      <c r="W450" s="556">
        <f ca="1">Tráfego!W299</f>
        <v>26415.086585807934</v>
      </c>
      <c r="X450" s="556">
        <f ca="1">Tráfego!X299</f>
        <v>26822.115223262641</v>
      </c>
      <c r="Y450" s="556">
        <f ca="1">Tráfego!Y299</f>
        <v>27186.478137515627</v>
      </c>
      <c r="Z450" s="556">
        <f ca="1">Tráfego!Z299</f>
        <v>27506.753671184477</v>
      </c>
      <c r="AA450" s="556">
        <f ca="1">Tráfego!AA299</f>
        <v>27781.351298248654</v>
      </c>
      <c r="AB450" s="556">
        <f ca="1">Tráfego!AB299</f>
        <v>28008.76497134236</v>
      </c>
      <c r="AC450" s="556">
        <f ca="1">Tráfego!AC299</f>
        <v>28187.948677609431</v>
      </c>
      <c r="AD450" s="556">
        <f ca="1">Tráfego!AD299</f>
        <v>28318.072269238954</v>
      </c>
      <c r="AE450" s="556">
        <f ca="1">Tráfego!AE299</f>
        <v>28398.068133180874</v>
      </c>
      <c r="AF450" s="556">
        <f ca="1">Tráfego!AF299</f>
        <v>28426.989042070083</v>
      </c>
      <c r="AG450" s="556">
        <f ca="1">Tráfego!AG299</f>
        <v>28404.118532224449</v>
      </c>
    </row>
    <row r="451" spans="1:33">
      <c r="A451" s="419"/>
      <c r="C451" s="415" t="s">
        <v>35</v>
      </c>
      <c r="D451" s="556">
        <f ca="1">Tráfego!D300</f>
        <v>3957.964615136978</v>
      </c>
      <c r="E451" s="556">
        <f ca="1">Tráfego!E300</f>
        <v>4113.2556623395649</v>
      </c>
      <c r="F451" s="556">
        <f ca="1">Tráfego!F300</f>
        <v>4274.0158035779332</v>
      </c>
      <c r="G451" s="556">
        <f ca="1">Tráfego!G300</f>
        <v>4441.5950813335921</v>
      </c>
      <c r="H451" s="556">
        <f ca="1">Tráfego!H300</f>
        <v>4615.9396238217578</v>
      </c>
      <c r="I451" s="556">
        <f ca="1">Tráfego!I300</f>
        <v>4795.9872265668382</v>
      </c>
      <c r="J451" s="556">
        <f ca="1">Tráfego!J300</f>
        <v>4979.8338396468389</v>
      </c>
      <c r="K451" s="556">
        <f ca="1">Tráfego!K300</f>
        <v>5166.0042407841092</v>
      </c>
      <c r="L451" s="556">
        <f ca="1">Tráfego!L300</f>
        <v>5353.1458614645198</v>
      </c>
      <c r="M451" s="556">
        <f ca="1">Tráfego!M300</f>
        <v>5539.982072574353</v>
      </c>
      <c r="N451" s="556">
        <f ca="1">Tráfego!N300</f>
        <v>5725.1400001885659</v>
      </c>
      <c r="O451" s="556">
        <f ca="1">Tráfego!O300</f>
        <v>5907.2609355759414</v>
      </c>
      <c r="P451" s="556">
        <f ca="1">Tráfego!P300</f>
        <v>6085.2546787931324</v>
      </c>
      <c r="Q451" s="556">
        <f ca="1">Tráfego!Q300</f>
        <v>6258.0402347700474</v>
      </c>
      <c r="R451" s="556">
        <f ca="1">Tráfego!R300</f>
        <v>6424.4918841035169</v>
      </c>
      <c r="S451" s="556">
        <f ca="1">Tráfego!S300</f>
        <v>6583.5277110899588</v>
      </c>
      <c r="T451" s="556">
        <f ca="1">Tráfego!T300</f>
        <v>6734.3471857866343</v>
      </c>
      <c r="U451" s="556">
        <f ca="1">Tráfego!U300</f>
        <v>6876.2586409809155</v>
      </c>
      <c r="V451" s="556">
        <f ca="1">Tráfego!V300</f>
        <v>7008.5300684805416</v>
      </c>
      <c r="W451" s="556">
        <f ca="1">Tráfego!W300</f>
        <v>7130.528620164233</v>
      </c>
      <c r="X451" s="556">
        <f ca="1">Tráfego!X300</f>
        <v>7241.5881030648297</v>
      </c>
      <c r="Y451" s="556">
        <f ca="1">Tráfego!Y300</f>
        <v>7341.1924915360651</v>
      </c>
      <c r="Z451" s="556">
        <f ca="1">Tráfego!Z300</f>
        <v>7428.9504017866666</v>
      </c>
      <c r="AA451" s="556">
        <f ca="1">Tráfego!AA300</f>
        <v>7504.4249507266068</v>
      </c>
      <c r="AB451" s="556">
        <f ca="1">Tráfego!AB300</f>
        <v>7567.2018078579085</v>
      </c>
      <c r="AC451" s="556">
        <f ca="1">Tráfego!AC300</f>
        <v>7616.9903622497477</v>
      </c>
      <c r="AD451" s="556">
        <f ca="1">Tráfego!AD300</f>
        <v>7653.5578194653162</v>
      </c>
      <c r="AE451" s="556">
        <f ca="1">Tráfego!AE300</f>
        <v>7676.6070803925668</v>
      </c>
      <c r="AF451" s="556">
        <f ca="1">Tráfego!AF300</f>
        <v>7685.873329284268</v>
      </c>
      <c r="AG451" s="556">
        <f ca="1">Tráfego!AG300</f>
        <v>7681.1539563912647</v>
      </c>
    </row>
    <row r="452" spans="1:33">
      <c r="A452" s="419"/>
      <c r="C452" s="416" t="s">
        <v>40</v>
      </c>
      <c r="D452" s="556">
        <f ca="1">Tráfego!D301</f>
        <v>7543.7723603054437</v>
      </c>
      <c r="E452" s="556">
        <f ca="1">Tráfego!E301</f>
        <v>7840.3216065947927</v>
      </c>
      <c r="F452" s="556">
        <f ca="1">Tráfego!F301</f>
        <v>8147.3739498157847</v>
      </c>
      <c r="G452" s="556">
        <f ca="1">Tráfego!G301</f>
        <v>8467.5168412768253</v>
      </c>
      <c r="H452" s="556">
        <f ca="1">Tráfego!H301</f>
        <v>8800.6519239896752</v>
      </c>
      <c r="I452" s="556">
        <f ca="1">Tráfego!I301</f>
        <v>9144.7522849968136</v>
      </c>
      <c r="J452" s="556">
        <f ca="1">Tráfego!J301</f>
        <v>9496.1800279208255</v>
      </c>
      <c r="K452" s="556">
        <f ca="1">Tráfego!K301</f>
        <v>9852.1159708108353</v>
      </c>
      <c r="L452" s="556">
        <f ca="1">Tráfego!L301</f>
        <v>10209.974996409917</v>
      </c>
      <c r="M452" s="556">
        <f ca="1">Tráfego!M301</f>
        <v>10567.316464259902</v>
      </c>
      <c r="N452" s="556">
        <f ca="1">Tráfego!N301</f>
        <v>10921.515375027695</v>
      </c>
      <c r="O452" s="556">
        <f ca="1">Tráfego!O301</f>
        <v>11269.973242967102</v>
      </c>
      <c r="P452" s="556">
        <f ca="1">Tráfego!P301</f>
        <v>11610.603910006213</v>
      </c>
      <c r="Q452" s="556">
        <f ca="1">Tráfego!Q301</f>
        <v>11941.338231308398</v>
      </c>
      <c r="R452" s="556">
        <f ca="1">Tráfego!R301</f>
        <v>12260.020970531847</v>
      </c>
      <c r="S452" s="556">
        <f ca="1">Tráfego!S301</f>
        <v>12564.580231712675</v>
      </c>
      <c r="T452" s="556">
        <f ca="1">Tráfego!T301</f>
        <v>12853.481462452104</v>
      </c>
      <c r="U452" s="556">
        <f ca="1">Tráfego!U301</f>
        <v>13125.398130896891</v>
      </c>
      <c r="V452" s="556">
        <f ca="1">Tráfego!V301</f>
        <v>13378.926607936579</v>
      </c>
      <c r="W452" s="556">
        <f ca="1">Tráfego!W301</f>
        <v>13612.852547596176</v>
      </c>
      <c r="X452" s="556">
        <f ca="1">Tráfego!X301</f>
        <v>13825.897966655128</v>
      </c>
      <c r="Y452" s="556">
        <f ca="1">Tráfego!Y301</f>
        <v>14017.071821584925</v>
      </c>
      <c r="Z452" s="556">
        <f ca="1">Tráfego!Z301</f>
        <v>14185.621351239193</v>
      </c>
      <c r="AA452" s="556">
        <f ca="1">Tráfego!AA301</f>
        <v>14330.707078616293</v>
      </c>
      <c r="AB452" s="556">
        <f ca="1">Tráfego!AB301</f>
        <v>14451.532704682053</v>
      </c>
      <c r="AC452" s="556">
        <f ca="1">Tráfego!AC301</f>
        <v>14547.538388419393</v>
      </c>
      <c r="AD452" s="556">
        <f ca="1">Tráfego!AD301</f>
        <v>14618.274748028711</v>
      </c>
      <c r="AE452" s="556">
        <f ca="1">Tráfego!AE301</f>
        <v>14663.169532967806</v>
      </c>
      <c r="AF452" s="556">
        <f ca="1">Tráfego!AF301</f>
        <v>14681.712268765667</v>
      </c>
      <c r="AG452" s="556">
        <f ca="1">Tráfego!AG301</f>
        <v>14673.511524303471</v>
      </c>
    </row>
    <row r="453" spans="1:33">
      <c r="A453" s="419"/>
      <c r="C453" s="414" t="s">
        <v>73</v>
      </c>
      <c r="D453" s="556">
        <f ca="1">Tráfego!D302</f>
        <v>40741.469529600567</v>
      </c>
      <c r="E453" s="556">
        <f ca="1">Tráfego!E302</f>
        <v>42332.474184386141</v>
      </c>
      <c r="F453" s="556">
        <f ca="1">Tráfego!F302</f>
        <v>43978.261039336314</v>
      </c>
      <c r="G453" s="556">
        <f ca="1">Tráfego!G302</f>
        <v>45692.435972181185</v>
      </c>
      <c r="H453" s="556">
        <f ca="1">Tráfego!H302</f>
        <v>47474.326892862679</v>
      </c>
      <c r="I453" s="556">
        <f ca="1">Tráfego!I302</f>
        <v>49312.995323149014</v>
      </c>
      <c r="J453" s="556">
        <f ca="1">Tráfego!J302</f>
        <v>51188.951074966768</v>
      </c>
      <c r="K453" s="556">
        <f ca="1">Tráfego!K302</f>
        <v>53087.101476054886</v>
      </c>
      <c r="L453" s="556">
        <f ca="1">Tráfego!L302</f>
        <v>54993.614126319211</v>
      </c>
      <c r="M453" s="556">
        <f ca="1">Tráfego!M302</f>
        <v>56895.447665594227</v>
      </c>
      <c r="N453" s="556">
        <f ca="1">Tráfego!N302</f>
        <v>58778.588302157135</v>
      </c>
      <c r="O453" s="556">
        <f ca="1">Tráfego!O302</f>
        <v>60629.181098378525</v>
      </c>
      <c r="P453" s="556">
        <f ca="1">Tráfego!P302</f>
        <v>62436.13477060727</v>
      </c>
      <c r="Q453" s="556">
        <f ca="1">Tráfego!Q302</f>
        <v>64188.467834292213</v>
      </c>
      <c r="R453" s="556">
        <f ca="1">Tráfego!R302</f>
        <v>65874.759073955021</v>
      </c>
      <c r="S453" s="556">
        <f ca="1">Tráfego!S302</f>
        <v>67484.046184796796</v>
      </c>
      <c r="T453" s="556">
        <f ca="1">Tráfego!T302</f>
        <v>69008.253818226091</v>
      </c>
      <c r="U453" s="556">
        <f ca="1">Tráfego!U302</f>
        <v>70440.421983703709</v>
      </c>
      <c r="V453" s="556">
        <f ca="1">Tráfego!V302</f>
        <v>71773.181248693654</v>
      </c>
      <c r="W453" s="556">
        <f ca="1">Tráfego!W302</f>
        <v>73000.183107741614</v>
      </c>
      <c r="X453" s="556">
        <f ca="1">Tráfego!X302</f>
        <v>74114.738772123645</v>
      </c>
      <c r="Y453" s="556">
        <f ca="1">Tráfego!Y302</f>
        <v>75111.696930472433</v>
      </c>
      <c r="Z453" s="556">
        <f ca="1">Tráfego!Z302</f>
        <v>75987.179803788124</v>
      </c>
      <c r="AA453" s="556">
        <f ca="1">Tráfego!AA302</f>
        <v>76736.841084355838</v>
      </c>
      <c r="AB453" s="556">
        <f ca="1">Tráfego!AB302</f>
        <v>77356.564966467602</v>
      </c>
      <c r="AC453" s="556">
        <f ca="1">Tráfego!AC302</f>
        <v>77843.500940741636</v>
      </c>
      <c r="AD453" s="556">
        <f ca="1">Tráfego!AD302</f>
        <v>78195.391829403176</v>
      </c>
      <c r="AE453" s="556">
        <f ca="1">Tráfego!AE302</f>
        <v>78409.324904432739</v>
      </c>
      <c r="AF453" s="556">
        <f ca="1">Tráfego!AF302</f>
        <v>78482.717017583927</v>
      </c>
      <c r="AG453" s="556">
        <f ca="1">Tráfego!AG302</f>
        <v>78413.618041404407</v>
      </c>
    </row>
    <row r="454" spans="1:33">
      <c r="A454" s="419"/>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row>
    <row r="455" spans="1:33">
      <c r="A455" s="419"/>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c r="AF455" s="418"/>
      <c r="AG455" s="418"/>
    </row>
    <row r="456" spans="1:33">
      <c r="A456" s="419"/>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row>
    <row r="457" spans="1:33">
      <c r="A457" s="419"/>
    </row>
    <row r="458" spans="1:33">
      <c r="A458" s="419"/>
    </row>
    <row r="459" spans="1:33">
      <c r="A459" s="419"/>
    </row>
    <row r="460" spans="1:33">
      <c r="A460" s="419"/>
    </row>
    <row r="461" spans="1:33">
      <c r="A461" s="419"/>
    </row>
    <row r="462" spans="1:33">
      <c r="A462" s="419"/>
    </row>
    <row r="463" spans="1:33">
      <c r="A463" s="419"/>
    </row>
    <row r="464" spans="1:33">
      <c r="A464" s="419"/>
    </row>
    <row r="465" spans="1:1">
      <c r="A465" s="419"/>
    </row>
    <row r="466" spans="1:1">
      <c r="A466" s="419"/>
    </row>
    <row r="467" spans="1:1">
      <c r="A467" s="419"/>
    </row>
    <row r="468" spans="1:1">
      <c r="A468" s="419"/>
    </row>
    <row r="469" spans="1:1">
      <c r="A469" s="419"/>
    </row>
    <row r="470" spans="1:1">
      <c r="A470" s="419"/>
    </row>
    <row r="471" spans="1:1">
      <c r="A471" s="419"/>
    </row>
    <row r="472" spans="1:1">
      <c r="A472" s="419"/>
    </row>
    <row r="473" spans="1:1">
      <c r="A473" s="419"/>
    </row>
    <row r="474" spans="1:1">
      <c r="A474" s="419"/>
    </row>
    <row r="475" spans="1:1">
      <c r="A475" s="419"/>
    </row>
    <row r="476" spans="1:1">
      <c r="A476" s="419"/>
    </row>
    <row r="477" spans="1:1">
      <c r="A477" s="419"/>
    </row>
    <row r="478" spans="1:1">
      <c r="A478" s="419"/>
    </row>
    <row r="479" spans="1:1">
      <c r="A479" s="419"/>
    </row>
    <row r="480" spans="1:1">
      <c r="A480" s="419"/>
    </row>
    <row r="481" spans="1:1">
      <c r="A481" s="419"/>
    </row>
    <row r="482" spans="1:1">
      <c r="A482" s="419"/>
    </row>
    <row r="483" spans="1:1">
      <c r="A483" s="419"/>
    </row>
    <row r="484" spans="1:1">
      <c r="A484" s="419"/>
    </row>
    <row r="485" spans="1:1" s="134" customFormat="1">
      <c r="A485" s="456"/>
    </row>
    <row r="486" spans="1:1" s="134" customFormat="1">
      <c r="A486" s="456"/>
    </row>
    <row r="487" spans="1:1" s="134" customFormat="1">
      <c r="A487" s="456"/>
    </row>
    <row r="488" spans="1:1" s="134" customFormat="1">
      <c r="A488" s="456"/>
    </row>
    <row r="489" spans="1:1" s="134" customFormat="1">
      <c r="A489" s="456"/>
    </row>
    <row r="490" spans="1:1" s="134" customFormat="1">
      <c r="A490" s="456"/>
    </row>
    <row r="491" spans="1:1" s="134" customFormat="1">
      <c r="A491" s="456"/>
    </row>
    <row r="492" spans="1:1" s="134" customFormat="1">
      <c r="A492" s="456"/>
    </row>
    <row r="493" spans="1:1" s="134" customFormat="1">
      <c r="A493" s="456"/>
    </row>
    <row r="494" spans="1:1" s="134" customFormat="1">
      <c r="A494" s="456"/>
    </row>
    <row r="495" spans="1:1" s="134" customFormat="1">
      <c r="A495" s="456"/>
    </row>
    <row r="496" spans="1:1" s="134" customFormat="1">
      <c r="A496" s="456"/>
    </row>
    <row r="497" spans="1:1" s="134" customFormat="1">
      <c r="A497" s="456"/>
    </row>
    <row r="498" spans="1:1" s="134" customFormat="1">
      <c r="A498" s="456"/>
    </row>
    <row r="499" spans="1:1" s="134" customFormat="1">
      <c r="A499" s="456"/>
    </row>
    <row r="500" spans="1:1" s="134" customFormat="1">
      <c r="A500" s="456"/>
    </row>
    <row r="501" spans="1:1" s="134" customFormat="1">
      <c r="A501" s="456"/>
    </row>
    <row r="502" spans="1:1" s="134" customFormat="1">
      <c r="A502" s="456"/>
    </row>
    <row r="503" spans="1:1" s="134" customFormat="1">
      <c r="A503" s="456"/>
    </row>
    <row r="504" spans="1:1" s="134" customFormat="1">
      <c r="A504" s="456"/>
    </row>
    <row r="505" spans="1:1" s="134" customFormat="1">
      <c r="A505" s="456"/>
    </row>
    <row r="506" spans="1:1" s="134" customFormat="1">
      <c r="A506" s="456"/>
    </row>
    <row r="507" spans="1:1" s="134" customFormat="1">
      <c r="A507" s="456"/>
    </row>
    <row r="508" spans="1:1" s="134" customFormat="1">
      <c r="A508" s="456"/>
    </row>
    <row r="509" spans="1:1" s="134" customFormat="1">
      <c r="A509" s="456"/>
    </row>
    <row r="510" spans="1:1" s="134" customFormat="1">
      <c r="A510" s="456"/>
    </row>
    <row r="511" spans="1:1" s="134" customFormat="1">
      <c r="A511" s="456"/>
    </row>
    <row r="512" spans="1:1" s="134" customFormat="1">
      <c r="A512" s="456"/>
    </row>
    <row r="513" spans="1:1" s="134" customFormat="1">
      <c r="A513" s="456"/>
    </row>
    <row r="514" spans="1:1" s="134" customFormat="1">
      <c r="A514" s="456"/>
    </row>
    <row r="515" spans="1:1" s="134" customFormat="1">
      <c r="A515" s="456"/>
    </row>
    <row r="516" spans="1:1" s="134" customFormat="1">
      <c r="A516" s="456"/>
    </row>
    <row r="517" spans="1:1" s="134" customFormat="1">
      <c r="A517" s="456"/>
    </row>
    <row r="518" spans="1:1" s="134" customFormat="1">
      <c r="A518" s="456"/>
    </row>
    <row r="519" spans="1:1" s="134" customFormat="1">
      <c r="A519" s="456"/>
    </row>
    <row r="520" spans="1:1" s="134" customFormat="1">
      <c r="A520" s="456"/>
    </row>
    <row r="521" spans="1:1" s="134" customFormat="1">
      <c r="A521" s="456"/>
    </row>
    <row r="522" spans="1:1" s="134" customFormat="1">
      <c r="A522" s="456"/>
    </row>
    <row r="523" spans="1:1" s="134" customFormat="1">
      <c r="A523" s="456"/>
    </row>
    <row r="524" spans="1:1" s="134" customFormat="1">
      <c r="A524" s="456"/>
    </row>
    <row r="525" spans="1:1" s="134" customFormat="1">
      <c r="A525" s="456"/>
    </row>
    <row r="526" spans="1:1" s="134" customFormat="1">
      <c r="A526" s="456"/>
    </row>
    <row r="527" spans="1:1" s="134" customFormat="1">
      <c r="A527" s="456"/>
    </row>
    <row r="528" spans="1:1" s="134" customFormat="1">
      <c r="A528" s="456"/>
    </row>
    <row r="529" spans="1:1" s="134" customFormat="1">
      <c r="A529" s="456"/>
    </row>
    <row r="530" spans="1:1" s="134" customFormat="1">
      <c r="A530" s="456"/>
    </row>
    <row r="531" spans="1:1" s="134" customFormat="1">
      <c r="A531" s="456"/>
    </row>
    <row r="532" spans="1:1" s="134" customFormat="1">
      <c r="A532" s="456"/>
    </row>
    <row r="533" spans="1:1" s="134" customFormat="1">
      <c r="A533" s="456"/>
    </row>
    <row r="534" spans="1:1" s="134" customFormat="1">
      <c r="A534" s="456"/>
    </row>
    <row r="535" spans="1:1" s="134" customFormat="1">
      <c r="A535" s="456"/>
    </row>
    <row r="536" spans="1:1" s="134" customFormat="1">
      <c r="A536" s="456"/>
    </row>
    <row r="537" spans="1:1" s="134" customFormat="1">
      <c r="A537" s="456"/>
    </row>
    <row r="538" spans="1:1" s="134" customFormat="1">
      <c r="A538" s="456"/>
    </row>
    <row r="539" spans="1:1" s="134" customFormat="1">
      <c r="A539" s="456"/>
    </row>
    <row r="540" spans="1:1" s="134" customFormat="1">
      <c r="A540" s="456"/>
    </row>
    <row r="541" spans="1:1" s="134" customFormat="1">
      <c r="A541" s="456"/>
    </row>
    <row r="542" spans="1:1" s="134" customFormat="1">
      <c r="A542" s="456"/>
    </row>
    <row r="543" spans="1:1" s="134" customFormat="1">
      <c r="A543" s="456"/>
    </row>
    <row r="544" spans="1:1" s="134" customFormat="1">
      <c r="A544" s="456"/>
    </row>
    <row r="545" spans="1:1" s="134" customFormat="1">
      <c r="A545" s="456"/>
    </row>
    <row r="546" spans="1:1" s="134" customFormat="1">
      <c r="A546" s="456"/>
    </row>
    <row r="547" spans="1:1" s="134" customFormat="1">
      <c r="A547" s="456"/>
    </row>
    <row r="548" spans="1:1" s="134" customFormat="1">
      <c r="A548" s="456"/>
    </row>
    <row r="549" spans="1:1" s="134" customFormat="1">
      <c r="A549" s="456"/>
    </row>
  </sheetData>
  <phoneticPr fontId="28" type="noConversion"/>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2A6099"/>
  </sheetPr>
  <dimension ref="B2:AG242"/>
  <sheetViews>
    <sheetView showGridLines="0" zoomScaleNormal="100" workbookViewId="0">
      <selection activeCell="D241" sqref="D241"/>
    </sheetView>
  </sheetViews>
  <sheetFormatPr defaultColWidth="12" defaultRowHeight="12.75"/>
  <cols>
    <col min="1" max="1" width="2.42578125" customWidth="1"/>
    <col min="2" max="2" width="91.7109375" customWidth="1"/>
    <col min="3" max="3" width="60.5703125" customWidth="1"/>
    <col min="4" max="4" width="100.5703125" customWidth="1"/>
    <col min="5" max="5" width="187.28515625" customWidth="1"/>
    <col min="6" max="6" width="45.85546875" bestFit="1" customWidth="1"/>
    <col min="7" max="7" width="43.28515625" bestFit="1" customWidth="1"/>
    <col min="8" max="8" width="27" customWidth="1"/>
    <col min="9" max="9" width="34.7109375" bestFit="1" customWidth="1"/>
    <col min="10" max="11" width="18.28515625" bestFit="1" customWidth="1"/>
  </cols>
  <sheetData>
    <row r="2" spans="2:4">
      <c r="B2" s="2" t="s">
        <v>108</v>
      </c>
      <c r="C2" s="3"/>
    </row>
    <row r="3" spans="2:4">
      <c r="B3" s="17" t="s">
        <v>109</v>
      </c>
      <c r="C3" s="297">
        <v>11.738934302166152</v>
      </c>
      <c r="D3" s="568"/>
    </row>
    <row r="4" spans="2:4">
      <c r="B4" s="17" t="s">
        <v>110</v>
      </c>
      <c r="C4" s="365">
        <v>0</v>
      </c>
    </row>
    <row r="5" spans="2:4">
      <c r="B5" s="263" t="s">
        <v>111</v>
      </c>
      <c r="C5" s="528">
        <v>1829999999.9999998</v>
      </c>
    </row>
    <row r="6" spans="2:4">
      <c r="B6" s="263" t="s">
        <v>112</v>
      </c>
      <c r="C6" s="533">
        <f>C5*D233</f>
        <v>1855180799.9999998</v>
      </c>
      <c r="D6" s="534"/>
    </row>
    <row r="7" spans="2:4">
      <c r="B7" s="263" t="s">
        <v>113</v>
      </c>
      <c r="C7" s="441">
        <v>0.1124</v>
      </c>
    </row>
    <row r="8" spans="2:4">
      <c r="B8" s="263" t="s">
        <v>114</v>
      </c>
      <c r="C8" s="459" t="s">
        <v>115</v>
      </c>
    </row>
    <row r="9" spans="2:4">
      <c r="B9" s="263" t="s">
        <v>116</v>
      </c>
      <c r="C9" s="503">
        <v>30</v>
      </c>
    </row>
    <row r="10" spans="2:4">
      <c r="B10" s="17" t="s">
        <v>117</v>
      </c>
      <c r="C10" s="528">
        <v>300000000</v>
      </c>
    </row>
    <row r="11" spans="2:4">
      <c r="B11" s="17" t="s">
        <v>118</v>
      </c>
      <c r="C11" s="460" t="s">
        <v>119</v>
      </c>
    </row>
    <row r="12" spans="2:4">
      <c r="B12" s="17" t="s">
        <v>120</v>
      </c>
      <c r="C12" s="527" t="s">
        <v>121</v>
      </c>
    </row>
    <row r="13" spans="2:4">
      <c r="B13" s="2"/>
      <c r="C13" s="266"/>
    </row>
    <row r="14" spans="2:4">
      <c r="B14" s="2" t="s">
        <v>122</v>
      </c>
      <c r="C14" s="440"/>
    </row>
    <row r="15" spans="2:4">
      <c r="B15" s="17" t="s">
        <v>123</v>
      </c>
      <c r="C15" s="144">
        <f ca="1">NPV(C7,DFC!C13:AF13)</f>
        <v>1.5321110315950428E-7</v>
      </c>
    </row>
    <row r="16" spans="2:4">
      <c r="B16" s="6" t="s">
        <v>124</v>
      </c>
      <c r="C16" s="122">
        <f>MIN(_xlfn._xlws.FILTER(_xlfn.ANCHORARRAY('Tarifas Ped.'!B121),'Tarifas Ped.'!C121:C150)) - 1</f>
        <v>4</v>
      </c>
    </row>
    <row r="17" spans="2:4">
      <c r="B17" s="6" t="s">
        <v>125</v>
      </c>
      <c r="C17" s="122">
        <f>MAX(_xlfn._xlws.FILTER(_xlfn.ANCHORARRAY('Tarifas Ped.'!B121),'Tarifas Ped.'!C121:C150)) - 1</f>
        <v>15</v>
      </c>
      <c r="D17" s="262"/>
    </row>
    <row r="18" spans="2:4">
      <c r="B18" s="17" t="s">
        <v>126</v>
      </c>
      <c r="C18" s="264">
        <f ca="1">SUM(Aporte!C257:AG257) * -1</f>
        <v>1830000000</v>
      </c>
      <c r="D18" s="262"/>
    </row>
    <row r="19" spans="2:4">
      <c r="B19" s="17" t="s">
        <v>127</v>
      </c>
      <c r="C19" s="272">
        <f>ROUND(C30,2)</f>
        <v>5.58</v>
      </c>
      <c r="D19" s="262"/>
    </row>
    <row r="20" spans="2:4">
      <c r="B20" s="263" t="s">
        <v>128</v>
      </c>
      <c r="C20" s="366">
        <f>ROUND(C34,2)</f>
        <v>7.81</v>
      </c>
      <c r="D20" s="262"/>
    </row>
    <row r="21" spans="2:4">
      <c r="B21" s="263" t="s">
        <v>129</v>
      </c>
      <c r="C21" s="463">
        <f ca="1">SUM('Receitas Tarifárias'!E219:AH219) / SUM('Receitas Tarifárias'!D462:AG462)</f>
        <v>1.6604332245059E-2</v>
      </c>
      <c r="D21" s="262"/>
    </row>
    <row r="22" spans="2:4">
      <c r="B22" s="36" t="s">
        <v>130</v>
      </c>
      <c r="C22" s="487">
        <f ca="1">NPV(C7,_xlfn.ANCHORARRAY(DFC!C6))</f>
        <v>1170714489.5087895</v>
      </c>
      <c r="D22" s="262"/>
    </row>
    <row r="23" spans="2:4">
      <c r="B23" s="36" t="s">
        <v>131</v>
      </c>
      <c r="C23" s="145">
        <f>NPV(C7,Capex!L421:AO421)</f>
        <v>1837832489.663389</v>
      </c>
      <c r="D23" s="262"/>
    </row>
    <row r="24" spans="2:4">
      <c r="B24" s="6" t="s">
        <v>132</v>
      </c>
      <c r="C24" s="184">
        <f>NPV(C7,Opex!F76:AI76)</f>
        <v>396434741.21771586</v>
      </c>
      <c r="D24" s="262"/>
    </row>
    <row r="25" spans="2:4">
      <c r="B25" s="17" t="s">
        <v>133</v>
      </c>
      <c r="C25" s="50" t="b">
        <f ca="1">AND(DUF!K12:K15,'BP Nominal'!E43:AH43,'BP Nominal'!E48:AH48,'BP Real'!E45:AH45,'BP Real'!E50:AH50,Aporte!B270,Aporte!C263:AH263,C3=C29,Aporte!C262:AH262,'Estudo de Fluxos (mensal)'!C14:BQ14,Aporte!B247&lt;=1)</f>
        <v>1</v>
      </c>
      <c r="D25" s="262"/>
    </row>
    <row r="26" spans="2:4">
      <c r="D26" s="262"/>
    </row>
    <row r="27" spans="2:4">
      <c r="B27" s="2" t="s">
        <v>134</v>
      </c>
      <c r="C27" s="564"/>
      <c r="D27" s="262"/>
    </row>
    <row r="28" spans="2:4">
      <c r="B28" s="226" t="s">
        <v>135</v>
      </c>
      <c r="C28" s="145">
        <f>C3 * (1 +(C187*C188))</f>
        <v>11.738934302166152</v>
      </c>
      <c r="D28" s="3"/>
    </row>
    <row r="29" spans="2:4">
      <c r="B29" s="6" t="s">
        <v>136</v>
      </c>
      <c r="C29" s="145">
        <f>'Tarifas Ped.'!C65</f>
        <v>11.738934302166152</v>
      </c>
      <c r="D29" s="4"/>
    </row>
    <row r="30" spans="2:4">
      <c r="B30" s="6" t="s">
        <v>137</v>
      </c>
      <c r="C30" s="145">
        <f>'Tarifas Ped.'!C57</f>
        <v>5.5789285271044644</v>
      </c>
      <c r="D30" s="3"/>
    </row>
    <row r="31" spans="2:4">
      <c r="B31" s="6" t="s">
        <v>138</v>
      </c>
      <c r="C31" s="145">
        <f>'Tarifas Ped.'!C58</f>
        <v>5.5789285271044644</v>
      </c>
      <c r="D31" s="3"/>
    </row>
    <row r="32" spans="2:4">
      <c r="B32" s="6" t="s">
        <v>139</v>
      </c>
      <c r="C32" s="145">
        <f>'Tarifas Ped.'!C59</f>
        <v>5.5789285271044644</v>
      </c>
      <c r="D32" s="4"/>
    </row>
    <row r="33" spans="2:4">
      <c r="B33" s="6" t="s">
        <v>140</v>
      </c>
      <c r="C33" s="145">
        <f>'Tarifas Ped.'!C60</f>
        <v>5.5789285271044644</v>
      </c>
      <c r="D33" s="3"/>
    </row>
    <row r="34" spans="2:4">
      <c r="B34" s="6" t="s">
        <v>141</v>
      </c>
      <c r="C34" s="145">
        <f>'Tarifas Ped.'!AF57</f>
        <v>7.8104999379462496</v>
      </c>
      <c r="D34" s="3"/>
    </row>
    <row r="35" spans="2:4">
      <c r="B35" s="6" t="s">
        <v>142</v>
      </c>
      <c r="C35" s="145">
        <f>'Tarifas Ped.'!AF58</f>
        <v>7.8104999379462496</v>
      </c>
      <c r="D35" s="3"/>
    </row>
    <row r="36" spans="2:4">
      <c r="B36" s="6" t="s">
        <v>143</v>
      </c>
      <c r="C36" s="145">
        <f>'Tarifas Ped.'!AF59</f>
        <v>5.5789285271044644</v>
      </c>
      <c r="D36" s="3"/>
    </row>
    <row r="37" spans="2:4">
      <c r="B37" s="6" t="s">
        <v>144</v>
      </c>
      <c r="C37" s="145">
        <f>'Tarifas Ped.'!AF60</f>
        <v>7.8104999379462496</v>
      </c>
      <c r="D37" s="3"/>
    </row>
    <row r="38" spans="2:4">
      <c r="B38" s="6" t="s">
        <v>145</v>
      </c>
      <c r="C38" s="135">
        <v>0.25</v>
      </c>
      <c r="D38" s="3"/>
    </row>
    <row r="39" spans="2:4">
      <c r="B39" s="35" t="s">
        <v>146</v>
      </c>
      <c r="C39" s="140" t="s">
        <v>147</v>
      </c>
      <c r="D39" s="3"/>
    </row>
    <row r="40" spans="2:4">
      <c r="B40" s="35" t="s">
        <v>148</v>
      </c>
      <c r="C40" s="207" t="str" cm="1">
        <f t="array" ref="C40">_xlfn.IFS(C187=FALSE,"Base",C187=TRUE,"Otimista")</f>
        <v>Base</v>
      </c>
      <c r="D40" s="37"/>
    </row>
    <row r="41" spans="2:4">
      <c r="B41" s="6" t="s">
        <v>149</v>
      </c>
      <c r="C41" s="364">
        <v>0.10199999999999999</v>
      </c>
    </row>
    <row r="42" spans="2:4">
      <c r="B42" s="35" t="s">
        <v>150</v>
      </c>
      <c r="C42" s="206">
        <f ca="1">IRR(DFC!C13:AF13)</f>
        <v>0.11240000000000006</v>
      </c>
    </row>
    <row r="43" spans="2:4">
      <c r="B43" s="35" t="s">
        <v>151</v>
      </c>
      <c r="C43" s="122">
        <f ca="1">MATCH(FALSE,_xlfn.ANCHORARRAY(DFC!C30),1) + 1</f>
        <v>13</v>
      </c>
    </row>
    <row r="44" spans="2:4">
      <c r="B44" s="6" t="s">
        <v>152</v>
      </c>
      <c r="C44" s="141">
        <f ca="1">IRR(DFC!C17:AF17)</f>
        <v>0.12648387866481992</v>
      </c>
      <c r="D44" s="307"/>
    </row>
    <row r="45" spans="2:4">
      <c r="B45" s="6" t="s">
        <v>153</v>
      </c>
      <c r="C45" s="145">
        <f ca="1">DFC!C14</f>
        <v>-118532213.4148611</v>
      </c>
    </row>
    <row r="46" spans="2:4">
      <c r="B46" s="6" t="s">
        <v>154</v>
      </c>
      <c r="C46" s="145">
        <f ca="1">MIN(DFC!C14:AF14)</f>
        <v>-405928460.45406997</v>
      </c>
    </row>
    <row r="47" spans="2:4">
      <c r="B47" s="6" t="s">
        <v>155</v>
      </c>
      <c r="C47" s="145">
        <f ca="1">C46*30%</f>
        <v>-121778538.13622099</v>
      </c>
    </row>
    <row r="48" spans="2:4">
      <c r="B48" s="6" t="s">
        <v>156</v>
      </c>
      <c r="C48" s="145">
        <f ca="1">ABS(MIN(C45,C47))</f>
        <v>121778538.13622099</v>
      </c>
      <c r="D48" s="3"/>
    </row>
    <row r="49" spans="2:4">
      <c r="B49" s="6" t="s">
        <v>157</v>
      </c>
      <c r="C49" s="145">
        <f ca="1">MAX('Receitas Tarifárias'!E399:AH399)</f>
        <v>40356111.820851535</v>
      </c>
    </row>
    <row r="50" spans="2:4">
      <c r="B50" s="6" t="s">
        <v>158</v>
      </c>
      <c r="C50" s="145">
        <f ca="1">C49/2</f>
        <v>20178055.910425767</v>
      </c>
    </row>
    <row r="51" spans="2:4">
      <c r="B51" s="6" t="s">
        <v>159</v>
      </c>
      <c r="C51" s="145">
        <f ca="1">NPV(C7,'Receitas Tarifárias'!D462:AG462)</f>
        <v>1575888804.5751321</v>
      </c>
    </row>
    <row r="52" spans="2:4">
      <c r="B52" s="6" t="s">
        <v>160</v>
      </c>
      <c r="C52" s="145">
        <f>Capex!AP734</f>
        <v>3414806168.8069701</v>
      </c>
    </row>
    <row r="53" spans="2:4">
      <c r="B53" s="6" t="s">
        <v>161</v>
      </c>
      <c r="C53" s="145">
        <f>SUM('Capex - Cenário Escolhido'!I420:AL420)</f>
        <v>3815118566.388299</v>
      </c>
    </row>
    <row r="54" spans="2:4">
      <c r="B54" s="17" t="s">
        <v>162</v>
      </c>
      <c r="C54" s="144">
        <f>SUM(Capex!L421:AO421)</f>
        <v>3690156578.2233462</v>
      </c>
    </row>
    <row r="55" spans="2:4">
      <c r="B55" s="17" t="s">
        <v>163</v>
      </c>
      <c r="C55" s="144">
        <f>SUM(Opex!F76:AI76)</f>
        <v>1456192809.5600393</v>
      </c>
    </row>
    <row r="56" spans="2:4">
      <c r="B56" s="36" t="s">
        <v>164</v>
      </c>
      <c r="C56" s="184">
        <f ca="1">SUM(_xlfn.ANCHORARRAY(Opex!E98))</f>
        <v>1885196347.7114058</v>
      </c>
    </row>
    <row r="57" spans="2:4">
      <c r="B57" s="36" t="s">
        <v>165</v>
      </c>
      <c r="C57" s="511">
        <f>C53+C55</f>
        <v>5271311375.9483385</v>
      </c>
    </row>
    <row r="58" spans="2:4">
      <c r="B58" s="6" t="s">
        <v>166</v>
      </c>
      <c r="C58" s="526">
        <f ca="1">NPV(C7,_xlfn.ANCHORARRAY(Opex!E98))</f>
        <v>511824228.16604298</v>
      </c>
    </row>
    <row r="59" spans="2:4">
      <c r="B59" s="6" t="s">
        <v>167</v>
      </c>
      <c r="C59" s="390">
        <f ca="1">C24/C58</f>
        <v>0.77455251119747082</v>
      </c>
    </row>
    <row r="60" spans="2:4">
      <c r="B60" s="6" t="s">
        <v>168</v>
      </c>
      <c r="C60" s="526">
        <f ca="1">NPV(C7,_xlfn.ANCHORARRAY(Opex!E113))</f>
        <v>2746603294.0839205</v>
      </c>
      <c r="D60" s="3"/>
    </row>
    <row r="61" spans="2:4">
      <c r="B61" s="510" t="s">
        <v>169</v>
      </c>
      <c r="C61" s="185">
        <f>SUMIF(Capex!G5:G420,"Desapropriações",Capex!AP5:AP420) + SUMIF(Capex!G5:G420,"Desocupação",Capex!AP5:AP420)</f>
        <v>158533156.50101095</v>
      </c>
    </row>
    <row r="62" spans="2:4">
      <c r="B62" s="6" t="s">
        <v>170</v>
      </c>
      <c r="C62" s="141">
        <f ca="1">SUM(_xlfn.ANCHORARRAY('DRE Real'!E18)) / SUM(_xlfn.ANCHORARRAY('DRE Real'!E6)) * -1</f>
        <v>4.368544939388673E-2</v>
      </c>
    </row>
    <row r="63" spans="2:4">
      <c r="B63" s="36" t="s">
        <v>171</v>
      </c>
      <c r="C63" s="195">
        <f>1 - C54/C53</f>
        <v>3.2754417979531381E-2</v>
      </c>
    </row>
    <row r="64" spans="2:4">
      <c r="B64" s="36" t="s">
        <v>172</v>
      </c>
      <c r="C64" s="515">
        <f ca="1">AVERAGE(Tráfego!D298:D301)</f>
        <v>10185.367382400142</v>
      </c>
    </row>
    <row r="65" spans="2:5">
      <c r="B65" s="6" t="s">
        <v>173</v>
      </c>
      <c r="C65" s="313">
        <f ca="1">C64*50%</f>
        <v>5092.6836912000708</v>
      </c>
    </row>
    <row r="66" spans="2:5">
      <c r="C66" s="427"/>
    </row>
    <row r="67" spans="2:5">
      <c r="B67" s="2" t="s">
        <v>174</v>
      </c>
    </row>
    <row r="68" spans="2:5" ht="25.5">
      <c r="B68" s="14" t="s">
        <v>105</v>
      </c>
      <c r="C68" s="552" t="s">
        <v>175</v>
      </c>
      <c r="D68" s="173" t="s">
        <v>176</v>
      </c>
      <c r="E68" s="238"/>
    </row>
    <row r="69" spans="2:5">
      <c r="B69" s="209">
        <v>1</v>
      </c>
      <c r="C69" s="223">
        <v>12</v>
      </c>
      <c r="D69" s="149" cm="1">
        <f t="array" ref="D69:D72">C69:C72 + C176</f>
        <v>15</v>
      </c>
      <c r="E69" s="239"/>
    </row>
    <row r="70" spans="2:5">
      <c r="B70" s="209">
        <v>2</v>
      </c>
      <c r="C70" s="223">
        <v>12</v>
      </c>
      <c r="D70" s="149">
        <v>15</v>
      </c>
      <c r="E70" s="239"/>
    </row>
    <row r="71" spans="2:5">
      <c r="B71" s="212">
        <v>3</v>
      </c>
      <c r="C71" s="224">
        <v>12</v>
      </c>
      <c r="D71" s="149">
        <v>15</v>
      </c>
      <c r="E71" s="239"/>
    </row>
    <row r="72" spans="2:5">
      <c r="B72" s="209">
        <v>4</v>
      </c>
      <c r="C72" s="223">
        <v>12</v>
      </c>
      <c r="D72" s="149">
        <v>15</v>
      </c>
      <c r="E72" s="239"/>
    </row>
    <row r="75" spans="2:5">
      <c r="B75" s="2" t="s">
        <v>177</v>
      </c>
    </row>
    <row r="76" spans="2:5">
      <c r="B76" s="171" t="str" cm="1">
        <f t="array" ref="B76:B80">$B$68:$B$72</f>
        <v>Pórtico</v>
      </c>
      <c r="C76" s="10" t="s">
        <v>178</v>
      </c>
    </row>
    <row r="77" spans="2:5">
      <c r="B77" s="149">
        <v>1</v>
      </c>
      <c r="C77" s="363">
        <f>400/G$88</f>
        <v>2.1041557075223563</v>
      </c>
    </row>
    <row r="78" spans="2:5">
      <c r="B78" s="149">
        <v>2</v>
      </c>
      <c r="C78" s="363">
        <f>400/G$88</f>
        <v>2.1041557075223563</v>
      </c>
    </row>
    <row r="79" spans="2:5">
      <c r="B79" s="149">
        <v>3</v>
      </c>
      <c r="C79" s="363">
        <f>400/G$88</f>
        <v>2.1041557075223563</v>
      </c>
    </row>
    <row r="80" spans="2:5">
      <c r="B80" s="149">
        <v>4</v>
      </c>
      <c r="C80" s="363">
        <f>400/G$88</f>
        <v>2.1041557075223563</v>
      </c>
    </row>
    <row r="81" spans="2:10">
      <c r="F81" s="40"/>
      <c r="G81" s="40"/>
    </row>
    <row r="82" spans="2:10">
      <c r="B82" s="2" t="s">
        <v>179</v>
      </c>
    </row>
    <row r="83" spans="2:10">
      <c r="B83" s="10" t="s">
        <v>180</v>
      </c>
      <c r="C83" s="171" t="str" cm="1">
        <f t="array" ref="C83:C87">$B$68:$B$72</f>
        <v>Pórtico</v>
      </c>
      <c r="D83" s="10" t="s">
        <v>181</v>
      </c>
      <c r="E83" s="10" t="s">
        <v>182</v>
      </c>
      <c r="F83" s="10" t="s">
        <v>183</v>
      </c>
      <c r="G83" s="38" t="s">
        <v>184</v>
      </c>
      <c r="H83" s="10" t="s">
        <v>185</v>
      </c>
      <c r="I83" s="178" t="s">
        <v>186</v>
      </c>
    </row>
    <row r="84" spans="2:10">
      <c r="B84" s="12" t="s">
        <v>187</v>
      </c>
      <c r="C84" s="149">
        <v>1</v>
      </c>
      <c r="D84" s="378">
        <f>27800/1000</f>
        <v>27.8</v>
      </c>
      <c r="E84" s="379">
        <v>43.05</v>
      </c>
      <c r="F84" s="229">
        <f>D84+G84</f>
        <v>66</v>
      </c>
      <c r="G84" s="203">
        <f>SUMIF('Receitas Tarifárias'!B$403:B$416,'Painel Controle'!C84,'Receitas Tarifárias'!E$403:E$416)</f>
        <v>38.200000000000003</v>
      </c>
      <c r="H84" s="203">
        <f>C$28/C77</f>
        <v>5.5789285271044644</v>
      </c>
      <c r="I84" s="149" cm="1">
        <f t="array" ref="I84">IFERROR(_xlfn._xlws.FILTER('Tarifas Ped.'!B$22:B$51,'Tarifas Ped.'!C$22:C$51 &gt; 0),"-")</f>
        <v>5</v>
      </c>
    </row>
    <row r="85" spans="2:10">
      <c r="B85" s="12" t="s">
        <v>188</v>
      </c>
      <c r="C85" s="149">
        <v>2</v>
      </c>
      <c r="D85" s="229">
        <f>F84</f>
        <v>66</v>
      </c>
      <c r="E85" s="379">
        <v>62.6</v>
      </c>
      <c r="F85" s="229">
        <f>D85+G85</f>
        <v>111.1</v>
      </c>
      <c r="G85" s="203">
        <f>SUMIF('Receitas Tarifárias'!B$403:B$416,'Painel Controle'!C85,'Receitas Tarifárias'!E$403:E$416)</f>
        <v>45.099999999999994</v>
      </c>
      <c r="H85" s="203">
        <f>C$28/C78</f>
        <v>5.5789285271044644</v>
      </c>
      <c r="I85" s="149" cm="1">
        <f t="array" ref="I85">IFERROR(_xlfn._xlws.FILTER('Tarifas Ped.'!B$22:B$51,'Tarifas Ped.'!D$22:D$51 &gt; 0),"-")</f>
        <v>7</v>
      </c>
    </row>
    <row r="86" spans="2:10">
      <c r="B86" s="12" t="s">
        <v>189</v>
      </c>
      <c r="C86" s="149">
        <v>3</v>
      </c>
      <c r="D86" s="378">
        <v>0</v>
      </c>
      <c r="E86" s="379">
        <v>30.3</v>
      </c>
      <c r="F86" s="229">
        <f>D86+G86</f>
        <v>72.800000000000011</v>
      </c>
      <c r="G86" s="203">
        <f>SUMIF('Receitas Tarifárias'!B$403:B$416,'Painel Controle'!C86,'Receitas Tarifárias'!E$403:E$416)</f>
        <v>72.800000000000011</v>
      </c>
      <c r="H86" s="203">
        <f>C$28/C79</f>
        <v>5.5789285271044644</v>
      </c>
      <c r="I86" s="149" t="str" cm="1">
        <f t="array" ref="I86">IFERROR(_xlfn._xlws.FILTER('Tarifas Ped.'!B$22:B$51,'Tarifas Ped.'!E$22:E$51 &gt; 0),"-")</f>
        <v>-</v>
      </c>
    </row>
    <row r="87" spans="2:10">
      <c r="B87" s="12" t="s">
        <v>190</v>
      </c>
      <c r="C87" s="149">
        <v>4</v>
      </c>
      <c r="D87" s="378">
        <f>100500/1000</f>
        <v>100.5</v>
      </c>
      <c r="E87" s="379">
        <v>125.4</v>
      </c>
      <c r="F87" s="229">
        <f>D87+G87</f>
        <v>134.5</v>
      </c>
      <c r="G87" s="203">
        <f>SUMIF('Receitas Tarifárias'!B$403:B$416,'Painel Controle'!C87,'Receitas Tarifárias'!E$403:E$416)</f>
        <v>34</v>
      </c>
      <c r="H87" s="203">
        <f>C$28/C80</f>
        <v>5.5789285271044644</v>
      </c>
      <c r="I87" s="149" cm="1">
        <f t="array" ref="I87">IFERROR(_xlfn._xlws.FILTER('Tarifas Ped.'!B$22:B$51,'Tarifas Ped.'!F$22:F$51 &gt; 0),"-")</f>
        <v>16</v>
      </c>
    </row>
    <row r="88" spans="2:10">
      <c r="B88" s="10" t="s">
        <v>191</v>
      </c>
      <c r="C88" s="10"/>
      <c r="D88" s="380"/>
      <c r="E88" s="380"/>
      <c r="F88" s="380"/>
      <c r="G88" s="346">
        <f>SUM(G84:G87)</f>
        <v>190.10000000000002</v>
      </c>
      <c r="H88" s="346">
        <f>SUM(H84:H87)</f>
        <v>22.315714108417858</v>
      </c>
      <c r="I88" s="6"/>
    </row>
    <row r="90" spans="2:10">
      <c r="B90" s="2" t="s">
        <v>192</v>
      </c>
      <c r="E90" s="40"/>
    </row>
    <row r="91" spans="2:10">
      <c r="B91" s="598"/>
      <c r="C91" s="598"/>
      <c r="D91" s="598"/>
      <c r="E91" s="598"/>
      <c r="F91" s="599" t="s">
        <v>193</v>
      </c>
      <c r="G91" s="600"/>
      <c r="H91" s="600"/>
      <c r="I91" s="600"/>
    </row>
    <row r="92" spans="2:10">
      <c r="B92" s="547" t="s">
        <v>194</v>
      </c>
      <c r="C92" s="337" t="s">
        <v>195</v>
      </c>
      <c r="D92" s="337" t="s">
        <v>196</v>
      </c>
      <c r="E92" s="337" t="s">
        <v>197</v>
      </c>
      <c r="F92" s="337" t="s">
        <v>198</v>
      </c>
      <c r="G92" s="171" cm="1">
        <f t="array" ref="G92:J92">TRANSPOSE(B69:B72)</f>
        <v>1</v>
      </c>
      <c r="H92" s="171">
        <v>2</v>
      </c>
      <c r="I92" s="171">
        <v>3</v>
      </c>
      <c r="J92" s="171">
        <v>4</v>
      </c>
    </row>
    <row r="93" spans="2:10">
      <c r="B93" s="345">
        <v>1</v>
      </c>
      <c r="C93" s="546">
        <v>1</v>
      </c>
      <c r="D93" s="35" t="s">
        <v>199</v>
      </c>
      <c r="E93" s="35" t="s">
        <v>200</v>
      </c>
      <c r="F93" s="312">
        <v>1</v>
      </c>
      <c r="G93" s="352">
        <v>0.71602866219921302</v>
      </c>
      <c r="H93" s="352">
        <v>0.74747048211952904</v>
      </c>
      <c r="I93" s="352">
        <v>0.73355097940733294</v>
      </c>
      <c r="J93" s="352">
        <v>0.73783906652523101</v>
      </c>
    </row>
    <row r="94" spans="2:10">
      <c r="B94" s="345" t="s">
        <v>201</v>
      </c>
      <c r="C94" s="488">
        <v>2</v>
      </c>
      <c r="D94" s="6" t="s">
        <v>202</v>
      </c>
      <c r="E94" s="6" t="s">
        <v>200</v>
      </c>
      <c r="F94" s="311">
        <v>1.5</v>
      </c>
      <c r="G94" s="132">
        <v>1.8814566949679021E-3</v>
      </c>
      <c r="H94" s="132">
        <v>2.530637769114585E-3</v>
      </c>
      <c r="I94" s="132">
        <v>5.5248618784530393E-3</v>
      </c>
      <c r="J94" s="132">
        <v>4.5461433550537953E-3</v>
      </c>
    </row>
    <row r="95" spans="2:10">
      <c r="B95" s="345">
        <v>2</v>
      </c>
      <c r="C95" s="488">
        <v>3</v>
      </c>
      <c r="D95" s="6" t="s">
        <v>203</v>
      </c>
      <c r="E95" s="6" t="s">
        <v>204</v>
      </c>
      <c r="F95" s="311">
        <v>2</v>
      </c>
      <c r="G95" s="132">
        <v>9.9224449962209693E-2</v>
      </c>
      <c r="H95" s="132">
        <v>7.7781138906953873E-2</v>
      </c>
      <c r="I95" s="132">
        <v>8.5133098945253657E-2</v>
      </c>
      <c r="J95" s="132">
        <v>8.4255190180330342E-2</v>
      </c>
    </row>
    <row r="96" spans="2:10">
      <c r="B96" s="345">
        <v>4</v>
      </c>
      <c r="C96" s="488">
        <v>4</v>
      </c>
      <c r="D96" s="6" t="s">
        <v>205</v>
      </c>
      <c r="E96" s="6" t="s">
        <v>204</v>
      </c>
      <c r="F96" s="311">
        <v>3</v>
      </c>
      <c r="G96" s="132">
        <v>2.8157277876068559E-2</v>
      </c>
      <c r="H96" s="132">
        <v>2.4492152518411043E-2</v>
      </c>
      <c r="I96" s="132">
        <v>3.9427423405323958E-2</v>
      </c>
      <c r="J96" s="132">
        <v>2.9246855584179415E-2</v>
      </c>
    </row>
    <row r="97" spans="2:10">
      <c r="B97" s="345">
        <v>6</v>
      </c>
      <c r="C97" s="488">
        <v>5</v>
      </c>
      <c r="D97" s="6" t="s">
        <v>206</v>
      </c>
      <c r="E97" s="6" t="s">
        <v>204</v>
      </c>
      <c r="F97" s="311">
        <v>4</v>
      </c>
      <c r="G97" s="132">
        <v>1.4003752560704309E-2</v>
      </c>
      <c r="H97" s="132">
        <v>8.2382694834655327E-3</v>
      </c>
      <c r="I97" s="132">
        <v>1.0045203415369162E-2</v>
      </c>
      <c r="J97" s="132">
        <v>8.7892104864373388E-3</v>
      </c>
    </row>
    <row r="98" spans="2:10">
      <c r="B98" s="345">
        <v>7</v>
      </c>
      <c r="C98" s="488">
        <v>6</v>
      </c>
      <c r="D98" s="6" t="s">
        <v>207</v>
      </c>
      <c r="E98" s="6" t="s">
        <v>208</v>
      </c>
      <c r="F98" s="311">
        <v>5</v>
      </c>
      <c r="G98" s="132">
        <v>3.7443188664984788E-3</v>
      </c>
      <c r="H98" s="132">
        <v>7.4960830435136837E-3</v>
      </c>
      <c r="I98" s="132">
        <v>3.0135610246107484E-3</v>
      </c>
      <c r="J98" s="132">
        <v>1.5153811183512653E-3</v>
      </c>
    </row>
    <row r="99" spans="2:10">
      <c r="B99" s="345">
        <v>8</v>
      </c>
      <c r="C99" s="488">
        <v>7</v>
      </c>
      <c r="D99" s="6" t="s">
        <v>209</v>
      </c>
      <c r="E99" s="6" t="s">
        <v>208</v>
      </c>
      <c r="F99" s="311">
        <v>6</v>
      </c>
      <c r="G99" s="132">
        <v>9.7651836038280329E-2</v>
      </c>
      <c r="H99" s="132">
        <v>6.9320213491502775E-2</v>
      </c>
      <c r="I99" s="132">
        <v>2.3606228026117528E-2</v>
      </c>
      <c r="J99" s="132">
        <v>1.1213820275799362E-2</v>
      </c>
    </row>
    <row r="100" spans="2:10">
      <c r="B100" s="345">
        <v>9</v>
      </c>
      <c r="C100" s="488">
        <v>8</v>
      </c>
      <c r="D100" s="6" t="s">
        <v>210</v>
      </c>
      <c r="E100" s="6" t="s">
        <v>208</v>
      </c>
      <c r="F100" s="311">
        <v>7</v>
      </c>
      <c r="G100" s="132">
        <v>5.7662510544076572E-3</v>
      </c>
      <c r="H100" s="132">
        <v>2.5234338958362895E-3</v>
      </c>
      <c r="I100" s="132">
        <v>6.2782521346057257E-3</v>
      </c>
      <c r="J100" s="132">
        <v>5.9099863615699345E-3</v>
      </c>
    </row>
    <row r="101" spans="2:10">
      <c r="B101" s="345">
        <v>10</v>
      </c>
      <c r="C101" s="488">
        <v>9</v>
      </c>
      <c r="D101" s="6" t="s">
        <v>211</v>
      </c>
      <c r="E101" s="6" t="s">
        <v>208</v>
      </c>
      <c r="F101" s="311">
        <v>8</v>
      </c>
      <c r="G101" s="132">
        <v>0</v>
      </c>
      <c r="H101" s="132">
        <v>0</v>
      </c>
      <c r="I101" s="132">
        <v>0</v>
      </c>
      <c r="J101" s="132">
        <v>0</v>
      </c>
    </row>
    <row r="102" spans="2:10">
      <c r="B102" s="345">
        <v>11</v>
      </c>
      <c r="C102" s="488">
        <v>10</v>
      </c>
      <c r="D102" s="6" t="s">
        <v>212</v>
      </c>
      <c r="E102" s="6" t="s">
        <v>208</v>
      </c>
      <c r="F102" s="311">
        <v>9</v>
      </c>
      <c r="G102" s="132">
        <v>1.422841169269422E-3</v>
      </c>
      <c r="H102" s="132">
        <v>1.4101542359085148E-3</v>
      </c>
      <c r="I102" s="132">
        <v>3.7669512807634352E-3</v>
      </c>
      <c r="J102" s="132">
        <v>2.7276860130322775E-3</v>
      </c>
    </row>
    <row r="103" spans="2:10">
      <c r="B103" s="345">
        <v>12</v>
      </c>
      <c r="C103" s="488">
        <v>11</v>
      </c>
      <c r="D103" s="6" t="s">
        <v>213</v>
      </c>
      <c r="E103" s="6" t="s">
        <v>200</v>
      </c>
      <c r="F103" s="347">
        <v>0.5</v>
      </c>
      <c r="G103" s="132">
        <v>3.2119153578380619E-2</v>
      </c>
      <c r="H103" s="132">
        <v>5.8737434535764847E-2</v>
      </c>
      <c r="I103" s="132">
        <v>8.9653440482169763E-2</v>
      </c>
      <c r="J103" s="132">
        <v>0.11395666010001514</v>
      </c>
    </row>
    <row r="104" spans="2:10">
      <c r="B104" s="548" t="s">
        <v>73</v>
      </c>
      <c r="C104" s="10"/>
      <c r="D104" s="17"/>
      <c r="E104" s="6"/>
      <c r="F104" s="6"/>
      <c r="G104" s="205">
        <f>SUM(G93:G103)</f>
        <v>0.99999999999999989</v>
      </c>
      <c r="H104" s="205">
        <f t="shared" ref="H104:J104" si="0">SUM(H93:H103)</f>
        <v>1</v>
      </c>
      <c r="I104" s="205">
        <f t="shared" si="0"/>
        <v>0.99999999999999989</v>
      </c>
      <c r="J104" s="205">
        <f t="shared" si="0"/>
        <v>0.99999999999999978</v>
      </c>
    </row>
    <row r="105" spans="2:10">
      <c r="B105" s="382" t="s">
        <v>214</v>
      </c>
      <c r="C105" s="2"/>
      <c r="F105" s="349"/>
      <c r="G105" s="349"/>
      <c r="H105" s="349"/>
      <c r="I105" s="349"/>
    </row>
    <row r="106" spans="2:10">
      <c r="B106" s="348"/>
      <c r="C106" s="2"/>
      <c r="F106" s="349"/>
      <c r="G106" s="349"/>
      <c r="H106" s="349"/>
      <c r="I106" s="349"/>
    </row>
    <row r="107" spans="2:10">
      <c r="B107" s="2" t="s">
        <v>215</v>
      </c>
    </row>
    <row r="108" spans="2:10">
      <c r="B108" s="598"/>
      <c r="C108" s="598"/>
      <c r="D108" s="598"/>
      <c r="E108" s="598"/>
      <c r="F108" s="599" t="s">
        <v>193</v>
      </c>
      <c r="G108" s="600"/>
      <c r="H108" s="600"/>
      <c r="I108" s="600"/>
    </row>
    <row r="109" spans="2:10">
      <c r="B109" s="350" t="str" cm="1">
        <f t="array" ref="B109:E120">C92:F103</f>
        <v>Categoria (MEF)</v>
      </c>
      <c r="C109" s="350" t="str">
        <v>Categoria de Veículo</v>
      </c>
      <c r="D109" s="350" t="str">
        <v>Grupo</v>
      </c>
      <c r="E109" s="350" t="str">
        <v>Multiplicador de Tarifa (Eixos Equivalentes)</v>
      </c>
      <c r="F109" s="171" cm="1">
        <f t="array" ref="F109:I109">TRANSPOSE(B69:B72)</f>
        <v>1</v>
      </c>
      <c r="G109" s="171">
        <v>2</v>
      </c>
      <c r="H109" s="171">
        <v>3</v>
      </c>
      <c r="I109" s="171">
        <v>4</v>
      </c>
    </row>
    <row r="110" spans="2:10">
      <c r="B110" s="549">
        <v>1</v>
      </c>
      <c r="C110" s="351" t="str">
        <v>Automóvel</v>
      </c>
      <c r="D110" s="351" t="str">
        <v>Leves</v>
      </c>
      <c r="E110" s="512">
        <v>1</v>
      </c>
      <c r="F110" s="242" cm="1">
        <f t="array" ref="F110:I110">G93:J93</f>
        <v>0.71602866219921302</v>
      </c>
      <c r="G110" s="242">
        <v>0.74747048211952904</v>
      </c>
      <c r="H110" s="242">
        <v>0.73355097940733294</v>
      </c>
      <c r="I110" s="242">
        <v>0.73783906652523101</v>
      </c>
    </row>
    <row r="111" spans="2:10">
      <c r="B111" s="149">
        <v>2</v>
      </c>
      <c r="C111" s="122" t="str">
        <v xml:space="preserve">Automóvel com reboque </v>
      </c>
      <c r="D111" s="122" t="str">
        <v>Leves</v>
      </c>
      <c r="E111" s="513">
        <v>1.5</v>
      </c>
      <c r="F111" s="242" cm="1">
        <f t="array" ref="F111:I111">G94:J94</f>
        <v>1.8814566949679021E-3</v>
      </c>
      <c r="G111" s="110">
        <v>2.530637769114585E-3</v>
      </c>
      <c r="H111" s="110">
        <v>5.5248618784530393E-3</v>
      </c>
      <c r="I111" s="110">
        <v>4.5461433550537953E-3</v>
      </c>
    </row>
    <row r="112" spans="2:10">
      <c r="B112" s="149">
        <v>3</v>
      </c>
      <c r="C112" s="122" t="str">
        <v>Veículos Comerciais com 2 Eixos</v>
      </c>
      <c r="D112" s="122" t="str">
        <v>Pesados I</v>
      </c>
      <c r="E112" s="513">
        <v>2</v>
      </c>
      <c r="F112" s="242" cm="1">
        <f t="array" aca="1" ref="F112:I112" ca="1">G95:J95 - TRANSPOSE('Transp. púb. interm. e metrop.'!C65:C68)</f>
        <v>9.7695837775818445E-2</v>
      </c>
      <c r="G112" s="110">
        <f ca="1"/>
        <v>7.7781138906953873E-2</v>
      </c>
      <c r="H112" s="110">
        <f ca="1"/>
        <v>8.4005348847084077E-2</v>
      </c>
      <c r="I112" s="110">
        <f ca="1"/>
        <v>8.3926533655471675E-2</v>
      </c>
    </row>
    <row r="113" spans="2:9">
      <c r="B113" s="149">
        <v>4</v>
      </c>
      <c r="C113" s="122" t="str">
        <v>Veículos Comerciais com 3 Eixos</v>
      </c>
      <c r="D113" s="122" t="str">
        <v>Pesados I</v>
      </c>
      <c r="E113" s="513">
        <v>3</v>
      </c>
      <c r="F113" s="242" cm="1">
        <f t="array" aca="1" ref="F113:I113" ca="1">G96:J96 - TRANSPOSE('Transp. púb. interm. e metrop.'!D65:D68)</f>
        <v>2.6708035937816853E-2</v>
      </c>
      <c r="G113" s="110">
        <f ca="1"/>
        <v>2.1288353763833933E-2</v>
      </c>
      <c r="H113" s="110">
        <f ca="1"/>
        <v>3.8853936849720674E-2</v>
      </c>
      <c r="I113" s="110">
        <f ca="1"/>
        <v>2.9171457910829486E-2</v>
      </c>
    </row>
    <row r="114" spans="2:9">
      <c r="B114" s="149">
        <v>5</v>
      </c>
      <c r="C114" s="122" t="str">
        <v>Veículos Comerciais com 4 Eixos</v>
      </c>
      <c r="D114" s="122" t="str">
        <v>Pesados I</v>
      </c>
      <c r="E114" s="513">
        <v>4</v>
      </c>
      <c r="F114" s="242" cm="1">
        <f t="array" ref="F114:I114">G97:J97</f>
        <v>1.4003752560704309E-2</v>
      </c>
      <c r="G114" s="110">
        <v>8.2382694834655327E-3</v>
      </c>
      <c r="H114" s="110">
        <v>1.0045203415369162E-2</v>
      </c>
      <c r="I114" s="110">
        <v>8.7892104864373388E-3</v>
      </c>
    </row>
    <row r="115" spans="2:9">
      <c r="B115" s="149">
        <v>6</v>
      </c>
      <c r="C115" s="122" t="str">
        <v>Veículos Comerciais com 5 Eixos Articulado</v>
      </c>
      <c r="D115" s="122" t="str">
        <v>Pesados II</v>
      </c>
      <c r="E115" s="513">
        <v>5</v>
      </c>
      <c r="F115" s="242" cm="1">
        <f t="array" ref="F115:I115">G98:J98</f>
        <v>3.7443188664984788E-3</v>
      </c>
      <c r="G115" s="110">
        <v>7.4960830435136837E-3</v>
      </c>
      <c r="H115" s="110">
        <v>3.0135610246107484E-3</v>
      </c>
      <c r="I115" s="110">
        <v>1.5153811183512653E-3</v>
      </c>
    </row>
    <row r="116" spans="2:9">
      <c r="B116" s="149">
        <v>7</v>
      </c>
      <c r="C116" s="122" t="str">
        <v>Veículos Comerciais com 6 Eixos Articulado</v>
      </c>
      <c r="D116" s="122" t="str">
        <v>Pesados II</v>
      </c>
      <c r="E116" s="513">
        <v>6</v>
      </c>
      <c r="F116" s="242" cm="1">
        <f t="array" ref="F116:I116">G99:J99</f>
        <v>9.7651836038280329E-2</v>
      </c>
      <c r="G116" s="110">
        <v>6.9320213491502775E-2</v>
      </c>
      <c r="H116" s="110">
        <v>2.3606228026117528E-2</v>
      </c>
      <c r="I116" s="110">
        <v>1.1213820275799362E-2</v>
      </c>
    </row>
    <row r="117" spans="2:9">
      <c r="B117" s="149">
        <v>8</v>
      </c>
      <c r="C117" s="122" t="str">
        <v>Veículos Comerciais com 7 Eixos Articulado</v>
      </c>
      <c r="D117" s="122" t="str">
        <v>Pesados II</v>
      </c>
      <c r="E117" s="513">
        <v>7</v>
      </c>
      <c r="F117" s="242" cm="1">
        <f t="array" ref="F117:I117">G100:J100</f>
        <v>5.7662510544076572E-3</v>
      </c>
      <c r="G117" s="110">
        <v>2.5234338958362895E-3</v>
      </c>
      <c r="H117" s="110">
        <v>6.2782521346057257E-3</v>
      </c>
      <c r="I117" s="110">
        <v>5.9099863615699345E-3</v>
      </c>
    </row>
    <row r="118" spans="2:9">
      <c r="B118" s="149">
        <v>9</v>
      </c>
      <c r="C118" s="122" t="str">
        <v>Veículos Comerciais com 8 Eixos Articulado</v>
      </c>
      <c r="D118" s="122" t="str">
        <v>Pesados II</v>
      </c>
      <c r="E118" s="513">
        <v>8</v>
      </c>
      <c r="F118" s="242" cm="1">
        <f t="array" ref="F118:I118">G101:J101</f>
        <v>0</v>
      </c>
      <c r="G118" s="110">
        <v>0</v>
      </c>
      <c r="H118" s="110">
        <v>0</v>
      </c>
      <c r="I118" s="110">
        <v>0</v>
      </c>
    </row>
    <row r="119" spans="2:9">
      <c r="B119" s="149">
        <v>10</v>
      </c>
      <c r="C119" s="122" t="str">
        <v>Veículos Comerciais com 9 Eixos Articulado</v>
      </c>
      <c r="D119" s="122" t="str">
        <v>Pesados II</v>
      </c>
      <c r="E119" s="513">
        <v>9</v>
      </c>
      <c r="F119" s="242" cm="1">
        <f t="array" ref="F119:I119">G102:J102</f>
        <v>1.422841169269422E-3</v>
      </c>
      <c r="G119" s="110">
        <v>1.4101542359085148E-3</v>
      </c>
      <c r="H119" s="110">
        <v>3.7669512807634352E-3</v>
      </c>
      <c r="I119" s="110">
        <v>2.7276860130322775E-3</v>
      </c>
    </row>
    <row r="120" spans="2:9">
      <c r="B120" s="149">
        <v>11</v>
      </c>
      <c r="C120" s="122" t="str">
        <v>Motocicleta</v>
      </c>
      <c r="D120" s="122" t="str">
        <v>Leves</v>
      </c>
      <c r="E120" s="513">
        <v>0.5</v>
      </c>
      <c r="F120" s="242" cm="1">
        <f t="array" ref="F120:I120">G103:J103</f>
        <v>3.2119153578380619E-2</v>
      </c>
      <c r="G120" s="110">
        <v>5.8737434535764847E-2</v>
      </c>
      <c r="H120" s="110">
        <v>8.9653440482169763E-2</v>
      </c>
      <c r="I120" s="110">
        <v>0.11395666010001514</v>
      </c>
    </row>
    <row r="121" spans="2:9">
      <c r="B121" s="149">
        <f>B120+1</f>
        <v>12</v>
      </c>
      <c r="C121" s="146" t="s">
        <v>216</v>
      </c>
      <c r="D121" s="146" t="s">
        <v>204</v>
      </c>
      <c r="E121" s="514">
        <v>0</v>
      </c>
      <c r="F121" s="110" cm="1">
        <f t="array" aca="1" ref="F121:I121" ca="1">TRANSPOSE('Transp. púb. interm. e metrop.'!E65:E68)</f>
        <v>2.9778541246429603E-3</v>
      </c>
      <c r="G121" s="110">
        <f ca="1"/>
        <v>3.2037987545771103E-3</v>
      </c>
      <c r="H121" s="110">
        <f ca="1"/>
        <v>1.7012366537728697E-3</v>
      </c>
      <c r="I121" s="110">
        <f ca="1"/>
        <v>4.0405419820860414E-4</v>
      </c>
    </row>
    <row r="122" spans="2:9">
      <c r="B122" s="10" t="s">
        <v>73</v>
      </c>
      <c r="C122" s="17"/>
      <c r="D122" s="6"/>
      <c r="E122" s="6"/>
      <c r="F122" s="205">
        <f ca="1">SUM(F110:F121)</f>
        <v>0.99999999999999989</v>
      </c>
      <c r="G122" s="205">
        <f ca="1">SUM(G110:G121)</f>
        <v>1.0000000000000002</v>
      </c>
      <c r="H122" s="205">
        <f ca="1">SUM(H110:H121)</f>
        <v>1</v>
      </c>
      <c r="I122" s="205">
        <f ca="1">SUM(I110:I121)</f>
        <v>0.99999999999999989</v>
      </c>
    </row>
    <row r="123" spans="2:9">
      <c r="B123" s="2"/>
    </row>
    <row r="124" spans="2:9">
      <c r="B124" s="2" t="s">
        <v>217</v>
      </c>
      <c r="C124" s="3"/>
    </row>
    <row r="125" spans="2:9">
      <c r="B125" s="10" t="s">
        <v>218</v>
      </c>
      <c r="C125" s="10" t="s">
        <v>219</v>
      </c>
      <c r="D125" s="10" t="s">
        <v>220</v>
      </c>
    </row>
    <row r="126" spans="2:9">
      <c r="B126" s="6" t="s">
        <v>221</v>
      </c>
      <c r="C126" s="190">
        <v>583765.72</v>
      </c>
      <c r="D126" s="6" t="s">
        <v>222</v>
      </c>
    </row>
    <row r="127" spans="2:9">
      <c r="B127" s="6" t="s">
        <v>223</v>
      </c>
      <c r="C127" s="190">
        <v>103613.06</v>
      </c>
      <c r="D127" s="6" t="s">
        <v>222</v>
      </c>
    </row>
    <row r="128" spans="2:9">
      <c r="B128" s="146" t="s">
        <v>224</v>
      </c>
      <c r="C128" s="249">
        <v>9008824.9000000004</v>
      </c>
      <c r="D128" s="146" t="s">
        <v>225</v>
      </c>
    </row>
    <row r="129" spans="2:33">
      <c r="B129" s="6" t="s">
        <v>226</v>
      </c>
      <c r="C129" s="9">
        <v>170</v>
      </c>
      <c r="D129" s="6" t="s">
        <v>227</v>
      </c>
    </row>
    <row r="130" spans="2:33">
      <c r="B130" s="146" t="s">
        <v>228</v>
      </c>
      <c r="C130" s="135">
        <v>0.02</v>
      </c>
      <c r="D130" s="146" t="s">
        <v>229</v>
      </c>
      <c r="E130" s="161"/>
    </row>
    <row r="131" spans="2:33">
      <c r="B131" s="6" t="s">
        <v>230</v>
      </c>
      <c r="C131" s="19">
        <v>2.5000000000000001E-3</v>
      </c>
      <c r="D131" s="6" t="s">
        <v>231</v>
      </c>
    </row>
    <row r="132" spans="2:33">
      <c r="B132" s="6" t="s">
        <v>232</v>
      </c>
      <c r="C132" s="19">
        <v>0.04</v>
      </c>
      <c r="D132" s="6" t="s">
        <v>233</v>
      </c>
    </row>
    <row r="133" spans="2:33">
      <c r="B133" s="6" t="s">
        <v>234</v>
      </c>
      <c r="C133" s="19">
        <v>0.02</v>
      </c>
      <c r="D133" s="6" t="s">
        <v>233</v>
      </c>
    </row>
    <row r="134" spans="2:33">
      <c r="B134" s="6" t="s">
        <v>235</v>
      </c>
      <c r="C134" s="147">
        <f ca="1">C132*C$60</f>
        <v>109864131.76335682</v>
      </c>
      <c r="D134" s="6"/>
    </row>
    <row r="135" spans="2:33">
      <c r="B135" s="6" t="s">
        <v>236</v>
      </c>
      <c r="C135" s="147">
        <f ca="1">C133*C$60</f>
        <v>54932065.88167841</v>
      </c>
      <c r="D135" s="6"/>
    </row>
    <row r="136" spans="2:33">
      <c r="B136" s="6" t="s">
        <v>237</v>
      </c>
      <c r="C136" s="135">
        <v>7.3800000000000004E-2</v>
      </c>
      <c r="D136" s="6" t="s">
        <v>238</v>
      </c>
    </row>
    <row r="137" spans="2:33">
      <c r="B137" s="6" t="s">
        <v>239</v>
      </c>
      <c r="C137" s="19">
        <v>1.5E-3</v>
      </c>
      <c r="D137" s="6" t="s">
        <v>240</v>
      </c>
    </row>
    <row r="138" spans="2:33">
      <c r="B138" s="6" t="s">
        <v>241</v>
      </c>
      <c r="C138" s="19">
        <v>1E-3</v>
      </c>
      <c r="D138" s="6" t="s">
        <v>242</v>
      </c>
    </row>
    <row r="139" spans="2:33">
      <c r="B139" s="6" t="s">
        <v>243</v>
      </c>
      <c r="C139" s="19">
        <v>2E-3</v>
      </c>
      <c r="D139" s="6" t="s">
        <v>244</v>
      </c>
    </row>
    <row r="140" spans="2:33">
      <c r="B140" s="36" t="s">
        <v>245</v>
      </c>
      <c r="C140" s="530">
        <v>5.9500000000000004E-4</v>
      </c>
      <c r="D140" s="36" t="s">
        <v>246</v>
      </c>
    </row>
    <row r="141" spans="2:33">
      <c r="B141" s="6" t="s">
        <v>247</v>
      </c>
      <c r="C141" s="19">
        <v>1.4999999999999999E-2</v>
      </c>
      <c r="D141" s="6" t="s">
        <v>248</v>
      </c>
    </row>
    <row r="143" spans="2:33">
      <c r="B143" s="2" t="s">
        <v>249</v>
      </c>
    </row>
    <row r="144" spans="2:33" hidden="1">
      <c r="C144">
        <v>0</v>
      </c>
      <c r="D144">
        <v>1</v>
      </c>
      <c r="E144">
        <v>2</v>
      </c>
      <c r="F144">
        <v>3</v>
      </c>
      <c r="G144">
        <v>4</v>
      </c>
      <c r="H144">
        <v>5</v>
      </c>
      <c r="I144">
        <v>6</v>
      </c>
      <c r="J144">
        <v>7</v>
      </c>
      <c r="K144">
        <v>8</v>
      </c>
      <c r="L144">
        <v>9</v>
      </c>
      <c r="M144">
        <v>10</v>
      </c>
      <c r="N144">
        <v>11</v>
      </c>
      <c r="O144">
        <v>12</v>
      </c>
      <c r="P144">
        <v>13</v>
      </c>
      <c r="Q144">
        <v>14</v>
      </c>
      <c r="R144">
        <v>15</v>
      </c>
      <c r="S144">
        <v>16</v>
      </c>
      <c r="T144">
        <v>17</v>
      </c>
      <c r="U144">
        <v>18</v>
      </c>
      <c r="V144">
        <v>19</v>
      </c>
      <c r="W144">
        <v>20</v>
      </c>
      <c r="X144">
        <v>21</v>
      </c>
      <c r="Y144">
        <v>22</v>
      </c>
      <c r="Z144">
        <v>23</v>
      </c>
      <c r="AA144">
        <v>24</v>
      </c>
      <c r="AB144">
        <v>25</v>
      </c>
      <c r="AC144">
        <v>26</v>
      </c>
      <c r="AD144">
        <v>27</v>
      </c>
      <c r="AE144">
        <v>28</v>
      </c>
      <c r="AF144">
        <v>29</v>
      </c>
      <c r="AG144">
        <v>30</v>
      </c>
    </row>
    <row r="145" spans="2:33">
      <c r="B145" s="6"/>
      <c r="C145" s="46" t="str">
        <f t="shared" ref="C145:AG145" si="1">"Ano " &amp; C144</f>
        <v>Ano 0</v>
      </c>
      <c r="D145" s="46" t="str">
        <f t="shared" si="1"/>
        <v>Ano 1</v>
      </c>
      <c r="E145" s="52" t="str">
        <f t="shared" si="1"/>
        <v>Ano 2</v>
      </c>
      <c r="F145" s="46" t="str">
        <f t="shared" si="1"/>
        <v>Ano 3</v>
      </c>
      <c r="G145" s="46" t="str">
        <f t="shared" si="1"/>
        <v>Ano 4</v>
      </c>
      <c r="H145" s="46" t="str">
        <f t="shared" si="1"/>
        <v>Ano 5</v>
      </c>
      <c r="I145" s="46" t="str">
        <f t="shared" si="1"/>
        <v>Ano 6</v>
      </c>
      <c r="J145" s="46" t="str">
        <f t="shared" si="1"/>
        <v>Ano 7</v>
      </c>
      <c r="K145" s="46" t="str">
        <f t="shared" si="1"/>
        <v>Ano 8</v>
      </c>
      <c r="L145" s="46" t="str">
        <f t="shared" si="1"/>
        <v>Ano 9</v>
      </c>
      <c r="M145" s="46" t="str">
        <f t="shared" si="1"/>
        <v>Ano 10</v>
      </c>
      <c r="N145" s="46" t="str">
        <f t="shared" si="1"/>
        <v>Ano 11</v>
      </c>
      <c r="O145" s="46" t="str">
        <f t="shared" si="1"/>
        <v>Ano 12</v>
      </c>
      <c r="P145" s="46" t="str">
        <f t="shared" si="1"/>
        <v>Ano 13</v>
      </c>
      <c r="Q145" s="46" t="str">
        <f t="shared" si="1"/>
        <v>Ano 14</v>
      </c>
      <c r="R145" s="46" t="str">
        <f t="shared" si="1"/>
        <v>Ano 15</v>
      </c>
      <c r="S145" s="46" t="str">
        <f t="shared" si="1"/>
        <v>Ano 16</v>
      </c>
      <c r="T145" s="46" t="str">
        <f t="shared" si="1"/>
        <v>Ano 17</v>
      </c>
      <c r="U145" s="46" t="str">
        <f t="shared" si="1"/>
        <v>Ano 18</v>
      </c>
      <c r="V145" s="46" t="str">
        <f t="shared" si="1"/>
        <v>Ano 19</v>
      </c>
      <c r="W145" s="46" t="str">
        <f t="shared" si="1"/>
        <v>Ano 20</v>
      </c>
      <c r="X145" s="46" t="str">
        <f t="shared" si="1"/>
        <v>Ano 21</v>
      </c>
      <c r="Y145" s="46" t="str">
        <f t="shared" si="1"/>
        <v>Ano 22</v>
      </c>
      <c r="Z145" s="46" t="str">
        <f t="shared" si="1"/>
        <v>Ano 23</v>
      </c>
      <c r="AA145" s="46" t="str">
        <f t="shared" si="1"/>
        <v>Ano 24</v>
      </c>
      <c r="AB145" s="46" t="str">
        <f t="shared" si="1"/>
        <v>Ano 25</v>
      </c>
      <c r="AC145" s="46" t="str">
        <f t="shared" si="1"/>
        <v>Ano 26</v>
      </c>
      <c r="AD145" s="46" t="str">
        <f t="shared" si="1"/>
        <v>Ano 27</v>
      </c>
      <c r="AE145" s="46" t="str">
        <f t="shared" si="1"/>
        <v>Ano 28</v>
      </c>
      <c r="AF145" s="46" t="str">
        <f t="shared" si="1"/>
        <v>Ano 29</v>
      </c>
      <c r="AG145" s="46" t="str">
        <f t="shared" si="1"/>
        <v>Ano 30</v>
      </c>
    </row>
    <row r="146" spans="2:33">
      <c r="B146" s="6" t="s">
        <v>250</v>
      </c>
      <c r="C146" s="494">
        <v>2025</v>
      </c>
      <c r="D146" s="494">
        <v>2026</v>
      </c>
      <c r="E146" s="494">
        <v>2027</v>
      </c>
      <c r="F146" s="494">
        <v>2028</v>
      </c>
      <c r="G146" s="494">
        <v>2029</v>
      </c>
      <c r="H146" s="494">
        <v>2030</v>
      </c>
      <c r="I146" s="494">
        <v>2031</v>
      </c>
      <c r="J146" s="494">
        <v>2032</v>
      </c>
      <c r="K146" s="494">
        <v>2033</v>
      </c>
      <c r="L146" s="494">
        <v>2034</v>
      </c>
      <c r="M146" s="494">
        <v>2035</v>
      </c>
      <c r="N146" s="494">
        <v>2036</v>
      </c>
      <c r="O146" s="494">
        <v>2037</v>
      </c>
      <c r="P146" s="494">
        <v>2038</v>
      </c>
      <c r="Q146" s="494">
        <v>2039</v>
      </c>
      <c r="R146" s="494">
        <v>2040</v>
      </c>
      <c r="S146" s="494">
        <v>2041</v>
      </c>
      <c r="T146" s="494">
        <v>2042</v>
      </c>
      <c r="U146" s="494">
        <v>2043</v>
      </c>
      <c r="V146" s="494">
        <v>2044</v>
      </c>
      <c r="W146" s="494">
        <v>2045</v>
      </c>
      <c r="X146" s="494">
        <v>2046</v>
      </c>
      <c r="Y146" s="494">
        <v>2047</v>
      </c>
      <c r="Z146" s="494">
        <v>2048</v>
      </c>
      <c r="AA146" s="494">
        <v>2049</v>
      </c>
      <c r="AB146" s="494">
        <v>2050</v>
      </c>
      <c r="AC146" s="494">
        <v>2051</v>
      </c>
      <c r="AD146" s="494">
        <v>2052</v>
      </c>
      <c r="AE146" s="494">
        <v>2053</v>
      </c>
      <c r="AF146" s="494">
        <v>2054</v>
      </c>
      <c r="AG146" s="494">
        <v>2055</v>
      </c>
    </row>
    <row r="147" spans="2:33">
      <c r="B147" s="6" t="s">
        <v>251</v>
      </c>
      <c r="C147" s="458">
        <v>5.0799999999999998E-2</v>
      </c>
      <c r="D147" s="133">
        <v>4.1000000000000002E-2</v>
      </c>
      <c r="E147" s="132">
        <v>3.9E-2</v>
      </c>
      <c r="F147" s="132">
        <v>3.5799999999999998E-2</v>
      </c>
      <c r="G147" s="110">
        <f>F147</f>
        <v>3.5799999999999998E-2</v>
      </c>
      <c r="H147" s="110">
        <f t="shared" ref="H147:AG147" si="2">G147</f>
        <v>3.5799999999999998E-2</v>
      </c>
      <c r="I147" s="110">
        <f t="shared" si="2"/>
        <v>3.5799999999999998E-2</v>
      </c>
      <c r="J147" s="110">
        <f t="shared" si="2"/>
        <v>3.5799999999999998E-2</v>
      </c>
      <c r="K147" s="110">
        <f t="shared" si="2"/>
        <v>3.5799999999999998E-2</v>
      </c>
      <c r="L147" s="110">
        <f t="shared" si="2"/>
        <v>3.5799999999999998E-2</v>
      </c>
      <c r="M147" s="110">
        <f t="shared" si="2"/>
        <v>3.5799999999999998E-2</v>
      </c>
      <c r="N147" s="110">
        <f t="shared" si="2"/>
        <v>3.5799999999999998E-2</v>
      </c>
      <c r="O147" s="110">
        <f t="shared" si="2"/>
        <v>3.5799999999999998E-2</v>
      </c>
      <c r="P147" s="110">
        <f t="shared" si="2"/>
        <v>3.5799999999999998E-2</v>
      </c>
      <c r="Q147" s="110">
        <f t="shared" si="2"/>
        <v>3.5799999999999998E-2</v>
      </c>
      <c r="R147" s="110">
        <f t="shared" si="2"/>
        <v>3.5799999999999998E-2</v>
      </c>
      <c r="S147" s="110">
        <f t="shared" si="2"/>
        <v>3.5799999999999998E-2</v>
      </c>
      <c r="T147" s="110">
        <f t="shared" si="2"/>
        <v>3.5799999999999998E-2</v>
      </c>
      <c r="U147" s="110">
        <f t="shared" si="2"/>
        <v>3.5799999999999998E-2</v>
      </c>
      <c r="V147" s="110">
        <f t="shared" si="2"/>
        <v>3.5799999999999998E-2</v>
      </c>
      <c r="W147" s="110">
        <f t="shared" si="2"/>
        <v>3.5799999999999998E-2</v>
      </c>
      <c r="X147" s="110">
        <f t="shared" si="2"/>
        <v>3.5799999999999998E-2</v>
      </c>
      <c r="Y147" s="110">
        <f t="shared" si="2"/>
        <v>3.5799999999999998E-2</v>
      </c>
      <c r="Z147" s="110">
        <f t="shared" si="2"/>
        <v>3.5799999999999998E-2</v>
      </c>
      <c r="AA147" s="110">
        <f t="shared" si="2"/>
        <v>3.5799999999999998E-2</v>
      </c>
      <c r="AB147" s="110">
        <f t="shared" si="2"/>
        <v>3.5799999999999998E-2</v>
      </c>
      <c r="AC147" s="110">
        <f t="shared" si="2"/>
        <v>3.5799999999999998E-2</v>
      </c>
      <c r="AD147" s="110">
        <f t="shared" si="2"/>
        <v>3.5799999999999998E-2</v>
      </c>
      <c r="AE147" s="110">
        <f t="shared" si="2"/>
        <v>3.5799999999999998E-2</v>
      </c>
      <c r="AF147" s="110">
        <f t="shared" si="2"/>
        <v>3.5799999999999998E-2</v>
      </c>
      <c r="AG147" s="110">
        <f t="shared" si="2"/>
        <v>3.5799999999999998E-2</v>
      </c>
    </row>
    <row r="148" spans="2:33">
      <c r="B148" s="226" t="s">
        <v>252</v>
      </c>
      <c r="C148" s="111">
        <f>C147</f>
        <v>5.0799999999999998E-2</v>
      </c>
      <c r="D148" s="111">
        <f t="shared" ref="D148:AG148" si="3">((1+C148)*(1+D147))-1</f>
        <v>9.3882799999999822E-2</v>
      </c>
      <c r="E148" s="111">
        <f t="shared" si="3"/>
        <v>0.13654422919999964</v>
      </c>
      <c r="F148" s="111">
        <f t="shared" si="3"/>
        <v>0.17723251260535977</v>
      </c>
      <c r="G148" s="111">
        <f t="shared" si="3"/>
        <v>0.21937743655663167</v>
      </c>
      <c r="H148" s="111">
        <f t="shared" si="3"/>
        <v>0.26303114878535916</v>
      </c>
      <c r="I148" s="111">
        <f t="shared" si="3"/>
        <v>0.30824766391187519</v>
      </c>
      <c r="J148" s="111">
        <f t="shared" si="3"/>
        <v>0.35508293027992033</v>
      </c>
      <c r="K148" s="111">
        <f t="shared" si="3"/>
        <v>0.40359489918394154</v>
      </c>
      <c r="L148" s="111">
        <f t="shared" si="3"/>
        <v>0.45384359657472673</v>
      </c>
      <c r="M148" s="111">
        <f t="shared" si="3"/>
        <v>0.50589119733210208</v>
      </c>
      <c r="N148" s="111">
        <f t="shared" si="3"/>
        <v>0.55980210219659132</v>
      </c>
      <c r="O148" s="111">
        <f t="shared" si="3"/>
        <v>0.61564301745522942</v>
      </c>
      <c r="P148" s="111">
        <f t="shared" si="3"/>
        <v>0.67348303748012683</v>
      </c>
      <c r="Q148" s="111">
        <f t="shared" si="3"/>
        <v>0.73339373022191556</v>
      </c>
      <c r="R148" s="111">
        <f t="shared" si="3"/>
        <v>0.79544922576386012</v>
      </c>
      <c r="S148" s="111">
        <f t="shared" si="3"/>
        <v>0.85972630804620631</v>
      </c>
      <c r="T148" s="111">
        <f t="shared" si="3"/>
        <v>0.92630450987426061</v>
      </c>
      <c r="U148" s="111">
        <f t="shared" si="3"/>
        <v>0.99526621132775928</v>
      </c>
      <c r="V148" s="111">
        <f t="shared" si="3"/>
        <v>1.0666967416932933</v>
      </c>
      <c r="W148" s="111">
        <f t="shared" si="3"/>
        <v>1.1406844850459135</v>
      </c>
      <c r="X148" s="111">
        <f t="shared" si="3"/>
        <v>1.2173209896105575</v>
      </c>
      <c r="Y148" s="111">
        <f t="shared" si="3"/>
        <v>1.2967010810386155</v>
      </c>
      <c r="Z148" s="111">
        <f t="shared" si="3"/>
        <v>1.3789229797397979</v>
      </c>
      <c r="AA148" s="111">
        <f t="shared" si="3"/>
        <v>1.4640884224144828</v>
      </c>
      <c r="AB148" s="111">
        <f t="shared" si="3"/>
        <v>1.5523027879369216</v>
      </c>
      <c r="AC148" s="111">
        <f t="shared" si="3"/>
        <v>1.6436752277450637</v>
      </c>
      <c r="AD148" s="111">
        <f t="shared" si="3"/>
        <v>1.738318800898337</v>
      </c>
      <c r="AE148" s="111">
        <f t="shared" si="3"/>
        <v>1.8363506139704975</v>
      </c>
      <c r="AF148" s="111">
        <f t="shared" si="3"/>
        <v>1.9378919659506413</v>
      </c>
      <c r="AG148" s="111">
        <f t="shared" si="3"/>
        <v>2.0430684983316745</v>
      </c>
    </row>
    <row r="149" spans="2:33">
      <c r="B149" s="226" t="s">
        <v>253</v>
      </c>
      <c r="C149" s="110" cm="1">
        <f t="array" ref="C149:AG149">C148:AG148 * (1 - (C187*C189))</f>
        <v>5.0799999999999998E-2</v>
      </c>
      <c r="D149" s="110">
        <v>9.3882799999999822E-2</v>
      </c>
      <c r="E149" s="111">
        <v>0.13654422919999964</v>
      </c>
      <c r="F149" s="111">
        <v>0.17723251260535977</v>
      </c>
      <c r="G149" s="111">
        <v>0.21937743655663167</v>
      </c>
      <c r="H149" s="111">
        <v>0.26303114878535916</v>
      </c>
      <c r="I149" s="111">
        <v>0.30824766391187519</v>
      </c>
      <c r="J149" s="111">
        <v>0.35508293027992033</v>
      </c>
      <c r="K149" s="111">
        <v>0.40359489918394154</v>
      </c>
      <c r="L149" s="111">
        <v>0.45384359657472673</v>
      </c>
      <c r="M149" s="111">
        <v>0.50589119733210208</v>
      </c>
      <c r="N149" s="111">
        <v>0.55980210219659132</v>
      </c>
      <c r="O149" s="111">
        <v>0.61564301745522942</v>
      </c>
      <c r="P149" s="111">
        <v>0.67348303748012683</v>
      </c>
      <c r="Q149" s="111">
        <v>0.73339373022191556</v>
      </c>
      <c r="R149" s="111">
        <v>0.79544922576386012</v>
      </c>
      <c r="S149" s="111">
        <v>0.85972630804620631</v>
      </c>
      <c r="T149" s="111">
        <v>0.92630450987426061</v>
      </c>
      <c r="U149" s="111">
        <v>0.99526621132775928</v>
      </c>
      <c r="V149" s="111">
        <v>1.0666967416932933</v>
      </c>
      <c r="W149" s="111">
        <v>1.1406844850459135</v>
      </c>
      <c r="X149" s="111">
        <v>1.2173209896105575</v>
      </c>
      <c r="Y149" s="111">
        <v>1.2967010810386155</v>
      </c>
      <c r="Z149" s="111">
        <v>1.3789229797397979</v>
      </c>
      <c r="AA149" s="111">
        <v>1.4640884224144828</v>
      </c>
      <c r="AB149" s="111">
        <v>1.5523027879369216</v>
      </c>
      <c r="AC149" s="111">
        <v>1.6436752277450637</v>
      </c>
      <c r="AD149" s="111">
        <v>1.738318800898337</v>
      </c>
      <c r="AE149" s="111">
        <v>1.8363506139704975</v>
      </c>
      <c r="AF149" s="111">
        <v>1.9378919659506413</v>
      </c>
      <c r="AG149" s="111">
        <v>2.0430684983316745</v>
      </c>
    </row>
    <row r="150" spans="2:33">
      <c r="B150" s="134" t="s">
        <v>254</v>
      </c>
    </row>
    <row r="152" spans="2:33">
      <c r="B152" s="2" t="s">
        <v>255</v>
      </c>
      <c r="C152" s="156"/>
    </row>
    <row r="153" spans="2:33">
      <c r="B153" s="10" t="s">
        <v>256</v>
      </c>
      <c r="C153" s="157" t="s">
        <v>257</v>
      </c>
      <c r="D153" s="10" t="s">
        <v>258</v>
      </c>
    </row>
    <row r="154" spans="2:33">
      <c r="B154" s="6" t="s">
        <v>259</v>
      </c>
      <c r="C154" s="27" t="s">
        <v>260</v>
      </c>
      <c r="D154" s="31">
        <v>0.05</v>
      </c>
    </row>
    <row r="155" spans="2:33">
      <c r="B155" s="6" t="s">
        <v>261</v>
      </c>
      <c r="C155" s="27" t="s">
        <v>262</v>
      </c>
      <c r="D155" s="31">
        <v>0.02</v>
      </c>
    </row>
    <row r="156" spans="2:33">
      <c r="B156" s="6" t="s">
        <v>263</v>
      </c>
      <c r="C156" s="191" t="s">
        <v>264</v>
      </c>
      <c r="D156" s="31">
        <v>0.05</v>
      </c>
    </row>
    <row r="157" spans="2:33">
      <c r="B157" s="6" t="s">
        <v>265</v>
      </c>
      <c r="C157" s="27" t="s">
        <v>266</v>
      </c>
      <c r="D157" s="31">
        <v>0.05</v>
      </c>
    </row>
    <row r="158" spans="2:33">
      <c r="B158" s="6" t="s">
        <v>267</v>
      </c>
      <c r="C158" s="27" t="s">
        <v>268</v>
      </c>
      <c r="D158" s="31">
        <v>0.03</v>
      </c>
    </row>
    <row r="159" spans="2:33">
      <c r="B159" s="6" t="s">
        <v>269</v>
      </c>
      <c r="C159" s="191" t="s">
        <v>270</v>
      </c>
      <c r="D159" s="31">
        <v>0.03</v>
      </c>
    </row>
    <row r="160" spans="2:33">
      <c r="B160" s="6" t="s">
        <v>271</v>
      </c>
      <c r="C160" s="191" t="s">
        <v>272</v>
      </c>
      <c r="D160" s="31">
        <v>0.03</v>
      </c>
    </row>
    <row r="161" spans="2:4">
      <c r="B161" s="6" t="s">
        <v>273</v>
      </c>
      <c r="C161" s="191" t="s">
        <v>274</v>
      </c>
      <c r="D161" s="31">
        <v>0.05</v>
      </c>
    </row>
    <row r="162" spans="2:4">
      <c r="B162" s="6" t="s">
        <v>275</v>
      </c>
      <c r="C162" s="27" t="s">
        <v>276</v>
      </c>
      <c r="D162" s="31">
        <v>0.03</v>
      </c>
    </row>
    <row r="163" spans="2:4">
      <c r="B163" s="6" t="s">
        <v>277</v>
      </c>
      <c r="C163" s="27" t="s">
        <v>278</v>
      </c>
      <c r="D163" s="31">
        <v>0.05</v>
      </c>
    </row>
    <row r="164" spans="2:4">
      <c r="B164" s="6" t="s">
        <v>279</v>
      </c>
      <c r="C164" s="191" t="s">
        <v>280</v>
      </c>
      <c r="D164" s="31">
        <v>0.03</v>
      </c>
    </row>
    <row r="166" spans="2:4">
      <c r="B166" s="2" t="s">
        <v>281</v>
      </c>
    </row>
    <row r="167" spans="2:4">
      <c r="B167" s="6" t="s">
        <v>282</v>
      </c>
      <c r="C167" s="110">
        <f>'DRE Nominal'!D29</f>
        <v>3.6499999999999998E-2</v>
      </c>
    </row>
    <row r="168" spans="2:4">
      <c r="B168" s="6" t="s">
        <v>283</v>
      </c>
      <c r="C168" s="159">
        <v>1</v>
      </c>
    </row>
    <row r="170" spans="2:4">
      <c r="B170" s="2" t="s">
        <v>284</v>
      </c>
    </row>
    <row r="171" spans="2:4">
      <c r="B171" s="10" t="s">
        <v>285</v>
      </c>
      <c r="C171" s="157" t="s">
        <v>286</v>
      </c>
    </row>
    <row r="172" spans="2:4">
      <c r="B172" s="20" t="s">
        <v>287</v>
      </c>
      <c r="C172" s="12" t="s">
        <v>37</v>
      </c>
    </row>
    <row r="173" spans="2:4">
      <c r="B173" s="20" t="s">
        <v>288</v>
      </c>
      <c r="C173" s="12">
        <v>30</v>
      </c>
    </row>
    <row r="174" spans="2:4">
      <c r="B174" s="400" t="s">
        <v>289</v>
      </c>
      <c r="C174" s="12">
        <v>30</v>
      </c>
    </row>
    <row r="175" spans="2:4">
      <c r="B175" s="400" t="s">
        <v>290</v>
      </c>
      <c r="C175" s="222">
        <v>30</v>
      </c>
    </row>
    <row r="176" spans="2:4">
      <c r="B176" s="398" t="s">
        <v>291</v>
      </c>
      <c r="C176" s="46">
        <f>ROUND(SUM(C172:C175)/30,0)</f>
        <v>3</v>
      </c>
    </row>
    <row r="177" spans="2:4">
      <c r="B177" s="218"/>
      <c r="C177" s="218"/>
    </row>
    <row r="178" spans="2:4">
      <c r="B178" s="2" t="s">
        <v>292</v>
      </c>
      <c r="C178" s="218"/>
    </row>
    <row r="179" spans="2:4">
      <c r="B179" s="169" t="s">
        <v>105</v>
      </c>
      <c r="C179" s="237" t="s">
        <v>293</v>
      </c>
      <c r="D179" s="237" t="s">
        <v>294</v>
      </c>
    </row>
    <row r="180" spans="2:4">
      <c r="B180" s="308" t="s">
        <v>295</v>
      </c>
      <c r="C180" s="147" cm="1">
        <f t="array" ref="C180:C182">Capex!C426:C428 + Opex!C118:C120</f>
        <v>2165597457.2182751</v>
      </c>
      <c r="D180" s="110">
        <f>C180/SUM(_xlfn.ANCHORARRAY(C$180))</f>
        <v>0.55102095734653955</v>
      </c>
    </row>
    <row r="181" spans="2:4">
      <c r="B181" s="309" t="s">
        <v>296</v>
      </c>
      <c r="C181" s="147">
        <v>1007430801.4277968</v>
      </c>
      <c r="D181" s="110">
        <f>C181/SUM(_xlfn.ANCHORARRAY(C$180))</f>
        <v>0.25633364262266262</v>
      </c>
    </row>
    <row r="182" spans="2:4">
      <c r="B182" s="309" t="s">
        <v>297</v>
      </c>
      <c r="C182" s="185">
        <v>757126172.58787704</v>
      </c>
      <c r="D182" s="243">
        <f>C182/SUM(_xlfn.ANCHORARRAY(C$180))</f>
        <v>0.19264540003079789</v>
      </c>
    </row>
    <row r="183" spans="2:4">
      <c r="B183" s="397" t="s">
        <v>73</v>
      </c>
      <c r="C183" s="147">
        <f>SUM(_xlfn.ANCHORARRAY(C180))</f>
        <v>3930154431.2339487</v>
      </c>
      <c r="D183" s="110">
        <f>SUM(D180:D182)</f>
        <v>1</v>
      </c>
    </row>
    <row r="184" spans="2:4">
      <c r="B184" s="382" t="s">
        <v>298</v>
      </c>
      <c r="C184" s="399"/>
      <c r="D184" s="155"/>
    </row>
    <row r="185" spans="2:4">
      <c r="B185" s="218"/>
      <c r="C185" s="399"/>
      <c r="D185" s="155"/>
    </row>
    <row r="186" spans="2:4">
      <c r="B186" s="403" t="s">
        <v>299</v>
      </c>
    </row>
    <row r="187" spans="2:4">
      <c r="B187" s="226" t="s">
        <v>300</v>
      </c>
      <c r="C187" s="17" t="b">
        <v>0</v>
      </c>
    </row>
    <row r="188" spans="2:4">
      <c r="B188" s="36" t="s">
        <v>301</v>
      </c>
      <c r="C188" s="208">
        <v>0.05</v>
      </c>
    </row>
    <row r="189" spans="2:4">
      <c r="B189" s="6" t="s">
        <v>302</v>
      </c>
      <c r="C189" s="159">
        <v>0.5</v>
      </c>
    </row>
    <row r="190" spans="2:4" ht="127.5" customHeight="1">
      <c r="B190" s="404" t="s">
        <v>303</v>
      </c>
    </row>
    <row r="192" spans="2:4">
      <c r="B192" s="403" t="s">
        <v>304</v>
      </c>
    </row>
    <row r="193" spans="2:4">
      <c r="B193" s="453" t="s">
        <v>305</v>
      </c>
      <c r="C193" s="569"/>
    </row>
    <row r="194" spans="2:4">
      <c r="B194" s="507" t="s">
        <v>115</v>
      </c>
      <c r="C194" s="570"/>
      <c r="D194" t="s">
        <v>306</v>
      </c>
    </row>
    <row r="195" spans="2:4">
      <c r="B195" s="507"/>
      <c r="C195" s="570"/>
      <c r="D195" t="s">
        <v>306</v>
      </c>
    </row>
    <row r="196" spans="2:4">
      <c r="B196" s="485"/>
      <c r="C196" s="571"/>
      <c r="D196" t="s">
        <v>306</v>
      </c>
    </row>
    <row r="197" spans="2:4">
      <c r="B197" s="485"/>
      <c r="C197" s="571"/>
      <c r="D197" t="s">
        <v>306</v>
      </c>
    </row>
    <row r="198" spans="2:4">
      <c r="B198" s="485"/>
      <c r="C198" s="571"/>
      <c r="D198" t="s">
        <v>306</v>
      </c>
    </row>
    <row r="199" spans="2:4">
      <c r="B199" s="485"/>
      <c r="C199" s="571"/>
      <c r="D199" t="s">
        <v>306</v>
      </c>
    </row>
    <row r="200" spans="2:4">
      <c r="B200" s="6"/>
      <c r="D200" t="s">
        <v>306</v>
      </c>
    </row>
    <row r="201" spans="2:4">
      <c r="B201" s="6"/>
      <c r="D201" t="s">
        <v>306</v>
      </c>
    </row>
    <row r="202" spans="2:4">
      <c r="B202" s="6"/>
      <c r="D202" t="s">
        <v>306</v>
      </c>
    </row>
    <row r="203" spans="2:4">
      <c r="B203" s="485"/>
      <c r="C203" s="571"/>
      <c r="D203" t="s">
        <v>306</v>
      </c>
    </row>
    <row r="204" spans="2:4">
      <c r="B204" s="485"/>
      <c r="C204" s="571"/>
      <c r="D204" t="s">
        <v>306</v>
      </c>
    </row>
    <row r="205" spans="2:4">
      <c r="B205" s="485"/>
      <c r="C205" s="571"/>
      <c r="D205" t="s">
        <v>306</v>
      </c>
    </row>
    <row r="206" spans="2:4">
      <c r="B206" s="485"/>
      <c r="C206" s="571"/>
      <c r="D206" t="s">
        <v>306</v>
      </c>
    </row>
    <row r="207" spans="2:4">
      <c r="B207" s="485"/>
      <c r="C207" s="571"/>
      <c r="D207" t="s">
        <v>306</v>
      </c>
    </row>
    <row r="209" spans="2:5">
      <c r="B209" s="461" t="s">
        <v>307</v>
      </c>
    </row>
    <row r="210" spans="2:5">
      <c r="B210" s="462" t="s">
        <v>308</v>
      </c>
      <c r="C210" s="462" t="s">
        <v>88</v>
      </c>
      <c r="D210" s="475" t="s">
        <v>309</v>
      </c>
      <c r="E210" s="475" t="s">
        <v>310</v>
      </c>
    </row>
    <row r="211" spans="2:5">
      <c r="B211" s="122" t="str" cm="1">
        <f t="array" ref="B211:B212">_xlfn.UNIQUE('Capex Input - Todos os cenários'!B4:B8338)</f>
        <v>Cenário 20/03/2025 com IFC</v>
      </c>
      <c r="C211" s="250" t="str" cm="1">
        <f t="array" ref="C211:C212">_xlfn.UNIQUE('Opex Input - Todos os Cenários'!B4:B9716)</f>
        <v>Cenário 20/03/2025 com IFC</v>
      </c>
      <c r="D211" s="250" t="str" cm="1">
        <f t="array" ref="D211:D212">_xlfn.UNIQUE('Degraus tarifários Input'!B5:B2881)</f>
        <v>Cenário 20/03/2025 com IFC</v>
      </c>
      <c r="E211" s="122" t="str" cm="1">
        <f t="array" ref="E211:E212">_xlfn.UNIQUE('Marcos de Aportes Inputs'!B4:B2640)</f>
        <v>Cenário 20/03/2025 com IFC</v>
      </c>
    </row>
    <row r="212" spans="2:5">
      <c r="B212" s="122">
        <v>0</v>
      </c>
      <c r="C212" s="250">
        <v>0</v>
      </c>
      <c r="D212" s="250">
        <v>0</v>
      </c>
      <c r="E212" s="122">
        <v>0</v>
      </c>
    </row>
    <row r="213" spans="2:5">
      <c r="B213" s="122"/>
      <c r="C213" s="250"/>
      <c r="D213" s="250"/>
      <c r="E213" s="122"/>
    </row>
    <row r="214" spans="2:5">
      <c r="B214" s="122"/>
      <c r="C214" s="250"/>
      <c r="D214" s="250"/>
      <c r="E214" s="122"/>
    </row>
    <row r="215" spans="2:5">
      <c r="B215" s="122"/>
      <c r="C215" s="250"/>
      <c r="D215" s="250"/>
      <c r="E215" s="122"/>
    </row>
    <row r="216" spans="2:5">
      <c r="B216" s="122"/>
      <c r="C216" s="250"/>
      <c r="D216" s="250"/>
      <c r="E216" s="122"/>
    </row>
    <row r="217" spans="2:5">
      <c r="B217" s="183"/>
      <c r="C217" s="251"/>
      <c r="D217" s="250"/>
      <c r="E217" s="122"/>
    </row>
    <row r="218" spans="2:5">
      <c r="B218" s="122"/>
      <c r="C218" s="250"/>
      <c r="D218" s="250"/>
      <c r="E218" s="122"/>
    </row>
    <row r="219" spans="2:5">
      <c r="B219" s="122"/>
      <c r="C219" s="250"/>
      <c r="D219" s="250"/>
      <c r="E219" s="122"/>
    </row>
    <row r="220" spans="2:5">
      <c r="B220" s="122"/>
      <c r="C220" s="250"/>
      <c r="D220" s="250"/>
      <c r="E220" s="122"/>
    </row>
    <row r="221" spans="2:5">
      <c r="B221" s="122"/>
      <c r="C221" s="250"/>
      <c r="D221" s="250"/>
      <c r="E221" s="122"/>
    </row>
    <row r="222" spans="2:5">
      <c r="B222" s="122"/>
      <c r="C222" s="250"/>
      <c r="D222" s="250"/>
      <c r="E222" s="122"/>
    </row>
    <row r="223" spans="2:5">
      <c r="B223" s="122"/>
      <c r="C223" s="250"/>
      <c r="D223" s="250"/>
      <c r="E223" s="122"/>
    </row>
    <row r="224" spans="2:5">
      <c r="B224" s="122"/>
      <c r="C224" s="250"/>
      <c r="D224" s="250"/>
      <c r="E224" s="122"/>
    </row>
    <row r="225" spans="2:5">
      <c r="B225" s="122"/>
      <c r="C225" s="250"/>
      <c r="D225" s="250"/>
      <c r="E225" s="122"/>
    </row>
    <row r="227" spans="2:5">
      <c r="B227" s="403" t="s">
        <v>311</v>
      </c>
    </row>
    <row r="228" spans="2:5">
      <c r="B228" s="15">
        <v>0.1124</v>
      </c>
    </row>
    <row r="230" spans="2:5">
      <c r="B230" s="2" t="s">
        <v>312</v>
      </c>
    </row>
    <row r="231" spans="2:5">
      <c r="B231" s="178" t="s">
        <v>313</v>
      </c>
      <c r="C231" s="491" t="s">
        <v>314</v>
      </c>
      <c r="D231" s="178" t="s">
        <v>315</v>
      </c>
      <c r="E231" s="538" t="s">
        <v>316</v>
      </c>
    </row>
    <row r="232" spans="2:5">
      <c r="B232" s="489" t="s">
        <v>317</v>
      </c>
      <c r="C232" s="529">
        <v>45503</v>
      </c>
      <c r="D232" s="496">
        <f>100/100</f>
        <v>1</v>
      </c>
      <c r="E232" s="6" t="s">
        <v>318</v>
      </c>
    </row>
    <row r="233" spans="2:5">
      <c r="B233" s="489" t="s">
        <v>319</v>
      </c>
      <c r="C233" s="529">
        <v>45602</v>
      </c>
      <c r="D233" s="496">
        <f>101.376/100</f>
        <v>1.01376</v>
      </c>
      <c r="E233" s="6" t="s">
        <v>320</v>
      </c>
    </row>
    <row r="234" spans="2:5">
      <c r="B234" s="489" t="s">
        <v>321</v>
      </c>
      <c r="C234" s="529">
        <v>45631</v>
      </c>
      <c r="D234" s="496">
        <f>101.9032/100</f>
        <v>1.0190319999999999</v>
      </c>
      <c r="E234" s="6" t="s">
        <v>322</v>
      </c>
    </row>
    <row r="235" spans="2:5">
      <c r="B235" s="489" t="s">
        <v>323</v>
      </c>
      <c r="C235" s="529">
        <v>45811</v>
      </c>
      <c r="D235" s="496">
        <f>(102.0662/100) * ((1+5.65%)^(5/12))</f>
        <v>1.0443055150422338</v>
      </c>
      <c r="E235" s="6" t="s">
        <v>324</v>
      </c>
    </row>
    <row r="236" spans="2:5">
      <c r="B236" s="560" t="str">
        <f>B126</f>
        <v>Pagamento à B3</v>
      </c>
      <c r="C236" s="529">
        <v>45687</v>
      </c>
      <c r="D236" s="496">
        <f>102.0662/100</f>
        <v>1.020662</v>
      </c>
      <c r="E236" s="6" t="s">
        <v>325</v>
      </c>
    </row>
    <row r="237" spans="2:5">
      <c r="B237" s="560" t="str">
        <f>B127</f>
        <v>Ressarcimento ao Estado pelo pagamento de parcela à B3</v>
      </c>
      <c r="C237" s="539">
        <v>45930</v>
      </c>
      <c r="D237" s="561">
        <f>(102.0662/100) * ((1+5.65%)^(8/12))</f>
        <v>1.0587537142219337</v>
      </c>
      <c r="E237" s="35" t="s">
        <v>326</v>
      </c>
    </row>
    <row r="238" spans="2:5">
      <c r="B238" s="351" t="str">
        <f>B128</f>
        <v>Ressarcimento Estudos (BDMG)</v>
      </c>
      <c r="C238" s="539">
        <v>45321</v>
      </c>
      <c r="D238" s="230">
        <f>97.6152/100</f>
        <v>0.97615200000000002</v>
      </c>
      <c r="E238" s="35" t="s">
        <v>327</v>
      </c>
    </row>
    <row r="239" spans="2:5">
      <c r="B239" t="s">
        <v>328</v>
      </c>
      <c r="C239" s="218"/>
    </row>
    <row r="240" spans="2:5">
      <c r="C240" s="155"/>
      <c r="D240" s="155"/>
    </row>
    <row r="241" spans="3:4">
      <c r="C241" s="155"/>
      <c r="D241" s="562"/>
    </row>
    <row r="242" spans="3:4">
      <c r="D242" s="540"/>
    </row>
  </sheetData>
  <mergeCells count="4">
    <mergeCell ref="B108:E108"/>
    <mergeCell ref="F108:I108"/>
    <mergeCell ref="B91:E91"/>
    <mergeCell ref="F91:I91"/>
  </mergeCells>
  <conditionalFormatting sqref="C25">
    <cfRule type="cellIs" dxfId="6" priority="1" operator="equal">
      <formula>FALSE</formula>
    </cfRule>
  </conditionalFormatting>
  <dataValidations count="9">
    <dataValidation operator="equal" showDropDown="1" showErrorMessage="1" sqref="C40" xr:uid="{00000000-0002-0000-0100-000000000000}"/>
    <dataValidation operator="equal" showErrorMessage="1" sqref="C41" xr:uid="{00000000-0002-0000-0100-000003000000}"/>
    <dataValidation allowBlank="1" showInputMessage="1" showErrorMessage="1" sqref="C188 D69:F72 C10" xr:uid="{9C0E612B-4F7C-4172-8653-4F78415AB6B6}"/>
    <dataValidation type="list" allowBlank="1" showInputMessage="1" showErrorMessage="1" sqref="C39" xr:uid="{3256BB7F-F889-4E89-81DB-656F6E710757}">
      <formula1>"Taxa específica anual,Taxa constante (CAGR)"</formula1>
    </dataValidation>
    <dataValidation type="list" allowBlank="1" showInputMessage="1" showErrorMessage="1" sqref="C187" xr:uid="{5DB1266F-21EC-4B42-B102-B5D95FC2E421}">
      <formula1>"FALSO,VERDADEIRO"</formula1>
    </dataValidation>
    <dataValidation type="list" allowBlank="1" showInputMessage="1" showErrorMessage="1" sqref="C11" xr:uid="{B02DA6E8-DD8B-4727-9F5E-0E0023726F22}">
      <formula1>"Sim,Não"</formula1>
    </dataValidation>
    <dataValidation type="list" allowBlank="1" showInputMessage="1" showErrorMessage="1" sqref="C12" xr:uid="{C212DCAF-E871-4316-A0BD-2B3BE961D5C4}">
      <formula1>"Anexo 8,Iguais"</formula1>
    </dataValidation>
    <dataValidation type="list" allowBlank="1" showInputMessage="1" showErrorMessage="1" sqref="C8" xr:uid="{21997886-63D5-457F-9F9D-5FF08FB2C88D}">
      <formula1>$B$194:$B$207</formula1>
    </dataValidation>
    <dataValidation type="list" allowBlank="1" showInputMessage="1" showErrorMessage="1" sqref="C7" xr:uid="{5BA7054A-F347-4DD5-8B6E-9BCE8C251CF7}">
      <formula1>$B$228:$B$228</formula1>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EEEA6E37-F500-4E0B-8EA0-49C527D4E14F}">
          <x14:formula1>
            <xm:f>DUF!$B$495:$B$523</xm:f>
          </x14:formula1>
          <xm:sqref>C9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8E0F1-9870-482E-BC73-ED6AD32397C4}">
  <sheetPr>
    <tabColor rgb="FF2A6099"/>
  </sheetPr>
  <dimension ref="B2:AH55"/>
  <sheetViews>
    <sheetView showGridLines="0" zoomScale="90" zoomScaleNormal="90" workbookViewId="0">
      <selection activeCell="E54" sqref="E54"/>
    </sheetView>
  </sheetViews>
  <sheetFormatPr defaultColWidth="14.28515625" defaultRowHeight="12.75"/>
  <cols>
    <col min="1" max="1" width="2.42578125" customWidth="1"/>
    <col min="2" max="2" width="27.140625" customWidth="1"/>
    <col min="3" max="3" width="67.28515625" customWidth="1"/>
    <col min="4" max="4" width="42.85546875" customWidth="1"/>
    <col min="5" max="5" width="18.7109375" customWidth="1"/>
    <col min="6" max="6" width="18.7109375" bestFit="1" customWidth="1"/>
    <col min="7" max="7" width="18.7109375" customWidth="1"/>
    <col min="8" max="8" width="18.7109375" bestFit="1" customWidth="1"/>
    <col min="9" max="17" width="18.7109375" customWidth="1"/>
    <col min="18" max="34" width="19.42578125" bestFit="1" customWidth="1"/>
    <col min="35" max="35" width="16.7109375" customWidth="1"/>
    <col min="36" max="36" width="13.42578125" customWidth="1"/>
    <col min="37" max="969" width="9.140625"/>
    <col min="970" max="1024" width="11.42578125" customWidth="1"/>
  </cols>
  <sheetData>
    <row r="2" spans="2:34">
      <c r="B2" s="41" t="s">
        <v>329</v>
      </c>
      <c r="C2" s="44"/>
      <c r="D2" s="44"/>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row>
    <row r="3" spans="2:34" hidden="1">
      <c r="B3" s="44"/>
      <c r="C3" s="44"/>
      <c r="D3" s="44"/>
      <c r="E3" s="71">
        <v>1</v>
      </c>
      <c r="F3" s="71">
        <v>2</v>
      </c>
      <c r="G3" s="71">
        <v>3</v>
      </c>
      <c r="H3" s="71">
        <v>4</v>
      </c>
      <c r="I3" s="71">
        <v>5</v>
      </c>
      <c r="J3" s="71">
        <v>6</v>
      </c>
      <c r="K3" s="71">
        <v>7</v>
      </c>
      <c r="L3" s="71">
        <v>8</v>
      </c>
      <c r="M3" s="71">
        <v>9</v>
      </c>
      <c r="N3" s="71">
        <v>10</v>
      </c>
      <c r="O3" s="71">
        <v>11</v>
      </c>
      <c r="P3" s="71">
        <v>12</v>
      </c>
      <c r="Q3" s="71">
        <v>13</v>
      </c>
      <c r="R3" s="71">
        <v>14</v>
      </c>
      <c r="S3" s="71">
        <v>15</v>
      </c>
      <c r="T3" s="71">
        <v>16</v>
      </c>
      <c r="U3" s="71">
        <v>17</v>
      </c>
      <c r="V3" s="71">
        <v>18</v>
      </c>
      <c r="W3" s="71">
        <v>19</v>
      </c>
      <c r="X3" s="71">
        <v>20</v>
      </c>
      <c r="Y3" s="71">
        <v>21</v>
      </c>
      <c r="Z3" s="71">
        <v>22</v>
      </c>
      <c r="AA3" s="71">
        <v>23</v>
      </c>
      <c r="AB3" s="71">
        <v>24</v>
      </c>
      <c r="AC3" s="71">
        <v>25</v>
      </c>
      <c r="AD3" s="71">
        <v>26</v>
      </c>
      <c r="AE3" s="71">
        <v>27</v>
      </c>
      <c r="AF3" s="71">
        <v>28</v>
      </c>
      <c r="AG3" s="71">
        <v>29</v>
      </c>
      <c r="AH3" s="71">
        <v>30</v>
      </c>
    </row>
    <row r="4" spans="2:34">
      <c r="B4" s="97" t="str" cm="1">
        <f t="array" ref="B4:D29">'BP Nominal'!B4:D29</f>
        <v>Código da Conta</v>
      </c>
      <c r="C4" s="97" t="str">
        <v>Descrição da Conta</v>
      </c>
      <c r="D4" s="116" t="str">
        <v>Observação</v>
      </c>
      <c r="E4" s="54" t="str" cm="1">
        <f t="array" ref="E4:AH4">'BP Nominal'!E4:AH4</f>
        <v>Ano 1</v>
      </c>
      <c r="F4" s="54" t="str">
        <v>Ano 2</v>
      </c>
      <c r="G4" s="54" t="str">
        <v>Ano 3</v>
      </c>
      <c r="H4" s="54" t="str">
        <v>Ano 4</v>
      </c>
      <c r="I4" s="54" t="str">
        <v>Ano 5</v>
      </c>
      <c r="J4" s="54" t="str">
        <v>Ano 6</v>
      </c>
      <c r="K4" s="54" t="str">
        <v>Ano 7</v>
      </c>
      <c r="L4" s="54" t="str">
        <v>Ano 8</v>
      </c>
      <c r="M4" s="54" t="str">
        <v>Ano 9</v>
      </c>
      <c r="N4" s="54" t="str">
        <v>Ano 10</v>
      </c>
      <c r="O4" s="54" t="str">
        <v>Ano 11</v>
      </c>
      <c r="P4" s="54" t="str">
        <v>Ano 12</v>
      </c>
      <c r="Q4" s="54" t="str">
        <v>Ano 13</v>
      </c>
      <c r="R4" s="54" t="str">
        <v>Ano 14</v>
      </c>
      <c r="S4" s="54" t="str">
        <v>Ano 15</v>
      </c>
      <c r="T4" s="54" t="str">
        <v>Ano 16</v>
      </c>
      <c r="U4" s="54" t="str">
        <v>Ano 17</v>
      </c>
      <c r="V4" s="54" t="str">
        <v>Ano 18</v>
      </c>
      <c r="W4" s="54" t="str">
        <v>Ano 19</v>
      </c>
      <c r="X4" s="54" t="str">
        <v>Ano 20</v>
      </c>
      <c r="Y4" s="54" t="str">
        <v>Ano 21</v>
      </c>
      <c r="Z4" s="54" t="str">
        <v>Ano 22</v>
      </c>
      <c r="AA4" s="54" t="str">
        <v>Ano 23</v>
      </c>
      <c r="AB4" s="54" t="str">
        <v>Ano 24</v>
      </c>
      <c r="AC4" s="54" t="str">
        <v>Ano 25</v>
      </c>
      <c r="AD4" s="54" t="str">
        <v>Ano 26</v>
      </c>
      <c r="AE4" s="54" t="str">
        <v>Ano 27</v>
      </c>
      <c r="AF4" s="54" t="str">
        <v>Ano 28</v>
      </c>
      <c r="AG4" s="54" t="str">
        <v>Ano 29</v>
      </c>
      <c r="AH4" s="54" t="str">
        <v>Ano 30</v>
      </c>
    </row>
    <row r="5" spans="2:34">
      <c r="B5" s="98" t="str">
        <v>1</v>
      </c>
      <c r="C5" s="117" t="str">
        <v xml:space="preserve">Ativo Total </v>
      </c>
      <c r="D5" s="93" t="str">
        <v/>
      </c>
      <c r="E5" s="77">
        <f t="shared" ref="E5:AH5" ca="1" si="0">SUM(E6:E15)</f>
        <v>1894811736.2332315</v>
      </c>
      <c r="F5" s="77">
        <f t="shared" ca="1" si="0"/>
        <v>1991858486.8075669</v>
      </c>
      <c r="G5" s="77">
        <f t="shared" ca="1" si="0"/>
        <v>2058926032.0512629</v>
      </c>
      <c r="H5" s="77">
        <f t="shared" ca="1" si="0"/>
        <v>2091422198.9339395</v>
      </c>
      <c r="I5" s="77">
        <f t="shared" ca="1" si="0"/>
        <v>2115057931.6124411</v>
      </c>
      <c r="J5" s="77">
        <f t="shared" ca="1" si="0"/>
        <v>2094904387.0674534</v>
      </c>
      <c r="K5" s="77">
        <f t="shared" ca="1" si="0"/>
        <v>1981457097.8498945</v>
      </c>
      <c r="L5" s="77">
        <f t="shared" ca="1" si="0"/>
        <v>1878534844.9745924</v>
      </c>
      <c r="M5" s="77">
        <f t="shared" ca="1" si="0"/>
        <v>1786964941.0693748</v>
      </c>
      <c r="N5" s="77">
        <f t="shared" ca="1" si="0"/>
        <v>1706479982.4498527</v>
      </c>
      <c r="O5" s="77">
        <f t="shared" ca="1" si="0"/>
        <v>1636303737.0771067</v>
      </c>
      <c r="P5" s="77">
        <f t="shared" ca="1" si="0"/>
        <v>1576724430.4479985</v>
      </c>
      <c r="Q5" s="77">
        <f t="shared" ca="1" si="0"/>
        <v>1526979667.3919525</v>
      </c>
      <c r="R5" s="77">
        <f t="shared" ca="1" si="0"/>
        <v>1486926219.5012252</v>
      </c>
      <c r="S5" s="77">
        <f t="shared" ca="1" si="0"/>
        <v>1443260419.1210184</v>
      </c>
      <c r="T5" s="77">
        <f t="shared" ca="1" si="0"/>
        <v>1413242086.5193262</v>
      </c>
      <c r="U5" s="77">
        <f t="shared" ca="1" si="0"/>
        <v>1385720534.2703302</v>
      </c>
      <c r="V5" s="77">
        <f t="shared" ca="1" si="0"/>
        <v>1360715474.4315076</v>
      </c>
      <c r="W5" s="77">
        <f t="shared" ca="1" si="0"/>
        <v>1339826225.033818</v>
      </c>
      <c r="X5" s="77">
        <f t="shared" ca="1" si="0"/>
        <v>1326541908.1363764</v>
      </c>
      <c r="Y5" s="77">
        <f t="shared" ca="1" si="0"/>
        <v>1318141877.9008679</v>
      </c>
      <c r="Z5" s="77">
        <f t="shared" ca="1" si="0"/>
        <v>1316074840.9178782</v>
      </c>
      <c r="AA5" s="77">
        <f t="shared" ca="1" si="0"/>
        <v>1317733592.9370944</v>
      </c>
      <c r="AB5" s="77">
        <f t="shared" ca="1" si="0"/>
        <v>1321770452.7068691</v>
      </c>
      <c r="AC5" s="77">
        <f t="shared" ca="1" si="0"/>
        <v>1324304075.7251182</v>
      </c>
      <c r="AD5" s="77">
        <f t="shared" ca="1" si="0"/>
        <v>1324859519.4552345</v>
      </c>
      <c r="AE5" s="77">
        <f t="shared" ca="1" si="0"/>
        <v>1325377520.1556008</v>
      </c>
      <c r="AF5" s="77">
        <f t="shared" ca="1" si="0"/>
        <v>1327072849.257251</v>
      </c>
      <c r="AG5" s="77">
        <f t="shared" ca="1" si="0"/>
        <v>1324054630.4159284</v>
      </c>
      <c r="AH5" s="77">
        <f t="shared" ca="1" si="0"/>
        <v>1302256102.4450233</v>
      </c>
    </row>
    <row r="6" spans="2:34">
      <c r="B6" s="99" t="str">
        <v>1.01</v>
      </c>
      <c r="C6" s="118" t="str">
        <v>Ativo Circulante</v>
      </c>
      <c r="D6" s="119" t="str">
        <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row>
    <row r="7" spans="2:34">
      <c r="B7" s="99" t="str">
        <v xml:space="preserve">1.01.01 </v>
      </c>
      <c r="C7" s="100" t="str">
        <v>Caixa e Equivalentes de Caixa</v>
      </c>
      <c r="D7" s="93" t="str">
        <v>Um caixa zerado significa que, em determinado ano, o saldo em conta foi insuficiente para pagar o fluxo de caixa do projeto daquele ano mais o serviço da dívida do ano anterior (não é possível utilizar o serviço da dívida do mesmo ano por causa de circularidade no modelo). Nestes casos (caixa zerado) a demanda por caixa é satisfeita pela captação de empréstimos lançados no Passivo Não Circulante. O fluxo de captação de empréstimos, pagamento de juros e amortizações é apresentado em tabela apartada, para maior clareza.</v>
      </c>
      <c r="E7" s="80" cm="1">
        <f t="array" aca="1" ref="E7:AH7" ca="1">'BP Nominal'!E7:AH7 / (1 +'Painel Controle'!D$149:AG$149)</f>
        <v>3246324.7213599188</v>
      </c>
      <c r="F7" s="80">
        <f ca="1"/>
        <v>0</v>
      </c>
      <c r="G7" s="80">
        <f ca="1"/>
        <v>0</v>
      </c>
      <c r="H7" s="80">
        <f ca="1"/>
        <v>0</v>
      </c>
      <c r="I7" s="80">
        <f ca="1"/>
        <v>0</v>
      </c>
      <c r="J7" s="80">
        <f ca="1"/>
        <v>0</v>
      </c>
      <c r="K7" s="80">
        <f ca="1"/>
        <v>38257571.928347968</v>
      </c>
      <c r="L7" s="80">
        <f ca="1"/>
        <v>24817474.103762988</v>
      </c>
      <c r="M7" s="80">
        <f ca="1"/>
        <v>13076783.035850447</v>
      </c>
      <c r="N7" s="80">
        <f ca="1"/>
        <v>39826591.062013313</v>
      </c>
      <c r="O7" s="80">
        <f ca="1"/>
        <v>73790700.881238282</v>
      </c>
      <c r="P7" s="80">
        <f ca="1"/>
        <v>137844845.34697425</v>
      </c>
      <c r="Q7" s="80">
        <f ca="1"/>
        <v>204267832.95662114</v>
      </c>
      <c r="R7" s="80">
        <f ca="1"/>
        <v>284435007.1246289</v>
      </c>
      <c r="S7" s="80">
        <f ca="1"/>
        <v>84738012.883589551</v>
      </c>
      <c r="T7" s="80">
        <f ca="1"/>
        <v>138286052.58756104</v>
      </c>
      <c r="U7" s="80">
        <f ca="1"/>
        <v>127845892.22874048</v>
      </c>
      <c r="V7" s="80">
        <f ca="1"/>
        <v>134514389.06187347</v>
      </c>
      <c r="W7" s="80">
        <f ca="1"/>
        <v>191272362.82720914</v>
      </c>
      <c r="X7" s="80">
        <f ca="1"/>
        <v>297177990.8131218</v>
      </c>
      <c r="Y7" s="80">
        <f ca="1"/>
        <v>396917229.94091892</v>
      </c>
      <c r="Z7" s="80">
        <f ca="1"/>
        <v>522805062.74045104</v>
      </c>
      <c r="AA7" s="80">
        <f ca="1"/>
        <v>627314461.51658058</v>
      </c>
      <c r="AB7" s="80">
        <f ca="1"/>
        <v>724509806.00460756</v>
      </c>
      <c r="AC7" s="80">
        <f ca="1"/>
        <v>797034811.16896033</v>
      </c>
      <c r="AD7" s="80">
        <f ca="1"/>
        <v>871177218.74581575</v>
      </c>
      <c r="AE7" s="80">
        <f ca="1"/>
        <v>976811348.79554057</v>
      </c>
      <c r="AF7" s="80">
        <f ca="1"/>
        <v>1093474720.1019025</v>
      </c>
      <c r="AG7" s="80">
        <f ca="1"/>
        <v>1198837521.13573</v>
      </c>
      <c r="AH7" s="80">
        <f ca="1"/>
        <v>1302256102.4450233</v>
      </c>
    </row>
    <row r="8" spans="2:34">
      <c r="B8" s="99" t="str">
        <v xml:space="preserve">1.02 </v>
      </c>
      <c r="C8" s="121" t="str">
        <v>Ativo Não Circulante</v>
      </c>
      <c r="D8" s="93" t="str">
        <v/>
      </c>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row>
    <row r="9" spans="2:34">
      <c r="B9" s="99" t="str">
        <v>1.02.02</v>
      </c>
      <c r="C9" s="100" t="str">
        <v>Ativo Intangível</v>
      </c>
      <c r="D9" s="93" t="str">
        <v/>
      </c>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row>
    <row r="10" spans="2:34">
      <c r="B10" s="99" t="str">
        <v>1.02.02.01</v>
      </c>
      <c r="C10" s="120" t="str">
        <v>Intangível</v>
      </c>
      <c r="D10" s="93" t="str">
        <v>Itens 28, 29, 30, e 42 da OCPC 05.</v>
      </c>
      <c r="E10" s="80" cm="1">
        <f t="array" ref="E10:AH10">'BP Nominal'!E10:AH10 / (1 +'Painel Controle'!D$149:AG$149)</f>
        <v>178599736.04676378</v>
      </c>
      <c r="F10" s="80">
        <v>282687325.62212288</v>
      </c>
      <c r="G10" s="80">
        <v>615062551.75686514</v>
      </c>
      <c r="H10" s="80">
        <v>1409997321.9698603</v>
      </c>
      <c r="I10" s="80">
        <v>1816165448.8769391</v>
      </c>
      <c r="J10" s="80">
        <v>2182192069.8619304</v>
      </c>
      <c r="K10" s="80">
        <v>2027686461.8311789</v>
      </c>
      <c r="L10" s="80">
        <v>1937977251.364958</v>
      </c>
      <c r="M10" s="80">
        <v>1858359022.7017872</v>
      </c>
      <c r="N10" s="80">
        <v>1749986060.9572313</v>
      </c>
      <c r="O10" s="80">
        <v>1644750564.4167037</v>
      </c>
      <c r="P10" s="80">
        <v>1518817339.8288589</v>
      </c>
      <c r="Q10" s="80">
        <v>1400518412.9315274</v>
      </c>
      <c r="R10" s="80">
        <v>1277646913.1501338</v>
      </c>
      <c r="S10" s="80">
        <v>1449090566.6532574</v>
      </c>
      <c r="T10" s="80">
        <v>1366024322.0697484</v>
      </c>
      <c r="U10" s="80">
        <v>1354634229.8909428</v>
      </c>
      <c r="V10" s="80">
        <v>1328384509.1504369</v>
      </c>
      <c r="W10" s="80">
        <v>1252967849.6799369</v>
      </c>
      <c r="X10" s="80">
        <v>1132300309.0555799</v>
      </c>
      <c r="Y10" s="80">
        <v>1023582942.1777213</v>
      </c>
      <c r="Z10" s="80">
        <v>892428500.44960546</v>
      </c>
      <c r="AA10" s="80">
        <v>789050435.90915871</v>
      </c>
      <c r="AB10" s="80">
        <v>696804087.81930506</v>
      </c>
      <c r="AC10" s="80">
        <v>632723117.46738946</v>
      </c>
      <c r="AD10" s="80">
        <v>567102875.88677335</v>
      </c>
      <c r="AE10" s="80">
        <v>464754895.14674687</v>
      </c>
      <c r="AF10" s="80">
        <v>350397193.73302257</v>
      </c>
      <c r="AG10" s="80">
        <v>250434218.56039676</v>
      </c>
      <c r="AH10" s="80">
        <v>155206870.56981248</v>
      </c>
    </row>
    <row r="11" spans="2:34">
      <c r="B11" s="99" t="str">
        <v>1.02.02.02</v>
      </c>
      <c r="C11" s="120" t="str">
        <v>Dedução do Intangível por incorporação à DRE</v>
      </c>
      <c r="D11" s="93" t="str">
        <v>Para evitar circularidade no modelo, é necessário criar essa conta separada.</v>
      </c>
      <c r="E11" s="80" cm="1">
        <f t="array" ref="E11:AH11">'BP Nominal'!E11:AH11 / (1 +'Painel Controle'!D$149:AG$149)</f>
        <v>-5953324.5348921251</v>
      </c>
      <c r="F11" s="80">
        <v>-9747838.8145559616</v>
      </c>
      <c r="G11" s="80">
        <v>-21966519.705602325</v>
      </c>
      <c r="H11" s="80">
        <v>-52222123.035920754</v>
      </c>
      <c r="I11" s="80">
        <v>-69852517.264497668</v>
      </c>
      <c r="J11" s="80">
        <v>-87287682.794477209</v>
      </c>
      <c r="K11" s="80">
        <v>-84486935.909632459</v>
      </c>
      <c r="L11" s="80">
        <v>-84259880.494128615</v>
      </c>
      <c r="M11" s="80">
        <v>-84470864.668263063</v>
      </c>
      <c r="N11" s="80">
        <v>-83332669.569391966</v>
      </c>
      <c r="O11" s="80">
        <v>-82237528.220835194</v>
      </c>
      <c r="P11" s="80">
        <v>-79937754.727834687</v>
      </c>
      <c r="Q11" s="80">
        <v>-77806578.496195972</v>
      </c>
      <c r="R11" s="80">
        <v>-75155700.773537293</v>
      </c>
      <c r="S11" s="80">
        <v>-90568160.415828586</v>
      </c>
      <c r="T11" s="80">
        <v>-91068288.137983218</v>
      </c>
      <c r="U11" s="80">
        <v>-96759587.84935306</v>
      </c>
      <c r="V11" s="80">
        <v>-102183423.78080285</v>
      </c>
      <c r="W11" s="80">
        <v>-104413987.47332807</v>
      </c>
      <c r="X11" s="80">
        <v>-102936391.73232543</v>
      </c>
      <c r="Y11" s="80">
        <v>-102358294.21777213</v>
      </c>
      <c r="Z11" s="80">
        <v>-99158722.272178397</v>
      </c>
      <c r="AA11" s="80">
        <v>-98631304.488644838</v>
      </c>
      <c r="AB11" s="80">
        <v>-99543441.117043585</v>
      </c>
      <c r="AC11" s="80">
        <v>-105453852.91123156</v>
      </c>
      <c r="AD11" s="80">
        <v>-113420575.17735468</v>
      </c>
      <c r="AE11" s="80">
        <v>-116188723.78668672</v>
      </c>
      <c r="AF11" s="80">
        <v>-116799064.57767418</v>
      </c>
      <c r="AG11" s="80">
        <v>-125217109.28019838</v>
      </c>
      <c r="AH11" s="80">
        <v>-155206870.56981248</v>
      </c>
    </row>
    <row r="12" spans="2:34">
      <c r="B12" s="99" t="str">
        <v>1.02.02.03</v>
      </c>
      <c r="C12" s="120" t="str">
        <v>Ativo Financeiro | Aporte estatal</v>
      </c>
      <c r="D12" s="93" t="str">
        <v>Item 16 do ICPC 01. Assim como foi feito na modelagem do Rodoanel, reconhece-se o valor do Ativo Financeiro, no momento de assinatura do contrato, pelo valor total das contraprestações e aportes estatais.</v>
      </c>
      <c r="E12" s="80">
        <f ca="1">'Painel Controle'!C18</f>
        <v>1830000000</v>
      </c>
      <c r="F12" s="80">
        <f ca="1">E12+E13</f>
        <v>1718919000</v>
      </c>
      <c r="G12" s="80">
        <f ca="1">F12+F13</f>
        <v>1718919000</v>
      </c>
      <c r="H12" s="80">
        <f ca="1">G12+G13</f>
        <v>1465830000</v>
      </c>
      <c r="I12" s="80">
        <f ca="1">H12+H13</f>
        <v>733647000</v>
      </c>
      <c r="J12" s="80">
        <f t="shared" ref="J12:AH12" ca="1" si="1">I12+I13</f>
        <v>368745000</v>
      </c>
      <c r="K12" s="80">
        <f t="shared" ca="1" si="1"/>
        <v>0</v>
      </c>
      <c r="L12" s="80">
        <f t="shared" ca="1" si="1"/>
        <v>0</v>
      </c>
      <c r="M12" s="80">
        <f t="shared" ca="1" si="1"/>
        <v>0</v>
      </c>
      <c r="N12" s="80">
        <f t="shared" ca="1" si="1"/>
        <v>0</v>
      </c>
      <c r="O12" s="80">
        <f t="shared" ca="1" si="1"/>
        <v>0</v>
      </c>
      <c r="P12" s="80">
        <f t="shared" ca="1" si="1"/>
        <v>0</v>
      </c>
      <c r="Q12" s="80">
        <f t="shared" ca="1" si="1"/>
        <v>0</v>
      </c>
      <c r="R12" s="80">
        <f t="shared" ca="1" si="1"/>
        <v>0</v>
      </c>
      <c r="S12" s="80">
        <f t="shared" ca="1" si="1"/>
        <v>0</v>
      </c>
      <c r="T12" s="80">
        <f t="shared" ca="1" si="1"/>
        <v>0</v>
      </c>
      <c r="U12" s="80">
        <f t="shared" ca="1" si="1"/>
        <v>0</v>
      </c>
      <c r="V12" s="80">
        <f t="shared" ca="1" si="1"/>
        <v>0</v>
      </c>
      <c r="W12" s="80">
        <f t="shared" ca="1" si="1"/>
        <v>0</v>
      </c>
      <c r="X12" s="80">
        <f t="shared" ca="1" si="1"/>
        <v>0</v>
      </c>
      <c r="Y12" s="80">
        <f t="shared" ca="1" si="1"/>
        <v>0</v>
      </c>
      <c r="Z12" s="80">
        <f t="shared" ca="1" si="1"/>
        <v>0</v>
      </c>
      <c r="AA12" s="80">
        <f t="shared" ca="1" si="1"/>
        <v>0</v>
      </c>
      <c r="AB12" s="80">
        <f t="shared" ca="1" si="1"/>
        <v>0</v>
      </c>
      <c r="AC12" s="80">
        <f t="shared" ca="1" si="1"/>
        <v>0</v>
      </c>
      <c r="AD12" s="80">
        <f t="shared" ca="1" si="1"/>
        <v>0</v>
      </c>
      <c r="AE12" s="80">
        <f t="shared" ca="1" si="1"/>
        <v>0</v>
      </c>
      <c r="AF12" s="80">
        <f t="shared" ca="1" si="1"/>
        <v>0</v>
      </c>
      <c r="AG12" s="80">
        <f t="shared" ca="1" si="1"/>
        <v>0</v>
      </c>
      <c r="AH12" s="80">
        <f t="shared" ca="1" si="1"/>
        <v>0</v>
      </c>
    </row>
    <row r="13" spans="2:34">
      <c r="B13" s="99" t="str">
        <v>1.02.02.04</v>
      </c>
      <c r="C13" s="120" t="str">
        <v>Dedução do Ativo Financeiro | Aporte estatal</v>
      </c>
      <c r="D13" s="93" t="str">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13" s="80" cm="1">
        <f t="array" aca="1" ref="E13:AH13" ca="1">Aporte!E257:AH257</f>
        <v>-111081000</v>
      </c>
      <c r="F13" s="80">
        <f ca="1"/>
        <v>0</v>
      </c>
      <c r="G13" s="80">
        <f ca="1"/>
        <v>-253089000</v>
      </c>
      <c r="H13" s="80">
        <f ca="1"/>
        <v>-732183000</v>
      </c>
      <c r="I13" s="80">
        <f ca="1"/>
        <v>-364902000</v>
      </c>
      <c r="J13" s="80">
        <f ca="1"/>
        <v>-368745000</v>
      </c>
      <c r="K13" s="80">
        <f ca="1"/>
        <v>0</v>
      </c>
      <c r="L13" s="80">
        <f ca="1"/>
        <v>0</v>
      </c>
      <c r="M13" s="80">
        <f ca="1"/>
        <v>0</v>
      </c>
      <c r="N13" s="80">
        <f ca="1"/>
        <v>0</v>
      </c>
      <c r="O13" s="80">
        <f ca="1"/>
        <v>0</v>
      </c>
      <c r="P13" s="80">
        <f ca="1"/>
        <v>0</v>
      </c>
      <c r="Q13" s="80">
        <f ca="1"/>
        <v>0</v>
      </c>
      <c r="R13" s="80">
        <f ca="1"/>
        <v>0</v>
      </c>
      <c r="S13" s="80">
        <f ca="1"/>
        <v>0</v>
      </c>
      <c r="T13" s="80">
        <f ca="1"/>
        <v>0</v>
      </c>
      <c r="U13" s="80">
        <f ca="1"/>
        <v>0</v>
      </c>
      <c r="V13" s="80">
        <f ca="1"/>
        <v>0</v>
      </c>
      <c r="W13" s="80">
        <f ca="1"/>
        <v>0</v>
      </c>
      <c r="X13" s="80">
        <f ca="1"/>
        <v>0</v>
      </c>
      <c r="Y13" s="80">
        <f ca="1"/>
        <v>0</v>
      </c>
      <c r="Z13" s="80">
        <f ca="1"/>
        <v>0</v>
      </c>
      <c r="AA13" s="80">
        <f ca="1"/>
        <v>0</v>
      </c>
      <c r="AB13" s="80">
        <f ca="1"/>
        <v>0</v>
      </c>
      <c r="AC13" s="80">
        <f ca="1"/>
        <v>0</v>
      </c>
      <c r="AD13" s="80">
        <f ca="1"/>
        <v>0</v>
      </c>
      <c r="AE13" s="80">
        <f ca="1"/>
        <v>0</v>
      </c>
      <c r="AF13" s="80">
        <f ca="1"/>
        <v>0</v>
      </c>
      <c r="AG13" s="80">
        <f ca="1"/>
        <v>0</v>
      </c>
      <c r="AH13" s="80">
        <f ca="1"/>
        <v>0</v>
      </c>
    </row>
    <row r="14" spans="2:34">
      <c r="B14" s="99" t="str">
        <v>1.02.02.05</v>
      </c>
      <c r="C14" s="120" t="str">
        <v>Ativo Financeiro | Contraprestação pecuniária</v>
      </c>
      <c r="D14" s="93" t="str">
        <v>Item 16 do ICPC 01. Assim como foi feito na modelagem do Rodoanel, reconhece-se o valor do Ativo Financeiro, no momento de assinatura do contrato, pelo valor total das contraprestações e aportes estatais.</v>
      </c>
      <c r="E14" s="80" cm="1">
        <f t="array" ref="E14:AH14">'BP Nominal'!E14:AH14 / (1 +'Painel Controle'!D$149:AG$149)</f>
        <v>0</v>
      </c>
      <c r="F14" s="80">
        <v>0</v>
      </c>
      <c r="G14" s="80">
        <v>0</v>
      </c>
      <c r="H14" s="80">
        <v>0</v>
      </c>
      <c r="I14" s="80">
        <v>0</v>
      </c>
      <c r="J14" s="80">
        <v>0</v>
      </c>
      <c r="K14" s="80">
        <v>0</v>
      </c>
      <c r="L14" s="80">
        <v>0</v>
      </c>
      <c r="M14" s="80">
        <v>0</v>
      </c>
      <c r="N14" s="80">
        <v>0</v>
      </c>
      <c r="O14" s="80">
        <v>0</v>
      </c>
      <c r="P14" s="80">
        <v>0</v>
      </c>
      <c r="Q14" s="80">
        <v>0</v>
      </c>
      <c r="R14" s="80">
        <v>0</v>
      </c>
      <c r="S14" s="80">
        <v>0</v>
      </c>
      <c r="T14" s="80">
        <v>0</v>
      </c>
      <c r="U14" s="80">
        <v>0</v>
      </c>
      <c r="V14" s="80">
        <v>0</v>
      </c>
      <c r="W14" s="80">
        <v>0</v>
      </c>
      <c r="X14" s="80">
        <v>0</v>
      </c>
      <c r="Y14" s="80">
        <v>0</v>
      </c>
      <c r="Z14" s="80">
        <v>0</v>
      </c>
      <c r="AA14" s="80">
        <v>0</v>
      </c>
      <c r="AB14" s="80">
        <v>0</v>
      </c>
      <c r="AC14" s="80">
        <v>0</v>
      </c>
      <c r="AD14" s="80">
        <v>0</v>
      </c>
      <c r="AE14" s="80">
        <v>0</v>
      </c>
      <c r="AF14" s="80">
        <v>0</v>
      </c>
      <c r="AG14" s="80">
        <v>0</v>
      </c>
      <c r="AH14" s="80">
        <v>0</v>
      </c>
    </row>
    <row r="15" spans="2:34">
      <c r="B15" s="99" t="str">
        <v>1.02.02.06</v>
      </c>
      <c r="C15" s="120" t="str">
        <v>Dedução do Ativo Financeiro | Contraprestação pecuniária</v>
      </c>
      <c r="D15" s="93" t="str">
        <v>À medida que a contraprestação pecuniária for sendo recebida, vai-se abatendo o seu respectivo Ativo Financeiro.</v>
      </c>
      <c r="E15" s="80" cm="1">
        <f t="array" ref="E15:AH15">'BP Nominal'!E15:AH15 / (1 +'Painel Controle'!D$149:AG$149)</f>
        <v>0</v>
      </c>
      <c r="F15" s="80">
        <v>0</v>
      </c>
      <c r="G15" s="80">
        <v>0</v>
      </c>
      <c r="H15" s="80">
        <v>0</v>
      </c>
      <c r="I15" s="80">
        <v>0</v>
      </c>
      <c r="J15" s="80">
        <v>0</v>
      </c>
      <c r="K15" s="80">
        <v>0</v>
      </c>
      <c r="L15" s="80">
        <v>0</v>
      </c>
      <c r="M15" s="80">
        <v>0</v>
      </c>
      <c r="N15" s="80">
        <v>0</v>
      </c>
      <c r="O15" s="80">
        <v>0</v>
      </c>
      <c r="P15" s="80">
        <v>0</v>
      </c>
      <c r="Q15" s="80">
        <v>0</v>
      </c>
      <c r="R15" s="80">
        <v>0</v>
      </c>
      <c r="S15" s="80">
        <v>0</v>
      </c>
      <c r="T15" s="80">
        <v>0</v>
      </c>
      <c r="U15" s="80">
        <v>0</v>
      </c>
      <c r="V15" s="80">
        <v>0</v>
      </c>
      <c r="W15" s="80">
        <v>0</v>
      </c>
      <c r="X15" s="80">
        <v>0</v>
      </c>
      <c r="Y15" s="80">
        <v>0</v>
      </c>
      <c r="Z15" s="80">
        <v>0</v>
      </c>
      <c r="AA15" s="80">
        <v>0</v>
      </c>
      <c r="AB15" s="80">
        <v>0</v>
      </c>
      <c r="AC15" s="80">
        <v>0</v>
      </c>
      <c r="AD15" s="80">
        <v>0</v>
      </c>
      <c r="AE15" s="80">
        <v>0</v>
      </c>
      <c r="AF15" s="80">
        <v>0</v>
      </c>
      <c r="AG15" s="80">
        <v>0</v>
      </c>
      <c r="AH15" s="80">
        <v>0</v>
      </c>
    </row>
    <row r="16" spans="2:34">
      <c r="B16" s="98" t="str">
        <v>2</v>
      </c>
      <c r="C16" s="117" t="str">
        <v>Passivo Total</v>
      </c>
      <c r="D16" s="93" t="str">
        <v/>
      </c>
      <c r="E16" s="77">
        <f t="shared" ref="E16:AH16" ca="1" si="2">SUM(E19:E29)</f>
        <v>1894811736.2332315</v>
      </c>
      <c r="F16" s="77">
        <f t="shared" ca="1" si="2"/>
        <v>1991858486.8075669</v>
      </c>
      <c r="G16" s="77">
        <f t="shared" ca="1" si="2"/>
        <v>2058926032.0512626</v>
      </c>
      <c r="H16" s="77">
        <f t="shared" ca="1" si="2"/>
        <v>2091422198.9339395</v>
      </c>
      <c r="I16" s="77">
        <f t="shared" ca="1" si="2"/>
        <v>2115057931.6124411</v>
      </c>
      <c r="J16" s="77">
        <f t="shared" ca="1" si="2"/>
        <v>2094904387.0674534</v>
      </c>
      <c r="K16" s="77">
        <f t="shared" ca="1" si="2"/>
        <v>1981457097.8498945</v>
      </c>
      <c r="L16" s="77">
        <f t="shared" ca="1" si="2"/>
        <v>1878534844.9745924</v>
      </c>
      <c r="M16" s="77">
        <f t="shared" ca="1" si="2"/>
        <v>1786964941.0693746</v>
      </c>
      <c r="N16" s="77">
        <f t="shared" ca="1" si="2"/>
        <v>1706479982.4498525</v>
      </c>
      <c r="O16" s="77">
        <f t="shared" ca="1" si="2"/>
        <v>1636303737.077107</v>
      </c>
      <c r="P16" s="77">
        <f t="shared" ca="1" si="2"/>
        <v>1576724430.4479983</v>
      </c>
      <c r="Q16" s="77">
        <f t="shared" ca="1" si="2"/>
        <v>1526979667.3919525</v>
      </c>
      <c r="R16" s="77">
        <f t="shared" ca="1" si="2"/>
        <v>1486926219.5012252</v>
      </c>
      <c r="S16" s="77">
        <f t="shared" ca="1" si="2"/>
        <v>1443260419.1210184</v>
      </c>
      <c r="T16" s="77">
        <f t="shared" ca="1" si="2"/>
        <v>1413242086.519326</v>
      </c>
      <c r="U16" s="77">
        <f t="shared" ca="1" si="2"/>
        <v>1385720534.2703304</v>
      </c>
      <c r="V16" s="77">
        <f t="shared" ca="1" si="2"/>
        <v>1360715474.4315081</v>
      </c>
      <c r="W16" s="77">
        <f t="shared" ca="1" si="2"/>
        <v>1339826225.0338185</v>
      </c>
      <c r="X16" s="77">
        <f t="shared" ca="1" si="2"/>
        <v>1326541908.1363764</v>
      </c>
      <c r="Y16" s="77">
        <f t="shared" ca="1" si="2"/>
        <v>1318141877.9008682</v>
      </c>
      <c r="Z16" s="77">
        <f t="shared" ca="1" si="2"/>
        <v>1316074840.9178782</v>
      </c>
      <c r="AA16" s="77">
        <f t="shared" ca="1" si="2"/>
        <v>1317733592.9370944</v>
      </c>
      <c r="AB16" s="77">
        <f t="shared" ca="1" si="2"/>
        <v>1321770452.7068691</v>
      </c>
      <c r="AC16" s="77">
        <f t="shared" ca="1" si="2"/>
        <v>1324304075.7251182</v>
      </c>
      <c r="AD16" s="77">
        <f t="shared" ca="1" si="2"/>
        <v>1324859519.4552345</v>
      </c>
      <c r="AE16" s="77">
        <f t="shared" ca="1" si="2"/>
        <v>1325377520.155601</v>
      </c>
      <c r="AF16" s="77">
        <f t="shared" ca="1" si="2"/>
        <v>1327072849.257251</v>
      </c>
      <c r="AG16" s="77">
        <f t="shared" ca="1" si="2"/>
        <v>1324054630.4159286</v>
      </c>
      <c r="AH16" s="77">
        <f t="shared" ca="1" si="2"/>
        <v>1302256102.4450233</v>
      </c>
    </row>
    <row r="17" spans="2:34" hidden="1">
      <c r="B17" s="99" t="str">
        <v xml:space="preserve">2.01 </v>
      </c>
      <c r="C17" s="118" t="str">
        <v>Passivo Circulante</v>
      </c>
      <c r="D17" s="93">
        <v>0</v>
      </c>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row>
    <row r="18" spans="2:34" hidden="1">
      <c r="B18" s="99" t="str">
        <v>2.01.01</v>
      </c>
      <c r="C18" s="100" t="str">
        <v>Empréstimos e Financiamentos</v>
      </c>
      <c r="D18" s="89" t="str">
        <v>Considerando que o presente modelo é de periodiciade anual, e considerando que o concessionário terá condições (e procurará fazê-lo) de se financiar em longo prazo, optou-se por não modelar a conta "Empréstimos e Financiamentos" do Passivo Circulante.</v>
      </c>
      <c r="E18" s="88"/>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row>
    <row r="19" spans="2:34">
      <c r="B19" s="99" t="str">
        <v>2.02</v>
      </c>
      <c r="C19" s="118" t="str">
        <v>Passivo Não Circulante</v>
      </c>
      <c r="D19" s="93" t="str">
        <v/>
      </c>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row>
    <row r="20" spans="2:34">
      <c r="B20" s="99" t="str">
        <v xml:space="preserve">2.02.01 </v>
      </c>
      <c r="C20" s="100" t="str">
        <v>Empréstimos e Financiamentos</v>
      </c>
      <c r="D20" s="93" t="str">
        <v>Vide comentário da conta "Caixa e Equivalentes de Caixa".</v>
      </c>
      <c r="E20" s="80" cm="1">
        <f t="array" aca="1" ref="E20:AH20" ca="1">'BP Nominal'!E20:AH20 / (1 +'Painel Controle'!D$149:AG$149)</f>
        <v>0</v>
      </c>
      <c r="F20" s="80">
        <f ca="1"/>
        <v>74903873.001701027</v>
      </c>
      <c r="G20" s="80">
        <f ca="1"/>
        <v>117582634.73260531</v>
      </c>
      <c r="H20" s="80">
        <f ca="1"/>
        <v>172736667.43222597</v>
      </c>
      <c r="I20" s="80">
        <f ca="1"/>
        <v>255180883.3230215</v>
      </c>
      <c r="J20" s="80">
        <f ca="1"/>
        <v>326110178.02572608</v>
      </c>
      <c r="K20" s="80">
        <f ca="1"/>
        <v>302245386.08292824</v>
      </c>
      <c r="L20" s="80">
        <f ca="1"/>
        <v>279640691.57122308</v>
      </c>
      <c r="M20" s="80">
        <f ca="1"/>
        <v>258237498.19786039</v>
      </c>
      <c r="N20" s="80">
        <f ca="1"/>
        <v>237979754.87348682</v>
      </c>
      <c r="O20" s="80">
        <f ca="1"/>
        <v>218813849.77196079</v>
      </c>
      <c r="P20" s="80">
        <f ca="1"/>
        <v>200688508.67287385</v>
      </c>
      <c r="Q20" s="80">
        <f ca="1"/>
        <v>183554697.41728887</v>
      </c>
      <c r="R20" s="80">
        <f ca="1"/>
        <v>167365528.31380525</v>
      </c>
      <c r="S20" s="80">
        <f ca="1"/>
        <v>152076170.33840761</v>
      </c>
      <c r="T20" s="80">
        <f ca="1"/>
        <v>137643762.97765702</v>
      </c>
      <c r="U20" s="80">
        <f ca="1"/>
        <v>124027333.57065061</v>
      </c>
      <c r="V20" s="80">
        <f ca="1"/>
        <v>111187718.01081687</v>
      </c>
      <c r="W20" s="80">
        <f ca="1"/>
        <v>99087484.674038827</v>
      </c>
      <c r="X20" s="80">
        <f ca="1"/>
        <v>87690861.444811329</v>
      </c>
      <c r="Y20" s="80">
        <f ca="1"/>
        <v>76963665.717154354</v>
      </c>
      <c r="Z20" s="80">
        <f ca="1"/>
        <v>66873237.251823626</v>
      </c>
      <c r="AA20" s="80">
        <f ca="1"/>
        <v>57388373.77599591</v>
      </c>
      <c r="AB20" s="80">
        <f ca="1"/>
        <v>48479269.216061421</v>
      </c>
      <c r="AC20" s="80">
        <f ca="1"/>
        <v>40117454.458440475</v>
      </c>
      <c r="AD20" s="80">
        <f ca="1"/>
        <v>32275740.537459347</v>
      </c>
      <c r="AE20" s="80">
        <f ca="1"/>
        <v>24928164.153280053</v>
      </c>
      <c r="AF20" s="80">
        <f ca="1"/>
        <v>18049935.426684726</v>
      </c>
      <c r="AG20" s="80">
        <f ca="1"/>
        <v>11617387.801174439</v>
      </c>
      <c r="AH20" s="80">
        <f ca="1"/>
        <v>5607930.0063595474</v>
      </c>
    </row>
    <row r="21" spans="2:34">
      <c r="B21" s="99" t="str">
        <v>2.02.02</v>
      </c>
      <c r="C21" s="100" t="str">
        <v>Receita a Realizar | Aporte estatal (Art. 6º, §2º, lei 11.079/2004)</v>
      </c>
      <c r="D21" s="93" t="str">
        <v>Item 16 do ICPC 01. Assim como foi feito na modelagem do Rodoanel, reconhece-se o valor do Ativo Financeiro, no momento de assinatura do contrato, pelo valor total das contraprestações e aportes estatais.</v>
      </c>
      <c r="E21" s="80" cm="1">
        <f t="array" aca="1" ref="E21:AH21" ca="1">'BP Nominal'!E21:AH21 / (1 +'Painel Controle'!D$149:AG$149)</f>
        <v>1830000000</v>
      </c>
      <c r="F21" s="80">
        <f ca="1"/>
        <v>1718919000</v>
      </c>
      <c r="G21" s="80">
        <f ca="1"/>
        <v>1718919000</v>
      </c>
      <c r="H21" s="80">
        <f ca="1"/>
        <v>1465830000</v>
      </c>
      <c r="I21" s="80">
        <f ca="1"/>
        <v>733647000</v>
      </c>
      <c r="J21" s="80">
        <f ca="1"/>
        <v>368745000</v>
      </c>
      <c r="K21" s="80">
        <f ca="1"/>
        <v>0</v>
      </c>
      <c r="L21" s="80">
        <f ca="1"/>
        <v>0</v>
      </c>
      <c r="M21" s="80">
        <f ca="1"/>
        <v>0</v>
      </c>
      <c r="N21" s="80">
        <f ca="1"/>
        <v>0</v>
      </c>
      <c r="O21" s="80">
        <f ca="1"/>
        <v>0</v>
      </c>
      <c r="P21" s="80">
        <f ca="1"/>
        <v>0</v>
      </c>
      <c r="Q21" s="80">
        <f ca="1"/>
        <v>0</v>
      </c>
      <c r="R21" s="80">
        <f ca="1"/>
        <v>0</v>
      </c>
      <c r="S21" s="80">
        <f ca="1"/>
        <v>0</v>
      </c>
      <c r="T21" s="80">
        <f ca="1"/>
        <v>0</v>
      </c>
      <c r="U21" s="80">
        <f ca="1"/>
        <v>0</v>
      </c>
      <c r="V21" s="80">
        <f ca="1"/>
        <v>0</v>
      </c>
      <c r="W21" s="80">
        <f ca="1"/>
        <v>0</v>
      </c>
      <c r="X21" s="80">
        <f ca="1"/>
        <v>0</v>
      </c>
      <c r="Y21" s="80">
        <f ca="1"/>
        <v>0</v>
      </c>
      <c r="Z21" s="80">
        <f ca="1"/>
        <v>0</v>
      </c>
      <c r="AA21" s="80">
        <f ca="1"/>
        <v>0</v>
      </c>
      <c r="AB21" s="80">
        <f ca="1"/>
        <v>0</v>
      </c>
      <c r="AC21" s="80">
        <f ca="1"/>
        <v>0</v>
      </c>
      <c r="AD21" s="80">
        <f ca="1"/>
        <v>0</v>
      </c>
      <c r="AE21" s="80">
        <f ca="1"/>
        <v>0</v>
      </c>
      <c r="AF21" s="80">
        <f ca="1"/>
        <v>0</v>
      </c>
      <c r="AG21" s="80">
        <f ca="1"/>
        <v>0</v>
      </c>
      <c r="AH21" s="80">
        <f ca="1"/>
        <v>0</v>
      </c>
    </row>
    <row r="22" spans="2:34">
      <c r="B22" s="99" t="str">
        <v>2.02.03</v>
      </c>
      <c r="C22" s="100" t="str">
        <v>Dedução da Receita a Realizar | Aporte estatal</v>
      </c>
      <c r="D22" s="93" t="str">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22" s="80" cm="1">
        <f t="array" aca="1" ref="E22:AH22" ca="1">'BP Nominal'!E22:AH22 / (1 +'Painel Controle'!D$149:AG$149)</f>
        <v>-111081000</v>
      </c>
      <c r="F22" s="80">
        <f ca="1"/>
        <v>0</v>
      </c>
      <c r="G22" s="80">
        <f ca="1"/>
        <v>-253088999.99999997</v>
      </c>
      <c r="H22" s="80">
        <f ca="1"/>
        <v>-732183000</v>
      </c>
      <c r="I22" s="80">
        <f ca="1"/>
        <v>-364902000</v>
      </c>
      <c r="J22" s="80">
        <f ca="1"/>
        <v>-368745000</v>
      </c>
      <c r="K22" s="80">
        <f ca="1"/>
        <v>0</v>
      </c>
      <c r="L22" s="80">
        <f ca="1"/>
        <v>0</v>
      </c>
      <c r="M22" s="80">
        <f ca="1"/>
        <v>0</v>
      </c>
      <c r="N22" s="80">
        <f ca="1"/>
        <v>0</v>
      </c>
      <c r="O22" s="80">
        <f ca="1"/>
        <v>0</v>
      </c>
      <c r="P22" s="80">
        <f ca="1"/>
        <v>0</v>
      </c>
      <c r="Q22" s="80">
        <f ca="1"/>
        <v>0</v>
      </c>
      <c r="R22" s="80">
        <f ca="1"/>
        <v>0</v>
      </c>
      <c r="S22" s="80">
        <f ca="1"/>
        <v>0</v>
      </c>
      <c r="T22" s="80">
        <f ca="1"/>
        <v>0</v>
      </c>
      <c r="U22" s="80">
        <f ca="1"/>
        <v>0</v>
      </c>
      <c r="V22" s="80">
        <f ca="1"/>
        <v>0</v>
      </c>
      <c r="W22" s="80">
        <f ca="1"/>
        <v>0</v>
      </c>
      <c r="X22" s="80">
        <f ca="1"/>
        <v>0</v>
      </c>
      <c r="Y22" s="80">
        <f ca="1"/>
        <v>0</v>
      </c>
      <c r="Z22" s="80">
        <f ca="1"/>
        <v>0</v>
      </c>
      <c r="AA22" s="80">
        <f ca="1"/>
        <v>0</v>
      </c>
      <c r="AB22" s="80">
        <f ca="1"/>
        <v>0</v>
      </c>
      <c r="AC22" s="80">
        <f ca="1"/>
        <v>0</v>
      </c>
      <c r="AD22" s="80">
        <f ca="1"/>
        <v>0</v>
      </c>
      <c r="AE22" s="80">
        <f ca="1"/>
        <v>0</v>
      </c>
      <c r="AF22" s="80">
        <f ca="1"/>
        <v>0</v>
      </c>
      <c r="AG22" s="80">
        <f ca="1"/>
        <v>0</v>
      </c>
      <c r="AH22" s="80">
        <f ca="1"/>
        <v>0</v>
      </c>
    </row>
    <row r="23" spans="2:34">
      <c r="B23" s="99" t="str">
        <v>2.02.04</v>
      </c>
      <c r="C23" s="100" t="str">
        <v>Receita Diferida referente ao levantamento do Aporte estatal (Art. 6º, §2º, lei 11.079/2004)</v>
      </c>
      <c r="D23" s="93" t="str">
        <v>Art. 500 e parágrafos do decreto 9.580/2018</v>
      </c>
      <c r="E23" s="80" cm="1">
        <f t="array" aca="1" ref="E23:AH23" ca="1">'BP Nominal'!E23:AH23 / (1 +'Painel Controle'!D$149:AG$149)</f>
        <v>111081000</v>
      </c>
      <c r="F23" s="80">
        <f ca="1"/>
        <v>103347738.20981716</v>
      </c>
      <c r="G23" s="80">
        <f ca="1"/>
        <v>349424222.14629638</v>
      </c>
      <c r="H23" s="80">
        <f ca="1"/>
        <v>1057482078.6262517</v>
      </c>
      <c r="I23" s="80">
        <f ca="1"/>
        <v>1348022366.5902376</v>
      </c>
      <c r="J23" s="80">
        <f ca="1"/>
        <v>1620121088.5215418</v>
      </c>
      <c r="K23" s="80">
        <f ca="1"/>
        <v>1501560383.259973</v>
      </c>
      <c r="L23" s="80">
        <f ca="1"/>
        <v>1389259864.1540911</v>
      </c>
      <c r="M23" s="80">
        <f ca="1"/>
        <v>1282928423.7929935</v>
      </c>
      <c r="N23" s="80">
        <f ca="1"/>
        <v>1182287599.3809292</v>
      </c>
      <c r="O23" s="80">
        <f ca="1"/>
        <v>1087071046.4245987</v>
      </c>
      <c r="P23" s="80">
        <f ca="1"/>
        <v>997024033.69701552</v>
      </c>
      <c r="Q23" s="80">
        <f ca="1"/>
        <v>911902958.63590205</v>
      </c>
      <c r="R23" s="80">
        <f ca="1"/>
        <v>831474882.36737752</v>
      </c>
      <c r="S23" s="80">
        <f ca="1"/>
        <v>755517083.57723165</v>
      </c>
      <c r="T23" s="80">
        <f ca="1"/>
        <v>683816630.48238528</v>
      </c>
      <c r="U23" s="80">
        <f ca="1"/>
        <v>616169970.18429518</v>
      </c>
      <c r="V23" s="80">
        <f ca="1"/>
        <v>552382534.71408141</v>
      </c>
      <c r="W23" s="80">
        <f ca="1"/>
        <v>492268363.10610723</v>
      </c>
      <c r="X23" s="80">
        <f ca="1"/>
        <v>435649738.86264873</v>
      </c>
      <c r="Y23" s="80">
        <f ca="1"/>
        <v>382356842.19720256</v>
      </c>
      <c r="Z23" s="80">
        <f ca="1"/>
        <v>332227416.46793038</v>
      </c>
      <c r="AA23" s="80">
        <f ca="1"/>
        <v>285106448.23576438</v>
      </c>
      <c r="AB23" s="80">
        <f ca="1"/>
        <v>240845860.40383646</v>
      </c>
      <c r="AC23" s="80">
        <f ca="1"/>
        <v>199304217.91617504</v>
      </c>
      <c r="AD23" s="80">
        <f ca="1"/>
        <v>160346445.51407528</v>
      </c>
      <c r="AE23" s="80">
        <f ca="1"/>
        <v>123843557.06821802</v>
      </c>
      <c r="AF23" s="80">
        <f ca="1"/>
        <v>89672396.023521453</v>
      </c>
      <c r="AG23" s="80">
        <f ca="1"/>
        <v>57715386.51188869</v>
      </c>
      <c r="AH23" s="80">
        <f ca="1"/>
        <v>27860294.705487877</v>
      </c>
    </row>
    <row r="24" spans="2:34">
      <c r="B24" s="99" t="str">
        <v>2.02.05</v>
      </c>
      <c r="C24" s="100" t="str">
        <v>Realização da "Receita Diferida referente ao levantamento do Aporte estatal"</v>
      </c>
      <c r="D24" s="93" t="str">
        <v>Para evitar circularidade no modelo, é necessário criar essa conta separada.</v>
      </c>
      <c r="E24" s="80" cm="1">
        <f t="array" aca="1" ref="E24:AH24" ca="1">'BP Nominal'!E24:AH24 / (1 +'Painel Controle'!D$149:AG$149)</f>
        <v>-3702700</v>
      </c>
      <c r="F24" s="80">
        <f ca="1"/>
        <v>-3563715.1106833499</v>
      </c>
      <c r="G24" s="80">
        <f ca="1"/>
        <v>-12479436.505224869</v>
      </c>
      <c r="H24" s="80">
        <f ca="1"/>
        <v>-39166002.912083395</v>
      </c>
      <c r="I24" s="80">
        <f ca="1"/>
        <v>-51847014.099624522</v>
      </c>
      <c r="J24" s="80">
        <f ca="1"/>
        <v>-64804843.540861674</v>
      </c>
      <c r="K24" s="80">
        <f ca="1"/>
        <v>-62565015.969165541</v>
      </c>
      <c r="L24" s="80">
        <f ca="1"/>
        <v>-60402602.789308302</v>
      </c>
      <c r="M24" s="80">
        <f ca="1"/>
        <v>-58314928.354226984</v>
      </c>
      <c r="N24" s="80">
        <f ca="1"/>
        <v>-56299409.494329967</v>
      </c>
      <c r="O24" s="80">
        <f ca="1"/>
        <v>-54353552.321229935</v>
      </c>
      <c r="P24" s="80">
        <f ca="1"/>
        <v>-52474949.141948186</v>
      </c>
      <c r="Q24" s="80">
        <f ca="1"/>
        <v>-50661275.479772329</v>
      </c>
      <c r="R24" s="80">
        <f ca="1"/>
        <v>-48910287.198081031</v>
      </c>
      <c r="S24" s="80">
        <f ca="1"/>
        <v>-47219817.723576978</v>
      </c>
      <c r="T24" s="80">
        <f ca="1"/>
        <v>-45587775.365492351</v>
      </c>
      <c r="U24" s="80">
        <f ca="1"/>
        <v>-44012140.727449656</v>
      </c>
      <c r="V24" s="80">
        <f ca="1"/>
        <v>-42490964.208775491</v>
      </c>
      <c r="W24" s="80">
        <f ca="1"/>
        <v>-41022363.592175603</v>
      </c>
      <c r="X24" s="80">
        <f ca="1"/>
        <v>-39604521.714786246</v>
      </c>
      <c r="Y24" s="80">
        <f ca="1"/>
        <v>-38235684.219720259</v>
      </c>
      <c r="Z24" s="80">
        <f ca="1"/>
        <v>-36914157.385325596</v>
      </c>
      <c r="AA24" s="80">
        <f ca="1"/>
        <v>-35638306.029470548</v>
      </c>
      <c r="AB24" s="80">
        <f ca="1"/>
        <v>-34406551.486262351</v>
      </c>
      <c r="AC24" s="80">
        <f ca="1"/>
        <v>-33217369.652695838</v>
      </c>
      <c r="AD24" s="80">
        <f ca="1"/>
        <v>-32069289.102815058</v>
      </c>
      <c r="AE24" s="80">
        <f ca="1"/>
        <v>-30960889.267054506</v>
      </c>
      <c r="AF24" s="80">
        <f ca="1"/>
        <v>-29890798.674507149</v>
      </c>
      <c r="AG24" s="80">
        <f ca="1"/>
        <v>-28857693.255944345</v>
      </c>
      <c r="AH24" s="80">
        <f ca="1"/>
        <v>-27860294.705487877</v>
      </c>
    </row>
    <row r="25" spans="2:34">
      <c r="B25" s="99" t="str">
        <v>2.02.06</v>
      </c>
      <c r="C25" s="100" t="str">
        <v>Receita a Realizar | Contraprestação pecuniária</v>
      </c>
      <c r="D25" s="93" t="str">
        <v/>
      </c>
      <c r="E25" s="80" cm="1">
        <f t="array" ref="E25:AH25">'BP Nominal'!E25:AH25 / (1 +'Painel Controle'!D$149:AG$149)</f>
        <v>0</v>
      </c>
      <c r="F25" s="80">
        <v>0</v>
      </c>
      <c r="G25" s="80">
        <v>0</v>
      </c>
      <c r="H25" s="80">
        <v>0</v>
      </c>
      <c r="I25" s="80">
        <v>0</v>
      </c>
      <c r="J25" s="80">
        <v>0</v>
      </c>
      <c r="K25" s="80">
        <v>0</v>
      </c>
      <c r="L25" s="80">
        <v>0</v>
      </c>
      <c r="M25" s="80">
        <v>0</v>
      </c>
      <c r="N25" s="80">
        <v>0</v>
      </c>
      <c r="O25" s="80">
        <v>0</v>
      </c>
      <c r="P25" s="80">
        <v>0</v>
      </c>
      <c r="Q25" s="80">
        <v>0</v>
      </c>
      <c r="R25" s="80">
        <v>0</v>
      </c>
      <c r="S25" s="80">
        <v>0</v>
      </c>
      <c r="T25" s="80">
        <v>0</v>
      </c>
      <c r="U25" s="80">
        <v>0</v>
      </c>
      <c r="V25" s="80">
        <v>0</v>
      </c>
      <c r="W25" s="80">
        <v>0</v>
      </c>
      <c r="X25" s="80">
        <v>0</v>
      </c>
      <c r="Y25" s="80">
        <v>0</v>
      </c>
      <c r="Z25" s="80">
        <v>0</v>
      </c>
      <c r="AA25" s="80">
        <v>0</v>
      </c>
      <c r="AB25" s="80">
        <v>0</v>
      </c>
      <c r="AC25" s="80">
        <v>0</v>
      </c>
      <c r="AD25" s="80">
        <v>0</v>
      </c>
      <c r="AE25" s="80">
        <v>0</v>
      </c>
      <c r="AF25" s="80">
        <v>0</v>
      </c>
      <c r="AG25" s="80">
        <v>0</v>
      </c>
      <c r="AH25" s="80">
        <v>0</v>
      </c>
    </row>
    <row r="26" spans="2:34">
      <c r="B26" s="122" t="str">
        <v>2.02.07</v>
      </c>
      <c r="C26" s="126" t="str">
        <v>Realização da "Receita a Realizar | Contraprestação pecuniária"</v>
      </c>
      <c r="D26" s="89" t="str">
        <v>À medida que a contraprestação pecuniária for sendo recebida, vai-se abatendo o seu respectivo Ativo Financeiro.</v>
      </c>
      <c r="E26" s="80" cm="1">
        <f t="array" ref="E26:AH26">'BP Nominal'!E26:AH26 / (1 +'Painel Controle'!D$149:AG$149)</f>
        <v>0</v>
      </c>
      <c r="F26" s="80">
        <v>0</v>
      </c>
      <c r="G26" s="80">
        <v>0</v>
      </c>
      <c r="H26" s="80">
        <v>0</v>
      </c>
      <c r="I26" s="80">
        <v>0</v>
      </c>
      <c r="J26" s="80">
        <v>0</v>
      </c>
      <c r="K26" s="80">
        <v>0</v>
      </c>
      <c r="L26" s="80">
        <v>0</v>
      </c>
      <c r="M26" s="80">
        <v>0</v>
      </c>
      <c r="N26" s="80">
        <v>0</v>
      </c>
      <c r="O26" s="80">
        <v>0</v>
      </c>
      <c r="P26" s="80">
        <v>0</v>
      </c>
      <c r="Q26" s="80">
        <v>0</v>
      </c>
      <c r="R26" s="80">
        <v>0</v>
      </c>
      <c r="S26" s="80">
        <v>0</v>
      </c>
      <c r="T26" s="80">
        <v>0</v>
      </c>
      <c r="U26" s="80">
        <v>0</v>
      </c>
      <c r="V26" s="80">
        <v>0</v>
      </c>
      <c r="W26" s="80">
        <v>0</v>
      </c>
      <c r="X26" s="80">
        <v>0</v>
      </c>
      <c r="Y26" s="80">
        <v>0</v>
      </c>
      <c r="Z26" s="80">
        <v>0</v>
      </c>
      <c r="AA26" s="80">
        <v>0</v>
      </c>
      <c r="AB26" s="80">
        <v>0</v>
      </c>
      <c r="AC26" s="80">
        <v>0</v>
      </c>
      <c r="AD26" s="80">
        <v>0</v>
      </c>
      <c r="AE26" s="80">
        <v>0</v>
      </c>
      <c r="AF26" s="80">
        <v>0</v>
      </c>
      <c r="AG26" s="80">
        <v>0</v>
      </c>
      <c r="AH26" s="80">
        <v>0</v>
      </c>
    </row>
    <row r="27" spans="2:34">
      <c r="B27" s="122" t="str">
        <v>2.03</v>
      </c>
      <c r="C27" s="127" t="str">
        <v xml:space="preserve">Patrimônio Líquido </v>
      </c>
      <c r="D27" s="122" t="str">
        <v/>
      </c>
      <c r="E27" s="80"/>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row>
    <row r="28" spans="2:34">
      <c r="B28" s="122" t="str">
        <v>2.03.01</v>
      </c>
      <c r="C28" s="128" t="str">
        <v xml:space="preserve">Capital Social Integralizado </v>
      </c>
      <c r="D28" s="122" t="str">
        <v>O capital social será totalmente integralizado antes da assinatura do contrato.</v>
      </c>
      <c r="E28" s="80" cm="1">
        <f t="array" aca="1" ref="E28:AH28" ca="1">'BP Nominal'!E28:AH28 / (1 +'Painel Controle'!D$149:AG$149)</f>
        <v>121778538.13622099</v>
      </c>
      <c r="F28" s="80">
        <f ca="1"/>
        <v>117207447.67682484</v>
      </c>
      <c r="G28" s="80">
        <f ca="1"/>
        <v>113156446.87857194</v>
      </c>
      <c r="H28" s="80">
        <f ca="1"/>
        <v>109245459.43094414</v>
      </c>
      <c r="I28" s="80">
        <f ca="1"/>
        <v>105469646.10054465</v>
      </c>
      <c r="J28" s="80">
        <f ca="1"/>
        <v>101824334.91074014</v>
      </c>
      <c r="K28" s="80">
        <f ca="1"/>
        <v>98305015.360822678</v>
      </c>
      <c r="L28" s="80">
        <f ca="1"/>
        <v>94907332.844972655</v>
      </c>
      <c r="M28" s="80">
        <f ca="1"/>
        <v>91627083.264117256</v>
      </c>
      <c r="N28" s="80">
        <f ca="1"/>
        <v>88460207.82401742</v>
      </c>
      <c r="O28" s="80">
        <f ca="1"/>
        <v>85402788.013146758</v>
      </c>
      <c r="P28" s="80">
        <f ca="1"/>
        <v>82451040.754148245</v>
      </c>
      <c r="Q28" s="80">
        <f ca="1"/>
        <v>79601313.722869515</v>
      </c>
      <c r="R28" s="80">
        <f ca="1"/>
        <v>76850080.829184696</v>
      </c>
      <c r="S28" s="80">
        <f ca="1"/>
        <v>74193937.854011089</v>
      </c>
      <c r="T28" s="80">
        <f ca="1"/>
        <v>71629598.237122118</v>
      </c>
      <c r="U28" s="80">
        <f ca="1"/>
        <v>69153889.010544628</v>
      </c>
      <c r="V28" s="80">
        <f ca="1"/>
        <v>66763746.872508802</v>
      </c>
      <c r="W28" s="80">
        <f ca="1"/>
        <v>64456214.397092871</v>
      </c>
      <c r="X28" s="80">
        <f ca="1"/>
        <v>62228436.374872431</v>
      </c>
      <c r="Y28" s="80">
        <f ca="1"/>
        <v>60077656.280046746</v>
      </c>
      <c r="Z28" s="80">
        <f ca="1"/>
        <v>58001212.859670542</v>
      </c>
      <c r="AA28" s="80">
        <f ca="1"/>
        <v>55996536.840770938</v>
      </c>
      <c r="AB28" s="80">
        <f ca="1"/>
        <v>54061147.751275286</v>
      </c>
      <c r="AC28" s="80">
        <f ca="1"/>
        <v>52192650.850816064</v>
      </c>
      <c r="AD28" s="80">
        <f ca="1"/>
        <v>50388734.167615421</v>
      </c>
      <c r="AE28" s="80">
        <f ca="1"/>
        <v>48647165.637782797</v>
      </c>
      <c r="AF28" s="80">
        <f ca="1"/>
        <v>46965790.343485996</v>
      </c>
      <c r="AG28" s="80">
        <f ca="1"/>
        <v>45342527.846578486</v>
      </c>
      <c r="AH28" s="80">
        <f ca="1"/>
        <v>43775369.614383556</v>
      </c>
    </row>
    <row r="29" spans="2:34">
      <c r="B29" s="122" t="str">
        <v>2.03.02</v>
      </c>
      <c r="C29" s="128" t="str">
        <v>Lucros/Prejuízos Acumulados</v>
      </c>
      <c r="D29" s="122" t="str">
        <v/>
      </c>
      <c r="E29" s="80" cm="1">
        <f t="array" aca="1" ref="E29:AH29" ca="1">'BP Nominal'!E29:AH29 / (1 +'Painel Controle'!D$149:AG$149)</f>
        <v>-53264101.90298944</v>
      </c>
      <c r="F29" s="80">
        <f ca="1"/>
        <v>-18955856.97009277</v>
      </c>
      <c r="G29" s="80">
        <f ca="1"/>
        <v>25412164.799014073</v>
      </c>
      <c r="H29" s="80">
        <f ca="1"/>
        <v>57476996.356601104</v>
      </c>
      <c r="I29" s="80">
        <f ca="1"/>
        <v>89487049.698262036</v>
      </c>
      <c r="J29" s="80">
        <f ca="1"/>
        <v>111653629.150307</v>
      </c>
      <c r="K29" s="80">
        <f ca="1"/>
        <v>141911329.11533621</v>
      </c>
      <c r="L29" s="80">
        <f ca="1"/>
        <v>175129559.19361398</v>
      </c>
      <c r="M29" s="80">
        <f ca="1"/>
        <v>212486864.16863033</v>
      </c>
      <c r="N29" s="80">
        <f ca="1"/>
        <v>254051829.86574894</v>
      </c>
      <c r="O29" s="80">
        <f ca="1"/>
        <v>299369605.18863052</v>
      </c>
      <c r="P29" s="80">
        <f ca="1"/>
        <v>349035796.46590894</v>
      </c>
      <c r="Q29" s="80">
        <f ca="1"/>
        <v>402581973.09566444</v>
      </c>
      <c r="R29" s="80">
        <f ca="1"/>
        <v>460146015.18893892</v>
      </c>
      <c r="S29" s="80">
        <f ca="1"/>
        <v>508693045.07494497</v>
      </c>
      <c r="T29" s="80">
        <f ca="1"/>
        <v>565739870.18765402</v>
      </c>
      <c r="U29" s="80">
        <f ca="1"/>
        <v>620381482.23228979</v>
      </c>
      <c r="V29" s="80">
        <f ca="1"/>
        <v>672872439.04287636</v>
      </c>
      <c r="W29" s="80">
        <f ca="1"/>
        <v>725036526.44875515</v>
      </c>
      <c r="X29" s="80">
        <f ca="1"/>
        <v>780577393.16883028</v>
      </c>
      <c r="Y29" s="80">
        <f ca="1"/>
        <v>836979397.92618465</v>
      </c>
      <c r="Z29" s="80">
        <f ca="1"/>
        <v>895887131.72377932</v>
      </c>
      <c r="AA29" s="80">
        <f ca="1"/>
        <v>954880540.1140337</v>
      </c>
      <c r="AB29" s="80">
        <f ca="1"/>
        <v>1012790726.8219582</v>
      </c>
      <c r="AC29" s="80">
        <f ca="1"/>
        <v>1065907122.1523824</v>
      </c>
      <c r="AD29" s="80">
        <f ca="1"/>
        <v>1113917888.3388996</v>
      </c>
      <c r="AE29" s="80">
        <f ca="1"/>
        <v>1158919522.5633745</v>
      </c>
      <c r="AF29" s="80">
        <f ca="1"/>
        <v>1202275526.1380661</v>
      </c>
      <c r="AG29" s="80">
        <f ca="1"/>
        <v>1238237021.5122313</v>
      </c>
      <c r="AH29" s="80">
        <f ca="1"/>
        <v>1252872802.8242803</v>
      </c>
    </row>
    <row r="30" spans="2:34">
      <c r="B30" t="str">
        <f>'BP Nominal'!B30</f>
        <v>Observação: é necessário ter uma versão "nominal" e uma "real" do balanço patrimonial neste MEF, mesmo que ele seja um modelo do tipo "real", porque, com base no art. 4º da lei 9.249/1995, não se pode atualizar monetariamente o Balanço Patrimonial. Isso faz com que o valor nominal de contas como capital social e ativo intangível permaneçam constantes ao longo do tempo (a menos que haja movimentação contábil nestas contas), o que, por conseguinte, faz que haja uma diminuição real do valor destas contas ao longo do tempo por causa da inflação (diminuição do valor real da moeda).</v>
      </c>
    </row>
    <row r="31" spans="2:34">
      <c r="B31" t="s">
        <v>330</v>
      </c>
    </row>
    <row r="33" spans="2:34">
      <c r="B33" s="41" t="s">
        <v>331</v>
      </c>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row>
    <row r="34" spans="2:34" hidden="1">
      <c r="B34" s="41"/>
      <c r="C34" s="44">
        <v>1</v>
      </c>
      <c r="D34" s="44">
        <v>2</v>
      </c>
      <c r="E34" s="44">
        <v>3</v>
      </c>
      <c r="F34" s="44">
        <v>4</v>
      </c>
      <c r="G34" s="44">
        <v>5</v>
      </c>
      <c r="H34" s="44">
        <v>6</v>
      </c>
      <c r="I34" s="44">
        <v>7</v>
      </c>
      <c r="J34" s="44">
        <v>8</v>
      </c>
      <c r="K34" s="44">
        <v>9</v>
      </c>
      <c r="L34" s="44">
        <v>10</v>
      </c>
      <c r="M34" s="44">
        <v>11</v>
      </c>
      <c r="N34" s="44">
        <v>12</v>
      </c>
      <c r="O34" s="44">
        <v>13</v>
      </c>
      <c r="P34" s="44">
        <v>14</v>
      </c>
      <c r="Q34" s="44">
        <v>15</v>
      </c>
      <c r="R34" s="44">
        <v>16</v>
      </c>
      <c r="S34" s="44">
        <v>17</v>
      </c>
      <c r="T34" s="44">
        <v>18</v>
      </c>
      <c r="U34" s="44">
        <v>19</v>
      </c>
      <c r="V34" s="44">
        <v>20</v>
      </c>
      <c r="W34" s="44">
        <v>21</v>
      </c>
      <c r="X34" s="44">
        <v>22</v>
      </c>
      <c r="Y34" s="44">
        <v>23</v>
      </c>
      <c r="Z34" s="44">
        <v>24</v>
      </c>
      <c r="AA34" s="44">
        <v>25</v>
      </c>
      <c r="AB34" s="44">
        <v>26</v>
      </c>
      <c r="AC34" s="44">
        <v>27</v>
      </c>
      <c r="AD34" s="44">
        <v>28</v>
      </c>
      <c r="AE34" s="44">
        <v>29</v>
      </c>
      <c r="AF34" s="44">
        <v>30</v>
      </c>
    </row>
    <row r="35" spans="2:34">
      <c r="B35" s="603" t="str">
        <f>'BP Nominal'!B33</f>
        <v>Conta</v>
      </c>
      <c r="C35" s="604"/>
      <c r="D35" s="73" t="s">
        <v>220</v>
      </c>
      <c r="E35" s="60" t="str" cm="1">
        <f t="array" ref="E35:AH35">_xlfn.ANCHORARRAY(E4)</f>
        <v>Ano 1</v>
      </c>
      <c r="F35" s="60" t="str">
        <v>Ano 2</v>
      </c>
      <c r="G35" s="60" t="str">
        <v>Ano 3</v>
      </c>
      <c r="H35" s="60" t="str">
        <v>Ano 4</v>
      </c>
      <c r="I35" s="60" t="str">
        <v>Ano 5</v>
      </c>
      <c r="J35" s="60" t="str">
        <v>Ano 6</v>
      </c>
      <c r="K35" s="60" t="str">
        <v>Ano 7</v>
      </c>
      <c r="L35" s="60" t="str">
        <v>Ano 8</v>
      </c>
      <c r="M35" s="60" t="str">
        <v>Ano 9</v>
      </c>
      <c r="N35" s="60" t="str">
        <v>Ano 10</v>
      </c>
      <c r="O35" s="60" t="str">
        <v>Ano 11</v>
      </c>
      <c r="P35" s="60" t="str">
        <v>Ano 12</v>
      </c>
      <c r="Q35" s="60" t="str">
        <v>Ano 13</v>
      </c>
      <c r="R35" s="60" t="str">
        <v>Ano 14</v>
      </c>
      <c r="S35" s="60" t="str">
        <v>Ano 15</v>
      </c>
      <c r="T35" s="60" t="str">
        <v>Ano 16</v>
      </c>
      <c r="U35" s="60" t="str">
        <v>Ano 17</v>
      </c>
      <c r="V35" s="60" t="str">
        <v>Ano 18</v>
      </c>
      <c r="W35" s="60" t="str">
        <v>Ano 19</v>
      </c>
      <c r="X35" s="60" t="str">
        <v>Ano 20</v>
      </c>
      <c r="Y35" s="60" t="str">
        <v>Ano 21</v>
      </c>
      <c r="Z35" s="60" t="str">
        <v>Ano 22</v>
      </c>
      <c r="AA35" s="60" t="str">
        <v>Ano 23</v>
      </c>
      <c r="AB35" s="60" t="str">
        <v>Ano 24</v>
      </c>
      <c r="AC35" s="60" t="str">
        <v>Ano 25</v>
      </c>
      <c r="AD35" s="60" t="str">
        <v>Ano 26</v>
      </c>
      <c r="AE35" s="60" t="str">
        <v>Ano 27</v>
      </c>
      <c r="AF35" s="60" t="str">
        <v>Ano 28</v>
      </c>
      <c r="AG35" s="60" t="str">
        <v>Ano 29</v>
      </c>
      <c r="AH35" s="60" t="str">
        <v>Ano 30</v>
      </c>
    </row>
    <row r="36" spans="2:34">
      <c r="B36" s="601" t="str">
        <f>'BP Nominal'!B34</f>
        <v xml:space="preserve">Captação de Dívidas </v>
      </c>
      <c r="C36" s="602"/>
      <c r="D36" s="42"/>
      <c r="E36" s="80" cm="1">
        <f t="array" aca="1" ref="E36:AH41" ca="1">'BP Nominal'!E34:AH39 / (1 +'Painel Controle'!D$149:AG$149)</f>
        <v>0</v>
      </c>
      <c r="F36" s="61">
        <f ca="1"/>
        <v>74903873.001701027</v>
      </c>
      <c r="G36" s="61">
        <f ca="1"/>
        <v>47761259.149260491</v>
      </c>
      <c r="H36" s="61">
        <f ca="1"/>
        <v>63272239.047666639</v>
      </c>
      <c r="I36" s="61">
        <f ca="1"/>
        <v>94590988.475672334</v>
      </c>
      <c r="J36" s="61">
        <f ca="1"/>
        <v>89224453.016608775</v>
      </c>
      <c r="K36" s="61">
        <f ca="1"/>
        <v>0</v>
      </c>
      <c r="L36" s="61">
        <f ca="1"/>
        <v>0</v>
      </c>
      <c r="M36" s="61">
        <f ca="1"/>
        <v>0</v>
      </c>
      <c r="N36" s="61">
        <f ca="1"/>
        <v>0</v>
      </c>
      <c r="O36" s="61">
        <f ca="1"/>
        <v>0</v>
      </c>
      <c r="P36" s="61">
        <f ca="1"/>
        <v>0</v>
      </c>
      <c r="Q36" s="61">
        <f ca="1"/>
        <v>0</v>
      </c>
      <c r="R36" s="61">
        <f ca="1"/>
        <v>0</v>
      </c>
      <c r="S36" s="61">
        <f ca="1"/>
        <v>0</v>
      </c>
      <c r="T36" s="61">
        <f ca="1"/>
        <v>0</v>
      </c>
      <c r="U36" s="61">
        <f ca="1"/>
        <v>0</v>
      </c>
      <c r="V36" s="61">
        <f ca="1"/>
        <v>0</v>
      </c>
      <c r="W36" s="61">
        <f ca="1"/>
        <v>0</v>
      </c>
      <c r="X36" s="61">
        <f ca="1"/>
        <v>0</v>
      </c>
      <c r="Y36" s="61">
        <f ca="1"/>
        <v>0</v>
      </c>
      <c r="Z36" s="61">
        <f ca="1"/>
        <v>0</v>
      </c>
      <c r="AA36" s="61">
        <f ca="1"/>
        <v>0</v>
      </c>
      <c r="AB36" s="61">
        <f ca="1"/>
        <v>0</v>
      </c>
      <c r="AC36" s="61">
        <f ca="1"/>
        <v>0</v>
      </c>
      <c r="AD36" s="61">
        <f ca="1"/>
        <v>0</v>
      </c>
      <c r="AE36" s="61">
        <f ca="1"/>
        <v>0</v>
      </c>
      <c r="AF36" s="61">
        <f ca="1"/>
        <v>0</v>
      </c>
      <c r="AG36" s="61">
        <f ca="1"/>
        <v>0</v>
      </c>
      <c r="AH36" s="61">
        <f ca="1"/>
        <v>0</v>
      </c>
    </row>
    <row r="37" spans="2:34">
      <c r="B37" s="601" t="str">
        <f>'BP Nominal'!B35</f>
        <v xml:space="preserve">Total em Empréstimo </v>
      </c>
      <c r="C37" s="602"/>
      <c r="D37" s="43"/>
      <c r="E37" s="80">
        <f ca="1"/>
        <v>0</v>
      </c>
      <c r="F37" s="61">
        <f ca="1"/>
        <v>74903873.001701027</v>
      </c>
      <c r="G37" s="61">
        <f ca="1"/>
        <v>117582634.73260531</v>
      </c>
      <c r="H37" s="61">
        <f ca="1"/>
        <v>172736667.43222597</v>
      </c>
      <c r="I37" s="61">
        <f ca="1"/>
        <v>255180883.3230215</v>
      </c>
      <c r="J37" s="61">
        <f ca="1"/>
        <v>326110178.02572608</v>
      </c>
      <c r="K37" s="61">
        <f ca="1"/>
        <v>302245386.08292824</v>
      </c>
      <c r="L37" s="61">
        <f ca="1"/>
        <v>279640691.57122308</v>
      </c>
      <c r="M37" s="61">
        <f ca="1"/>
        <v>258237498.19786039</v>
      </c>
      <c r="N37" s="61">
        <f ca="1"/>
        <v>237979754.87348682</v>
      </c>
      <c r="O37" s="61">
        <f ca="1"/>
        <v>218813849.77196079</v>
      </c>
      <c r="P37" s="61">
        <f ca="1"/>
        <v>200688508.67287385</v>
      </c>
      <c r="Q37" s="61">
        <f ca="1"/>
        <v>183554697.41728887</v>
      </c>
      <c r="R37" s="61">
        <f ca="1"/>
        <v>167365528.31380525</v>
      </c>
      <c r="S37" s="61">
        <f ca="1"/>
        <v>152076170.33840761</v>
      </c>
      <c r="T37" s="61">
        <f ca="1"/>
        <v>137643762.97765702</v>
      </c>
      <c r="U37" s="61">
        <f ca="1"/>
        <v>124027333.57065061</v>
      </c>
      <c r="V37" s="61">
        <f ca="1"/>
        <v>111187718.01081687</v>
      </c>
      <c r="W37" s="61">
        <f ca="1"/>
        <v>99087484.674038827</v>
      </c>
      <c r="X37" s="61">
        <f ca="1"/>
        <v>87690861.444811329</v>
      </c>
      <c r="Y37" s="61">
        <f ca="1"/>
        <v>76963665.717154354</v>
      </c>
      <c r="Z37" s="61">
        <f ca="1"/>
        <v>66873237.251823626</v>
      </c>
      <c r="AA37" s="61">
        <f ca="1"/>
        <v>57388373.77599591</v>
      </c>
      <c r="AB37" s="61">
        <f ca="1"/>
        <v>48479269.216061421</v>
      </c>
      <c r="AC37" s="61">
        <f ca="1"/>
        <v>40117454.458440475</v>
      </c>
      <c r="AD37" s="61">
        <f ca="1"/>
        <v>32275740.537459347</v>
      </c>
      <c r="AE37" s="61">
        <f ca="1"/>
        <v>24928164.153280053</v>
      </c>
      <c r="AF37" s="61">
        <f ca="1"/>
        <v>18049935.426684726</v>
      </c>
      <c r="AG37" s="61">
        <f ca="1"/>
        <v>11617387.801174439</v>
      </c>
      <c r="AH37" s="61">
        <f ca="1"/>
        <v>5607930.0063595474</v>
      </c>
    </row>
    <row r="38" spans="2:34">
      <c r="B38" s="601" t="str">
        <f>'BP Nominal'!B36</f>
        <v>Juros gerado</v>
      </c>
      <c r="C38" s="602"/>
      <c r="D38" s="43"/>
      <c r="E38" s="80">
        <f ca="1"/>
        <v>0</v>
      </c>
      <c r="F38" s="62">
        <f ca="1"/>
        <v>7640195.0461735046</v>
      </c>
      <c r="G38" s="62">
        <f ca="1"/>
        <v>11993428.742725741</v>
      </c>
      <c r="H38" s="62">
        <f ca="1"/>
        <v>17619140.078087047</v>
      </c>
      <c r="I38" s="62">
        <f ca="1"/>
        <v>26028450.098948192</v>
      </c>
      <c r="J38" s="62">
        <f ca="1"/>
        <v>33263238.15862406</v>
      </c>
      <c r="K38" s="62">
        <f ca="1"/>
        <v>30829029.380458679</v>
      </c>
      <c r="L38" s="62">
        <f ca="1"/>
        <v>28523350.540264759</v>
      </c>
      <c r="M38" s="62">
        <f ca="1"/>
        <v>26340224.81618176</v>
      </c>
      <c r="N38" s="62">
        <f ca="1"/>
        <v>24273934.997095656</v>
      </c>
      <c r="O38" s="62">
        <f ca="1"/>
        <v>22319012.676740002</v>
      </c>
      <c r="P38" s="62">
        <f ca="1"/>
        <v>20470227.884633131</v>
      </c>
      <c r="Q38" s="62">
        <f ca="1"/>
        <v>18722579.136563465</v>
      </c>
      <c r="R38" s="62">
        <f ca="1"/>
        <v>17071283.888008136</v>
      </c>
      <c r="S38" s="62">
        <f ca="1"/>
        <v>15511769.374517577</v>
      </c>
      <c r="T38" s="62">
        <f ca="1"/>
        <v>14039663.823721016</v>
      </c>
      <c r="U38" s="62">
        <f ca="1"/>
        <v>12650788.024206361</v>
      </c>
      <c r="V38" s="62">
        <f ca="1"/>
        <v>11341147.237103321</v>
      </c>
      <c r="W38" s="62">
        <f ca="1"/>
        <v>10106923.43675196</v>
      </c>
      <c r="X38" s="62">
        <f ca="1"/>
        <v>8944467.8673707545</v>
      </c>
      <c r="Y38" s="62">
        <f ca="1"/>
        <v>7850293.9031497426</v>
      </c>
      <c r="Z38" s="62">
        <f ca="1"/>
        <v>6821070.1996860094</v>
      </c>
      <c r="AA38" s="62">
        <f ca="1"/>
        <v>5853614.1251515821</v>
      </c>
      <c r="AB38" s="62">
        <f ca="1"/>
        <v>4944885.4600382643</v>
      </c>
      <c r="AC38" s="62">
        <f ca="1"/>
        <v>4091980.3547609281</v>
      </c>
      <c r="AD38" s="62">
        <f ca="1"/>
        <v>3292125.5348208528</v>
      </c>
      <c r="AE38" s="62">
        <f ca="1"/>
        <v>2542672.7436345653</v>
      </c>
      <c r="AF38" s="62">
        <f ca="1"/>
        <v>1841093.4135218421</v>
      </c>
      <c r="AG38" s="62">
        <f ca="1"/>
        <v>1184973.5557197928</v>
      </c>
      <c r="AH38" s="62">
        <f ca="1"/>
        <v>572008.86064867384</v>
      </c>
    </row>
    <row r="39" spans="2:34">
      <c r="B39" s="601" t="str">
        <f>'BP Nominal'!B37</f>
        <v>Juros pago</v>
      </c>
      <c r="C39" s="602"/>
      <c r="D39" s="43"/>
      <c r="E39" s="80">
        <f ca="1"/>
        <v>0</v>
      </c>
      <c r="F39" s="61">
        <f ca="1"/>
        <v>-7640195.0461735046</v>
      </c>
      <c r="G39" s="61">
        <f ca="1"/>
        <v>-11993428.742725741</v>
      </c>
      <c r="H39" s="61">
        <f ca="1"/>
        <v>-17619140.078087047</v>
      </c>
      <c r="I39" s="61">
        <f ca="1"/>
        <v>-26028450.098948192</v>
      </c>
      <c r="J39" s="61">
        <f ca="1"/>
        <v>-33263238.15862406</v>
      </c>
      <c r="K39" s="61">
        <f ca="1"/>
        <v>-30829029.380458679</v>
      </c>
      <c r="L39" s="61">
        <f ca="1"/>
        <v>-28523350.540264759</v>
      </c>
      <c r="M39" s="61">
        <f ca="1"/>
        <v>-26340224.81618176</v>
      </c>
      <c r="N39" s="61">
        <f ca="1"/>
        <v>-24273934.997095656</v>
      </c>
      <c r="O39" s="61">
        <f ca="1"/>
        <v>-22319012.676740002</v>
      </c>
      <c r="P39" s="61">
        <f ca="1"/>
        <v>-20470227.884633131</v>
      </c>
      <c r="Q39" s="61">
        <f ca="1"/>
        <v>-18722579.136563465</v>
      </c>
      <c r="R39" s="61">
        <f ca="1"/>
        <v>-17071283.888008136</v>
      </c>
      <c r="S39" s="61">
        <f ca="1"/>
        <v>-15511769.374517577</v>
      </c>
      <c r="T39" s="61">
        <f ca="1"/>
        <v>-14039663.823721016</v>
      </c>
      <c r="U39" s="61">
        <f ca="1"/>
        <v>-12650788.024206361</v>
      </c>
      <c r="V39" s="61">
        <f ca="1"/>
        <v>-11341147.237103321</v>
      </c>
      <c r="W39" s="61">
        <f ca="1"/>
        <v>-10106923.43675196</v>
      </c>
      <c r="X39" s="61">
        <f ca="1"/>
        <v>-8944467.8673707545</v>
      </c>
      <c r="Y39" s="61">
        <f ca="1"/>
        <v>-7850293.9031497426</v>
      </c>
      <c r="Z39" s="61">
        <f ca="1"/>
        <v>-6821070.1996860094</v>
      </c>
      <c r="AA39" s="61">
        <f ca="1"/>
        <v>-5853614.1251515821</v>
      </c>
      <c r="AB39" s="61">
        <f ca="1"/>
        <v>-4944885.4600382643</v>
      </c>
      <c r="AC39" s="61">
        <f ca="1"/>
        <v>-4091980.3547609281</v>
      </c>
      <c r="AD39" s="61">
        <f ca="1"/>
        <v>-3292125.5348208528</v>
      </c>
      <c r="AE39" s="61">
        <f ca="1"/>
        <v>-2542672.7436345653</v>
      </c>
      <c r="AF39" s="61">
        <f ca="1"/>
        <v>-1841093.4135218421</v>
      </c>
      <c r="AG39" s="61">
        <f ca="1"/>
        <v>-1184973.5557197928</v>
      </c>
      <c r="AH39" s="61">
        <f ca="1"/>
        <v>-572008.86064867384</v>
      </c>
    </row>
    <row r="40" spans="2:34">
      <c r="B40" s="601" t="str">
        <f>'BP Nominal'!B38</f>
        <v>Amortização</v>
      </c>
      <c r="C40" s="602"/>
      <c r="D40" s="43"/>
      <c r="E40" s="80">
        <f ca="1"/>
        <v>0</v>
      </c>
      <c r="F40" s="61">
        <f ca="1"/>
        <v>-2582892.1724724495</v>
      </c>
      <c r="G40" s="61">
        <f ca="1"/>
        <v>-4199379.8118787613</v>
      </c>
      <c r="H40" s="61">
        <f ca="1"/>
        <v>-6397654.3493417026</v>
      </c>
      <c r="I40" s="61">
        <f ca="1"/>
        <v>-9814649.3585777506</v>
      </c>
      <c r="J40" s="61">
        <f ca="1"/>
        <v>-13044407.121029044</v>
      </c>
      <c r="K40" s="61">
        <f ca="1"/>
        <v>-12593557.753455343</v>
      </c>
      <c r="L40" s="61">
        <f ca="1"/>
        <v>-12158290.937879266</v>
      </c>
      <c r="M40" s="61">
        <f ca="1"/>
        <v>-11738068.099902745</v>
      </c>
      <c r="N40" s="61">
        <f ca="1"/>
        <v>-11332369.27968985</v>
      </c>
      <c r="O40" s="61">
        <f ca="1"/>
        <v>-10940692.488598039</v>
      </c>
      <c r="P40" s="61">
        <f ca="1"/>
        <v>-10562553.088045992</v>
      </c>
      <c r="Q40" s="61">
        <f ca="1"/>
        <v>-10197483.18984938</v>
      </c>
      <c r="R40" s="61">
        <f ca="1"/>
        <v>-9845031.0772826634</v>
      </c>
      <c r="S40" s="61">
        <f ca="1"/>
        <v>-9504760.6461504754</v>
      </c>
      <c r="T40" s="61">
        <f ca="1"/>
        <v>-9176250.8651771341</v>
      </c>
      <c r="U40" s="61">
        <f ca="1"/>
        <v>-8859095.255046472</v>
      </c>
      <c r="V40" s="61">
        <f ca="1"/>
        <v>-8552901.3854474537</v>
      </c>
      <c r="W40" s="61">
        <f ca="1"/>
        <v>-8257290.3895032359</v>
      </c>
      <c r="X40" s="61">
        <f ca="1"/>
        <v>-7971896.4949828489</v>
      </c>
      <c r="Y40" s="61">
        <f ca="1"/>
        <v>-7696366.571715435</v>
      </c>
      <c r="Z40" s="61">
        <f ca="1"/>
        <v>-7430359.69464707</v>
      </c>
      <c r="AA40" s="61">
        <f ca="1"/>
        <v>-7173546.7219994888</v>
      </c>
      <c r="AB40" s="61">
        <f ca="1"/>
        <v>-6925609.8880087743</v>
      </c>
      <c r="AC40" s="61">
        <f ca="1"/>
        <v>-6686242.4097400783</v>
      </c>
      <c r="AD40" s="61">
        <f ca="1"/>
        <v>-6455148.1074918704</v>
      </c>
      <c r="AE40" s="61">
        <f ca="1"/>
        <v>-6232041.0383200133</v>
      </c>
      <c r="AF40" s="61">
        <f ca="1"/>
        <v>-6016645.142228242</v>
      </c>
      <c r="AG40" s="61">
        <f ca="1"/>
        <v>-5808693.9005872197</v>
      </c>
      <c r="AH40" s="61">
        <f ca="1"/>
        <v>-5607930.0063595474</v>
      </c>
    </row>
    <row r="41" spans="2:34">
      <c r="B41" s="601" t="str">
        <f>'BP Nominal'!B39</f>
        <v>Saldo a pagar</v>
      </c>
      <c r="C41" s="602"/>
      <c r="D41" s="43"/>
      <c r="E41" s="80">
        <f ca="1"/>
        <v>0</v>
      </c>
      <c r="F41" s="61">
        <f ca="1"/>
        <v>72320980.82922858</v>
      </c>
      <c r="G41" s="61">
        <f ca="1"/>
        <v>113383254.92072655</v>
      </c>
      <c r="H41" s="61">
        <f ca="1"/>
        <v>166339013.08288428</v>
      </c>
      <c r="I41" s="61">
        <f ca="1"/>
        <v>245366233.96444374</v>
      </c>
      <c r="J41" s="61">
        <f ca="1"/>
        <v>313065770.90469706</v>
      </c>
      <c r="K41" s="61">
        <f ca="1"/>
        <v>289651828.3294729</v>
      </c>
      <c r="L41" s="61">
        <f ca="1"/>
        <v>267482400.63334382</v>
      </c>
      <c r="M41" s="61">
        <f ca="1"/>
        <v>246499430.09795767</v>
      </c>
      <c r="N41" s="61">
        <f ca="1"/>
        <v>226647385.593797</v>
      </c>
      <c r="O41" s="61">
        <f ca="1"/>
        <v>207873157.28336275</v>
      </c>
      <c r="P41" s="61">
        <f ca="1"/>
        <v>190125955.58482784</v>
      </c>
      <c r="Q41" s="61">
        <f ca="1"/>
        <v>173357214.22743949</v>
      </c>
      <c r="R41" s="61">
        <f ca="1"/>
        <v>157520497.23652261</v>
      </c>
      <c r="S41" s="61">
        <f ca="1"/>
        <v>142571409.69225714</v>
      </c>
      <c r="T41" s="61">
        <f ca="1"/>
        <v>128467512.1124799</v>
      </c>
      <c r="U41" s="61">
        <f ca="1"/>
        <v>115168238.31560414</v>
      </c>
      <c r="V41" s="61">
        <f ca="1"/>
        <v>102634816.62536943</v>
      </c>
      <c r="W41" s="61">
        <f ca="1"/>
        <v>90830194.284535587</v>
      </c>
      <c r="X41" s="61">
        <f ca="1"/>
        <v>79718964.949828491</v>
      </c>
      <c r="Y41" s="61">
        <f ca="1"/>
        <v>69267299.145438924</v>
      </c>
      <c r="Z41" s="61">
        <f ca="1"/>
        <v>59442877.55717656</v>
      </c>
      <c r="AA41" s="61">
        <f ca="1"/>
        <v>50214827.053996421</v>
      </c>
      <c r="AB41" s="61">
        <f ca="1"/>
        <v>41553659.328052647</v>
      </c>
      <c r="AC41" s="61">
        <f ca="1"/>
        <v>33431212.048700396</v>
      </c>
      <c r="AD41" s="61">
        <f ca="1"/>
        <v>25820592.429967482</v>
      </c>
      <c r="AE41" s="61">
        <f ca="1"/>
        <v>18696123.114960041</v>
      </c>
      <c r="AF41" s="61">
        <f ca="1"/>
        <v>12033290.284456484</v>
      </c>
      <c r="AG41" s="61">
        <f ca="1"/>
        <v>5808693.9005872197</v>
      </c>
      <c r="AH41" s="61">
        <f ca="1"/>
        <v>0</v>
      </c>
    </row>
    <row r="42" spans="2:34">
      <c r="F42" s="3"/>
    </row>
    <row r="43" spans="2:34">
      <c r="B43" s="2" t="s">
        <v>332</v>
      </c>
    </row>
    <row r="44" spans="2:34">
      <c r="B44" s="607"/>
      <c r="C44" s="606"/>
      <c r="D44" s="608"/>
      <c r="E44" s="48" t="str" cm="1">
        <f t="array" ref="E44:AH44">E4:AH4</f>
        <v>Ano 1</v>
      </c>
      <c r="F44" s="48" t="str">
        <v>Ano 2</v>
      </c>
      <c r="G44" s="48" t="str">
        <v>Ano 3</v>
      </c>
      <c r="H44" s="48" t="str">
        <v>Ano 4</v>
      </c>
      <c r="I44" s="48" t="str">
        <v>Ano 5</v>
      </c>
      <c r="J44" s="48" t="str">
        <v>Ano 6</v>
      </c>
      <c r="K44" s="48" t="str">
        <v>Ano 7</v>
      </c>
      <c r="L44" s="48" t="str">
        <v>Ano 8</v>
      </c>
      <c r="M44" s="48" t="str">
        <v>Ano 9</v>
      </c>
      <c r="N44" s="48" t="str">
        <v>Ano 10</v>
      </c>
      <c r="O44" s="48" t="str">
        <v>Ano 11</v>
      </c>
      <c r="P44" s="48" t="str">
        <v>Ano 12</v>
      </c>
      <c r="Q44" s="48" t="str">
        <v>Ano 13</v>
      </c>
      <c r="R44" s="48" t="str">
        <v>Ano 14</v>
      </c>
      <c r="S44" s="48" t="str">
        <v>Ano 15</v>
      </c>
      <c r="T44" s="48" t="str">
        <v>Ano 16</v>
      </c>
      <c r="U44" s="48" t="str">
        <v>Ano 17</v>
      </c>
      <c r="V44" s="48" t="str">
        <v>Ano 18</v>
      </c>
      <c r="W44" s="48" t="str">
        <v>Ano 19</v>
      </c>
      <c r="X44" s="48" t="str">
        <v>Ano 20</v>
      </c>
      <c r="Y44" s="48" t="str">
        <v>Ano 21</v>
      </c>
      <c r="Z44" s="48" t="str">
        <v>Ano 22</v>
      </c>
      <c r="AA44" s="48" t="str">
        <v>Ano 23</v>
      </c>
      <c r="AB44" s="48" t="str">
        <v>Ano 24</v>
      </c>
      <c r="AC44" s="48" t="str">
        <v>Ano 25</v>
      </c>
      <c r="AD44" s="48" t="str">
        <v>Ano 26</v>
      </c>
      <c r="AE44" s="48" t="str">
        <v>Ano 27</v>
      </c>
      <c r="AF44" s="48" t="str">
        <v>Ano 28</v>
      </c>
      <c r="AG44" s="48" t="str">
        <v>Ano 29</v>
      </c>
      <c r="AH44" s="48" t="str">
        <v>Ano 30</v>
      </c>
    </row>
    <row r="45" spans="2:34">
      <c r="B45" s="605" t="s">
        <v>333</v>
      </c>
      <c r="C45" s="606"/>
      <c r="D45" s="608"/>
      <c r="E45" s="50" t="b">
        <f t="shared" ref="E45:AH45" ca="1" si="3">ROUND(E5,2)=ROUND(E16,2)</f>
        <v>1</v>
      </c>
      <c r="F45" s="50" t="b">
        <f t="shared" ca="1" si="3"/>
        <v>1</v>
      </c>
      <c r="G45" s="50" t="b">
        <f t="shared" ca="1" si="3"/>
        <v>1</v>
      </c>
      <c r="H45" s="50" t="b">
        <f t="shared" ca="1" si="3"/>
        <v>1</v>
      </c>
      <c r="I45" s="50" t="b">
        <f t="shared" ca="1" si="3"/>
        <v>1</v>
      </c>
      <c r="J45" s="50" t="b">
        <f t="shared" ca="1" si="3"/>
        <v>1</v>
      </c>
      <c r="K45" s="50" t="b">
        <f t="shared" ca="1" si="3"/>
        <v>1</v>
      </c>
      <c r="L45" s="50" t="b">
        <f t="shared" ca="1" si="3"/>
        <v>1</v>
      </c>
      <c r="M45" s="50" t="b">
        <f t="shared" ca="1" si="3"/>
        <v>1</v>
      </c>
      <c r="N45" s="50" t="b">
        <f t="shared" ca="1" si="3"/>
        <v>1</v>
      </c>
      <c r="O45" s="50" t="b">
        <f t="shared" ca="1" si="3"/>
        <v>1</v>
      </c>
      <c r="P45" s="50" t="b">
        <f t="shared" ca="1" si="3"/>
        <v>1</v>
      </c>
      <c r="Q45" s="50" t="b">
        <f t="shared" ca="1" si="3"/>
        <v>1</v>
      </c>
      <c r="R45" s="50" t="b">
        <f t="shared" ca="1" si="3"/>
        <v>1</v>
      </c>
      <c r="S45" s="50" t="b">
        <f t="shared" ca="1" si="3"/>
        <v>1</v>
      </c>
      <c r="T45" s="50" t="b">
        <f t="shared" ca="1" si="3"/>
        <v>1</v>
      </c>
      <c r="U45" s="50" t="b">
        <f t="shared" ca="1" si="3"/>
        <v>1</v>
      </c>
      <c r="V45" s="50" t="b">
        <f t="shared" ca="1" si="3"/>
        <v>1</v>
      </c>
      <c r="W45" s="50" t="b">
        <f t="shared" ca="1" si="3"/>
        <v>1</v>
      </c>
      <c r="X45" s="50" t="b">
        <f t="shared" ca="1" si="3"/>
        <v>1</v>
      </c>
      <c r="Y45" s="50" t="b">
        <f t="shared" ca="1" si="3"/>
        <v>1</v>
      </c>
      <c r="Z45" s="50" t="b">
        <f t="shared" ca="1" si="3"/>
        <v>1</v>
      </c>
      <c r="AA45" s="50" t="b">
        <f t="shared" ca="1" si="3"/>
        <v>1</v>
      </c>
      <c r="AB45" s="50" t="b">
        <f t="shared" ca="1" si="3"/>
        <v>1</v>
      </c>
      <c r="AC45" s="50" t="b">
        <f t="shared" ca="1" si="3"/>
        <v>1</v>
      </c>
      <c r="AD45" s="50" t="b">
        <f t="shared" ca="1" si="3"/>
        <v>1</v>
      </c>
      <c r="AE45" s="50" t="b">
        <f t="shared" ca="1" si="3"/>
        <v>1</v>
      </c>
      <c r="AF45" s="50" t="b">
        <f t="shared" ca="1" si="3"/>
        <v>1</v>
      </c>
      <c r="AG45" s="50" t="b">
        <f t="shared" ca="1" si="3"/>
        <v>1</v>
      </c>
      <c r="AH45" s="50" t="b">
        <f t="shared" ca="1" si="3"/>
        <v>1</v>
      </c>
    </row>
    <row r="46" spans="2:34">
      <c r="B46" t="str">
        <f>'BP Nominal'!B44</f>
        <v>Observação: por conta de arrendondamentos que impactam a quinta casa decimal, foi necessáro arredondar para duas casas decimais para que os valores do teste retornassem verdadeiros.</v>
      </c>
    </row>
    <row r="47" spans="2:34">
      <c r="E47" s="3"/>
      <c r="F47" s="3"/>
      <c r="G47" s="3"/>
      <c r="H47" s="3"/>
      <c r="I47" s="3"/>
    </row>
    <row r="48" spans="2:34">
      <c r="B48" s="2" t="s">
        <v>334</v>
      </c>
    </row>
    <row r="49" spans="2:34">
      <c r="B49" s="607"/>
      <c r="C49" s="606"/>
      <c r="D49" s="608"/>
      <c r="E49" s="48" t="str" cm="1">
        <f t="array" ref="E49:AH49">_xlfn.ANCHORARRAY(E44)</f>
        <v>Ano 1</v>
      </c>
      <c r="F49" s="48" t="str">
        <v>Ano 2</v>
      </c>
      <c r="G49" s="48" t="str">
        <v>Ano 3</v>
      </c>
      <c r="H49" s="48" t="str">
        <v>Ano 4</v>
      </c>
      <c r="I49" s="48" t="str">
        <v>Ano 5</v>
      </c>
      <c r="J49" s="48" t="str">
        <v>Ano 6</v>
      </c>
      <c r="K49" s="48" t="str">
        <v>Ano 7</v>
      </c>
      <c r="L49" s="48" t="str">
        <v>Ano 8</v>
      </c>
      <c r="M49" s="48" t="str">
        <v>Ano 9</v>
      </c>
      <c r="N49" s="48" t="str">
        <v>Ano 10</v>
      </c>
      <c r="O49" s="48" t="str">
        <v>Ano 11</v>
      </c>
      <c r="P49" s="48" t="str">
        <v>Ano 12</v>
      </c>
      <c r="Q49" s="48" t="str">
        <v>Ano 13</v>
      </c>
      <c r="R49" s="48" t="str">
        <v>Ano 14</v>
      </c>
      <c r="S49" s="48" t="str">
        <v>Ano 15</v>
      </c>
      <c r="T49" s="48" t="str">
        <v>Ano 16</v>
      </c>
      <c r="U49" s="48" t="str">
        <v>Ano 17</v>
      </c>
      <c r="V49" s="48" t="str">
        <v>Ano 18</v>
      </c>
      <c r="W49" s="48" t="str">
        <v>Ano 19</v>
      </c>
      <c r="X49" s="48" t="str">
        <v>Ano 20</v>
      </c>
      <c r="Y49" s="48" t="str">
        <v>Ano 21</v>
      </c>
      <c r="Z49" s="48" t="str">
        <v>Ano 22</v>
      </c>
      <c r="AA49" s="48" t="str">
        <v>Ano 23</v>
      </c>
      <c r="AB49" s="48" t="str">
        <v>Ano 24</v>
      </c>
      <c r="AC49" s="48" t="str">
        <v>Ano 25</v>
      </c>
      <c r="AD49" s="48" t="str">
        <v>Ano 26</v>
      </c>
      <c r="AE49" s="48" t="str">
        <v>Ano 27</v>
      </c>
      <c r="AF49" s="48" t="str">
        <v>Ano 28</v>
      </c>
      <c r="AG49" s="48" t="str">
        <v>Ano 29</v>
      </c>
      <c r="AH49" s="48" t="str">
        <v>Ano 30</v>
      </c>
    </row>
    <row r="50" spans="2:34">
      <c r="B50" s="605" t="s">
        <v>333</v>
      </c>
      <c r="C50" s="606"/>
      <c r="D50" s="608"/>
      <c r="E50" s="50" t="b">
        <f ca="1">ROUND(E29,2)=ROUND('DRE Real'!E53,2)</f>
        <v>1</v>
      </c>
      <c r="F50" s="50" t="b">
        <f ca="1">ROUND(F29,2)=ROUND('DRE Real'!F53,2)</f>
        <v>1</v>
      </c>
      <c r="G50" s="50" t="b">
        <f ca="1">ROUND(G29,2)=ROUND('DRE Real'!G53,2)</f>
        <v>1</v>
      </c>
      <c r="H50" s="50" t="b">
        <f ca="1">ROUND(H29,2)=ROUND('DRE Real'!H53,2)</f>
        <v>1</v>
      </c>
      <c r="I50" s="50" t="b">
        <f ca="1">ROUND(I29,2)=ROUND('DRE Real'!I53,2)</f>
        <v>1</v>
      </c>
      <c r="J50" s="50" t="b">
        <f ca="1">ROUND(J29,2)=ROUND('DRE Real'!J53,2)</f>
        <v>1</v>
      </c>
      <c r="K50" s="50" t="b">
        <f ca="1">ROUND(K29,2)=ROUND('DRE Real'!K53,2)</f>
        <v>1</v>
      </c>
      <c r="L50" s="50" t="b">
        <f ca="1">ROUND(L29,2)=ROUND('DRE Real'!L53,2)</f>
        <v>1</v>
      </c>
      <c r="M50" s="50" t="b">
        <f ca="1">ROUND(M29,2)=ROUND('DRE Real'!M53,2)</f>
        <v>1</v>
      </c>
      <c r="N50" s="50" t="b">
        <f ca="1">ROUND(N29,2)=ROUND('DRE Real'!N53,2)</f>
        <v>1</v>
      </c>
      <c r="O50" s="50" t="b">
        <f ca="1">ROUND(O29,2)=ROUND('DRE Real'!O53,2)</f>
        <v>1</v>
      </c>
      <c r="P50" s="50" t="b">
        <f ca="1">ROUND(P29,2)=ROUND('DRE Real'!P53,2)</f>
        <v>1</v>
      </c>
      <c r="Q50" s="50" t="b">
        <f ca="1">ROUND(Q29,2)=ROUND('DRE Real'!Q53,2)</f>
        <v>1</v>
      </c>
      <c r="R50" s="50" t="b">
        <f ca="1">ROUND(R29,2)=ROUND('DRE Real'!R53,2)</f>
        <v>1</v>
      </c>
      <c r="S50" s="50" t="b">
        <f ca="1">ROUND(S29,2)=ROUND('DRE Real'!S53,2)</f>
        <v>1</v>
      </c>
      <c r="T50" s="50" t="b">
        <f ca="1">ROUND(T29,2)=ROUND('DRE Real'!T53,2)</f>
        <v>1</v>
      </c>
      <c r="U50" s="50" t="b">
        <f ca="1">ROUND(U29,2)=ROUND('DRE Real'!U53,2)</f>
        <v>1</v>
      </c>
      <c r="V50" s="50" t="b">
        <f ca="1">ROUND(V29,2)=ROUND('DRE Real'!V53,2)</f>
        <v>1</v>
      </c>
      <c r="W50" s="50" t="b">
        <f ca="1">ROUND(W29,2)=ROUND('DRE Real'!W53,2)</f>
        <v>1</v>
      </c>
      <c r="X50" s="50" t="b">
        <f ca="1">ROUND(X29,2)=ROUND('DRE Real'!X53,2)</f>
        <v>1</v>
      </c>
      <c r="Y50" s="50" t="b">
        <f ca="1">ROUND(Y29,2)=ROUND('DRE Real'!Y53,2)</f>
        <v>1</v>
      </c>
      <c r="Z50" s="50" t="b">
        <f ca="1">ROUND(Z29,2)=ROUND('DRE Real'!Z53,2)</f>
        <v>1</v>
      </c>
      <c r="AA50" s="50" t="b">
        <f ca="1">ROUND(AA29,2)=ROUND('DRE Real'!AA53,2)</f>
        <v>1</v>
      </c>
      <c r="AB50" s="50" t="b">
        <f ca="1">ROUND(AB29,2)=ROUND('DRE Real'!AB53,2)</f>
        <v>1</v>
      </c>
      <c r="AC50" s="50" t="b">
        <f ca="1">ROUND(AC29,2)=ROUND('DRE Real'!AC53,2)</f>
        <v>1</v>
      </c>
      <c r="AD50" s="50" t="b">
        <f ca="1">ROUND(AD29,2)=ROUND('DRE Real'!AD53,2)</f>
        <v>1</v>
      </c>
      <c r="AE50" s="50" t="b">
        <f ca="1">ROUND(AE29,2)=ROUND('DRE Real'!AE53,2)</f>
        <v>1</v>
      </c>
      <c r="AF50" s="50" t="b">
        <f ca="1">ROUND(AF29,2)=ROUND('DRE Real'!AF53,2)</f>
        <v>1</v>
      </c>
      <c r="AG50" s="50" t="b">
        <f ca="1">ROUND(AG29,2)=ROUND('DRE Real'!AG53,2)</f>
        <v>1</v>
      </c>
      <c r="AH50" s="50" t="b">
        <f ca="1">ROUND(AH29,2)=ROUND('DRE Real'!AH53,2)</f>
        <v>1</v>
      </c>
    </row>
    <row r="52" spans="2:34">
      <c r="B52" s="2" t="s">
        <v>335</v>
      </c>
    </row>
    <row r="53" spans="2:34">
      <c r="B53" s="607"/>
      <c r="C53" s="606"/>
      <c r="D53" s="608"/>
      <c r="E53" s="68" t="str" cm="1">
        <f t="array" ref="E53:AH53">E4:AH4</f>
        <v>Ano 1</v>
      </c>
      <c r="F53" s="68" t="str">
        <v>Ano 2</v>
      </c>
      <c r="G53" s="68" t="str">
        <v>Ano 3</v>
      </c>
      <c r="H53" s="68" t="str">
        <v>Ano 4</v>
      </c>
      <c r="I53" s="68" t="str">
        <v>Ano 5</v>
      </c>
      <c r="J53" s="68" t="str">
        <v>Ano 6</v>
      </c>
      <c r="K53" s="68" t="str">
        <v>Ano 7</v>
      </c>
      <c r="L53" s="68" t="str">
        <v>Ano 8</v>
      </c>
      <c r="M53" s="68" t="str">
        <v>Ano 9</v>
      </c>
      <c r="N53" s="68" t="str">
        <v>Ano 10</v>
      </c>
      <c r="O53" s="68" t="str">
        <v>Ano 11</v>
      </c>
      <c r="P53" s="68" t="str">
        <v>Ano 12</v>
      </c>
      <c r="Q53" s="68" t="str">
        <v>Ano 13</v>
      </c>
      <c r="R53" s="68" t="str">
        <v>Ano 14</v>
      </c>
      <c r="S53" s="68" t="str">
        <v>Ano 15</v>
      </c>
      <c r="T53" s="68" t="str">
        <v>Ano 16</v>
      </c>
      <c r="U53" s="68" t="str">
        <v>Ano 17</v>
      </c>
      <c r="V53" s="68" t="str">
        <v>Ano 18</v>
      </c>
      <c r="W53" s="68" t="str">
        <v>Ano 19</v>
      </c>
      <c r="X53" s="68" t="str">
        <v>Ano 20</v>
      </c>
      <c r="Y53" s="68" t="str">
        <v>Ano 21</v>
      </c>
      <c r="Z53" s="68" t="str">
        <v>Ano 22</v>
      </c>
      <c r="AA53" s="68" t="str">
        <v>Ano 23</v>
      </c>
      <c r="AB53" s="68" t="str">
        <v>Ano 24</v>
      </c>
      <c r="AC53" s="68" t="str">
        <v>Ano 25</v>
      </c>
      <c r="AD53" s="68" t="str">
        <v>Ano 26</v>
      </c>
      <c r="AE53" s="68" t="str">
        <v>Ano 27</v>
      </c>
      <c r="AF53" s="68" t="str">
        <v>Ano 28</v>
      </c>
      <c r="AG53" s="68" t="str">
        <v>Ano 29</v>
      </c>
      <c r="AH53" s="68" t="str">
        <v>Ano 30</v>
      </c>
    </row>
    <row r="54" spans="2:34">
      <c r="B54" s="605" t="s">
        <v>336</v>
      </c>
      <c r="C54" s="606"/>
      <c r="D54" s="606"/>
      <c r="E54" s="80" cm="1">
        <f t="array" aca="1" ref="E54:AH54" ca="1">'BP Nominal'!E52:AH52 / (1 +'Painel Controle'!D$149:AG$149)</f>
        <v>3246324.7213599188</v>
      </c>
      <c r="F54" s="145">
        <f ca="1"/>
        <v>-74903873.001701027</v>
      </c>
      <c r="G54" s="145">
        <f ca="1"/>
        <v>-47761259.149260491</v>
      </c>
      <c r="H54" s="145">
        <f ca="1"/>
        <v>-63272239.047666639</v>
      </c>
      <c r="I54" s="145">
        <f ca="1"/>
        <v>-94590988.475672334</v>
      </c>
      <c r="J54" s="145">
        <f ca="1"/>
        <v>-89224453.016608775</v>
      </c>
      <c r="K54" s="145">
        <f ca="1"/>
        <v>38257571.928347968</v>
      </c>
      <c r="L54" s="145">
        <f ca="1"/>
        <v>24817474.103762988</v>
      </c>
      <c r="M54" s="145">
        <f ca="1"/>
        <v>13076783.035850447</v>
      </c>
      <c r="N54" s="145">
        <f ca="1"/>
        <v>39826591.062013313</v>
      </c>
      <c r="O54" s="145">
        <f ca="1"/>
        <v>73790700.881238282</v>
      </c>
      <c r="P54" s="145">
        <f ca="1"/>
        <v>137844845.34697425</v>
      </c>
      <c r="Q54" s="145">
        <f ca="1"/>
        <v>204267832.95662114</v>
      </c>
      <c r="R54" s="145">
        <f ca="1"/>
        <v>284435007.1246289</v>
      </c>
      <c r="S54" s="145">
        <f ca="1"/>
        <v>84738012.883589551</v>
      </c>
      <c r="T54" s="145">
        <f ca="1"/>
        <v>138286052.58756104</v>
      </c>
      <c r="U54" s="145">
        <f ca="1"/>
        <v>127845892.22874048</v>
      </c>
      <c r="V54" s="145">
        <f ca="1"/>
        <v>134514389.06187347</v>
      </c>
      <c r="W54" s="145">
        <f ca="1"/>
        <v>191272362.82720914</v>
      </c>
      <c r="X54" s="145">
        <f ca="1"/>
        <v>297177990.8131218</v>
      </c>
      <c r="Y54" s="145">
        <f ca="1"/>
        <v>396917229.94091892</v>
      </c>
      <c r="Z54" s="145">
        <f ca="1"/>
        <v>522805062.74045104</v>
      </c>
      <c r="AA54" s="145">
        <f ca="1"/>
        <v>627314461.51658058</v>
      </c>
      <c r="AB54" s="145">
        <f ca="1"/>
        <v>724509806.00460756</v>
      </c>
      <c r="AC54" s="145">
        <f ca="1"/>
        <v>797034811.16896033</v>
      </c>
      <c r="AD54" s="145">
        <f ca="1"/>
        <v>871177218.74581575</v>
      </c>
      <c r="AE54" s="145">
        <f ca="1"/>
        <v>976811348.79554057</v>
      </c>
      <c r="AF54" s="145">
        <f ca="1"/>
        <v>1093474720.1019025</v>
      </c>
      <c r="AG54" s="145">
        <f ca="1"/>
        <v>1198837521.13573</v>
      </c>
      <c r="AH54" s="145">
        <f ca="1"/>
        <v>1302256102.4450233</v>
      </c>
    </row>
    <row r="55" spans="2:34">
      <c r="B55" t="str">
        <f>'BP Nominal'!B53</f>
        <v>Observação: a partir do ano 2 já se passa a levar em consideração o serviço da dívida do ano anterior (não é possível levar em consideração o serviço da dívida do mesmo ano sob pena de circularidade no modelo).</v>
      </c>
    </row>
  </sheetData>
  <mergeCells count="13">
    <mergeCell ref="B54:D54"/>
    <mergeCell ref="B41:C41"/>
    <mergeCell ref="B44:D44"/>
    <mergeCell ref="B45:D45"/>
    <mergeCell ref="B49:D49"/>
    <mergeCell ref="B50:D50"/>
    <mergeCell ref="B53:D53"/>
    <mergeCell ref="B40:C40"/>
    <mergeCell ref="B35:C35"/>
    <mergeCell ref="B36:C36"/>
    <mergeCell ref="B37:C37"/>
    <mergeCell ref="B38:C38"/>
    <mergeCell ref="B39:C39"/>
  </mergeCells>
  <conditionalFormatting sqref="E45:AH45">
    <cfRule type="cellIs" dxfId="5" priority="2" operator="equal">
      <formula>FALSE</formula>
    </cfRule>
  </conditionalFormatting>
  <conditionalFormatting sqref="E50:AH50">
    <cfRule type="cellIs" dxfId="4" priority="1"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13EAC-23EC-4B63-A315-3773426E2BB5}">
  <sheetPr>
    <tabColor rgb="FF2A6099"/>
  </sheetPr>
  <dimension ref="B2:AI53"/>
  <sheetViews>
    <sheetView showGridLines="0" zoomScale="114" zoomScaleNormal="90" workbookViewId="0">
      <selection activeCell="A23" sqref="A23"/>
    </sheetView>
  </sheetViews>
  <sheetFormatPr defaultColWidth="14.28515625" defaultRowHeight="12.75"/>
  <cols>
    <col min="1" max="1" width="2.42578125" customWidth="1"/>
    <col min="2" max="2" width="79.140625" customWidth="1"/>
    <col min="3" max="3" width="57.42578125" customWidth="1"/>
    <col min="4" max="4" width="17.42578125" customWidth="1"/>
    <col min="5" max="14" width="17.85546875" bestFit="1" customWidth="1"/>
    <col min="15" max="34" width="19.42578125" bestFit="1" customWidth="1"/>
    <col min="35" max="35" width="29.28515625" customWidth="1"/>
    <col min="36" max="969" width="9.140625"/>
    <col min="970" max="1024" width="11.42578125" customWidth="1"/>
  </cols>
  <sheetData>
    <row r="2" spans="2:34"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4">
      <c r="B3" s="2" t="s">
        <v>337</v>
      </c>
    </row>
    <row r="4" spans="2:34">
      <c r="B4" s="26" t="s">
        <v>338</v>
      </c>
      <c r="C4" s="26" t="s">
        <v>220</v>
      </c>
      <c r="D4" s="28" t="s">
        <v>339</v>
      </c>
      <c r="E4" s="48" t="str">
        <f>"Ano "&amp;E2</f>
        <v>Ano 1</v>
      </c>
      <c r="F4" s="48" t="str">
        <f t="shared" ref="F4:AH4" si="0">"Ano "&amp;F2</f>
        <v>Ano 2</v>
      </c>
      <c r="G4" s="48" t="str">
        <f t="shared" si="0"/>
        <v>Ano 3</v>
      </c>
      <c r="H4" s="48" t="str">
        <f t="shared" si="0"/>
        <v>Ano 4</v>
      </c>
      <c r="I4" s="48" t="str">
        <f t="shared" si="0"/>
        <v>Ano 5</v>
      </c>
      <c r="J4" s="48" t="str">
        <f t="shared" si="0"/>
        <v>Ano 6</v>
      </c>
      <c r="K4" s="48" t="str">
        <f t="shared" si="0"/>
        <v>Ano 7</v>
      </c>
      <c r="L4" s="48" t="str">
        <f t="shared" si="0"/>
        <v>Ano 8</v>
      </c>
      <c r="M4" s="48" t="str">
        <f t="shared" si="0"/>
        <v>Ano 9</v>
      </c>
      <c r="N4" s="48" t="str">
        <f t="shared" si="0"/>
        <v>Ano 10</v>
      </c>
      <c r="O4" s="48" t="str">
        <f t="shared" si="0"/>
        <v>Ano 11</v>
      </c>
      <c r="P4" s="48" t="str">
        <f t="shared" si="0"/>
        <v>Ano 12</v>
      </c>
      <c r="Q4" s="48" t="str">
        <f t="shared" si="0"/>
        <v>Ano 13</v>
      </c>
      <c r="R4" s="48" t="str">
        <f t="shared" si="0"/>
        <v>Ano 14</v>
      </c>
      <c r="S4" s="48" t="str">
        <f t="shared" si="0"/>
        <v>Ano 15</v>
      </c>
      <c r="T4" s="48" t="str">
        <f t="shared" si="0"/>
        <v>Ano 16</v>
      </c>
      <c r="U4" s="48" t="str">
        <f t="shared" si="0"/>
        <v>Ano 17</v>
      </c>
      <c r="V4" s="48" t="str">
        <f t="shared" si="0"/>
        <v>Ano 18</v>
      </c>
      <c r="W4" s="48" t="str">
        <f t="shared" si="0"/>
        <v>Ano 19</v>
      </c>
      <c r="X4" s="48" t="str">
        <f t="shared" si="0"/>
        <v>Ano 20</v>
      </c>
      <c r="Y4" s="48" t="str">
        <f t="shared" si="0"/>
        <v>Ano 21</v>
      </c>
      <c r="Z4" s="48" t="str">
        <f t="shared" si="0"/>
        <v>Ano 22</v>
      </c>
      <c r="AA4" s="48" t="str">
        <f t="shared" si="0"/>
        <v>Ano 23</v>
      </c>
      <c r="AB4" s="48" t="str">
        <f t="shared" si="0"/>
        <v>Ano 24</v>
      </c>
      <c r="AC4" s="48" t="str">
        <f t="shared" si="0"/>
        <v>Ano 25</v>
      </c>
      <c r="AD4" s="48" t="str">
        <f t="shared" si="0"/>
        <v>Ano 26</v>
      </c>
      <c r="AE4" s="48" t="str">
        <f t="shared" si="0"/>
        <v>Ano 27</v>
      </c>
      <c r="AF4" s="48" t="str">
        <f t="shared" si="0"/>
        <v>Ano 28</v>
      </c>
      <c r="AG4" s="48" t="str">
        <f t="shared" si="0"/>
        <v>Ano 29</v>
      </c>
      <c r="AH4" s="48" t="str">
        <f t="shared" si="0"/>
        <v>Ano 30</v>
      </c>
    </row>
    <row r="5" spans="2:34">
      <c r="B5" s="24" t="s">
        <v>340</v>
      </c>
      <c r="C5" s="137" t="s">
        <v>341</v>
      </c>
      <c r="D5" s="137" t="s">
        <v>341</v>
      </c>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row>
    <row r="6" spans="2:34">
      <c r="B6" s="103" t="str" cm="1">
        <f t="array" ref="B6:B16">'Painel Controle'!B154:B164</f>
        <v xml:space="preserve">Nova Lima </v>
      </c>
      <c r="C6" s="137" t="s">
        <v>341</v>
      </c>
      <c r="D6" s="137" t="s">
        <v>341</v>
      </c>
      <c r="E6" s="49" cm="1">
        <f t="array" aca="1" ref="E6:AH16" ca="1">'Receitas Tarifárias'!D451:AG461 * (1+'Painel Controle'!D149:AG149)</f>
        <v>0</v>
      </c>
      <c r="F6" s="49">
        <f ca="1"/>
        <v>13100304.872255653</v>
      </c>
      <c r="G6" s="49">
        <f ca="1"/>
        <v>18319759.525476523</v>
      </c>
      <c r="H6" s="49">
        <f ca="1"/>
        <v>19273147.645715345</v>
      </c>
      <c r="I6" s="49">
        <f ca="1"/>
        <v>28442254.302235417</v>
      </c>
      <c r="J6" s="49">
        <f ca="1"/>
        <v>30114986.634227492</v>
      </c>
      <c r="K6" s="49">
        <f ca="1"/>
        <v>31896677.28762123</v>
      </c>
      <c r="L6" s="49">
        <f ca="1"/>
        <v>33789411.149220802</v>
      </c>
      <c r="M6" s="49">
        <f ca="1"/>
        <v>35891631.375660665</v>
      </c>
      <c r="N6" s="49">
        <f ca="1"/>
        <v>38226579.581015021</v>
      </c>
      <c r="O6" s="49">
        <f ca="1"/>
        <v>40709102.691057622</v>
      </c>
      <c r="P6" s="49">
        <f ca="1"/>
        <v>43344708.621603474</v>
      </c>
      <c r="Q6" s="49">
        <f ca="1"/>
        <v>46076622.006405987</v>
      </c>
      <c r="R6" s="49">
        <f ca="1"/>
        <v>48899519.970389292</v>
      </c>
      <c r="S6" s="49">
        <f ca="1"/>
        <v>51806779.353867576</v>
      </c>
      <c r="T6" s="49">
        <f ca="1"/>
        <v>54790987.522992887</v>
      </c>
      <c r="U6" s="49">
        <f ca="1"/>
        <v>57845858.873942249</v>
      </c>
      <c r="V6" s="49">
        <f ca="1"/>
        <v>60965006.37420053</v>
      </c>
      <c r="W6" s="49">
        <f ca="1"/>
        <v>64140703.755834341</v>
      </c>
      <c r="X6" s="49">
        <f ca="1"/>
        <v>67365056.762755677</v>
      </c>
      <c r="Y6" s="49">
        <f ca="1"/>
        <v>70628758.277682081</v>
      </c>
      <c r="Z6" s="49">
        <f ca="1"/>
        <v>73922761.711833134</v>
      </c>
      <c r="AA6" s="49">
        <f ca="1"/>
        <v>77238156.394765288</v>
      </c>
      <c r="AB6" s="49">
        <f ca="1"/>
        <v>80564480.960986987</v>
      </c>
      <c r="AC6" s="49">
        <f ca="1"/>
        <v>83890332.138280451</v>
      </c>
      <c r="AD6" s="49">
        <f ca="1"/>
        <v>87204468.871019125</v>
      </c>
      <c r="AE6" s="49">
        <f ca="1"/>
        <v>90495218.897499636</v>
      </c>
      <c r="AF6" s="49">
        <f ca="1"/>
        <v>93749034.966328144</v>
      </c>
      <c r="AG6" s="49">
        <f ca="1"/>
        <v>96951466.654008493</v>
      </c>
      <c r="AH6" s="49">
        <f ca="1"/>
        <v>100087497.58006938</v>
      </c>
    </row>
    <row r="7" spans="2:34">
      <c r="B7" s="103" t="str">
        <v xml:space="preserve">Rio Acima </v>
      </c>
      <c r="C7" s="137" t="s">
        <v>341</v>
      </c>
      <c r="D7" s="137" t="s">
        <v>341</v>
      </c>
      <c r="E7" s="49">
        <f ca="1"/>
        <v>0</v>
      </c>
      <c r="F7" s="49">
        <f ca="1"/>
        <v>2778852.54866029</v>
      </c>
      <c r="G7" s="49">
        <f ca="1"/>
        <v>3886009.5963132018</v>
      </c>
      <c r="H7" s="49">
        <f ca="1"/>
        <v>4088243.4400002244</v>
      </c>
      <c r="I7" s="49">
        <f ca="1"/>
        <v>6033205.4580499372</v>
      </c>
      <c r="J7" s="49">
        <f ca="1"/>
        <v>6388027.4678664375</v>
      </c>
      <c r="K7" s="49">
        <f ca="1"/>
        <v>6765961.8488893509</v>
      </c>
      <c r="L7" s="49">
        <f ca="1"/>
        <v>7167450.8498347169</v>
      </c>
      <c r="M7" s="49">
        <f ca="1"/>
        <v>7613376.3524128683</v>
      </c>
      <c r="N7" s="49">
        <f ca="1"/>
        <v>8108668.3959728843</v>
      </c>
      <c r="O7" s="49">
        <f ca="1"/>
        <v>8635264.2071940415</v>
      </c>
      <c r="P7" s="49">
        <f ca="1"/>
        <v>9194332.1318552848</v>
      </c>
      <c r="Q7" s="49">
        <f ca="1"/>
        <v>9773828.9104497563</v>
      </c>
      <c r="R7" s="49">
        <f ca="1"/>
        <v>10372625.448264396</v>
      </c>
      <c r="S7" s="49">
        <f ca="1"/>
        <v>10989316.832638577</v>
      </c>
      <c r="T7" s="49">
        <f ca="1"/>
        <v>11622330.686695462</v>
      </c>
      <c r="U7" s="49">
        <f ca="1"/>
        <v>12270333.700533206</v>
      </c>
      <c r="V7" s="49">
        <f ca="1"/>
        <v>12931971.049072841</v>
      </c>
      <c r="W7" s="49">
        <f ca="1"/>
        <v>13605603.826995162</v>
      </c>
      <c r="X7" s="49">
        <f ca="1"/>
        <v>14289557.495129993</v>
      </c>
      <c r="Y7" s="49">
        <f ca="1"/>
        <v>14981857.816478018</v>
      </c>
      <c r="Z7" s="49">
        <f ca="1"/>
        <v>15680585.817661576</v>
      </c>
      <c r="AA7" s="49">
        <f ca="1"/>
        <v>16383851.356465364</v>
      </c>
      <c r="AB7" s="49">
        <f ca="1"/>
        <v>17089435.355360877</v>
      </c>
      <c r="AC7" s="49">
        <f ca="1"/>
        <v>17794918.938423127</v>
      </c>
      <c r="AD7" s="49">
        <f ca="1"/>
        <v>18497917.639307089</v>
      </c>
      <c r="AE7" s="49">
        <f ca="1"/>
        <v>19195955.523712043</v>
      </c>
      <c r="AF7" s="49">
        <f ca="1"/>
        <v>19886158.932251424</v>
      </c>
      <c r="AG7" s="49">
        <f ca="1"/>
        <v>20565462.623577561</v>
      </c>
      <c r="AH7" s="49">
        <f ca="1"/>
        <v>21230681.304863203</v>
      </c>
    </row>
    <row r="8" spans="2:34">
      <c r="B8" s="103" t="str">
        <v xml:space="preserve">Itabirito </v>
      </c>
      <c r="C8" s="137" t="s">
        <v>341</v>
      </c>
      <c r="D8" s="137" t="s">
        <v>341</v>
      </c>
      <c r="E8" s="49">
        <f ca="1"/>
        <v>0</v>
      </c>
      <c r="F8" s="49">
        <f ca="1"/>
        <v>22495473.012964252</v>
      </c>
      <c r="G8" s="49">
        <f ca="1"/>
        <v>31458172.922535446</v>
      </c>
      <c r="H8" s="49">
        <f ca="1"/>
        <v>33095304.038097054</v>
      </c>
      <c r="I8" s="49">
        <f ca="1"/>
        <v>48840234.660404257</v>
      </c>
      <c r="J8" s="49">
        <f ca="1"/>
        <v>51712603.311299741</v>
      </c>
      <c r="K8" s="49">
        <f ca="1"/>
        <v>54772072.110056661</v>
      </c>
      <c r="L8" s="49">
        <f ca="1"/>
        <v>58022221.165328667</v>
      </c>
      <c r="M8" s="49">
        <f ca="1"/>
        <v>61632094.281437509</v>
      </c>
      <c r="N8" s="49">
        <f ca="1"/>
        <v>65641601.300732873</v>
      </c>
      <c r="O8" s="49">
        <f ca="1"/>
        <v>69904519.772523195</v>
      </c>
      <c r="P8" s="49">
        <f ca="1"/>
        <v>74430307.734066591</v>
      </c>
      <c r="Q8" s="49">
        <f ca="1"/>
        <v>79121472.132212311</v>
      </c>
      <c r="R8" s="49">
        <f ca="1"/>
        <v>83968872.676426068</v>
      </c>
      <c r="S8" s="49">
        <f ca="1"/>
        <v>88961136.264217049</v>
      </c>
      <c r="T8" s="49">
        <f ca="1"/>
        <v>94085534.130391836</v>
      </c>
      <c r="U8" s="49">
        <f ca="1"/>
        <v>99331272.813840225</v>
      </c>
      <c r="V8" s="49">
        <f ca="1"/>
        <v>104687384.68297061</v>
      </c>
      <c r="W8" s="49">
        <f ca="1"/>
        <v>110140602.40900846</v>
      </c>
      <c r="X8" s="49">
        <f ca="1"/>
        <v>115677370.19867139</v>
      </c>
      <c r="Y8" s="49">
        <f ca="1"/>
        <v>121281706.13339348</v>
      </c>
      <c r="Z8" s="49">
        <f ca="1"/>
        <v>126938075.6667842</v>
      </c>
      <c r="AA8" s="49">
        <f ca="1"/>
        <v>132631177.64757675</v>
      </c>
      <c r="AB8" s="49">
        <f ca="1"/>
        <v>138343048.11482614</v>
      </c>
      <c r="AC8" s="49">
        <f ca="1"/>
        <v>144054105.69199675</v>
      </c>
      <c r="AD8" s="49">
        <f ca="1"/>
        <v>149745047.55629548</v>
      </c>
      <c r="AE8" s="49">
        <f ca="1"/>
        <v>155395830.43004987</v>
      </c>
      <c r="AF8" s="49">
        <f ca="1"/>
        <v>160983191.35632107</v>
      </c>
      <c r="AG8" s="49">
        <f ca="1"/>
        <v>166482316.47658026</v>
      </c>
      <c r="AH8" s="49">
        <f ca="1"/>
        <v>171867420.08698782</v>
      </c>
    </row>
    <row r="9" spans="2:34">
      <c r="B9" s="103" t="str">
        <v xml:space="preserve">Ouro Preto </v>
      </c>
      <c r="C9" s="137" t="s">
        <v>341</v>
      </c>
      <c r="D9" s="137" t="s">
        <v>341</v>
      </c>
      <c r="E9" s="49">
        <f ca="1"/>
        <v>0</v>
      </c>
      <c r="F9" s="49">
        <f ca="1"/>
        <v>45271042.778880909</v>
      </c>
      <c r="G9" s="49">
        <f ca="1"/>
        <v>63331366.257566921</v>
      </c>
      <c r="H9" s="49">
        <f ca="1"/>
        <v>66661620.707751632</v>
      </c>
      <c r="I9" s="49">
        <f ca="1"/>
        <v>77857244.44618544</v>
      </c>
      <c r="J9" s="49">
        <f ca="1"/>
        <v>82474005.20459944</v>
      </c>
      <c r="K9" s="49">
        <f ca="1"/>
        <v>110512381.07583292</v>
      </c>
      <c r="L9" s="49">
        <f ca="1"/>
        <v>117130636.10824004</v>
      </c>
      <c r="M9" s="49">
        <f ca="1"/>
        <v>124458419.4738244</v>
      </c>
      <c r="N9" s="49">
        <f ca="1"/>
        <v>132614260.88449804</v>
      </c>
      <c r="O9" s="49">
        <f ca="1"/>
        <v>141310114.81634974</v>
      </c>
      <c r="P9" s="49">
        <f ca="1"/>
        <v>150569410.26578054</v>
      </c>
      <c r="Q9" s="49">
        <f ca="1"/>
        <v>160176124.60890853</v>
      </c>
      <c r="R9" s="49">
        <f ca="1"/>
        <v>170111968.0228729</v>
      </c>
      <c r="S9" s="49">
        <f ca="1"/>
        <v>180353990.08527955</v>
      </c>
      <c r="T9" s="49">
        <f ca="1"/>
        <v>190876397.09352961</v>
      </c>
      <c r="U9" s="49">
        <f ca="1"/>
        <v>201657289.15322822</v>
      </c>
      <c r="V9" s="49">
        <f ca="1"/>
        <v>212674372.1323849</v>
      </c>
      <c r="W9" s="49">
        <f ca="1"/>
        <v>223900593.13248023</v>
      </c>
      <c r="X9" s="49">
        <f ca="1"/>
        <v>235308228.75596687</v>
      </c>
      <c r="Y9" s="49">
        <f ca="1"/>
        <v>246864535.43617728</v>
      </c>
      <c r="Z9" s="49">
        <f ca="1"/>
        <v>258537620.76260433</v>
      </c>
      <c r="AA9" s="49">
        <f ca="1"/>
        <v>270296017.31371027</v>
      </c>
      <c r="AB9" s="49">
        <f ca="1"/>
        <v>282102761.23495597</v>
      </c>
      <c r="AC9" s="49">
        <f ca="1"/>
        <v>293917507.45740181</v>
      </c>
      <c r="AD9" s="49">
        <f ca="1"/>
        <v>305700403.78931916</v>
      </c>
      <c r="AE9" s="49">
        <f ca="1"/>
        <v>317409980.79923952</v>
      </c>
      <c r="AF9" s="49">
        <f ca="1"/>
        <v>328998064.29285258</v>
      </c>
      <c r="AG9" s="49">
        <f ca="1"/>
        <v>340413202.92787868</v>
      </c>
      <c r="AH9" s="49">
        <f ca="1"/>
        <v>351601866.99413508</v>
      </c>
    </row>
    <row r="10" spans="2:34">
      <c r="B10" s="103" t="str">
        <v xml:space="preserve">Mariana </v>
      </c>
      <c r="C10" s="137" t="s">
        <v>341</v>
      </c>
      <c r="D10" s="137" t="s">
        <v>341</v>
      </c>
      <c r="E10" s="49">
        <f ca="1"/>
        <v>0</v>
      </c>
      <c r="F10" s="49">
        <f ca="1"/>
        <v>16244743.753749812</v>
      </c>
      <c r="G10" s="49">
        <f ca="1"/>
        <v>22730141.65353135</v>
      </c>
      <c r="H10" s="49">
        <f ca="1"/>
        <v>23932451.196310591</v>
      </c>
      <c r="I10" s="49">
        <f ca="1"/>
        <v>25247795.971745059</v>
      </c>
      <c r="J10" s="49">
        <f ca="1"/>
        <v>26752030.117021799</v>
      </c>
      <c r="K10" s="49">
        <f ca="1"/>
        <v>36645458.883785017</v>
      </c>
      <c r="L10" s="49">
        <f ca="1"/>
        <v>38848077.016458236</v>
      </c>
      <c r="M10" s="49">
        <f ca="1"/>
        <v>41280235.170191593</v>
      </c>
      <c r="N10" s="49">
        <f ca="1"/>
        <v>43989912.42228321</v>
      </c>
      <c r="O10" s="49">
        <f ca="1"/>
        <v>46884100.190052278</v>
      </c>
      <c r="P10" s="49">
        <f ca="1"/>
        <v>49971538.898621425</v>
      </c>
      <c r="Q10" s="49">
        <f ca="1"/>
        <v>53176582.64579764</v>
      </c>
      <c r="R10" s="49">
        <f ca="1"/>
        <v>56493260.73393932</v>
      </c>
      <c r="S10" s="49">
        <f ca="1"/>
        <v>59914035.198192887</v>
      </c>
      <c r="T10" s="49">
        <f ca="1"/>
        <v>63430409.16879724</v>
      </c>
      <c r="U10" s="49">
        <f ca="1"/>
        <v>67035168.239828572</v>
      </c>
      <c r="V10" s="49">
        <f ca="1"/>
        <v>70720958.922008827</v>
      </c>
      <c r="W10" s="49">
        <f ca="1"/>
        <v>74478833.35760732</v>
      </c>
      <c r="X10" s="49">
        <f ca="1"/>
        <v>78299603.638878047</v>
      </c>
      <c r="Y10" s="49">
        <f ca="1"/>
        <v>82172399.188571155</v>
      </c>
      <c r="Z10" s="49">
        <f ca="1"/>
        <v>86086617.912075475</v>
      </c>
      <c r="AA10" s="49">
        <f ca="1"/>
        <v>90031786.37304312</v>
      </c>
      <c r="AB10" s="49">
        <f ca="1"/>
        <v>93995590.542098582</v>
      </c>
      <c r="AC10" s="49">
        <f ca="1"/>
        <v>97964574.240146503</v>
      </c>
      <c r="AD10" s="49">
        <f ca="1"/>
        <v>101925426.37458248</v>
      </c>
      <c r="AE10" s="49">
        <f ca="1"/>
        <v>105864273.37469712</v>
      </c>
      <c r="AF10" s="49">
        <f ca="1"/>
        <v>109764983.05609331</v>
      </c>
      <c r="AG10" s="49">
        <f ca="1"/>
        <v>113610306.88175355</v>
      </c>
      <c r="AH10" s="49">
        <f ca="1"/>
        <v>117382281.02262869</v>
      </c>
    </row>
    <row r="11" spans="2:34">
      <c r="B11" s="103" t="str">
        <v xml:space="preserve">Acaiaca </v>
      </c>
      <c r="C11" s="137" t="s">
        <v>341</v>
      </c>
      <c r="D11" s="137" t="s">
        <v>341</v>
      </c>
      <c r="E11" s="49">
        <f ca="1"/>
        <v>0</v>
      </c>
      <c r="F11" s="49">
        <f ca="1"/>
        <v>2712452.7924138089</v>
      </c>
      <c r="G11" s="49">
        <f ca="1"/>
        <v>3796105.87305392</v>
      </c>
      <c r="H11" s="49">
        <f ca="1"/>
        <v>3998037.9617153718</v>
      </c>
      <c r="I11" s="49">
        <f ca="1"/>
        <v>4218785.8166226642</v>
      </c>
      <c r="J11" s="49">
        <f ca="1"/>
        <v>4470491.5986475702</v>
      </c>
      <c r="K11" s="49">
        <f ca="1"/>
        <v>4741010.583568844</v>
      </c>
      <c r="L11" s="49">
        <f ca="1"/>
        <v>5026306.6413080161</v>
      </c>
      <c r="M11" s="49">
        <f ca="1"/>
        <v>5339459.1797131402</v>
      </c>
      <c r="N11" s="49">
        <f ca="1"/>
        <v>5688661.6516393255</v>
      </c>
      <c r="O11" s="49">
        <f ca="1"/>
        <v>6062692.59221585</v>
      </c>
      <c r="P11" s="49">
        <f ca="1"/>
        <v>6462899.8623419506</v>
      </c>
      <c r="Q11" s="49">
        <f ca="1"/>
        <v>6878680.7800300056</v>
      </c>
      <c r="R11" s="49">
        <f ca="1"/>
        <v>7309299.9140851432</v>
      </c>
      <c r="S11" s="49">
        <f ca="1"/>
        <v>7753817.632512263</v>
      </c>
      <c r="T11" s="49">
        <f ca="1"/>
        <v>8211168.7955826912</v>
      </c>
      <c r="U11" s="49">
        <f ca="1"/>
        <v>8680450.5741255097</v>
      </c>
      <c r="V11" s="49">
        <f ca="1"/>
        <v>9160740.6017173789</v>
      </c>
      <c r="W11" s="49">
        <f ca="1"/>
        <v>9650909.2846110165</v>
      </c>
      <c r="X11" s="49">
        <f ca="1"/>
        <v>10149792.563144647</v>
      </c>
      <c r="Y11" s="49">
        <f ca="1"/>
        <v>10656007.308230612</v>
      </c>
      <c r="Z11" s="49">
        <f ca="1"/>
        <v>11168201.45395875</v>
      </c>
      <c r="AA11" s="49">
        <f ca="1"/>
        <v>11685036.306410726</v>
      </c>
      <c r="AB11" s="49">
        <f ca="1"/>
        <v>12204933.595948506</v>
      </c>
      <c r="AC11" s="49">
        <f ca="1"/>
        <v>12726164.037465762</v>
      </c>
      <c r="AD11" s="49">
        <f ca="1"/>
        <v>13247012.246808914</v>
      </c>
      <c r="AE11" s="49">
        <f ca="1"/>
        <v>13765684.570396865</v>
      </c>
      <c r="AF11" s="49">
        <f ca="1"/>
        <v>14280090.248503678</v>
      </c>
      <c r="AG11" s="49">
        <f ca="1"/>
        <v>14787988.371545175</v>
      </c>
      <c r="AH11" s="49">
        <f ca="1"/>
        <v>15287039.694573231</v>
      </c>
    </row>
    <row r="12" spans="2:34">
      <c r="B12" s="103" t="str">
        <v xml:space="preserve">Ponte Nova </v>
      </c>
      <c r="C12" s="137" t="s">
        <v>341</v>
      </c>
      <c r="D12" s="137" t="s">
        <v>341</v>
      </c>
      <c r="E12" s="49">
        <f ca="1"/>
        <v>0</v>
      </c>
      <c r="F12" s="49">
        <f ca="1"/>
        <v>7194999.8502675761</v>
      </c>
      <c r="G12" s="49">
        <f ca="1"/>
        <v>10068524.560990561</v>
      </c>
      <c r="H12" s="49">
        <f ca="1"/>
        <v>10603624.46937738</v>
      </c>
      <c r="I12" s="49">
        <f ca="1"/>
        <v>11188672.177292403</v>
      </c>
      <c r="J12" s="49">
        <f ca="1"/>
        <v>11855957.005818455</v>
      </c>
      <c r="K12" s="49">
        <f ca="1"/>
        <v>12573697.445866844</v>
      </c>
      <c r="L12" s="49">
        <f ca="1"/>
        <v>13330179.449948531</v>
      </c>
      <c r="M12" s="49">
        <f ca="1"/>
        <v>14160086.144663723</v>
      </c>
      <c r="N12" s="49">
        <f ca="1"/>
        <v>15086354.998893434</v>
      </c>
      <c r="O12" s="49">
        <f ca="1"/>
        <v>16079271.945706483</v>
      </c>
      <c r="P12" s="49">
        <f ca="1"/>
        <v>17142569.165549099</v>
      </c>
      <c r="Q12" s="49">
        <f ca="1"/>
        <v>18247430.163627703</v>
      </c>
      <c r="R12" s="49">
        <f ca="1"/>
        <v>19391912.74784524</v>
      </c>
      <c r="S12" s="49">
        <f ca="1"/>
        <v>20573530.61295072</v>
      </c>
      <c r="T12" s="49">
        <f ca="1"/>
        <v>27069189.518816579</v>
      </c>
      <c r="U12" s="49">
        <f ca="1"/>
        <v>28619810.229703408</v>
      </c>
      <c r="V12" s="49">
        <f ca="1"/>
        <v>30207094.843607027</v>
      </c>
      <c r="W12" s="49">
        <f ca="1"/>
        <v>31827322.303499326</v>
      </c>
      <c r="X12" s="49">
        <f ca="1"/>
        <v>33476655.376389582</v>
      </c>
      <c r="Y12" s="49">
        <f ca="1"/>
        <v>35150532.234232366</v>
      </c>
      <c r="Z12" s="49">
        <f ca="1"/>
        <v>36844491.46960254</v>
      </c>
      <c r="AA12" s="49">
        <f ca="1"/>
        <v>38554114.031120978</v>
      </c>
      <c r="AB12" s="49">
        <f ca="1"/>
        <v>40274188.743767329</v>
      </c>
      <c r="AC12" s="49">
        <f ca="1"/>
        <v>41999003.761666305</v>
      </c>
      <c r="AD12" s="49">
        <f ca="1"/>
        <v>43722890.495978355</v>
      </c>
      <c r="AE12" s="49">
        <f ca="1"/>
        <v>45439918.708490781</v>
      </c>
      <c r="AF12" s="49">
        <f ca="1"/>
        <v>47143173.967869766</v>
      </c>
      <c r="AG12" s="49">
        <f ca="1"/>
        <v>48825242.849181242</v>
      </c>
      <c r="AH12" s="49">
        <f ca="1"/>
        <v>50478384.253020257</v>
      </c>
    </row>
    <row r="13" spans="2:34">
      <c r="B13" s="103" t="str">
        <v xml:space="preserve">Barra Longa </v>
      </c>
      <c r="C13" s="137" t="s">
        <v>341</v>
      </c>
      <c r="D13" s="137" t="s">
        <v>341</v>
      </c>
      <c r="E13" s="49">
        <f ca="1"/>
        <v>0</v>
      </c>
      <c r="F13" s="49">
        <f ca="1"/>
        <v>194740.20048099139</v>
      </c>
      <c r="G13" s="49">
        <f ca="1"/>
        <v>272540.93447566609</v>
      </c>
      <c r="H13" s="49">
        <f ca="1"/>
        <v>287038.62289238564</v>
      </c>
      <c r="I13" s="49">
        <f ca="1"/>
        <v>302887.18683444767</v>
      </c>
      <c r="J13" s="49">
        <f ca="1"/>
        <v>320958.37118495372</v>
      </c>
      <c r="K13" s="49">
        <f ca="1"/>
        <v>340380.24702545546</v>
      </c>
      <c r="L13" s="49">
        <f ca="1"/>
        <v>360863.04091442161</v>
      </c>
      <c r="M13" s="49">
        <f ca="1"/>
        <v>383345.78726145619</v>
      </c>
      <c r="N13" s="49">
        <f ca="1"/>
        <v>408416.73396384902</v>
      </c>
      <c r="O13" s="49">
        <f ca="1"/>
        <v>435270.23738985584</v>
      </c>
      <c r="P13" s="49">
        <f ca="1"/>
        <v>464003.06703993492</v>
      </c>
      <c r="Q13" s="49">
        <f ca="1"/>
        <v>493854.00472010294</v>
      </c>
      <c r="R13" s="49">
        <f ca="1"/>
        <v>524770.25024201022</v>
      </c>
      <c r="S13" s="49">
        <f ca="1"/>
        <v>556684.34284703422</v>
      </c>
      <c r="T13" s="49">
        <f ca="1"/>
        <v>589519.81096491124</v>
      </c>
      <c r="U13" s="49">
        <f ca="1"/>
        <v>623211.83609106217</v>
      </c>
      <c r="V13" s="49">
        <f ca="1"/>
        <v>657694.19704637583</v>
      </c>
      <c r="W13" s="49">
        <f ca="1"/>
        <v>692885.79479258577</v>
      </c>
      <c r="X13" s="49">
        <f ca="1"/>
        <v>728703.0558155129</v>
      </c>
      <c r="Y13" s="49">
        <f ca="1"/>
        <v>765046.67853963363</v>
      </c>
      <c r="Z13" s="49">
        <f ca="1"/>
        <v>801819.59156626917</v>
      </c>
      <c r="AA13" s="49">
        <f ca="1"/>
        <v>838925.6835371803</v>
      </c>
      <c r="AB13" s="49">
        <f ca="1"/>
        <v>876251.64278604637</v>
      </c>
      <c r="AC13" s="49">
        <f ca="1"/>
        <v>913673.31551036239</v>
      </c>
      <c r="AD13" s="49">
        <f ca="1"/>
        <v>951067.54592474247</v>
      </c>
      <c r="AE13" s="49">
        <f ca="1"/>
        <v>988305.55890028749</v>
      </c>
      <c r="AF13" s="49">
        <f ca="1"/>
        <v>1025237.2486105204</v>
      </c>
      <c r="AG13" s="49">
        <f ca="1"/>
        <v>1061701.7292391406</v>
      </c>
      <c r="AH13" s="49">
        <f ca="1"/>
        <v>1097531.0549950011</v>
      </c>
    </row>
    <row r="14" spans="2:34">
      <c r="B14" s="103" t="str">
        <v xml:space="preserve">Urucânia </v>
      </c>
      <c r="C14" s="137" t="s">
        <v>341</v>
      </c>
      <c r="D14" s="137" t="s">
        <v>341</v>
      </c>
      <c r="E14" s="49">
        <f ca="1"/>
        <v>0</v>
      </c>
      <c r="F14" s="49">
        <f ca="1"/>
        <v>8714713.857946258</v>
      </c>
      <c r="G14" s="49">
        <f ca="1"/>
        <v>12194427.602975996</v>
      </c>
      <c r="H14" s="49">
        <f ca="1"/>
        <v>12842123.357319523</v>
      </c>
      <c r="I14" s="49">
        <f ca="1"/>
        <v>13550346.338266617</v>
      </c>
      <c r="J14" s="49">
        <f ca="1"/>
        <v>14358270.051389685</v>
      </c>
      <c r="K14" s="49">
        <f ca="1"/>
        <v>15227741.978420412</v>
      </c>
      <c r="L14" s="49">
        <f ca="1"/>
        <v>16143778.850391056</v>
      </c>
      <c r="M14" s="49">
        <f ca="1"/>
        <v>17148380.774850722</v>
      </c>
      <c r="N14" s="49">
        <f ca="1"/>
        <v>18270279.465126127</v>
      </c>
      <c r="O14" s="49">
        <f ca="1"/>
        <v>19473525.544622883</v>
      </c>
      <c r="P14" s="49">
        <f ca="1"/>
        <v>20762763.23450581</v>
      </c>
      <c r="Q14" s="49">
        <f ca="1"/>
        <v>22102543.618269552</v>
      </c>
      <c r="R14" s="49">
        <f ca="1"/>
        <v>23490521.060066178</v>
      </c>
      <c r="S14" s="49">
        <f ca="1"/>
        <v>24923688.948645018</v>
      </c>
      <c r="T14" s="49">
        <f ca="1"/>
        <v>36958087.403798595</v>
      </c>
      <c r="U14" s="49">
        <f ca="1"/>
        <v>39077446.950467288</v>
      </c>
      <c r="V14" s="49">
        <f ca="1"/>
        <v>41247101.659005381</v>
      </c>
      <c r="W14" s="49">
        <f ca="1"/>
        <v>43461972.873043299</v>
      </c>
      <c r="X14" s="49">
        <f ca="1"/>
        <v>45716821.697584212</v>
      </c>
      <c r="Y14" s="49">
        <f ca="1"/>
        <v>48005418.408166833</v>
      </c>
      <c r="Z14" s="49">
        <f ca="1"/>
        <v>50321669.127845228</v>
      </c>
      <c r="AA14" s="49">
        <f ca="1"/>
        <v>52659536.713444129</v>
      </c>
      <c r="AB14" s="49">
        <f ca="1"/>
        <v>55011901.040627025</v>
      </c>
      <c r="AC14" s="49">
        <f ca="1"/>
        <v>57370956.614173479</v>
      </c>
      <c r="AD14" s="49">
        <f ca="1"/>
        <v>59728955.367864199</v>
      </c>
      <c r="AE14" s="49">
        <f ca="1"/>
        <v>62077789.700458892</v>
      </c>
      <c r="AF14" s="49">
        <f ca="1"/>
        <v>64408005.26194723</v>
      </c>
      <c r="AG14" s="49">
        <f ca="1"/>
        <v>66709463.874821819</v>
      </c>
      <c r="AH14" s="49">
        <f ca="1"/>
        <v>68971577.76047191</v>
      </c>
    </row>
    <row r="15" spans="2:34">
      <c r="B15" s="103" t="str">
        <v xml:space="preserve">Piedade de Ponte Nova </v>
      </c>
      <c r="C15" s="137" t="s">
        <v>341</v>
      </c>
      <c r="D15" s="137" t="s">
        <v>341</v>
      </c>
      <c r="E15" s="49">
        <f ca="1"/>
        <v>0</v>
      </c>
      <c r="F15" s="49">
        <f ca="1"/>
        <v>2723348.0806082059</v>
      </c>
      <c r="G15" s="49">
        <f ca="1"/>
        <v>3810758.6259299992</v>
      </c>
      <c r="H15" s="49">
        <f ca="1"/>
        <v>4013163.5491623511</v>
      </c>
      <c r="I15" s="49">
        <f ca="1"/>
        <v>4234483.2307083178</v>
      </c>
      <c r="J15" s="49">
        <f ca="1"/>
        <v>4486959.3910592766</v>
      </c>
      <c r="K15" s="49">
        <f ca="1"/>
        <v>4758669.3682563789</v>
      </c>
      <c r="L15" s="49">
        <f ca="1"/>
        <v>5044930.8907472054</v>
      </c>
      <c r="M15" s="49">
        <f ca="1"/>
        <v>5358868.992140851</v>
      </c>
      <c r="N15" s="49">
        <f ca="1"/>
        <v>5709462.3328519147</v>
      </c>
      <c r="O15" s="49">
        <f ca="1"/>
        <v>6085476.7326946501</v>
      </c>
      <c r="P15" s="49">
        <f ca="1"/>
        <v>6488363.510783066</v>
      </c>
      <c r="Q15" s="49">
        <f ca="1"/>
        <v>6907044.8807092346</v>
      </c>
      <c r="R15" s="49">
        <f ca="1"/>
        <v>7340787.8312706798</v>
      </c>
      <c r="S15" s="49">
        <f ca="1"/>
        <v>7788652.7964515677</v>
      </c>
      <c r="T15" s="49">
        <f ca="1"/>
        <v>11549402.313687062</v>
      </c>
      <c r="U15" s="49">
        <f ca="1"/>
        <v>12211702.17202103</v>
      </c>
      <c r="V15" s="49">
        <f ca="1"/>
        <v>12889719.268439181</v>
      </c>
      <c r="W15" s="49">
        <f ca="1"/>
        <v>13581866.522826031</v>
      </c>
      <c r="X15" s="49">
        <f ca="1"/>
        <v>14286506.780495068</v>
      </c>
      <c r="Y15" s="49">
        <f ca="1"/>
        <v>15001693.252552137</v>
      </c>
      <c r="Z15" s="49">
        <f ca="1"/>
        <v>15725521.602451634</v>
      </c>
      <c r="AA15" s="49">
        <f ca="1"/>
        <v>16456105.222951291</v>
      </c>
      <c r="AB15" s="49">
        <f ca="1"/>
        <v>17191219.075195946</v>
      </c>
      <c r="AC15" s="49">
        <f ca="1"/>
        <v>17928423.941929214</v>
      </c>
      <c r="AD15" s="49">
        <f ca="1"/>
        <v>18665298.552457564</v>
      </c>
      <c r="AE15" s="49">
        <f ca="1"/>
        <v>19399309.281393401</v>
      </c>
      <c r="AF15" s="49">
        <f ca="1"/>
        <v>20127501.644358508</v>
      </c>
      <c r="AG15" s="49">
        <f ca="1"/>
        <v>20846707.460881814</v>
      </c>
      <c r="AH15" s="49">
        <f ca="1"/>
        <v>21553618.050147478</v>
      </c>
    </row>
    <row r="16" spans="2:34">
      <c r="B16" s="211" t="str">
        <v xml:space="preserve">Rio Casca </v>
      </c>
      <c r="C16" s="137" t="s">
        <v>341</v>
      </c>
      <c r="D16" s="137" t="s">
        <v>341</v>
      </c>
      <c r="E16" s="49">
        <f ca="1"/>
        <v>0</v>
      </c>
      <c r="F16" s="49">
        <f ca="1"/>
        <v>2723348.0806082059</v>
      </c>
      <c r="G16" s="49">
        <f ca="1"/>
        <v>3810758.6259299992</v>
      </c>
      <c r="H16" s="49">
        <f ca="1"/>
        <v>4013163.5491623511</v>
      </c>
      <c r="I16" s="49">
        <f ca="1"/>
        <v>4234483.2307083178</v>
      </c>
      <c r="J16" s="49">
        <f ca="1"/>
        <v>4486959.3910592766</v>
      </c>
      <c r="K16" s="49">
        <f ca="1"/>
        <v>4758669.3682563789</v>
      </c>
      <c r="L16" s="49">
        <f ca="1"/>
        <v>5044930.8907472054</v>
      </c>
      <c r="M16" s="49">
        <f ca="1"/>
        <v>5358868.992140851</v>
      </c>
      <c r="N16" s="49">
        <f ca="1"/>
        <v>5709462.3328519147</v>
      </c>
      <c r="O16" s="49">
        <f ca="1"/>
        <v>6085476.7326946501</v>
      </c>
      <c r="P16" s="49">
        <f ca="1"/>
        <v>6488363.510783066</v>
      </c>
      <c r="Q16" s="49">
        <f ca="1"/>
        <v>6907044.8807092346</v>
      </c>
      <c r="R16" s="49">
        <f ca="1"/>
        <v>7340787.8312706798</v>
      </c>
      <c r="S16" s="49">
        <f ca="1"/>
        <v>7788652.7964515677</v>
      </c>
      <c r="T16" s="49">
        <f ca="1"/>
        <v>11549402.313687062</v>
      </c>
      <c r="U16" s="49">
        <f ca="1"/>
        <v>12211702.17202103</v>
      </c>
      <c r="V16" s="49">
        <f ca="1"/>
        <v>12889719.268439181</v>
      </c>
      <c r="W16" s="49">
        <f ca="1"/>
        <v>13581866.522826031</v>
      </c>
      <c r="X16" s="49">
        <f ca="1"/>
        <v>14286506.780495068</v>
      </c>
      <c r="Y16" s="49">
        <f ca="1"/>
        <v>15001693.252552137</v>
      </c>
      <c r="Z16" s="49">
        <f ca="1"/>
        <v>15725521.602451634</v>
      </c>
      <c r="AA16" s="49">
        <f ca="1"/>
        <v>16456105.222951291</v>
      </c>
      <c r="AB16" s="49">
        <f ca="1"/>
        <v>17191219.075195946</v>
      </c>
      <c r="AC16" s="49">
        <f ca="1"/>
        <v>17928423.941929214</v>
      </c>
      <c r="AD16" s="49">
        <f ca="1"/>
        <v>18665298.552457564</v>
      </c>
      <c r="AE16" s="49">
        <f ca="1"/>
        <v>19399309.281393401</v>
      </c>
      <c r="AF16" s="49">
        <f ca="1"/>
        <v>20127501.644358508</v>
      </c>
      <c r="AG16" s="49">
        <f ca="1"/>
        <v>20846707.460881814</v>
      </c>
      <c r="AH16" s="49">
        <f ca="1"/>
        <v>21553618.050147478</v>
      </c>
    </row>
    <row r="17" spans="2:35">
      <c r="B17" s="30" t="s">
        <v>342</v>
      </c>
      <c r="C17" s="137" t="s">
        <v>341</v>
      </c>
      <c r="D17" s="137" t="s">
        <v>341</v>
      </c>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row>
    <row r="18" spans="2:35">
      <c r="B18" s="103" t="str" cm="1">
        <f t="array" ref="B18:B28">'Painel Controle'!B154:B164</f>
        <v xml:space="preserve">Nova Lima </v>
      </c>
      <c r="C18" s="108" t="str" cm="1">
        <f t="array" ref="C18:C28">'Painel Controle'!C154:C164</f>
        <v>Anexo único, item 172, Lei 1.910/2005</v>
      </c>
      <c r="D18" s="109" cm="1">
        <f t="array" ref="D18:D28">'Painel Controle'!D154:D164</f>
        <v>0.05</v>
      </c>
      <c r="E18" s="49" cm="1">
        <f t="array" aca="1" ref="E18:AH28" ca="1">_xlfn.ANCHORARRAY(E6) *_xlfn.ANCHORARRAY( D18) * -1</f>
        <v>0</v>
      </c>
      <c r="F18" s="49">
        <f ca="1"/>
        <v>-655015.24361278268</v>
      </c>
      <c r="G18" s="49">
        <f ca="1"/>
        <v>-915987.97627382621</v>
      </c>
      <c r="H18" s="49">
        <f ca="1"/>
        <v>-963657.38228576723</v>
      </c>
      <c r="I18" s="49">
        <f ca="1"/>
        <v>-1422112.7151117709</v>
      </c>
      <c r="J18" s="49">
        <f ca="1"/>
        <v>-1505749.3317113747</v>
      </c>
      <c r="K18" s="49">
        <f ca="1"/>
        <v>-1594833.8643810616</v>
      </c>
      <c r="L18" s="49">
        <f ca="1"/>
        <v>-1689470.5574610401</v>
      </c>
      <c r="M18" s="49">
        <f ca="1"/>
        <v>-1794581.5687830334</v>
      </c>
      <c r="N18" s="49">
        <f ca="1"/>
        <v>-1911328.9790507511</v>
      </c>
      <c r="O18" s="49">
        <f ca="1"/>
        <v>-2035455.1345528811</v>
      </c>
      <c r="P18" s="49">
        <f ca="1"/>
        <v>-2167235.4310801737</v>
      </c>
      <c r="Q18" s="49">
        <f ca="1"/>
        <v>-2303831.1003202996</v>
      </c>
      <c r="R18" s="49">
        <f ca="1"/>
        <v>-2444975.9985194649</v>
      </c>
      <c r="S18" s="49">
        <f ca="1"/>
        <v>-2590338.9676933791</v>
      </c>
      <c r="T18" s="49">
        <f ca="1"/>
        <v>-2739549.3761496446</v>
      </c>
      <c r="U18" s="49">
        <f ca="1"/>
        <v>-2892292.9436971126</v>
      </c>
      <c r="V18" s="49">
        <f ca="1"/>
        <v>-3048250.3187100268</v>
      </c>
      <c r="W18" s="49">
        <f ca="1"/>
        <v>-3207035.1877917172</v>
      </c>
      <c r="X18" s="49">
        <f ca="1"/>
        <v>-3368252.838137784</v>
      </c>
      <c r="Y18" s="49">
        <f ca="1"/>
        <v>-3531437.9138841042</v>
      </c>
      <c r="Z18" s="49">
        <f ca="1"/>
        <v>-3696138.0855916571</v>
      </c>
      <c r="AA18" s="49">
        <f ca="1"/>
        <v>-3861907.8197382647</v>
      </c>
      <c r="AB18" s="49">
        <f ca="1"/>
        <v>-4028224.0480493493</v>
      </c>
      <c r="AC18" s="49">
        <f ca="1"/>
        <v>-4194516.6069140229</v>
      </c>
      <c r="AD18" s="49">
        <f ca="1"/>
        <v>-4360223.4435509564</v>
      </c>
      <c r="AE18" s="49">
        <f ca="1"/>
        <v>-4524760.9448749823</v>
      </c>
      <c r="AF18" s="49">
        <f ca="1"/>
        <v>-4687451.7483164072</v>
      </c>
      <c r="AG18" s="49">
        <f ca="1"/>
        <v>-4847573.3327004248</v>
      </c>
      <c r="AH18" s="49">
        <f ca="1"/>
        <v>-5004374.8790034689</v>
      </c>
      <c r="AI18" s="3"/>
    </row>
    <row r="19" spans="2:35">
      <c r="B19" s="103" t="str">
        <v xml:space="preserve">Rio Acima </v>
      </c>
      <c r="C19" s="108" t="str">
        <v>Art. 5°, item 3, Lei 02/2020</v>
      </c>
      <c r="D19" s="109">
        <v>0.02</v>
      </c>
      <c r="E19" s="49">
        <f ca="1"/>
        <v>0</v>
      </c>
      <c r="F19" s="49">
        <f ca="1"/>
        <v>-55577.050973205798</v>
      </c>
      <c r="G19" s="49">
        <f ca="1"/>
        <v>-77720.191926264044</v>
      </c>
      <c r="H19" s="49">
        <f ca="1"/>
        <v>-81764.868800004493</v>
      </c>
      <c r="I19" s="49">
        <f ca="1"/>
        <v>-120664.10916099875</v>
      </c>
      <c r="J19" s="49">
        <f ca="1"/>
        <v>-127760.54935732875</v>
      </c>
      <c r="K19" s="49">
        <f ca="1"/>
        <v>-135319.23697778702</v>
      </c>
      <c r="L19" s="49">
        <f ca="1"/>
        <v>-143349.01699669435</v>
      </c>
      <c r="M19" s="49">
        <f ca="1"/>
        <v>-152267.52704825738</v>
      </c>
      <c r="N19" s="49">
        <f ca="1"/>
        <v>-162173.3679194577</v>
      </c>
      <c r="O19" s="49">
        <f ca="1"/>
        <v>-172705.28414388082</v>
      </c>
      <c r="P19" s="49">
        <f ca="1"/>
        <v>-183886.64263710569</v>
      </c>
      <c r="Q19" s="49">
        <f ca="1"/>
        <v>-195476.57820899514</v>
      </c>
      <c r="R19" s="49">
        <f ca="1"/>
        <v>-207452.50896528791</v>
      </c>
      <c r="S19" s="49">
        <f ca="1"/>
        <v>-219786.33665277154</v>
      </c>
      <c r="T19" s="49">
        <f ca="1"/>
        <v>-232446.61373390924</v>
      </c>
      <c r="U19" s="49">
        <f ca="1"/>
        <v>-245406.67401066411</v>
      </c>
      <c r="V19" s="49">
        <f ca="1"/>
        <v>-258639.42098145682</v>
      </c>
      <c r="W19" s="49">
        <f ca="1"/>
        <v>-272112.07653990324</v>
      </c>
      <c r="X19" s="49">
        <f ca="1"/>
        <v>-285791.14990259986</v>
      </c>
      <c r="Y19" s="49">
        <f ca="1"/>
        <v>-299637.15632956038</v>
      </c>
      <c r="Z19" s="49">
        <f ca="1"/>
        <v>-313611.71635323152</v>
      </c>
      <c r="AA19" s="49">
        <f ca="1"/>
        <v>-327677.02712930727</v>
      </c>
      <c r="AB19" s="49">
        <f ca="1"/>
        <v>-341788.70710721752</v>
      </c>
      <c r="AC19" s="49">
        <f ca="1"/>
        <v>-355898.37876846257</v>
      </c>
      <c r="AD19" s="49">
        <f ca="1"/>
        <v>-369958.3527861418</v>
      </c>
      <c r="AE19" s="49">
        <f ca="1"/>
        <v>-383919.11047424085</v>
      </c>
      <c r="AF19" s="49">
        <f ca="1"/>
        <v>-397723.1786450285</v>
      </c>
      <c r="AG19" s="49">
        <f ca="1"/>
        <v>-411309.25247155124</v>
      </c>
      <c r="AH19" s="49">
        <f ca="1"/>
        <v>-424613.62609726406</v>
      </c>
      <c r="AI19" s="3"/>
    </row>
    <row r="20" spans="2:35">
      <c r="B20" s="103" t="str">
        <v xml:space="preserve">Itabirito </v>
      </c>
      <c r="C20" s="158" t="str">
        <v>Lei complementar n° 2323, item 22</v>
      </c>
      <c r="D20" s="109">
        <v>0.05</v>
      </c>
      <c r="E20" s="49">
        <f ca="1"/>
        <v>0</v>
      </c>
      <c r="F20" s="49">
        <f ca="1"/>
        <v>-1124773.6506482128</v>
      </c>
      <c r="G20" s="49">
        <f ca="1"/>
        <v>-1572908.6461267723</v>
      </c>
      <c r="H20" s="49">
        <f ca="1"/>
        <v>-1654765.2019048529</v>
      </c>
      <c r="I20" s="49">
        <f ca="1"/>
        <v>-2442011.733020213</v>
      </c>
      <c r="J20" s="49">
        <f ca="1"/>
        <v>-2585630.1655649873</v>
      </c>
      <c r="K20" s="49">
        <f ca="1"/>
        <v>-2738603.6055028331</v>
      </c>
      <c r="L20" s="49">
        <f ca="1"/>
        <v>-2901111.0582664334</v>
      </c>
      <c r="M20" s="49">
        <f ca="1"/>
        <v>-3081604.7140718754</v>
      </c>
      <c r="N20" s="49">
        <f ca="1"/>
        <v>-3282080.0650366438</v>
      </c>
      <c r="O20" s="49">
        <f ca="1"/>
        <v>-3495225.9886261597</v>
      </c>
      <c r="P20" s="49">
        <f ca="1"/>
        <v>-3721515.3867033296</v>
      </c>
      <c r="Q20" s="49">
        <f ca="1"/>
        <v>-3956073.6066106157</v>
      </c>
      <c r="R20" s="49">
        <f ca="1"/>
        <v>-4198443.633821304</v>
      </c>
      <c r="S20" s="49">
        <f ca="1"/>
        <v>-4448056.8132108524</v>
      </c>
      <c r="T20" s="49">
        <f ca="1"/>
        <v>-4704276.7065195916</v>
      </c>
      <c r="U20" s="49">
        <f ca="1"/>
        <v>-4966563.6406920115</v>
      </c>
      <c r="V20" s="49">
        <f ca="1"/>
        <v>-5234369.2341485312</v>
      </c>
      <c r="W20" s="49">
        <f ca="1"/>
        <v>-5507030.1204504231</v>
      </c>
      <c r="X20" s="49">
        <f ca="1"/>
        <v>-5783868.5099335695</v>
      </c>
      <c r="Y20" s="49">
        <f ca="1"/>
        <v>-6064085.3066696748</v>
      </c>
      <c r="Z20" s="49">
        <f ca="1"/>
        <v>-6346903.7833392099</v>
      </c>
      <c r="AA20" s="49">
        <f ca="1"/>
        <v>-6631558.882378838</v>
      </c>
      <c r="AB20" s="49">
        <f ca="1"/>
        <v>-6917152.4057413079</v>
      </c>
      <c r="AC20" s="49">
        <f ca="1"/>
        <v>-7202705.2845998378</v>
      </c>
      <c r="AD20" s="49">
        <f ca="1"/>
        <v>-7487252.3778147744</v>
      </c>
      <c r="AE20" s="49">
        <f ca="1"/>
        <v>-7769791.5215024939</v>
      </c>
      <c r="AF20" s="49">
        <f ca="1"/>
        <v>-8049159.5678160535</v>
      </c>
      <c r="AG20" s="49">
        <f ca="1"/>
        <v>-8324115.8238290139</v>
      </c>
      <c r="AH20" s="49">
        <f ca="1"/>
        <v>-8593371.0043493919</v>
      </c>
      <c r="AI20" s="3"/>
    </row>
    <row r="21" spans="2:35">
      <c r="B21" s="103" t="str">
        <v xml:space="preserve">Ouro Preto </v>
      </c>
      <c r="C21" s="108" t="str">
        <v>Anexo único, item 22, Lei 172/2017</v>
      </c>
      <c r="D21" s="109">
        <v>0.05</v>
      </c>
      <c r="E21" s="49">
        <f ca="1"/>
        <v>0</v>
      </c>
      <c r="F21" s="49">
        <f ca="1"/>
        <v>-2263552.1389440456</v>
      </c>
      <c r="G21" s="49">
        <f ca="1"/>
        <v>-3166568.3128783461</v>
      </c>
      <c r="H21" s="49">
        <f ca="1"/>
        <v>-3333081.0353875817</v>
      </c>
      <c r="I21" s="49">
        <f ca="1"/>
        <v>-3892862.2223092723</v>
      </c>
      <c r="J21" s="49">
        <f ca="1"/>
        <v>-4123700.2602299722</v>
      </c>
      <c r="K21" s="49">
        <f ca="1"/>
        <v>-5525619.0537916459</v>
      </c>
      <c r="L21" s="49">
        <f ca="1"/>
        <v>-5856531.8054120019</v>
      </c>
      <c r="M21" s="49">
        <f ca="1"/>
        <v>-6222920.9736912204</v>
      </c>
      <c r="N21" s="49">
        <f ca="1"/>
        <v>-6630713.044224903</v>
      </c>
      <c r="O21" s="49">
        <f ca="1"/>
        <v>-7065505.7408174872</v>
      </c>
      <c r="P21" s="49">
        <f ca="1"/>
        <v>-7528470.5132890269</v>
      </c>
      <c r="Q21" s="49">
        <f ca="1"/>
        <v>-8008806.2304454269</v>
      </c>
      <c r="R21" s="49">
        <f ca="1"/>
        <v>-8505598.4011436459</v>
      </c>
      <c r="S21" s="49">
        <f ca="1"/>
        <v>-9017699.5042639785</v>
      </c>
      <c r="T21" s="49">
        <f ca="1"/>
        <v>-9543819.8546764813</v>
      </c>
      <c r="U21" s="49">
        <f ca="1"/>
        <v>-10082864.457661413</v>
      </c>
      <c r="V21" s="49">
        <f ca="1"/>
        <v>-10633718.606619246</v>
      </c>
      <c r="W21" s="49">
        <f ca="1"/>
        <v>-11195029.656624012</v>
      </c>
      <c r="X21" s="49">
        <f ca="1"/>
        <v>-11765411.437798344</v>
      </c>
      <c r="Y21" s="49">
        <f ca="1"/>
        <v>-12343226.771808865</v>
      </c>
      <c r="Z21" s="49">
        <f ca="1"/>
        <v>-12926881.038130216</v>
      </c>
      <c r="AA21" s="49">
        <f ca="1"/>
        <v>-13514800.865685515</v>
      </c>
      <c r="AB21" s="49">
        <f ca="1"/>
        <v>-14105138.061747799</v>
      </c>
      <c r="AC21" s="49">
        <f ca="1"/>
        <v>-14695875.372870091</v>
      </c>
      <c r="AD21" s="49">
        <f ca="1"/>
        <v>-15285020.189465959</v>
      </c>
      <c r="AE21" s="49">
        <f ca="1"/>
        <v>-15870499.039961977</v>
      </c>
      <c r="AF21" s="49">
        <f ca="1"/>
        <v>-16449903.214642629</v>
      </c>
      <c r="AG21" s="49">
        <f ca="1"/>
        <v>-17020660.146393936</v>
      </c>
      <c r="AH21" s="49">
        <f ca="1"/>
        <v>-17580093.349706754</v>
      </c>
      <c r="AI21" s="3"/>
    </row>
    <row r="22" spans="2:35">
      <c r="B22" s="103" t="str">
        <v xml:space="preserve">Mariana </v>
      </c>
      <c r="C22" s="108" t="str">
        <v>Anexo 1, item 2, Lei 15/2003</v>
      </c>
      <c r="D22" s="109">
        <v>0.03</v>
      </c>
      <c r="E22" s="49">
        <f ca="1"/>
        <v>0</v>
      </c>
      <c r="F22" s="49">
        <f ca="1"/>
        <v>-487342.31261249434</v>
      </c>
      <c r="G22" s="49">
        <f ca="1"/>
        <v>-681904.24960594054</v>
      </c>
      <c r="H22" s="49">
        <f ca="1"/>
        <v>-717973.53588931775</v>
      </c>
      <c r="I22" s="49">
        <f ca="1"/>
        <v>-757433.87915235176</v>
      </c>
      <c r="J22" s="49">
        <f ca="1"/>
        <v>-802560.903510654</v>
      </c>
      <c r="K22" s="49">
        <f ca="1"/>
        <v>-1099363.7665135504</v>
      </c>
      <c r="L22" s="49">
        <f ca="1"/>
        <v>-1165442.310493747</v>
      </c>
      <c r="M22" s="49">
        <f ca="1"/>
        <v>-1238407.0551057477</v>
      </c>
      <c r="N22" s="49">
        <f ca="1"/>
        <v>-1319697.3726684963</v>
      </c>
      <c r="O22" s="49">
        <f ca="1"/>
        <v>-1406523.0057015682</v>
      </c>
      <c r="P22" s="49">
        <f ca="1"/>
        <v>-1499146.1669586427</v>
      </c>
      <c r="Q22" s="49">
        <f ca="1"/>
        <v>-1595297.4793739291</v>
      </c>
      <c r="R22" s="49">
        <f ca="1"/>
        <v>-1694797.8220181796</v>
      </c>
      <c r="S22" s="49">
        <f ca="1"/>
        <v>-1797421.0559457866</v>
      </c>
      <c r="T22" s="49">
        <f ca="1"/>
        <v>-1902912.275063917</v>
      </c>
      <c r="U22" s="49">
        <f ca="1"/>
        <v>-2011055.0471948572</v>
      </c>
      <c r="V22" s="49">
        <f ca="1"/>
        <v>-2121628.7676602649</v>
      </c>
      <c r="W22" s="49">
        <f ca="1"/>
        <v>-2234365.0007282197</v>
      </c>
      <c r="X22" s="49">
        <f ca="1"/>
        <v>-2348988.1091663414</v>
      </c>
      <c r="Y22" s="49">
        <f ca="1"/>
        <v>-2465171.9756571348</v>
      </c>
      <c r="Z22" s="49">
        <f ca="1"/>
        <v>-2582598.537362264</v>
      </c>
      <c r="AA22" s="49">
        <f ca="1"/>
        <v>-2700953.5911912937</v>
      </c>
      <c r="AB22" s="49">
        <f ca="1"/>
        <v>-2819867.7162629575</v>
      </c>
      <c r="AC22" s="49">
        <f ca="1"/>
        <v>-2938937.227204395</v>
      </c>
      <c r="AD22" s="49">
        <f ca="1"/>
        <v>-3057762.7912374744</v>
      </c>
      <c r="AE22" s="49">
        <f ca="1"/>
        <v>-3175928.2012409135</v>
      </c>
      <c r="AF22" s="49">
        <f ca="1"/>
        <v>-3292949.4916827991</v>
      </c>
      <c r="AG22" s="49">
        <f ca="1"/>
        <v>-3408309.2064526062</v>
      </c>
      <c r="AH22" s="49">
        <f ca="1"/>
        <v>-3521468.4306788608</v>
      </c>
      <c r="AI22" s="3"/>
    </row>
    <row r="23" spans="2:35">
      <c r="B23" s="103" t="str">
        <v xml:space="preserve">Acaiaca </v>
      </c>
      <c r="C23" s="158" t="str">
        <v>Lei n° 339/2001, item 22</v>
      </c>
      <c r="D23" s="109">
        <v>0.03</v>
      </c>
      <c r="E23" s="49">
        <f ca="1"/>
        <v>0</v>
      </c>
      <c r="F23" s="49">
        <f ca="1"/>
        <v>-81373.583772414262</v>
      </c>
      <c r="G23" s="49">
        <f ca="1"/>
        <v>-113883.17619161759</v>
      </c>
      <c r="H23" s="49">
        <f ca="1"/>
        <v>-119941.13885146115</v>
      </c>
      <c r="I23" s="49">
        <f ca="1"/>
        <v>-126563.57449867993</v>
      </c>
      <c r="J23" s="49">
        <f ca="1"/>
        <v>-134114.7479594271</v>
      </c>
      <c r="K23" s="49">
        <f ca="1"/>
        <v>-142230.31750706531</v>
      </c>
      <c r="L23" s="49">
        <f ca="1"/>
        <v>-150789.19923924046</v>
      </c>
      <c r="M23" s="49">
        <f ca="1"/>
        <v>-160183.77539139421</v>
      </c>
      <c r="N23" s="49">
        <f ca="1"/>
        <v>-170659.84954917975</v>
      </c>
      <c r="O23" s="49">
        <f ca="1"/>
        <v>-181880.77776647548</v>
      </c>
      <c r="P23" s="49">
        <f ca="1"/>
        <v>-193886.99587025851</v>
      </c>
      <c r="Q23" s="49">
        <f ca="1"/>
        <v>-206360.42340090015</v>
      </c>
      <c r="R23" s="49">
        <f ca="1"/>
        <v>-219278.9974225543</v>
      </c>
      <c r="S23" s="49">
        <f ca="1"/>
        <v>-232614.5289753679</v>
      </c>
      <c r="T23" s="49">
        <f ca="1"/>
        <v>-246335.06386748073</v>
      </c>
      <c r="U23" s="49">
        <f ca="1"/>
        <v>-260413.51722376529</v>
      </c>
      <c r="V23" s="49">
        <f ca="1"/>
        <v>-274822.21805152134</v>
      </c>
      <c r="W23" s="49">
        <f ca="1"/>
        <v>-289527.27853833046</v>
      </c>
      <c r="X23" s="49">
        <f ca="1"/>
        <v>-304493.77689433936</v>
      </c>
      <c r="Y23" s="49">
        <f ca="1"/>
        <v>-319680.21924691834</v>
      </c>
      <c r="Z23" s="49">
        <f ca="1"/>
        <v>-335046.04361876246</v>
      </c>
      <c r="AA23" s="49">
        <f ca="1"/>
        <v>-350551.08919232176</v>
      </c>
      <c r="AB23" s="49">
        <f ca="1"/>
        <v>-366148.00787845516</v>
      </c>
      <c r="AC23" s="49">
        <f ca="1"/>
        <v>-381784.92112397286</v>
      </c>
      <c r="AD23" s="49">
        <f ca="1"/>
        <v>-397410.36740426742</v>
      </c>
      <c r="AE23" s="49">
        <f ca="1"/>
        <v>-412970.53711190593</v>
      </c>
      <c r="AF23" s="49">
        <f ca="1"/>
        <v>-428402.70745511033</v>
      </c>
      <c r="AG23" s="49">
        <f ca="1"/>
        <v>-443639.65114635526</v>
      </c>
      <c r="AH23" s="49">
        <f ca="1"/>
        <v>-458611.19083719689</v>
      </c>
      <c r="AI23" s="3"/>
    </row>
    <row r="24" spans="2:35">
      <c r="B24" s="103" t="str">
        <v xml:space="preserve">Ponte Nova </v>
      </c>
      <c r="C24" s="158" t="str">
        <v>Art. 12°, Lei 2717/2003</v>
      </c>
      <c r="D24" s="109">
        <v>0.03</v>
      </c>
      <c r="E24" s="49">
        <f ca="1"/>
        <v>0</v>
      </c>
      <c r="F24" s="49">
        <f ca="1"/>
        <v>-215849.99550802726</v>
      </c>
      <c r="G24" s="49">
        <f ca="1"/>
        <v>-302055.73682971683</v>
      </c>
      <c r="H24" s="49">
        <f ca="1"/>
        <v>-318108.7340813214</v>
      </c>
      <c r="I24" s="49">
        <f ca="1"/>
        <v>-335660.16531877208</v>
      </c>
      <c r="J24" s="49">
        <f ca="1"/>
        <v>-355678.71017455362</v>
      </c>
      <c r="K24" s="49">
        <f ca="1"/>
        <v>-377210.92337600532</v>
      </c>
      <c r="L24" s="49">
        <f ca="1"/>
        <v>-399905.38349845592</v>
      </c>
      <c r="M24" s="49">
        <f ca="1"/>
        <v>-424802.5843399117</v>
      </c>
      <c r="N24" s="49">
        <f ca="1"/>
        <v>-452590.64996680303</v>
      </c>
      <c r="O24" s="49">
        <f ca="1"/>
        <v>-482378.1583711945</v>
      </c>
      <c r="P24" s="49">
        <f ca="1"/>
        <v>-514277.07496647298</v>
      </c>
      <c r="Q24" s="49">
        <f ca="1"/>
        <v>-547422.90490883111</v>
      </c>
      <c r="R24" s="49">
        <f ca="1"/>
        <v>-581757.3824353572</v>
      </c>
      <c r="S24" s="49">
        <f ca="1"/>
        <v>-617205.91838852153</v>
      </c>
      <c r="T24" s="49">
        <f ca="1"/>
        <v>-812075.68556449737</v>
      </c>
      <c r="U24" s="49">
        <f ca="1"/>
        <v>-858594.30689110223</v>
      </c>
      <c r="V24" s="49">
        <f ca="1"/>
        <v>-906212.84530821082</v>
      </c>
      <c r="W24" s="49">
        <f ca="1"/>
        <v>-954819.66910497972</v>
      </c>
      <c r="X24" s="49">
        <f ca="1"/>
        <v>-1004299.6612916874</v>
      </c>
      <c r="Y24" s="49">
        <f ca="1"/>
        <v>-1054515.967026971</v>
      </c>
      <c r="Z24" s="49">
        <f ca="1"/>
        <v>-1105334.7440880761</v>
      </c>
      <c r="AA24" s="49">
        <f ca="1"/>
        <v>-1156623.4209336294</v>
      </c>
      <c r="AB24" s="49">
        <f ca="1"/>
        <v>-1208225.6623130199</v>
      </c>
      <c r="AC24" s="49">
        <f ca="1"/>
        <v>-1259970.1128499892</v>
      </c>
      <c r="AD24" s="49">
        <f ca="1"/>
        <v>-1311686.7148793505</v>
      </c>
      <c r="AE24" s="49">
        <f ca="1"/>
        <v>-1363197.5612547235</v>
      </c>
      <c r="AF24" s="49">
        <f ca="1"/>
        <v>-1414295.219036093</v>
      </c>
      <c r="AG24" s="49">
        <f ca="1"/>
        <v>-1464757.2854754373</v>
      </c>
      <c r="AH24" s="49">
        <f ca="1"/>
        <v>-1514351.5275906078</v>
      </c>
      <c r="AI24" s="3"/>
    </row>
    <row r="25" spans="2:35">
      <c r="B25" s="103" t="str">
        <v xml:space="preserve">Barra Longa </v>
      </c>
      <c r="C25" s="158" t="str">
        <v>Lei  nº 1.358/2021</v>
      </c>
      <c r="D25" s="109">
        <v>0.05</v>
      </c>
      <c r="E25" s="49">
        <f ca="1"/>
        <v>0</v>
      </c>
      <c r="F25" s="49">
        <f ca="1"/>
        <v>-9737.0100240495703</v>
      </c>
      <c r="G25" s="49">
        <f ca="1"/>
        <v>-13627.046723783305</v>
      </c>
      <c r="H25" s="49">
        <f ca="1"/>
        <v>-14351.931144619282</v>
      </c>
      <c r="I25" s="49">
        <f ca="1"/>
        <v>-15144.359341722384</v>
      </c>
      <c r="J25" s="49">
        <f ca="1"/>
        <v>-16047.918559247686</v>
      </c>
      <c r="K25" s="49">
        <f ca="1"/>
        <v>-17019.012351272773</v>
      </c>
      <c r="L25" s="49">
        <f ca="1"/>
        <v>-18043.152045721083</v>
      </c>
      <c r="M25" s="49">
        <f ca="1"/>
        <v>-19167.28936307281</v>
      </c>
      <c r="N25" s="49">
        <f ca="1"/>
        <v>-20420.836698192452</v>
      </c>
      <c r="O25" s="49">
        <f ca="1"/>
        <v>-21763.511869492795</v>
      </c>
      <c r="P25" s="49">
        <f ca="1"/>
        <v>-23200.153351996749</v>
      </c>
      <c r="Q25" s="49">
        <f ca="1"/>
        <v>-24692.700236005148</v>
      </c>
      <c r="R25" s="49">
        <f ca="1"/>
        <v>-26238.512512100511</v>
      </c>
      <c r="S25" s="49">
        <f ca="1"/>
        <v>-27834.217142351714</v>
      </c>
      <c r="T25" s="49">
        <f ca="1"/>
        <v>-29475.990548245565</v>
      </c>
      <c r="U25" s="49">
        <f ca="1"/>
        <v>-31160.591804553111</v>
      </c>
      <c r="V25" s="49">
        <f ca="1"/>
        <v>-32884.709852318796</v>
      </c>
      <c r="W25" s="49">
        <f ca="1"/>
        <v>-34644.28973962929</v>
      </c>
      <c r="X25" s="49">
        <f ca="1"/>
        <v>-36435.152790775646</v>
      </c>
      <c r="Y25" s="49">
        <f ca="1"/>
        <v>-38252.333926981686</v>
      </c>
      <c r="Z25" s="49">
        <f ca="1"/>
        <v>-40090.979578313461</v>
      </c>
      <c r="AA25" s="49">
        <f ca="1"/>
        <v>-41946.284176859015</v>
      </c>
      <c r="AB25" s="49">
        <f ca="1"/>
        <v>-43812.582139302322</v>
      </c>
      <c r="AC25" s="49">
        <f ca="1"/>
        <v>-45683.665775518122</v>
      </c>
      <c r="AD25" s="49">
        <f ca="1"/>
        <v>-47553.377296237129</v>
      </c>
      <c r="AE25" s="49">
        <f ca="1"/>
        <v>-49415.277945014379</v>
      </c>
      <c r="AF25" s="49">
        <f ca="1"/>
        <v>-51261.862430526024</v>
      </c>
      <c r="AG25" s="49">
        <f ca="1"/>
        <v>-53085.086461957035</v>
      </c>
      <c r="AH25" s="49">
        <f ca="1"/>
        <v>-54876.552749750059</v>
      </c>
      <c r="AI25" s="3"/>
    </row>
    <row r="26" spans="2:35">
      <c r="B26" s="103" t="str">
        <v xml:space="preserve">Urucânia </v>
      </c>
      <c r="C26" s="108" t="str">
        <v>Anexo 2, item 1, Lei 99/2016</v>
      </c>
      <c r="D26" s="109">
        <v>0.03</v>
      </c>
      <c r="E26" s="49">
        <f ca="1"/>
        <v>0</v>
      </c>
      <c r="F26" s="49">
        <f ca="1"/>
        <v>-261441.41573838773</v>
      </c>
      <c r="G26" s="49">
        <f ca="1"/>
        <v>-365832.82808927988</v>
      </c>
      <c r="H26" s="49">
        <f ca="1"/>
        <v>-385263.70071958564</v>
      </c>
      <c r="I26" s="49">
        <f ca="1"/>
        <v>-406510.39014799846</v>
      </c>
      <c r="J26" s="49">
        <f ca="1"/>
        <v>-430748.10154169053</v>
      </c>
      <c r="K26" s="49">
        <f ca="1"/>
        <v>-456832.25935261237</v>
      </c>
      <c r="L26" s="49">
        <f ca="1"/>
        <v>-484313.36551173165</v>
      </c>
      <c r="M26" s="49">
        <f ca="1"/>
        <v>-514451.42324552167</v>
      </c>
      <c r="N26" s="49">
        <f ca="1"/>
        <v>-548108.38395378378</v>
      </c>
      <c r="O26" s="49">
        <f ca="1"/>
        <v>-584205.76633868646</v>
      </c>
      <c r="P26" s="49">
        <f ca="1"/>
        <v>-622882.8970351743</v>
      </c>
      <c r="Q26" s="49">
        <f ca="1"/>
        <v>-663076.30854808656</v>
      </c>
      <c r="R26" s="49">
        <f ca="1"/>
        <v>-704715.63180198532</v>
      </c>
      <c r="S26" s="49">
        <f ca="1"/>
        <v>-747710.66845935048</v>
      </c>
      <c r="T26" s="49">
        <f ca="1"/>
        <v>-1108742.6221139578</v>
      </c>
      <c r="U26" s="49">
        <f ca="1"/>
        <v>-1172323.4085140186</v>
      </c>
      <c r="V26" s="49">
        <f ca="1"/>
        <v>-1237413.0497701613</v>
      </c>
      <c r="W26" s="49">
        <f ca="1"/>
        <v>-1303859.186191299</v>
      </c>
      <c r="X26" s="49">
        <f ca="1"/>
        <v>-1371504.6509275264</v>
      </c>
      <c r="Y26" s="49">
        <f ca="1"/>
        <v>-1440162.552245005</v>
      </c>
      <c r="Z26" s="49">
        <f ca="1"/>
        <v>-1509650.0738353569</v>
      </c>
      <c r="AA26" s="49">
        <f ca="1"/>
        <v>-1579786.1014033237</v>
      </c>
      <c r="AB26" s="49">
        <f ca="1"/>
        <v>-1650357.0312188107</v>
      </c>
      <c r="AC26" s="49">
        <f ca="1"/>
        <v>-1721128.6984252043</v>
      </c>
      <c r="AD26" s="49">
        <f ca="1"/>
        <v>-1791868.6610359258</v>
      </c>
      <c r="AE26" s="49">
        <f ca="1"/>
        <v>-1862333.6910137667</v>
      </c>
      <c r="AF26" s="49">
        <f ca="1"/>
        <v>-1932240.1578584169</v>
      </c>
      <c r="AG26" s="49">
        <f ca="1"/>
        <v>-2001283.9162446545</v>
      </c>
      <c r="AH26" s="49">
        <f ca="1"/>
        <v>-2069147.3328141572</v>
      </c>
      <c r="AI26" s="3"/>
    </row>
    <row r="27" spans="2:35">
      <c r="B27" s="103" t="str">
        <v xml:space="preserve">Piedade de Ponte Nova </v>
      </c>
      <c r="C27" s="108" t="str">
        <v>Anexo 1, item 22, Lei 33/2017</v>
      </c>
      <c r="D27" s="109">
        <v>0.05</v>
      </c>
      <c r="E27" s="49">
        <f ca="1"/>
        <v>0</v>
      </c>
      <c r="F27" s="49">
        <f ca="1"/>
        <v>-136167.40403041031</v>
      </c>
      <c r="G27" s="49">
        <f ca="1"/>
        <v>-190537.93129649997</v>
      </c>
      <c r="H27" s="49">
        <f ca="1"/>
        <v>-200658.17745811757</v>
      </c>
      <c r="I27" s="49">
        <f ca="1"/>
        <v>-211724.16153541591</v>
      </c>
      <c r="J27" s="49">
        <f ca="1"/>
        <v>-224347.96955296386</v>
      </c>
      <c r="K27" s="49">
        <f ca="1"/>
        <v>-237933.46841281897</v>
      </c>
      <c r="L27" s="49">
        <f ca="1"/>
        <v>-252246.54453736029</v>
      </c>
      <c r="M27" s="49">
        <f ca="1"/>
        <v>-267943.44960704254</v>
      </c>
      <c r="N27" s="49">
        <f ca="1"/>
        <v>-285473.11664259573</v>
      </c>
      <c r="O27" s="49">
        <f ca="1"/>
        <v>-304273.83663473249</v>
      </c>
      <c r="P27" s="49">
        <f ca="1"/>
        <v>-324418.17553915334</v>
      </c>
      <c r="Q27" s="49">
        <f ca="1"/>
        <v>-345352.24403546174</v>
      </c>
      <c r="R27" s="49">
        <f ca="1"/>
        <v>-367039.39156353404</v>
      </c>
      <c r="S27" s="49">
        <f ca="1"/>
        <v>-389432.63982257841</v>
      </c>
      <c r="T27" s="49">
        <f ca="1"/>
        <v>-577470.11568435316</v>
      </c>
      <c r="U27" s="49">
        <f ca="1"/>
        <v>-610585.1086010515</v>
      </c>
      <c r="V27" s="49">
        <f ca="1"/>
        <v>-644485.96342195908</v>
      </c>
      <c r="W27" s="49">
        <f ca="1"/>
        <v>-679093.32614130154</v>
      </c>
      <c r="X27" s="49">
        <f ca="1"/>
        <v>-714325.33902475343</v>
      </c>
      <c r="Y27" s="49">
        <f ca="1"/>
        <v>-750084.66262760689</v>
      </c>
      <c r="Z27" s="49">
        <f ca="1"/>
        <v>-786276.08012258168</v>
      </c>
      <c r="AA27" s="49">
        <f ca="1"/>
        <v>-822805.26114756463</v>
      </c>
      <c r="AB27" s="49">
        <f ca="1"/>
        <v>-859560.95375979738</v>
      </c>
      <c r="AC27" s="49">
        <f ca="1"/>
        <v>-896421.19709646073</v>
      </c>
      <c r="AD27" s="49">
        <f ca="1"/>
        <v>-933264.92762287823</v>
      </c>
      <c r="AE27" s="49">
        <f ca="1"/>
        <v>-969965.46406967007</v>
      </c>
      <c r="AF27" s="49">
        <f ca="1"/>
        <v>-1006375.0822179255</v>
      </c>
      <c r="AG27" s="49">
        <f ca="1"/>
        <v>-1042335.3730440908</v>
      </c>
      <c r="AH27" s="49">
        <f ca="1"/>
        <v>-1077680.9025073738</v>
      </c>
      <c r="AI27" s="3"/>
    </row>
    <row r="28" spans="2:35">
      <c r="B28" s="103" t="str">
        <v xml:space="preserve">Rio Casca </v>
      </c>
      <c r="C28" s="158" t="str">
        <v>Lei complementar nº 1.887/2016</v>
      </c>
      <c r="D28" s="109">
        <v>0.03</v>
      </c>
      <c r="E28" s="49">
        <f ca="1"/>
        <v>0</v>
      </c>
      <c r="F28" s="49">
        <f ca="1"/>
        <v>-81700.442418246166</v>
      </c>
      <c r="G28" s="49">
        <f ca="1"/>
        <v>-114322.75877789997</v>
      </c>
      <c r="H28" s="49">
        <f ca="1"/>
        <v>-120394.90647487053</v>
      </c>
      <c r="I28" s="49">
        <f ca="1"/>
        <v>-127034.49692124953</v>
      </c>
      <c r="J28" s="49">
        <f ca="1"/>
        <v>-134608.78173177829</v>
      </c>
      <c r="K28" s="49">
        <f ca="1"/>
        <v>-142760.08104769138</v>
      </c>
      <c r="L28" s="49">
        <f ca="1"/>
        <v>-151347.92672241616</v>
      </c>
      <c r="M28" s="49">
        <f ca="1"/>
        <v>-160766.06976422551</v>
      </c>
      <c r="N28" s="49">
        <f ca="1"/>
        <v>-171283.86998555742</v>
      </c>
      <c r="O28" s="49">
        <f ca="1"/>
        <v>-182564.30198083949</v>
      </c>
      <c r="P28" s="49">
        <f ca="1"/>
        <v>-194650.90532349198</v>
      </c>
      <c r="Q28" s="49">
        <f ca="1"/>
        <v>-207211.34642127703</v>
      </c>
      <c r="R28" s="49">
        <f ca="1"/>
        <v>-220223.63493812038</v>
      </c>
      <c r="S28" s="49">
        <f ca="1"/>
        <v>-233659.58389354701</v>
      </c>
      <c r="T28" s="49">
        <f ca="1"/>
        <v>-346482.06941061182</v>
      </c>
      <c r="U28" s="49">
        <f ca="1"/>
        <v>-366351.06516063085</v>
      </c>
      <c r="V28" s="49">
        <f ca="1"/>
        <v>-386691.57805317541</v>
      </c>
      <c r="W28" s="49">
        <f ca="1"/>
        <v>-407455.99568478094</v>
      </c>
      <c r="X28" s="49">
        <f ca="1"/>
        <v>-428595.20341485203</v>
      </c>
      <c r="Y28" s="49">
        <f ca="1"/>
        <v>-450050.79757656407</v>
      </c>
      <c r="Z28" s="49">
        <f ca="1"/>
        <v>-471765.64807354897</v>
      </c>
      <c r="AA28" s="49">
        <f ca="1"/>
        <v>-493683.15668853873</v>
      </c>
      <c r="AB28" s="49">
        <f ca="1"/>
        <v>-515736.57225587836</v>
      </c>
      <c r="AC28" s="49">
        <f ca="1"/>
        <v>-537852.71825787635</v>
      </c>
      <c r="AD28" s="49">
        <f ca="1"/>
        <v>-559958.95657372684</v>
      </c>
      <c r="AE28" s="49">
        <f ca="1"/>
        <v>-581979.27844180202</v>
      </c>
      <c r="AF28" s="49">
        <f ca="1"/>
        <v>-603825.04933075525</v>
      </c>
      <c r="AG28" s="49">
        <f ca="1"/>
        <v>-625401.22382645437</v>
      </c>
      <c r="AH28" s="49">
        <f ca="1"/>
        <v>-646608.5415044243</v>
      </c>
      <c r="AI28" s="3"/>
    </row>
    <row r="29" spans="2:35">
      <c r="B29" s="30" t="s">
        <v>343</v>
      </c>
      <c r="C29" s="27" t="s">
        <v>344</v>
      </c>
      <c r="D29" s="25">
        <f>0.65%+3%</f>
        <v>3.6499999999999998E-2</v>
      </c>
      <c r="E29" s="49">
        <f t="shared" ref="E29:AH29" ca="1" si="1">$D29*SUM(E6:E16)*-1</f>
        <v>0</v>
      </c>
      <c r="F29" s="49">
        <f t="shared" ca="1" si="1"/>
        <v>-4531621.7237525126</v>
      </c>
      <c r="G29" s="49">
        <f t="shared" ca="1" si="1"/>
        <v>-6339267.665525455</v>
      </c>
      <c r="H29" s="49">
        <f t="shared" ca="1" si="1"/>
        <v>-6672489.0266189026</v>
      </c>
      <c r="I29" s="49">
        <f t="shared" ca="1" si="1"/>
        <v>-8181489.3378954316</v>
      </c>
      <c r="J29" s="49">
        <f t="shared" ca="1" si="1"/>
        <v>-8665875.5718623549</v>
      </c>
      <c r="K29" s="49">
        <f t="shared" ca="1" si="1"/>
        <v>-10329234.287211651</v>
      </c>
      <c r="L29" s="49">
        <f t="shared" ca="1" si="1"/>
        <v>-10946670.690939568</v>
      </c>
      <c r="M29" s="49">
        <f t="shared" ca="1" si="1"/>
        <v>-11629803.978136865</v>
      </c>
      <c r="N29" s="49">
        <f t="shared" ca="1" si="1"/>
        <v>-12390058.593643744</v>
      </c>
      <c r="O29" s="49">
        <f t="shared" ca="1" si="1"/>
        <v>-13200765.764381293</v>
      </c>
      <c r="P29" s="49">
        <f t="shared" ca="1" si="1"/>
        <v>-14064152.990106955</v>
      </c>
      <c r="Q29" s="49">
        <f t="shared" ca="1" si="1"/>
        <v>-14959934.845062161</v>
      </c>
      <c r="R29" s="49">
        <f t="shared" ca="1" si="1"/>
        <v>-15886417.916763524</v>
      </c>
      <c r="S29" s="49">
        <f t="shared" ca="1" si="1"/>
        <v>-16841475.397537965</v>
      </c>
      <c r="T29" s="49">
        <f t="shared" ca="1" si="1"/>
        <v>-18641733.649701457</v>
      </c>
      <c r="U29" s="49">
        <f t="shared" ca="1" si="1"/>
        <v>-19694095.005126767</v>
      </c>
      <c r="V29" s="49">
        <f t="shared" ca="1" si="1"/>
        <v>-20769659.349459562</v>
      </c>
      <c r="W29" s="49">
        <f t="shared" ca="1" si="1"/>
        <v>-21865805.332098626</v>
      </c>
      <c r="X29" s="49">
        <f t="shared" ca="1" si="1"/>
        <v>-22979845.313344397</v>
      </c>
      <c r="Y29" s="49">
        <f t="shared" ca="1" si="1"/>
        <v>-24108602.151510011</v>
      </c>
      <c r="Z29" s="49">
        <f t="shared" ca="1" si="1"/>
        <v>-25248980.365237471</v>
      </c>
      <c r="AA29" s="49">
        <f t="shared" ca="1" si="1"/>
        <v>-26397924.647708133</v>
      </c>
      <c r="AB29" s="49">
        <f t="shared" ca="1" si="1"/>
        <v>-27551843.572433848</v>
      </c>
      <c r="AC29" s="49">
        <f t="shared" ca="1" si="1"/>
        <v>-28706815.068880692</v>
      </c>
      <c r="AD29" s="49">
        <f t="shared" ca="1" si="1"/>
        <v>-29858963.225208536</v>
      </c>
      <c r="AE29" s="49">
        <f t="shared" ca="1" si="1"/>
        <v>-31004252.528607454</v>
      </c>
      <c r="AF29" s="49">
        <f t="shared" ca="1" si="1"/>
        <v>-32137992.40561156</v>
      </c>
      <c r="AG29" s="49">
        <f t="shared" ca="1" si="1"/>
        <v>-33255170.706827756</v>
      </c>
      <c r="AH29" s="49">
        <f t="shared" ca="1" si="1"/>
        <v>-34350570.328599446</v>
      </c>
      <c r="AI29" s="3"/>
    </row>
    <row r="30" spans="2:35">
      <c r="B30" s="24" t="s">
        <v>345</v>
      </c>
      <c r="C30" s="137" t="s">
        <v>341</v>
      </c>
      <c r="D30" s="137" t="s">
        <v>341</v>
      </c>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row>
    <row r="31" spans="2:35">
      <c r="B31" s="32" t="s">
        <v>346</v>
      </c>
      <c r="C31" s="27" t="s">
        <v>347</v>
      </c>
      <c r="D31" s="137" t="s">
        <v>341</v>
      </c>
      <c r="E31" s="49">
        <f ca="1">'BP Nominal'!E23 / (30-'BP Nominal'!E3+1)</f>
        <v>4050319.8435599995</v>
      </c>
      <c r="F31" s="49">
        <f ca="1">'BP Nominal'!F23 / (30-'BP Nominal'!F3+1)</f>
        <v>4050319.8435599995</v>
      </c>
      <c r="G31" s="49">
        <f ca="1">'BP Nominal'!G23 / (30-'BP Nominal'!G3+1)</f>
        <v>14691198.392944923</v>
      </c>
      <c r="H31" s="49">
        <f ca="1">'BP Nominal'!H23 / (30-'BP Nominal'!H3+1)</f>
        <v>47758140.231105819</v>
      </c>
      <c r="I31" s="49">
        <f ca="1">'BP Nominal'!I23 / (30-'BP Nominal'!I3+1)</f>
        <v>65484393.779339477</v>
      </c>
      <c r="J31" s="49">
        <f ca="1">'BP Nominal'!J23 / (30-'BP Nominal'!J3+1)</f>
        <v>84780785.172506854</v>
      </c>
      <c r="K31" s="49">
        <f ca="1">'BP Nominal'!K23 / (30-'BP Nominal'!K3+1)</f>
        <v>84780785.172506854</v>
      </c>
      <c r="L31" s="49">
        <f ca="1">'BP Nominal'!L23 / (30-'BP Nominal'!L3+1)</f>
        <v>84780785.172506854</v>
      </c>
      <c r="M31" s="49">
        <f ca="1">'BP Nominal'!M23 / (30-'BP Nominal'!M3+1)</f>
        <v>84780785.172506869</v>
      </c>
      <c r="N31" s="49">
        <f ca="1">'BP Nominal'!N23 / (30-'BP Nominal'!N3+1)</f>
        <v>84780785.172506869</v>
      </c>
      <c r="O31" s="49">
        <f ca="1">'BP Nominal'!O23 / (30-'BP Nominal'!O3+1)</f>
        <v>84780785.172506869</v>
      </c>
      <c r="P31" s="49">
        <f ca="1">'BP Nominal'!P23 / (30-'BP Nominal'!P3+1)</f>
        <v>84780785.172506869</v>
      </c>
      <c r="Q31" s="49">
        <f ca="1">'BP Nominal'!Q23 / (30-'BP Nominal'!Q3+1)</f>
        <v>84780785.172506869</v>
      </c>
      <c r="R31" s="49">
        <f ca="1">'BP Nominal'!R23 / (30-'BP Nominal'!R3+1)</f>
        <v>84780785.172506884</v>
      </c>
      <c r="S31" s="49">
        <f ca="1">'BP Nominal'!S23 / (30-'BP Nominal'!S3+1)</f>
        <v>84780785.172506884</v>
      </c>
      <c r="T31" s="49">
        <f ca="1">'BP Nominal'!T23 / (30-'BP Nominal'!T3+1)</f>
        <v>84780785.172506884</v>
      </c>
      <c r="U31" s="49">
        <f ca="1">'BP Nominal'!U23 / (30-'BP Nominal'!U3+1)</f>
        <v>84780785.172506899</v>
      </c>
      <c r="V31" s="49">
        <f ca="1">'BP Nominal'!V23 / (30-'BP Nominal'!V3+1)</f>
        <v>84780785.172506899</v>
      </c>
      <c r="W31" s="49">
        <f ca="1">'BP Nominal'!W23 / (30-'BP Nominal'!W3+1)</f>
        <v>84780785.172506899</v>
      </c>
      <c r="X31" s="49">
        <f ca="1">'BP Nominal'!X23 / (30-'BP Nominal'!X3+1)</f>
        <v>84780785.172506899</v>
      </c>
      <c r="Y31" s="49">
        <f ca="1">'BP Nominal'!Y23 / (30-'BP Nominal'!Y3+1)</f>
        <v>84780785.172506899</v>
      </c>
      <c r="Z31" s="49">
        <f ca="1">'BP Nominal'!Z23 / (30-'BP Nominal'!Z3+1)</f>
        <v>84780785.172506884</v>
      </c>
      <c r="AA31" s="49">
        <f ca="1">'BP Nominal'!AA23 / (30-'BP Nominal'!AA3+1)</f>
        <v>84780785.172506884</v>
      </c>
      <c r="AB31" s="49">
        <f ca="1">'BP Nominal'!AB23 / (30-'BP Nominal'!AB3+1)</f>
        <v>84780785.172506884</v>
      </c>
      <c r="AC31" s="49">
        <f ca="1">'BP Nominal'!AC23 / (30-'BP Nominal'!AC3+1)</f>
        <v>84780785.172506884</v>
      </c>
      <c r="AD31" s="49">
        <f ca="1">'BP Nominal'!AD23 / (30-'BP Nominal'!AD3+1)</f>
        <v>84780785.172506884</v>
      </c>
      <c r="AE31" s="49">
        <f ca="1">'BP Nominal'!AE23 / (30-'BP Nominal'!AE3+1)</f>
        <v>84780785.172506884</v>
      </c>
      <c r="AF31" s="49">
        <f ca="1">'BP Nominal'!AF23 / (30-'BP Nominal'!AF3+1)</f>
        <v>84780785.172506884</v>
      </c>
      <c r="AG31" s="49">
        <f ca="1">'BP Nominal'!AG23 / (30-'BP Nominal'!AG3+1)</f>
        <v>84780785.172506899</v>
      </c>
      <c r="AH31" s="49">
        <f ca="1">'BP Nominal'!AH23 / (30-'BP Nominal'!AH3+1)</f>
        <v>84780785.172506899</v>
      </c>
    </row>
    <row r="32" spans="2:35">
      <c r="B32" s="29" t="s">
        <v>348</v>
      </c>
      <c r="C32" s="27" t="s">
        <v>349</v>
      </c>
      <c r="D32" s="51">
        <f>D29</f>
        <v>3.6499999999999998E-2</v>
      </c>
      <c r="E32" s="49">
        <f t="shared" ref="E32:AH32" ca="1" si="2">$D32*E31*-1</f>
        <v>-147836.67428993998</v>
      </c>
      <c r="F32" s="49">
        <f t="shared" ca="1" si="2"/>
        <v>-147836.67428993998</v>
      </c>
      <c r="G32" s="49">
        <f t="shared" ca="1" si="2"/>
        <v>-536228.74134248961</v>
      </c>
      <c r="H32" s="49">
        <f t="shared" ca="1" si="2"/>
        <v>-1743172.1184353624</v>
      </c>
      <c r="I32" s="49">
        <f t="shared" ca="1" si="2"/>
        <v>-2390180.3729458908</v>
      </c>
      <c r="J32" s="49">
        <f t="shared" ca="1" si="2"/>
        <v>-3094498.6587964999</v>
      </c>
      <c r="K32" s="49">
        <f t="shared" ca="1" si="2"/>
        <v>-3094498.6587964999</v>
      </c>
      <c r="L32" s="49">
        <f t="shared" ca="1" si="2"/>
        <v>-3094498.6587964999</v>
      </c>
      <c r="M32" s="49">
        <f t="shared" ca="1" si="2"/>
        <v>-3094498.6587965004</v>
      </c>
      <c r="N32" s="49">
        <f t="shared" ca="1" si="2"/>
        <v>-3094498.6587965004</v>
      </c>
      <c r="O32" s="49">
        <f t="shared" ca="1" si="2"/>
        <v>-3094498.6587965004</v>
      </c>
      <c r="P32" s="49">
        <f t="shared" ca="1" si="2"/>
        <v>-3094498.6587965004</v>
      </c>
      <c r="Q32" s="49">
        <f t="shared" ca="1" si="2"/>
        <v>-3094498.6587965004</v>
      </c>
      <c r="R32" s="49">
        <f t="shared" ca="1" si="2"/>
        <v>-3094498.6587965009</v>
      </c>
      <c r="S32" s="49">
        <f t="shared" ca="1" si="2"/>
        <v>-3094498.6587965009</v>
      </c>
      <c r="T32" s="49">
        <f t="shared" ca="1" si="2"/>
        <v>-3094498.6587965009</v>
      </c>
      <c r="U32" s="49">
        <f t="shared" ca="1" si="2"/>
        <v>-3094498.6587965018</v>
      </c>
      <c r="V32" s="49">
        <f t="shared" ca="1" si="2"/>
        <v>-3094498.6587965018</v>
      </c>
      <c r="W32" s="49">
        <f t="shared" ca="1" si="2"/>
        <v>-3094498.6587965018</v>
      </c>
      <c r="X32" s="49">
        <f t="shared" ca="1" si="2"/>
        <v>-3094498.6587965018</v>
      </c>
      <c r="Y32" s="49">
        <f t="shared" ca="1" si="2"/>
        <v>-3094498.6587965018</v>
      </c>
      <c r="Z32" s="49">
        <f t="shared" ca="1" si="2"/>
        <v>-3094498.6587965009</v>
      </c>
      <c r="AA32" s="49">
        <f t="shared" ca="1" si="2"/>
        <v>-3094498.6587965009</v>
      </c>
      <c r="AB32" s="49">
        <f t="shared" ca="1" si="2"/>
        <v>-3094498.6587965009</v>
      </c>
      <c r="AC32" s="49">
        <f t="shared" ca="1" si="2"/>
        <v>-3094498.6587965009</v>
      </c>
      <c r="AD32" s="49">
        <f t="shared" ca="1" si="2"/>
        <v>-3094498.6587965009</v>
      </c>
      <c r="AE32" s="49">
        <f t="shared" ca="1" si="2"/>
        <v>-3094498.6587965009</v>
      </c>
      <c r="AF32" s="49">
        <f t="shared" ca="1" si="2"/>
        <v>-3094498.6587965009</v>
      </c>
      <c r="AG32" s="49">
        <f t="shared" ca="1" si="2"/>
        <v>-3094498.6587965018</v>
      </c>
      <c r="AH32" s="49">
        <f t="shared" ca="1" si="2"/>
        <v>-3094498.6587965018</v>
      </c>
    </row>
    <row r="33" spans="2:34">
      <c r="B33" s="32" t="s">
        <v>350</v>
      </c>
      <c r="C33" s="137" t="s">
        <v>341</v>
      </c>
      <c r="D33" s="137" t="s">
        <v>341</v>
      </c>
      <c r="E33" s="49" cm="1">
        <f t="array" ref="E33:AH33">_xlfn.ANCHORARRAY(DFC!C7) * (1 + 'Painel Controle'!D149:AG149)</f>
        <v>0</v>
      </c>
      <c r="F33" s="49">
        <v>0</v>
      </c>
      <c r="G33" s="49">
        <v>0</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row>
    <row r="34" spans="2:34">
      <c r="B34" s="29" t="s">
        <v>351</v>
      </c>
      <c r="C34" s="137" t="s">
        <v>341</v>
      </c>
      <c r="D34" s="51">
        <f>D29</f>
        <v>3.6499999999999998E-2</v>
      </c>
      <c r="E34" s="49">
        <f>$D34 * E33 *-1</f>
        <v>0</v>
      </c>
      <c r="F34" s="49">
        <f t="shared" ref="F34:AH34" si="3">$D34 * F33 *-1</f>
        <v>0</v>
      </c>
      <c r="G34" s="49">
        <f t="shared" si="3"/>
        <v>0</v>
      </c>
      <c r="H34" s="49">
        <f t="shared" si="3"/>
        <v>0</v>
      </c>
      <c r="I34" s="49">
        <f t="shared" si="3"/>
        <v>0</v>
      </c>
      <c r="J34" s="49">
        <f t="shared" si="3"/>
        <v>0</v>
      </c>
      <c r="K34" s="49">
        <f t="shared" si="3"/>
        <v>0</v>
      </c>
      <c r="L34" s="49">
        <f t="shared" si="3"/>
        <v>0</v>
      </c>
      <c r="M34" s="49">
        <f t="shared" si="3"/>
        <v>0</v>
      </c>
      <c r="N34" s="49">
        <f t="shared" si="3"/>
        <v>0</v>
      </c>
      <c r="O34" s="49">
        <f t="shared" si="3"/>
        <v>0</v>
      </c>
      <c r="P34" s="49">
        <f t="shared" si="3"/>
        <v>0</v>
      </c>
      <c r="Q34" s="49">
        <f t="shared" si="3"/>
        <v>0</v>
      </c>
      <c r="R34" s="49">
        <f t="shared" si="3"/>
        <v>0</v>
      </c>
      <c r="S34" s="49">
        <f t="shared" si="3"/>
        <v>0</v>
      </c>
      <c r="T34" s="49">
        <f t="shared" si="3"/>
        <v>0</v>
      </c>
      <c r="U34" s="49">
        <f t="shared" si="3"/>
        <v>0</v>
      </c>
      <c r="V34" s="49">
        <f t="shared" si="3"/>
        <v>0</v>
      </c>
      <c r="W34" s="49">
        <f t="shared" si="3"/>
        <v>0</v>
      </c>
      <c r="X34" s="49">
        <f t="shared" si="3"/>
        <v>0</v>
      </c>
      <c r="Y34" s="49">
        <f t="shared" si="3"/>
        <v>0</v>
      </c>
      <c r="Z34" s="49">
        <f t="shared" si="3"/>
        <v>0</v>
      </c>
      <c r="AA34" s="49">
        <f t="shared" si="3"/>
        <v>0</v>
      </c>
      <c r="AB34" s="49">
        <f t="shared" si="3"/>
        <v>0</v>
      </c>
      <c r="AC34" s="49">
        <f t="shared" si="3"/>
        <v>0</v>
      </c>
      <c r="AD34" s="49">
        <f t="shared" si="3"/>
        <v>0</v>
      </c>
      <c r="AE34" s="49">
        <f t="shared" si="3"/>
        <v>0</v>
      </c>
      <c r="AF34" s="49">
        <f t="shared" si="3"/>
        <v>0</v>
      </c>
      <c r="AG34" s="49">
        <f t="shared" si="3"/>
        <v>0</v>
      </c>
      <c r="AH34" s="49">
        <f t="shared" si="3"/>
        <v>0</v>
      </c>
    </row>
    <row r="35" spans="2:34">
      <c r="B35" s="32" t="s">
        <v>352</v>
      </c>
      <c r="C35" s="137" t="s">
        <v>353</v>
      </c>
      <c r="D35" s="197" t="s">
        <v>341</v>
      </c>
      <c r="E35" s="49" cm="1">
        <f t="array" aca="1" ref="E35:AH35" ca="1">_xlfn.ANCHORARRAY('Compart. Riscos'!C79) * (1+'Painel Controle'!D149:AG149)</f>
        <v>0</v>
      </c>
      <c r="F35" s="49">
        <f ca="1"/>
        <v>20112951.212271426</v>
      </c>
      <c r="G35" s="49">
        <f ca="1"/>
        <v>25009713.529744264</v>
      </c>
      <c r="H35" s="49">
        <f ca="1"/>
        <v>24679069.002563074</v>
      </c>
      <c r="I35" s="49">
        <f ca="1"/>
        <v>26225595.959829196</v>
      </c>
      <c r="J35" s="49">
        <f ca="1"/>
        <v>27778286.079668369</v>
      </c>
      <c r="K35" s="49">
        <f ca="1"/>
        <v>33110148.263116803</v>
      </c>
      <c r="L35" s="49">
        <f ca="1"/>
        <v>35089327.968217261</v>
      </c>
      <c r="M35" s="49">
        <f ca="1"/>
        <v>37279097.683342837</v>
      </c>
      <c r="N35" s="49">
        <f ca="1"/>
        <v>39716078.231679946</v>
      </c>
      <c r="O35" s="49">
        <f ca="1"/>
        <v>42314783.409112662</v>
      </c>
      <c r="P35" s="49">
        <f ca="1"/>
        <v>45082353.420342848</v>
      </c>
      <c r="Q35" s="49">
        <f ca="1"/>
        <v>47953763.749925286</v>
      </c>
      <c r="R35" s="49">
        <f ca="1"/>
        <v>50923586.198940597</v>
      </c>
      <c r="S35" s="49">
        <f ca="1"/>
        <v>53985003.329094306</v>
      </c>
      <c r="T35" s="49">
        <f ca="1"/>
        <v>59755694.164796434</v>
      </c>
      <c r="U35" s="49">
        <f ca="1"/>
        <v>63129016.865748808</v>
      </c>
      <c r="V35" s="49">
        <f ca="1"/>
        <v>66576716.270870373</v>
      </c>
      <c r="W35" s="49">
        <f ca="1"/>
        <v>70090389.694672301</v>
      </c>
      <c r="X35" s="49">
        <f ca="1"/>
        <v>73661421.963323146</v>
      </c>
      <c r="Y35" s="49">
        <f ca="1"/>
        <v>77279628.814429373</v>
      </c>
      <c r="Z35" s="49">
        <f ca="1"/>
        <v>80935087.746103674</v>
      </c>
      <c r="AA35" s="49">
        <f ca="1"/>
        <v>84618005.03511925</v>
      </c>
      <c r="AB35" s="49">
        <f ca="1"/>
        <v>88316868.437664688</v>
      </c>
      <c r="AC35" s="49">
        <f ca="1"/>
        <v>92019105.83723399</v>
      </c>
      <c r="AD35" s="49">
        <f ca="1"/>
        <v>95712293.078065708</v>
      </c>
      <c r="AE35" s="49">
        <f ca="1"/>
        <v>99383494.406769112</v>
      </c>
      <c r="AF35" s="49">
        <f ca="1"/>
        <v>103017674.28648086</v>
      </c>
      <c r="AG35" s="49">
        <f ca="1"/>
        <v>106598766.37531088</v>
      </c>
      <c r="AH35" s="49">
        <f ca="1"/>
        <v>110110047.35468864</v>
      </c>
    </row>
    <row r="36" spans="2:34">
      <c r="B36" s="32" t="s">
        <v>354</v>
      </c>
      <c r="C36" s="137" t="s">
        <v>355</v>
      </c>
      <c r="D36" s="197" t="s">
        <v>341</v>
      </c>
      <c r="E36" s="49" cm="1">
        <f t="array" aca="1" ref="E36:AH36" ca="1">_xlfn.ANCHORARRAY('Compart. Riscos'!C86) * (1+'Painel Controle'!D149:AG149)</f>
        <v>0</v>
      </c>
      <c r="F36" s="49">
        <f ca="1"/>
        <v>0</v>
      </c>
      <c r="G36" s="49">
        <f ca="1"/>
        <v>0</v>
      </c>
      <c r="H36" s="49">
        <f ca="1"/>
        <v>0</v>
      </c>
      <c r="I36" s="49">
        <f ca="1"/>
        <v>0</v>
      </c>
      <c r="J36" s="49">
        <f ca="1"/>
        <v>0</v>
      </c>
      <c r="K36" s="49">
        <f ca="1"/>
        <v>0</v>
      </c>
      <c r="L36" s="49">
        <f ca="1"/>
        <v>0</v>
      </c>
      <c r="M36" s="49">
        <f ca="1"/>
        <v>0</v>
      </c>
      <c r="N36" s="49">
        <f ca="1"/>
        <v>85935.234438465937</v>
      </c>
      <c r="O36" s="49">
        <f ca="1"/>
        <v>210336.96211232455</v>
      </c>
      <c r="P36" s="49">
        <f ca="1"/>
        <v>259128.92975027501</v>
      </c>
      <c r="Q36" s="49">
        <f ca="1"/>
        <v>312478.17038225796</v>
      </c>
      <c r="R36" s="49">
        <f ca="1"/>
        <v>370400.87200772436</v>
      </c>
      <c r="S36" s="49">
        <f ca="1"/>
        <v>432859.83126750996</v>
      </c>
      <c r="T36" s="49">
        <f ca="1"/>
        <v>330506.09609579062</v>
      </c>
      <c r="U36" s="49">
        <f ca="1"/>
        <v>392939.33760065568</v>
      </c>
      <c r="V36" s="49">
        <f ca="1"/>
        <v>459509.21884659043</v>
      </c>
      <c r="W36" s="49">
        <f ca="1"/>
        <v>530109.46207488689</v>
      </c>
      <c r="X36" s="49">
        <f ca="1"/>
        <v>604606.61306502612</v>
      </c>
      <c r="Y36" s="49">
        <f ca="1"/>
        <v>682827.20093773259</v>
      </c>
      <c r="Z36" s="49">
        <f ca="1"/>
        <v>764582.75718360301</v>
      </c>
      <c r="AA36" s="49">
        <f ca="1"/>
        <v>849671.45139049529</v>
      </c>
      <c r="AB36" s="49">
        <f ca="1"/>
        <v>937851.91806529567</v>
      </c>
      <c r="AC36" s="49">
        <f ca="1"/>
        <v>1028846.0475816289</v>
      </c>
      <c r="AD36" s="49">
        <f ca="1"/>
        <v>1122355.586535183</v>
      </c>
      <c r="AE36" s="49">
        <f ca="1"/>
        <v>1218044.842601751</v>
      </c>
      <c r="AF36" s="49">
        <f ca="1"/>
        <v>1315512.6753123528</v>
      </c>
      <c r="AG36" s="49">
        <f ca="1"/>
        <v>1414312.6075746173</v>
      </c>
      <c r="AH36" s="49">
        <f ca="1"/>
        <v>1513962.7774496602</v>
      </c>
    </row>
    <row r="37" spans="2:34">
      <c r="B37" s="24" t="s">
        <v>356</v>
      </c>
      <c r="C37" s="137" t="s">
        <v>341</v>
      </c>
      <c r="D37" s="137" t="s">
        <v>341</v>
      </c>
      <c r="E37" s="50">
        <f ca="1">SUM(E6:E36)</f>
        <v>3902483.1692700596</v>
      </c>
      <c r="F37" s="50">
        <f t="shared" ref="F37:AH37" ca="1" si="4">SUM(F6:F36)</f>
        <v>138265302.23834267</v>
      </c>
      <c r="G37" s="50">
        <f t="shared" ca="1" si="4"/>
        <v>198988632.83988088</v>
      </c>
      <c r="H37" s="50">
        <f t="shared" ca="1" si="4"/>
        <v>238919506.01312131</v>
      </c>
      <c r="I37" s="50">
        <f t="shared" ca="1" si="4"/>
        <v>295430991.0408619</v>
      </c>
      <c r="J37" s="50">
        <f t="shared" ca="1" si="4"/>
        <v>327778998.1257965</v>
      </c>
      <c r="K37" s="50">
        <f t="shared" ca="1" si="4"/>
        <v>374992195.09798056</v>
      </c>
      <c r="L37" s="50">
        <f t="shared" ca="1" si="4"/>
        <v>392525179.52394211</v>
      </c>
      <c r="M37" s="50">
        <f t="shared" ca="1" si="4"/>
        <v>411923250.31280279</v>
      </c>
      <c r="N37" s="50">
        <f t="shared" ca="1" si="4"/>
        <v>433597371.95031732</v>
      </c>
      <c r="O37" s="50">
        <f t="shared" ca="1" si="4"/>
        <v>456742975.07625186</v>
      </c>
      <c r="P37" s="50">
        <f t="shared" ca="1" si="4"/>
        <v>481309305.53387201</v>
      </c>
      <c r="Q37" s="50">
        <f t="shared" ca="1" si="4"/>
        <v>506800221.29828596</v>
      </c>
      <c r="R37" s="50">
        <f t="shared" ca="1" si="4"/>
        <v>533167660.23942542</v>
      </c>
      <c r="S37" s="50">
        <f t="shared" ca="1" si="4"/>
        <v>560351198.90613949</v>
      </c>
      <c r="T37" s="50">
        <f t="shared" ca="1" si="4"/>
        <v>611619595.51051247</v>
      </c>
      <c r="U37" s="50">
        <f t="shared" ca="1" si="4"/>
        <v>641580783.66628385</v>
      </c>
      <c r="V37" s="50">
        <f t="shared" ca="1" si="4"/>
        <v>672205498.94028318</v>
      </c>
      <c r="W37" s="50">
        <f t="shared" ca="1" si="4"/>
        <v>703419168.33434856</v>
      </c>
      <c r="X37" s="50">
        <f t="shared" ca="1" si="4"/>
        <v>735145307.05279744</v>
      </c>
      <c r="Y37" s="50">
        <f t="shared" ca="1" si="4"/>
        <v>767293482.7071439</v>
      </c>
      <c r="Z37" s="50">
        <f t="shared" ca="1" si="4"/>
        <v>799775566.64050186</v>
      </c>
      <c r="AA37" s="50">
        <f t="shared" ca="1" si="4"/>
        <v>832504557.11882293</v>
      </c>
      <c r="AB37" s="50">
        <f t="shared" ca="1" si="4"/>
        <v>865378180.93028212</v>
      </c>
      <c r="AC37" s="50">
        <f t="shared" ca="1" si="4"/>
        <v>898284733.22468269</v>
      </c>
      <c r="AD37" s="50">
        <f t="shared" ca="1" si="4"/>
        <v>931113798.78544986</v>
      </c>
      <c r="AE37" s="50">
        <f t="shared" ca="1" si="4"/>
        <v>963750388.73281395</v>
      </c>
      <c r="AF37" s="50">
        <f t="shared" ca="1" si="4"/>
        <v>996060836.40995526</v>
      </c>
      <c r="AG37" s="50">
        <f t="shared" ca="1" si="4"/>
        <v>1027902291.8020712</v>
      </c>
      <c r="AH37" s="50">
        <f t="shared" ca="1" si="4"/>
        <v>1059126044.8314495</v>
      </c>
    </row>
    <row r="38" spans="2:34">
      <c r="B38" s="32" t="s">
        <v>357</v>
      </c>
      <c r="C38" s="137" t="s">
        <v>341</v>
      </c>
      <c r="D38" s="137" t="s">
        <v>341</v>
      </c>
      <c r="E38" s="49" cm="1">
        <f t="array" aca="1" ref="E38:AH38" ca="1">Opex!E98:AH98 * (1 + 'Painel Controle'!D149:AG149) * -1</f>
        <v>-55654928.78686098</v>
      </c>
      <c r="F38" s="49">
        <f ca="1"/>
        <v>-56680572.444031909</v>
      </c>
      <c r="G38" s="49">
        <f ca="1"/>
        <v>-66035265.950899653</v>
      </c>
      <c r="H38" s="49">
        <f ca="1"/>
        <v>-75150292.709401444</v>
      </c>
      <c r="I38" s="49">
        <f ca="1"/>
        <v>-79325684.186200157</v>
      </c>
      <c r="J38" s="49">
        <f ca="1"/>
        <v>-81094075.137323573</v>
      </c>
      <c r="K38" s="49">
        <f ca="1"/>
        <v>-85411084.624433368</v>
      </c>
      <c r="L38" s="49">
        <f ca="1"/>
        <v>-88669079.675438121</v>
      </c>
      <c r="M38" s="49">
        <f ca="1"/>
        <v>-89276118.025410488</v>
      </c>
      <c r="N38" s="49">
        <f ca="1"/>
        <v>-92366277.522206187</v>
      </c>
      <c r="O38" s="49">
        <f ca="1"/>
        <v>-96376604.643603876</v>
      </c>
      <c r="P38" s="49">
        <f ca="1"/>
        <v>-100692137.01181693</v>
      </c>
      <c r="Q38" s="49">
        <f ca="1"/>
        <v>-105244829.33542547</v>
      </c>
      <c r="R38" s="49">
        <f ca="1"/>
        <v>-109639084.04752578</v>
      </c>
      <c r="S38" s="49">
        <f ca="1"/>
        <v>-116245559.72021426</v>
      </c>
      <c r="T38" s="49">
        <f ca="1"/>
        <v>-122074319.2734876</v>
      </c>
      <c r="U38" s="49">
        <f ca="1"/>
        <v>-127762038.51835458</v>
      </c>
      <c r="V38" s="49">
        <f ca="1"/>
        <v>-132867249.27678886</v>
      </c>
      <c r="W38" s="49">
        <f ca="1"/>
        <v>-138377001.54719397</v>
      </c>
      <c r="X38" s="49">
        <f ca="1"/>
        <v>-139088194.31808758</v>
      </c>
      <c r="Y38" s="49">
        <f ca="1"/>
        <v>-144680175.0661552</v>
      </c>
      <c r="Z38" s="49">
        <f ca="1"/>
        <v>-149566144.63673258</v>
      </c>
      <c r="AA38" s="49">
        <f ca="1"/>
        <v>-155490353.2150785</v>
      </c>
      <c r="AB38" s="49">
        <f ca="1"/>
        <v>-161207520.19042996</v>
      </c>
      <c r="AC38" s="49">
        <f ca="1"/>
        <v>-167559524.73749202</v>
      </c>
      <c r="AD38" s="49">
        <f ca="1"/>
        <v>-169265590.36780095</v>
      </c>
      <c r="AE38" s="49">
        <f ca="1"/>
        <v>-175721995.49317095</v>
      </c>
      <c r="AF38" s="49">
        <f ca="1"/>
        <v>-181640251.63438311</v>
      </c>
      <c r="AG38" s="49">
        <f ca="1"/>
        <v>-189106487.81664839</v>
      </c>
      <c r="AH38" s="49">
        <f ca="1"/>
        <v>-195024334.06038401</v>
      </c>
    </row>
    <row r="39" spans="2:34">
      <c r="B39" s="32" t="s">
        <v>358</v>
      </c>
      <c r="C39" s="137" t="s">
        <v>359</v>
      </c>
      <c r="D39" s="137" t="s">
        <v>341</v>
      </c>
      <c r="E39" s="49" cm="1">
        <f t="array" aca="1" ref="E39:AH39" ca="1">'Receitas Tarifárias'!E399:AH399 * (1+'Painel Controle'!D149:AG149) * -1</f>
        <v>0</v>
      </c>
      <c r="F39" s="49">
        <f ca="1"/>
        <v>-22347723.569190472</v>
      </c>
      <c r="G39" s="49">
        <f ca="1"/>
        <v>-27788570.588604737</v>
      </c>
      <c r="H39" s="49">
        <f ca="1"/>
        <v>-27421187.780625634</v>
      </c>
      <c r="I39" s="49">
        <f ca="1"/>
        <v>-29139551.066476885</v>
      </c>
      <c r="J39" s="49">
        <f ca="1"/>
        <v>-30864762.310742632</v>
      </c>
      <c r="K39" s="49">
        <f ca="1"/>
        <v>-36789053.625685334</v>
      </c>
      <c r="L39" s="49">
        <f ca="1"/>
        <v>-38988142.186908074</v>
      </c>
      <c r="M39" s="49">
        <f ca="1"/>
        <v>-41421219.648158707</v>
      </c>
      <c r="N39" s="49">
        <f ca="1"/>
        <v>-44128975.812977716</v>
      </c>
      <c r="O39" s="49">
        <f ca="1"/>
        <v>-47016426.010125175</v>
      </c>
      <c r="P39" s="49">
        <f ca="1"/>
        <v>-50091503.800380938</v>
      </c>
      <c r="Q39" s="49">
        <f ca="1"/>
        <v>-53281959.72213921</v>
      </c>
      <c r="R39" s="49">
        <f ca="1"/>
        <v>-56581762.443267331</v>
      </c>
      <c r="S39" s="49">
        <f ca="1"/>
        <v>-59983337.032327004</v>
      </c>
      <c r="T39" s="49">
        <f ca="1"/>
        <v>-66395215.738662697</v>
      </c>
      <c r="U39" s="49">
        <f ca="1"/>
        <v>-70143352.073054239</v>
      </c>
      <c r="V39" s="49">
        <f ca="1"/>
        <v>-73974129.189855963</v>
      </c>
      <c r="W39" s="49">
        <f ca="1"/>
        <v>-77878210.771858111</v>
      </c>
      <c r="X39" s="49">
        <f ca="1"/>
        <v>-81846024.40369238</v>
      </c>
      <c r="Y39" s="49">
        <f ca="1"/>
        <v>-85866254.23825486</v>
      </c>
      <c r="Z39" s="49">
        <f ca="1"/>
        <v>-89927875.273448527</v>
      </c>
      <c r="AA39" s="49">
        <f ca="1"/>
        <v>-94020005.594576955</v>
      </c>
      <c r="AB39" s="49">
        <f ca="1"/>
        <v>-98129853.819627434</v>
      </c>
      <c r="AC39" s="49">
        <f ca="1"/>
        <v>-102243450.93025999</v>
      </c>
      <c r="AD39" s="49">
        <f ca="1"/>
        <v>-106346992.3089619</v>
      </c>
      <c r="AE39" s="49">
        <f ca="1"/>
        <v>-110426104.89641014</v>
      </c>
      <c r="AF39" s="49">
        <f ca="1"/>
        <v>-114464082.5405343</v>
      </c>
      <c r="AG39" s="49">
        <f ca="1"/>
        <v>-118443073.75034542</v>
      </c>
      <c r="AH39" s="49">
        <f ca="1"/>
        <v>-122344497.06076515</v>
      </c>
    </row>
    <row r="40" spans="2:34">
      <c r="B40" s="24" t="s">
        <v>360</v>
      </c>
      <c r="C40" s="137" t="s">
        <v>341</v>
      </c>
      <c r="D40" s="137" t="s">
        <v>341</v>
      </c>
      <c r="E40" s="50">
        <f ca="1">SUM(E37:E39)</f>
        <v>-51752445.617590919</v>
      </c>
      <c r="F40" s="50">
        <f t="shared" ref="F40:AH40" ca="1" si="5">SUM(F37:F39)</f>
        <v>59237006.225120291</v>
      </c>
      <c r="G40" s="50">
        <f t="shared" ca="1" si="5"/>
        <v>105164796.30037649</v>
      </c>
      <c r="H40" s="50">
        <f t="shared" ca="1" si="5"/>
        <v>136348025.52309424</v>
      </c>
      <c r="I40" s="50">
        <f t="shared" ca="1" si="5"/>
        <v>186965755.78818488</v>
      </c>
      <c r="J40" s="50">
        <f t="shared" ca="1" si="5"/>
        <v>215820160.67773032</v>
      </c>
      <c r="K40" s="50">
        <f t="shared" ca="1" si="5"/>
        <v>252792056.84786189</v>
      </c>
      <c r="L40" s="50">
        <f t="shared" ca="1" si="5"/>
        <v>264867957.66159594</v>
      </c>
      <c r="M40" s="50">
        <f t="shared" ca="1" si="5"/>
        <v>281225912.63923359</v>
      </c>
      <c r="N40" s="50">
        <f t="shared" ca="1" si="5"/>
        <v>297102118.6151334</v>
      </c>
      <c r="O40" s="50">
        <f t="shared" ca="1" si="5"/>
        <v>313349944.42252284</v>
      </c>
      <c r="P40" s="50">
        <f t="shared" ca="1" si="5"/>
        <v>330525664.72167414</v>
      </c>
      <c r="Q40" s="50">
        <f t="shared" ca="1" si="5"/>
        <v>348273432.24072123</v>
      </c>
      <c r="R40" s="50">
        <f t="shared" ca="1" si="5"/>
        <v>366946813.74863231</v>
      </c>
      <c r="S40" s="50">
        <f t="shared" ca="1" si="5"/>
        <v>384122302.15359825</v>
      </c>
      <c r="T40" s="50">
        <f t="shared" ca="1" si="5"/>
        <v>423150060.49836218</v>
      </c>
      <c r="U40" s="50">
        <f t="shared" ca="1" si="5"/>
        <v>443675393.074875</v>
      </c>
      <c r="V40" s="50">
        <f t="shared" ca="1" si="5"/>
        <v>465364120.47363842</v>
      </c>
      <c r="W40" s="50">
        <f t="shared" ca="1" si="5"/>
        <v>487163956.01529646</v>
      </c>
      <c r="X40" s="50">
        <f t="shared" ca="1" si="5"/>
        <v>514211088.33101749</v>
      </c>
      <c r="Y40" s="50">
        <f t="shared" ca="1" si="5"/>
        <v>536747053.40273386</v>
      </c>
      <c r="Z40" s="50">
        <f t="shared" ca="1" si="5"/>
        <v>560281546.73032069</v>
      </c>
      <c r="AA40" s="50">
        <f t="shared" ca="1" si="5"/>
        <v>582994198.3091675</v>
      </c>
      <c r="AB40" s="50">
        <f t="shared" ca="1" si="5"/>
        <v>606040806.92022479</v>
      </c>
      <c r="AC40" s="50">
        <f t="shared" ca="1" si="5"/>
        <v>628481757.55693078</v>
      </c>
      <c r="AD40" s="50">
        <f t="shared" ca="1" si="5"/>
        <v>655501216.10868704</v>
      </c>
      <c r="AE40" s="50">
        <f t="shared" ca="1" si="5"/>
        <v>677602288.34323287</v>
      </c>
      <c r="AF40" s="50">
        <f t="shared" ca="1" si="5"/>
        <v>699956502.23503792</v>
      </c>
      <c r="AG40" s="50">
        <f t="shared" ca="1" si="5"/>
        <v>720352730.23507738</v>
      </c>
      <c r="AH40" s="50">
        <f t="shared" ca="1" si="5"/>
        <v>741757213.71030033</v>
      </c>
    </row>
    <row r="41" spans="2:34">
      <c r="B41" s="32" t="s">
        <v>361</v>
      </c>
      <c r="C41" s="27" t="s">
        <v>362</v>
      </c>
      <c r="D41" s="137" t="s">
        <v>341</v>
      </c>
      <c r="E41" s="49">
        <f>'BP Nominal'!E10 / (30-'BP Nominal'!E3+1) * -1</f>
        <v>-6512239.3115364946</v>
      </c>
      <c r="F41" s="49">
        <f>'BP Nominal'!F10 / (30-'BP Nominal'!F3+1) * -1</f>
        <v>-11078849.951855343</v>
      </c>
      <c r="G41" s="49">
        <f>'BP Nominal'!G10 / (30-'BP Nominal'!G3+1) * -1</f>
        <v>-25859701.186221372</v>
      </c>
      <c r="H41" s="49">
        <f>'BP Nominal'!H10 / (30-'BP Nominal'!H3+1) * -1</f>
        <v>-63678478.51908607</v>
      </c>
      <c r="I41" s="49">
        <f>'BP Nominal'!I10 / (30-'BP Nominal'!I3+1) * -1</f>
        <v>-88225905.126127616</v>
      </c>
      <c r="J41" s="49">
        <f>'BP Nominal'!J10 / (30-'BP Nominal'!J3+1) * -1</f>
        <v>-114193907.1041556</v>
      </c>
      <c r="K41" s="49">
        <f>'BP Nominal'!K10 / (30-'BP Nominal'!K3+1) * -1</f>
        <v>-114486804.68279658</v>
      </c>
      <c r="L41" s="49">
        <f>'BP Nominal'!L10 / (30-'BP Nominal'!L3+1) * -1</f>
        <v>-118266738.46740742</v>
      </c>
      <c r="M41" s="49">
        <f>'BP Nominal'!M10 / (30-'BP Nominal'!M3+1) * -1</f>
        <v>-122807425.69508457</v>
      </c>
      <c r="N41" s="49">
        <f>'BP Nominal'!N10 / (30-'BP Nominal'!N3+1) * -1</f>
        <v>-125489933.5547321</v>
      </c>
      <c r="O41" s="49">
        <f>'BP Nominal'!O10 / (30-'BP Nominal'!O3+1) * -1</f>
        <v>-128274269.39831023</v>
      </c>
      <c r="P41" s="49">
        <f>'BP Nominal'!P10 / (30-'BP Nominal'!P3+1) * -1</f>
        <v>-129150875.25707486</v>
      </c>
      <c r="Q41" s="49">
        <f>'BP Nominal'!Q10 / (30-'BP Nominal'!Q3+1) * -1</f>
        <v>-130207989.31774995</v>
      </c>
      <c r="R41" s="49">
        <f>'BP Nominal'!R10 / (30-'BP Nominal'!R3+1) * -1</f>
        <v>-130274420.5112839</v>
      </c>
      <c r="S41" s="49">
        <f>'BP Nominal'!S10 / (30-'BP Nominal'!S3+1) * -1</f>
        <v>-162610533.49745652</v>
      </c>
      <c r="T41" s="49">
        <f>'BP Nominal'!T10 / (30-'BP Nominal'!T3+1) * -1</f>
        <v>-169362091.27893966</v>
      </c>
      <c r="U41" s="49">
        <f>'BP Nominal'!U10 / (30-'BP Nominal'!U3+1) * -1</f>
        <v>-186388430.4477835</v>
      </c>
      <c r="V41" s="49">
        <f>'BP Nominal'!V10 / (30-'BP Nominal'!V3+1) * -1</f>
        <v>-203883132.82762134</v>
      </c>
      <c r="W41" s="49">
        <f>'BP Nominal'!W10 / (30-'BP Nominal'!W3+1) * -1</f>
        <v>-215792047.69833148</v>
      </c>
      <c r="X41" s="49">
        <f>'BP Nominal'!X10 / (30-'BP Nominal'!X3+1) * -1</f>
        <v>-220354336.72799751</v>
      </c>
      <c r="Y41" s="49">
        <f>'BP Nominal'!Y10 / (30-'BP Nominal'!Y3+1) * -1</f>
        <v>-226961194.22979909</v>
      </c>
      <c r="Z41" s="49">
        <f>'BP Nominal'!Z10 / (30-'BP Nominal'!Z3+1) * -1</f>
        <v>-227737944.63691995</v>
      </c>
      <c r="AA41" s="49">
        <f>'BP Nominal'!AA10 / (30-'BP Nominal'!AA3+1) * -1</f>
        <v>-234636276.7697503</v>
      </c>
      <c r="AB41" s="49">
        <f>'BP Nominal'!AB10 / (30-'BP Nominal'!AB3+1) * -1</f>
        <v>-245283840.78380489</v>
      </c>
      <c r="AC41" s="49">
        <f>'BP Nominal'!AC10 / (30-'BP Nominal'!AC3+1) * -1</f>
        <v>-269150162.78402638</v>
      </c>
      <c r="AD41" s="49">
        <f>'BP Nominal'!AD10 / (30-'BP Nominal'!AD3+1) * -1</f>
        <v>-299847164.91296923</v>
      </c>
      <c r="AE41" s="49">
        <f>'BP Nominal'!AE10 / (30-'BP Nominal'!AE3+1) * -1</f>
        <v>-318161766.79746807</v>
      </c>
      <c r="AF41" s="49">
        <f>'BP Nominal'!AF10 / (30-'BP Nominal'!AF3+1) * -1</f>
        <v>-331283098.52606595</v>
      </c>
      <c r="AG41" s="49">
        <f>'BP Nominal'!AG10 / (30-'BP Nominal'!AG3+1) * -1</f>
        <v>-367874339.35385829</v>
      </c>
      <c r="AH41" s="49">
        <f>'BP Nominal'!AH10 / (30-'BP Nominal'!AH3+1) * -1</f>
        <v>-472305138.55563778</v>
      </c>
    </row>
    <row r="42" spans="2:34">
      <c r="B42" s="24" t="s">
        <v>363</v>
      </c>
      <c r="C42" s="137" t="s">
        <v>341</v>
      </c>
      <c r="D42" s="137" t="s">
        <v>341</v>
      </c>
      <c r="E42" s="50">
        <f t="shared" ref="E42:AH42" ca="1" si="6">SUM(E40:E41)</f>
        <v>-58264684.92912741</v>
      </c>
      <c r="F42" s="50">
        <f t="shared" ca="1" si="6"/>
        <v>48158156.273264945</v>
      </c>
      <c r="G42" s="50">
        <f t="shared" ca="1" si="6"/>
        <v>79305095.114155114</v>
      </c>
      <c r="H42" s="50">
        <f t="shared" ca="1" si="6"/>
        <v>72669547.004008174</v>
      </c>
      <c r="I42" s="50">
        <f t="shared" ca="1" si="6"/>
        <v>98739850.662057266</v>
      </c>
      <c r="J42" s="50">
        <f t="shared" ca="1" si="6"/>
        <v>101626253.57357472</v>
      </c>
      <c r="K42" s="50">
        <f t="shared" ca="1" si="6"/>
        <v>138305252.16506529</v>
      </c>
      <c r="L42" s="50">
        <f t="shared" ca="1" si="6"/>
        <v>146601219.19418854</v>
      </c>
      <c r="M42" s="50">
        <f t="shared" ca="1" si="6"/>
        <v>158418486.94414902</v>
      </c>
      <c r="N42" s="50">
        <f t="shared" ca="1" si="6"/>
        <v>171612185.06040132</v>
      </c>
      <c r="O42" s="50">
        <f t="shared" ca="1" si="6"/>
        <v>185075675.0242126</v>
      </c>
      <c r="P42" s="50">
        <f t="shared" ca="1" si="6"/>
        <v>201374789.46459928</v>
      </c>
      <c r="Q42" s="50">
        <f t="shared" ca="1" si="6"/>
        <v>218065442.92297128</v>
      </c>
      <c r="R42" s="50">
        <f t="shared" ca="1" si="6"/>
        <v>236672393.23734841</v>
      </c>
      <c r="S42" s="50">
        <f t="shared" ca="1" si="6"/>
        <v>221511768.65614173</v>
      </c>
      <c r="T42" s="50">
        <f t="shared" ca="1" si="6"/>
        <v>253787969.21942252</v>
      </c>
      <c r="U42" s="50">
        <f t="shared" ca="1" si="6"/>
        <v>257286962.6270915</v>
      </c>
      <c r="V42" s="50">
        <f t="shared" ca="1" si="6"/>
        <v>261480987.64601707</v>
      </c>
      <c r="W42" s="50">
        <f t="shared" ca="1" si="6"/>
        <v>271371908.31696498</v>
      </c>
      <c r="X42" s="50">
        <f t="shared" ca="1" si="6"/>
        <v>293856751.60301995</v>
      </c>
      <c r="Y42" s="50">
        <f t="shared" ca="1" si="6"/>
        <v>309785859.17293477</v>
      </c>
      <c r="Z42" s="50">
        <f t="shared" ca="1" si="6"/>
        <v>332543602.09340072</v>
      </c>
      <c r="AA42" s="50">
        <f t="shared" ca="1" si="6"/>
        <v>348357921.53941721</v>
      </c>
      <c r="AB42" s="50">
        <f t="shared" ca="1" si="6"/>
        <v>360756966.13641989</v>
      </c>
      <c r="AC42" s="50">
        <f t="shared" ca="1" si="6"/>
        <v>359331594.7729044</v>
      </c>
      <c r="AD42" s="50">
        <f t="shared" ca="1" si="6"/>
        <v>355654051.19571781</v>
      </c>
      <c r="AE42" s="50">
        <f t="shared" ca="1" si="6"/>
        <v>359440521.5457648</v>
      </c>
      <c r="AF42" s="50">
        <f t="shared" ca="1" si="6"/>
        <v>368673403.70897198</v>
      </c>
      <c r="AG42" s="50">
        <f t="shared" ca="1" si="6"/>
        <v>352478390.88121909</v>
      </c>
      <c r="AH42" s="50">
        <f t="shared" ca="1" si="6"/>
        <v>269452075.15466255</v>
      </c>
    </row>
    <row r="43" spans="2:34">
      <c r="B43" s="33" t="s">
        <v>364</v>
      </c>
      <c r="C43" s="69" t="s">
        <v>365</v>
      </c>
      <c r="D43" s="137" t="s">
        <v>341</v>
      </c>
      <c r="E43" s="49">
        <f ca="1">'BP Nominal'!E37</f>
        <v>0</v>
      </c>
      <c r="F43" s="49">
        <f ca="1">'BP Nominal'!F37</f>
        <v>-8683419.5896909218</v>
      </c>
      <c r="G43" s="49">
        <f ca="1">'BP Nominal'!G37</f>
        <v>-14119054.253552364</v>
      </c>
      <c r="H43" s="49">
        <f ca="1">'BP Nominal'!H37</f>
        <v>-21484381.862749994</v>
      </c>
      <c r="I43" s="49">
        <f ca="1">'BP Nominal'!I37</f>
        <v>-32874743.22957693</v>
      </c>
      <c r="J43" s="49">
        <f ca="1">'BP Nominal'!J37</f>
        <v>-43516553.615164272</v>
      </c>
      <c r="K43" s="49">
        <f ca="1">'BP Nominal'!K37</f>
        <v>-41775891.470557705</v>
      </c>
      <c r="L43" s="49">
        <f ca="1">'BP Nominal'!L37</f>
        <v>-40035229.325951137</v>
      </c>
      <c r="M43" s="49">
        <f ca="1">'BP Nominal'!M37</f>
        <v>-38294567.181344561</v>
      </c>
      <c r="N43" s="49">
        <f ca="1">'BP Nominal'!N37</f>
        <v>-36553905.036737993</v>
      </c>
      <c r="O43" s="49">
        <f ca="1">'BP Nominal'!O37</f>
        <v>-34813242.892131425</v>
      </c>
      <c r="P43" s="49">
        <f ca="1">'BP Nominal'!P37</f>
        <v>-33072580.74752485</v>
      </c>
      <c r="Q43" s="49">
        <f ca="1">'BP Nominal'!Q37</f>
        <v>-31331918.602918275</v>
      </c>
      <c r="R43" s="49">
        <f ca="1">'BP Nominal'!R37</f>
        <v>-29591256.458311707</v>
      </c>
      <c r="S43" s="49">
        <f ca="1">'BP Nominal'!S37</f>
        <v>-27850594.313705139</v>
      </c>
      <c r="T43" s="49">
        <f ca="1">'BP Nominal'!T37</f>
        <v>-26109932.169098567</v>
      </c>
      <c r="U43" s="49">
        <f ca="1">'BP Nominal'!U37</f>
        <v>-24369270.024491999</v>
      </c>
      <c r="V43" s="49">
        <f ca="1">'BP Nominal'!V37</f>
        <v>-22628607.879885428</v>
      </c>
      <c r="W43" s="49">
        <f ca="1">'BP Nominal'!W37</f>
        <v>-20887945.735278856</v>
      </c>
      <c r="X43" s="49">
        <f ca="1">'BP Nominal'!X37</f>
        <v>-19147283.590672284</v>
      </c>
      <c r="Y43" s="49">
        <f ca="1">'BP Nominal'!Y37</f>
        <v>-17406621.446065713</v>
      </c>
      <c r="Z43" s="49">
        <f ca="1">'BP Nominal'!Z37</f>
        <v>-15665959.301459143</v>
      </c>
      <c r="AA43" s="49">
        <f ca="1">'BP Nominal'!AA37</f>
        <v>-13925297.156852571</v>
      </c>
      <c r="AB43" s="49">
        <f ca="1">'BP Nominal'!AB37</f>
        <v>-12184635.012246002</v>
      </c>
      <c r="AC43" s="49">
        <f ca="1">'BP Nominal'!AC37</f>
        <v>-10443972.86763943</v>
      </c>
      <c r="AD43" s="49">
        <f ca="1">'BP Nominal'!AD37</f>
        <v>-8703310.7230328582</v>
      </c>
      <c r="AE43" s="49">
        <f ca="1">'BP Nominal'!AE37</f>
        <v>-6962648.5784262875</v>
      </c>
      <c r="AF43" s="49">
        <f ca="1">'BP Nominal'!AF37</f>
        <v>-5221986.4338197159</v>
      </c>
      <c r="AG43" s="49">
        <f ca="1">'BP Nominal'!AG37</f>
        <v>-3481324.2892131438</v>
      </c>
      <c r="AH43" s="49">
        <f ca="1">'BP Nominal'!AH37</f>
        <v>-1740662.1446065719</v>
      </c>
    </row>
    <row r="44" spans="2:34">
      <c r="B44" s="24" t="s">
        <v>366</v>
      </c>
      <c r="C44" s="27" t="s">
        <v>367</v>
      </c>
      <c r="D44" s="137" t="s">
        <v>341</v>
      </c>
      <c r="E44" s="50">
        <f ca="1">E42</f>
        <v>-58264684.92912741</v>
      </c>
      <c r="F44" s="50">
        <f t="shared" ref="F44:AH44" ca="1" si="7">F42</f>
        <v>48158156.273264945</v>
      </c>
      <c r="G44" s="50">
        <f t="shared" ca="1" si="7"/>
        <v>79305095.114155114</v>
      </c>
      <c r="H44" s="50">
        <f t="shared" ca="1" si="7"/>
        <v>72669547.004008174</v>
      </c>
      <c r="I44" s="50">
        <f t="shared" ca="1" si="7"/>
        <v>98739850.662057266</v>
      </c>
      <c r="J44" s="50">
        <f t="shared" ca="1" si="7"/>
        <v>101626253.57357472</v>
      </c>
      <c r="K44" s="50">
        <f t="shared" ca="1" si="7"/>
        <v>138305252.16506529</v>
      </c>
      <c r="L44" s="50">
        <f t="shared" ca="1" si="7"/>
        <v>146601219.19418854</v>
      </c>
      <c r="M44" s="50">
        <f t="shared" ca="1" si="7"/>
        <v>158418486.94414902</v>
      </c>
      <c r="N44" s="50">
        <f t="shared" ca="1" si="7"/>
        <v>171612185.06040132</v>
      </c>
      <c r="O44" s="50">
        <f t="shared" ca="1" si="7"/>
        <v>185075675.0242126</v>
      </c>
      <c r="P44" s="50">
        <f t="shared" ca="1" si="7"/>
        <v>201374789.46459928</v>
      </c>
      <c r="Q44" s="50">
        <f t="shared" ca="1" si="7"/>
        <v>218065442.92297128</v>
      </c>
      <c r="R44" s="50">
        <f t="shared" ca="1" si="7"/>
        <v>236672393.23734841</v>
      </c>
      <c r="S44" s="50">
        <f t="shared" ca="1" si="7"/>
        <v>221511768.65614173</v>
      </c>
      <c r="T44" s="50">
        <f t="shared" ca="1" si="7"/>
        <v>253787969.21942252</v>
      </c>
      <c r="U44" s="50">
        <f t="shared" ca="1" si="7"/>
        <v>257286962.6270915</v>
      </c>
      <c r="V44" s="50">
        <f t="shared" ca="1" si="7"/>
        <v>261480987.64601707</v>
      </c>
      <c r="W44" s="50">
        <f t="shared" ca="1" si="7"/>
        <v>271371908.31696498</v>
      </c>
      <c r="X44" s="50">
        <f t="shared" ca="1" si="7"/>
        <v>293856751.60301995</v>
      </c>
      <c r="Y44" s="50">
        <f t="shared" ca="1" si="7"/>
        <v>309785859.17293477</v>
      </c>
      <c r="Z44" s="50">
        <f t="shared" ca="1" si="7"/>
        <v>332543602.09340072</v>
      </c>
      <c r="AA44" s="50">
        <f t="shared" ca="1" si="7"/>
        <v>348357921.53941721</v>
      </c>
      <c r="AB44" s="50">
        <f t="shared" ca="1" si="7"/>
        <v>360756966.13641989</v>
      </c>
      <c r="AC44" s="50">
        <f t="shared" ca="1" si="7"/>
        <v>359331594.7729044</v>
      </c>
      <c r="AD44" s="50">
        <f t="shared" ca="1" si="7"/>
        <v>355654051.19571781</v>
      </c>
      <c r="AE44" s="50">
        <f t="shared" ca="1" si="7"/>
        <v>359440521.5457648</v>
      </c>
      <c r="AF44" s="50">
        <f t="shared" ca="1" si="7"/>
        <v>368673403.70897198</v>
      </c>
      <c r="AG44" s="50">
        <f t="shared" ca="1" si="7"/>
        <v>352478390.88121909</v>
      </c>
      <c r="AH44" s="50">
        <f t="shared" ca="1" si="7"/>
        <v>269452075.15466255</v>
      </c>
    </row>
    <row r="45" spans="2:34">
      <c r="B45" s="33" t="s">
        <v>368</v>
      </c>
      <c r="C45" s="137" t="s">
        <v>341</v>
      </c>
      <c r="D45" s="137" t="s">
        <v>341</v>
      </c>
      <c r="E45" s="49">
        <v>0</v>
      </c>
      <c r="F45" s="67">
        <f t="shared" ref="F45" ca="1" si="8">E45+IF(E44&lt;0,E44,0)+E47*-1</f>
        <v>-58264684.92912741</v>
      </c>
      <c r="G45" s="67">
        <f t="shared" ref="G45" ca="1" si="9">F45+IF(F44&lt;0,F44,0)+F47*-1</f>
        <v>-43817238.04714793</v>
      </c>
      <c r="H45" s="67">
        <f t="shared" ref="H45" ca="1" si="10">G45+IF(G44&lt;0,G44,0)+G47*-1</f>
        <v>-20025709.512901396</v>
      </c>
      <c r="I45" s="67">
        <f t="shared" ref="I45" ca="1" si="11">H45+IF(H44&lt;0,H44,0)+H47*-1</f>
        <v>0</v>
      </c>
      <c r="J45" s="67">
        <f t="shared" ref="J45" ca="1" si="12">I45+IF(I44&lt;0,I44,0)+I47*-1</f>
        <v>0</v>
      </c>
      <c r="K45" s="67">
        <f t="shared" ref="K45" ca="1" si="13">J45+IF(J44&lt;0,J44,0)+J47*-1</f>
        <v>0</v>
      </c>
      <c r="L45" s="67">
        <f t="shared" ref="L45" ca="1" si="14">K45+IF(K44&lt;0,K44,0)+K47*-1</f>
        <v>0</v>
      </c>
      <c r="M45" s="67">
        <f t="shared" ref="M45" ca="1" si="15">L45+IF(L44&lt;0,L44,0)+L47*-1</f>
        <v>0</v>
      </c>
      <c r="N45" s="67">
        <f t="shared" ref="N45" ca="1" si="16">M45+IF(M44&lt;0,M44,0)+M47*-1</f>
        <v>0</v>
      </c>
      <c r="O45" s="67">
        <f t="shared" ref="O45" ca="1" si="17">N45+IF(N44&lt;0,N44,0)+N47*-1</f>
        <v>0</v>
      </c>
      <c r="P45" s="67">
        <f t="shared" ref="P45" ca="1" si="18">O45+IF(O44&lt;0,O44,0)+O47*-1</f>
        <v>0</v>
      </c>
      <c r="Q45" s="67">
        <f t="shared" ref="Q45" ca="1" si="19">P45+IF(P44&lt;0,P44,0)+P47*-1</f>
        <v>0</v>
      </c>
      <c r="R45" s="67">
        <f t="shared" ref="R45" ca="1" si="20">Q45+IF(Q44&lt;0,Q44,0)+Q47*-1</f>
        <v>0</v>
      </c>
      <c r="S45" s="67">
        <f t="shared" ref="S45" ca="1" si="21">R45+IF(R44&lt;0,R44,0)+R47*-1</f>
        <v>0</v>
      </c>
      <c r="T45" s="67">
        <f t="shared" ref="T45" ca="1" si="22">S45+IF(S44&lt;0,S44,0)+S47*-1</f>
        <v>0</v>
      </c>
      <c r="U45" s="67">
        <f t="shared" ref="U45" ca="1" si="23">T45+IF(T44&lt;0,T44,0)+T47*-1</f>
        <v>0</v>
      </c>
      <c r="V45" s="67">
        <f t="shared" ref="V45" ca="1" si="24">U45+IF(U44&lt;0,U44,0)+U47*-1</f>
        <v>0</v>
      </c>
      <c r="W45" s="67">
        <f t="shared" ref="W45" ca="1" si="25">V45+IF(V44&lt;0,V44,0)+V47*-1</f>
        <v>0</v>
      </c>
      <c r="X45" s="67">
        <f t="shared" ref="X45" ca="1" si="26">W45+IF(W44&lt;0,W44,0)+W47*-1</f>
        <v>0</v>
      </c>
      <c r="Y45" s="67">
        <f t="shared" ref="Y45" ca="1" si="27">X45+IF(X44&lt;0,X44,0)+X47*-1</f>
        <v>0</v>
      </c>
      <c r="Z45" s="67">
        <f t="shared" ref="Z45" ca="1" si="28">Y45+IF(Y44&lt;0,Y44,0)+Y47*-1</f>
        <v>0</v>
      </c>
      <c r="AA45" s="67">
        <f t="shared" ref="AA45" ca="1" si="29">Z45+IF(Z44&lt;0,Z44,0)+Z47*-1</f>
        <v>0</v>
      </c>
      <c r="AB45" s="67">
        <f t="shared" ref="AB45" ca="1" si="30">AA45+IF(AA44&lt;0,AA44,0)+AA47*-1</f>
        <v>0</v>
      </c>
      <c r="AC45" s="67">
        <f t="shared" ref="AC45" ca="1" si="31">AB45+IF(AB44&lt;0,AB44,0)+AB47*-1</f>
        <v>0</v>
      </c>
      <c r="AD45" s="67">
        <f t="shared" ref="AD45" ca="1" si="32">AC45+IF(AC44&lt;0,AC44,0)+AC47*-1</f>
        <v>0</v>
      </c>
      <c r="AE45" s="67">
        <f t="shared" ref="AE45" ca="1" si="33">AD45+IF(AD44&lt;0,AD44,0)+AD47*-1</f>
        <v>0</v>
      </c>
      <c r="AF45" s="67">
        <f t="shared" ref="AF45" ca="1" si="34">AE45+IF(AE44&lt;0,AE44,0)+AE47*-1</f>
        <v>0</v>
      </c>
      <c r="AG45" s="67">
        <f t="shared" ref="AG45" ca="1" si="35">AF45+IF(AF44&lt;0,AF44,0)+AF47*-1</f>
        <v>0</v>
      </c>
      <c r="AH45" s="67">
        <f t="shared" ref="AH45" ca="1" si="36">AG45+IF(AG44&lt;0,AG44,0)+AG47*-1</f>
        <v>0</v>
      </c>
    </row>
    <row r="46" spans="2:34">
      <c r="B46" s="32" t="s">
        <v>369</v>
      </c>
      <c r="C46" s="137" t="s">
        <v>341</v>
      </c>
      <c r="D46" s="137" t="s">
        <v>341</v>
      </c>
      <c r="E46" s="49">
        <f t="shared" ref="E46:F46" ca="1" si="37">IF(E44&lt;0,0,E44*30%)</f>
        <v>0</v>
      </c>
      <c r="F46" s="67">
        <f t="shared" ca="1" si="37"/>
        <v>14447446.881979482</v>
      </c>
      <c r="G46" s="67">
        <f t="shared" ref="G46:AH46" ca="1" si="38">IF(G44&lt;0,0,G44*30%)</f>
        <v>23791528.534246534</v>
      </c>
      <c r="H46" s="67">
        <f t="shared" ca="1" si="38"/>
        <v>21800864.101202451</v>
      </c>
      <c r="I46" s="67">
        <f t="shared" ca="1" si="38"/>
        <v>29621955.198617179</v>
      </c>
      <c r="J46" s="67">
        <f t="shared" ca="1" si="38"/>
        <v>30487876.072072417</v>
      </c>
      <c r="K46" s="67">
        <f t="shared" ca="1" si="38"/>
        <v>41491575.649519585</v>
      </c>
      <c r="L46" s="67">
        <f t="shared" ca="1" si="38"/>
        <v>43980365.758256562</v>
      </c>
      <c r="M46" s="67">
        <f t="shared" ca="1" si="38"/>
        <v>47525546.083244704</v>
      </c>
      <c r="N46" s="67">
        <f t="shared" ca="1" si="38"/>
        <v>51483655.518120393</v>
      </c>
      <c r="O46" s="67">
        <f t="shared" ca="1" si="38"/>
        <v>55522702.50726378</v>
      </c>
      <c r="P46" s="67">
        <f t="shared" ca="1" si="38"/>
        <v>60412436.83937978</v>
      </c>
      <c r="Q46" s="67">
        <f t="shared" ca="1" si="38"/>
        <v>65419632.876891382</v>
      </c>
      <c r="R46" s="67">
        <f t="shared" ca="1" si="38"/>
        <v>71001717.971204519</v>
      </c>
      <c r="S46" s="67">
        <f t="shared" ca="1" si="38"/>
        <v>66453530.596842512</v>
      </c>
      <c r="T46" s="67">
        <f t="shared" ca="1" si="38"/>
        <v>76136390.765826747</v>
      </c>
      <c r="U46" s="67">
        <f t="shared" ca="1" si="38"/>
        <v>77186088.788127452</v>
      </c>
      <c r="V46" s="67">
        <f t="shared" ca="1" si="38"/>
        <v>78444296.293805122</v>
      </c>
      <c r="W46" s="67">
        <f t="shared" ca="1" si="38"/>
        <v>81411572.495089486</v>
      </c>
      <c r="X46" s="67">
        <f t="shared" ca="1" si="38"/>
        <v>88157025.48090598</v>
      </c>
      <c r="Y46" s="67">
        <f t="shared" ca="1" si="38"/>
        <v>92935757.751880422</v>
      </c>
      <c r="Z46" s="67">
        <f t="shared" ca="1" si="38"/>
        <v>99763080.628020212</v>
      </c>
      <c r="AA46" s="67">
        <f t="shared" ca="1" si="38"/>
        <v>104507376.46182516</v>
      </c>
      <c r="AB46" s="67">
        <f t="shared" ca="1" si="38"/>
        <v>108227089.84092596</v>
      </c>
      <c r="AC46" s="67">
        <f t="shared" ca="1" si="38"/>
        <v>107799478.43187131</v>
      </c>
      <c r="AD46" s="67">
        <f t="shared" ca="1" si="38"/>
        <v>106696215.35871534</v>
      </c>
      <c r="AE46" s="67">
        <f t="shared" ca="1" si="38"/>
        <v>107832156.46372944</v>
      </c>
      <c r="AF46" s="67">
        <f t="shared" ca="1" si="38"/>
        <v>110602021.1126916</v>
      </c>
      <c r="AG46" s="67">
        <f t="shared" ca="1" si="38"/>
        <v>105743517.26436572</v>
      </c>
      <c r="AH46" s="67">
        <f t="shared" ca="1" si="38"/>
        <v>80835622.546398759</v>
      </c>
    </row>
    <row r="47" spans="2:34">
      <c r="B47" s="32" t="s">
        <v>370</v>
      </c>
      <c r="C47" s="137" t="s">
        <v>341</v>
      </c>
      <c r="D47" s="137" t="s">
        <v>341</v>
      </c>
      <c r="E47" s="49">
        <f t="shared" ref="E47:F47" ca="1" si="39">IF(E45*-1&lt;E46,E45,E46*-1)</f>
        <v>0</v>
      </c>
      <c r="F47" s="67">
        <f t="shared" ca="1" si="39"/>
        <v>-14447446.881979482</v>
      </c>
      <c r="G47" s="67">
        <f t="shared" ref="G47:AH47" ca="1" si="40">IF(G45*-1&lt;G46,G45,G46*-1)</f>
        <v>-23791528.534246534</v>
      </c>
      <c r="H47" s="67">
        <f t="shared" ca="1" si="40"/>
        <v>-20025709.512901396</v>
      </c>
      <c r="I47" s="67">
        <f t="shared" ca="1" si="40"/>
        <v>0</v>
      </c>
      <c r="J47" s="67">
        <f t="shared" ca="1" si="40"/>
        <v>0</v>
      </c>
      <c r="K47" s="67">
        <f t="shared" ca="1" si="40"/>
        <v>0</v>
      </c>
      <c r="L47" s="67">
        <f t="shared" ca="1" si="40"/>
        <v>0</v>
      </c>
      <c r="M47" s="67">
        <f t="shared" ca="1" si="40"/>
        <v>0</v>
      </c>
      <c r="N47" s="67">
        <f t="shared" ca="1" si="40"/>
        <v>0</v>
      </c>
      <c r="O47" s="67">
        <f t="shared" ca="1" si="40"/>
        <v>0</v>
      </c>
      <c r="P47" s="67">
        <f t="shared" ca="1" si="40"/>
        <v>0</v>
      </c>
      <c r="Q47" s="67">
        <f t="shared" ca="1" si="40"/>
        <v>0</v>
      </c>
      <c r="R47" s="67">
        <f t="shared" ca="1" si="40"/>
        <v>0</v>
      </c>
      <c r="S47" s="67">
        <f t="shared" ca="1" si="40"/>
        <v>0</v>
      </c>
      <c r="T47" s="67">
        <f t="shared" ca="1" si="40"/>
        <v>0</v>
      </c>
      <c r="U47" s="67">
        <f t="shared" ca="1" si="40"/>
        <v>0</v>
      </c>
      <c r="V47" s="67">
        <f t="shared" ca="1" si="40"/>
        <v>0</v>
      </c>
      <c r="W47" s="67">
        <f t="shared" ca="1" si="40"/>
        <v>0</v>
      </c>
      <c r="X47" s="67">
        <f t="shared" ca="1" si="40"/>
        <v>0</v>
      </c>
      <c r="Y47" s="67">
        <f t="shared" ca="1" si="40"/>
        <v>0</v>
      </c>
      <c r="Z47" s="67">
        <f t="shared" ca="1" si="40"/>
        <v>0</v>
      </c>
      <c r="AA47" s="67">
        <f t="shared" ca="1" si="40"/>
        <v>0</v>
      </c>
      <c r="AB47" s="67">
        <f t="shared" ca="1" si="40"/>
        <v>0</v>
      </c>
      <c r="AC47" s="67">
        <f t="shared" ca="1" si="40"/>
        <v>0</v>
      </c>
      <c r="AD47" s="67">
        <f t="shared" ca="1" si="40"/>
        <v>0</v>
      </c>
      <c r="AE47" s="67">
        <f t="shared" ca="1" si="40"/>
        <v>0</v>
      </c>
      <c r="AF47" s="67">
        <f t="shared" ca="1" si="40"/>
        <v>0</v>
      </c>
      <c r="AG47" s="67">
        <f t="shared" ca="1" si="40"/>
        <v>0</v>
      </c>
      <c r="AH47" s="67">
        <f t="shared" ca="1" si="40"/>
        <v>0</v>
      </c>
    </row>
    <row r="48" spans="2:34">
      <c r="B48" s="24" t="s">
        <v>371</v>
      </c>
      <c r="C48" s="137" t="s">
        <v>341</v>
      </c>
      <c r="D48" s="137" t="s">
        <v>341</v>
      </c>
      <c r="E48" s="50">
        <f ca="1">E44+E47-E36</f>
        <v>-58264684.92912741</v>
      </c>
      <c r="F48" s="50">
        <f t="shared" ref="F48:AH48" ca="1" si="41">F44+F47-F36</f>
        <v>33710709.391285464</v>
      </c>
      <c r="G48" s="50">
        <f t="shared" ca="1" si="41"/>
        <v>55513566.57990858</v>
      </c>
      <c r="H48" s="50">
        <f t="shared" ca="1" si="41"/>
        <v>52643837.491106778</v>
      </c>
      <c r="I48" s="50">
        <f t="shared" ca="1" si="41"/>
        <v>98739850.662057266</v>
      </c>
      <c r="J48" s="50">
        <f t="shared" ca="1" si="41"/>
        <v>101626253.57357472</v>
      </c>
      <c r="K48" s="50">
        <f t="shared" ca="1" si="41"/>
        <v>138305252.16506529</v>
      </c>
      <c r="L48" s="50">
        <f t="shared" ca="1" si="41"/>
        <v>146601219.19418854</v>
      </c>
      <c r="M48" s="50">
        <f t="shared" ca="1" si="41"/>
        <v>158418486.94414902</v>
      </c>
      <c r="N48" s="50">
        <f t="shared" ca="1" si="41"/>
        <v>171526249.82596284</v>
      </c>
      <c r="O48" s="50">
        <f t="shared" ca="1" si="41"/>
        <v>184865338.06210026</v>
      </c>
      <c r="P48" s="50">
        <f t="shared" ca="1" si="41"/>
        <v>201115660.53484902</v>
      </c>
      <c r="Q48" s="50">
        <f t="shared" ca="1" si="41"/>
        <v>217752964.75258902</v>
      </c>
      <c r="R48" s="50">
        <f t="shared" ca="1" si="41"/>
        <v>236301992.36534068</v>
      </c>
      <c r="S48" s="50">
        <f t="shared" ca="1" si="41"/>
        <v>221078908.82487422</v>
      </c>
      <c r="T48" s="50">
        <f t="shared" ca="1" si="41"/>
        <v>253457463.12332672</v>
      </c>
      <c r="U48" s="50">
        <f t="shared" ca="1" si="41"/>
        <v>256894023.28949085</v>
      </c>
      <c r="V48" s="50">
        <f t="shared" ca="1" si="41"/>
        <v>261021478.42717049</v>
      </c>
      <c r="W48" s="50">
        <f t="shared" ca="1" si="41"/>
        <v>270841798.85489011</v>
      </c>
      <c r="X48" s="50">
        <f t="shared" ca="1" si="41"/>
        <v>293252144.98995495</v>
      </c>
      <c r="Y48" s="50">
        <f t="shared" ca="1" si="41"/>
        <v>309103031.97199702</v>
      </c>
      <c r="Z48" s="50">
        <f t="shared" ca="1" si="41"/>
        <v>331779019.33621711</v>
      </c>
      <c r="AA48" s="50">
        <f t="shared" ca="1" si="41"/>
        <v>347508250.0880267</v>
      </c>
      <c r="AB48" s="50">
        <f t="shared" ca="1" si="41"/>
        <v>359819114.21835458</v>
      </c>
      <c r="AC48" s="50">
        <f t="shared" ca="1" si="41"/>
        <v>358302748.72532278</v>
      </c>
      <c r="AD48" s="50">
        <f t="shared" ca="1" si="41"/>
        <v>354531695.60918266</v>
      </c>
      <c r="AE48" s="50">
        <f t="shared" ca="1" si="41"/>
        <v>358222476.70316303</v>
      </c>
      <c r="AF48" s="50">
        <f t="shared" ca="1" si="41"/>
        <v>367357891.03365964</v>
      </c>
      <c r="AG48" s="50">
        <f t="shared" ca="1" si="41"/>
        <v>351064078.27364445</v>
      </c>
      <c r="AH48" s="50">
        <f t="shared" ca="1" si="41"/>
        <v>267938112.37721288</v>
      </c>
    </row>
    <row r="49" spans="2:34">
      <c r="B49" s="33" t="s">
        <v>372</v>
      </c>
      <c r="C49" s="34" t="s">
        <v>373</v>
      </c>
      <c r="D49" s="25">
        <v>0.15</v>
      </c>
      <c r="E49" s="49">
        <f t="shared" ref="E49:AH49" ca="1" si="42">IF(E48&gt;0,E48*$D49*-1,0)</f>
        <v>0</v>
      </c>
      <c r="F49" s="49">
        <f t="shared" ca="1" si="42"/>
        <v>-5056606.4086928191</v>
      </c>
      <c r="G49" s="49">
        <f t="shared" ca="1" si="42"/>
        <v>-8327034.9869862869</v>
      </c>
      <c r="H49" s="49">
        <f t="shared" ca="1" si="42"/>
        <v>-7896575.6236660164</v>
      </c>
      <c r="I49" s="49">
        <f t="shared" ca="1" si="42"/>
        <v>-14810977.599308589</v>
      </c>
      <c r="J49" s="49">
        <f t="shared" ca="1" si="42"/>
        <v>-15243938.036036208</v>
      </c>
      <c r="K49" s="49">
        <f t="shared" ca="1" si="42"/>
        <v>-20745787.824759793</v>
      </c>
      <c r="L49" s="49">
        <f t="shared" ca="1" si="42"/>
        <v>-21990182.879128281</v>
      </c>
      <c r="M49" s="49">
        <f t="shared" ca="1" si="42"/>
        <v>-23762773.041622352</v>
      </c>
      <c r="N49" s="49">
        <f t="shared" ca="1" si="42"/>
        <v>-25728937.473894425</v>
      </c>
      <c r="O49" s="49">
        <f t="shared" ca="1" si="42"/>
        <v>-27729800.709315039</v>
      </c>
      <c r="P49" s="49">
        <f t="shared" ca="1" si="42"/>
        <v>-30167349.080227353</v>
      </c>
      <c r="Q49" s="49">
        <f t="shared" ca="1" si="42"/>
        <v>-32662944.712888353</v>
      </c>
      <c r="R49" s="49">
        <f t="shared" ca="1" si="42"/>
        <v>-35445298.854801103</v>
      </c>
      <c r="S49" s="49">
        <f t="shared" ca="1" si="42"/>
        <v>-33161836.323731132</v>
      </c>
      <c r="T49" s="49">
        <f t="shared" ca="1" si="42"/>
        <v>-38018619.468499005</v>
      </c>
      <c r="U49" s="49">
        <f t="shared" ca="1" si="42"/>
        <v>-38534103.493423626</v>
      </c>
      <c r="V49" s="49">
        <f t="shared" ca="1" si="42"/>
        <v>-39153221.76407557</v>
      </c>
      <c r="W49" s="49">
        <f t="shared" ca="1" si="42"/>
        <v>-40626269.828233518</v>
      </c>
      <c r="X49" s="49">
        <f t="shared" ca="1" si="42"/>
        <v>-43987821.748493239</v>
      </c>
      <c r="Y49" s="49">
        <f t="shared" ca="1" si="42"/>
        <v>-46365454.795799553</v>
      </c>
      <c r="Z49" s="49">
        <f t="shared" ca="1" si="42"/>
        <v>-49766852.900432564</v>
      </c>
      <c r="AA49" s="49">
        <f t="shared" ca="1" si="42"/>
        <v>-52126237.513204001</v>
      </c>
      <c r="AB49" s="49">
        <f t="shared" ca="1" si="42"/>
        <v>-53972867.132753186</v>
      </c>
      <c r="AC49" s="49">
        <f t="shared" ca="1" si="42"/>
        <v>-53745412.308798417</v>
      </c>
      <c r="AD49" s="49">
        <f t="shared" ca="1" si="42"/>
        <v>-53179754.3413774</v>
      </c>
      <c r="AE49" s="49">
        <f t="shared" ca="1" si="42"/>
        <v>-53733371.505474456</v>
      </c>
      <c r="AF49" s="49">
        <f t="shared" ca="1" si="42"/>
        <v>-55103683.655048944</v>
      </c>
      <c r="AG49" s="49">
        <f t="shared" ca="1" si="42"/>
        <v>-52659611.741046667</v>
      </c>
      <c r="AH49" s="49">
        <f t="shared" ca="1" si="42"/>
        <v>-40190716.856581934</v>
      </c>
    </row>
    <row r="50" spans="2:34">
      <c r="B50" s="33" t="s">
        <v>374</v>
      </c>
      <c r="C50" s="34" t="s">
        <v>375</v>
      </c>
      <c r="D50" s="25">
        <v>0.1</v>
      </c>
      <c r="E50" s="49">
        <f t="shared" ref="E50:AH50" ca="1" si="43">IF(E48-(20000*12)&gt;0,(E48-(20000*12))*$D50*-1,0)</f>
        <v>0</v>
      </c>
      <c r="F50" s="49">
        <f t="shared" ca="1" si="43"/>
        <v>-3347070.9391285465</v>
      </c>
      <c r="G50" s="49">
        <f t="shared" ca="1" si="43"/>
        <v>-5527356.657990858</v>
      </c>
      <c r="H50" s="49">
        <f t="shared" ca="1" si="43"/>
        <v>-5240383.7491106782</v>
      </c>
      <c r="I50" s="49">
        <f t="shared" ca="1" si="43"/>
        <v>-9849985.0662057269</v>
      </c>
      <c r="J50" s="49">
        <f t="shared" ca="1" si="43"/>
        <v>-10138625.357357472</v>
      </c>
      <c r="K50" s="49">
        <f t="shared" ca="1" si="43"/>
        <v>-13806525.21650653</v>
      </c>
      <c r="L50" s="49">
        <f t="shared" ca="1" si="43"/>
        <v>-14636121.919418855</v>
      </c>
      <c r="M50" s="49">
        <f t="shared" ca="1" si="43"/>
        <v>-15817848.694414902</v>
      </c>
      <c r="N50" s="49">
        <f t="shared" ca="1" si="43"/>
        <v>-17128624.982596286</v>
      </c>
      <c r="O50" s="49">
        <f t="shared" ca="1" si="43"/>
        <v>-18462533.806210026</v>
      </c>
      <c r="P50" s="49">
        <f t="shared" ca="1" si="43"/>
        <v>-20087566.053484902</v>
      </c>
      <c r="Q50" s="49">
        <f t="shared" ca="1" si="43"/>
        <v>-21751296.475258902</v>
      </c>
      <c r="R50" s="49">
        <f t="shared" ca="1" si="43"/>
        <v>-23606199.23653407</v>
      </c>
      <c r="S50" s="49">
        <f t="shared" ca="1" si="43"/>
        <v>-22083890.882487424</v>
      </c>
      <c r="T50" s="49">
        <f t="shared" ca="1" si="43"/>
        <v>-25321746.312332675</v>
      </c>
      <c r="U50" s="49">
        <f t="shared" ca="1" si="43"/>
        <v>-25665402.328949086</v>
      </c>
      <c r="V50" s="49">
        <f t="shared" ca="1" si="43"/>
        <v>-26078147.842717052</v>
      </c>
      <c r="W50" s="49">
        <f t="shared" ca="1" si="43"/>
        <v>-27060179.885489013</v>
      </c>
      <c r="X50" s="49">
        <f t="shared" ca="1" si="43"/>
        <v>-29301214.498995498</v>
      </c>
      <c r="Y50" s="49">
        <f t="shared" ca="1" si="43"/>
        <v>-30886303.197199702</v>
      </c>
      <c r="Z50" s="49">
        <f t="shared" ca="1" si="43"/>
        <v>-33153901.933621712</v>
      </c>
      <c r="AA50" s="49">
        <f t="shared" ca="1" si="43"/>
        <v>-34726825.008802675</v>
      </c>
      <c r="AB50" s="49">
        <f t="shared" ca="1" si="43"/>
        <v>-35957911.42183546</v>
      </c>
      <c r="AC50" s="49">
        <f t="shared" ca="1" si="43"/>
        <v>-35806274.872532278</v>
      </c>
      <c r="AD50" s="49">
        <f t="shared" ca="1" si="43"/>
        <v>-35429169.560918264</v>
      </c>
      <c r="AE50" s="49">
        <f t="shared" ca="1" si="43"/>
        <v>-35798247.670316301</v>
      </c>
      <c r="AF50" s="49">
        <f t="shared" ca="1" si="43"/>
        <v>-36711789.103365965</v>
      </c>
      <c r="AG50" s="49">
        <f t="shared" ca="1" si="43"/>
        <v>-35082407.827364445</v>
      </c>
      <c r="AH50" s="49">
        <f t="shared" ca="1" si="43"/>
        <v>-26769811.23772129</v>
      </c>
    </row>
    <row r="51" spans="2:34">
      <c r="B51" s="33" t="s">
        <v>376</v>
      </c>
      <c r="C51" s="34" t="s">
        <v>377</v>
      </c>
      <c r="D51" s="25">
        <v>0.09</v>
      </c>
      <c r="E51" s="49">
        <f t="shared" ref="E51:AH51" ca="1" si="44">IF(E48&gt;0,E48*$D51*-1,0)</f>
        <v>0</v>
      </c>
      <c r="F51" s="49">
        <f t="shared" ca="1" si="44"/>
        <v>-3033963.8452156917</v>
      </c>
      <c r="G51" s="49">
        <f t="shared" ca="1" si="44"/>
        <v>-4996220.992191772</v>
      </c>
      <c r="H51" s="49">
        <f t="shared" ca="1" si="44"/>
        <v>-4737945.3741996102</v>
      </c>
      <c r="I51" s="49">
        <f t="shared" ca="1" si="44"/>
        <v>-8886586.5595851541</v>
      </c>
      <c r="J51" s="49">
        <f t="shared" ca="1" si="44"/>
        <v>-9146362.8216217253</v>
      </c>
      <c r="K51" s="49">
        <f t="shared" ca="1" si="44"/>
        <v>-12447472.694855876</v>
      </c>
      <c r="L51" s="49">
        <f t="shared" ca="1" si="44"/>
        <v>-13194109.727476967</v>
      </c>
      <c r="M51" s="49">
        <f t="shared" ca="1" si="44"/>
        <v>-14257663.824973412</v>
      </c>
      <c r="N51" s="49">
        <f t="shared" ca="1" si="44"/>
        <v>-15437362.484336656</v>
      </c>
      <c r="O51" s="49">
        <f t="shared" ca="1" si="44"/>
        <v>-16637880.425589023</v>
      </c>
      <c r="P51" s="49">
        <f t="shared" ca="1" si="44"/>
        <v>-18100409.448136412</v>
      </c>
      <c r="Q51" s="49">
        <f t="shared" ca="1" si="44"/>
        <v>-19597766.82773301</v>
      </c>
      <c r="R51" s="49">
        <f t="shared" ca="1" si="44"/>
        <v>-21267179.312880661</v>
      </c>
      <c r="S51" s="49">
        <f t="shared" ca="1" si="44"/>
        <v>-19897101.794238679</v>
      </c>
      <c r="T51" s="49">
        <f t="shared" ca="1" si="44"/>
        <v>-22811171.681099404</v>
      </c>
      <c r="U51" s="49">
        <f t="shared" ca="1" si="44"/>
        <v>-23120462.096054174</v>
      </c>
      <c r="V51" s="49">
        <f t="shared" ca="1" si="44"/>
        <v>-23491933.058445342</v>
      </c>
      <c r="W51" s="49">
        <f t="shared" ca="1" si="44"/>
        <v>-24375761.896940108</v>
      </c>
      <c r="X51" s="49">
        <f t="shared" ca="1" si="44"/>
        <v>-26392693.049095944</v>
      </c>
      <c r="Y51" s="49">
        <f t="shared" ca="1" si="44"/>
        <v>-27819272.877479732</v>
      </c>
      <c r="Z51" s="49">
        <f t="shared" ca="1" si="44"/>
        <v>-29860111.740259539</v>
      </c>
      <c r="AA51" s="49">
        <f t="shared" ca="1" si="44"/>
        <v>-31275742.507922404</v>
      </c>
      <c r="AB51" s="49">
        <f t="shared" ca="1" si="44"/>
        <v>-32383720.27965191</v>
      </c>
      <c r="AC51" s="49">
        <f t="shared" ca="1" si="44"/>
        <v>-32247247.385279048</v>
      </c>
      <c r="AD51" s="49">
        <f t="shared" ca="1" si="44"/>
        <v>-31907852.604826439</v>
      </c>
      <c r="AE51" s="49">
        <f t="shared" ca="1" si="44"/>
        <v>-32240022.903284673</v>
      </c>
      <c r="AF51" s="49">
        <f t="shared" ca="1" si="44"/>
        <v>-33062210.193029366</v>
      </c>
      <c r="AG51" s="49">
        <f t="shared" ca="1" si="44"/>
        <v>-31595767.044627998</v>
      </c>
      <c r="AH51" s="49">
        <f t="shared" ca="1" si="44"/>
        <v>-24114430.113949157</v>
      </c>
    </row>
    <row r="52" spans="2:34">
      <c r="B52" s="65" t="s">
        <v>378</v>
      </c>
      <c r="C52" s="227" t="s">
        <v>379</v>
      </c>
      <c r="D52" s="137" t="s">
        <v>341</v>
      </c>
      <c r="E52" s="66">
        <f ca="1">E44+SUM(E49:E51)</f>
        <v>-58264684.92912741</v>
      </c>
      <c r="F52" s="66">
        <f ca="1">F44+SUM(F49:F51)+(E43/(1+'Painel Controle'!D149)*(1+'Painel Controle'!E149))</f>
        <v>36720515.080227889</v>
      </c>
      <c r="G52" s="66">
        <f ca="1">G44+SUM(G49:G51)+(F43/(1+'Painel Controle'!E149)*(1+'Painel Controle'!F149))</f>
        <v>51460196.465984344</v>
      </c>
      <c r="H52" s="66">
        <f ca="1">H44+SUM(H49:H51)+(G43/(1+'Painel Controle'!F149)*(1+'Painel Controle'!G149))</f>
        <v>40170125.861202329</v>
      </c>
      <c r="I52" s="66">
        <f ca="1">I44+SUM(I49:I51)+(H43/(1+'Painel Controle'!G149)*(1+'Painel Controle'!H149))</f>
        <v>42938778.703521341</v>
      </c>
      <c r="J52" s="66">
        <f ca="1">J44+SUM(J49:J51)+(I43/(1+'Painel Controle'!H149)*(1+'Painel Controle'!I149))</f>
        <v>33045668.321363531</v>
      </c>
      <c r="K52" s="66">
        <f ca="1">K44+SUM(K49:K51)+(J43/(1+'Painel Controle'!I149)*(1+'Painel Controle'!J149))</f>
        <v>46231020.194355942</v>
      </c>
      <c r="L52" s="66">
        <f ca="1">L44+SUM(L49:L51)+(K43/(1+'Painel Controle'!J149)*(1+'Painel Controle'!K149))</f>
        <v>53509336.282960758</v>
      </c>
      <c r="M52" s="66">
        <f ca="1">M44+SUM(M49:M51)+(L43/(1+'Painel Controle'!K149)*(1+'Painel Controle'!L149))</f>
        <v>63111710.847318165</v>
      </c>
      <c r="N52" s="66">
        <f ca="1">N44+SUM(N49:N51)+(M43/(1+'Painel Controle'!L149)*(1+'Painel Controle'!M149))</f>
        <v>73651747.433137253</v>
      </c>
      <c r="O52" s="66">
        <f ca="1">O44+SUM(O49:O51)+(N43/(1+'Painel Controle'!M149)*(1+'Painel Controle'!N149))</f>
        <v>84382925.246045291</v>
      </c>
      <c r="P52" s="66">
        <f ca="1">P44+SUM(P49:P51)+(O43/(1+'Painel Controle'!N149)*(1+'Painel Controle'!O149))</f>
        <v>96959907.895080879</v>
      </c>
      <c r="Q52" s="66">
        <f ca="1">Q44+SUM(Q49:Q51)+(P43/(1+'Painel Controle'!O149)*(1+'Painel Controle'!P149))</f>
        <v>109796855.76880479</v>
      </c>
      <c r="R52" s="66">
        <f ca="1">R44+SUM(R49:R51)+(Q43/(1+'Painel Controle'!P149)*(1+'Painel Controle'!Q149))</f>
        <v>123900114.54422981</v>
      </c>
      <c r="S52" s="66">
        <f ca="1">S44+SUM(S49:S51)+(R43/(1+'Painel Controle'!Q149)*(1+'Painel Controle'!R149))</f>
        <v>115718316.21616523</v>
      </c>
      <c r="T52" s="66">
        <f ca="1">T44+SUM(T49:T51)+(S43/(1+'Painel Controle'!R149)*(1+'Painel Controle'!S149))</f>
        <v>138788786.16735566</v>
      </c>
      <c r="U52" s="66">
        <f ca="1">U44+SUM(U49:U51)+(T43/(1+'Painel Controle'!S149)*(1+'Painel Controle'!T149))</f>
        <v>142922326.96791229</v>
      </c>
      <c r="V52" s="66">
        <f ca="1">V44+SUM(V49:V51)+(U43/(1+'Painel Controle'!T149)*(1+'Painel Controle'!U149))</f>
        <v>147515995.08941031</v>
      </c>
      <c r="W52" s="66">
        <f ca="1">W44+SUM(W49:W51)+(V43/(1+'Painel Controle'!U149)*(1+'Painel Controle'!V149))</f>
        <v>155870984.66431701</v>
      </c>
      <c r="X52" s="66">
        <f ca="1">X44+SUM(X49:X51)+(W43/(1+'Painel Controle'!V149)*(1+'Painel Controle'!W149))</f>
        <v>172539288.11383343</v>
      </c>
      <c r="Y52" s="66">
        <f ca="1">Y44+SUM(Y49:Y51)+(X43/(1+'Painel Controle'!W149)*(1+'Painel Controle'!X149))</f>
        <v>184882071.95923743</v>
      </c>
      <c r="Z52" s="66">
        <f ca="1">Z44+SUM(Z49:Z51)+(Y43/(1+'Painel Controle'!X149)*(1+'Painel Controle'!Y149))</f>
        <v>201732957.02525204</v>
      </c>
      <c r="AA52" s="66">
        <f ca="1">AA44+SUM(AA49:AA51)+(Z43/(1+'Painel Controle'!Y149)*(1+'Painel Controle'!Z149))</f>
        <v>214002315.86503676</v>
      </c>
      <c r="AB52" s="66">
        <f ca="1">AB44+SUM(AB49:AB51)+(AA43/(1+'Painel Controle'!Z149)*(1+'Painel Controle'!AA149))</f>
        <v>224018644.50711143</v>
      </c>
      <c r="AC52" s="66">
        <f ca="1">AC44+SUM(AC49:AC51)+(AB43/(1+'Painel Controle'!AA149)*(1+'Painel Controle'!AB149))</f>
        <v>224911815.26061025</v>
      </c>
      <c r="AD52" s="66">
        <f ca="1">AD44+SUM(AD49:AD51)+(AC43/(1+'Painel Controle'!AB149)*(1+'Painel Controle'!AC149))</f>
        <v>224319407.59229478</v>
      </c>
      <c r="AE52" s="66">
        <f ca="1">AE44+SUM(AE49:AE51)+(AD43/(1+'Painel Controle'!AC149)*(1+'Painel Controle'!AD149))</f>
        <v>228653990.21977195</v>
      </c>
      <c r="AF52" s="66">
        <f ca="1">AF44+SUM(AF49:AF51)+(AE43/(1+'Painel Controle'!AD149)*(1+'Painel Controle'!AE149))</f>
        <v>236583809.35999376</v>
      </c>
      <c r="AG52" s="66">
        <f ca="1">AG44+SUM(AG49:AG51)+(AF43/(1+'Painel Controle'!AE149)*(1+'Painel Controle'!AF149))</f>
        <v>227731670.72002953</v>
      </c>
      <c r="AH52" s="66">
        <f ca="1">AH44+SUM(AH49:AH51)+(AG43/(1+'Painel Controle'!AF149)*(1+'Painel Controle'!AG149))</f>
        <v>174771161.2476432</v>
      </c>
    </row>
    <row r="53" spans="2:34">
      <c r="B53" s="27" t="s">
        <v>380</v>
      </c>
      <c r="C53" s="137" t="s">
        <v>341</v>
      </c>
      <c r="D53" s="137" t="s">
        <v>341</v>
      </c>
      <c r="E53" s="145">
        <f ca="1">E52</f>
        <v>-58264684.92912741</v>
      </c>
      <c r="F53" s="145">
        <f ca="1">F52+E53</f>
        <v>-21544169.848899521</v>
      </c>
      <c r="G53" s="145">
        <f t="shared" ref="G53:AH53" ca="1" si="45">G52+F53</f>
        <v>29916026.617084824</v>
      </c>
      <c r="H53" s="145">
        <f t="shared" ca="1" si="45"/>
        <v>70086152.47828716</v>
      </c>
      <c r="I53" s="145">
        <f t="shared" ca="1" si="45"/>
        <v>113024931.1818085</v>
      </c>
      <c r="J53" s="145">
        <f t="shared" ca="1" si="45"/>
        <v>146070599.50317204</v>
      </c>
      <c r="K53" s="145">
        <f t="shared" ca="1" si="45"/>
        <v>192301619.69752797</v>
      </c>
      <c r="L53" s="145">
        <f t="shared" ca="1" si="45"/>
        <v>245810955.98048872</v>
      </c>
      <c r="M53" s="145">
        <f t="shared" ca="1" si="45"/>
        <v>308922666.82780689</v>
      </c>
      <c r="N53" s="145">
        <f t="shared" ca="1" si="45"/>
        <v>382574414.26094413</v>
      </c>
      <c r="O53" s="145">
        <f t="shared" ca="1" si="45"/>
        <v>466957339.50698942</v>
      </c>
      <c r="P53" s="145">
        <f t="shared" ca="1" si="45"/>
        <v>563917247.40207028</v>
      </c>
      <c r="Q53" s="145">
        <f t="shared" ca="1" si="45"/>
        <v>673714103.17087507</v>
      </c>
      <c r="R53" s="145">
        <f t="shared" ca="1" si="45"/>
        <v>797614217.71510482</v>
      </c>
      <c r="S53" s="145">
        <f t="shared" ca="1" si="45"/>
        <v>913332533.93127</v>
      </c>
      <c r="T53" s="145">
        <f t="shared" ca="1" si="45"/>
        <v>1052121320.0986257</v>
      </c>
      <c r="U53" s="145">
        <f t="shared" ca="1" si="45"/>
        <v>1195043647.0665379</v>
      </c>
      <c r="V53" s="145">
        <f t="shared" ca="1" si="45"/>
        <v>1342559642.1559482</v>
      </c>
      <c r="W53" s="145">
        <f t="shared" ca="1" si="45"/>
        <v>1498430626.8202653</v>
      </c>
      <c r="X53" s="145">
        <f t="shared" ca="1" si="45"/>
        <v>1670969914.9340987</v>
      </c>
      <c r="Y53" s="145">
        <f t="shared" ca="1" si="45"/>
        <v>1855851986.8933361</v>
      </c>
      <c r="Z53" s="145">
        <f t="shared" ca="1" si="45"/>
        <v>2057584943.9185882</v>
      </c>
      <c r="AA53" s="145">
        <f t="shared" ca="1" si="45"/>
        <v>2271587259.7836251</v>
      </c>
      <c r="AB53" s="145">
        <f t="shared" ca="1" si="45"/>
        <v>2495605904.2907367</v>
      </c>
      <c r="AC53" s="145">
        <f t="shared" ca="1" si="45"/>
        <v>2720517719.5513468</v>
      </c>
      <c r="AD53" s="145">
        <f t="shared" ca="1" si="45"/>
        <v>2944837127.1436415</v>
      </c>
      <c r="AE53" s="145">
        <f t="shared" ca="1" si="45"/>
        <v>3173491117.3634133</v>
      </c>
      <c r="AF53" s="145">
        <f t="shared" ca="1" si="45"/>
        <v>3410074926.7234073</v>
      </c>
      <c r="AG53" s="145">
        <f t="shared" ca="1" si="45"/>
        <v>3637806597.4434366</v>
      </c>
      <c r="AH53" s="145">
        <f t="shared" ca="1" si="45"/>
        <v>3812577758.6910796</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BDEF9-BC7E-4B6E-8DD6-21CD70819E91}">
  <sheetPr>
    <tabColor rgb="FF2A6099"/>
  </sheetPr>
  <dimension ref="B1:AI66"/>
  <sheetViews>
    <sheetView showGridLines="0" zoomScale="90" zoomScaleNormal="90" workbookViewId="0">
      <selection activeCell="E33" sqref="E33"/>
    </sheetView>
  </sheetViews>
  <sheetFormatPr defaultColWidth="14.28515625" defaultRowHeight="12.75"/>
  <cols>
    <col min="1" max="1" width="2.42578125" customWidth="1"/>
    <col min="2" max="2" width="79" customWidth="1"/>
    <col min="3" max="3" width="57.42578125" customWidth="1"/>
    <col min="4" max="4" width="17.42578125" customWidth="1"/>
    <col min="5" max="17" width="17.85546875" bestFit="1" customWidth="1"/>
    <col min="18" max="34" width="19.42578125" bestFit="1" customWidth="1"/>
    <col min="35" max="35" width="19.42578125" customWidth="1"/>
    <col min="36" max="969" width="9.140625"/>
    <col min="970" max="1024" width="11.42578125" customWidth="1"/>
  </cols>
  <sheetData>
    <row r="1" spans="2:35">
      <c r="E1" s="3"/>
    </row>
    <row r="2" spans="2:35"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5">
      <c r="B3" s="2" t="s">
        <v>381</v>
      </c>
      <c r="E3" s="3"/>
      <c r="F3" s="3"/>
      <c r="G3" s="3"/>
    </row>
    <row r="4" spans="2:35">
      <c r="B4" s="48" t="str" cm="1">
        <f t="array" ref="B4:B53">'DRE Nominal'!B4:B53</f>
        <v>Conta</v>
      </c>
      <c r="C4" s="48" t="str" cm="1">
        <f t="array" ref="C4:C53">'DRE Nominal'!C4:C53</f>
        <v>Observação</v>
      </c>
      <c r="D4" s="48" t="str" cm="1">
        <f t="array" ref="D4:D53">'DRE Nominal'!D4:D53</f>
        <v>Alíquota Incidente</v>
      </c>
      <c r="E4" s="48" t="str">
        <f>"Ano "&amp;E2</f>
        <v>Ano 1</v>
      </c>
      <c r="F4" s="48" t="str">
        <f t="shared" ref="F4:AH4" si="0">"Ano "&amp;F2</f>
        <v>Ano 2</v>
      </c>
      <c r="G4" s="48" t="str">
        <f t="shared" si="0"/>
        <v>Ano 3</v>
      </c>
      <c r="H4" s="48" t="str">
        <f t="shared" si="0"/>
        <v>Ano 4</v>
      </c>
      <c r="I4" s="48" t="str">
        <f t="shared" si="0"/>
        <v>Ano 5</v>
      </c>
      <c r="J4" s="48" t="str">
        <f t="shared" si="0"/>
        <v>Ano 6</v>
      </c>
      <c r="K4" s="48" t="str">
        <f t="shared" si="0"/>
        <v>Ano 7</v>
      </c>
      <c r="L4" s="48" t="str">
        <f t="shared" si="0"/>
        <v>Ano 8</v>
      </c>
      <c r="M4" s="48" t="str">
        <f t="shared" si="0"/>
        <v>Ano 9</v>
      </c>
      <c r="N4" s="48" t="str">
        <f t="shared" si="0"/>
        <v>Ano 10</v>
      </c>
      <c r="O4" s="48" t="str">
        <f t="shared" si="0"/>
        <v>Ano 11</v>
      </c>
      <c r="P4" s="48" t="str">
        <f t="shared" si="0"/>
        <v>Ano 12</v>
      </c>
      <c r="Q4" s="48" t="str">
        <f t="shared" si="0"/>
        <v>Ano 13</v>
      </c>
      <c r="R4" s="48" t="str">
        <f t="shared" si="0"/>
        <v>Ano 14</v>
      </c>
      <c r="S4" s="48" t="str">
        <f t="shared" si="0"/>
        <v>Ano 15</v>
      </c>
      <c r="T4" s="48" t="str">
        <f t="shared" si="0"/>
        <v>Ano 16</v>
      </c>
      <c r="U4" s="48" t="str">
        <f t="shared" si="0"/>
        <v>Ano 17</v>
      </c>
      <c r="V4" s="48" t="str">
        <f t="shared" si="0"/>
        <v>Ano 18</v>
      </c>
      <c r="W4" s="48" t="str">
        <f t="shared" si="0"/>
        <v>Ano 19</v>
      </c>
      <c r="X4" s="48" t="str">
        <f t="shared" si="0"/>
        <v>Ano 20</v>
      </c>
      <c r="Y4" s="48" t="str">
        <f t="shared" si="0"/>
        <v>Ano 21</v>
      </c>
      <c r="Z4" s="48" t="str">
        <f t="shared" si="0"/>
        <v>Ano 22</v>
      </c>
      <c r="AA4" s="48" t="str">
        <f t="shared" si="0"/>
        <v>Ano 23</v>
      </c>
      <c r="AB4" s="48" t="str">
        <f t="shared" si="0"/>
        <v>Ano 24</v>
      </c>
      <c r="AC4" s="48" t="str">
        <f t="shared" si="0"/>
        <v>Ano 25</v>
      </c>
      <c r="AD4" s="48" t="str">
        <f t="shared" si="0"/>
        <v>Ano 26</v>
      </c>
      <c r="AE4" s="48" t="str">
        <f t="shared" si="0"/>
        <v>Ano 27</v>
      </c>
      <c r="AF4" s="48" t="str">
        <f t="shared" si="0"/>
        <v>Ano 28</v>
      </c>
      <c r="AG4" s="48" t="str">
        <f t="shared" si="0"/>
        <v>Ano 29</v>
      </c>
      <c r="AH4" s="48" t="str">
        <f t="shared" si="0"/>
        <v>Ano 30</v>
      </c>
      <c r="AI4" s="383" t="s">
        <v>106</v>
      </c>
    </row>
    <row r="5" spans="2:35">
      <c r="B5" s="102" t="str">
        <v>Receita Tarifária Bruta</v>
      </c>
      <c r="C5" s="108" t="str">
        <v/>
      </c>
      <c r="D5" s="108" t="str">
        <v/>
      </c>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32"/>
    </row>
    <row r="6" spans="2:35">
      <c r="B6" s="103" t="str">
        <v xml:space="preserve">Nova Lima </v>
      </c>
      <c r="C6" s="108" t="str">
        <v/>
      </c>
      <c r="D6" s="108" t="str">
        <v/>
      </c>
      <c r="E6" s="49" cm="1">
        <f t="array" aca="1" ref="E6:AH16" ca="1">'DRE Nominal'!E6:AH16 / (1+'Painel Controle'!D$149:AG$149)</f>
        <v>0</v>
      </c>
      <c r="F6" s="49">
        <f ca="1"/>
        <v>11526436.486749668</v>
      </c>
      <c r="G6" s="49">
        <f ca="1"/>
        <v>15561717.272769378</v>
      </c>
      <c r="H6" s="49">
        <f ca="1"/>
        <v>15805727.63437405</v>
      </c>
      <c r="I6" s="49">
        <f ca="1"/>
        <v>22519044.229105487</v>
      </c>
      <c r="J6" s="49">
        <f ca="1"/>
        <v>23019331.480538432</v>
      </c>
      <c r="K6" s="49">
        <f ca="1"/>
        <v>23538542.604940284</v>
      </c>
      <c r="L6" s="49">
        <f ca="1"/>
        <v>24073478.158738084</v>
      </c>
      <c r="M6" s="49">
        <f ca="1"/>
        <v>24687408.920892034</v>
      </c>
      <c r="N6" s="49">
        <f ca="1"/>
        <v>25384688.912943233</v>
      </c>
      <c r="O6" s="49">
        <f ca="1"/>
        <v>26098889.489717335</v>
      </c>
      <c r="P6" s="49">
        <f ca="1"/>
        <v>26828147.154607799</v>
      </c>
      <c r="Q6" s="49">
        <f ca="1"/>
        <v>27533366.621861059</v>
      </c>
      <c r="R6" s="49">
        <f ca="1"/>
        <v>28210278.552310783</v>
      </c>
      <c r="S6" s="49">
        <f ca="1"/>
        <v>28854494.246044066</v>
      </c>
      <c r="T6" s="49">
        <f ca="1"/>
        <v>29461855.374060538</v>
      </c>
      <c r="U6" s="49">
        <f ca="1"/>
        <v>30029446.838453457</v>
      </c>
      <c r="V6" s="49">
        <f ca="1"/>
        <v>30554823.225132991</v>
      </c>
      <c r="W6" s="49">
        <f ca="1"/>
        <v>31035372.757825296</v>
      </c>
      <c r="X6" s="49">
        <f ca="1"/>
        <v>31468933.060123913</v>
      </c>
      <c r="Y6" s="49">
        <f ca="1"/>
        <v>31853195.188526616</v>
      </c>
      <c r="Z6" s="49">
        <f ca="1"/>
        <v>32186496.676530384</v>
      </c>
      <c r="AA6" s="49">
        <f ca="1"/>
        <v>32467699.481054008</v>
      </c>
      <c r="AB6" s="49">
        <f ca="1"/>
        <v>32695450.466848258</v>
      </c>
      <c r="AC6" s="49">
        <f ca="1"/>
        <v>32868487.443878364</v>
      </c>
      <c r="AD6" s="49">
        <f ca="1"/>
        <v>32986074.823343799</v>
      </c>
      <c r="AE6" s="49">
        <f ca="1"/>
        <v>33047729.456413779</v>
      </c>
      <c r="AF6" s="49">
        <f ca="1"/>
        <v>33052696.131629687</v>
      </c>
      <c r="AG6" s="49">
        <f ca="1"/>
        <v>33000351.196589012</v>
      </c>
      <c r="AH6" s="429">
        <f ca="1"/>
        <v>32890320.291817665</v>
      </c>
      <c r="AI6" s="144">
        <f ca="1">SUM(E6:AH6)</f>
        <v>803240484.17781937</v>
      </c>
    </row>
    <row r="7" spans="2:35">
      <c r="B7" s="103" t="str">
        <v xml:space="preserve">Rio Acima </v>
      </c>
      <c r="C7" s="108" t="str">
        <v/>
      </c>
      <c r="D7" s="108" t="str">
        <v/>
      </c>
      <c r="E7" s="49">
        <f ca="1"/>
        <v>0</v>
      </c>
      <c r="F7" s="49">
        <f ca="1"/>
        <v>2445001.6790075051</v>
      </c>
      <c r="G7" s="49">
        <f ca="1"/>
        <v>3300970.3305874439</v>
      </c>
      <c r="H7" s="49">
        <f ca="1"/>
        <v>3352730.1042611622</v>
      </c>
      <c r="I7" s="49">
        <f ca="1"/>
        <v>4776766.9576890431</v>
      </c>
      <c r="J7" s="49">
        <f ca="1"/>
        <v>4882888.4958717888</v>
      </c>
      <c r="K7" s="49">
        <f ca="1"/>
        <v>4993024.1889267266</v>
      </c>
      <c r="L7" s="49">
        <f ca="1"/>
        <v>5106495.3670050493</v>
      </c>
      <c r="M7" s="49">
        <f ca="1"/>
        <v>5236723.1044316432</v>
      </c>
      <c r="N7" s="49">
        <f ca="1"/>
        <v>5384630.9815334138</v>
      </c>
      <c r="O7" s="49">
        <f ca="1"/>
        <v>5536128.0735764047</v>
      </c>
      <c r="P7" s="49">
        <f ca="1"/>
        <v>5690819.0934016565</v>
      </c>
      <c r="Q7" s="49">
        <f ca="1"/>
        <v>5840411.1016068924</v>
      </c>
      <c r="R7" s="49">
        <f ca="1"/>
        <v>5983998.4807931976</v>
      </c>
      <c r="S7" s="49">
        <f ca="1"/>
        <v>6120650.2946154084</v>
      </c>
      <c r="T7" s="49">
        <f ca="1"/>
        <v>6249484.4732855689</v>
      </c>
      <c r="U7" s="49">
        <f ca="1"/>
        <v>6369882.6627022484</v>
      </c>
      <c r="V7" s="49">
        <f ca="1"/>
        <v>6481326.1386645744</v>
      </c>
      <c r="W7" s="49">
        <f ca="1"/>
        <v>6583260.8880235478</v>
      </c>
      <c r="X7" s="49">
        <f ca="1"/>
        <v>6675228.2248747693</v>
      </c>
      <c r="Y7" s="49">
        <f ca="1"/>
        <v>6756738.373323828</v>
      </c>
      <c r="Z7" s="49">
        <f ca="1"/>
        <v>6827438.6889609909</v>
      </c>
      <c r="AA7" s="49">
        <f ca="1"/>
        <v>6887087.7687084256</v>
      </c>
      <c r="AB7" s="49">
        <f ca="1"/>
        <v>6935398.5838769032</v>
      </c>
      <c r="AC7" s="49">
        <f ca="1"/>
        <v>6972103.3971863203</v>
      </c>
      <c r="AD7" s="49">
        <f ca="1"/>
        <v>6997046.1746486854</v>
      </c>
      <c r="AE7" s="49">
        <f ca="1"/>
        <v>7010124.4301483771</v>
      </c>
      <c r="AF7" s="49">
        <f ca="1"/>
        <v>7011177.967315387</v>
      </c>
      <c r="AG7" s="49">
        <f ca="1"/>
        <v>7000074.4962461554</v>
      </c>
      <c r="AH7" s="429">
        <f ca="1"/>
        <v>6976734.6073552622</v>
      </c>
      <c r="AI7" s="144">
        <f t="shared" ref="AI7:AI16" ca="1" si="1">SUM(E7:AH7)</f>
        <v>170384345.12862834</v>
      </c>
    </row>
    <row r="8" spans="2:35">
      <c r="B8" s="103" t="str">
        <v xml:space="preserve">Itabirito </v>
      </c>
      <c r="C8" s="108" t="str">
        <v/>
      </c>
      <c r="D8" s="108" t="str">
        <v/>
      </c>
      <c r="E8" s="49">
        <f ca="1"/>
        <v>0</v>
      </c>
      <c r="F8" s="49">
        <f ca="1"/>
        <v>19792870.734822661</v>
      </c>
      <c r="G8" s="49">
        <f ca="1"/>
        <v>26722140.771422166</v>
      </c>
      <c r="H8" s="49">
        <f ca="1"/>
        <v>27141148.463066552</v>
      </c>
      <c r="I8" s="49">
        <f ca="1"/>
        <v>38669065.847958922</v>
      </c>
      <c r="J8" s="49">
        <f ca="1"/>
        <v>39528144.966581151</v>
      </c>
      <c r="K8" s="49">
        <f ca="1"/>
        <v>40419719.624644935</v>
      </c>
      <c r="L8" s="49">
        <f ca="1"/>
        <v>41338295.828136116</v>
      </c>
      <c r="M8" s="49">
        <f ca="1"/>
        <v>42392520.369208544</v>
      </c>
      <c r="N8" s="49">
        <f ca="1"/>
        <v>43589869.850508586</v>
      </c>
      <c r="O8" s="49">
        <f ca="1"/>
        <v>44816274.8813328</v>
      </c>
      <c r="P8" s="49">
        <f ca="1"/>
        <v>46068535.518013403</v>
      </c>
      <c r="Q8" s="49">
        <f ca="1"/>
        <v>47279518.441579603</v>
      </c>
      <c r="R8" s="49">
        <f ca="1"/>
        <v>48441892.463563979</v>
      </c>
      <c r="S8" s="49">
        <f ca="1"/>
        <v>49548121.432600923</v>
      </c>
      <c r="T8" s="49">
        <f ca="1"/>
        <v>50591064.783740327</v>
      </c>
      <c r="U8" s="49">
        <f ca="1"/>
        <v>51565716.793303914</v>
      </c>
      <c r="V8" s="49">
        <f ca="1"/>
        <v>52467878.265379883</v>
      </c>
      <c r="W8" s="49">
        <f ca="1"/>
        <v>53293064.331619196</v>
      </c>
      <c r="X8" s="49">
        <f ca="1"/>
        <v>54037561.820414804</v>
      </c>
      <c r="Y8" s="49">
        <f ca="1"/>
        <v>54697405.87928813</v>
      </c>
      <c r="Z8" s="49">
        <f ca="1"/>
        <v>55269741.767779455</v>
      </c>
      <c r="AA8" s="49">
        <f ca="1"/>
        <v>55752615.270496778</v>
      </c>
      <c r="AB8" s="49">
        <f ca="1"/>
        <v>56143702.821860649</v>
      </c>
      <c r="AC8" s="49">
        <f ca="1"/>
        <v>56440837.024841644</v>
      </c>
      <c r="AD8" s="49">
        <f ca="1"/>
        <v>56642754.747156024</v>
      </c>
      <c r="AE8" s="49">
        <f ca="1"/>
        <v>56748626.339296386</v>
      </c>
      <c r="AF8" s="49">
        <f ca="1"/>
        <v>56757154.973505527</v>
      </c>
      <c r="AG8" s="49">
        <f ca="1"/>
        <v>56667269.731516495</v>
      </c>
      <c r="AH8" s="429">
        <f ca="1"/>
        <v>56478327.773828313</v>
      </c>
      <c r="AI8" s="144">
        <f t="shared" ca="1" si="1"/>
        <v>1379301841.5174675</v>
      </c>
    </row>
    <row r="9" spans="2:35">
      <c r="B9" s="103" t="str">
        <v xml:space="preserve">Ouro Preto </v>
      </c>
      <c r="C9" s="108" t="str">
        <v/>
      </c>
      <c r="D9" s="108" t="str">
        <v/>
      </c>
      <c r="E9" s="49">
        <f ca="1"/>
        <v>0</v>
      </c>
      <c r="F9" s="49">
        <f ca="1"/>
        <v>39832187.446630806</v>
      </c>
      <c r="G9" s="49">
        <f ca="1"/>
        <v>53796820.576596931</v>
      </c>
      <c r="H9" s="49">
        <f ca="1"/>
        <v>54668569.96796304</v>
      </c>
      <c r="I9" s="49">
        <f ca="1"/>
        <v>61643170.49588187</v>
      </c>
      <c r="J9" s="49">
        <f ca="1"/>
        <v>63041584.158452563</v>
      </c>
      <c r="K9" s="49">
        <f ca="1"/>
        <v>81553961.463453978</v>
      </c>
      <c r="L9" s="49">
        <f ca="1"/>
        <v>83450457.234021366</v>
      </c>
      <c r="M9" s="49">
        <f ca="1"/>
        <v>85606470.852194801</v>
      </c>
      <c r="N9" s="49">
        <f ca="1"/>
        <v>88063640.400742665</v>
      </c>
      <c r="O9" s="49">
        <f ca="1"/>
        <v>90594899.58203657</v>
      </c>
      <c r="P9" s="49">
        <f ca="1"/>
        <v>93194727.200900942</v>
      </c>
      <c r="Q9" s="49">
        <f ca="1"/>
        <v>95714220.593533009</v>
      </c>
      <c r="R9" s="49">
        <f ca="1"/>
        <v>98138100.454011977</v>
      </c>
      <c r="S9" s="49">
        <f ca="1"/>
        <v>100450621.21350123</v>
      </c>
      <c r="T9" s="49">
        <f ca="1"/>
        <v>102636821.48695353</v>
      </c>
      <c r="U9" s="49">
        <f ca="1"/>
        <v>104686090.96824022</v>
      </c>
      <c r="V9" s="49">
        <f ca="1"/>
        <v>106589472.08395803</v>
      </c>
      <c r="W9" s="49">
        <f ca="1"/>
        <v>108337420.10404159</v>
      </c>
      <c r="X9" s="49">
        <f ca="1"/>
        <v>109921957.39248326</v>
      </c>
      <c r="Y9" s="49">
        <f ca="1"/>
        <v>111334595.48386618</v>
      </c>
      <c r="Z9" s="49">
        <f ca="1"/>
        <v>112569120.50813696</v>
      </c>
      <c r="AA9" s="49">
        <f ca="1"/>
        <v>113621172.10842814</v>
      </c>
      <c r="AB9" s="49">
        <f ca="1"/>
        <v>114485648.59475794</v>
      </c>
      <c r="AC9" s="49">
        <f ca="1"/>
        <v>115157773.93127456</v>
      </c>
      <c r="AD9" s="49">
        <f ca="1"/>
        <v>115634628.86099964</v>
      </c>
      <c r="AE9" s="49">
        <f ca="1"/>
        <v>115914180.88175471</v>
      </c>
      <c r="AF9" s="49">
        <f ca="1"/>
        <v>115993439.8351059</v>
      </c>
      <c r="AG9" s="49">
        <f ca="1"/>
        <v>115869884.55435869</v>
      </c>
      <c r="AH9" s="429">
        <f ca="1"/>
        <v>115541883.8540429</v>
      </c>
      <c r="AI9" s="144">
        <f t="shared" ca="1" si="1"/>
        <v>2768043522.2883244</v>
      </c>
    </row>
    <row r="10" spans="2:35">
      <c r="B10" s="103" t="str">
        <v xml:space="preserve">Mariana </v>
      </c>
      <c r="C10" s="108" t="str">
        <v/>
      </c>
      <c r="D10" s="108" t="str">
        <v/>
      </c>
      <c r="E10" s="49">
        <f ca="1"/>
        <v>0</v>
      </c>
      <c r="F10" s="49">
        <f ca="1"/>
        <v>14293103.019126937</v>
      </c>
      <c r="G10" s="49">
        <f ca="1"/>
        <v>19308115.780141648</v>
      </c>
      <c r="H10" s="49">
        <f ca="1"/>
        <v>19626778.779745851</v>
      </c>
      <c r="I10" s="49">
        <f ca="1"/>
        <v>19989844.269498453</v>
      </c>
      <c r="J10" s="49">
        <f ca="1"/>
        <v>20448750.534764066</v>
      </c>
      <c r="K10" s="49">
        <f ca="1"/>
        <v>27042963.987610072</v>
      </c>
      <c r="L10" s="49">
        <f ca="1"/>
        <v>27677556.422472566</v>
      </c>
      <c r="M10" s="49">
        <f ca="1"/>
        <v>28393862.494871065</v>
      </c>
      <c r="N10" s="49">
        <f ca="1"/>
        <v>29211879.649882756</v>
      </c>
      <c r="O10" s="49">
        <f ca="1"/>
        <v>30057723.427880846</v>
      </c>
      <c r="P10" s="49">
        <f ca="1"/>
        <v>30929814.543642633</v>
      </c>
      <c r="Q10" s="49">
        <f ca="1"/>
        <v>31775991.423175167</v>
      </c>
      <c r="R10" s="49">
        <f ca="1"/>
        <v>32591130.191007927</v>
      </c>
      <c r="S10" s="49">
        <f ca="1"/>
        <v>33369941.259521231</v>
      </c>
      <c r="T10" s="49">
        <f ca="1"/>
        <v>34107389.293984897</v>
      </c>
      <c r="U10" s="49">
        <f ca="1"/>
        <v>34799881.273290634</v>
      </c>
      <c r="V10" s="49">
        <f ca="1"/>
        <v>35444372.545630008</v>
      </c>
      <c r="W10" s="49">
        <f ca="1"/>
        <v>36037620.738001965</v>
      </c>
      <c r="X10" s="49">
        <f ca="1"/>
        <v>36576900.606255703</v>
      </c>
      <c r="Y10" s="49">
        <f ca="1"/>
        <v>37059315.982483722</v>
      </c>
      <c r="Z10" s="49">
        <f ca="1"/>
        <v>37482726.25584577</v>
      </c>
      <c r="AA10" s="49">
        <f ca="1"/>
        <v>37845607.924175262</v>
      </c>
      <c r="AB10" s="49">
        <f ca="1"/>
        <v>38146192.193052575</v>
      </c>
      <c r="AC10" s="49">
        <f ca="1"/>
        <v>38382818.332982063</v>
      </c>
      <c r="AD10" s="49">
        <f ca="1"/>
        <v>38554443.187607542</v>
      </c>
      <c r="AE10" s="49">
        <f ca="1"/>
        <v>38660317.177082203</v>
      </c>
      <c r="AF10" s="49">
        <f ca="1"/>
        <v>38699370.421782076</v>
      </c>
      <c r="AG10" s="49">
        <f ca="1"/>
        <v>38670689.119431794</v>
      </c>
      <c r="AH10" s="429">
        <f ca="1"/>
        <v>38573657.177609414</v>
      </c>
      <c r="AI10" s="144">
        <f t="shared" ca="1" si="1"/>
        <v>923758758.01255679</v>
      </c>
    </row>
    <row r="11" spans="2:35">
      <c r="B11" s="103" t="str">
        <v xml:space="preserve">Acaiaca </v>
      </c>
      <c r="C11" s="108" t="str">
        <v/>
      </c>
      <c r="D11" s="108" t="str">
        <v/>
      </c>
      <c r="E11" s="49">
        <f ca="1"/>
        <v>0</v>
      </c>
      <c r="F11" s="49">
        <f ca="1"/>
        <v>2386579.1781135285</v>
      </c>
      <c r="G11" s="49">
        <f ca="1"/>
        <v>3224601.6249183202</v>
      </c>
      <c r="H11" s="49">
        <f ca="1"/>
        <v>3278753.4374962091</v>
      </c>
      <c r="I11" s="49">
        <f ca="1"/>
        <v>3340207.2630432085</v>
      </c>
      <c r="J11" s="49">
        <f ca="1"/>
        <v>3417160.0087402924</v>
      </c>
      <c r="K11" s="49">
        <f ca="1"/>
        <v>3498686.6690066638</v>
      </c>
      <c r="L11" s="49">
        <f ca="1"/>
        <v>3581023.7300166455</v>
      </c>
      <c r="M11" s="49">
        <f ca="1"/>
        <v>3672650.3403068744</v>
      </c>
      <c r="N11" s="49">
        <f ca="1"/>
        <v>3777604.691306775</v>
      </c>
      <c r="O11" s="49">
        <f ca="1"/>
        <v>3886834.479629219</v>
      </c>
      <c r="P11" s="49">
        <f ca="1"/>
        <v>4000202.88672528</v>
      </c>
      <c r="Q11" s="49">
        <f ca="1"/>
        <v>4110397.6711874455</v>
      </c>
      <c r="R11" s="49">
        <f ca="1"/>
        <v>4216756.866398368</v>
      </c>
      <c r="S11" s="49">
        <f ca="1"/>
        <v>4318594.7679547779</v>
      </c>
      <c r="T11" s="49">
        <f ca="1"/>
        <v>4415256.5676232176</v>
      </c>
      <c r="U11" s="49">
        <f ca="1"/>
        <v>4506271.2201676387</v>
      </c>
      <c r="V11" s="49">
        <f ca="1"/>
        <v>4591237.2743591545</v>
      </c>
      <c r="W11" s="49">
        <f ca="1"/>
        <v>4669726.8592506703</v>
      </c>
      <c r="X11" s="49">
        <f ca="1"/>
        <v>4741377.178209872</v>
      </c>
      <c r="Y11" s="49">
        <f ca="1"/>
        <v>4805802.7494260976</v>
      </c>
      <c r="Z11" s="49">
        <f ca="1"/>
        <v>4862714.4151071934</v>
      </c>
      <c r="AA11" s="49">
        <f ca="1"/>
        <v>4911901.9009555383</v>
      </c>
      <c r="AB11" s="49">
        <f ca="1"/>
        <v>4953123.2259876756</v>
      </c>
      <c r="AC11" s="49">
        <f ca="1"/>
        <v>4986149.8007266531</v>
      </c>
      <c r="AD11" s="49">
        <f ca="1"/>
        <v>5010831.9311627476</v>
      </c>
      <c r="AE11" s="49">
        <f ca="1"/>
        <v>5027056.9540262707</v>
      </c>
      <c r="AF11" s="49">
        <f ca="1"/>
        <v>5034670.3183191912</v>
      </c>
      <c r="AG11" s="49">
        <f ca="1"/>
        <v>5033537.1562106051</v>
      </c>
      <c r="AH11" s="429">
        <f ca="1"/>
        <v>5023560.824527665</v>
      </c>
      <c r="AI11" s="144">
        <f t="shared" ca="1" si="1"/>
        <v>123283271.99090378</v>
      </c>
    </row>
    <row r="12" spans="2:35">
      <c r="B12" s="103" t="str">
        <v xml:space="preserve">Ponte Nova </v>
      </c>
      <c r="C12" s="108" t="str">
        <v/>
      </c>
      <c r="D12" s="108" t="str">
        <v/>
      </c>
      <c r="E12" s="49">
        <f ca="1"/>
        <v>0</v>
      </c>
      <c r="F12" s="49">
        <f ca="1"/>
        <v>6330593.7995321602</v>
      </c>
      <c r="G12" s="49">
        <f ca="1"/>
        <v>8552706.8384372797</v>
      </c>
      <c r="H12" s="49">
        <f ca="1"/>
        <v>8695932.9830808416</v>
      </c>
      <c r="I12" s="49">
        <f ca="1"/>
        <v>8858587.6825384758</v>
      </c>
      <c r="J12" s="49">
        <f ca="1"/>
        <v>9062471.3751578182</v>
      </c>
      <c r="K12" s="49">
        <f ca="1"/>
        <v>9278913.6110433377</v>
      </c>
      <c r="L12" s="49">
        <f ca="1"/>
        <v>9497170.0578983128</v>
      </c>
      <c r="M12" s="49">
        <f ca="1"/>
        <v>9739758.9245673046</v>
      </c>
      <c r="N12" s="49">
        <f ca="1"/>
        <v>10018223.777136777</v>
      </c>
      <c r="O12" s="49">
        <f ca="1"/>
        <v>10308533.321671287</v>
      </c>
      <c r="P12" s="49">
        <f ca="1"/>
        <v>10610369.357799135</v>
      </c>
      <c r="Q12" s="49">
        <f ca="1"/>
        <v>10903863.233118907</v>
      </c>
      <c r="R12" s="49">
        <f ca="1"/>
        <v>11187252.157282589</v>
      </c>
      <c r="S12" s="49">
        <f ca="1"/>
        <v>11458709.228715654</v>
      </c>
      <c r="T12" s="49">
        <f ca="1"/>
        <v>14555469.480482299</v>
      </c>
      <c r="U12" s="49">
        <f ca="1"/>
        <v>14857365.532291446</v>
      </c>
      <c r="V12" s="49">
        <f ca="1"/>
        <v>15139380.73632068</v>
      </c>
      <c r="W12" s="49">
        <f ca="1"/>
        <v>15400093.134816892</v>
      </c>
      <c r="X12" s="49">
        <f ca="1"/>
        <v>15638294.952033332</v>
      </c>
      <c r="Y12" s="49">
        <f ca="1"/>
        <v>15852703.509745823</v>
      </c>
      <c r="Z12" s="49">
        <f ca="1"/>
        <v>16042353.867374288</v>
      </c>
      <c r="AA12" s="49">
        <f ca="1"/>
        <v>16206541.514571419</v>
      </c>
      <c r="AB12" s="49">
        <f ca="1"/>
        <v>16344457.600390783</v>
      </c>
      <c r="AC12" s="49">
        <f ca="1"/>
        <v>16455337.493720703</v>
      </c>
      <c r="AD12" s="49">
        <f ca="1"/>
        <v>16538676.928660415</v>
      </c>
      <c r="AE12" s="49">
        <f ca="1"/>
        <v>16594093.680247784</v>
      </c>
      <c r="AF12" s="49">
        <f ca="1"/>
        <v>16621067.133119998</v>
      </c>
      <c r="AG12" s="49">
        <f ca="1"/>
        <v>16619141.689024771</v>
      </c>
      <c r="AH12" s="429">
        <f ca="1"/>
        <v>16587988.170721238</v>
      </c>
      <c r="AI12" s="144">
        <f t="shared" ca="1" si="1"/>
        <v>373956051.77150172</v>
      </c>
    </row>
    <row r="13" spans="2:35">
      <c r="B13" s="103" t="str">
        <v xml:space="preserve">Barra Longa </v>
      </c>
      <c r="C13" s="108" t="str">
        <v/>
      </c>
      <c r="D13" s="108" t="str">
        <v/>
      </c>
      <c r="E13" s="49">
        <f ca="1"/>
        <v>0</v>
      </c>
      <c r="F13" s="49">
        <f ca="1"/>
        <v>171344.14612097127</v>
      </c>
      <c r="G13" s="49">
        <f ca="1"/>
        <v>231509.8602505461</v>
      </c>
      <c r="H13" s="49">
        <f ca="1"/>
        <v>235397.68269203551</v>
      </c>
      <c r="I13" s="49">
        <f ca="1"/>
        <v>239809.75221848677</v>
      </c>
      <c r="J13" s="49">
        <f ca="1"/>
        <v>245334.56473007222</v>
      </c>
      <c r="K13" s="49">
        <f ca="1"/>
        <v>251187.76085176048</v>
      </c>
      <c r="L13" s="49">
        <f ca="1"/>
        <v>257099.13959093863</v>
      </c>
      <c r="M13" s="49">
        <f ca="1"/>
        <v>263677.4603297243</v>
      </c>
      <c r="N13" s="49">
        <f ca="1"/>
        <v>271212.64450407616</v>
      </c>
      <c r="O13" s="49">
        <f ca="1"/>
        <v>279054.78315286699</v>
      </c>
      <c r="P13" s="49">
        <f ca="1"/>
        <v>287194.05340591754</v>
      </c>
      <c r="Q13" s="49">
        <f ca="1"/>
        <v>295105.47382884222</v>
      </c>
      <c r="R13" s="49">
        <f ca="1"/>
        <v>302741.51861321618</v>
      </c>
      <c r="S13" s="49">
        <f ca="1"/>
        <v>310052.95769931737</v>
      </c>
      <c r="T13" s="49">
        <f ca="1"/>
        <v>316992.7792139746</v>
      </c>
      <c r="U13" s="49">
        <f ca="1"/>
        <v>323527.16452485608</v>
      </c>
      <c r="V13" s="49">
        <f ca="1"/>
        <v>329627.29149245209</v>
      </c>
      <c r="W13" s="49">
        <f ca="1"/>
        <v>335262.44117697119</v>
      </c>
      <c r="X13" s="49">
        <f ca="1"/>
        <v>340406.56664070871</v>
      </c>
      <c r="Y13" s="49">
        <f ca="1"/>
        <v>345031.99226648902</v>
      </c>
      <c r="Z13" s="49">
        <f ca="1"/>
        <v>349117.95800769591</v>
      </c>
      <c r="AA13" s="49">
        <f ca="1"/>
        <v>352649.36724808987</v>
      </c>
      <c r="AB13" s="49">
        <f ca="1"/>
        <v>355608.84699398692</v>
      </c>
      <c r="AC13" s="49">
        <f ca="1"/>
        <v>357979.9856931956</v>
      </c>
      <c r="AD13" s="49">
        <f ca="1"/>
        <v>359752.0360834793</v>
      </c>
      <c r="AE13" s="49">
        <f ca="1"/>
        <v>360916.90951983473</v>
      </c>
      <c r="AF13" s="49">
        <f ca="1"/>
        <v>361463.51003317267</v>
      </c>
      <c r="AG13" s="49">
        <f ca="1"/>
        <v>361382.15480486391</v>
      </c>
      <c r="AH13" s="429">
        <f ca="1"/>
        <v>360665.90535070415</v>
      </c>
      <c r="AI13" s="144">
        <f t="shared" ca="1" si="1"/>
        <v>8851106.7070392463</v>
      </c>
    </row>
    <row r="14" spans="2:35">
      <c r="B14" s="103" t="str">
        <v xml:space="preserve">Urucânia </v>
      </c>
      <c r="C14" s="108" t="str">
        <v/>
      </c>
      <c r="D14" s="108" t="str">
        <v/>
      </c>
      <c r="E14" s="49">
        <f ca="1"/>
        <v>0</v>
      </c>
      <c r="F14" s="49">
        <f ca="1"/>
        <v>7667729.6263960134</v>
      </c>
      <c r="G14" s="49">
        <f ca="1"/>
        <v>10358554.892430073</v>
      </c>
      <c r="H14" s="49">
        <f ca="1"/>
        <v>10531704.927708078</v>
      </c>
      <c r="I14" s="49">
        <f ca="1"/>
        <v>10728434.014709622</v>
      </c>
      <c r="J14" s="49">
        <f ca="1"/>
        <v>10975192.578182101</v>
      </c>
      <c r="K14" s="49">
        <f ca="1"/>
        <v>11237498.191549655</v>
      </c>
      <c r="L14" s="49">
        <f ca="1"/>
        <v>11501736.619146412</v>
      </c>
      <c r="M14" s="49">
        <f ca="1"/>
        <v>11795203.290954074</v>
      </c>
      <c r="N14" s="49">
        <f ca="1"/>
        <v>12132536.200154763</v>
      </c>
      <c r="O14" s="49">
        <f ca="1"/>
        <v>12484612.962887594</v>
      </c>
      <c r="P14" s="49">
        <f ca="1"/>
        <v>12851083.44491153</v>
      </c>
      <c r="Q14" s="49">
        <f ca="1"/>
        <v>13207509.800368698</v>
      </c>
      <c r="R14" s="49">
        <f ca="1"/>
        <v>13551751.486408591</v>
      </c>
      <c r="S14" s="49">
        <f ca="1"/>
        <v>13881589.404479776</v>
      </c>
      <c r="T14" s="49">
        <f ca="1"/>
        <v>19872863.681014478</v>
      </c>
      <c r="U14" s="49">
        <f ca="1"/>
        <v>20286225.127001371</v>
      </c>
      <c r="V14" s="49">
        <f ca="1"/>
        <v>20672480.406289898</v>
      </c>
      <c r="W14" s="49">
        <f ca="1"/>
        <v>21029680.841047768</v>
      </c>
      <c r="X14" s="49">
        <f ca="1"/>
        <v>21356169.961966008</v>
      </c>
      <c r="Y14" s="49">
        <f ca="1"/>
        <v>21650188.959153965</v>
      </c>
      <c r="Z14" s="49">
        <f ca="1"/>
        <v>21910412.95852429</v>
      </c>
      <c r="AA14" s="49">
        <f ca="1"/>
        <v>22135872.897912789</v>
      </c>
      <c r="AB14" s="49">
        <f ca="1"/>
        <v>22325457.374099664</v>
      </c>
      <c r="AC14" s="49">
        <f ca="1"/>
        <v>22478115.404382564</v>
      </c>
      <c r="AD14" s="49">
        <f ca="1"/>
        <v>22593151.662888002</v>
      </c>
      <c r="AE14" s="49">
        <f ca="1"/>
        <v>22670037.425917521</v>
      </c>
      <c r="AF14" s="49">
        <f ca="1"/>
        <v>22708054.830987539</v>
      </c>
      <c r="AG14" s="49">
        <f ca="1"/>
        <v>22706574.866593506</v>
      </c>
      <c r="AH14" s="429">
        <f ca="1"/>
        <v>22665141.385507669</v>
      </c>
      <c r="AI14" s="144">
        <f t="shared" ca="1" si="1"/>
        <v>489965565.22357392</v>
      </c>
    </row>
    <row r="15" spans="2:35">
      <c r="B15" s="103" t="str">
        <v xml:space="preserve">Piedade de Ponte Nova </v>
      </c>
      <c r="C15" s="108" t="str">
        <v/>
      </c>
      <c r="D15" s="108" t="str">
        <v/>
      </c>
      <c r="E15" s="49">
        <f ca="1"/>
        <v>0</v>
      </c>
      <c r="F15" s="49">
        <f ca="1"/>
        <v>2396165.5082487543</v>
      </c>
      <c r="G15" s="49">
        <f ca="1"/>
        <v>3237048.4038843978</v>
      </c>
      <c r="H15" s="49">
        <f ca="1"/>
        <v>3291157.7899087747</v>
      </c>
      <c r="I15" s="49">
        <f ca="1"/>
        <v>3352635.6295967568</v>
      </c>
      <c r="J15" s="49">
        <f ca="1"/>
        <v>3429747.6806819066</v>
      </c>
      <c r="K15" s="49">
        <f ca="1"/>
        <v>3511718.1848592674</v>
      </c>
      <c r="L15" s="49">
        <f ca="1"/>
        <v>3594292.6934832539</v>
      </c>
      <c r="M15" s="49">
        <f ca="1"/>
        <v>3686001.0284231482</v>
      </c>
      <c r="N15" s="49">
        <f ca="1"/>
        <v>3791417.5625483631</v>
      </c>
      <c r="O15" s="49">
        <f ca="1"/>
        <v>3901441.5509023722</v>
      </c>
      <c r="P15" s="49">
        <f ca="1"/>
        <v>4015963.5765348538</v>
      </c>
      <c r="Q15" s="49">
        <f ca="1"/>
        <v>4127346.8126152176</v>
      </c>
      <c r="R15" s="49">
        <f ca="1"/>
        <v>4234922.3395026848</v>
      </c>
      <c r="S15" s="49">
        <f ca="1"/>
        <v>4337996.6888999296</v>
      </c>
      <c r="T15" s="49">
        <f ca="1"/>
        <v>6210269.9003170244</v>
      </c>
      <c r="U15" s="49">
        <f ca="1"/>
        <v>6339445.3521879297</v>
      </c>
      <c r="V15" s="49">
        <f ca="1"/>
        <v>6460150.1269655926</v>
      </c>
      <c r="W15" s="49">
        <f ca="1"/>
        <v>6571775.2628274271</v>
      </c>
      <c r="X15" s="49">
        <f ca="1"/>
        <v>6673803.1131143784</v>
      </c>
      <c r="Y15" s="49">
        <f ca="1"/>
        <v>6765684.0497356141</v>
      </c>
      <c r="Z15" s="49">
        <f ca="1"/>
        <v>6847004.0495388405</v>
      </c>
      <c r="AA15" s="49">
        <f ca="1"/>
        <v>6917460.2805977473</v>
      </c>
      <c r="AB15" s="49">
        <f ca="1"/>
        <v>6976705.4294061456</v>
      </c>
      <c r="AC15" s="49">
        <f ca="1"/>
        <v>7024411.0638695518</v>
      </c>
      <c r="AD15" s="49">
        <f ca="1"/>
        <v>7060359.8946525007</v>
      </c>
      <c r="AE15" s="49">
        <f ca="1"/>
        <v>7084386.6955992244</v>
      </c>
      <c r="AF15" s="49">
        <f ca="1"/>
        <v>7096267.1346836062</v>
      </c>
      <c r="AG15" s="49">
        <f ca="1"/>
        <v>7095804.64581047</v>
      </c>
      <c r="AH15" s="429">
        <f ca="1"/>
        <v>7082856.6829711488</v>
      </c>
      <c r="AI15" s="144">
        <f t="shared" ca="1" si="1"/>
        <v>153114239.13236687</v>
      </c>
    </row>
    <row r="16" spans="2:35">
      <c r="B16" s="103" t="str">
        <v xml:space="preserve">Rio Casca </v>
      </c>
      <c r="C16" s="108" t="str">
        <v/>
      </c>
      <c r="D16" s="108" t="str">
        <v/>
      </c>
      <c r="E16" s="49">
        <f ca="1"/>
        <v>0</v>
      </c>
      <c r="F16" s="49">
        <f ca="1"/>
        <v>2396165.5082487543</v>
      </c>
      <c r="G16" s="49">
        <f ca="1"/>
        <v>3237048.4038843978</v>
      </c>
      <c r="H16" s="49">
        <f ca="1"/>
        <v>3291157.7899087747</v>
      </c>
      <c r="I16" s="49">
        <f ca="1"/>
        <v>3352635.6295967568</v>
      </c>
      <c r="J16" s="49">
        <f ca="1"/>
        <v>3429747.6806819066</v>
      </c>
      <c r="K16" s="49">
        <f ca="1"/>
        <v>3511718.1848592674</v>
      </c>
      <c r="L16" s="49">
        <f ca="1"/>
        <v>3594292.6934832539</v>
      </c>
      <c r="M16" s="49">
        <f ca="1"/>
        <v>3686001.0284231482</v>
      </c>
      <c r="N16" s="49">
        <f ca="1"/>
        <v>3791417.5625483631</v>
      </c>
      <c r="O16" s="49">
        <f ca="1"/>
        <v>3901441.5509023722</v>
      </c>
      <c r="P16" s="49">
        <f ca="1"/>
        <v>4015963.5765348538</v>
      </c>
      <c r="Q16" s="49">
        <f ca="1"/>
        <v>4127346.8126152176</v>
      </c>
      <c r="R16" s="49">
        <f ca="1"/>
        <v>4234922.3395026848</v>
      </c>
      <c r="S16" s="49">
        <f ca="1"/>
        <v>4337996.6888999296</v>
      </c>
      <c r="T16" s="49">
        <f ca="1"/>
        <v>6210269.9003170244</v>
      </c>
      <c r="U16" s="49">
        <f ca="1"/>
        <v>6339445.3521879297</v>
      </c>
      <c r="V16" s="49">
        <f ca="1"/>
        <v>6460150.1269655926</v>
      </c>
      <c r="W16" s="49">
        <f ca="1"/>
        <v>6571775.2628274271</v>
      </c>
      <c r="X16" s="49">
        <f ca="1"/>
        <v>6673803.1131143784</v>
      </c>
      <c r="Y16" s="49">
        <f ca="1"/>
        <v>6765684.0497356141</v>
      </c>
      <c r="Z16" s="49">
        <f ca="1"/>
        <v>6847004.0495388405</v>
      </c>
      <c r="AA16" s="49">
        <f ca="1"/>
        <v>6917460.2805977473</v>
      </c>
      <c r="AB16" s="49">
        <f ca="1"/>
        <v>6976705.4294061456</v>
      </c>
      <c r="AC16" s="49">
        <f ca="1"/>
        <v>7024411.0638695518</v>
      </c>
      <c r="AD16" s="49">
        <f ca="1"/>
        <v>7060359.8946525007</v>
      </c>
      <c r="AE16" s="49">
        <f ca="1"/>
        <v>7084386.6955992244</v>
      </c>
      <c r="AF16" s="49">
        <f ca="1"/>
        <v>7096267.1346836062</v>
      </c>
      <c r="AG16" s="49">
        <f ca="1"/>
        <v>7095804.64581047</v>
      </c>
      <c r="AH16" s="429">
        <f ca="1"/>
        <v>7082856.6829711488</v>
      </c>
      <c r="AI16" s="144">
        <f t="shared" ca="1" si="1"/>
        <v>153114239.13236687</v>
      </c>
    </row>
    <row r="17" spans="2:35">
      <c r="B17" s="104" t="str">
        <v>ISS</v>
      </c>
      <c r="C17" s="108" t="str">
        <v/>
      </c>
      <c r="D17" s="109" t="str">
        <v/>
      </c>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29"/>
      <c r="AI17" s="122"/>
    </row>
    <row r="18" spans="2:35">
      <c r="B18" s="103" t="str">
        <v xml:space="preserve">Nova Lima </v>
      </c>
      <c r="C18" s="108" t="str">
        <v>Anexo único, item 172, Lei 1.910/2005</v>
      </c>
      <c r="D18" s="109">
        <v>0.05</v>
      </c>
      <c r="E18" s="49" cm="1">
        <f t="array" aca="1" ref="E18:AH28" ca="1">'DRE Nominal'!E18:AH28 / (1+'Painel Controle'!D$149:AG$149)</f>
        <v>0</v>
      </c>
      <c r="F18" s="49">
        <f ca="1"/>
        <v>-576321.82433748338</v>
      </c>
      <c r="G18" s="49">
        <f ca="1"/>
        <v>-778085.86363846902</v>
      </c>
      <c r="H18" s="49">
        <f ca="1"/>
        <v>-790286.38171870261</v>
      </c>
      <c r="I18" s="49">
        <f ca="1"/>
        <v>-1125952.2114552744</v>
      </c>
      <c r="J18" s="49">
        <f ca="1"/>
        <v>-1150966.5740269218</v>
      </c>
      <c r="K18" s="49">
        <f ca="1"/>
        <v>-1176927.1302470143</v>
      </c>
      <c r="L18" s="49">
        <f ca="1"/>
        <v>-1203673.9079369043</v>
      </c>
      <c r="M18" s="49">
        <f ca="1"/>
        <v>-1234370.4460446017</v>
      </c>
      <c r="N18" s="49">
        <f ca="1"/>
        <v>-1269234.4456471617</v>
      </c>
      <c r="O18" s="49">
        <f ca="1"/>
        <v>-1304944.4744858667</v>
      </c>
      <c r="P18" s="49">
        <f ca="1"/>
        <v>-1341407.35773039</v>
      </c>
      <c r="Q18" s="49">
        <f ca="1"/>
        <v>-1376668.3310930531</v>
      </c>
      <c r="R18" s="49">
        <f ca="1"/>
        <v>-1410513.9276155394</v>
      </c>
      <c r="S18" s="49">
        <f ca="1"/>
        <v>-1442724.7123022035</v>
      </c>
      <c r="T18" s="49">
        <f ca="1"/>
        <v>-1473092.7687030269</v>
      </c>
      <c r="U18" s="49">
        <f ca="1"/>
        <v>-1501472.3419226729</v>
      </c>
      <c r="V18" s="49">
        <f ca="1"/>
        <v>-1527741.1612566498</v>
      </c>
      <c r="W18" s="49">
        <f ca="1"/>
        <v>-1551768.6378912649</v>
      </c>
      <c r="X18" s="49">
        <f ca="1"/>
        <v>-1573446.6530061956</v>
      </c>
      <c r="Y18" s="49">
        <f ca="1"/>
        <v>-1592659.7594263309</v>
      </c>
      <c r="Z18" s="49">
        <f ca="1"/>
        <v>-1609324.8338265193</v>
      </c>
      <c r="AA18" s="49">
        <f ca="1"/>
        <v>-1623384.9740527004</v>
      </c>
      <c r="AB18" s="49">
        <f ca="1"/>
        <v>-1634772.5233424129</v>
      </c>
      <c r="AC18" s="49">
        <f ca="1"/>
        <v>-1643424.3721939183</v>
      </c>
      <c r="AD18" s="49">
        <f ca="1"/>
        <v>-1649303.74116719</v>
      </c>
      <c r="AE18" s="49">
        <f ca="1"/>
        <v>-1652386.4728206892</v>
      </c>
      <c r="AF18" s="49">
        <f ca="1"/>
        <v>-1652634.8065814842</v>
      </c>
      <c r="AG18" s="49">
        <f ca="1"/>
        <v>-1650017.5598294507</v>
      </c>
      <c r="AH18" s="429">
        <f ca="1"/>
        <v>-1644516.0145908832</v>
      </c>
      <c r="AI18" s="144">
        <f t="shared" ref="AI18:AI29" ca="1" si="2">SUM(E18:AH18)</f>
        <v>-40162024.208890975</v>
      </c>
    </row>
    <row r="19" spans="2:35">
      <c r="B19" s="103" t="str">
        <v xml:space="preserve">Rio Acima </v>
      </c>
      <c r="C19" s="108" t="str">
        <v>Art. 5°, item 3, Lei 02/2020</v>
      </c>
      <c r="D19" s="109">
        <v>0.02</v>
      </c>
      <c r="E19" s="49">
        <f ca="1"/>
        <v>0</v>
      </c>
      <c r="F19" s="49">
        <f ca="1"/>
        <v>-48900.033580150106</v>
      </c>
      <c r="G19" s="49">
        <f ca="1"/>
        <v>-66019.406611748884</v>
      </c>
      <c r="H19" s="49">
        <f ca="1"/>
        <v>-67054.602085223247</v>
      </c>
      <c r="I19" s="49">
        <f ca="1"/>
        <v>-95535.339153780864</v>
      </c>
      <c r="J19" s="49">
        <f ca="1"/>
        <v>-97657.769917435769</v>
      </c>
      <c r="K19" s="49">
        <f ca="1"/>
        <v>-99860.48377853453</v>
      </c>
      <c r="L19" s="49">
        <f ca="1"/>
        <v>-102129.907340101</v>
      </c>
      <c r="M19" s="49">
        <f ca="1"/>
        <v>-104734.46208863288</v>
      </c>
      <c r="N19" s="49">
        <f ca="1"/>
        <v>-107692.61963066828</v>
      </c>
      <c r="O19" s="49">
        <f ca="1"/>
        <v>-110722.5614715281</v>
      </c>
      <c r="P19" s="49">
        <f ca="1"/>
        <v>-113816.38186803312</v>
      </c>
      <c r="Q19" s="49">
        <f ca="1"/>
        <v>-116808.22203213786</v>
      </c>
      <c r="R19" s="49">
        <f ca="1"/>
        <v>-119679.96961586394</v>
      </c>
      <c r="S19" s="49">
        <f ca="1"/>
        <v>-122413.00589230817</v>
      </c>
      <c r="T19" s="49">
        <f ca="1"/>
        <v>-124989.68946571139</v>
      </c>
      <c r="U19" s="49">
        <f ca="1"/>
        <v>-127397.65325404497</v>
      </c>
      <c r="V19" s="49">
        <f ca="1"/>
        <v>-129626.52277329149</v>
      </c>
      <c r="W19" s="49">
        <f ca="1"/>
        <v>-131665.21776047096</v>
      </c>
      <c r="X19" s="49">
        <f ca="1"/>
        <v>-133504.56449749539</v>
      </c>
      <c r="Y19" s="49">
        <f ca="1"/>
        <v>-135134.76746647657</v>
      </c>
      <c r="Z19" s="49">
        <f ca="1"/>
        <v>-136548.77377921983</v>
      </c>
      <c r="AA19" s="49">
        <f ca="1"/>
        <v>-137741.75537416851</v>
      </c>
      <c r="AB19" s="49">
        <f ca="1"/>
        <v>-138707.97167753807</v>
      </c>
      <c r="AC19" s="49">
        <f ca="1"/>
        <v>-139442.0679437264</v>
      </c>
      <c r="AD19" s="49">
        <f ca="1"/>
        <v>-139940.9234929737</v>
      </c>
      <c r="AE19" s="49">
        <f ca="1"/>
        <v>-140202.48860296755</v>
      </c>
      <c r="AF19" s="49">
        <f ca="1"/>
        <v>-140223.55934630777</v>
      </c>
      <c r="AG19" s="49">
        <f ca="1"/>
        <v>-140001.48992492311</v>
      </c>
      <c r="AH19" s="429">
        <f ca="1"/>
        <v>-139534.69214710526</v>
      </c>
      <c r="AI19" s="144">
        <f t="shared" ca="1" si="2"/>
        <v>-3407686.9025725676</v>
      </c>
    </row>
    <row r="20" spans="2:35">
      <c r="B20" s="103" t="str">
        <v xml:space="preserve">Itabirito </v>
      </c>
      <c r="C20" s="108" t="str">
        <v>Lei complementar n° 2323, item 22</v>
      </c>
      <c r="D20" s="109">
        <v>0.05</v>
      </c>
      <c r="E20" s="49">
        <f ca="1"/>
        <v>0</v>
      </c>
      <c r="F20" s="49">
        <f ca="1"/>
        <v>-989643.5367411332</v>
      </c>
      <c r="G20" s="49">
        <f ca="1"/>
        <v>-1336107.0385711084</v>
      </c>
      <c r="H20" s="49">
        <f ca="1"/>
        <v>-1357057.4231533278</v>
      </c>
      <c r="I20" s="49">
        <f ca="1"/>
        <v>-1933453.2923979464</v>
      </c>
      <c r="J20" s="49">
        <f ca="1"/>
        <v>-1976407.2483290578</v>
      </c>
      <c r="K20" s="49">
        <f ca="1"/>
        <v>-2020985.9812322468</v>
      </c>
      <c r="L20" s="49">
        <f ca="1"/>
        <v>-2066914.7914068061</v>
      </c>
      <c r="M20" s="49">
        <f ca="1"/>
        <v>-2119626.0184604269</v>
      </c>
      <c r="N20" s="49">
        <f ca="1"/>
        <v>-2179493.4925254295</v>
      </c>
      <c r="O20" s="49">
        <f ca="1"/>
        <v>-2240813.7440666403</v>
      </c>
      <c r="P20" s="49">
        <f ca="1"/>
        <v>-2303426.7759006703</v>
      </c>
      <c r="Q20" s="49">
        <f ca="1"/>
        <v>-2363975.9220789806</v>
      </c>
      <c r="R20" s="49">
        <f ca="1"/>
        <v>-2422094.6231781994</v>
      </c>
      <c r="S20" s="49">
        <f ca="1"/>
        <v>-2477406.0716300462</v>
      </c>
      <c r="T20" s="49">
        <f ca="1"/>
        <v>-2529553.2391870162</v>
      </c>
      <c r="U20" s="49">
        <f ca="1"/>
        <v>-2578285.8396651959</v>
      </c>
      <c r="V20" s="49">
        <f ca="1"/>
        <v>-2623393.9132689945</v>
      </c>
      <c r="W20" s="49">
        <f ca="1"/>
        <v>-2664653.21658096</v>
      </c>
      <c r="X20" s="49">
        <f ca="1"/>
        <v>-2701878.0910207406</v>
      </c>
      <c r="Y20" s="49">
        <f ca="1"/>
        <v>-2734870.2939644069</v>
      </c>
      <c r="Z20" s="49">
        <f ca="1"/>
        <v>-2763487.0883889729</v>
      </c>
      <c r="AA20" s="49">
        <f ca="1"/>
        <v>-2787630.7635248392</v>
      </c>
      <c r="AB20" s="49">
        <f ca="1"/>
        <v>-2807185.1410930324</v>
      </c>
      <c r="AC20" s="49">
        <f ca="1"/>
        <v>-2822041.8512420822</v>
      </c>
      <c r="AD20" s="49">
        <f ca="1"/>
        <v>-2832137.7373578013</v>
      </c>
      <c r="AE20" s="49">
        <f ca="1"/>
        <v>-2837431.3169648196</v>
      </c>
      <c r="AF20" s="49">
        <f ca="1"/>
        <v>-2837857.7486752761</v>
      </c>
      <c r="AG20" s="49">
        <f ca="1"/>
        <v>-2833363.4865758251</v>
      </c>
      <c r="AH20" s="429">
        <f ca="1"/>
        <v>-2823916.388691416</v>
      </c>
      <c r="AI20" s="144">
        <f t="shared" ca="1" si="2"/>
        <v>-68965092.07587339</v>
      </c>
    </row>
    <row r="21" spans="2:35">
      <c r="B21" s="103" t="str">
        <v xml:space="preserve">Ouro Preto </v>
      </c>
      <c r="C21" s="108" t="str">
        <v>Anexo único, item 22, Lei 172/2017</v>
      </c>
      <c r="D21" s="109">
        <v>0.05</v>
      </c>
      <c r="E21" s="49">
        <f ca="1"/>
        <v>0</v>
      </c>
      <c r="F21" s="49">
        <f ca="1"/>
        <v>-1991609.3723315403</v>
      </c>
      <c r="G21" s="49">
        <f ca="1"/>
        <v>-2689841.0288298465</v>
      </c>
      <c r="H21" s="49">
        <f ca="1"/>
        <v>-2733428.4983981522</v>
      </c>
      <c r="I21" s="49">
        <f ca="1"/>
        <v>-3082158.5247940938</v>
      </c>
      <c r="J21" s="49">
        <f ca="1"/>
        <v>-3152079.2079226281</v>
      </c>
      <c r="K21" s="49">
        <f ca="1"/>
        <v>-4077698.0731726992</v>
      </c>
      <c r="L21" s="49">
        <f ca="1"/>
        <v>-4172522.861701068</v>
      </c>
      <c r="M21" s="49">
        <f ca="1"/>
        <v>-4280323.54260974</v>
      </c>
      <c r="N21" s="49">
        <f ca="1"/>
        <v>-4403182.0200371332</v>
      </c>
      <c r="O21" s="49">
        <f ca="1"/>
        <v>-4529744.9791018292</v>
      </c>
      <c r="P21" s="49">
        <f ca="1"/>
        <v>-4659736.3600450465</v>
      </c>
      <c r="Q21" s="49">
        <f ca="1"/>
        <v>-4785711.0296766507</v>
      </c>
      <c r="R21" s="49">
        <f ca="1"/>
        <v>-4906905.0227005994</v>
      </c>
      <c r="S21" s="49">
        <f ca="1"/>
        <v>-5022531.0606750613</v>
      </c>
      <c r="T21" s="49">
        <f ca="1"/>
        <v>-5131841.0743476767</v>
      </c>
      <c r="U21" s="49">
        <f ca="1"/>
        <v>-5234304.548412011</v>
      </c>
      <c r="V21" s="49">
        <f ca="1"/>
        <v>-5329473.6041979017</v>
      </c>
      <c r="W21" s="49">
        <f ca="1"/>
        <v>-5416871.0052020792</v>
      </c>
      <c r="X21" s="49">
        <f ca="1"/>
        <v>-5496097.869624163</v>
      </c>
      <c r="Y21" s="49">
        <f ca="1"/>
        <v>-5566729.7741933092</v>
      </c>
      <c r="Z21" s="49">
        <f ca="1"/>
        <v>-5628456.0254068477</v>
      </c>
      <c r="AA21" s="49">
        <f ca="1"/>
        <v>-5681058.6054214071</v>
      </c>
      <c r="AB21" s="49">
        <f ca="1"/>
        <v>-5724282.4297378976</v>
      </c>
      <c r="AC21" s="49">
        <f ca="1"/>
        <v>-5757888.6965637282</v>
      </c>
      <c r="AD21" s="49">
        <f ca="1"/>
        <v>-5781731.4430499822</v>
      </c>
      <c r="AE21" s="49">
        <f ca="1"/>
        <v>-5795709.0440877359</v>
      </c>
      <c r="AF21" s="49">
        <f ca="1"/>
        <v>-5799671.9917552946</v>
      </c>
      <c r="AG21" s="49">
        <f ca="1"/>
        <v>-5793494.2277179351</v>
      </c>
      <c r="AH21" s="429">
        <f ca="1"/>
        <v>-5777094.1927021453</v>
      </c>
      <c r="AI21" s="144">
        <f t="shared" ca="1" si="2"/>
        <v>-138402176.11441621</v>
      </c>
    </row>
    <row r="22" spans="2:35">
      <c r="B22" s="103" t="str">
        <v xml:space="preserve">Mariana </v>
      </c>
      <c r="C22" s="108" t="str">
        <v>Anexo 1, item 2, Lei 15/2003</v>
      </c>
      <c r="D22" s="109">
        <v>0.03</v>
      </c>
      <c r="E22" s="49">
        <f ca="1"/>
        <v>0</v>
      </c>
      <c r="F22" s="49">
        <f ca="1"/>
        <v>-428793.09057380806</v>
      </c>
      <c r="G22" s="49">
        <f ca="1"/>
        <v>-579243.47340424953</v>
      </c>
      <c r="H22" s="49">
        <f ca="1"/>
        <v>-588803.36339237553</v>
      </c>
      <c r="I22" s="49">
        <f ca="1"/>
        <v>-599695.32808495359</v>
      </c>
      <c r="J22" s="49">
        <f ca="1"/>
        <v>-613462.51604292204</v>
      </c>
      <c r="K22" s="49">
        <f ca="1"/>
        <v>-811288.9196283021</v>
      </c>
      <c r="L22" s="49">
        <f ca="1"/>
        <v>-830326.692674177</v>
      </c>
      <c r="M22" s="49">
        <f ca="1"/>
        <v>-851815.87484613189</v>
      </c>
      <c r="N22" s="49">
        <f ca="1"/>
        <v>-876356.38949648268</v>
      </c>
      <c r="O22" s="49">
        <f ca="1"/>
        <v>-901731.70283642528</v>
      </c>
      <c r="P22" s="49">
        <f ca="1"/>
        <v>-927894.43630927894</v>
      </c>
      <c r="Q22" s="49">
        <f ca="1"/>
        <v>-953279.74269525497</v>
      </c>
      <c r="R22" s="49">
        <f ca="1"/>
        <v>-977733.90573023772</v>
      </c>
      <c r="S22" s="49">
        <f ca="1"/>
        <v>-1001098.237785637</v>
      </c>
      <c r="T22" s="49">
        <f ca="1"/>
        <v>-1023221.6788195469</v>
      </c>
      <c r="U22" s="49">
        <f ca="1"/>
        <v>-1043996.4381987189</v>
      </c>
      <c r="V22" s="49">
        <f ca="1"/>
        <v>-1063331.1763689001</v>
      </c>
      <c r="W22" s="49">
        <f ca="1"/>
        <v>-1081128.622140059</v>
      </c>
      <c r="X22" s="49">
        <f ca="1"/>
        <v>-1097307.018187671</v>
      </c>
      <c r="Y22" s="49">
        <f ca="1"/>
        <v>-1111779.4794745117</v>
      </c>
      <c r="Z22" s="49">
        <f ca="1"/>
        <v>-1124481.787675373</v>
      </c>
      <c r="AA22" s="49">
        <f ca="1"/>
        <v>-1135368.2377252579</v>
      </c>
      <c r="AB22" s="49">
        <f ca="1"/>
        <v>-1144385.7657915773</v>
      </c>
      <c r="AC22" s="49">
        <f ca="1"/>
        <v>-1151484.5499894619</v>
      </c>
      <c r="AD22" s="49">
        <f ca="1"/>
        <v>-1156633.2956282261</v>
      </c>
      <c r="AE22" s="49">
        <f ca="1"/>
        <v>-1159809.5153124661</v>
      </c>
      <c r="AF22" s="49">
        <f ca="1"/>
        <v>-1160981.1126534622</v>
      </c>
      <c r="AG22" s="49">
        <f ca="1"/>
        <v>-1160120.6735829539</v>
      </c>
      <c r="AH22" s="429">
        <f ca="1"/>
        <v>-1157209.7153282824</v>
      </c>
      <c r="AI22" s="144">
        <f t="shared" ca="1" si="2"/>
        <v>-27712762.740376707</v>
      </c>
    </row>
    <row r="23" spans="2:35">
      <c r="B23" s="103" t="str">
        <v xml:space="preserve">Acaiaca </v>
      </c>
      <c r="C23" s="108" t="str">
        <v>Lei n° 339/2001, item 22</v>
      </c>
      <c r="D23" s="109">
        <v>0.03</v>
      </c>
      <c r="E23" s="49">
        <f ca="1"/>
        <v>0</v>
      </c>
      <c r="F23" s="49">
        <f ca="1"/>
        <v>-71597.375343405845</v>
      </c>
      <c r="G23" s="49">
        <f ca="1"/>
        <v>-96738.04874754959</v>
      </c>
      <c r="H23" s="49">
        <f ca="1"/>
        <v>-98362.603124886271</v>
      </c>
      <c r="I23" s="49">
        <f ca="1"/>
        <v>-100206.21789129626</v>
      </c>
      <c r="J23" s="49">
        <f ca="1"/>
        <v>-102514.80026220875</v>
      </c>
      <c r="K23" s="49">
        <f ca="1"/>
        <v>-104960.60007019991</v>
      </c>
      <c r="L23" s="49">
        <f ca="1"/>
        <v>-107430.71190049936</v>
      </c>
      <c r="M23" s="49">
        <f ca="1"/>
        <v>-110179.51020920623</v>
      </c>
      <c r="N23" s="49">
        <f ca="1"/>
        <v>-113328.14073920324</v>
      </c>
      <c r="O23" s="49">
        <f ca="1"/>
        <v>-116605.03438887656</v>
      </c>
      <c r="P23" s="49">
        <f ca="1"/>
        <v>-120006.08660175839</v>
      </c>
      <c r="Q23" s="49">
        <f ca="1"/>
        <v>-123311.93013562335</v>
      </c>
      <c r="R23" s="49">
        <f ca="1"/>
        <v>-126502.70599195105</v>
      </c>
      <c r="S23" s="49">
        <f ca="1"/>
        <v>-129557.84303864333</v>
      </c>
      <c r="T23" s="49">
        <f ca="1"/>
        <v>-132457.69702869651</v>
      </c>
      <c r="U23" s="49">
        <f ca="1"/>
        <v>-135188.13660502917</v>
      </c>
      <c r="V23" s="49">
        <f ca="1"/>
        <v>-137737.11823077462</v>
      </c>
      <c r="W23" s="49">
        <f ca="1"/>
        <v>-140091.80577752009</v>
      </c>
      <c r="X23" s="49">
        <f ca="1"/>
        <v>-142241.31534629615</v>
      </c>
      <c r="Y23" s="49">
        <f ca="1"/>
        <v>-144174.08248278292</v>
      </c>
      <c r="Z23" s="49">
        <f ca="1"/>
        <v>-145881.43245321579</v>
      </c>
      <c r="AA23" s="49">
        <f ca="1"/>
        <v>-147357.05702866614</v>
      </c>
      <c r="AB23" s="49">
        <f ca="1"/>
        <v>-148593.69677963026</v>
      </c>
      <c r="AC23" s="49">
        <f ca="1"/>
        <v>-149584.49402179959</v>
      </c>
      <c r="AD23" s="49">
        <f ca="1"/>
        <v>-150324.95793488243</v>
      </c>
      <c r="AE23" s="49">
        <f ca="1"/>
        <v>-150811.70862078812</v>
      </c>
      <c r="AF23" s="49">
        <f ca="1"/>
        <v>-151040.10954957572</v>
      </c>
      <c r="AG23" s="49">
        <f ca="1"/>
        <v>-151006.11468631815</v>
      </c>
      <c r="AH23" s="429">
        <f ca="1"/>
        <v>-150706.82473582996</v>
      </c>
      <c r="AI23" s="144">
        <f t="shared" ca="1" si="2"/>
        <v>-3698498.1597271133</v>
      </c>
    </row>
    <row r="24" spans="2:35">
      <c r="B24" s="103" t="str">
        <v xml:space="preserve">Ponte Nova </v>
      </c>
      <c r="C24" s="108" t="str">
        <v>Art. 12°, Lei 2717/2003</v>
      </c>
      <c r="D24" s="109">
        <v>0.03</v>
      </c>
      <c r="E24" s="49">
        <f ca="1"/>
        <v>0</v>
      </c>
      <c r="F24" s="49">
        <f ca="1"/>
        <v>-189917.81398596478</v>
      </c>
      <c r="G24" s="49">
        <f ca="1"/>
        <v>-256581.20515311838</v>
      </c>
      <c r="H24" s="49">
        <f ca="1"/>
        <v>-260877.98949242526</v>
      </c>
      <c r="I24" s="49">
        <f ca="1"/>
        <v>-265757.63047615427</v>
      </c>
      <c r="J24" s="49">
        <f ca="1"/>
        <v>-271874.14125473454</v>
      </c>
      <c r="K24" s="49">
        <f ca="1"/>
        <v>-278367.40833130013</v>
      </c>
      <c r="L24" s="49">
        <f ca="1"/>
        <v>-284915.10173694941</v>
      </c>
      <c r="M24" s="49">
        <f ca="1"/>
        <v>-292192.76773701917</v>
      </c>
      <c r="N24" s="49">
        <f ca="1"/>
        <v>-300546.71331410331</v>
      </c>
      <c r="O24" s="49">
        <f ca="1"/>
        <v>-309255.9996501386</v>
      </c>
      <c r="P24" s="49">
        <f ca="1"/>
        <v>-318311.08073397406</v>
      </c>
      <c r="Q24" s="49">
        <f ca="1"/>
        <v>-327115.89699356718</v>
      </c>
      <c r="R24" s="49">
        <f ca="1"/>
        <v>-335617.56471847766</v>
      </c>
      <c r="S24" s="49">
        <f ca="1"/>
        <v>-343761.27686146961</v>
      </c>
      <c r="T24" s="49">
        <f ca="1"/>
        <v>-436664.08441446896</v>
      </c>
      <c r="U24" s="49">
        <f ca="1"/>
        <v>-445720.96596874337</v>
      </c>
      <c r="V24" s="49">
        <f ca="1"/>
        <v>-454181.42208962044</v>
      </c>
      <c r="W24" s="49">
        <f ca="1"/>
        <v>-462002.79404450674</v>
      </c>
      <c r="X24" s="49">
        <f ca="1"/>
        <v>-469148.84856099996</v>
      </c>
      <c r="Y24" s="49">
        <f ca="1"/>
        <v>-475581.10529237473</v>
      </c>
      <c r="Z24" s="49">
        <f ca="1"/>
        <v>-481270.61602122855</v>
      </c>
      <c r="AA24" s="49">
        <f ca="1"/>
        <v>-486196.24543714261</v>
      </c>
      <c r="AB24" s="49">
        <f ca="1"/>
        <v>-490333.72801172349</v>
      </c>
      <c r="AC24" s="49">
        <f ca="1"/>
        <v>-493660.12481162109</v>
      </c>
      <c r="AD24" s="49">
        <f ca="1"/>
        <v>-496160.3078598124</v>
      </c>
      <c r="AE24" s="49">
        <f ca="1"/>
        <v>-497822.81040743348</v>
      </c>
      <c r="AF24" s="49">
        <f ca="1"/>
        <v>-498632.01399359998</v>
      </c>
      <c r="AG24" s="49">
        <f ca="1"/>
        <v>-498574.25067074312</v>
      </c>
      <c r="AH24" s="429">
        <f ca="1"/>
        <v>-497639.64512163715</v>
      </c>
      <c r="AI24" s="144">
        <f t="shared" ca="1" si="2"/>
        <v>-11218681.553145051</v>
      </c>
    </row>
    <row r="25" spans="2:35">
      <c r="B25" s="103" t="str">
        <v xml:space="preserve">Barra Longa </v>
      </c>
      <c r="C25" s="108" t="str">
        <v>Lei  nº 1.358/2021</v>
      </c>
      <c r="D25" s="109">
        <v>0.05</v>
      </c>
      <c r="E25" s="49">
        <f ca="1"/>
        <v>0</v>
      </c>
      <c r="F25" s="49">
        <f ca="1"/>
        <v>-8567.2073060485636</v>
      </c>
      <c r="G25" s="49">
        <f ca="1"/>
        <v>-11575.493012527306</v>
      </c>
      <c r="H25" s="49">
        <f ca="1"/>
        <v>-11769.884134601776</v>
      </c>
      <c r="I25" s="49">
        <f ca="1"/>
        <v>-11990.487610924338</v>
      </c>
      <c r="J25" s="49">
        <f ca="1"/>
        <v>-12266.728236503612</v>
      </c>
      <c r="K25" s="49">
        <f ca="1"/>
        <v>-12559.388042588025</v>
      </c>
      <c r="L25" s="49">
        <f ca="1"/>
        <v>-12854.956979546932</v>
      </c>
      <c r="M25" s="49">
        <f ca="1"/>
        <v>-13183.873016486215</v>
      </c>
      <c r="N25" s="49">
        <f ca="1"/>
        <v>-13560.63222520381</v>
      </c>
      <c r="O25" s="49">
        <f ca="1"/>
        <v>-13952.739157643351</v>
      </c>
      <c r="P25" s="49">
        <f ca="1"/>
        <v>-14359.702670295879</v>
      </c>
      <c r="Q25" s="49">
        <f ca="1"/>
        <v>-14755.273691442111</v>
      </c>
      <c r="R25" s="49">
        <f ca="1"/>
        <v>-15137.075930660807</v>
      </c>
      <c r="S25" s="49">
        <f ca="1"/>
        <v>-15502.647884965869</v>
      </c>
      <c r="T25" s="49">
        <f ca="1"/>
        <v>-15849.638960698732</v>
      </c>
      <c r="U25" s="49">
        <f ca="1"/>
        <v>-16176.358226242804</v>
      </c>
      <c r="V25" s="49">
        <f ca="1"/>
        <v>-16481.364574622607</v>
      </c>
      <c r="W25" s="49">
        <f ca="1"/>
        <v>-16763.122058848559</v>
      </c>
      <c r="X25" s="49">
        <f ca="1"/>
        <v>-17020.328332035435</v>
      </c>
      <c r="Y25" s="49">
        <f ca="1"/>
        <v>-17251.599613324452</v>
      </c>
      <c r="Z25" s="49">
        <f ca="1"/>
        <v>-17455.897900384796</v>
      </c>
      <c r="AA25" s="49">
        <f ca="1"/>
        <v>-17632.468362404496</v>
      </c>
      <c r="AB25" s="49">
        <f ca="1"/>
        <v>-17780.442349699348</v>
      </c>
      <c r="AC25" s="49">
        <f ca="1"/>
        <v>-17898.999284659782</v>
      </c>
      <c r="AD25" s="49">
        <f ca="1"/>
        <v>-17987.601804173966</v>
      </c>
      <c r="AE25" s="49">
        <f ca="1"/>
        <v>-18045.84547599174</v>
      </c>
      <c r="AF25" s="49">
        <f ca="1"/>
        <v>-18073.175501658636</v>
      </c>
      <c r="AG25" s="49">
        <f ca="1"/>
        <v>-18069.107740243198</v>
      </c>
      <c r="AH25" s="429">
        <f ca="1"/>
        <v>-18033.29526753521</v>
      </c>
      <c r="AI25" s="144">
        <f t="shared" ca="1" si="2"/>
        <v>-442555.33535196231</v>
      </c>
    </row>
    <row r="26" spans="2:35">
      <c r="B26" s="103" t="str">
        <v xml:space="preserve">Urucânia </v>
      </c>
      <c r="C26" s="108" t="str">
        <v>Anexo 2, item 1, Lei 99/2016</v>
      </c>
      <c r="D26" s="109">
        <v>0.03</v>
      </c>
      <c r="E26" s="49">
        <f ca="1"/>
        <v>0</v>
      </c>
      <c r="F26" s="49">
        <f ca="1"/>
        <v>-230031.8887918804</v>
      </c>
      <c r="G26" s="49">
        <f ca="1"/>
        <v>-310756.64677290217</v>
      </c>
      <c r="H26" s="49">
        <f ca="1"/>
        <v>-315951.1478312423</v>
      </c>
      <c r="I26" s="49">
        <f ca="1"/>
        <v>-321853.02044128865</v>
      </c>
      <c r="J26" s="49">
        <f ca="1"/>
        <v>-329255.77734546305</v>
      </c>
      <c r="K26" s="49">
        <f ca="1"/>
        <v>-337124.94574648968</v>
      </c>
      <c r="L26" s="49">
        <f ca="1"/>
        <v>-345052.09857439232</v>
      </c>
      <c r="M26" s="49">
        <f ca="1"/>
        <v>-353856.09872862219</v>
      </c>
      <c r="N26" s="49">
        <f ca="1"/>
        <v>-363976.08600464283</v>
      </c>
      <c r="O26" s="49">
        <f ca="1"/>
        <v>-374538.3888866278</v>
      </c>
      <c r="P26" s="49">
        <f ca="1"/>
        <v>-385532.50334734592</v>
      </c>
      <c r="Q26" s="49">
        <f ca="1"/>
        <v>-396225.29401106091</v>
      </c>
      <c r="R26" s="49">
        <f ca="1"/>
        <v>-406552.54459225776</v>
      </c>
      <c r="S26" s="49">
        <f ca="1"/>
        <v>-416447.68213439325</v>
      </c>
      <c r="T26" s="49">
        <f ca="1"/>
        <v>-596185.91043043428</v>
      </c>
      <c r="U26" s="49">
        <f ca="1"/>
        <v>-608586.75381004112</v>
      </c>
      <c r="V26" s="49">
        <f ca="1"/>
        <v>-620174.41218869679</v>
      </c>
      <c r="W26" s="49">
        <f ca="1"/>
        <v>-630890.42523143301</v>
      </c>
      <c r="X26" s="49">
        <f ca="1"/>
        <v>-640685.09885898035</v>
      </c>
      <c r="Y26" s="49">
        <f ca="1"/>
        <v>-649505.668774619</v>
      </c>
      <c r="Z26" s="49">
        <f ca="1"/>
        <v>-657312.38875572872</v>
      </c>
      <c r="AA26" s="49">
        <f ca="1"/>
        <v>-664076.18693738361</v>
      </c>
      <c r="AB26" s="49">
        <f ca="1"/>
        <v>-669763.72122298996</v>
      </c>
      <c r="AC26" s="49">
        <f ca="1"/>
        <v>-674343.46213147684</v>
      </c>
      <c r="AD26" s="49">
        <f ca="1"/>
        <v>-677794.54988663993</v>
      </c>
      <c r="AE26" s="49">
        <f ca="1"/>
        <v>-680101.12277752568</v>
      </c>
      <c r="AF26" s="49">
        <f ca="1"/>
        <v>-681241.64492962614</v>
      </c>
      <c r="AG26" s="49">
        <f ca="1"/>
        <v>-681197.24599780515</v>
      </c>
      <c r="AH26" s="429">
        <f ca="1"/>
        <v>-679954.24156523007</v>
      </c>
      <c r="AI26" s="144">
        <f t="shared" ca="1" si="2"/>
        <v>-14698966.956707222</v>
      </c>
    </row>
    <row r="27" spans="2:35">
      <c r="B27" s="103" t="str">
        <v xml:space="preserve">Piedade de Ponte Nova </v>
      </c>
      <c r="C27" s="108" t="str">
        <v>Anexo 1, item 22, Lei 33/2017</v>
      </c>
      <c r="D27" s="109">
        <v>0.05</v>
      </c>
      <c r="E27" s="49">
        <f ca="1"/>
        <v>0</v>
      </c>
      <c r="F27" s="49">
        <f ca="1"/>
        <v>-119808.27541243772</v>
      </c>
      <c r="G27" s="49">
        <f ca="1"/>
        <v>-161852.42019421991</v>
      </c>
      <c r="H27" s="49">
        <f ca="1"/>
        <v>-164557.88949543875</v>
      </c>
      <c r="I27" s="49">
        <f ca="1"/>
        <v>-167631.78147983787</v>
      </c>
      <c r="J27" s="49">
        <f ca="1"/>
        <v>-171487.38403409536</v>
      </c>
      <c r="K27" s="49">
        <f ca="1"/>
        <v>-175585.90924296339</v>
      </c>
      <c r="L27" s="49">
        <f ca="1"/>
        <v>-179714.63467416269</v>
      </c>
      <c r="M27" s="49">
        <f ca="1"/>
        <v>-184300.0514211574</v>
      </c>
      <c r="N27" s="49">
        <f ca="1"/>
        <v>-189570.87812741817</v>
      </c>
      <c r="O27" s="49">
        <f ca="1"/>
        <v>-195072.07754511861</v>
      </c>
      <c r="P27" s="49">
        <f ca="1"/>
        <v>-200798.17882674269</v>
      </c>
      <c r="Q27" s="49">
        <f ca="1"/>
        <v>-206367.34063076091</v>
      </c>
      <c r="R27" s="49">
        <f ca="1"/>
        <v>-211746.11697513424</v>
      </c>
      <c r="S27" s="49">
        <f ca="1"/>
        <v>-216899.83444499649</v>
      </c>
      <c r="T27" s="49">
        <f ca="1"/>
        <v>-310513.49501585128</v>
      </c>
      <c r="U27" s="49">
        <f ca="1"/>
        <v>-316972.26760939648</v>
      </c>
      <c r="V27" s="49">
        <f ca="1"/>
        <v>-323007.50634827965</v>
      </c>
      <c r="W27" s="49">
        <f ca="1"/>
        <v>-328588.76314137137</v>
      </c>
      <c r="X27" s="49">
        <f ca="1"/>
        <v>-333690.15565571893</v>
      </c>
      <c r="Y27" s="49">
        <f ca="1"/>
        <v>-338284.20248678076</v>
      </c>
      <c r="Z27" s="49">
        <f ca="1"/>
        <v>-342350.20247694204</v>
      </c>
      <c r="AA27" s="49">
        <f ca="1"/>
        <v>-345873.01402988739</v>
      </c>
      <c r="AB27" s="49">
        <f ca="1"/>
        <v>-348835.27147030731</v>
      </c>
      <c r="AC27" s="49">
        <f ca="1"/>
        <v>-351220.55319347762</v>
      </c>
      <c r="AD27" s="49">
        <f ca="1"/>
        <v>-353017.99473262503</v>
      </c>
      <c r="AE27" s="49">
        <f ca="1"/>
        <v>-354219.33477996127</v>
      </c>
      <c r="AF27" s="49">
        <f ca="1"/>
        <v>-354813.3567341803</v>
      </c>
      <c r="AG27" s="49">
        <f ca="1"/>
        <v>-354790.23229052353</v>
      </c>
      <c r="AH27" s="429">
        <f ca="1"/>
        <v>-354142.83414855739</v>
      </c>
      <c r="AI27" s="144">
        <f t="shared" ca="1" si="2"/>
        <v>-7655711.9566183425</v>
      </c>
    </row>
    <row r="28" spans="2:35">
      <c r="B28" s="103" t="str">
        <v xml:space="preserve">Rio Casca </v>
      </c>
      <c r="C28" s="108" t="str">
        <v>Lei complementar nº 1.887/2016</v>
      </c>
      <c r="D28" s="109">
        <v>0.03</v>
      </c>
      <c r="E28" s="49">
        <f ca="1"/>
        <v>0</v>
      </c>
      <c r="F28" s="49">
        <f ca="1"/>
        <v>-71884.96524746262</v>
      </c>
      <c r="G28" s="49">
        <f ca="1"/>
        <v>-97111.452116531931</v>
      </c>
      <c r="H28" s="49">
        <f ca="1"/>
        <v>-98734.733697263233</v>
      </c>
      <c r="I28" s="49">
        <f ca="1"/>
        <v>-100579.06888790271</v>
      </c>
      <c r="J28" s="49">
        <f ca="1"/>
        <v>-102892.4304204572</v>
      </c>
      <c r="K28" s="49">
        <f ca="1"/>
        <v>-105351.54554577802</v>
      </c>
      <c r="L28" s="49">
        <f ca="1"/>
        <v>-107828.78080449761</v>
      </c>
      <c r="M28" s="49">
        <f ca="1"/>
        <v>-110580.03085269443</v>
      </c>
      <c r="N28" s="49">
        <f ca="1"/>
        <v>-113742.52687645088</v>
      </c>
      <c r="O28" s="49">
        <f ca="1"/>
        <v>-117043.24652707117</v>
      </c>
      <c r="P28" s="49">
        <f ca="1"/>
        <v>-120478.90729604561</v>
      </c>
      <c r="Q28" s="49">
        <f ca="1"/>
        <v>-123820.40437845653</v>
      </c>
      <c r="R28" s="49">
        <f ca="1"/>
        <v>-127047.67018508053</v>
      </c>
      <c r="S28" s="49">
        <f ca="1"/>
        <v>-130139.90066699788</v>
      </c>
      <c r="T28" s="49">
        <f ca="1"/>
        <v>-186308.0970095107</v>
      </c>
      <c r="U28" s="49">
        <f ca="1"/>
        <v>-190183.36056563788</v>
      </c>
      <c r="V28" s="49">
        <f ca="1"/>
        <v>-193804.50380896777</v>
      </c>
      <c r="W28" s="49">
        <f ca="1"/>
        <v>-197153.25788482284</v>
      </c>
      <c r="X28" s="49">
        <f ca="1"/>
        <v>-200214.09339343137</v>
      </c>
      <c r="Y28" s="49">
        <f ca="1"/>
        <v>-202970.52149206842</v>
      </c>
      <c r="Z28" s="49">
        <f ca="1"/>
        <v>-205410.12148616521</v>
      </c>
      <c r="AA28" s="49">
        <f ca="1"/>
        <v>-207523.80841793242</v>
      </c>
      <c r="AB28" s="49">
        <f ca="1"/>
        <v>-209301.16288218435</v>
      </c>
      <c r="AC28" s="49">
        <f ca="1"/>
        <v>-210732.33191608652</v>
      </c>
      <c r="AD28" s="49">
        <f ca="1"/>
        <v>-211810.79683957499</v>
      </c>
      <c r="AE28" s="49">
        <f ca="1"/>
        <v>-212531.60086797673</v>
      </c>
      <c r="AF28" s="49">
        <f ca="1"/>
        <v>-212888.01404050816</v>
      </c>
      <c r="AG28" s="49">
        <f ca="1"/>
        <v>-212874.13937431408</v>
      </c>
      <c r="AH28" s="429">
        <f ca="1"/>
        <v>-212485.70048913444</v>
      </c>
      <c r="AI28" s="144">
        <f t="shared" ca="1" si="2"/>
        <v>-4593427.1739710066</v>
      </c>
    </row>
    <row r="29" spans="2:35">
      <c r="B29" s="104" t="str">
        <v>PIS/COFINS</v>
      </c>
      <c r="C29" s="108" t="str">
        <v>Art. 10, XXIII, lei 10.833. Art. 4º, IV, lei 9.718.</v>
      </c>
      <c r="D29" s="51">
        <v>3.6499999999999998E-2</v>
      </c>
      <c r="E29" s="49" cm="1">
        <f t="array" aca="1" ref="E29:AH29" ca="1">'DRE Nominal'!E29:AH29 / (1 + 'Painel Controle'!D$149:AG$149)</f>
        <v>0</v>
      </c>
      <c r="F29" s="49">
        <f ca="1"/>
        <v>-3987193.4653544179</v>
      </c>
      <c r="G29" s="49">
        <f ca="1"/>
        <v>-5384890.0685692746</v>
      </c>
      <c r="H29" s="49">
        <f ca="1"/>
        <v>-5472045.6739474954</v>
      </c>
      <c r="I29" s="49">
        <f ca="1"/>
        <v>-6477662.3646720545</v>
      </c>
      <c r="J29" s="49">
        <f ca="1"/>
        <v>-6624032.9036399461</v>
      </c>
      <c r="K29" s="49">
        <f ca="1"/>
        <v>-7622584.6082187267</v>
      </c>
      <c r="L29" s="49">
        <f ca="1"/>
        <v>-7799024.2749557067</v>
      </c>
      <c r="M29" s="49">
        <f ca="1"/>
        <v>-7999350.140232984</v>
      </c>
      <c r="N29" s="49">
        <f ca="1"/>
        <v>-8227724.9615340559</v>
      </c>
      <c r="O29" s="49">
        <f ca="1"/>
        <v>-8463102.9447846711</v>
      </c>
      <c r="P29" s="49">
        <f ca="1"/>
        <v>-8704987.9448364489</v>
      </c>
      <c r="Q29" s="49">
        <f ca="1"/>
        <v>-8939400.3464703858</v>
      </c>
      <c r="R29" s="49">
        <f ca="1"/>
        <v>-9164921.7600029539</v>
      </c>
      <c r="S29" s="49">
        <f ca="1"/>
        <v>-9380090.0386770274</v>
      </c>
      <c r="T29" s="49">
        <f ca="1"/>
        <v>-10023912.426816242</v>
      </c>
      <c r="U29" s="49">
        <f ca="1"/>
        <v>-10223770.387378836</v>
      </c>
      <c r="V29" s="49">
        <f ca="1"/>
        <v>-10409467.785072297</v>
      </c>
      <c r="W29" s="49">
        <f ca="1"/>
        <v>-10580074.420683248</v>
      </c>
      <c r="X29" s="49">
        <f ca="1"/>
        <v>-10734811.913606934</v>
      </c>
      <c r="Y29" s="49">
        <f ca="1"/>
        <v>-10872851.636940651</v>
      </c>
      <c r="Z29" s="49">
        <f ca="1"/>
        <v>-10993585.788630083</v>
      </c>
      <c r="AA29" s="49">
        <f ca="1"/>
        <v>-11096586.511008224</v>
      </c>
      <c r="AB29" s="49">
        <f ca="1"/>
        <v>-11181353.445683846</v>
      </c>
      <c r="AC29" s="49">
        <f ca="1"/>
        <v>-11247417.51039852</v>
      </c>
      <c r="AD29" s="49">
        <f ca="1"/>
        <v>-11294489.925177719</v>
      </c>
      <c r="AE29" s="49">
        <f ca="1"/>
        <v>-11322367.767564591</v>
      </c>
      <c r="AF29" s="49">
        <f ca="1"/>
        <v>-11330754.472777549</v>
      </c>
      <c r="AG29" s="49">
        <f ca="1"/>
        <v>-11319398.770358482</v>
      </c>
      <c r="AH29" s="429">
        <f ca="1"/>
        <v>-11288135.757519664</v>
      </c>
      <c r="AI29" s="144">
        <f t="shared" ca="1" si="2"/>
        <v>-268165990.01551303</v>
      </c>
    </row>
    <row r="30" spans="2:35">
      <c r="B30" s="102" t="str">
        <v>Receita Não Tarifária</v>
      </c>
      <c r="C30" s="108" t="str">
        <v/>
      </c>
      <c r="D30" s="51" t="str">
        <v/>
      </c>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29"/>
      <c r="AI30" s="122"/>
    </row>
    <row r="31" spans="2:35">
      <c r="B31" s="105" t="str">
        <v>Incorporação da receita diferida (aporte estatal) na DRE</v>
      </c>
      <c r="C31" s="108" t="str">
        <v>Art. 500 e parágrafos do decreto 9.580/2018</v>
      </c>
      <c r="D31" s="51" t="str">
        <v/>
      </c>
      <c r="E31" s="49" cm="1">
        <f t="array" aca="1" ref="E31:AH31" ca="1">'DRE Nominal'!E31:AH31 / (1 + 'Painel Controle'!D$149:AG$149)</f>
        <v>3702700</v>
      </c>
      <c r="F31" s="49">
        <f ca="1"/>
        <v>3563715.1106833499</v>
      </c>
      <c r="G31" s="49">
        <f ca="1"/>
        <v>12479436.505224869</v>
      </c>
      <c r="H31" s="49">
        <f ca="1"/>
        <v>39166002.912083395</v>
      </c>
      <c r="I31" s="49">
        <f ca="1"/>
        <v>51847014.099624522</v>
      </c>
      <c r="J31" s="49">
        <f ca="1"/>
        <v>64804843.540861674</v>
      </c>
      <c r="K31" s="49">
        <f ca="1"/>
        <v>62565015.969165541</v>
      </c>
      <c r="L31" s="49">
        <f ca="1"/>
        <v>60402602.789308302</v>
      </c>
      <c r="M31" s="49">
        <f ca="1"/>
        <v>58314928.354226984</v>
      </c>
      <c r="N31" s="49">
        <f ca="1"/>
        <v>56299409.494329967</v>
      </c>
      <c r="O31" s="49">
        <f ca="1"/>
        <v>54353552.321229935</v>
      </c>
      <c r="P31" s="49">
        <f ca="1"/>
        <v>52474949.141948186</v>
      </c>
      <c r="Q31" s="49">
        <f ca="1"/>
        <v>50661275.479772329</v>
      </c>
      <c r="R31" s="49">
        <f ca="1"/>
        <v>48910287.198081031</v>
      </c>
      <c r="S31" s="49">
        <f ca="1"/>
        <v>47219817.723576978</v>
      </c>
      <c r="T31" s="49">
        <f ca="1"/>
        <v>45587775.365492351</v>
      </c>
      <c r="U31" s="49">
        <f ca="1"/>
        <v>44012140.727449656</v>
      </c>
      <c r="V31" s="49">
        <f ca="1"/>
        <v>42490964.208775491</v>
      </c>
      <c r="W31" s="49">
        <f ca="1"/>
        <v>41022363.592175603</v>
      </c>
      <c r="X31" s="49">
        <f ca="1"/>
        <v>39604521.714786246</v>
      </c>
      <c r="Y31" s="49">
        <f ca="1"/>
        <v>38235684.219720259</v>
      </c>
      <c r="Z31" s="49">
        <f ca="1"/>
        <v>36914157.385325596</v>
      </c>
      <c r="AA31" s="49">
        <f ca="1"/>
        <v>35638306.029470548</v>
      </c>
      <c r="AB31" s="49">
        <f ca="1"/>
        <v>34406551.486262351</v>
      </c>
      <c r="AC31" s="49">
        <f ca="1"/>
        <v>33217369.652695838</v>
      </c>
      <c r="AD31" s="49">
        <f ca="1"/>
        <v>32069289.102815058</v>
      </c>
      <c r="AE31" s="49">
        <f ca="1"/>
        <v>30960889.267054506</v>
      </c>
      <c r="AF31" s="49">
        <f ca="1"/>
        <v>29890798.674507149</v>
      </c>
      <c r="AG31" s="49">
        <f ca="1"/>
        <v>28857693.255944345</v>
      </c>
      <c r="AH31" s="429">
        <f ca="1"/>
        <v>27860294.705487877</v>
      </c>
      <c r="AI31" s="144">
        <f t="shared" ref="AI31:AI53" ca="1" si="3">SUM(E31:AH31)</f>
        <v>1207534350.0280802</v>
      </c>
    </row>
    <row r="32" spans="2:35">
      <c r="B32" s="103" t="str">
        <v>PIS/COFINS sobre a receita diferida (aporte estatal)</v>
      </c>
      <c r="C32" s="108" t="str">
        <v>Art. 6º, §§ 6º e 7º, da lei 11.079/2004</v>
      </c>
      <c r="D32" s="51">
        <v>3.6499999999999998E-2</v>
      </c>
      <c r="E32" s="49" cm="1">
        <f t="array" aca="1" ref="E32:AH32" ca="1">'DRE Nominal'!E32:AH32 / (1 + 'Painel Controle'!D$149:AG$149)</f>
        <v>-135148.55000000002</v>
      </c>
      <c r="F32" s="49">
        <f ca="1"/>
        <v>-130075.60153994228</v>
      </c>
      <c r="G32" s="49">
        <f ca="1"/>
        <v>-455499.43244070769</v>
      </c>
      <c r="H32" s="49">
        <f ca="1"/>
        <v>-1429559.1062910438</v>
      </c>
      <c r="I32" s="49">
        <f ca="1"/>
        <v>-1892416.0146362949</v>
      </c>
      <c r="J32" s="49">
        <f ca="1"/>
        <v>-2365376.7892414508</v>
      </c>
      <c r="K32" s="49">
        <f ca="1"/>
        <v>-2283623.0828745421</v>
      </c>
      <c r="L32" s="49">
        <f ca="1"/>
        <v>-2204695.001809753</v>
      </c>
      <c r="M32" s="49">
        <f ca="1"/>
        <v>-2128494.8849292849</v>
      </c>
      <c r="N32" s="49">
        <f ca="1"/>
        <v>-2054928.4465430435</v>
      </c>
      <c r="O32" s="49">
        <f ca="1"/>
        <v>-1983904.6597248923</v>
      </c>
      <c r="P32" s="49">
        <f ca="1"/>
        <v>-1915335.6436811085</v>
      </c>
      <c r="Q32" s="49">
        <f ca="1"/>
        <v>-1849136.5550116899</v>
      </c>
      <c r="R32" s="49">
        <f ca="1"/>
        <v>-1785225.4827299574</v>
      </c>
      <c r="S32" s="49">
        <f ca="1"/>
        <v>-1723523.3469105596</v>
      </c>
      <c r="T32" s="49">
        <f ca="1"/>
        <v>-1663953.8008404707</v>
      </c>
      <c r="U32" s="49">
        <f ca="1"/>
        <v>-1606443.1365519126</v>
      </c>
      <c r="V32" s="49">
        <f ca="1"/>
        <v>-1550920.1936203055</v>
      </c>
      <c r="W32" s="49">
        <f ca="1"/>
        <v>-1497316.2711144094</v>
      </c>
      <c r="X32" s="49">
        <f ca="1"/>
        <v>-1445565.042589698</v>
      </c>
      <c r="Y32" s="49">
        <f ca="1"/>
        <v>-1395602.4740197894</v>
      </c>
      <c r="Z32" s="49">
        <f ca="1"/>
        <v>-1347366.744564384</v>
      </c>
      <c r="AA32" s="49">
        <f ca="1"/>
        <v>-1300798.1700756748</v>
      </c>
      <c r="AB32" s="49">
        <f ca="1"/>
        <v>-1255839.1292485758</v>
      </c>
      <c r="AC32" s="49">
        <f ca="1"/>
        <v>-1212433.9923233979</v>
      </c>
      <c r="AD32" s="49">
        <f ca="1"/>
        <v>-1170529.0522527494</v>
      </c>
      <c r="AE32" s="49">
        <f ca="1"/>
        <v>-1130072.4582474893</v>
      </c>
      <c r="AF32" s="49">
        <f ca="1"/>
        <v>-1091014.1516195107</v>
      </c>
      <c r="AG32" s="49">
        <f ca="1"/>
        <v>-1053305.8038419688</v>
      </c>
      <c r="AH32" s="429">
        <f ca="1"/>
        <v>-1016900.7567503075</v>
      </c>
      <c r="AI32" s="144">
        <f t="shared" ca="1" si="3"/>
        <v>-44075003.776024908</v>
      </c>
    </row>
    <row r="33" spans="2:35">
      <c r="B33" s="105" t="str">
        <v>Recebimento de contraprestação pecuniária</v>
      </c>
      <c r="C33" s="138" t="str">
        <v/>
      </c>
      <c r="D33" s="51" t="str">
        <v/>
      </c>
      <c r="E33" s="49" cm="1">
        <f t="array" ref="E33:AH33">'DRE Nominal'!E33:AH33 / (1 + 'Painel Controle'!D$149:AG$149)</f>
        <v>0</v>
      </c>
      <c r="F33" s="49">
        <v>0</v>
      </c>
      <c r="G33" s="49">
        <v>0</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29">
        <v>0</v>
      </c>
      <c r="AI33" s="144">
        <f t="shared" si="3"/>
        <v>0</v>
      </c>
    </row>
    <row r="34" spans="2:35">
      <c r="B34" s="103" t="str">
        <v>PIS/COFINS sobre a contraprestação</v>
      </c>
      <c r="C34" s="138" t="str">
        <v/>
      </c>
      <c r="D34" s="51">
        <v>3.6499999999999998E-2</v>
      </c>
      <c r="E34" s="49" cm="1">
        <f t="array" ref="E34:AH34">'DRE Nominal'!E34:AH34 / (1 + 'Painel Controle'!D$149:AG$149)</f>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v>0</v>
      </c>
      <c r="AD34" s="49">
        <v>0</v>
      </c>
      <c r="AE34" s="49">
        <v>0</v>
      </c>
      <c r="AF34" s="49">
        <v>0</v>
      </c>
      <c r="AG34" s="49">
        <v>0</v>
      </c>
      <c r="AH34" s="429">
        <v>0</v>
      </c>
      <c r="AI34" s="144">
        <f t="shared" si="3"/>
        <v>0</v>
      </c>
    </row>
    <row r="35" spans="2:35">
      <c r="B35" s="105" t="str">
        <v>Compartilhamento do risco de inadimplência (indenização)</v>
      </c>
      <c r="C35" s="108" t="str">
        <v>Solução de Consulta COSIT 117/2021. A inadimplência é lançada como despesa, por isso a parte dela que foi recuperada pela indenização deve ser incluída na base de cálculo de IRPJ e CSLL.</v>
      </c>
      <c r="D35" s="51" t="str">
        <v/>
      </c>
      <c r="E35" s="49" cm="1">
        <f t="array" aca="1" ref="E35:AH35" ca="1">'DRE Nominal'!E35:AH35 / (1 + 'Painel Controle'!D$149:AG$149)</f>
        <v>0</v>
      </c>
      <c r="F35" s="49">
        <f ca="1"/>
        <v>17696584.695545636</v>
      </c>
      <c r="G35" s="49">
        <f ca="1"/>
        <v>21244497.804766454</v>
      </c>
      <c r="H35" s="49">
        <f ca="1"/>
        <v>20239073.040627729</v>
      </c>
      <c r="I35" s="49">
        <f ca="1"/>
        <v>20764013.607304946</v>
      </c>
      <c r="J35" s="49">
        <f ca="1"/>
        <v>21233201.362352703</v>
      </c>
      <c r="K35" s="49">
        <f ca="1"/>
        <v>24434038.333194278</v>
      </c>
      <c r="L35" s="49">
        <f ca="1"/>
        <v>24999612.059447072</v>
      </c>
      <c r="M35" s="49">
        <f ca="1"/>
        <v>25641752.504308473</v>
      </c>
      <c r="N35" s="49">
        <f ca="1"/>
        <v>26373803.301355742</v>
      </c>
      <c r="O35" s="49">
        <f ca="1"/>
        <v>27128302.590131704</v>
      </c>
      <c r="P35" s="49">
        <f ca="1"/>
        <v>27903659.987557933</v>
      </c>
      <c r="Q35" s="49">
        <f ca="1"/>
        <v>28655064.124302339</v>
      </c>
      <c r="R35" s="49">
        <f ca="1"/>
        <v>29377968.381379325</v>
      </c>
      <c r="S35" s="49">
        <f ca="1"/>
        <v>30067685.877403077</v>
      </c>
      <c r="T35" s="49">
        <f ca="1"/>
        <v>32131445.313356161</v>
      </c>
      <c r="U35" s="49">
        <f ca="1"/>
        <v>32772085.899269141</v>
      </c>
      <c r="V35" s="49">
        <f ca="1"/>
        <v>33367335.091875575</v>
      </c>
      <c r="W35" s="49">
        <f ca="1"/>
        <v>33914211.156710684</v>
      </c>
      <c r="X35" s="49">
        <f ca="1"/>
        <v>34410219.010740042</v>
      </c>
      <c r="Y35" s="49">
        <f ca="1"/>
        <v>34852702.507453598</v>
      </c>
      <c r="Z35" s="49">
        <f ca="1"/>
        <v>35239713.349855334</v>
      </c>
      <c r="AA35" s="49">
        <f ca="1"/>
        <v>35569880.04898528</v>
      </c>
      <c r="AB35" s="49">
        <f ca="1"/>
        <v>35841598.71630165</v>
      </c>
      <c r="AC35" s="49">
        <f ca="1"/>
        <v>36053365.718263745</v>
      </c>
      <c r="AD35" s="49">
        <f ca="1"/>
        <v>36204255.376597069</v>
      </c>
      <c r="AE35" s="49">
        <f ca="1"/>
        <v>36293617.227535821</v>
      </c>
      <c r="AF35" s="49">
        <f ca="1"/>
        <v>36320500.638766378</v>
      </c>
      <c r="AG35" s="49">
        <f ca="1"/>
        <v>36284100.167998426</v>
      </c>
      <c r="AH35" s="429">
        <f ca="1"/>
        <v>36183887.222734272</v>
      </c>
      <c r="AI35" s="144">
        <f t="shared" ca="1" si="3"/>
        <v>871198175.11612058</v>
      </c>
    </row>
    <row r="36" spans="2:35">
      <c r="B36" s="105" t="str">
        <v>Compartilhamento do risco de perda de receita por DUF (indenização)</v>
      </c>
      <c r="C36" s="108" t="str">
        <v>Solução de Consulta COSIT 117/2021. Já a perda de receita decorrente do DUF não é lançado como despesa, pois a receita que for perdida sequer foi faturada. Portanto, a indenização que recopõe essa perda não é tributável para IRPJ e CSLL.</v>
      </c>
      <c r="D36" s="51" t="str">
        <v/>
      </c>
      <c r="E36" s="49" cm="1">
        <f t="array" aca="1" ref="E36:AH36" ca="1">'DRE Nominal'!E36:AH36 / (1 + 'Painel Controle'!D$149:AG$149)</f>
        <v>0</v>
      </c>
      <c r="F36" s="49">
        <f ca="1"/>
        <v>0</v>
      </c>
      <c r="G36" s="49">
        <f ca="1"/>
        <v>0</v>
      </c>
      <c r="H36" s="49">
        <f ca="1"/>
        <v>0</v>
      </c>
      <c r="I36" s="49">
        <f ca="1"/>
        <v>0</v>
      </c>
      <c r="J36" s="49">
        <f ca="1"/>
        <v>0</v>
      </c>
      <c r="K36" s="49">
        <f ca="1"/>
        <v>0</v>
      </c>
      <c r="L36" s="49">
        <f ca="1"/>
        <v>0</v>
      </c>
      <c r="M36" s="49">
        <f ca="1"/>
        <v>0</v>
      </c>
      <c r="N36" s="49">
        <f ca="1"/>
        <v>57066.031457460063</v>
      </c>
      <c r="O36" s="49">
        <f ca="1"/>
        <v>134848.49252101759</v>
      </c>
      <c r="P36" s="49">
        <f ca="1"/>
        <v>160387.49089413599</v>
      </c>
      <c r="Q36" s="49">
        <f ca="1"/>
        <v>186723.23733425877</v>
      </c>
      <c r="R36" s="49">
        <f ca="1"/>
        <v>213685.36504415778</v>
      </c>
      <c r="S36" s="49">
        <f ca="1"/>
        <v>241087.20260989451</v>
      </c>
      <c r="T36" s="49">
        <f ca="1"/>
        <v>177717.59998545924</v>
      </c>
      <c r="U36" s="49">
        <f ca="1"/>
        <v>203986.0964797849</v>
      </c>
      <c r="V36" s="49">
        <f ca="1"/>
        <v>230299.70448946152</v>
      </c>
      <c r="W36" s="49">
        <f ca="1"/>
        <v>256500.84571215598</v>
      </c>
      <c r="X36" s="49">
        <f ca="1"/>
        <v>282436.11671341583</v>
      </c>
      <c r="Y36" s="49">
        <f ca="1"/>
        <v>307951.44416941726</v>
      </c>
      <c r="Z36" s="49">
        <f ca="1"/>
        <v>332904.77524303814</v>
      </c>
      <c r="AA36" s="49">
        <f ca="1"/>
        <v>357166.43986659491</v>
      </c>
      <c r="AB36" s="49">
        <f ca="1"/>
        <v>380608.06159964181</v>
      </c>
      <c r="AC36" s="49">
        <f ca="1"/>
        <v>403105.012635772</v>
      </c>
      <c r="AD36" s="49">
        <f ca="1"/>
        <v>424543.67115755816</v>
      </c>
      <c r="AE36" s="49">
        <f ca="1"/>
        <v>444814.84120919643</v>
      </c>
      <c r="AF36" s="49">
        <f ca="1"/>
        <v>463804.67521637515</v>
      </c>
      <c r="AG36" s="49">
        <f ca="1"/>
        <v>481403.88549548818</v>
      </c>
      <c r="AH36" s="429">
        <f ca="1"/>
        <v>497511.8957327684</v>
      </c>
      <c r="AI36" s="144">
        <f t="shared" ca="1" si="3"/>
        <v>6238552.8855670542</v>
      </c>
    </row>
    <row r="37" spans="2:35">
      <c r="B37" s="102" t="str">
        <v>Receita Líquida</v>
      </c>
      <c r="C37" s="108" t="str">
        <v/>
      </c>
      <c r="D37" s="108" t="str">
        <v/>
      </c>
      <c r="E37" s="50" cm="1">
        <f t="array" aca="1" ref="E37:AH37" ca="1">'DRE Nominal'!E37:AH37 / (1 + 'Painel Controle'!D$149:AG$149)</f>
        <v>3567551.45</v>
      </c>
      <c r="F37" s="50">
        <f ca="1"/>
        <v>121654132.48868108</v>
      </c>
      <c r="G37" s="50">
        <f ca="1"/>
        <v>169030867.48725167</v>
      </c>
      <c r="H37" s="50">
        <f ca="1"/>
        <v>195935646.21615428</v>
      </c>
      <c r="I37" s="50">
        <f ca="1"/>
        <v>233906338.19678485</v>
      </c>
      <c r="J37" s="50">
        <f ca="1"/>
        <v>250548124.15692264</v>
      </c>
      <c r="K37" s="50">
        <f ca="1"/>
        <v>276730070.69797432</v>
      </c>
      <c r="L37" s="50">
        <f ca="1"/>
        <v>279657029.07025284</v>
      </c>
      <c r="M37" s="50">
        <f ca="1"/>
        <v>283333950.97196078</v>
      </c>
      <c r="N37" s="50">
        <f ca="1"/>
        <v>287934063.70825195</v>
      </c>
      <c r="O37" s="50">
        <f ca="1"/>
        <v>292821104.95494497</v>
      </c>
      <c r="P37" s="50">
        <f ca="1"/>
        <v>297905725.66703117</v>
      </c>
      <c r="Q37" s="50">
        <f ca="1"/>
        <v>302841564.53799993</v>
      </c>
      <c r="R37" s="50">
        <f ca="1"/>
        <v>307586009.42393351</v>
      </c>
      <c r="S37" s="50">
        <f ca="1"/>
        <v>312095263.32761782</v>
      </c>
      <c r="T37" s="50">
        <f ca="1"/>
        <v>328876132.39878756</v>
      </c>
      <c r="U37" s="50">
        <f ca="1"/>
        <v>333063012.81938183</v>
      </c>
      <c r="V37" s="50">
        <f ca="1"/>
        <v>336900156.54250008</v>
      </c>
      <c r="W37" s="50">
        <f ca="1"/>
        <v>340359160.65654635</v>
      </c>
      <c r="X37" s="50">
        <f ca="1"/>
        <v>343416001.83879036</v>
      </c>
      <c r="Y37" s="50">
        <f ca="1"/>
        <v>346045289.02326798</v>
      </c>
      <c r="Z37" s="50">
        <f ca="1"/>
        <v>348227975.00440365</v>
      </c>
      <c r="AA37" s="50">
        <f ca="1"/>
        <v>349950193.51567268</v>
      </c>
      <c r="AB37" s="50">
        <f ca="1"/>
        <v>351196074.40155303</v>
      </c>
      <c r="AC37" s="50">
        <f ca="1"/>
        <v>351950692.32000667</v>
      </c>
      <c r="AD37" s="50">
        <f ca="1"/>
        <v>352204305.96524072</v>
      </c>
      <c r="AE37" s="50">
        <f ca="1"/>
        <v>351949666.49487436</v>
      </c>
      <c r="AF37" s="50">
        <f ca="1"/>
        <v>351176907.22149765</v>
      </c>
      <c r="AG37" s="50">
        <f ca="1"/>
        <v>349877498.4632436</v>
      </c>
      <c r="AH37" s="430">
        <f ca="1"/>
        <v>348045417.12160033</v>
      </c>
      <c r="AI37" s="144">
        <f t="shared" ca="1" si="3"/>
        <v>8798785926.1431274</v>
      </c>
    </row>
    <row r="38" spans="2:35">
      <c r="B38" s="105" t="str">
        <v>Despesas operacionais</v>
      </c>
      <c r="C38" s="108" t="str">
        <v/>
      </c>
      <c r="D38" s="108" t="str">
        <v/>
      </c>
      <c r="E38" s="49" cm="1">
        <f t="array" aca="1" ref="E38:AH38" ca="1">'DRE Nominal'!E38:AH38 / (1 + 'Painel Controle'!D$149:AG$149)</f>
        <v>-50878328.818097323</v>
      </c>
      <c r="F38" s="49">
        <f ca="1"/>
        <v>-49870978.170316093</v>
      </c>
      <c r="G38" s="49">
        <f ca="1"/>
        <v>-56093647.808584154</v>
      </c>
      <c r="H38" s="49">
        <f ca="1"/>
        <v>-61630050.266975917</v>
      </c>
      <c r="I38" s="49">
        <f ca="1"/>
        <v>-62805801.949133754</v>
      </c>
      <c r="J38" s="49">
        <f ca="1"/>
        <v>-61986791.47252515</v>
      </c>
      <c r="K38" s="49">
        <f ca="1"/>
        <v>-63030153.148479223</v>
      </c>
      <c r="L38" s="49">
        <f ca="1"/>
        <v>-63172842.625027247</v>
      </c>
      <c r="M38" s="49">
        <f ca="1"/>
        <v>-61406961.681260705</v>
      </c>
      <c r="N38" s="49">
        <f ca="1"/>
        <v>-61336620.923109204</v>
      </c>
      <c r="O38" s="49">
        <f ca="1"/>
        <v>-61787713.010439925</v>
      </c>
      <c r="P38" s="49">
        <f ca="1"/>
        <v>-62323258.246995263</v>
      </c>
      <c r="Q38" s="49">
        <f ca="1"/>
        <v>-62889689.933098756</v>
      </c>
      <c r="R38" s="49">
        <f ca="1"/>
        <v>-63251113.775223687</v>
      </c>
      <c r="S38" s="49">
        <f ca="1"/>
        <v>-64744554.205234334</v>
      </c>
      <c r="T38" s="49">
        <f ca="1"/>
        <v>-65641013.274548233</v>
      </c>
      <c r="U38" s="49">
        <f ca="1"/>
        <v>-66324943.882675245</v>
      </c>
      <c r="V38" s="49">
        <f ca="1"/>
        <v>-66591239.06497255</v>
      </c>
      <c r="W38" s="49">
        <f ca="1"/>
        <v>-66955639.284464367</v>
      </c>
      <c r="X38" s="49">
        <f ca="1"/>
        <v>-64973701.304283716</v>
      </c>
      <c r="Y38" s="49">
        <f ca="1"/>
        <v>-65249991.202927418</v>
      </c>
      <c r="Z38" s="49">
        <f ca="1"/>
        <v>-65122164.077658594</v>
      </c>
      <c r="AA38" s="49">
        <f ca="1"/>
        <v>-65361659.263170317</v>
      </c>
      <c r="AB38" s="49">
        <f ca="1"/>
        <v>-65422782.203760274</v>
      </c>
      <c r="AC38" s="49">
        <f ca="1"/>
        <v>-65650331.743332773</v>
      </c>
      <c r="AD38" s="49">
        <f ca="1"/>
        <v>-64026620.437857985</v>
      </c>
      <c r="AE38" s="49">
        <f ca="1"/>
        <v>-64171489.249361075</v>
      </c>
      <c r="AF38" s="49">
        <f ca="1"/>
        <v>-64040126.329837605</v>
      </c>
      <c r="AG38" s="49">
        <f ca="1"/>
        <v>-64368087.733769827</v>
      </c>
      <c r="AH38" s="429">
        <f ca="1"/>
        <v>-64088052.624284908</v>
      </c>
      <c r="AI38" s="144">
        <f t="shared" ca="1" si="3"/>
        <v>-1885196347.7114058</v>
      </c>
    </row>
    <row r="39" spans="2:35">
      <c r="B39" s="105" t="str">
        <v>Inadimplência</v>
      </c>
      <c r="C39" s="108" t="str">
        <v>Art. 9º da lei 9.430/1996</v>
      </c>
      <c r="D39" s="108" t="str">
        <v/>
      </c>
      <c r="E39" s="49" cm="1">
        <f t="array" aca="1" ref="E39:AH39" ca="1">'DRE Nominal'!E39:AH39 / (1 + 'Painel Controle'!D$149:AG$149)</f>
        <v>0</v>
      </c>
      <c r="F39" s="49">
        <f ca="1"/>
        <v>-19662871.883939594</v>
      </c>
      <c r="G39" s="49">
        <f ca="1"/>
        <v>-23604997.560851615</v>
      </c>
      <c r="H39" s="49">
        <f ca="1"/>
        <v>-22487858.934030809</v>
      </c>
      <c r="I39" s="49">
        <f ca="1"/>
        <v>-23071126.230338831</v>
      </c>
      <c r="J39" s="49">
        <f ca="1"/>
        <v>-23592445.958169669</v>
      </c>
      <c r="K39" s="49">
        <f ca="1"/>
        <v>-27148931.481326975</v>
      </c>
      <c r="L39" s="49">
        <f ca="1"/>
        <v>-27777346.732718971</v>
      </c>
      <c r="M39" s="49">
        <f ca="1"/>
        <v>-28490836.115898304</v>
      </c>
      <c r="N39" s="49">
        <f ca="1"/>
        <v>-29304225.890395269</v>
      </c>
      <c r="O39" s="49">
        <f ca="1"/>
        <v>-30142558.433479667</v>
      </c>
      <c r="P39" s="49">
        <f ca="1"/>
        <v>-31004066.652842145</v>
      </c>
      <c r="Q39" s="49">
        <f ca="1"/>
        <v>-31838960.138113711</v>
      </c>
      <c r="R39" s="49">
        <f ca="1"/>
        <v>-32642187.090421472</v>
      </c>
      <c r="S39" s="49">
        <f ca="1"/>
        <v>-33408539.863781195</v>
      </c>
      <c r="T39" s="49">
        <f ca="1"/>
        <v>-35701605.903729066</v>
      </c>
      <c r="U39" s="49">
        <f ca="1"/>
        <v>-36413428.776965715</v>
      </c>
      <c r="V39" s="49">
        <f ca="1"/>
        <v>-37074816.768750638</v>
      </c>
      <c r="W39" s="49">
        <f ca="1"/>
        <v>-37682456.840789646</v>
      </c>
      <c r="X39" s="49">
        <f ca="1"/>
        <v>-38233576.678600043</v>
      </c>
      <c r="Y39" s="49">
        <f ca="1"/>
        <v>-38725225.008281775</v>
      </c>
      <c r="Z39" s="49">
        <f ca="1"/>
        <v>-39155237.055394813</v>
      </c>
      <c r="AA39" s="49">
        <f ca="1"/>
        <v>-39522088.943316981</v>
      </c>
      <c r="AB39" s="49">
        <f ca="1"/>
        <v>-39823998.573668502</v>
      </c>
      <c r="AC39" s="49">
        <f ca="1"/>
        <v>-40059295.242515273</v>
      </c>
      <c r="AD39" s="49">
        <f ca="1"/>
        <v>-40226950.418441191</v>
      </c>
      <c r="AE39" s="49">
        <f ca="1"/>
        <v>-40326241.363928691</v>
      </c>
      <c r="AF39" s="49">
        <f ca="1"/>
        <v>-40356111.820851535</v>
      </c>
      <c r="AG39" s="49">
        <f ca="1"/>
        <v>-40315666.853331581</v>
      </c>
      <c r="AH39" s="429">
        <f ca="1"/>
        <v>-40204319.136371411</v>
      </c>
      <c r="AI39" s="144">
        <f t="shared" ca="1" si="3"/>
        <v>-967997972.35124528</v>
      </c>
    </row>
    <row r="40" spans="2:35">
      <c r="B40" s="102" t="str">
        <v>EBITDA</v>
      </c>
      <c r="C40" s="108" t="str">
        <v/>
      </c>
      <c r="D40" s="108" t="str">
        <v/>
      </c>
      <c r="E40" s="50" cm="1">
        <f t="array" aca="1" ref="E40:AH40" ca="1">'DRE Nominal'!E40:AH40 / (1 + 'Painel Controle'!D$149:AG$149)</f>
        <v>-47310777.36809732</v>
      </c>
      <c r="F40" s="50">
        <f ca="1"/>
        <v>52120282.434425391</v>
      </c>
      <c r="G40" s="50">
        <f ca="1"/>
        <v>89332222.117815882</v>
      </c>
      <c r="H40" s="50">
        <f ca="1"/>
        <v>111817737.01514758</v>
      </c>
      <c r="I40" s="50">
        <f ca="1"/>
        <v>148029410.01731229</v>
      </c>
      <c r="J40" s="50">
        <f ca="1"/>
        <v>164968886.72622785</v>
      </c>
      <c r="K40" s="50">
        <f ca="1"/>
        <v>186550986.06816813</v>
      </c>
      <c r="L40" s="50">
        <f ca="1"/>
        <v>188706839.71250662</v>
      </c>
      <c r="M40" s="50">
        <f ca="1"/>
        <v>193436153.1748018</v>
      </c>
      <c r="N40" s="50">
        <f ca="1"/>
        <v>197293216.8947475</v>
      </c>
      <c r="O40" s="50">
        <f ca="1"/>
        <v>200890833.5110254</v>
      </c>
      <c r="P40" s="50">
        <f ca="1"/>
        <v>204578400.76719376</v>
      </c>
      <c r="Q40" s="50">
        <f ca="1"/>
        <v>208112914.4667874</v>
      </c>
      <c r="R40" s="50">
        <f ca="1"/>
        <v>211692708.55828837</v>
      </c>
      <c r="S40" s="50">
        <f ca="1"/>
        <v>213942169.25860232</v>
      </c>
      <c r="T40" s="50">
        <f ca="1"/>
        <v>227533513.22051024</v>
      </c>
      <c r="U40" s="50">
        <f ca="1"/>
        <v>230324640.15974084</v>
      </c>
      <c r="V40" s="50">
        <f ca="1"/>
        <v>233234100.70877695</v>
      </c>
      <c r="W40" s="50">
        <f ca="1"/>
        <v>235721064.53129235</v>
      </c>
      <c r="X40" s="50">
        <f ca="1"/>
        <v>240208723.85590664</v>
      </c>
      <c r="Y40" s="50">
        <f ca="1"/>
        <v>242070072.81205878</v>
      </c>
      <c r="Z40" s="50">
        <f ca="1"/>
        <v>243950573.87135023</v>
      </c>
      <c r="AA40" s="50">
        <f ca="1"/>
        <v>245066445.30918539</v>
      </c>
      <c r="AB40" s="50">
        <f ca="1"/>
        <v>245949293.62412426</v>
      </c>
      <c r="AC40" s="50">
        <f ca="1"/>
        <v>246241065.33415866</v>
      </c>
      <c r="AD40" s="50">
        <f ca="1"/>
        <v>247950735.10894156</v>
      </c>
      <c r="AE40" s="50">
        <f ca="1"/>
        <v>247451935.88158458</v>
      </c>
      <c r="AF40" s="50">
        <f ca="1"/>
        <v>246780669.07080853</v>
      </c>
      <c r="AG40" s="50">
        <f ca="1"/>
        <v>245193743.87614217</v>
      </c>
      <c r="AH40" s="430">
        <f ca="1"/>
        <v>243753045.36094397</v>
      </c>
      <c r="AI40" s="144">
        <f t="shared" ca="1" si="3"/>
        <v>5945591606.0804777</v>
      </c>
    </row>
    <row r="41" spans="2:35">
      <c r="B41" s="105" t="str">
        <v>Amortização do ativo intangível</v>
      </c>
      <c r="C41" s="108" t="str">
        <v>Art. 41, lei 12.973/2014</v>
      </c>
      <c r="D41" s="108" t="str">
        <v/>
      </c>
      <c r="E41" s="49" cm="1">
        <f t="array" ref="E41:AH41">'DRE Nominal'!E41:AH41 / (1 + 'Painel Controle'!D$149:AG$149)</f>
        <v>-5953324.5348921251</v>
      </c>
      <c r="F41" s="49">
        <v>-9747838.8145559616</v>
      </c>
      <c r="G41" s="49">
        <v>-21966519.705602325</v>
      </c>
      <c r="H41" s="49">
        <v>-52222123.035920754</v>
      </c>
      <c r="I41" s="49">
        <v>-69852517.264497668</v>
      </c>
      <c r="J41" s="49">
        <v>-87287682.794477209</v>
      </c>
      <c r="K41" s="49">
        <v>-84486935.909632459</v>
      </c>
      <c r="L41" s="49">
        <v>-84259880.494128615</v>
      </c>
      <c r="M41" s="49">
        <v>-84470864.668263063</v>
      </c>
      <c r="N41" s="49">
        <v>-83332669.569391966</v>
      </c>
      <c r="O41" s="49">
        <v>-82237528.220835194</v>
      </c>
      <c r="P41" s="49">
        <v>-79937754.727834687</v>
      </c>
      <c r="Q41" s="49">
        <v>-77806578.496195972</v>
      </c>
      <c r="R41" s="49">
        <v>-75155700.773537293</v>
      </c>
      <c r="S41" s="49">
        <v>-90568160.415828586</v>
      </c>
      <c r="T41" s="49">
        <v>-91068288.137983218</v>
      </c>
      <c r="U41" s="49">
        <v>-96759587.84935306</v>
      </c>
      <c r="V41" s="49">
        <v>-102183423.78080285</v>
      </c>
      <c r="W41" s="49">
        <v>-104413987.47332807</v>
      </c>
      <c r="X41" s="49">
        <v>-102936391.73232543</v>
      </c>
      <c r="Y41" s="49">
        <v>-102358294.21777213</v>
      </c>
      <c r="Z41" s="49">
        <v>-99158722.272178397</v>
      </c>
      <c r="AA41" s="49">
        <v>-98631304.488644838</v>
      </c>
      <c r="AB41" s="49">
        <v>-99543441.117043585</v>
      </c>
      <c r="AC41" s="49">
        <v>-105453852.91123156</v>
      </c>
      <c r="AD41" s="49">
        <v>-113420575.17735468</v>
      </c>
      <c r="AE41" s="49">
        <v>-116188723.78668672</v>
      </c>
      <c r="AF41" s="49">
        <v>-116799064.57767418</v>
      </c>
      <c r="AG41" s="49">
        <v>-125217109.28019838</v>
      </c>
      <c r="AH41" s="429">
        <v>-155206870.56981248</v>
      </c>
      <c r="AI41" s="144">
        <f t="shared" si="3"/>
        <v>-2618625716.7979836</v>
      </c>
    </row>
    <row r="42" spans="2:35">
      <c r="B42" s="102" t="str">
        <v>EBIT</v>
      </c>
      <c r="C42" s="108" t="str">
        <v/>
      </c>
      <c r="D42" s="108" t="str">
        <v/>
      </c>
      <c r="E42" s="50" cm="1">
        <f t="array" aca="1" ref="E42:AH42" ca="1">'DRE Nominal'!E42:AH42 / (1 + 'Painel Controle'!D$149:AG$149)</f>
        <v>-53264101.90298944</v>
      </c>
      <c r="F42" s="50">
        <f ca="1"/>
        <v>42372443.619869433</v>
      </c>
      <c r="G42" s="50">
        <f ca="1"/>
        <v>67365702.412213564</v>
      </c>
      <c r="H42" s="50">
        <f ca="1"/>
        <v>59595613.979226828</v>
      </c>
      <c r="I42" s="50">
        <f ca="1"/>
        <v>78176892.752814621</v>
      </c>
      <c r="J42" s="50">
        <f ca="1"/>
        <v>77681203.931750625</v>
      </c>
      <c r="K42" s="50">
        <f ca="1"/>
        <v>102064050.15853567</v>
      </c>
      <c r="L42" s="50">
        <f ca="1"/>
        <v>104446959.21837801</v>
      </c>
      <c r="M42" s="50">
        <f ca="1"/>
        <v>108965288.50653875</v>
      </c>
      <c r="N42" s="50">
        <f ca="1"/>
        <v>113960547.32535553</v>
      </c>
      <c r="O42" s="50">
        <f ca="1"/>
        <v>118653305.29019019</v>
      </c>
      <c r="P42" s="50">
        <f ca="1"/>
        <v>124640646.03935908</v>
      </c>
      <c r="Q42" s="50">
        <f ca="1"/>
        <v>130306335.97059144</v>
      </c>
      <c r="R42" s="50">
        <f ca="1"/>
        <v>136537007.78475109</v>
      </c>
      <c r="S42" s="50">
        <f ca="1"/>
        <v>123374008.84277374</v>
      </c>
      <c r="T42" s="50">
        <f ca="1"/>
        <v>136465225.08252701</v>
      </c>
      <c r="U42" s="50">
        <f ca="1"/>
        <v>133565052.31038778</v>
      </c>
      <c r="V42" s="50">
        <f ca="1"/>
        <v>131050676.9279741</v>
      </c>
      <c r="W42" s="50">
        <f ca="1"/>
        <v>131307077.0579643</v>
      </c>
      <c r="X42" s="50">
        <f ca="1"/>
        <v>137272332.12358117</v>
      </c>
      <c r="Y42" s="50">
        <f ca="1"/>
        <v>139711778.59428665</v>
      </c>
      <c r="Z42" s="50">
        <f ca="1"/>
        <v>144791851.59917182</v>
      </c>
      <c r="AA42" s="50">
        <f ca="1"/>
        <v>146435140.82054055</v>
      </c>
      <c r="AB42" s="50">
        <f ca="1"/>
        <v>146405852.50708067</v>
      </c>
      <c r="AC42" s="50">
        <f ca="1"/>
        <v>140787212.42292708</v>
      </c>
      <c r="AD42" s="50">
        <f ca="1"/>
        <v>134530159.93158689</v>
      </c>
      <c r="AE42" s="50">
        <f ca="1"/>
        <v>131263212.09489787</v>
      </c>
      <c r="AF42" s="50">
        <f ca="1"/>
        <v>129981604.49313435</v>
      </c>
      <c r="AG42" s="50">
        <f ca="1"/>
        <v>119976634.59594381</v>
      </c>
      <c r="AH42" s="430">
        <f ca="1"/>
        <v>88546174.791131511</v>
      </c>
      <c r="AI42" s="144">
        <f t="shared" ca="1" si="3"/>
        <v>3326965889.2824941</v>
      </c>
    </row>
    <row r="43" spans="2:35">
      <c r="B43" s="106" t="str">
        <v>Despesas de juros</v>
      </c>
      <c r="C43" s="108" t="str">
        <v>O presente modelo é do tipo desalavancado, isto é, não leva em consideração a dedutibilidade da despesa financeira na DRE para fins de apuração da base de cálculo de IRPJ e CSLL. Essa é a opção metodológica mais utilizada e mais aceita para esse tipo de modelo uma vez que, no cálculo do WACC (Custo Médio Ponderado de Capital) o benefício fiscal da dívida já é levado em consideração e não seria adequado aplicar esse benefício duas vezes no modelo (tanto no cálculo do WACC quanto na dedutibilidade da despesa financeira). Além disso, utilizar o fluxo de caixa alavancado no presente modelo geraria erro de referência cirular, uma vez que a captação de empréstimos em determinado ano leva em conta o fluxo de caixa do projeto do mesmo ano. Caso esse fluxo seja impactado pela própria dívida (via dedutibilidade dos juros dos empréstimos) estar-se-ia constituindo uma circularidade.</v>
      </c>
      <c r="D43" s="108" t="str">
        <v/>
      </c>
      <c r="E43" s="49" cm="1">
        <f t="array" aca="1" ref="E43:AH43" ca="1">'DRE Nominal'!E43:AH43 / (1 + 'Painel Controle'!D$149:AG$149)</f>
        <v>0</v>
      </c>
      <c r="F43" s="49">
        <f ca="1"/>
        <v>-7640195.0461735046</v>
      </c>
      <c r="G43" s="49">
        <f ca="1"/>
        <v>-11993428.742725741</v>
      </c>
      <c r="H43" s="49">
        <f ca="1"/>
        <v>-17619140.078087047</v>
      </c>
      <c r="I43" s="49">
        <f ca="1"/>
        <v>-26028450.098948192</v>
      </c>
      <c r="J43" s="49">
        <f ca="1"/>
        <v>-33263238.15862406</v>
      </c>
      <c r="K43" s="49">
        <f ca="1"/>
        <v>-30829029.380458679</v>
      </c>
      <c r="L43" s="49">
        <f ca="1"/>
        <v>-28523350.540264759</v>
      </c>
      <c r="M43" s="49">
        <f ca="1"/>
        <v>-26340224.81618176</v>
      </c>
      <c r="N43" s="49">
        <f ca="1"/>
        <v>-24273934.997095656</v>
      </c>
      <c r="O43" s="49">
        <f ca="1"/>
        <v>-22319012.676740002</v>
      </c>
      <c r="P43" s="49">
        <f ca="1"/>
        <v>-20470227.884633131</v>
      </c>
      <c r="Q43" s="49">
        <f ca="1"/>
        <v>-18722579.136563465</v>
      </c>
      <c r="R43" s="49">
        <f ca="1"/>
        <v>-17071283.888008136</v>
      </c>
      <c r="S43" s="49">
        <f ca="1"/>
        <v>-15511769.374517577</v>
      </c>
      <c r="T43" s="49">
        <f ca="1"/>
        <v>-14039663.823721016</v>
      </c>
      <c r="U43" s="49">
        <f ca="1"/>
        <v>-12650788.024206361</v>
      </c>
      <c r="V43" s="49">
        <f ca="1"/>
        <v>-11341147.237103321</v>
      </c>
      <c r="W43" s="49">
        <f ca="1"/>
        <v>-10106923.43675196</v>
      </c>
      <c r="X43" s="49">
        <f ca="1"/>
        <v>-8944467.8673707545</v>
      </c>
      <c r="Y43" s="49">
        <f ca="1"/>
        <v>-7850293.9031497426</v>
      </c>
      <c r="Z43" s="49">
        <f ca="1"/>
        <v>-6821070.1996860094</v>
      </c>
      <c r="AA43" s="49">
        <f ca="1"/>
        <v>-5853614.1251515821</v>
      </c>
      <c r="AB43" s="49">
        <f ca="1"/>
        <v>-4944885.4600382643</v>
      </c>
      <c r="AC43" s="49">
        <f ca="1"/>
        <v>-4091980.3547609281</v>
      </c>
      <c r="AD43" s="49">
        <f ca="1"/>
        <v>-3292125.5348208528</v>
      </c>
      <c r="AE43" s="49">
        <f ca="1"/>
        <v>-2542672.7436345653</v>
      </c>
      <c r="AF43" s="49">
        <f ca="1"/>
        <v>-1841093.4135218421</v>
      </c>
      <c r="AG43" s="49">
        <f ca="1"/>
        <v>-1184973.5557197928</v>
      </c>
      <c r="AH43" s="429">
        <f ca="1"/>
        <v>-572008.86064867384</v>
      </c>
      <c r="AI43" s="144">
        <f t="shared" ca="1" si="3"/>
        <v>-396683573.35930729</v>
      </c>
    </row>
    <row r="44" spans="2:35">
      <c r="B44" s="102" t="str">
        <v>LAIR antes da compensação dos prejuízos fiscais e da redução das receitas não tributáveis</v>
      </c>
      <c r="C44" s="108" t="str">
        <v>Art. 261, III, Decreto 9.580/2018 (art. 15 e 16 da lei 9.065/1995)</v>
      </c>
      <c r="D44" s="108" t="str">
        <v/>
      </c>
      <c r="E44" s="50" cm="1">
        <f t="array" aca="1" ref="E44:AH44" ca="1">'DRE Nominal'!E44:AH44 / (1 + 'Painel Controle'!D$149:AG$149)</f>
        <v>-53264101.90298944</v>
      </c>
      <c r="F44" s="50">
        <f ca="1"/>
        <v>42372443.619869433</v>
      </c>
      <c r="G44" s="50">
        <f ca="1"/>
        <v>67365702.412213564</v>
      </c>
      <c r="H44" s="50">
        <f ca="1"/>
        <v>59595613.979226828</v>
      </c>
      <c r="I44" s="50">
        <f ca="1"/>
        <v>78176892.752814621</v>
      </c>
      <c r="J44" s="50">
        <f ca="1"/>
        <v>77681203.931750625</v>
      </c>
      <c r="K44" s="50">
        <f ca="1"/>
        <v>102064050.15853567</v>
      </c>
      <c r="L44" s="50">
        <f ca="1"/>
        <v>104446959.21837801</v>
      </c>
      <c r="M44" s="50">
        <f ca="1"/>
        <v>108965288.50653875</v>
      </c>
      <c r="N44" s="50">
        <f ca="1"/>
        <v>113960547.32535553</v>
      </c>
      <c r="O44" s="50">
        <f ca="1"/>
        <v>118653305.29019019</v>
      </c>
      <c r="P44" s="50">
        <f ca="1"/>
        <v>124640646.03935908</v>
      </c>
      <c r="Q44" s="50">
        <f ca="1"/>
        <v>130306335.97059144</v>
      </c>
      <c r="R44" s="50">
        <f ca="1"/>
        <v>136537007.78475109</v>
      </c>
      <c r="S44" s="50">
        <f ca="1"/>
        <v>123374008.84277374</v>
      </c>
      <c r="T44" s="50">
        <f ca="1"/>
        <v>136465225.08252701</v>
      </c>
      <c r="U44" s="50">
        <f ca="1"/>
        <v>133565052.31038778</v>
      </c>
      <c r="V44" s="50">
        <f ca="1"/>
        <v>131050676.9279741</v>
      </c>
      <c r="W44" s="50">
        <f ca="1"/>
        <v>131307077.0579643</v>
      </c>
      <c r="X44" s="50">
        <f ca="1"/>
        <v>137272332.12358117</v>
      </c>
      <c r="Y44" s="50">
        <f ca="1"/>
        <v>139711778.59428665</v>
      </c>
      <c r="Z44" s="50">
        <f ca="1"/>
        <v>144791851.59917182</v>
      </c>
      <c r="AA44" s="50">
        <f ca="1"/>
        <v>146435140.82054055</v>
      </c>
      <c r="AB44" s="50">
        <f ca="1"/>
        <v>146405852.50708067</v>
      </c>
      <c r="AC44" s="50">
        <f ca="1"/>
        <v>140787212.42292708</v>
      </c>
      <c r="AD44" s="50">
        <f ca="1"/>
        <v>134530159.93158689</v>
      </c>
      <c r="AE44" s="50">
        <f ca="1"/>
        <v>131263212.09489787</v>
      </c>
      <c r="AF44" s="50">
        <f ca="1"/>
        <v>129981604.49313435</v>
      </c>
      <c r="AG44" s="50">
        <f ca="1"/>
        <v>119976634.59594381</v>
      </c>
      <c r="AH44" s="430">
        <f ca="1"/>
        <v>88546174.791131511</v>
      </c>
      <c r="AI44" s="144">
        <f t="shared" ca="1" si="3"/>
        <v>3326965889.2824941</v>
      </c>
    </row>
    <row r="45" spans="2:35">
      <c r="B45" s="106" t="str">
        <v>Prejuízo Fiscal dos anos anteriores acumulado</v>
      </c>
      <c r="C45" s="108" t="str">
        <v/>
      </c>
      <c r="D45" s="108" t="str">
        <v/>
      </c>
      <c r="E45" s="49" cm="1">
        <f t="array" aca="1" ref="E45:AH45" ca="1">'DRE Nominal'!E45:AH45 / (1 + 'Painel Controle'!D$149:AG$149)</f>
        <v>0</v>
      </c>
      <c r="F45" s="49">
        <f ca="1"/>
        <v>-51264775.652540378</v>
      </c>
      <c r="G45" s="49">
        <f ca="1"/>
        <v>-37220546.984533258</v>
      </c>
      <c r="H45" s="49">
        <f ca="1"/>
        <v>-16422896.563882204</v>
      </c>
      <c r="I45" s="49">
        <f ca="1"/>
        <v>0</v>
      </c>
      <c r="J45" s="49">
        <f ca="1"/>
        <v>0</v>
      </c>
      <c r="K45" s="49">
        <f ca="1"/>
        <v>0</v>
      </c>
      <c r="L45" s="49">
        <f ca="1"/>
        <v>0</v>
      </c>
      <c r="M45" s="49">
        <f ca="1"/>
        <v>0</v>
      </c>
      <c r="N45" s="49">
        <f ca="1"/>
        <v>0</v>
      </c>
      <c r="O45" s="49">
        <f ca="1"/>
        <v>0</v>
      </c>
      <c r="P45" s="49">
        <f ca="1"/>
        <v>0</v>
      </c>
      <c r="Q45" s="49">
        <f ca="1"/>
        <v>0</v>
      </c>
      <c r="R45" s="49">
        <f ca="1"/>
        <v>0</v>
      </c>
      <c r="S45" s="49">
        <f ca="1"/>
        <v>0</v>
      </c>
      <c r="T45" s="49">
        <f ca="1"/>
        <v>0</v>
      </c>
      <c r="U45" s="49">
        <f ca="1"/>
        <v>0</v>
      </c>
      <c r="V45" s="49">
        <f ca="1"/>
        <v>0</v>
      </c>
      <c r="W45" s="49">
        <f ca="1"/>
        <v>0</v>
      </c>
      <c r="X45" s="49">
        <f ca="1"/>
        <v>0</v>
      </c>
      <c r="Y45" s="49">
        <f ca="1"/>
        <v>0</v>
      </c>
      <c r="Z45" s="49">
        <f ca="1"/>
        <v>0</v>
      </c>
      <c r="AA45" s="49">
        <f ca="1"/>
        <v>0</v>
      </c>
      <c r="AB45" s="49">
        <f ca="1"/>
        <v>0</v>
      </c>
      <c r="AC45" s="49">
        <f ca="1"/>
        <v>0</v>
      </c>
      <c r="AD45" s="49">
        <f ca="1"/>
        <v>0</v>
      </c>
      <c r="AE45" s="49">
        <f ca="1"/>
        <v>0</v>
      </c>
      <c r="AF45" s="49">
        <f ca="1"/>
        <v>0</v>
      </c>
      <c r="AG45" s="49">
        <f ca="1"/>
        <v>0</v>
      </c>
      <c r="AH45" s="429">
        <f ca="1"/>
        <v>0</v>
      </c>
      <c r="AI45" s="144">
        <f t="shared" ca="1" si="3"/>
        <v>-104908219.20095584</v>
      </c>
    </row>
    <row r="46" spans="2:35">
      <c r="B46" s="105" t="str">
        <v>Limite máximo da compensação</v>
      </c>
      <c r="C46" s="108" t="str">
        <v/>
      </c>
      <c r="D46" s="108" t="str">
        <v/>
      </c>
      <c r="E46" s="49" cm="1">
        <f t="array" aca="1" ref="E46:AH46" ca="1">'DRE Nominal'!E46:AH46 / (1 + 'Painel Controle'!D$149:AG$149)</f>
        <v>0</v>
      </c>
      <c r="F46" s="49">
        <f ca="1"/>
        <v>12711733.085960828</v>
      </c>
      <c r="G46" s="49">
        <f ca="1"/>
        <v>20209710.723664068</v>
      </c>
      <c r="H46" s="49">
        <f ca="1"/>
        <v>17878684.193768047</v>
      </c>
      <c r="I46" s="49">
        <f ca="1"/>
        <v>23453067.825844385</v>
      </c>
      <c r="J46" s="49">
        <f ca="1"/>
        <v>23304361.179525185</v>
      </c>
      <c r="K46" s="49">
        <f ca="1"/>
        <v>30619215.047560703</v>
      </c>
      <c r="L46" s="49">
        <f ca="1"/>
        <v>31334087.765513405</v>
      </c>
      <c r="M46" s="49">
        <f ca="1"/>
        <v>32689586.551961623</v>
      </c>
      <c r="N46" s="49">
        <f ca="1"/>
        <v>34188164.197606653</v>
      </c>
      <c r="O46" s="49">
        <f ca="1"/>
        <v>35595991.587057061</v>
      </c>
      <c r="P46" s="49">
        <f ca="1"/>
        <v>37392193.811807722</v>
      </c>
      <c r="Q46" s="49">
        <f ca="1"/>
        <v>39091900.791177429</v>
      </c>
      <c r="R46" s="49">
        <f ca="1"/>
        <v>40961102.335425325</v>
      </c>
      <c r="S46" s="49">
        <f ca="1"/>
        <v>37012202.652832113</v>
      </c>
      <c r="T46" s="49">
        <f ca="1"/>
        <v>40939567.524758101</v>
      </c>
      <c r="U46" s="49">
        <f ca="1"/>
        <v>40069515.69311633</v>
      </c>
      <c r="V46" s="49">
        <f ca="1"/>
        <v>39315203.07839223</v>
      </c>
      <c r="W46" s="49">
        <f ca="1"/>
        <v>39392123.117389284</v>
      </c>
      <c r="X46" s="49">
        <f ca="1"/>
        <v>41181699.637074344</v>
      </c>
      <c r="Y46" s="49">
        <f ca="1"/>
        <v>41913533.578285992</v>
      </c>
      <c r="Z46" s="49">
        <f ca="1"/>
        <v>43437555.47975155</v>
      </c>
      <c r="AA46" s="49">
        <f ca="1"/>
        <v>43930542.246162161</v>
      </c>
      <c r="AB46" s="49">
        <f ca="1"/>
        <v>43921755.752124205</v>
      </c>
      <c r="AC46" s="49">
        <f ca="1"/>
        <v>42236163.726878121</v>
      </c>
      <c r="AD46" s="49">
        <f ca="1"/>
        <v>40359047.979476064</v>
      </c>
      <c r="AE46" s="49">
        <f ca="1"/>
        <v>39378963.628469355</v>
      </c>
      <c r="AF46" s="49">
        <f ca="1"/>
        <v>38994481.347940303</v>
      </c>
      <c r="AG46" s="49">
        <f ca="1"/>
        <v>35992990.378783144</v>
      </c>
      <c r="AH46" s="429">
        <f ca="1"/>
        <v>26563852.437339451</v>
      </c>
      <c r="AI46" s="144">
        <f t="shared" ca="1" si="3"/>
        <v>1014068997.3556452</v>
      </c>
    </row>
    <row r="47" spans="2:35">
      <c r="B47" s="105" t="str">
        <v>Prejuízo fiscal efetivamente compensado.</v>
      </c>
      <c r="C47" s="108" t="str">
        <v/>
      </c>
      <c r="D47" s="108" t="str">
        <v/>
      </c>
      <c r="E47" s="49" cm="1">
        <f t="array" aca="1" ref="E47:AH47" ca="1">'DRE Nominal'!E47:AH47 / (1 + 'Painel Controle'!D$149:AG$149)</f>
        <v>0</v>
      </c>
      <c r="F47" s="49">
        <f ca="1"/>
        <v>-12711733.085960828</v>
      </c>
      <c r="G47" s="49">
        <f ca="1"/>
        <v>-20209710.723664068</v>
      </c>
      <c r="H47" s="49">
        <f ca="1"/>
        <v>-16422896.563882204</v>
      </c>
      <c r="I47" s="49">
        <f ca="1"/>
        <v>0</v>
      </c>
      <c r="J47" s="49">
        <f ca="1"/>
        <v>0</v>
      </c>
      <c r="K47" s="49">
        <f ca="1"/>
        <v>0</v>
      </c>
      <c r="L47" s="49">
        <f ca="1"/>
        <v>0</v>
      </c>
      <c r="M47" s="49">
        <f ca="1"/>
        <v>0</v>
      </c>
      <c r="N47" s="49">
        <f ca="1"/>
        <v>0</v>
      </c>
      <c r="O47" s="49">
        <f ca="1"/>
        <v>0</v>
      </c>
      <c r="P47" s="49">
        <f ca="1"/>
        <v>0</v>
      </c>
      <c r="Q47" s="49">
        <f ca="1"/>
        <v>0</v>
      </c>
      <c r="R47" s="49">
        <f ca="1"/>
        <v>0</v>
      </c>
      <c r="S47" s="49">
        <f ca="1"/>
        <v>0</v>
      </c>
      <c r="T47" s="49">
        <f ca="1"/>
        <v>0</v>
      </c>
      <c r="U47" s="49">
        <f ca="1"/>
        <v>0</v>
      </c>
      <c r="V47" s="49">
        <f ca="1"/>
        <v>0</v>
      </c>
      <c r="W47" s="49">
        <f ca="1"/>
        <v>0</v>
      </c>
      <c r="X47" s="49">
        <f ca="1"/>
        <v>0</v>
      </c>
      <c r="Y47" s="49">
        <f ca="1"/>
        <v>0</v>
      </c>
      <c r="Z47" s="49">
        <f ca="1"/>
        <v>0</v>
      </c>
      <c r="AA47" s="49">
        <f ca="1"/>
        <v>0</v>
      </c>
      <c r="AB47" s="49">
        <f ca="1"/>
        <v>0</v>
      </c>
      <c r="AC47" s="49">
        <f ca="1"/>
        <v>0</v>
      </c>
      <c r="AD47" s="49">
        <f ca="1"/>
        <v>0</v>
      </c>
      <c r="AE47" s="49">
        <f ca="1"/>
        <v>0</v>
      </c>
      <c r="AF47" s="49">
        <f ca="1"/>
        <v>0</v>
      </c>
      <c r="AG47" s="49">
        <f ca="1"/>
        <v>0</v>
      </c>
      <c r="AH47" s="429">
        <f ca="1"/>
        <v>0</v>
      </c>
      <c r="AI47" s="144">
        <f t="shared" ca="1" si="3"/>
        <v>-49344340.373507097</v>
      </c>
    </row>
    <row r="48" spans="2:35">
      <c r="B48" s="102" t="str">
        <v>LAIR depois da compensação dos prejuízos fiscais e da redução das receitas não tributáveis</v>
      </c>
      <c r="C48" s="108" t="str">
        <v/>
      </c>
      <c r="D48" s="108" t="str">
        <v/>
      </c>
      <c r="E48" s="50" cm="1">
        <f t="array" aca="1" ref="E48:AH48" ca="1">'DRE Nominal'!E48:AH48 / (1 + 'Painel Controle'!D$149:AG$149)</f>
        <v>-53264101.90298944</v>
      </c>
      <c r="F48" s="50">
        <f ca="1"/>
        <v>29660710.533908606</v>
      </c>
      <c r="G48" s="50">
        <f ca="1"/>
        <v>47155991.688549489</v>
      </c>
      <c r="H48" s="50">
        <f ca="1"/>
        <v>43172717.415344626</v>
      </c>
      <c r="I48" s="50">
        <f ca="1"/>
        <v>78176892.752814621</v>
      </c>
      <c r="J48" s="50">
        <f ca="1"/>
        <v>77681203.931750625</v>
      </c>
      <c r="K48" s="50">
        <f ca="1"/>
        <v>102064050.15853567</v>
      </c>
      <c r="L48" s="50">
        <f ca="1"/>
        <v>104446959.21837801</v>
      </c>
      <c r="M48" s="50">
        <f ca="1"/>
        <v>108965288.50653875</v>
      </c>
      <c r="N48" s="50">
        <f ca="1"/>
        <v>113903481.29389806</v>
      </c>
      <c r="O48" s="50">
        <f ca="1"/>
        <v>118518456.79766917</v>
      </c>
      <c r="P48" s="50">
        <f ca="1"/>
        <v>124480258.54846494</v>
      </c>
      <c r="Q48" s="50">
        <f ca="1"/>
        <v>130119612.73325717</v>
      </c>
      <c r="R48" s="50">
        <f ca="1"/>
        <v>136323322.41970691</v>
      </c>
      <c r="S48" s="50">
        <f ca="1"/>
        <v>123132921.64016384</v>
      </c>
      <c r="T48" s="50">
        <f ca="1"/>
        <v>136287507.48254156</v>
      </c>
      <c r="U48" s="50">
        <f ca="1"/>
        <v>133361066.21390799</v>
      </c>
      <c r="V48" s="50">
        <f ca="1"/>
        <v>130820377.22348464</v>
      </c>
      <c r="W48" s="50">
        <f ca="1"/>
        <v>131050576.21225214</v>
      </c>
      <c r="X48" s="50">
        <f ca="1"/>
        <v>136989896.00686777</v>
      </c>
      <c r="Y48" s="50">
        <f ca="1"/>
        <v>139403827.15011722</v>
      </c>
      <c r="Z48" s="50">
        <f ca="1"/>
        <v>144458946.82392877</v>
      </c>
      <c r="AA48" s="50">
        <f ca="1"/>
        <v>146077974.38067394</v>
      </c>
      <c r="AB48" s="50">
        <f ca="1"/>
        <v>146025244.44548103</v>
      </c>
      <c r="AC48" s="50">
        <f ca="1"/>
        <v>140384107.41029131</v>
      </c>
      <c r="AD48" s="50">
        <f ca="1"/>
        <v>134105616.26042934</v>
      </c>
      <c r="AE48" s="50">
        <f ca="1"/>
        <v>130818397.25368866</v>
      </c>
      <c r="AF48" s="50">
        <f ca="1"/>
        <v>129517799.81791797</v>
      </c>
      <c r="AG48" s="50">
        <f ca="1"/>
        <v>119495230.71044831</v>
      </c>
      <c r="AH48" s="430">
        <f ca="1"/>
        <v>88048662.895398751</v>
      </c>
      <c r="AI48" s="144">
        <f t="shared" ca="1" si="3"/>
        <v>3271382996.0234199</v>
      </c>
    </row>
    <row r="49" spans="2:35">
      <c r="B49" s="106" t="str">
        <v>IRPJ</v>
      </c>
      <c r="C49" s="108" t="str">
        <v>Art. 258 e Art. 623 do Decreto 9580/2018.</v>
      </c>
      <c r="D49" s="51">
        <v>0.15</v>
      </c>
      <c r="E49" s="49" cm="1">
        <f t="array" aca="1" ref="E49:AH49" ca="1">'DRE Nominal'!E49:AH49 / (1 + 'Painel Controle'!D$149:AG$149)</f>
        <v>0</v>
      </c>
      <c r="F49" s="49">
        <f ca="1"/>
        <v>-4449106.5800862899</v>
      </c>
      <c r="G49" s="49">
        <f ca="1"/>
        <v>-7073398.7532824241</v>
      </c>
      <c r="H49" s="49">
        <f ca="1"/>
        <v>-6475907.6123016933</v>
      </c>
      <c r="I49" s="49">
        <f ca="1"/>
        <v>-11726533.912922192</v>
      </c>
      <c r="J49" s="49">
        <f ca="1"/>
        <v>-11652180.589762593</v>
      </c>
      <c r="K49" s="49">
        <f ca="1"/>
        <v>-15309607.523780352</v>
      </c>
      <c r="L49" s="49">
        <f ca="1"/>
        <v>-15667043.882756703</v>
      </c>
      <c r="M49" s="49">
        <f ca="1"/>
        <v>-16344793.275980812</v>
      </c>
      <c r="N49" s="49">
        <f ca="1"/>
        <v>-17085522.194084708</v>
      </c>
      <c r="O49" s="49">
        <f ca="1"/>
        <v>-17777768.519650377</v>
      </c>
      <c r="P49" s="49">
        <f ca="1"/>
        <v>-18672038.782269742</v>
      </c>
      <c r="Q49" s="49">
        <f ca="1"/>
        <v>-19517941.909988578</v>
      </c>
      <c r="R49" s="49">
        <f ca="1"/>
        <v>-20448498.36295604</v>
      </c>
      <c r="S49" s="49">
        <f ca="1"/>
        <v>-18469938.246024575</v>
      </c>
      <c r="T49" s="49">
        <f ca="1"/>
        <v>-20443126.122381233</v>
      </c>
      <c r="U49" s="49">
        <f ca="1"/>
        <v>-20004159.9320862</v>
      </c>
      <c r="V49" s="49">
        <f ca="1"/>
        <v>-19623056.583522692</v>
      </c>
      <c r="W49" s="49">
        <f ca="1"/>
        <v>-19657586.431837823</v>
      </c>
      <c r="X49" s="49">
        <f ca="1"/>
        <v>-20548484.401030164</v>
      </c>
      <c r="Y49" s="49">
        <f ca="1"/>
        <v>-20910574.072517585</v>
      </c>
      <c r="Z49" s="49">
        <f ca="1"/>
        <v>-21668842.023589317</v>
      </c>
      <c r="AA49" s="49">
        <f ca="1"/>
        <v>-21911696.157101087</v>
      </c>
      <c r="AB49" s="49">
        <f ca="1"/>
        <v>-21903786.666822154</v>
      </c>
      <c r="AC49" s="49">
        <f ca="1"/>
        <v>-21057616.111543696</v>
      </c>
      <c r="AD49" s="49">
        <f ca="1"/>
        <v>-20115842.439064402</v>
      </c>
      <c r="AE49" s="49">
        <f ca="1"/>
        <v>-19622759.588053301</v>
      </c>
      <c r="AF49" s="49">
        <f ca="1"/>
        <v>-19427669.972687695</v>
      </c>
      <c r="AG49" s="49">
        <f ca="1"/>
        <v>-17924284.606567249</v>
      </c>
      <c r="AH49" s="429">
        <f ca="1"/>
        <v>-13207299.434309812</v>
      </c>
      <c r="AI49" s="144">
        <f t="shared" ca="1" si="3"/>
        <v>-498697064.68896157</v>
      </c>
    </row>
    <row r="50" spans="2:35">
      <c r="B50" s="106" t="str">
        <v>IRPJ Adicional</v>
      </c>
      <c r="C50" s="108" t="str">
        <v>Art. 624 do Decreto 9580/2018.</v>
      </c>
      <c r="D50" s="51">
        <v>0.1</v>
      </c>
      <c r="E50" s="49" cm="1">
        <f t="array" aca="1" ref="E50:AH50" ca="1">'DRE Nominal'!E50:AH50 / (1 + 'Painel Controle'!D$149:AG$149)</f>
        <v>0</v>
      </c>
      <c r="F50" s="49">
        <f ca="1"/>
        <v>-2944954.4092837558</v>
      </c>
      <c r="G50" s="49">
        <f ca="1"/>
        <v>-4695212.3720726511</v>
      </c>
      <c r="H50" s="49">
        <f ca="1"/>
        <v>-4297589.5666143065</v>
      </c>
      <c r="I50" s="49">
        <f ca="1"/>
        <v>-7798687.3686197931</v>
      </c>
      <c r="J50" s="49">
        <f ca="1"/>
        <v>-7749775.2428934742</v>
      </c>
      <c r="K50" s="49">
        <f ca="1"/>
        <v>-10188693.922706639</v>
      </c>
      <c r="L50" s="49">
        <f ca="1"/>
        <v>-10427596.971126344</v>
      </c>
      <c r="M50" s="49">
        <f ca="1"/>
        <v>-10880020.885108925</v>
      </c>
      <c r="N50" s="49">
        <f ca="1"/>
        <v>-11374410.722993834</v>
      </c>
      <c r="O50" s="49">
        <f ca="1"/>
        <v>-11836459.112479823</v>
      </c>
      <c r="P50" s="49">
        <f ca="1"/>
        <v>-12433171.088205159</v>
      </c>
      <c r="Q50" s="49">
        <f ca="1"/>
        <v>-12997619.926886894</v>
      </c>
      <c r="R50" s="49">
        <f ca="1"/>
        <v>-13618486.570568083</v>
      </c>
      <c r="S50" s="49">
        <f ca="1"/>
        <v>-12299925.035803784</v>
      </c>
      <c r="T50" s="49">
        <f ca="1"/>
        <v>-13615845.623507487</v>
      </c>
      <c r="U50" s="49">
        <f ca="1"/>
        <v>-13323647.532042788</v>
      </c>
      <c r="V50" s="49">
        <f ca="1"/>
        <v>-13070009.252230672</v>
      </c>
      <c r="W50" s="49">
        <f ca="1"/>
        <v>-13093444.886992937</v>
      </c>
      <c r="X50" s="49">
        <f ca="1"/>
        <v>-13687778.233403249</v>
      </c>
      <c r="Y50" s="49">
        <f ca="1"/>
        <v>-13929558.842368811</v>
      </c>
      <c r="Z50" s="49">
        <f ca="1"/>
        <v>-14435444.911546275</v>
      </c>
      <c r="AA50" s="49">
        <f ca="1"/>
        <v>-14597708.839065075</v>
      </c>
      <c r="AB50" s="49">
        <f ca="1"/>
        <v>-14592784.534331538</v>
      </c>
      <c r="AC50" s="49">
        <f ca="1"/>
        <v>-14029007.467987457</v>
      </c>
      <c r="AD50" s="49">
        <f ca="1"/>
        <v>-13401483.35510098</v>
      </c>
      <c r="AE50" s="49">
        <f ca="1"/>
        <v>-13073075.223590575</v>
      </c>
      <c r="AF50" s="49">
        <f ca="1"/>
        <v>-12943318.404481227</v>
      </c>
      <c r="AG50" s="49">
        <f ca="1"/>
        <v>-11941353.948327538</v>
      </c>
      <c r="AH50" s="429">
        <f ca="1"/>
        <v>-8796979.5134081002</v>
      </c>
      <c r="AI50" s="144">
        <f t="shared" ca="1" si="3"/>
        <v>-332074043.76374817</v>
      </c>
    </row>
    <row r="51" spans="2:35">
      <c r="B51" s="106" t="str">
        <v>CSLL</v>
      </c>
      <c r="C51" s="108" t="str">
        <v>Art. 2º e Art. 3º, III, da lei 7.689/1988</v>
      </c>
      <c r="D51" s="51">
        <v>0.09</v>
      </c>
      <c r="E51" s="49" cm="1">
        <f t="array" aca="1" ref="E51:AH51" ca="1">'DRE Nominal'!E51:AH51 / (1 + 'Painel Controle'!D$149:AG$149)</f>
        <v>0</v>
      </c>
      <c r="F51" s="49">
        <f ca="1"/>
        <v>-2669463.9480517744</v>
      </c>
      <c r="G51" s="49">
        <f ca="1"/>
        <v>-4244039.2519694539</v>
      </c>
      <c r="H51" s="49">
        <f ca="1"/>
        <v>-3885544.5673810164</v>
      </c>
      <c r="I51" s="49">
        <f ca="1"/>
        <v>-7035920.3477533162</v>
      </c>
      <c r="J51" s="49">
        <f ca="1"/>
        <v>-6991308.3538575564</v>
      </c>
      <c r="K51" s="49">
        <f ca="1"/>
        <v>-9185764.5142682102</v>
      </c>
      <c r="L51" s="49">
        <f ca="1"/>
        <v>-9400226.3296540212</v>
      </c>
      <c r="M51" s="49">
        <f ca="1"/>
        <v>-9806875.9655884877</v>
      </c>
      <c r="N51" s="49">
        <f ca="1"/>
        <v>-10251313.316450825</v>
      </c>
      <c r="O51" s="49">
        <f ca="1"/>
        <v>-10666661.111790225</v>
      </c>
      <c r="P51" s="49">
        <f ca="1"/>
        <v>-11203223.269361844</v>
      </c>
      <c r="Q51" s="49">
        <f ca="1"/>
        <v>-11710765.145993145</v>
      </c>
      <c r="R51" s="49">
        <f ca="1"/>
        <v>-12269099.017773623</v>
      </c>
      <c r="S51" s="49">
        <f ca="1"/>
        <v>-11081962.947614744</v>
      </c>
      <c r="T51" s="49">
        <f ca="1"/>
        <v>-12265875.673428738</v>
      </c>
      <c r="U51" s="49">
        <f ca="1"/>
        <v>-12002495.959251719</v>
      </c>
      <c r="V51" s="49">
        <f ca="1"/>
        <v>-11773833.950113617</v>
      </c>
      <c r="W51" s="49">
        <f ca="1"/>
        <v>-11794551.859102692</v>
      </c>
      <c r="X51" s="49">
        <f ca="1"/>
        <v>-12329090.640618097</v>
      </c>
      <c r="Y51" s="49">
        <f ca="1"/>
        <v>-12546344.443510551</v>
      </c>
      <c r="Z51" s="49">
        <f ca="1"/>
        <v>-13001305.21415359</v>
      </c>
      <c r="AA51" s="49">
        <f ca="1"/>
        <v>-13147017.694260655</v>
      </c>
      <c r="AB51" s="49">
        <f ca="1"/>
        <v>-13142272.000093292</v>
      </c>
      <c r="AC51" s="49">
        <f ca="1"/>
        <v>-12634569.666926218</v>
      </c>
      <c r="AD51" s="49">
        <f ca="1"/>
        <v>-12069505.463438641</v>
      </c>
      <c r="AE51" s="49">
        <f ca="1"/>
        <v>-11773655.752831979</v>
      </c>
      <c r="AF51" s="49">
        <f ca="1"/>
        <v>-11656601.983612617</v>
      </c>
      <c r="AG51" s="49">
        <f ca="1"/>
        <v>-10754570.763940347</v>
      </c>
      <c r="AH51" s="429">
        <f ca="1"/>
        <v>-7924379.6605858859</v>
      </c>
      <c r="AI51" s="144">
        <f t="shared" ca="1" si="3"/>
        <v>-299218238.81337684</v>
      </c>
    </row>
    <row r="52" spans="2:35">
      <c r="B52" s="107" t="str">
        <v>Lucro Líquido</v>
      </c>
      <c r="C52" s="108" t="str">
        <v>Mesmo o modelo sendo do tipo desalavancado, nesta linha é necessário levar em consideração a despesa com juros para que o BP e a DRE fiquem compatíveis entre si. Para evitar circularidade, leva-se em consideração a despesa com juros do ano anterior. A utilização do juros do ano anterior é uma simplificação da realidade (como todo modelo) que se justifica na medida em que: não é prático utilizar em um projeto com várias partes relacionadas uma planilha que permita cálculos circulares; como o modelo é desalavancado, essa simplificação não impacta no cálculo da tarifa.
No entanto, é necessário realizar um ajuste ao levar em consideração a utilização dos juros do período anterior. Como o modelo leva em consideração a existência de inflação ano após ano, é necessário colocar a despesa de juros do período anterior na "mesma moeda" da do período atual. Sem tal expediente, a planilha iria apresentar um valor errado de Lucro Líquido na DRE Real.</v>
      </c>
      <c r="D52" s="107" t="str">
        <v/>
      </c>
      <c r="E52" s="50" cm="1">
        <f t="array" aca="1" ref="E52:AH52" ca="1">'DRE Nominal'!E52:AH52 / (1 + 'Painel Controle'!D$149:AG$149)</f>
        <v>-53264101.90298944</v>
      </c>
      <c r="F52" s="66">
        <f ca="1"/>
        <v>32308918.682447612</v>
      </c>
      <c r="G52" s="66">
        <f ca="1"/>
        <v>43712856.988715529</v>
      </c>
      <c r="H52" s="66">
        <f ca="1"/>
        <v>32943143.490204073</v>
      </c>
      <c r="I52" s="66">
        <f ca="1"/>
        <v>33996611.045432262</v>
      </c>
      <c r="J52" s="66">
        <f ca="1"/>
        <v>25259489.646288808</v>
      </c>
      <c r="K52" s="66">
        <f ca="1"/>
        <v>34116746.039156415</v>
      </c>
      <c r="L52" s="66">
        <f ca="1"/>
        <v>38123062.654382259</v>
      </c>
      <c r="M52" s="66">
        <f ca="1"/>
        <v>43410247.839595765</v>
      </c>
      <c r="N52" s="66">
        <f ca="1"/>
        <v>48909076.275644399</v>
      </c>
      <c r="O52" s="66">
        <f ca="1"/>
        <v>54098481.549174115</v>
      </c>
      <c r="P52" s="66">
        <f ca="1"/>
        <v>60013200.222782321</v>
      </c>
      <c r="Q52" s="66">
        <f ca="1"/>
        <v>65609781.103089705</v>
      </c>
      <c r="R52" s="66">
        <f ca="1"/>
        <v>71478344.696889862</v>
      </c>
      <c r="S52" s="66">
        <f ca="1"/>
        <v>64450898.725322492</v>
      </c>
      <c r="T52" s="66">
        <f ca="1"/>
        <v>74628608.288691983</v>
      </c>
      <c r="U52" s="66">
        <f ca="1"/>
        <v>74195085.063286036</v>
      </c>
      <c r="V52" s="66">
        <f ca="1"/>
        <v>73932989.117900759</v>
      </c>
      <c r="W52" s="66">
        <f ca="1"/>
        <v>75420346.642927513</v>
      </c>
      <c r="X52" s="66">
        <f ca="1"/>
        <v>80600055.41177769</v>
      </c>
      <c r="Y52" s="66">
        <f ca="1"/>
        <v>83380833.368518949</v>
      </c>
      <c r="Z52" s="66">
        <f ca="1"/>
        <v>87835965.546732903</v>
      </c>
      <c r="AA52" s="66">
        <f ca="1"/>
        <v>89957647.930427715</v>
      </c>
      <c r="AB52" s="66">
        <f ca="1"/>
        <v>90913395.180682108</v>
      </c>
      <c r="AC52" s="66">
        <f ca="1"/>
        <v>88121133.716431454</v>
      </c>
      <c r="AD52" s="66">
        <f ca="1"/>
        <v>84851348.319221944</v>
      </c>
      <c r="AE52" s="66">
        <f ca="1"/>
        <v>83501595.995601162</v>
      </c>
      <c r="AF52" s="66">
        <f ca="1"/>
        <v>83411341.388718247</v>
      </c>
      <c r="AG52" s="66">
        <f ca="1"/>
        <v>77515331.863586843</v>
      </c>
      <c r="AH52" s="431">
        <f ca="1"/>
        <v>57432542.627107926</v>
      </c>
      <c r="AI52" s="144">
        <f t="shared" ca="1" si="3"/>
        <v>1800864977.5177495</v>
      </c>
    </row>
    <row r="53" spans="2:35">
      <c r="B53" s="108" t="str">
        <v>Lucros/Prejuízos Acumulados</v>
      </c>
      <c r="C53" s="139" t="str">
        <v/>
      </c>
      <c r="D53" s="122" t="str">
        <v/>
      </c>
      <c r="E53" s="49" cm="1">
        <f t="array" aca="1" ref="E53:AH53" ca="1">'DRE Nominal'!E53:AH53 / (1 + 'Painel Controle'!D$149:AG$149)</f>
        <v>-53264101.90298944</v>
      </c>
      <c r="F53" s="145">
        <f ca="1"/>
        <v>-18955856.970092762</v>
      </c>
      <c r="G53" s="145">
        <f ca="1"/>
        <v>25412164.79901408</v>
      </c>
      <c r="H53" s="145">
        <f ca="1"/>
        <v>57476996.356601141</v>
      </c>
      <c r="I53" s="145">
        <f ca="1"/>
        <v>89487049.698262095</v>
      </c>
      <c r="J53" s="145">
        <f ca="1"/>
        <v>111653629.15030704</v>
      </c>
      <c r="K53" s="145">
        <f ca="1"/>
        <v>141911329.11533621</v>
      </c>
      <c r="L53" s="145">
        <f ca="1"/>
        <v>175129559.19361398</v>
      </c>
      <c r="M53" s="145">
        <f ca="1"/>
        <v>212486864.1686303</v>
      </c>
      <c r="N53" s="145">
        <f ca="1"/>
        <v>254051829.86574891</v>
      </c>
      <c r="O53" s="145">
        <f ca="1"/>
        <v>299369605.18863052</v>
      </c>
      <c r="P53" s="145">
        <f ca="1"/>
        <v>349035796.46590883</v>
      </c>
      <c r="Q53" s="145">
        <f ca="1"/>
        <v>402581973.09566432</v>
      </c>
      <c r="R53" s="145">
        <f ca="1"/>
        <v>460146015.1889388</v>
      </c>
      <c r="S53" s="145">
        <f ca="1"/>
        <v>508693045.07494479</v>
      </c>
      <c r="T53" s="145">
        <f ca="1"/>
        <v>565739870.1876539</v>
      </c>
      <c r="U53" s="145">
        <f ca="1"/>
        <v>620381482.23228955</v>
      </c>
      <c r="V53" s="145">
        <f ca="1"/>
        <v>672872439.04287612</v>
      </c>
      <c r="W53" s="145">
        <f ca="1"/>
        <v>725036526.44875503</v>
      </c>
      <c r="X53" s="145">
        <f ca="1"/>
        <v>780577393.16883016</v>
      </c>
      <c r="Y53" s="145">
        <f ca="1"/>
        <v>836979397.92618454</v>
      </c>
      <c r="Z53" s="145">
        <f ca="1"/>
        <v>895887131.7237792</v>
      </c>
      <c r="AA53" s="145">
        <f ca="1"/>
        <v>954880540.11403382</v>
      </c>
      <c r="AB53" s="145">
        <f ca="1"/>
        <v>1012790726.8219583</v>
      </c>
      <c r="AC53" s="145">
        <f ca="1"/>
        <v>1065907122.1523825</v>
      </c>
      <c r="AD53" s="145">
        <f ca="1"/>
        <v>1113917888.3388999</v>
      </c>
      <c r="AE53" s="145">
        <f ca="1"/>
        <v>1158919522.5633748</v>
      </c>
      <c r="AF53" s="145">
        <f ca="1"/>
        <v>1202275526.1380663</v>
      </c>
      <c r="AG53" s="145">
        <f ca="1"/>
        <v>1238237021.5122316</v>
      </c>
      <c r="AH53" s="361">
        <f ca="1"/>
        <v>1252872802.8242805</v>
      </c>
      <c r="AI53" s="144">
        <f t="shared" ca="1" si="3"/>
        <v>17112491289.684114</v>
      </c>
    </row>
    <row r="55" spans="2:35">
      <c r="B55" s="2" t="s">
        <v>382</v>
      </c>
    </row>
    <row r="56" spans="2:35">
      <c r="B56" s="609"/>
      <c r="C56" s="609"/>
      <c r="D56" s="609"/>
      <c r="E56" s="46" t="str" cm="1">
        <f t="array" ref="E56:AH56">E4:AH4</f>
        <v>Ano 1</v>
      </c>
      <c r="F56" s="46" t="str">
        <v>Ano 2</v>
      </c>
      <c r="G56" s="46" t="str">
        <v>Ano 3</v>
      </c>
      <c r="H56" s="46" t="str">
        <v>Ano 4</v>
      </c>
      <c r="I56" s="46" t="str">
        <v>Ano 5</v>
      </c>
      <c r="J56" s="46" t="str">
        <v>Ano 6</v>
      </c>
      <c r="K56" s="46" t="str">
        <v>Ano 7</v>
      </c>
      <c r="L56" s="46" t="str">
        <v>Ano 8</v>
      </c>
      <c r="M56" s="46" t="str">
        <v>Ano 9</v>
      </c>
      <c r="N56" s="46" t="str">
        <v>Ano 10</v>
      </c>
      <c r="O56" s="46" t="str">
        <v>Ano 11</v>
      </c>
      <c r="P56" s="46" t="str">
        <v>Ano 12</v>
      </c>
      <c r="Q56" s="46" t="str">
        <v>Ano 13</v>
      </c>
      <c r="R56" s="46" t="str">
        <v>Ano 14</v>
      </c>
      <c r="S56" s="46" t="str">
        <v>Ano 15</v>
      </c>
      <c r="T56" s="46" t="str">
        <v>Ano 16</v>
      </c>
      <c r="U56" s="46" t="str">
        <v>Ano 17</v>
      </c>
      <c r="V56" s="46" t="str">
        <v>Ano 18</v>
      </c>
      <c r="W56" s="46" t="str">
        <v>Ano 19</v>
      </c>
      <c r="X56" s="46" t="str">
        <v>Ano 20</v>
      </c>
      <c r="Y56" s="46" t="str">
        <v>Ano 21</v>
      </c>
      <c r="Z56" s="46" t="str">
        <v>Ano 22</v>
      </c>
      <c r="AA56" s="46" t="str">
        <v>Ano 23</v>
      </c>
      <c r="AB56" s="46" t="str">
        <v>Ano 24</v>
      </c>
      <c r="AC56" s="46" t="str">
        <v>Ano 25</v>
      </c>
      <c r="AD56" s="46" t="str">
        <v>Ano 26</v>
      </c>
      <c r="AE56" s="46" t="str">
        <v>Ano 27</v>
      </c>
      <c r="AF56" s="46" t="str">
        <v>Ano 28</v>
      </c>
      <c r="AG56" s="46" t="str">
        <v>Ano 29</v>
      </c>
      <c r="AH56" s="46" t="str">
        <v>Ano 30</v>
      </c>
    </row>
    <row r="57" spans="2:35">
      <c r="B57" s="122" t="str">
        <f>B5</f>
        <v>Receita Tarifária Bruta</v>
      </c>
      <c r="C57" s="122"/>
      <c r="D57" s="122"/>
      <c r="E57" s="145">
        <f ca="1">SUM(E6:E16)</f>
        <v>0</v>
      </c>
      <c r="F57" s="145">
        <f t="shared" ref="F57:AH57" ca="1" si="4">SUM(F6:F16)</f>
        <v>109238177.13299778</v>
      </c>
      <c r="G57" s="145">
        <f t="shared" ca="1" si="4"/>
        <v>147531234.75532261</v>
      </c>
      <c r="H57" s="145">
        <f t="shared" ca="1" si="4"/>
        <v>149919059.56020534</v>
      </c>
      <c r="I57" s="145">
        <f t="shared" ca="1" si="4"/>
        <v>177470201.77183709</v>
      </c>
      <c r="J57" s="145">
        <f t="shared" ca="1" si="4"/>
        <v>181480353.52438214</v>
      </c>
      <c r="K57" s="145">
        <f t="shared" ca="1" si="4"/>
        <v>208837934.471746</v>
      </c>
      <c r="L57" s="145">
        <f t="shared" ca="1" si="4"/>
        <v>213671897.94399202</v>
      </c>
      <c r="M57" s="145">
        <f t="shared" ca="1" si="4"/>
        <v>219160277.81460238</v>
      </c>
      <c r="N57" s="145">
        <f t="shared" ca="1" si="4"/>
        <v>225417122.23380974</v>
      </c>
      <c r="O57" s="145">
        <f t="shared" ca="1" si="4"/>
        <v>231865834.10368967</v>
      </c>
      <c r="P57" s="145">
        <f t="shared" ca="1" si="4"/>
        <v>238492820.40647805</v>
      </c>
      <c r="Q57" s="145">
        <f t="shared" ca="1" si="4"/>
        <v>244915077.98549005</v>
      </c>
      <c r="R57" s="145">
        <f t="shared" ca="1" si="4"/>
        <v>251093746.84939602</v>
      </c>
      <c r="S57" s="145">
        <f t="shared" ca="1" si="4"/>
        <v>256988768.18293226</v>
      </c>
      <c r="T57" s="145">
        <f t="shared" ca="1" si="4"/>
        <v>274627737.72099286</v>
      </c>
      <c r="U57" s="145">
        <f t="shared" ca="1" si="4"/>
        <v>280103298.28435165</v>
      </c>
      <c r="V57" s="145">
        <f t="shared" ca="1" si="4"/>
        <v>285190898.22115886</v>
      </c>
      <c r="W57" s="145">
        <f t="shared" ca="1" si="4"/>
        <v>289865052.62145883</v>
      </c>
      <c r="X57" s="145">
        <f t="shared" ca="1" si="4"/>
        <v>294104435.98923111</v>
      </c>
      <c r="Y57" s="145">
        <f t="shared" ca="1" si="4"/>
        <v>297886346.21755207</v>
      </c>
      <c r="Z57" s="145">
        <f t="shared" ca="1" si="4"/>
        <v>301194131.19534475</v>
      </c>
      <c r="AA57" s="145">
        <f t="shared" ca="1" si="4"/>
        <v>304016068.79474592</v>
      </c>
      <c r="AB57" s="145">
        <f t="shared" ca="1" si="4"/>
        <v>306338450.56668079</v>
      </c>
      <c r="AC57" s="145">
        <f t="shared" ca="1" si="4"/>
        <v>308148424.94242519</v>
      </c>
      <c r="AD57" s="145">
        <f t="shared" ca="1" si="4"/>
        <v>309438080.1418553</v>
      </c>
      <c r="AE57" s="145">
        <f t="shared" ca="1" si="4"/>
        <v>310201856.64560527</v>
      </c>
      <c r="AF57" s="145">
        <f t="shared" ca="1" si="4"/>
        <v>310431629.39116567</v>
      </c>
      <c r="AG57" s="145">
        <f t="shared" ca="1" si="4"/>
        <v>310120514.25639683</v>
      </c>
      <c r="AH57" s="145">
        <f t="shared" ca="1" si="4"/>
        <v>309263993.35670298</v>
      </c>
    </row>
    <row r="58" spans="2:35">
      <c r="B58" s="122" t="str">
        <f>B37</f>
        <v>Receita Líquida</v>
      </c>
      <c r="C58" s="122"/>
      <c r="D58" s="122"/>
      <c r="E58" s="145" cm="1">
        <f t="array" aca="1" ref="E58:AH58" ca="1">_xlfn.ANCHORARRAY(E37)</f>
        <v>3567551.45</v>
      </c>
      <c r="F58" s="147">
        <f ca="1"/>
        <v>121654132.48868108</v>
      </c>
      <c r="G58" s="147">
        <f ca="1"/>
        <v>169030867.48725167</v>
      </c>
      <c r="H58" s="147">
        <f ca="1"/>
        <v>195935646.21615428</v>
      </c>
      <c r="I58" s="147">
        <f ca="1"/>
        <v>233906338.19678485</v>
      </c>
      <c r="J58" s="147">
        <f ca="1"/>
        <v>250548124.15692264</v>
      </c>
      <c r="K58" s="147">
        <f ca="1"/>
        <v>276730070.69797432</v>
      </c>
      <c r="L58" s="147">
        <f ca="1"/>
        <v>279657029.07025284</v>
      </c>
      <c r="M58" s="147">
        <f ca="1"/>
        <v>283333950.97196078</v>
      </c>
      <c r="N58" s="147">
        <f ca="1"/>
        <v>287934063.70825195</v>
      </c>
      <c r="O58" s="147">
        <f ca="1"/>
        <v>292821104.95494497</v>
      </c>
      <c r="P58" s="147">
        <f ca="1"/>
        <v>297905725.66703117</v>
      </c>
      <c r="Q58" s="147">
        <f ca="1"/>
        <v>302841564.53799993</v>
      </c>
      <c r="R58" s="147">
        <f ca="1"/>
        <v>307586009.42393351</v>
      </c>
      <c r="S58" s="147">
        <f ca="1"/>
        <v>312095263.32761782</v>
      </c>
      <c r="T58" s="147">
        <f ca="1"/>
        <v>328876132.39878756</v>
      </c>
      <c r="U58" s="147">
        <f ca="1"/>
        <v>333063012.81938183</v>
      </c>
      <c r="V58" s="147">
        <f ca="1"/>
        <v>336900156.54250008</v>
      </c>
      <c r="W58" s="147">
        <f ca="1"/>
        <v>340359160.65654635</v>
      </c>
      <c r="X58" s="147">
        <f ca="1"/>
        <v>343416001.83879036</v>
      </c>
      <c r="Y58" s="147">
        <f ca="1"/>
        <v>346045289.02326798</v>
      </c>
      <c r="Z58" s="147">
        <f ca="1"/>
        <v>348227975.00440365</v>
      </c>
      <c r="AA58" s="147">
        <f ca="1"/>
        <v>349950193.51567268</v>
      </c>
      <c r="AB58" s="147">
        <f ca="1"/>
        <v>351196074.40155303</v>
      </c>
      <c r="AC58" s="147">
        <f ca="1"/>
        <v>351950692.32000667</v>
      </c>
      <c r="AD58" s="147">
        <f ca="1"/>
        <v>352204305.96524072</v>
      </c>
      <c r="AE58" s="147">
        <f ca="1"/>
        <v>351949666.49487436</v>
      </c>
      <c r="AF58" s="147">
        <f ca="1"/>
        <v>351176907.22149765</v>
      </c>
      <c r="AG58" s="147">
        <f ca="1"/>
        <v>349877498.4632436</v>
      </c>
      <c r="AH58" s="147">
        <f ca="1"/>
        <v>348045417.12160033</v>
      </c>
    </row>
    <row r="59" spans="2:35">
      <c r="B59" s="122" t="str">
        <f>B40</f>
        <v>EBITDA</v>
      </c>
      <c r="C59" s="122"/>
      <c r="D59" s="122"/>
      <c r="E59" s="145" cm="1">
        <f t="array" aca="1" ref="E59:AH59" ca="1">_xlfn.ANCHORARRAY(E40)</f>
        <v>-47310777.36809732</v>
      </c>
      <c r="F59" s="147">
        <f ca="1"/>
        <v>52120282.434425391</v>
      </c>
      <c r="G59" s="147">
        <f ca="1"/>
        <v>89332222.117815882</v>
      </c>
      <c r="H59" s="147">
        <f ca="1"/>
        <v>111817737.01514758</v>
      </c>
      <c r="I59" s="147">
        <f ca="1"/>
        <v>148029410.01731229</v>
      </c>
      <c r="J59" s="147">
        <f ca="1"/>
        <v>164968886.72622785</v>
      </c>
      <c r="K59" s="147">
        <f ca="1"/>
        <v>186550986.06816813</v>
      </c>
      <c r="L59" s="147">
        <f ca="1"/>
        <v>188706839.71250662</v>
      </c>
      <c r="M59" s="147">
        <f ca="1"/>
        <v>193436153.1748018</v>
      </c>
      <c r="N59" s="147">
        <f ca="1"/>
        <v>197293216.8947475</v>
      </c>
      <c r="O59" s="147">
        <f ca="1"/>
        <v>200890833.5110254</v>
      </c>
      <c r="P59" s="147">
        <f ca="1"/>
        <v>204578400.76719376</v>
      </c>
      <c r="Q59" s="147">
        <f ca="1"/>
        <v>208112914.4667874</v>
      </c>
      <c r="R59" s="147">
        <f ca="1"/>
        <v>211692708.55828837</v>
      </c>
      <c r="S59" s="147">
        <f ca="1"/>
        <v>213942169.25860232</v>
      </c>
      <c r="T59" s="147">
        <f ca="1"/>
        <v>227533513.22051024</v>
      </c>
      <c r="U59" s="147">
        <f ca="1"/>
        <v>230324640.15974084</v>
      </c>
      <c r="V59" s="147">
        <f ca="1"/>
        <v>233234100.70877695</v>
      </c>
      <c r="W59" s="147">
        <f ca="1"/>
        <v>235721064.53129235</v>
      </c>
      <c r="X59" s="147">
        <f ca="1"/>
        <v>240208723.85590664</v>
      </c>
      <c r="Y59" s="147">
        <f ca="1"/>
        <v>242070072.81205878</v>
      </c>
      <c r="Z59" s="147">
        <f ca="1"/>
        <v>243950573.87135023</v>
      </c>
      <c r="AA59" s="147">
        <f ca="1"/>
        <v>245066445.30918539</v>
      </c>
      <c r="AB59" s="147">
        <f ca="1"/>
        <v>245949293.62412426</v>
      </c>
      <c r="AC59" s="147">
        <f ca="1"/>
        <v>246241065.33415866</v>
      </c>
      <c r="AD59" s="147">
        <f ca="1"/>
        <v>247950735.10894156</v>
      </c>
      <c r="AE59" s="147">
        <f ca="1"/>
        <v>247451935.88158458</v>
      </c>
      <c r="AF59" s="147">
        <f ca="1"/>
        <v>246780669.07080853</v>
      </c>
      <c r="AG59" s="147">
        <f ca="1"/>
        <v>245193743.87614217</v>
      </c>
      <c r="AH59" s="147">
        <f ca="1"/>
        <v>243753045.36094397</v>
      </c>
    </row>
    <row r="60" spans="2:35">
      <c r="B60" s="146" t="s">
        <v>383</v>
      </c>
      <c r="C60" s="146"/>
      <c r="D60" s="146"/>
      <c r="E60" s="141">
        <f ca="1">E59/E58</f>
        <v>-13.261414174726847</v>
      </c>
      <c r="F60" s="141">
        <f t="shared" ref="F60:AH60" ca="1" si="5">F59/F58</f>
        <v>0.42843002015796511</v>
      </c>
      <c r="G60" s="141">
        <f t="shared" ca="1" si="5"/>
        <v>0.52849650153131544</v>
      </c>
      <c r="H60" s="141">
        <f t="shared" ca="1" si="5"/>
        <v>0.57068603480038216</v>
      </c>
      <c r="I60" s="141">
        <f t="shared" ca="1" si="5"/>
        <v>0.63285762651192246</v>
      </c>
      <c r="J60" s="141">
        <f t="shared" ca="1" si="5"/>
        <v>0.65843193710324877</v>
      </c>
      <c r="K60" s="141">
        <f t="shared" ca="1" si="5"/>
        <v>0.6741261822311011</v>
      </c>
      <c r="L60" s="141">
        <f t="shared" ca="1" si="5"/>
        <v>0.67477953384501355</v>
      </c>
      <c r="M60" s="141">
        <f t="shared" ca="1" si="5"/>
        <v>0.68271434648488194</v>
      </c>
      <c r="N60" s="141">
        <f t="shared" ca="1" si="5"/>
        <v>0.68520276605637764</v>
      </c>
      <c r="O60" s="141">
        <f t="shared" ca="1" si="5"/>
        <v>0.68605312291931808</v>
      </c>
      <c r="P60" s="141">
        <f t="shared" ca="1" si="5"/>
        <v>0.68672194973469813</v>
      </c>
      <c r="Q60" s="141">
        <f t="shared" ca="1" si="5"/>
        <v>0.68720063173717305</v>
      </c>
      <c r="R60" s="141">
        <f t="shared" ca="1" si="5"/>
        <v>0.68823906833330895</v>
      </c>
      <c r="S60" s="141">
        <f t="shared" ca="1" si="5"/>
        <v>0.68550277558688677</v>
      </c>
      <c r="T60" s="141">
        <f t="shared" ca="1" si="5"/>
        <v>0.69185170587146283</v>
      </c>
      <c r="U60" s="141">
        <f t="shared" ca="1" si="5"/>
        <v>0.6915347285489325</v>
      </c>
      <c r="V60" s="141">
        <f t="shared" ca="1" si="5"/>
        <v>0.69229442664077356</v>
      </c>
      <c r="W60" s="141">
        <f t="shared" ca="1" si="5"/>
        <v>0.6925656535190382</v>
      </c>
      <c r="X60" s="141">
        <f t="shared" ca="1" si="5"/>
        <v>0.69946864027806055</v>
      </c>
      <c r="Y60" s="141">
        <f t="shared" ca="1" si="5"/>
        <v>0.69953292384160171</v>
      </c>
      <c r="Z60" s="141">
        <f t="shared" ca="1" si="5"/>
        <v>0.70054846647017732</v>
      </c>
      <c r="AA60" s="141">
        <f t="shared" ca="1" si="5"/>
        <v>0.70028949790596406</v>
      </c>
      <c r="AB60" s="141">
        <f t="shared" ca="1" si="5"/>
        <v>0.70031902846074823</v>
      </c>
      <c r="AC60" s="141">
        <f t="shared" ca="1" si="5"/>
        <v>0.69964648658871542</v>
      </c>
      <c r="AD60" s="141">
        <f t="shared" ca="1" si="5"/>
        <v>0.70399688734473331</v>
      </c>
      <c r="AE60" s="141">
        <f t="shared" ca="1" si="5"/>
        <v>0.70308899095146138</v>
      </c>
      <c r="AF60" s="141">
        <f t="shared" ca="1" si="5"/>
        <v>0.70272464958852399</v>
      </c>
      <c r="AG60" s="141">
        <f t="shared" ca="1" si="5"/>
        <v>0.70079883660166564</v>
      </c>
      <c r="AH60" s="141">
        <f t="shared" ca="1" si="5"/>
        <v>0.70034838377366526</v>
      </c>
    </row>
    <row r="64" spans="2:35">
      <c r="F64" s="3"/>
    </row>
    <row r="66" spans="6:6">
      <c r="F66" s="3"/>
    </row>
  </sheetData>
  <mergeCells count="1">
    <mergeCell ref="B56:D56"/>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C51-DD4B-4D13-8AE5-74E0287EB96D}">
  <sheetPr>
    <tabColor rgb="FF2A6099"/>
  </sheetPr>
  <dimension ref="B2:AH53"/>
  <sheetViews>
    <sheetView showGridLines="0" zoomScale="90" zoomScaleNormal="90" workbookViewId="0">
      <selection activeCell="E52" sqref="E52"/>
    </sheetView>
  </sheetViews>
  <sheetFormatPr defaultColWidth="14.28515625" defaultRowHeight="12.75"/>
  <cols>
    <col min="1" max="1" width="2.42578125" customWidth="1"/>
    <col min="2" max="2" width="27.140625" customWidth="1"/>
    <col min="3" max="3" width="67.28515625" customWidth="1"/>
    <col min="4" max="4" width="42.85546875" customWidth="1"/>
    <col min="5" max="7" width="18.7109375" bestFit="1" customWidth="1"/>
    <col min="8" max="14" width="18.7109375" customWidth="1"/>
    <col min="15" max="34" width="19.42578125" bestFit="1" customWidth="1"/>
    <col min="35" max="35" width="16.7109375" customWidth="1"/>
    <col min="36" max="36" width="13.42578125" customWidth="1"/>
    <col min="37" max="969" width="9.140625"/>
    <col min="970" max="1024" width="11.42578125" customWidth="1"/>
  </cols>
  <sheetData>
    <row r="2" spans="2:34">
      <c r="B2" s="41" t="s">
        <v>384</v>
      </c>
      <c r="C2" s="44"/>
      <c r="D2" s="44"/>
      <c r="E2" s="131"/>
      <c r="F2" s="131"/>
      <c r="G2" s="131"/>
      <c r="H2" s="44"/>
      <c r="I2" s="44"/>
      <c r="J2" s="44"/>
      <c r="K2" s="44"/>
      <c r="L2" s="44"/>
      <c r="M2" s="44"/>
      <c r="N2" s="44"/>
      <c r="O2" s="44"/>
      <c r="P2" s="44"/>
      <c r="Q2" s="44"/>
      <c r="R2" s="44"/>
      <c r="S2" s="44"/>
      <c r="T2" s="44"/>
      <c r="U2" s="44"/>
      <c r="V2" s="44"/>
      <c r="W2" s="44"/>
      <c r="X2" s="44"/>
      <c r="Y2" s="44"/>
      <c r="Z2" s="44"/>
      <c r="AA2" s="44"/>
      <c r="AB2" s="44"/>
      <c r="AC2" s="44"/>
      <c r="AD2" s="44"/>
      <c r="AE2" s="44"/>
      <c r="AF2" s="44"/>
      <c r="AG2" s="44"/>
      <c r="AH2" s="44"/>
    </row>
    <row r="3" spans="2:34" hidden="1">
      <c r="B3" s="44"/>
      <c r="C3" s="44"/>
      <c r="D3" s="44"/>
      <c r="E3" s="71">
        <v>1</v>
      </c>
      <c r="F3" s="71">
        <v>2</v>
      </c>
      <c r="G3" s="71">
        <v>3</v>
      </c>
      <c r="H3" s="71">
        <v>4</v>
      </c>
      <c r="I3" s="71">
        <v>5</v>
      </c>
      <c r="J3" s="71">
        <v>6</v>
      </c>
      <c r="K3" s="71">
        <v>7</v>
      </c>
      <c r="L3" s="71">
        <v>8</v>
      </c>
      <c r="M3" s="71">
        <v>9</v>
      </c>
      <c r="N3" s="71">
        <v>10</v>
      </c>
      <c r="O3" s="71">
        <v>11</v>
      </c>
      <c r="P3" s="71">
        <v>12</v>
      </c>
      <c r="Q3" s="71">
        <v>13</v>
      </c>
      <c r="R3" s="71">
        <v>14</v>
      </c>
      <c r="S3" s="71">
        <v>15</v>
      </c>
      <c r="T3" s="71">
        <v>16</v>
      </c>
      <c r="U3" s="71">
        <v>17</v>
      </c>
      <c r="V3" s="71">
        <v>18</v>
      </c>
      <c r="W3" s="71">
        <v>19</v>
      </c>
      <c r="X3" s="71">
        <v>20</v>
      </c>
      <c r="Y3" s="71">
        <v>21</v>
      </c>
      <c r="Z3" s="71">
        <v>22</v>
      </c>
      <c r="AA3" s="71">
        <v>23</v>
      </c>
      <c r="AB3" s="71">
        <v>24</v>
      </c>
      <c r="AC3" s="71">
        <v>25</v>
      </c>
      <c r="AD3" s="71">
        <v>26</v>
      </c>
      <c r="AE3" s="71">
        <v>27</v>
      </c>
      <c r="AF3" s="71">
        <v>28</v>
      </c>
      <c r="AG3" s="71">
        <v>29</v>
      </c>
      <c r="AH3" s="71">
        <v>30</v>
      </c>
    </row>
    <row r="4" spans="2:34">
      <c r="B4" s="72" t="s">
        <v>385</v>
      </c>
      <c r="C4" s="72" t="s">
        <v>386</v>
      </c>
      <c r="D4" s="73" t="s">
        <v>220</v>
      </c>
      <c r="E4" s="54" t="str">
        <f t="shared" ref="E4:AH4" si="0">"Ano "&amp;E3</f>
        <v>Ano 1</v>
      </c>
      <c r="F4" s="54" t="str">
        <f t="shared" si="0"/>
        <v>Ano 2</v>
      </c>
      <c r="G4" s="54" t="str">
        <f t="shared" si="0"/>
        <v>Ano 3</v>
      </c>
      <c r="H4" s="54" t="str">
        <f t="shared" si="0"/>
        <v>Ano 4</v>
      </c>
      <c r="I4" s="54" t="str">
        <f t="shared" si="0"/>
        <v>Ano 5</v>
      </c>
      <c r="J4" s="54" t="str">
        <f t="shared" si="0"/>
        <v>Ano 6</v>
      </c>
      <c r="K4" s="54" t="str">
        <f t="shared" si="0"/>
        <v>Ano 7</v>
      </c>
      <c r="L4" s="54" t="str">
        <f t="shared" si="0"/>
        <v>Ano 8</v>
      </c>
      <c r="M4" s="54" t="str">
        <f t="shared" si="0"/>
        <v>Ano 9</v>
      </c>
      <c r="N4" s="54" t="str">
        <f t="shared" si="0"/>
        <v>Ano 10</v>
      </c>
      <c r="O4" s="54" t="str">
        <f t="shared" si="0"/>
        <v>Ano 11</v>
      </c>
      <c r="P4" s="54" t="str">
        <f t="shared" si="0"/>
        <v>Ano 12</v>
      </c>
      <c r="Q4" s="54" t="str">
        <f t="shared" si="0"/>
        <v>Ano 13</v>
      </c>
      <c r="R4" s="54" t="str">
        <f t="shared" si="0"/>
        <v>Ano 14</v>
      </c>
      <c r="S4" s="54" t="str">
        <f t="shared" si="0"/>
        <v>Ano 15</v>
      </c>
      <c r="T4" s="54" t="str">
        <f t="shared" si="0"/>
        <v>Ano 16</v>
      </c>
      <c r="U4" s="54" t="str">
        <f t="shared" si="0"/>
        <v>Ano 17</v>
      </c>
      <c r="V4" s="54" t="str">
        <f t="shared" si="0"/>
        <v>Ano 18</v>
      </c>
      <c r="W4" s="54" t="str">
        <f t="shared" si="0"/>
        <v>Ano 19</v>
      </c>
      <c r="X4" s="54" t="str">
        <f t="shared" si="0"/>
        <v>Ano 20</v>
      </c>
      <c r="Y4" s="54" t="str">
        <f t="shared" si="0"/>
        <v>Ano 21</v>
      </c>
      <c r="Z4" s="54" t="str">
        <f t="shared" si="0"/>
        <v>Ano 22</v>
      </c>
      <c r="AA4" s="54" t="str">
        <f t="shared" si="0"/>
        <v>Ano 23</v>
      </c>
      <c r="AB4" s="54" t="str">
        <f t="shared" si="0"/>
        <v>Ano 24</v>
      </c>
      <c r="AC4" s="54" t="str">
        <f t="shared" si="0"/>
        <v>Ano 25</v>
      </c>
      <c r="AD4" s="54" t="str">
        <f t="shared" si="0"/>
        <v>Ano 26</v>
      </c>
      <c r="AE4" s="54" t="str">
        <f t="shared" si="0"/>
        <v>Ano 27</v>
      </c>
      <c r="AF4" s="54" t="str">
        <f t="shared" si="0"/>
        <v>Ano 28</v>
      </c>
      <c r="AG4" s="54" t="str">
        <f t="shared" si="0"/>
        <v>Ano 29</v>
      </c>
      <c r="AH4" s="54" t="str">
        <f t="shared" si="0"/>
        <v>Ano 30</v>
      </c>
    </row>
    <row r="5" spans="2:34">
      <c r="B5" s="74" t="s">
        <v>387</v>
      </c>
      <c r="C5" s="75" t="s">
        <v>388</v>
      </c>
      <c r="D5" s="113" t="s">
        <v>341</v>
      </c>
      <c r="E5" s="77">
        <f ca="1">SUM(E6:E15)</f>
        <v>2072701967.5036688</v>
      </c>
      <c r="F5" s="77">
        <f t="shared" ref="F5:AH5" ca="1" si="1">SUM(F6:F15)</f>
        <v>2263835268.5641837</v>
      </c>
      <c r="G5" s="77">
        <f t="shared" ca="1" si="1"/>
        <v>2423834665.9802918</v>
      </c>
      <c r="H5" s="77">
        <f t="shared" ca="1" si="1"/>
        <v>2550233039.6937008</v>
      </c>
      <c r="I5" s="77">
        <f t="shared" ca="1" si="1"/>
        <v>2671384049.1120472</v>
      </c>
      <c r="J5" s="77">
        <f t="shared" ca="1" si="1"/>
        <v>2740653770.4997344</v>
      </c>
      <c r="K5" s="77">
        <f t="shared" ca="1" si="1"/>
        <v>2685038690.3783817</v>
      </c>
      <c r="L5" s="77">
        <f t="shared" ca="1" si="1"/>
        <v>2636701926.3456345</v>
      </c>
      <c r="M5" s="77">
        <f t="shared" ca="1" si="1"/>
        <v>2597967536.877244</v>
      </c>
      <c r="N5" s="77">
        <f t="shared" ca="1" si="1"/>
        <v>2569773183.9946728</v>
      </c>
      <c r="O5" s="77">
        <f t="shared" ca="1" si="1"/>
        <v>2552310008.9250097</v>
      </c>
      <c r="P5" s="77">
        <f t="shared" ca="1" si="1"/>
        <v>2547423816.5043826</v>
      </c>
      <c r="Q5" s="77">
        <f t="shared" ca="1" si="1"/>
        <v>2555374571.9574785</v>
      </c>
      <c r="R5" s="77">
        <f t="shared" ca="1" si="1"/>
        <v>2577428586.1859999</v>
      </c>
      <c r="S5" s="77">
        <f t="shared" ca="1" si="1"/>
        <v>2591300802.0864568</v>
      </c>
      <c r="T5" s="77">
        <f t="shared" ca="1" si="1"/>
        <v>2628243487.9381037</v>
      </c>
      <c r="U5" s="77">
        <f t="shared" ca="1" si="1"/>
        <v>2669319714.5903072</v>
      </c>
      <c r="V5" s="77">
        <f t="shared" ca="1" si="1"/>
        <v>2714989609.3640084</v>
      </c>
      <c r="W5" s="77">
        <f t="shared" ca="1" si="1"/>
        <v>2769014493.7126169</v>
      </c>
      <c r="X5" s="77">
        <f t="shared" ca="1" si="1"/>
        <v>2839707681.5107422</v>
      </c>
      <c r="Y5" s="77">
        <f t="shared" ca="1" si="1"/>
        <v>2922743653.1542711</v>
      </c>
      <c r="Z5" s="77">
        <f t="shared" ca="1" si="1"/>
        <v>3022630509.8638144</v>
      </c>
      <c r="AA5" s="77">
        <f t="shared" ca="1" si="1"/>
        <v>3134786725.4131427</v>
      </c>
      <c r="AB5" s="77">
        <f t="shared" ca="1" si="1"/>
        <v>3256959269.6045456</v>
      </c>
      <c r="AC5" s="77">
        <f t="shared" ca="1" si="1"/>
        <v>3380024984.5494471</v>
      </c>
      <c r="AD5" s="77">
        <f t="shared" ca="1" si="1"/>
        <v>3502498291.8260331</v>
      </c>
      <c r="AE5" s="77">
        <f t="shared" ca="1" si="1"/>
        <v>3629306181.7300959</v>
      </c>
      <c r="AF5" s="77">
        <f t="shared" ca="1" si="1"/>
        <v>3764043890.7743812</v>
      </c>
      <c r="AG5" s="77">
        <f t="shared" ca="1" si="1"/>
        <v>3889929461.1787014</v>
      </c>
      <c r="AH5" s="77">
        <f t="shared" ca="1" si="1"/>
        <v>3962854522.1106362</v>
      </c>
    </row>
    <row r="6" spans="2:34">
      <c r="B6" s="78" t="s">
        <v>389</v>
      </c>
      <c r="C6" s="79" t="s">
        <v>390</v>
      </c>
      <c r="D6" s="114" t="s">
        <v>341</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row>
    <row r="7" spans="2:34">
      <c r="B7" s="78" t="s">
        <v>391</v>
      </c>
      <c r="C7" s="81" t="s">
        <v>392</v>
      </c>
      <c r="D7" s="76" t="s">
        <v>393</v>
      </c>
      <c r="E7" s="80">
        <f ca="1">IF(E52&lt;0,0,E52)</f>
        <v>3551098.7759104073</v>
      </c>
      <c r="F7" s="80">
        <f t="shared" ref="F7:AH7" ca="1" si="2">IF(F52&lt;0,0,F52)</f>
        <v>0</v>
      </c>
      <c r="G7" s="80">
        <f t="shared" ca="1" si="2"/>
        <v>0</v>
      </c>
      <c r="H7" s="80">
        <f t="shared" ca="1" si="2"/>
        <v>0</v>
      </c>
      <c r="I7" s="80">
        <f t="shared" ca="1" si="2"/>
        <v>0</v>
      </c>
      <c r="J7" s="80">
        <f t="shared" ca="1" si="2"/>
        <v>0</v>
      </c>
      <c r="K7" s="80">
        <f t="shared" ca="1" si="2"/>
        <v>51842182.674060583</v>
      </c>
      <c r="L7" s="80">
        <f t="shared" ca="1" si="2"/>
        <v>34833680.062671289</v>
      </c>
      <c r="M7" s="80">
        <f t="shared" ca="1" si="2"/>
        <v>19011597.280468188</v>
      </c>
      <c r="N7" s="80">
        <f t="shared" ca="1" si="2"/>
        <v>59974512.900031224</v>
      </c>
      <c r="O7" s="80">
        <f t="shared" ca="1" si="2"/>
        <v>115098890.35711533</v>
      </c>
      <c r="P7" s="80">
        <f t="shared" ca="1" si="2"/>
        <v>222708061.8770349</v>
      </c>
      <c r="Q7" s="80">
        <f t="shared" ca="1" si="2"/>
        <v>341838753.55572951</v>
      </c>
      <c r="R7" s="80">
        <f t="shared" ca="1" si="2"/>
        <v>493037858.00545758</v>
      </c>
      <c r="S7" s="80">
        <f t="shared" ca="1" si="2"/>
        <v>152142799.62460887</v>
      </c>
      <c r="T7" s="80">
        <f t="shared" ca="1" si="2"/>
        <v>257174210.0329484</v>
      </c>
      <c r="U7" s="80">
        <f t="shared" ca="1" si="2"/>
        <v>246270118.76912147</v>
      </c>
      <c r="V7" s="80">
        <f t="shared" ca="1" si="2"/>
        <v>268392015.43255243</v>
      </c>
      <c r="W7" s="80">
        <f t="shared" ca="1" si="2"/>
        <v>395301969.03097051</v>
      </c>
      <c r="X7" s="80">
        <f t="shared" ca="1" si="2"/>
        <v>636164314.23076689</v>
      </c>
      <c r="Y7" s="80">
        <f t="shared" ca="1" si="2"/>
        <v>880092905.08607948</v>
      </c>
      <c r="Z7" s="80">
        <f t="shared" ca="1" si="2"/>
        <v>1200726952.768455</v>
      </c>
      <c r="AA7" s="80">
        <f t="shared" ca="1" si="2"/>
        <v>1492332788.0248907</v>
      </c>
      <c r="AB7" s="80">
        <f t="shared" ca="1" si="2"/>
        <v>1785256224.9017165</v>
      </c>
      <c r="AC7" s="80">
        <f t="shared" ca="1" si="2"/>
        <v>2034274170.6293154</v>
      </c>
      <c r="AD7" s="80">
        <f t="shared" ca="1" si="2"/>
        <v>2303109632.1741557</v>
      </c>
      <c r="AE7" s="80">
        <f t="shared" ca="1" si="2"/>
        <v>2674820881.3376918</v>
      </c>
      <c r="AF7" s="80">
        <f t="shared" ca="1" si="2"/>
        <v>3101477693.722249</v>
      </c>
      <c r="AG7" s="80">
        <f t="shared" ca="1" si="2"/>
        <v>3522055121.8248434</v>
      </c>
      <c r="AH7" s="80">
        <f t="shared" ca="1" si="2"/>
        <v>3962854522.1106362</v>
      </c>
    </row>
    <row r="8" spans="2:34">
      <c r="B8" s="78" t="s">
        <v>394</v>
      </c>
      <c r="C8" s="79" t="s">
        <v>395</v>
      </c>
      <c r="D8" s="113" t="s">
        <v>341</v>
      </c>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row>
    <row r="9" spans="2:34">
      <c r="B9" s="78" t="s">
        <v>396</v>
      </c>
      <c r="C9" s="81" t="s">
        <v>397</v>
      </c>
      <c r="D9" s="113" t="s">
        <v>341</v>
      </c>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row>
    <row r="10" spans="2:34">
      <c r="B10" s="78" t="s">
        <v>398</v>
      </c>
      <c r="C10" s="82" t="s">
        <v>399</v>
      </c>
      <c r="D10" s="76" t="s">
        <v>400</v>
      </c>
      <c r="E10" s="80">
        <f>(Capex!L421 * (1+'Painel Controle'!D$149))</f>
        <v>195367179.34609485</v>
      </c>
      <c r="F10" s="80">
        <f>(Capex!M421 * (1+'Painel Controle'!E$149)) + E10 + E11</f>
        <v>321286648.60380495</v>
      </c>
      <c r="G10" s="80">
        <f>(Capex!N421 * (1+'Painel Controle'!F$149)) + F10 + F11</f>
        <v>724071633.21419847</v>
      </c>
      <c r="H10" s="80">
        <f>(Capex!O421 * (1+'Painel Controle'!G$149)) + G10 + G11</f>
        <v>1719318920.0153239</v>
      </c>
      <c r="I10" s="80">
        <f>(Capex!P421 * (1+'Painel Controle'!H$149)) + H10 + H11</f>
        <v>2293873533.2793179</v>
      </c>
      <c r="J10" s="80">
        <f>(Capex!Q421 * (1+'Painel Controle'!I$149)) + I10 + I11</f>
        <v>2854847677.6038899</v>
      </c>
      <c r="K10" s="80">
        <f>(Capex!R421 * (1+'Painel Controle'!J$149)) + J10 + J11</f>
        <v>2747683312.3871179</v>
      </c>
      <c r="L10" s="80">
        <f>(Capex!S421 * (1+'Painel Controle'!K$149)) + K10 + K11</f>
        <v>2720134984.7503705</v>
      </c>
      <c r="M10" s="80">
        <f>(Capex!T421 * (1+'Painel Controle'!L$149)) + L10 + L11</f>
        <v>2701763365.2918606</v>
      </c>
      <c r="N10" s="80">
        <f>(Capex!U421 * (1+'Painel Controle'!M$149)) + M10 + M11</f>
        <v>2635288604.649374</v>
      </c>
      <c r="O10" s="80">
        <f>(Capex!V421 * (1+'Painel Controle'!N$149)) + N10 + N11</f>
        <v>2565485387.9662046</v>
      </c>
      <c r="P10" s="80">
        <f>(Capex!W421 * (1+'Painel Controle'!O$149)) + O10 + O11</f>
        <v>2453866629.8844223</v>
      </c>
      <c r="Q10" s="80">
        <f>(Capex!X421 * (1+'Painel Controle'!P$149)) + P10 + P11</f>
        <v>2343743807.7194991</v>
      </c>
      <c r="R10" s="80">
        <f>(Capex!Y421 * (1+'Painel Controle'!Q$149)) + Q10 + Q11</f>
        <v>2214665148.6918263</v>
      </c>
      <c r="S10" s="80">
        <f>(Capex!Z421 * (1+'Painel Controle'!R$149)) + R10 + R11</f>
        <v>2601768535.9593043</v>
      </c>
      <c r="T10" s="80">
        <f>(Capex!AA421 * (1+'Painel Controle'!S$149)) + S10 + S11</f>
        <v>2540431369.1840949</v>
      </c>
      <c r="U10" s="80">
        <f>(Capex!AB421 * (1+'Painel Controle'!T$149)) + T10 + T11</f>
        <v>2609438026.2689691</v>
      </c>
      <c r="V10" s="80">
        <f>(Capex!AC421 * (1+'Painel Controle'!U$149)) + U10 + U11</f>
        <v>2650480726.7590775</v>
      </c>
      <c r="W10" s="80">
        <f>(Capex!AD421 * (1+'Painel Controle'!V$149)) + V10 + V11</f>
        <v>2589504572.3799777</v>
      </c>
      <c r="X10" s="80">
        <f>(Capex!AE421 * (1+'Painel Controle'!W$149)) + W10 + W11</f>
        <v>2423897704.0079727</v>
      </c>
      <c r="Y10" s="80">
        <f>(Capex!AF421 * (1+'Painel Controle'!X$149)) + X10 + X11</f>
        <v>2269611942.2979908</v>
      </c>
      <c r="Z10" s="80">
        <f>(Capex!AG421 * (1+'Painel Controle'!Y$149)) + Y10 + Y11</f>
        <v>2049641501.7322795</v>
      </c>
      <c r="AA10" s="80">
        <f>(Capex!AH421 * (1+'Painel Controle'!Z$149)) + Z10 + Z11</f>
        <v>1877090214.1580024</v>
      </c>
      <c r="AB10" s="80">
        <f>(Capex!AI421 * (1+'Painel Controle'!AA$149)) + AA10 + AA11</f>
        <v>1716986885.4866343</v>
      </c>
      <c r="AC10" s="80">
        <f>(Capex!AJ421 * (1+'Painel Controle'!AB$149)) + AB10 + AB11</f>
        <v>1614900976.7041583</v>
      </c>
      <c r="AD10" s="80">
        <f>(Capex!AK421 * (1+'Painel Controle'!AC$149)) + AC10 + AC11</f>
        <v>1499235824.5648463</v>
      </c>
      <c r="AE10" s="80">
        <f>(Capex!AL421 * (1+'Painel Controle'!AD$149)) + AD10 + AD11</f>
        <v>1272647067.1898723</v>
      </c>
      <c r="AF10" s="80">
        <f>(Capex!AM421 * (1+'Painel Controle'!AE$149)) + AE10 + AE11</f>
        <v>993849295.57819784</v>
      </c>
      <c r="AG10" s="80">
        <f>(Capex!AN421 * (1+'Painel Controle'!AF$149)) + AF10 + AF11</f>
        <v>735748678.70771658</v>
      </c>
      <c r="AH10" s="80">
        <f>(Capex!AO421 * (1+'Painel Controle'!AG$149)) + AG10 + AG11</f>
        <v>472305138.55563778</v>
      </c>
    </row>
    <row r="11" spans="2:34">
      <c r="B11" s="78" t="s">
        <v>401</v>
      </c>
      <c r="C11" s="82" t="s">
        <v>402</v>
      </c>
      <c r="D11" s="76" t="s">
        <v>403</v>
      </c>
      <c r="E11" s="80">
        <f>'DRE Nominal'!E41</f>
        <v>-6512239.3115364946</v>
      </c>
      <c r="F11" s="80">
        <f>'DRE Nominal'!F41</f>
        <v>-11078849.951855343</v>
      </c>
      <c r="G11" s="80">
        <f>'DRE Nominal'!G41</f>
        <v>-25859701.186221372</v>
      </c>
      <c r="H11" s="80">
        <f>'DRE Nominal'!H41</f>
        <v>-63678478.51908607</v>
      </c>
      <c r="I11" s="80">
        <f>'DRE Nominal'!I41</f>
        <v>-88225905.126127616</v>
      </c>
      <c r="J11" s="80">
        <f>'DRE Nominal'!J41</f>
        <v>-114193907.1041556</v>
      </c>
      <c r="K11" s="80">
        <f>'DRE Nominal'!K41</f>
        <v>-114486804.68279658</v>
      </c>
      <c r="L11" s="80">
        <f>'DRE Nominal'!L41</f>
        <v>-118266738.46740742</v>
      </c>
      <c r="M11" s="80">
        <f>'DRE Nominal'!M41</f>
        <v>-122807425.69508457</v>
      </c>
      <c r="N11" s="80">
        <f>'DRE Nominal'!N41</f>
        <v>-125489933.5547321</v>
      </c>
      <c r="O11" s="80">
        <f>'DRE Nominal'!O41</f>
        <v>-128274269.39831023</v>
      </c>
      <c r="P11" s="80">
        <f>'DRE Nominal'!P41</f>
        <v>-129150875.25707486</v>
      </c>
      <c r="Q11" s="80">
        <f>'DRE Nominal'!Q41</f>
        <v>-130207989.31774995</v>
      </c>
      <c r="R11" s="80">
        <f>'DRE Nominal'!R41</f>
        <v>-130274420.5112839</v>
      </c>
      <c r="S11" s="80">
        <f>'DRE Nominal'!S41</f>
        <v>-162610533.49745652</v>
      </c>
      <c r="T11" s="80">
        <f>'DRE Nominal'!T41</f>
        <v>-169362091.27893966</v>
      </c>
      <c r="U11" s="80">
        <f>'DRE Nominal'!U41</f>
        <v>-186388430.4477835</v>
      </c>
      <c r="V11" s="80">
        <f>'DRE Nominal'!V41</f>
        <v>-203883132.82762134</v>
      </c>
      <c r="W11" s="80">
        <f>'DRE Nominal'!W41</f>
        <v>-215792047.69833148</v>
      </c>
      <c r="X11" s="80">
        <f>'DRE Nominal'!X41</f>
        <v>-220354336.72799751</v>
      </c>
      <c r="Y11" s="80">
        <f>'DRE Nominal'!Y41</f>
        <v>-226961194.22979909</v>
      </c>
      <c r="Z11" s="80">
        <f>'DRE Nominal'!Z41</f>
        <v>-227737944.63691995</v>
      </c>
      <c r="AA11" s="80">
        <f>'DRE Nominal'!AA41</f>
        <v>-234636276.7697503</v>
      </c>
      <c r="AB11" s="80">
        <f>'DRE Nominal'!AB41</f>
        <v>-245283840.78380489</v>
      </c>
      <c r="AC11" s="80">
        <f>'DRE Nominal'!AC41</f>
        <v>-269150162.78402638</v>
      </c>
      <c r="AD11" s="80">
        <f>'DRE Nominal'!AD41</f>
        <v>-299847164.91296923</v>
      </c>
      <c r="AE11" s="80">
        <f>'DRE Nominal'!AE41</f>
        <v>-318161766.79746807</v>
      </c>
      <c r="AF11" s="80">
        <f>'DRE Nominal'!AF41</f>
        <v>-331283098.52606595</v>
      </c>
      <c r="AG11" s="80">
        <f>'DRE Nominal'!AG41</f>
        <v>-367874339.35385829</v>
      </c>
      <c r="AH11" s="80">
        <f>'DRE Nominal'!AH41</f>
        <v>-472305138.55563778</v>
      </c>
    </row>
    <row r="12" spans="2:34">
      <c r="B12" s="78" t="s">
        <v>404</v>
      </c>
      <c r="C12" s="112" t="s">
        <v>405</v>
      </c>
      <c r="D12" s="92" t="s">
        <v>406</v>
      </c>
      <c r="E12" s="80" cm="1">
        <f t="array" aca="1" ref="E12:AH12" ca="1">'BP Real'!E12:AH12 * (1 + 'Painel Controle'!D$149:AG$149)</f>
        <v>2001805523.9999998</v>
      </c>
      <c r="F12" s="80">
        <f ca="1"/>
        <v>1953627469.9122343</v>
      </c>
      <c r="G12" s="80">
        <f ca="1"/>
        <v>2023567333.3350923</v>
      </c>
      <c r="H12" s="80">
        <f ca="1"/>
        <v>1787400027.8278074</v>
      </c>
      <c r="I12" s="80">
        <f ca="1"/>
        <v>926619013.21293235</v>
      </c>
      <c r="J12" s="80">
        <f ca="1"/>
        <v>482409784.82918441</v>
      </c>
      <c r="K12" s="80">
        <f ca="1"/>
        <v>0</v>
      </c>
      <c r="L12" s="80">
        <f ca="1"/>
        <v>0</v>
      </c>
      <c r="M12" s="80">
        <f ca="1"/>
        <v>0</v>
      </c>
      <c r="N12" s="80">
        <f ca="1"/>
        <v>0</v>
      </c>
      <c r="O12" s="80">
        <f ca="1"/>
        <v>0</v>
      </c>
      <c r="P12" s="80">
        <f ca="1"/>
        <v>0</v>
      </c>
      <c r="Q12" s="80">
        <f ca="1"/>
        <v>0</v>
      </c>
      <c r="R12" s="80">
        <f ca="1"/>
        <v>0</v>
      </c>
      <c r="S12" s="80">
        <f ca="1"/>
        <v>0</v>
      </c>
      <c r="T12" s="80">
        <f ca="1"/>
        <v>0</v>
      </c>
      <c r="U12" s="80">
        <f ca="1"/>
        <v>0</v>
      </c>
      <c r="V12" s="80">
        <f ca="1"/>
        <v>0</v>
      </c>
      <c r="W12" s="80">
        <f ca="1"/>
        <v>0</v>
      </c>
      <c r="X12" s="80">
        <f ca="1"/>
        <v>0</v>
      </c>
      <c r="Y12" s="80">
        <f ca="1"/>
        <v>0</v>
      </c>
      <c r="Z12" s="80">
        <f ca="1"/>
        <v>0</v>
      </c>
      <c r="AA12" s="80">
        <f ca="1"/>
        <v>0</v>
      </c>
      <c r="AB12" s="80">
        <f ca="1"/>
        <v>0</v>
      </c>
      <c r="AC12" s="80">
        <f ca="1"/>
        <v>0</v>
      </c>
      <c r="AD12" s="80">
        <f ca="1"/>
        <v>0</v>
      </c>
      <c r="AE12" s="80">
        <f ca="1"/>
        <v>0</v>
      </c>
      <c r="AF12" s="80">
        <f ca="1"/>
        <v>0</v>
      </c>
      <c r="AG12" s="80">
        <f ca="1"/>
        <v>0</v>
      </c>
      <c r="AH12" s="80">
        <f ca="1"/>
        <v>0</v>
      </c>
    </row>
    <row r="13" spans="2:34">
      <c r="B13" s="78" t="s">
        <v>407</v>
      </c>
      <c r="C13" s="112" t="s">
        <v>408</v>
      </c>
      <c r="D13" s="92" t="s">
        <v>409</v>
      </c>
      <c r="E13" s="80" cm="1">
        <f t="array" aca="1" ref="E13:AH13" ca="1">'BP Real'!E13:AH13 * (1 + 'Painel Controle'!D$149:AG$149)</f>
        <v>-121509595.30679998</v>
      </c>
      <c r="F13" s="80">
        <f ca="1"/>
        <v>0</v>
      </c>
      <c r="G13" s="80">
        <f ca="1"/>
        <v>-297944599.38277787</v>
      </c>
      <c r="H13" s="80">
        <f ca="1"/>
        <v>-892807429.63034427</v>
      </c>
      <c r="I13" s="80">
        <f ca="1"/>
        <v>-460882592.25407511</v>
      </c>
      <c r="J13" s="80">
        <f ca="1"/>
        <v>-482409784.82918441</v>
      </c>
      <c r="K13" s="80">
        <f ca="1"/>
        <v>0</v>
      </c>
      <c r="L13" s="80">
        <f ca="1"/>
        <v>0</v>
      </c>
      <c r="M13" s="80">
        <f ca="1"/>
        <v>0</v>
      </c>
      <c r="N13" s="80">
        <f ca="1"/>
        <v>0</v>
      </c>
      <c r="O13" s="80">
        <f ca="1"/>
        <v>0</v>
      </c>
      <c r="P13" s="80">
        <f ca="1"/>
        <v>0</v>
      </c>
      <c r="Q13" s="80">
        <f ca="1"/>
        <v>0</v>
      </c>
      <c r="R13" s="80">
        <f ca="1"/>
        <v>0</v>
      </c>
      <c r="S13" s="80">
        <f ca="1"/>
        <v>0</v>
      </c>
      <c r="T13" s="80">
        <f ca="1"/>
        <v>0</v>
      </c>
      <c r="U13" s="80">
        <f ca="1"/>
        <v>0</v>
      </c>
      <c r="V13" s="80">
        <f ca="1"/>
        <v>0</v>
      </c>
      <c r="W13" s="80">
        <f ca="1"/>
        <v>0</v>
      </c>
      <c r="X13" s="80">
        <f ca="1"/>
        <v>0</v>
      </c>
      <c r="Y13" s="80">
        <f ca="1"/>
        <v>0</v>
      </c>
      <c r="Z13" s="80">
        <f ca="1"/>
        <v>0</v>
      </c>
      <c r="AA13" s="80">
        <f ca="1"/>
        <v>0</v>
      </c>
      <c r="AB13" s="80">
        <f ca="1"/>
        <v>0</v>
      </c>
      <c r="AC13" s="80">
        <f ca="1"/>
        <v>0</v>
      </c>
      <c r="AD13" s="80">
        <f ca="1"/>
        <v>0</v>
      </c>
      <c r="AE13" s="80">
        <f ca="1"/>
        <v>0</v>
      </c>
      <c r="AF13" s="80">
        <f ca="1"/>
        <v>0</v>
      </c>
      <c r="AG13" s="80">
        <f ca="1"/>
        <v>0</v>
      </c>
      <c r="AH13" s="80">
        <f ca="1"/>
        <v>0</v>
      </c>
    </row>
    <row r="14" spans="2:34">
      <c r="B14" s="78" t="s">
        <v>410</v>
      </c>
      <c r="C14" s="112" t="s">
        <v>411</v>
      </c>
      <c r="D14" s="93" t="str">
        <f>D12</f>
        <v>Item 16 do ICPC 01. Assim como foi feito na modelagem do Rodoanel, reconhece-se o valor do Ativo Financeiro, no momento de assinatura do contrato, pelo valor total das contraprestações e aportes estatais.</v>
      </c>
      <c r="E14" s="80" cm="1">
        <f t="array" ref="E14">SUM(DFC!C7:AF7 * (1 + 'Painel Controle'!D149:AG149))</f>
        <v>0</v>
      </c>
      <c r="F14" s="80">
        <f>E14+E15</f>
        <v>0</v>
      </c>
      <c r="G14" s="80">
        <f>F14+F15</f>
        <v>0</v>
      </c>
      <c r="H14" s="80">
        <f>G14+G15</f>
        <v>0</v>
      </c>
      <c r="I14" s="80">
        <f t="shared" ref="I14:AH14" si="3">H14+H15</f>
        <v>0</v>
      </c>
      <c r="J14" s="80">
        <f t="shared" si="3"/>
        <v>0</v>
      </c>
      <c r="K14" s="80">
        <f t="shared" si="3"/>
        <v>0</v>
      </c>
      <c r="L14" s="80">
        <f t="shared" si="3"/>
        <v>0</v>
      </c>
      <c r="M14" s="80">
        <f t="shared" si="3"/>
        <v>0</v>
      </c>
      <c r="N14" s="80">
        <f t="shared" si="3"/>
        <v>0</v>
      </c>
      <c r="O14" s="80">
        <f t="shared" si="3"/>
        <v>0</v>
      </c>
      <c r="P14" s="80">
        <f t="shared" si="3"/>
        <v>0</v>
      </c>
      <c r="Q14" s="80">
        <f t="shared" si="3"/>
        <v>0</v>
      </c>
      <c r="R14" s="80">
        <f t="shared" si="3"/>
        <v>0</v>
      </c>
      <c r="S14" s="80">
        <f t="shared" si="3"/>
        <v>0</v>
      </c>
      <c r="T14" s="80">
        <f t="shared" si="3"/>
        <v>0</v>
      </c>
      <c r="U14" s="80">
        <f t="shared" si="3"/>
        <v>0</v>
      </c>
      <c r="V14" s="80">
        <f t="shared" si="3"/>
        <v>0</v>
      </c>
      <c r="W14" s="80">
        <f t="shared" si="3"/>
        <v>0</v>
      </c>
      <c r="X14" s="80">
        <f t="shared" si="3"/>
        <v>0</v>
      </c>
      <c r="Y14" s="80">
        <f t="shared" si="3"/>
        <v>0</v>
      </c>
      <c r="Z14" s="80">
        <f t="shared" si="3"/>
        <v>0</v>
      </c>
      <c r="AA14" s="80">
        <f t="shared" si="3"/>
        <v>0</v>
      </c>
      <c r="AB14" s="80">
        <f t="shared" si="3"/>
        <v>0</v>
      </c>
      <c r="AC14" s="80">
        <f t="shared" si="3"/>
        <v>0</v>
      </c>
      <c r="AD14" s="80">
        <f t="shared" si="3"/>
        <v>0</v>
      </c>
      <c r="AE14" s="80">
        <f t="shared" si="3"/>
        <v>0</v>
      </c>
      <c r="AF14" s="80">
        <f t="shared" si="3"/>
        <v>0</v>
      </c>
      <c r="AG14" s="80">
        <f t="shared" si="3"/>
        <v>0</v>
      </c>
      <c r="AH14" s="80">
        <f t="shared" si="3"/>
        <v>0</v>
      </c>
    </row>
    <row r="15" spans="2:34">
      <c r="B15" s="78" t="s">
        <v>412</v>
      </c>
      <c r="C15" s="112" t="s">
        <v>413</v>
      </c>
      <c r="D15" s="93" t="s">
        <v>414</v>
      </c>
      <c r="E15" s="80" cm="1">
        <f t="array" ref="E15:AH15">DFC!C7:AF7 * (1 + 'Painel Controle'!D149:AG149) * -1</f>
        <v>0</v>
      </c>
      <c r="F15" s="80">
        <v>0</v>
      </c>
      <c r="G15" s="80">
        <v>0</v>
      </c>
      <c r="H15" s="80">
        <v>0</v>
      </c>
      <c r="I15" s="80">
        <v>0</v>
      </c>
      <c r="J15" s="80">
        <v>0</v>
      </c>
      <c r="K15" s="80">
        <v>0</v>
      </c>
      <c r="L15" s="80">
        <v>0</v>
      </c>
      <c r="M15" s="80">
        <v>0</v>
      </c>
      <c r="N15" s="80">
        <v>0</v>
      </c>
      <c r="O15" s="80">
        <v>0</v>
      </c>
      <c r="P15" s="80">
        <v>0</v>
      </c>
      <c r="Q15" s="80">
        <v>0</v>
      </c>
      <c r="R15" s="80">
        <v>0</v>
      </c>
      <c r="S15" s="80">
        <v>0</v>
      </c>
      <c r="T15" s="80">
        <v>0</v>
      </c>
      <c r="U15" s="80">
        <v>0</v>
      </c>
      <c r="V15" s="80">
        <v>0</v>
      </c>
      <c r="W15" s="80">
        <v>0</v>
      </c>
      <c r="X15" s="80">
        <v>0</v>
      </c>
      <c r="Y15" s="80">
        <v>0</v>
      </c>
      <c r="Z15" s="80">
        <v>0</v>
      </c>
      <c r="AA15" s="80">
        <v>0</v>
      </c>
      <c r="AB15" s="80">
        <v>0</v>
      </c>
      <c r="AC15" s="80">
        <v>0</v>
      </c>
      <c r="AD15" s="80">
        <v>0</v>
      </c>
      <c r="AE15" s="80">
        <v>0</v>
      </c>
      <c r="AF15" s="80">
        <v>0</v>
      </c>
      <c r="AG15" s="80">
        <v>0</v>
      </c>
      <c r="AH15" s="80">
        <v>0</v>
      </c>
    </row>
    <row r="16" spans="2:34">
      <c r="B16" s="74" t="s">
        <v>415</v>
      </c>
      <c r="C16" s="75" t="s">
        <v>416</v>
      </c>
      <c r="D16" s="113" t="s">
        <v>341</v>
      </c>
      <c r="E16" s="77">
        <f ca="1">SUM(E17:E29)</f>
        <v>2072701967.5036685</v>
      </c>
      <c r="F16" s="77">
        <f t="shared" ref="F16:AG16" ca="1" si="4">SUM(F17:F29)</f>
        <v>2263835268.5641837</v>
      </c>
      <c r="G16" s="77">
        <f t="shared" ca="1" si="4"/>
        <v>2423834665.9802918</v>
      </c>
      <c r="H16" s="77">
        <f t="shared" ca="1" si="4"/>
        <v>2550233039.6937013</v>
      </c>
      <c r="I16" s="77">
        <f t="shared" ca="1" si="4"/>
        <v>2671384049.1120477</v>
      </c>
      <c r="J16" s="77">
        <f t="shared" ca="1" si="4"/>
        <v>2740653770.4997349</v>
      </c>
      <c r="K16" s="77">
        <f t="shared" ca="1" si="4"/>
        <v>2685038690.3783822</v>
      </c>
      <c r="L16" s="77">
        <f t="shared" ca="1" si="4"/>
        <v>2636701926.3456345</v>
      </c>
      <c r="M16" s="77">
        <f t="shared" ca="1" si="4"/>
        <v>2597967536.8772445</v>
      </c>
      <c r="N16" s="77">
        <f t="shared" ca="1" si="4"/>
        <v>2569773183.9946733</v>
      </c>
      <c r="O16" s="77">
        <f t="shared" ca="1" si="4"/>
        <v>2552310008.9250097</v>
      </c>
      <c r="P16" s="77">
        <f t="shared" ca="1" si="4"/>
        <v>2547423816.5043821</v>
      </c>
      <c r="Q16" s="77">
        <f t="shared" ca="1" si="4"/>
        <v>2555374571.9574785</v>
      </c>
      <c r="R16" s="77">
        <f t="shared" ca="1" si="4"/>
        <v>2577428586.1859999</v>
      </c>
      <c r="S16" s="77">
        <f t="shared" ca="1" si="4"/>
        <v>2591300802.0864568</v>
      </c>
      <c r="T16" s="77">
        <f t="shared" ca="1" si="4"/>
        <v>2628243487.9381037</v>
      </c>
      <c r="U16" s="77">
        <f t="shared" ca="1" si="4"/>
        <v>2669319714.5903077</v>
      </c>
      <c r="V16" s="77">
        <f t="shared" ca="1" si="4"/>
        <v>2714989609.3640099</v>
      </c>
      <c r="W16" s="77">
        <f t="shared" ca="1" si="4"/>
        <v>2769014493.7126179</v>
      </c>
      <c r="X16" s="77">
        <f t="shared" ca="1" si="4"/>
        <v>2839707681.5107422</v>
      </c>
      <c r="Y16" s="77">
        <f t="shared" ca="1" si="4"/>
        <v>2922743653.1542711</v>
      </c>
      <c r="Z16" s="77">
        <f t="shared" ca="1" si="4"/>
        <v>3022630509.8638148</v>
      </c>
      <c r="AA16" s="77">
        <f t="shared" ca="1" si="4"/>
        <v>3134786725.4131422</v>
      </c>
      <c r="AB16" s="77">
        <f t="shared" ca="1" si="4"/>
        <v>3256959269.6045456</v>
      </c>
      <c r="AC16" s="77">
        <f t="shared" ca="1" si="4"/>
        <v>3380024984.5494471</v>
      </c>
      <c r="AD16" s="77">
        <f t="shared" ca="1" si="4"/>
        <v>3502498291.8260331</v>
      </c>
      <c r="AE16" s="77">
        <f t="shared" ca="1" si="4"/>
        <v>3629306181.7300963</v>
      </c>
      <c r="AF16" s="77">
        <f t="shared" ca="1" si="4"/>
        <v>3764043890.7743812</v>
      </c>
      <c r="AG16" s="77">
        <f t="shared" ca="1" si="4"/>
        <v>3889929461.1787024</v>
      </c>
      <c r="AH16" s="77">
        <f t="shared" ref="AH16" ca="1" si="5">SUM(AH17:AH29)</f>
        <v>3962854522.1106367</v>
      </c>
    </row>
    <row r="17" spans="2:34">
      <c r="B17" s="78" t="s">
        <v>417</v>
      </c>
      <c r="C17" s="83" t="s">
        <v>418</v>
      </c>
      <c r="D17" s="84"/>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row>
    <row r="18" spans="2:34">
      <c r="B18" s="86" t="s">
        <v>419</v>
      </c>
      <c r="C18" s="87" t="s">
        <v>420</v>
      </c>
      <c r="D18" s="42" t="s">
        <v>421</v>
      </c>
      <c r="E18" s="88" t="s">
        <v>341</v>
      </c>
      <c r="F18" s="89" t="s">
        <v>306</v>
      </c>
      <c r="G18" s="89" t="s">
        <v>306</v>
      </c>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row>
    <row r="19" spans="2:34">
      <c r="B19" s="78" t="s">
        <v>422</v>
      </c>
      <c r="C19" s="90" t="s">
        <v>423</v>
      </c>
      <c r="D19" s="115" t="s">
        <v>341</v>
      </c>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row>
    <row r="20" spans="2:34">
      <c r="B20" s="78" t="s">
        <v>424</v>
      </c>
      <c r="C20" s="96" t="s">
        <v>420</v>
      </c>
      <c r="D20" s="92" t="s">
        <v>425</v>
      </c>
      <c r="E20" s="80">
        <f ca="1">E35</f>
        <v>0</v>
      </c>
      <c r="F20" s="80">
        <f t="shared" ref="F20:AH20" ca="1" si="6">F35</f>
        <v>85131564.604812965</v>
      </c>
      <c r="G20" s="80">
        <f t="shared" ca="1" si="6"/>
        <v>138422100.52502319</v>
      </c>
      <c r="H20" s="80">
        <f t="shared" ca="1" si="6"/>
        <v>210631194.7328431</v>
      </c>
      <c r="I20" s="80">
        <f t="shared" ca="1" si="6"/>
        <v>322301404.21153855</v>
      </c>
      <c r="J20" s="80">
        <f t="shared" ca="1" si="6"/>
        <v>426632878.58004189</v>
      </c>
      <c r="K20" s="80">
        <f t="shared" ca="1" si="6"/>
        <v>409567563.43684024</v>
      </c>
      <c r="L20" s="80">
        <f t="shared" ca="1" si="6"/>
        <v>392502248.29363859</v>
      </c>
      <c r="M20" s="80">
        <f t="shared" ca="1" si="6"/>
        <v>375436933.15043688</v>
      </c>
      <c r="N20" s="80">
        <f t="shared" ca="1" si="6"/>
        <v>358371618.00723523</v>
      </c>
      <c r="O20" s="80">
        <f t="shared" ca="1" si="6"/>
        <v>341306302.86403358</v>
      </c>
      <c r="P20" s="80">
        <f t="shared" ca="1" si="6"/>
        <v>324240987.72083187</v>
      </c>
      <c r="Q20" s="80">
        <f t="shared" ca="1" si="6"/>
        <v>307175672.57763016</v>
      </c>
      <c r="R20" s="80">
        <f t="shared" ca="1" si="6"/>
        <v>290110357.43442851</v>
      </c>
      <c r="S20" s="80">
        <f t="shared" ca="1" si="6"/>
        <v>273045042.29122686</v>
      </c>
      <c r="T20" s="80">
        <f t="shared" ca="1" si="6"/>
        <v>255979727.14802518</v>
      </c>
      <c r="U20" s="80">
        <f t="shared" ca="1" si="6"/>
        <v>238914412.00482354</v>
      </c>
      <c r="V20" s="80">
        <f t="shared" ca="1" si="6"/>
        <v>221849096.86162186</v>
      </c>
      <c r="W20" s="80">
        <f t="shared" ca="1" si="6"/>
        <v>204783781.71842018</v>
      </c>
      <c r="X20" s="80">
        <f t="shared" ca="1" si="6"/>
        <v>187718466.5752185</v>
      </c>
      <c r="Y20" s="80">
        <f t="shared" ca="1" si="6"/>
        <v>170653151.43201682</v>
      </c>
      <c r="Z20" s="80">
        <f t="shared" ca="1" si="6"/>
        <v>153587836.28881514</v>
      </c>
      <c r="AA20" s="80">
        <f t="shared" ca="1" si="6"/>
        <v>136522521.14561346</v>
      </c>
      <c r="AB20" s="80">
        <f t="shared" ca="1" si="6"/>
        <v>119457206.00241178</v>
      </c>
      <c r="AC20" s="80">
        <f t="shared" ca="1" si="6"/>
        <v>102391890.8592101</v>
      </c>
      <c r="AD20" s="80">
        <f t="shared" ca="1" si="6"/>
        <v>85326575.716008425</v>
      </c>
      <c r="AE20" s="80">
        <f t="shared" ca="1" si="6"/>
        <v>68261260.572806746</v>
      </c>
      <c r="AF20" s="80">
        <f t="shared" ca="1" si="6"/>
        <v>51195945.429605059</v>
      </c>
      <c r="AG20" s="80">
        <f t="shared" ca="1" si="6"/>
        <v>34130630.286403373</v>
      </c>
      <c r="AH20" s="80">
        <f t="shared" ca="1" si="6"/>
        <v>17065315.143201686</v>
      </c>
    </row>
    <row r="21" spans="2:34">
      <c r="B21" s="78" t="s">
        <v>426</v>
      </c>
      <c r="C21" s="96" t="s">
        <v>427</v>
      </c>
      <c r="D21" s="93" t="str">
        <f>D12</f>
        <v>Item 16 do ICPC 01. Assim como foi feito na modelagem do Rodoanel, reconhece-se o valor do Ativo Financeiro, no momento de assinatura do contrato, pelo valor total das contraprestações e aportes estatais.</v>
      </c>
      <c r="E21" s="80" cm="1">
        <f t="array" aca="1" ref="E21:AH21" ca="1">_xlfn.ANCHORARRAY(E12)</f>
        <v>2001805523.9999998</v>
      </c>
      <c r="F21" s="80">
        <f ca="1"/>
        <v>1953627469.9122343</v>
      </c>
      <c r="G21" s="80">
        <f ca="1"/>
        <v>2023567333.3350923</v>
      </c>
      <c r="H21" s="80">
        <f ca="1"/>
        <v>1787400027.8278074</v>
      </c>
      <c r="I21" s="80">
        <f ca="1"/>
        <v>926619013.21293235</v>
      </c>
      <c r="J21" s="80">
        <f ca="1"/>
        <v>482409784.82918441</v>
      </c>
      <c r="K21" s="80">
        <f ca="1"/>
        <v>0</v>
      </c>
      <c r="L21" s="80">
        <f ca="1"/>
        <v>0</v>
      </c>
      <c r="M21" s="80">
        <f ca="1"/>
        <v>0</v>
      </c>
      <c r="N21" s="80">
        <f ca="1"/>
        <v>0</v>
      </c>
      <c r="O21" s="80">
        <f ca="1"/>
        <v>0</v>
      </c>
      <c r="P21" s="80">
        <f ca="1"/>
        <v>0</v>
      </c>
      <c r="Q21" s="80">
        <f ca="1"/>
        <v>0</v>
      </c>
      <c r="R21" s="80">
        <f ca="1"/>
        <v>0</v>
      </c>
      <c r="S21" s="80">
        <f ca="1"/>
        <v>0</v>
      </c>
      <c r="T21" s="80">
        <f ca="1"/>
        <v>0</v>
      </c>
      <c r="U21" s="80">
        <f ca="1"/>
        <v>0</v>
      </c>
      <c r="V21" s="80">
        <f ca="1"/>
        <v>0</v>
      </c>
      <c r="W21" s="80">
        <f ca="1"/>
        <v>0</v>
      </c>
      <c r="X21" s="80">
        <f ca="1"/>
        <v>0</v>
      </c>
      <c r="Y21" s="80">
        <f ca="1"/>
        <v>0</v>
      </c>
      <c r="Z21" s="80">
        <f ca="1"/>
        <v>0</v>
      </c>
      <c r="AA21" s="80">
        <f ca="1"/>
        <v>0</v>
      </c>
      <c r="AB21" s="80">
        <f ca="1"/>
        <v>0</v>
      </c>
      <c r="AC21" s="80">
        <f ca="1"/>
        <v>0</v>
      </c>
      <c r="AD21" s="80">
        <f ca="1"/>
        <v>0</v>
      </c>
      <c r="AE21" s="80">
        <f ca="1"/>
        <v>0</v>
      </c>
      <c r="AF21" s="80">
        <f ca="1"/>
        <v>0</v>
      </c>
      <c r="AG21" s="80">
        <f ca="1"/>
        <v>0</v>
      </c>
      <c r="AH21" s="80">
        <f ca="1"/>
        <v>0</v>
      </c>
    </row>
    <row r="22" spans="2:34">
      <c r="B22" s="78" t="s">
        <v>428</v>
      </c>
      <c r="C22" s="123" t="s">
        <v>429</v>
      </c>
      <c r="D22" s="124" t="str">
        <f>D13</f>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22" s="80" cm="1">
        <f t="array" aca="1" ref="E22:AH22" ca="1">_xlfn.ANCHORARRAY(E13)</f>
        <v>-121509595.30679998</v>
      </c>
      <c r="F22" s="80">
        <f ca="1"/>
        <v>0</v>
      </c>
      <c r="G22" s="80">
        <f ca="1"/>
        <v>-297944599.38277787</v>
      </c>
      <c r="H22" s="80">
        <f ca="1"/>
        <v>-892807429.63034427</v>
      </c>
      <c r="I22" s="80">
        <f ca="1"/>
        <v>-460882592.25407511</v>
      </c>
      <c r="J22" s="80">
        <f ca="1"/>
        <v>-482409784.82918441</v>
      </c>
      <c r="K22" s="80">
        <f ca="1"/>
        <v>0</v>
      </c>
      <c r="L22" s="80">
        <f ca="1"/>
        <v>0</v>
      </c>
      <c r="M22" s="80">
        <f ca="1"/>
        <v>0</v>
      </c>
      <c r="N22" s="80">
        <f ca="1"/>
        <v>0</v>
      </c>
      <c r="O22" s="80">
        <f ca="1"/>
        <v>0</v>
      </c>
      <c r="P22" s="80">
        <f ca="1"/>
        <v>0</v>
      </c>
      <c r="Q22" s="80">
        <f ca="1"/>
        <v>0</v>
      </c>
      <c r="R22" s="80">
        <f ca="1"/>
        <v>0</v>
      </c>
      <c r="S22" s="80">
        <f ca="1"/>
        <v>0</v>
      </c>
      <c r="T22" s="80">
        <f ca="1"/>
        <v>0</v>
      </c>
      <c r="U22" s="80">
        <f ca="1"/>
        <v>0</v>
      </c>
      <c r="V22" s="80">
        <f ca="1"/>
        <v>0</v>
      </c>
      <c r="W22" s="80">
        <f ca="1"/>
        <v>0</v>
      </c>
      <c r="X22" s="80">
        <f ca="1"/>
        <v>0</v>
      </c>
      <c r="Y22" s="80">
        <f ca="1"/>
        <v>0</v>
      </c>
      <c r="Z22" s="80">
        <f ca="1"/>
        <v>0</v>
      </c>
      <c r="AA22" s="80">
        <f ca="1"/>
        <v>0</v>
      </c>
      <c r="AB22" s="80">
        <f ca="1"/>
        <v>0</v>
      </c>
      <c r="AC22" s="80">
        <f ca="1"/>
        <v>0</v>
      </c>
      <c r="AD22" s="80">
        <f ca="1"/>
        <v>0</v>
      </c>
      <c r="AE22" s="80">
        <f ca="1"/>
        <v>0</v>
      </c>
      <c r="AF22" s="80">
        <f ca="1"/>
        <v>0</v>
      </c>
      <c r="AG22" s="80">
        <f ca="1"/>
        <v>0</v>
      </c>
      <c r="AH22" s="80">
        <f ca="1"/>
        <v>0</v>
      </c>
    </row>
    <row r="23" spans="2:34">
      <c r="B23" s="78" t="s">
        <v>430</v>
      </c>
      <c r="C23" s="96" t="s">
        <v>431</v>
      </c>
      <c r="D23" s="93" t="str">
        <f>'DRE Nominal'!C31</f>
        <v>Art. 500 e parágrafos do decreto 9.580/2018</v>
      </c>
      <c r="E23" s="80">
        <f ca="1">Aporte!E257 * -1 * (1+'Painel Controle'!D$149)</f>
        <v>121509595.30679998</v>
      </c>
      <c r="F23" s="80">
        <f ca="1">Aporte!F257 * -1 * (1+'Painel Controle'!E$149) + E23 + E24</f>
        <v>117459275.46323998</v>
      </c>
      <c r="G23" s="80">
        <f ca="1">Aporte!G257 * -1 * (1+'Painel Controle'!F$149) + F23 + F24</f>
        <v>411353555.00245786</v>
      </c>
      <c r="H23" s="80">
        <f ca="1">Aporte!H257 * -1 * (1+'Painel Controle'!G$149) + G23 + G24</f>
        <v>1289469786.2398572</v>
      </c>
      <c r="I23" s="80">
        <f ca="1">Aporte!I257 * -1 * (1+'Painel Controle'!H$149) + H23 + H24</f>
        <v>1702594238.2628264</v>
      </c>
      <c r="J23" s="80">
        <f ca="1">Aporte!J257 * -1 * (1+'Painel Controle'!I$149) + I23 + I24</f>
        <v>2119519629.3126714</v>
      </c>
      <c r="K23" s="80">
        <f ca="1">Aporte!K257 * -1 * (1+'Painel Controle'!J$149) + J23 + J24</f>
        <v>2034738844.1401646</v>
      </c>
      <c r="L23" s="80">
        <f ca="1">Aporte!L257 * -1 * (1+'Painel Controle'!K$149) + K23 + K24</f>
        <v>1949958058.9676578</v>
      </c>
      <c r="M23" s="80">
        <f ca="1">Aporte!M257 * -1 * (1+'Painel Controle'!L$149) + L23 + L24</f>
        <v>1865177273.795151</v>
      </c>
      <c r="N23" s="80">
        <f ca="1">Aporte!N257 * -1 * (1+'Painel Controle'!M$149) + M23 + M24</f>
        <v>1780396488.6226442</v>
      </c>
      <c r="O23" s="80">
        <f ca="1">Aporte!O257 * -1 * (1+'Painel Controle'!N$149) + N23 + N24</f>
        <v>1695615703.4501374</v>
      </c>
      <c r="P23" s="80">
        <f ca="1">Aporte!P257 * -1 * (1+'Painel Controle'!O$149) + O23 + O24</f>
        <v>1610834918.2776306</v>
      </c>
      <c r="Q23" s="80">
        <f ca="1">Aporte!Q257 * -1 * (1+'Painel Controle'!P$149) + P23 + P24</f>
        <v>1526054133.1051238</v>
      </c>
      <c r="R23" s="80">
        <f ca="1">Aporte!R257 * -1 * (1+'Painel Controle'!Q$149) + Q23 + Q24</f>
        <v>1441273347.9326169</v>
      </c>
      <c r="S23" s="80">
        <f ca="1">Aporte!S257 * -1 * (1+'Painel Controle'!R$149) + R23 + R24</f>
        <v>1356492562.7601101</v>
      </c>
      <c r="T23" s="80">
        <f ca="1">Aporte!T257 * -1 * (1+'Painel Controle'!S$149) + S23 + S24</f>
        <v>1271711777.5876033</v>
      </c>
      <c r="U23" s="80">
        <f ca="1">Aporte!U257 * -1 * (1+'Painel Controle'!T$149) + T23 + T24</f>
        <v>1186930992.4150965</v>
      </c>
      <c r="V23" s="80">
        <f ca="1">Aporte!V257 * -1 * (1+'Painel Controle'!U$149) + U23 + U24</f>
        <v>1102150207.2425897</v>
      </c>
      <c r="W23" s="80">
        <f ca="1">Aporte!W257 * -1 * (1+'Painel Controle'!V$149) + V23 + V24</f>
        <v>1017369422.0700828</v>
      </c>
      <c r="X23" s="80">
        <f ca="1">Aporte!X257 * -1 * (1+'Painel Controle'!W$149) + W23 + W24</f>
        <v>932588636.89757586</v>
      </c>
      <c r="Y23" s="80">
        <f ca="1">Aporte!Y257 * -1 * (1+'Painel Controle'!X$149) + X23 + X24</f>
        <v>847807851.72506893</v>
      </c>
      <c r="Z23" s="80">
        <f ca="1">Aporte!Z257 * -1 * (1+'Painel Controle'!Y$149) + Y23 + Y24</f>
        <v>763027066.552562</v>
      </c>
      <c r="AA23" s="80">
        <f ca="1">Aporte!AA257 * -1 * (1+'Painel Controle'!Z$149) + Z23 + Z24</f>
        <v>678246281.38005507</v>
      </c>
      <c r="AB23" s="80">
        <f ca="1">Aporte!AB257 * -1 * (1+'Painel Controle'!AA$149) + AA23 + AA24</f>
        <v>593465496.20754814</v>
      </c>
      <c r="AC23" s="80">
        <f ca="1">Aporte!AC257 * -1 * (1+'Painel Controle'!AB$149) + AB23 + AB24</f>
        <v>508684711.03504127</v>
      </c>
      <c r="AD23" s="80">
        <f ca="1">Aporte!AD257 * -1 * (1+'Painel Controle'!AC$149) + AC23 + AC24</f>
        <v>423903925.8625344</v>
      </c>
      <c r="AE23" s="80">
        <f ca="1">Aporte!AE257 * -1 * (1+'Painel Controle'!AD$149) + AD23 + AD24</f>
        <v>339123140.69002753</v>
      </c>
      <c r="AF23" s="80">
        <f ca="1">Aporte!AF257 * -1 * (1+'Painel Controle'!AE$149) + AE23 + AE24</f>
        <v>254342355.51752067</v>
      </c>
      <c r="AG23" s="80">
        <f ca="1">Aporte!AG257 * -1 * (1+'Painel Controle'!AF$149) + AF23 + AF24</f>
        <v>169561570.3450138</v>
      </c>
      <c r="AH23" s="80">
        <f ca="1">Aporte!AH257 * -1 * (1+'Painel Controle'!AG$149) + AG23 + AG24</f>
        <v>84780785.172506899</v>
      </c>
    </row>
    <row r="24" spans="2:34">
      <c r="B24" s="78" t="s">
        <v>432</v>
      </c>
      <c r="C24" s="81" t="s">
        <v>433</v>
      </c>
      <c r="D24" s="93" t="str">
        <f>D11</f>
        <v>Para evitar circularidade no modelo, é necessário criar essa conta separada.</v>
      </c>
      <c r="E24" s="80">
        <f ca="1">'DRE Nominal'!E31 * -1</f>
        <v>-4050319.8435599995</v>
      </c>
      <c r="F24" s="80">
        <f ca="1">'DRE Nominal'!F31 * -1</f>
        <v>-4050319.8435599995</v>
      </c>
      <c r="G24" s="80">
        <f ca="1">'DRE Nominal'!G31 * -1</f>
        <v>-14691198.392944923</v>
      </c>
      <c r="H24" s="80">
        <f ca="1">'DRE Nominal'!H31 * -1</f>
        <v>-47758140.231105819</v>
      </c>
      <c r="I24" s="80">
        <f ca="1">'DRE Nominal'!I31 * -1</f>
        <v>-65484393.779339477</v>
      </c>
      <c r="J24" s="80">
        <f ca="1">'DRE Nominal'!J31 * -1</f>
        <v>-84780785.172506854</v>
      </c>
      <c r="K24" s="80">
        <f ca="1">'DRE Nominal'!K31 * -1</f>
        <v>-84780785.172506854</v>
      </c>
      <c r="L24" s="80">
        <f ca="1">'DRE Nominal'!L31 * -1</f>
        <v>-84780785.172506854</v>
      </c>
      <c r="M24" s="80">
        <f ca="1">'DRE Nominal'!M31 * -1</f>
        <v>-84780785.172506869</v>
      </c>
      <c r="N24" s="80">
        <f ca="1">'DRE Nominal'!N31 * -1</f>
        <v>-84780785.172506869</v>
      </c>
      <c r="O24" s="80">
        <f ca="1">'DRE Nominal'!O31 * -1</f>
        <v>-84780785.172506869</v>
      </c>
      <c r="P24" s="80">
        <f ca="1">'DRE Nominal'!P31 * -1</f>
        <v>-84780785.172506869</v>
      </c>
      <c r="Q24" s="80">
        <f ca="1">'DRE Nominal'!Q31 * -1</f>
        <v>-84780785.172506869</v>
      </c>
      <c r="R24" s="80">
        <f ca="1">'DRE Nominal'!R31 * -1</f>
        <v>-84780785.172506884</v>
      </c>
      <c r="S24" s="80">
        <f ca="1">'DRE Nominal'!S31 * -1</f>
        <v>-84780785.172506884</v>
      </c>
      <c r="T24" s="80">
        <f ca="1">'DRE Nominal'!T31 * -1</f>
        <v>-84780785.172506884</v>
      </c>
      <c r="U24" s="80">
        <f ca="1">'DRE Nominal'!U31 * -1</f>
        <v>-84780785.172506899</v>
      </c>
      <c r="V24" s="80">
        <f ca="1">'DRE Nominal'!V31 * -1</f>
        <v>-84780785.172506899</v>
      </c>
      <c r="W24" s="80">
        <f ca="1">'DRE Nominal'!W31 * -1</f>
        <v>-84780785.172506899</v>
      </c>
      <c r="X24" s="80">
        <f ca="1">'DRE Nominal'!X31 * -1</f>
        <v>-84780785.172506899</v>
      </c>
      <c r="Y24" s="80">
        <f ca="1">'DRE Nominal'!Y31 * -1</f>
        <v>-84780785.172506899</v>
      </c>
      <c r="Z24" s="80">
        <f ca="1">'DRE Nominal'!Z31 * -1</f>
        <v>-84780785.172506884</v>
      </c>
      <c r="AA24" s="80">
        <f ca="1">'DRE Nominal'!AA31 * -1</f>
        <v>-84780785.172506884</v>
      </c>
      <c r="AB24" s="80">
        <f ca="1">'DRE Nominal'!AB31 * -1</f>
        <v>-84780785.172506884</v>
      </c>
      <c r="AC24" s="80">
        <f ca="1">'DRE Nominal'!AC31 * -1</f>
        <v>-84780785.172506884</v>
      </c>
      <c r="AD24" s="80">
        <f ca="1">'DRE Nominal'!AD31 * -1</f>
        <v>-84780785.172506884</v>
      </c>
      <c r="AE24" s="80">
        <f ca="1">'DRE Nominal'!AE31 * -1</f>
        <v>-84780785.172506884</v>
      </c>
      <c r="AF24" s="80">
        <f ca="1">'DRE Nominal'!AF31 * -1</f>
        <v>-84780785.172506884</v>
      </c>
      <c r="AG24" s="80">
        <f ca="1">'DRE Nominal'!AG31 * -1</f>
        <v>-84780785.172506899</v>
      </c>
      <c r="AH24" s="80">
        <f ca="1">'DRE Nominal'!AH31 * -1</f>
        <v>-84780785.172506899</v>
      </c>
    </row>
    <row r="25" spans="2:34">
      <c r="B25" s="78" t="s">
        <v>434</v>
      </c>
      <c r="C25" s="81" t="s">
        <v>435</v>
      </c>
      <c r="D25" s="129" t="s">
        <v>341</v>
      </c>
      <c r="E25" s="80" cm="1">
        <f t="array" ref="E25:AH25">E14:AH14</f>
        <v>0</v>
      </c>
      <c r="F25" s="80">
        <v>0</v>
      </c>
      <c r="G25" s="80">
        <v>0</v>
      </c>
      <c r="H25" s="80">
        <v>0</v>
      </c>
      <c r="I25" s="80">
        <v>0</v>
      </c>
      <c r="J25" s="80">
        <v>0</v>
      </c>
      <c r="K25" s="80">
        <v>0</v>
      </c>
      <c r="L25" s="80">
        <v>0</v>
      </c>
      <c r="M25" s="80">
        <v>0</v>
      </c>
      <c r="N25" s="80">
        <v>0</v>
      </c>
      <c r="O25" s="80">
        <v>0</v>
      </c>
      <c r="P25" s="80">
        <v>0</v>
      </c>
      <c r="Q25" s="80">
        <v>0</v>
      </c>
      <c r="R25" s="80">
        <v>0</v>
      </c>
      <c r="S25" s="80">
        <v>0</v>
      </c>
      <c r="T25" s="80">
        <v>0</v>
      </c>
      <c r="U25" s="80">
        <v>0</v>
      </c>
      <c r="V25" s="80">
        <v>0</v>
      </c>
      <c r="W25" s="80">
        <v>0</v>
      </c>
      <c r="X25" s="80">
        <v>0</v>
      </c>
      <c r="Y25" s="80">
        <v>0</v>
      </c>
      <c r="Z25" s="80">
        <v>0</v>
      </c>
      <c r="AA25" s="80">
        <v>0</v>
      </c>
      <c r="AB25" s="80">
        <v>0</v>
      </c>
      <c r="AC25" s="80">
        <v>0</v>
      </c>
      <c r="AD25" s="80">
        <v>0</v>
      </c>
      <c r="AE25" s="80">
        <v>0</v>
      </c>
      <c r="AF25" s="80">
        <v>0</v>
      </c>
      <c r="AG25" s="80">
        <v>0</v>
      </c>
      <c r="AH25" s="80">
        <v>0</v>
      </c>
    </row>
    <row r="26" spans="2:34">
      <c r="B26" s="78" t="s">
        <v>436</v>
      </c>
      <c r="C26" s="81" t="s">
        <v>437</v>
      </c>
      <c r="D26" s="124" t="str">
        <f>D15</f>
        <v>À medida que a contraprestação pecuniária for sendo recebida, vai-se abatendo o seu respectivo Ativo Financeiro.</v>
      </c>
      <c r="E26" s="80" cm="1">
        <f t="array" ref="E26:AH26">_xlfn.ANCHORARRAY(E15)</f>
        <v>0</v>
      </c>
      <c r="F26" s="80">
        <v>0</v>
      </c>
      <c r="G26" s="80">
        <v>0</v>
      </c>
      <c r="H26" s="80">
        <v>0</v>
      </c>
      <c r="I26" s="80">
        <v>0</v>
      </c>
      <c r="J26" s="80">
        <v>0</v>
      </c>
      <c r="K26" s="80">
        <v>0</v>
      </c>
      <c r="L26" s="80">
        <v>0</v>
      </c>
      <c r="M26" s="80">
        <v>0</v>
      </c>
      <c r="N26" s="80">
        <v>0</v>
      </c>
      <c r="O26" s="80">
        <v>0</v>
      </c>
      <c r="P26" s="80">
        <v>0</v>
      </c>
      <c r="Q26" s="80">
        <v>0</v>
      </c>
      <c r="R26" s="80">
        <v>0</v>
      </c>
      <c r="S26" s="80">
        <v>0</v>
      </c>
      <c r="T26" s="80">
        <v>0</v>
      </c>
      <c r="U26" s="80">
        <v>0</v>
      </c>
      <c r="V26" s="80">
        <v>0</v>
      </c>
      <c r="W26" s="80">
        <v>0</v>
      </c>
      <c r="X26" s="80">
        <v>0</v>
      </c>
      <c r="Y26" s="80">
        <v>0</v>
      </c>
      <c r="Z26" s="80">
        <v>0</v>
      </c>
      <c r="AA26" s="80">
        <v>0</v>
      </c>
      <c r="AB26" s="80">
        <v>0</v>
      </c>
      <c r="AC26" s="80">
        <v>0</v>
      </c>
      <c r="AD26" s="80">
        <v>0</v>
      </c>
      <c r="AE26" s="80">
        <v>0</v>
      </c>
      <c r="AF26" s="80">
        <v>0</v>
      </c>
      <c r="AG26" s="80">
        <v>0</v>
      </c>
      <c r="AH26" s="80">
        <v>0</v>
      </c>
    </row>
    <row r="27" spans="2:34">
      <c r="B27" s="94" t="s">
        <v>438</v>
      </c>
      <c r="C27" s="95" t="s">
        <v>439</v>
      </c>
      <c r="D27" s="113" t="s">
        <v>341</v>
      </c>
      <c r="E27" s="125" t="s">
        <v>341</v>
      </c>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row>
    <row r="28" spans="2:34">
      <c r="B28" s="78" t="s">
        <v>440</v>
      </c>
      <c r="C28" s="81" t="s">
        <v>441</v>
      </c>
      <c r="D28" s="76" t="s">
        <v>442</v>
      </c>
      <c r="E28" s="80">
        <f ca="1">DFC!C18 * (1+'Painel Controle'!D$149)</f>
        <v>133211448.27635618</v>
      </c>
      <c r="F28" s="80">
        <f ca="1">DFC!D18 * (1+'Painel Controle'!E$149) + E28</f>
        <v>133211448.27635618</v>
      </c>
      <c r="G28" s="80">
        <f ca="1">DFC!E18 * (1+'Painel Controle'!F$149) + F28</f>
        <v>133211448.27635618</v>
      </c>
      <c r="H28" s="80">
        <f ca="1">DFC!F18 * (1+'Painel Controle'!G$149) + G28</f>
        <v>133211448.27635618</v>
      </c>
      <c r="I28" s="80">
        <f ca="1">DFC!G18 * (1+'Painel Controle'!H$149) + H28</f>
        <v>133211448.27635618</v>
      </c>
      <c r="J28" s="80">
        <f ca="1">DFC!H18 * (1+'Painel Controle'!I$149) + I28</f>
        <v>133211448.27635618</v>
      </c>
      <c r="K28" s="80">
        <f ca="1">DFC!I18 * (1+'Painel Controle'!J$149) + J28</f>
        <v>133211448.27635618</v>
      </c>
      <c r="L28" s="80">
        <f ca="1">DFC!J18 * (1+'Painel Controle'!K$149) + K28</f>
        <v>133211448.27635618</v>
      </c>
      <c r="M28" s="80">
        <f ca="1">DFC!K18 * (1+'Painel Controle'!L$149) + L28</f>
        <v>133211448.27635618</v>
      </c>
      <c r="N28" s="80">
        <f ca="1">DFC!L18 * (1+'Painel Controle'!M$149) + M28</f>
        <v>133211448.27635618</v>
      </c>
      <c r="O28" s="80">
        <f ca="1">DFC!M18 * (1+'Painel Controle'!N$149) + N28</f>
        <v>133211448.27635618</v>
      </c>
      <c r="P28" s="80">
        <f ca="1">DFC!N18 * (1+'Painel Controle'!O$149) + O28</f>
        <v>133211448.27635618</v>
      </c>
      <c r="Q28" s="80">
        <f ca="1">DFC!O18 * (1+'Painel Controle'!P$149) + P28</f>
        <v>133211448.27635618</v>
      </c>
      <c r="R28" s="80">
        <f ca="1">DFC!P18 * (1+'Painel Controle'!Q$149) + Q28</f>
        <v>133211448.27635618</v>
      </c>
      <c r="S28" s="80">
        <f ca="1">DFC!Q18 * (1+'Painel Controle'!R$149) + R28</f>
        <v>133211448.27635618</v>
      </c>
      <c r="T28" s="80">
        <f ca="1">DFC!R18 * (1+'Painel Controle'!S$149) + S28</f>
        <v>133211448.27635618</v>
      </c>
      <c r="U28" s="80">
        <f ca="1">DFC!S18 * (1+'Painel Controle'!T$149) + T28</f>
        <v>133211448.27635618</v>
      </c>
      <c r="V28" s="80">
        <f ca="1">DFC!T18 * (1+'Painel Controle'!U$149) + U28</f>
        <v>133211448.27635618</v>
      </c>
      <c r="W28" s="80">
        <f ca="1">DFC!U18 * (1+'Painel Controle'!V$149) + V28</f>
        <v>133211448.27635618</v>
      </c>
      <c r="X28" s="80">
        <f ca="1">DFC!V18 * (1+'Painel Controle'!W$149) + W28</f>
        <v>133211448.27635618</v>
      </c>
      <c r="Y28" s="80">
        <f ca="1">DFC!W18 * (1+'Painel Controle'!X$149) + X28</f>
        <v>133211448.27635618</v>
      </c>
      <c r="Z28" s="80">
        <f ca="1">DFC!X18 * (1+'Painel Controle'!Y$149) + Y28</f>
        <v>133211448.27635618</v>
      </c>
      <c r="AA28" s="80">
        <f ca="1">DFC!Y18 * (1+'Painel Controle'!Z$149) + Z28</f>
        <v>133211448.27635618</v>
      </c>
      <c r="AB28" s="80">
        <f ca="1">DFC!Z18 * (1+'Painel Controle'!AA$149) + AA28</f>
        <v>133211448.27635618</v>
      </c>
      <c r="AC28" s="80">
        <f ca="1">DFC!AA18 * (1+'Painel Controle'!AB$149) + AB28</f>
        <v>133211448.27635618</v>
      </c>
      <c r="AD28" s="80">
        <f ca="1">DFC!AB18 * (1+'Painel Controle'!AC$149) + AC28</f>
        <v>133211448.27635618</v>
      </c>
      <c r="AE28" s="80">
        <f ca="1">DFC!AC18 * (1+'Painel Controle'!AD$149) + AD28</f>
        <v>133211448.27635618</v>
      </c>
      <c r="AF28" s="80">
        <f ca="1">DFC!AD18 * (1+'Painel Controle'!AE$149) + AE28</f>
        <v>133211448.27635618</v>
      </c>
      <c r="AG28" s="80">
        <f ca="1">DFC!AE18 * (1+'Painel Controle'!AF$149) + AF28</f>
        <v>133211448.27635618</v>
      </c>
      <c r="AH28" s="80">
        <f ca="1">DFC!AF18 * (1+'Painel Controle'!AG$149) + AG28</f>
        <v>133211448.27635618</v>
      </c>
    </row>
    <row r="29" spans="2:34">
      <c r="B29" s="78" t="s">
        <v>443</v>
      </c>
      <c r="C29" s="81" t="s">
        <v>380</v>
      </c>
      <c r="D29" s="113" t="s">
        <v>341</v>
      </c>
      <c r="E29" s="80">
        <f ca="1">SUM('DRE Nominal'!E6:E29) + (E24*-1) + 'DRE Nominal'!E32 + 'DRE Nominal'!E34 + 'DRE Nominal'!E38 + E11 + SUM('DRE Nominal'!E49:E51) + (E26*-1) + 'DRE Nominal'!E39 + SUM('DRE Nominal'!E35:E36)</f>
        <v>-58264684.92912741</v>
      </c>
      <c r="F29" s="80">
        <f ca="1">SUM('DRE Nominal'!F6:F29) + (F24*-1) + 'DRE Nominal'!F32 + 'DRE Nominal'!F34 + 'DRE Nominal'!F38 + F11 + SUM('DRE Nominal'!F49:F51) + (F26*-1) + 'DRE Nominal'!F39 + SUM('DRE Nominal'!F35:F36) + E29 + (E37/(1+'Painel Controle'!D149)*(1+'Painel Controle'!E149))</f>
        <v>-21544169.848899528</v>
      </c>
      <c r="G29" s="80">
        <f ca="1">SUM('DRE Nominal'!G6:G29) + (G24*-1) + 'DRE Nominal'!G32 + 'DRE Nominal'!G34 + 'DRE Nominal'!G38 + G11 + SUM('DRE Nominal'!G49:G51) + (G26*-1) + 'DRE Nominal'!G39 + SUM('DRE Nominal'!G35:G36) + F29 + (F37/(1+'Painel Controle'!E149)*(1+'Painel Controle'!F149))</f>
        <v>29916026.617084816</v>
      </c>
      <c r="H29" s="80">
        <f ca="1">SUM('DRE Nominal'!H6:H29) + (H24*-1) + 'DRE Nominal'!H32 + 'DRE Nominal'!H34 + 'DRE Nominal'!H38 + H11 + SUM('DRE Nominal'!H49:H51) + (H26*-1) + 'DRE Nominal'!H39 + SUM('DRE Nominal'!H35:H36) + G29 + (G37/(1+'Painel Controle'!F149)*(1+'Painel Controle'!G149))</f>
        <v>70086152.478287116</v>
      </c>
      <c r="I29" s="80">
        <f ca="1">SUM('DRE Nominal'!I6:I29) + (I24*-1) + 'DRE Nominal'!I32 + 'DRE Nominal'!I34 + 'DRE Nominal'!I38 + I11 + SUM('DRE Nominal'!I49:I51) + (I26*-1) + 'DRE Nominal'!I39 + SUM('DRE Nominal'!I35:I36) + H29 + (H37/(1+'Painel Controle'!G149)*(1+'Painel Controle'!H149))</f>
        <v>113024931.18180843</v>
      </c>
      <c r="J29" s="80">
        <f ca="1">SUM('DRE Nominal'!J6:J29) + (J24*-1) + 'DRE Nominal'!J32 + 'DRE Nominal'!J34 + 'DRE Nominal'!J38 + J11 + SUM('DRE Nominal'!J49:J51) + (J26*-1) + 'DRE Nominal'!J39 + SUM('DRE Nominal'!J35:J36) + I29 + (I37/(1+'Painel Controle'!H149)*(1+'Painel Controle'!I149))</f>
        <v>146070599.50317198</v>
      </c>
      <c r="K29" s="80">
        <f ca="1">SUM('DRE Nominal'!K6:K29) + (K24*-1) + 'DRE Nominal'!K32 + 'DRE Nominal'!K34 + 'DRE Nominal'!K38 + K11 + SUM('DRE Nominal'!K49:K51) + (K26*-1) + 'DRE Nominal'!K39 + SUM('DRE Nominal'!K35:K36) + J29 + (J37/(1+'Painel Controle'!I149)*(1+'Painel Controle'!J149))</f>
        <v>192301619.69752795</v>
      </c>
      <c r="L29" s="80">
        <f ca="1">SUM('DRE Nominal'!L6:L29) + (L24*-1) + 'DRE Nominal'!L32 + 'DRE Nominal'!L34 + 'DRE Nominal'!L38 + L11 + SUM('DRE Nominal'!L49:L51) + (L26*-1) + 'DRE Nominal'!L39 + SUM('DRE Nominal'!L35:L36) + K29 + (K37/(1+'Painel Controle'!J149)*(1+'Painel Controle'!K149))</f>
        <v>245810955.98048872</v>
      </c>
      <c r="M29" s="80">
        <f ca="1">SUM('DRE Nominal'!M6:M29) + (M24*-1) + 'DRE Nominal'!M32 + 'DRE Nominal'!M34 + 'DRE Nominal'!M38 + M11 + SUM('DRE Nominal'!M49:M51) + (M26*-1) + 'DRE Nominal'!M39 + SUM('DRE Nominal'!M35:M36) + L29 + (L37/(1+'Painel Controle'!K149)*(1+'Painel Controle'!L149))</f>
        <v>308922666.82780695</v>
      </c>
      <c r="N29" s="80">
        <f ca="1">SUM('DRE Nominal'!N6:N29) + (N24*-1) + 'DRE Nominal'!N32 + 'DRE Nominal'!N34 + 'DRE Nominal'!N38 + N11 + SUM('DRE Nominal'!N49:N51) + (N26*-1) + 'DRE Nominal'!N39 + SUM('DRE Nominal'!N35:N36) + M29 + (M37/(1+'Painel Controle'!L149)*(1+'Painel Controle'!M149))</f>
        <v>382574414.26094419</v>
      </c>
      <c r="O29" s="80">
        <f ca="1">SUM('DRE Nominal'!O6:O29) + (O24*-1) + 'DRE Nominal'!O32 + 'DRE Nominal'!O34 + 'DRE Nominal'!O38 + O11 + SUM('DRE Nominal'!O49:O51) + (O26*-1) + 'DRE Nominal'!O39 + SUM('DRE Nominal'!O35:O36) + N29 + (N37/(1+'Painel Controle'!M149)*(1+'Painel Controle'!N149))</f>
        <v>466957339.50698948</v>
      </c>
      <c r="P29" s="80">
        <f ca="1">SUM('DRE Nominal'!P6:P29) + (P24*-1) + 'DRE Nominal'!P32 + 'DRE Nominal'!P34 + 'DRE Nominal'!P38 + P11 + SUM('DRE Nominal'!P49:P51) + (P26*-1) + 'DRE Nominal'!P39 + SUM('DRE Nominal'!P35:P36) + O29 + (O37/(1+'Painel Controle'!N149)*(1+'Painel Controle'!O149))</f>
        <v>563917247.4020704</v>
      </c>
      <c r="Q29" s="80">
        <f ca="1">SUM('DRE Nominal'!Q6:Q29) + (Q24*-1) + 'DRE Nominal'!Q32 + 'DRE Nominal'!Q34 + 'DRE Nominal'!Q38 + Q11 + SUM('DRE Nominal'!Q49:Q51) + (Q26*-1) + 'DRE Nominal'!Q39 + SUM('DRE Nominal'!Q35:Q36) + P29 + (P37/(1+'Painel Controle'!O149)*(1+'Painel Controle'!P149))</f>
        <v>673714103.17087519</v>
      </c>
      <c r="R29" s="80">
        <f ca="1">SUM('DRE Nominal'!R6:R29) + (R24*-1) + 'DRE Nominal'!R32 + 'DRE Nominal'!R34 + 'DRE Nominal'!R38 + R11 + SUM('DRE Nominal'!R49:R51) + (R26*-1) + 'DRE Nominal'!R39 + SUM('DRE Nominal'!R35:R36) + Q29 + (Q37/(1+'Painel Controle'!P149)*(1+'Painel Controle'!Q149))</f>
        <v>797614217.71510506</v>
      </c>
      <c r="S29" s="80">
        <f ca="1">SUM('DRE Nominal'!S6:S29) + (S24*-1) + 'DRE Nominal'!S32 + 'DRE Nominal'!S34 + 'DRE Nominal'!S38 + S11 + SUM('DRE Nominal'!S49:S51) + (S26*-1) + 'DRE Nominal'!S39 + SUM('DRE Nominal'!S35:S36) + R29 + (R37/(1+'Painel Controle'!Q149)*(1+'Painel Controle'!R149))</f>
        <v>913332533.93127036</v>
      </c>
      <c r="T29" s="80">
        <f ca="1">SUM('DRE Nominal'!T6:T29) + (T24*-1) + 'DRE Nominal'!T32 + 'DRE Nominal'!T34 + 'DRE Nominal'!T38 + T11 + SUM('DRE Nominal'!T49:T51) + (T26*-1) + 'DRE Nominal'!T39 + SUM('DRE Nominal'!T35:T36) + S29 + (S37/(1+'Painel Controle'!R149)*(1+'Painel Controle'!S149))</f>
        <v>1052121320.0986259</v>
      </c>
      <c r="U29" s="80">
        <f ca="1">SUM('DRE Nominal'!U6:U29) + (U24*-1) + 'DRE Nominal'!U32 + 'DRE Nominal'!U34 + 'DRE Nominal'!U38 + U11 + SUM('DRE Nominal'!U49:U51) + (U26*-1) + 'DRE Nominal'!U39 + SUM('DRE Nominal'!U35:U36) + T29 + (T37/(1+'Painel Controle'!S149)*(1+'Painel Controle'!T149))</f>
        <v>1195043647.0665383</v>
      </c>
      <c r="V29" s="80">
        <f ca="1">SUM('DRE Nominal'!V6:V29) + (V24*-1) + 'DRE Nominal'!V32 + 'DRE Nominal'!V34 + 'DRE Nominal'!V38 + V11 + SUM('DRE Nominal'!V49:V51) + (V26*-1) + 'DRE Nominal'!V39 + SUM('DRE Nominal'!V35:V36) + U29 + (U37/(1+'Painel Controle'!T149)*(1+'Painel Controle'!U149))</f>
        <v>1342559642.1559486</v>
      </c>
      <c r="W29" s="80">
        <f ca="1">SUM('DRE Nominal'!W6:W29) + (W24*-1) + 'DRE Nominal'!W32 + 'DRE Nominal'!W34 + 'DRE Nominal'!W38 + W11 + SUM('DRE Nominal'!W49:W51) + (W26*-1) + 'DRE Nominal'!W39 + SUM('DRE Nominal'!W35:W36) + V29 + (V37/(1+'Painel Controle'!U149)*(1+'Painel Controle'!V149))</f>
        <v>1498430626.8202655</v>
      </c>
      <c r="X29" s="80">
        <f ca="1">SUM('DRE Nominal'!X6:X29) + (X24*-1) + 'DRE Nominal'!X32 + 'DRE Nominal'!X34 + 'DRE Nominal'!X38 + X11 + SUM('DRE Nominal'!X49:X51) + (X26*-1) + 'DRE Nominal'!X39 + SUM('DRE Nominal'!X35:X36) + W29 + (W37/(1+'Painel Controle'!V149)*(1+'Painel Controle'!W149))</f>
        <v>1670969914.934099</v>
      </c>
      <c r="Y29" s="80">
        <f ca="1">SUM('DRE Nominal'!Y6:Y29) + (Y24*-1) + 'DRE Nominal'!Y32 + 'DRE Nominal'!Y34 + 'DRE Nominal'!Y38 + Y11 + SUM('DRE Nominal'!Y49:Y51) + (Y26*-1) + 'DRE Nominal'!Y39 + SUM('DRE Nominal'!Y35:Y36) + X29 + (X37/(1+'Painel Controle'!W149)*(1+'Painel Controle'!X149))</f>
        <v>1855851986.8933363</v>
      </c>
      <c r="Z29" s="80">
        <f ca="1">SUM('DRE Nominal'!Z6:Z29) + (Z24*-1) + 'DRE Nominal'!Z32 + 'DRE Nominal'!Z34 + 'DRE Nominal'!Z38 + Z11 + SUM('DRE Nominal'!Z49:Z51) + (Z26*-1) + 'DRE Nominal'!Z39 + SUM('DRE Nominal'!Z35:Z36) + Y29 + (Y37/(1+'Painel Controle'!X149)*(1+'Painel Controle'!Y149))</f>
        <v>2057584943.9185884</v>
      </c>
      <c r="AA29" s="80">
        <f ca="1">SUM('DRE Nominal'!AA6:AA29) + (AA24*-1) + 'DRE Nominal'!AA32 + 'DRE Nominal'!AA34 + 'DRE Nominal'!AA38 + AA11 + SUM('DRE Nominal'!AA49:AA51) + (AA26*-1) + 'DRE Nominal'!AA39 + SUM('DRE Nominal'!AA35:AA36) + Z29 + (Z37/(1+'Painel Controle'!Y149)*(1+'Painel Controle'!Z149))</f>
        <v>2271587259.7836246</v>
      </c>
      <c r="AB29" s="80">
        <f ca="1">SUM('DRE Nominal'!AB6:AB29) + (AB24*-1) + 'DRE Nominal'!AB32 + 'DRE Nominal'!AB34 + 'DRE Nominal'!AB38 + AB11 + SUM('DRE Nominal'!AB49:AB51) + (AB26*-1) + 'DRE Nominal'!AB39 + SUM('DRE Nominal'!AB35:AB36) + AA29 + (AA37/(1+'Painel Controle'!Z149)*(1+'Painel Controle'!AA149))</f>
        <v>2495605904.2907362</v>
      </c>
      <c r="AC29" s="80">
        <f ca="1">SUM('DRE Nominal'!AC6:AC29) + (AC24*-1) + 'DRE Nominal'!AC32 + 'DRE Nominal'!AC34 + 'DRE Nominal'!AC38 + AC11 + SUM('DRE Nominal'!AC49:AC51) + (AC26*-1) + 'DRE Nominal'!AC39 + SUM('DRE Nominal'!AC35:AC36) + AB29 + (AB37/(1+'Painel Controle'!AA149)*(1+'Painel Controle'!AB149))</f>
        <v>2720517719.5513463</v>
      </c>
      <c r="AD29" s="80">
        <f ca="1">SUM('DRE Nominal'!AD6:AD29) + (AD24*-1) + 'DRE Nominal'!AD32 + 'DRE Nominal'!AD34 + 'DRE Nominal'!AD38 + AD11 + SUM('DRE Nominal'!AD49:AD51) + (AD26*-1) + 'DRE Nominal'!AD39 + SUM('DRE Nominal'!AD35:AD36) + AC29 + (AC37/(1+'Painel Controle'!AB149)*(1+'Painel Controle'!AC149))</f>
        <v>2944837127.143641</v>
      </c>
      <c r="AE29" s="80">
        <f ca="1">SUM('DRE Nominal'!AE6:AE29) + (AE24*-1) + 'DRE Nominal'!AE32 + 'DRE Nominal'!AE34 + 'DRE Nominal'!AE38 + AE11 + SUM('DRE Nominal'!AE49:AE51) + (AE26*-1) + 'DRE Nominal'!AE39 + SUM('DRE Nominal'!AE35:AE36) + AD29 + (AD37/(1+'Painel Controle'!AC149)*(1+'Painel Controle'!AD149))</f>
        <v>3173491117.3634129</v>
      </c>
      <c r="AF29" s="80">
        <f ca="1">SUM('DRE Nominal'!AF6:AF29) + (AF24*-1) + 'DRE Nominal'!AF32 + 'DRE Nominal'!AF34 + 'DRE Nominal'!AF38 + AF11 + SUM('DRE Nominal'!AF49:AF51) + (AF26*-1) + 'DRE Nominal'!AF39 + SUM('DRE Nominal'!AF35:AF36) + AE29 + (AE37/(1+'Painel Controle'!AD149)*(1+'Painel Controle'!AE149))</f>
        <v>3410074926.7234063</v>
      </c>
      <c r="AG29" s="80">
        <f ca="1">SUM('DRE Nominal'!AG6:AG29) + (AG24*-1) + 'DRE Nominal'!AG32 + 'DRE Nominal'!AG34 + 'DRE Nominal'!AG38 + AG11 + SUM('DRE Nominal'!AG49:AG51) + (AG26*-1) + 'DRE Nominal'!AG39 + SUM('DRE Nominal'!AG35:AG36) + AF29 + (AF37/(1+'Painel Controle'!AE149)*(1+'Painel Controle'!AF149))</f>
        <v>3637806597.4434357</v>
      </c>
      <c r="AH29" s="80">
        <f ca="1">SUM('DRE Nominal'!AH6:AH29) + (AH24*-1) + 'DRE Nominal'!AH32 + 'DRE Nominal'!AH34 + 'DRE Nominal'!AH38 + AH11 + SUM('DRE Nominal'!AH49:AH51) + (AH26*-1) + 'DRE Nominal'!AH39 + SUM('DRE Nominal'!AH35:AH36) + AG29 + (AG37/(1+'Painel Controle'!AF149)*(1+'Painel Controle'!AG149))</f>
        <v>3812577758.6910787</v>
      </c>
    </row>
    <row r="30" spans="2:34">
      <c r="B30" s="44" t="s">
        <v>444</v>
      </c>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row>
    <row r="31" spans="2:34">
      <c r="B31" s="41" t="s">
        <v>331</v>
      </c>
      <c r="C31" s="44"/>
      <c r="D31" s="44"/>
      <c r="E31" s="131"/>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row>
    <row r="32" spans="2:34" hidden="1">
      <c r="B32" s="41"/>
      <c r="E32" s="44">
        <v>1</v>
      </c>
      <c r="F32" s="44">
        <v>2</v>
      </c>
      <c r="G32" s="44">
        <v>3</v>
      </c>
      <c r="H32" s="44">
        <v>4</v>
      </c>
      <c r="I32" s="44">
        <v>5</v>
      </c>
      <c r="J32" s="44">
        <v>6</v>
      </c>
      <c r="K32" s="44">
        <v>7</v>
      </c>
      <c r="L32" s="44">
        <v>8</v>
      </c>
      <c r="M32" s="44">
        <v>9</v>
      </c>
      <c r="N32" s="44">
        <v>10</v>
      </c>
      <c r="O32" s="44">
        <v>11</v>
      </c>
      <c r="P32" s="44">
        <v>12</v>
      </c>
      <c r="Q32" s="44">
        <v>13</v>
      </c>
      <c r="R32" s="44">
        <v>14</v>
      </c>
      <c r="S32" s="44">
        <v>15</v>
      </c>
      <c r="T32" s="44">
        <v>16</v>
      </c>
      <c r="U32" s="44">
        <v>17</v>
      </c>
      <c r="V32" s="44">
        <v>18</v>
      </c>
      <c r="W32" s="44">
        <v>19</v>
      </c>
      <c r="X32" s="44">
        <v>20</v>
      </c>
      <c r="Y32" s="44">
        <v>21</v>
      </c>
      <c r="Z32" s="44">
        <v>22</v>
      </c>
      <c r="AA32" s="44">
        <v>23</v>
      </c>
      <c r="AB32" s="44">
        <v>24</v>
      </c>
      <c r="AC32" s="44">
        <v>25</v>
      </c>
      <c r="AD32" s="44">
        <v>26</v>
      </c>
      <c r="AE32" s="44">
        <v>27</v>
      </c>
      <c r="AF32" s="44">
        <v>28</v>
      </c>
      <c r="AG32" s="44">
        <v>29</v>
      </c>
      <c r="AH32" s="44">
        <v>30</v>
      </c>
    </row>
    <row r="33" spans="2:34">
      <c r="B33" s="612" t="s">
        <v>338</v>
      </c>
      <c r="C33" s="613"/>
      <c r="D33" s="73" t="s">
        <v>220</v>
      </c>
      <c r="E33" s="60" t="str" cm="1">
        <f t="array" ref="E33:AH33">E4:AH4</f>
        <v>Ano 1</v>
      </c>
      <c r="F33" s="60" t="str">
        <v>Ano 2</v>
      </c>
      <c r="G33" s="60" t="str">
        <v>Ano 3</v>
      </c>
      <c r="H33" s="60" t="str">
        <v>Ano 4</v>
      </c>
      <c r="I33" s="60" t="str">
        <v>Ano 5</v>
      </c>
      <c r="J33" s="60" t="str">
        <v>Ano 6</v>
      </c>
      <c r="K33" s="60" t="str">
        <v>Ano 7</v>
      </c>
      <c r="L33" s="60" t="str">
        <v>Ano 8</v>
      </c>
      <c r="M33" s="60" t="str">
        <v>Ano 9</v>
      </c>
      <c r="N33" s="60" t="str">
        <v>Ano 10</v>
      </c>
      <c r="O33" s="60" t="str">
        <v>Ano 11</v>
      </c>
      <c r="P33" s="60" t="str">
        <v>Ano 12</v>
      </c>
      <c r="Q33" s="60" t="str">
        <v>Ano 13</v>
      </c>
      <c r="R33" s="60" t="str">
        <v>Ano 14</v>
      </c>
      <c r="S33" s="60" t="str">
        <v>Ano 15</v>
      </c>
      <c r="T33" s="60" t="str">
        <v>Ano 16</v>
      </c>
      <c r="U33" s="60" t="str">
        <v>Ano 17</v>
      </c>
      <c r="V33" s="60" t="str">
        <v>Ano 18</v>
      </c>
      <c r="W33" s="60" t="str">
        <v>Ano 19</v>
      </c>
      <c r="X33" s="60" t="str">
        <v>Ano 20</v>
      </c>
      <c r="Y33" s="60" t="str">
        <v>Ano 21</v>
      </c>
      <c r="Z33" s="60" t="str">
        <v>Ano 22</v>
      </c>
      <c r="AA33" s="60" t="str">
        <v>Ano 23</v>
      </c>
      <c r="AB33" s="60" t="str">
        <v>Ano 24</v>
      </c>
      <c r="AC33" s="60" t="str">
        <v>Ano 25</v>
      </c>
      <c r="AD33" s="60" t="str">
        <v>Ano 26</v>
      </c>
      <c r="AE33" s="60" t="str">
        <v>Ano 27</v>
      </c>
      <c r="AF33" s="60" t="str">
        <v>Ano 28</v>
      </c>
      <c r="AG33" s="60" t="str">
        <v>Ano 29</v>
      </c>
      <c r="AH33" s="60" t="str">
        <v>Ano 30</v>
      </c>
    </row>
    <row r="34" spans="2:34">
      <c r="B34" s="610" t="s">
        <v>445</v>
      </c>
      <c r="C34" s="611"/>
      <c r="D34" s="42" t="s">
        <v>425</v>
      </c>
      <c r="E34" s="61">
        <f ca="1">IF(E52&lt;0,E52*-1,0)</f>
        <v>0</v>
      </c>
      <c r="F34" s="61">
        <f t="shared" ref="F34:AH34" ca="1" si="7">IF(F52&lt;0,F52*-1,0)</f>
        <v>85131564.604812965</v>
      </c>
      <c r="G34" s="61">
        <f t="shared" ca="1" si="7"/>
        <v>56226107.113479652</v>
      </c>
      <c r="H34" s="61">
        <f t="shared" ca="1" si="7"/>
        <v>77152740.655142158</v>
      </c>
      <c r="I34" s="61">
        <f t="shared" ca="1" si="7"/>
        <v>119471364.8391711</v>
      </c>
      <c r="J34" s="61">
        <f t="shared" ca="1" si="7"/>
        <v>116727682.2227933</v>
      </c>
      <c r="K34" s="61">
        <f t="shared" ca="1" si="7"/>
        <v>0</v>
      </c>
      <c r="L34" s="61">
        <f t="shared" ca="1" si="7"/>
        <v>0</v>
      </c>
      <c r="M34" s="61">
        <f t="shared" ca="1" si="7"/>
        <v>0</v>
      </c>
      <c r="N34" s="61">
        <f t="shared" ca="1" si="7"/>
        <v>0</v>
      </c>
      <c r="O34" s="61">
        <f t="shared" ca="1" si="7"/>
        <v>0</v>
      </c>
      <c r="P34" s="61">
        <f t="shared" ca="1" si="7"/>
        <v>0</v>
      </c>
      <c r="Q34" s="61">
        <f t="shared" ca="1" si="7"/>
        <v>0</v>
      </c>
      <c r="R34" s="61">
        <f t="shared" ca="1" si="7"/>
        <v>0</v>
      </c>
      <c r="S34" s="61">
        <f t="shared" ca="1" si="7"/>
        <v>0</v>
      </c>
      <c r="T34" s="61">
        <f t="shared" ca="1" si="7"/>
        <v>0</v>
      </c>
      <c r="U34" s="61">
        <f t="shared" ca="1" si="7"/>
        <v>0</v>
      </c>
      <c r="V34" s="61">
        <f t="shared" ca="1" si="7"/>
        <v>0</v>
      </c>
      <c r="W34" s="61">
        <f t="shared" ca="1" si="7"/>
        <v>0</v>
      </c>
      <c r="X34" s="61">
        <f t="shared" ca="1" si="7"/>
        <v>0</v>
      </c>
      <c r="Y34" s="61">
        <f t="shared" ca="1" si="7"/>
        <v>0</v>
      </c>
      <c r="Z34" s="61">
        <f t="shared" ca="1" si="7"/>
        <v>0</v>
      </c>
      <c r="AA34" s="61">
        <f t="shared" ca="1" si="7"/>
        <v>0</v>
      </c>
      <c r="AB34" s="61">
        <f t="shared" ca="1" si="7"/>
        <v>0</v>
      </c>
      <c r="AC34" s="61">
        <f t="shared" ca="1" si="7"/>
        <v>0</v>
      </c>
      <c r="AD34" s="61">
        <f t="shared" ca="1" si="7"/>
        <v>0</v>
      </c>
      <c r="AE34" s="61">
        <f t="shared" ca="1" si="7"/>
        <v>0</v>
      </c>
      <c r="AF34" s="61">
        <f t="shared" ca="1" si="7"/>
        <v>0</v>
      </c>
      <c r="AG34" s="61">
        <f t="shared" ca="1" si="7"/>
        <v>0</v>
      </c>
      <c r="AH34" s="61">
        <f t="shared" ca="1" si="7"/>
        <v>0</v>
      </c>
    </row>
    <row r="35" spans="2:34">
      <c r="B35" s="610" t="s">
        <v>446</v>
      </c>
      <c r="C35" s="611"/>
      <c r="D35" s="43"/>
      <c r="E35" s="62">
        <f ca="1">E34</f>
        <v>0</v>
      </c>
      <c r="F35" s="61">
        <f t="shared" ref="F35:AH35" ca="1" si="8">E39+F34</f>
        <v>85131564.604812965</v>
      </c>
      <c r="G35" s="61">
        <f t="shared" ca="1" si="8"/>
        <v>138422100.52502319</v>
      </c>
      <c r="H35" s="61">
        <f t="shared" ca="1" si="8"/>
        <v>210631194.7328431</v>
      </c>
      <c r="I35" s="61">
        <f t="shared" ca="1" si="8"/>
        <v>322301404.21153855</v>
      </c>
      <c r="J35" s="61">
        <f t="shared" ca="1" si="8"/>
        <v>426632878.58004189</v>
      </c>
      <c r="K35" s="61">
        <f t="shared" ca="1" si="8"/>
        <v>409567563.43684024</v>
      </c>
      <c r="L35" s="61">
        <f t="shared" ca="1" si="8"/>
        <v>392502248.29363859</v>
      </c>
      <c r="M35" s="61">
        <f t="shared" ca="1" si="8"/>
        <v>375436933.15043688</v>
      </c>
      <c r="N35" s="61">
        <f t="shared" ca="1" si="8"/>
        <v>358371618.00723523</v>
      </c>
      <c r="O35" s="61">
        <f t="shared" ca="1" si="8"/>
        <v>341306302.86403358</v>
      </c>
      <c r="P35" s="61">
        <f t="shared" ca="1" si="8"/>
        <v>324240987.72083187</v>
      </c>
      <c r="Q35" s="61">
        <f t="shared" ca="1" si="8"/>
        <v>307175672.57763016</v>
      </c>
      <c r="R35" s="61">
        <f t="shared" ca="1" si="8"/>
        <v>290110357.43442851</v>
      </c>
      <c r="S35" s="61">
        <f t="shared" ca="1" si="8"/>
        <v>273045042.29122686</v>
      </c>
      <c r="T35" s="61">
        <f t="shared" ca="1" si="8"/>
        <v>255979727.14802518</v>
      </c>
      <c r="U35" s="61">
        <f t="shared" ca="1" si="8"/>
        <v>238914412.00482354</v>
      </c>
      <c r="V35" s="61">
        <f t="shared" ca="1" si="8"/>
        <v>221849096.86162186</v>
      </c>
      <c r="W35" s="61">
        <f t="shared" ca="1" si="8"/>
        <v>204783781.71842018</v>
      </c>
      <c r="X35" s="61">
        <f t="shared" ca="1" si="8"/>
        <v>187718466.5752185</v>
      </c>
      <c r="Y35" s="61">
        <f t="shared" ca="1" si="8"/>
        <v>170653151.43201682</v>
      </c>
      <c r="Z35" s="61">
        <f t="shared" ca="1" si="8"/>
        <v>153587836.28881514</v>
      </c>
      <c r="AA35" s="61">
        <f t="shared" ca="1" si="8"/>
        <v>136522521.14561346</v>
      </c>
      <c r="AB35" s="61">
        <f t="shared" ca="1" si="8"/>
        <v>119457206.00241178</v>
      </c>
      <c r="AC35" s="61">
        <f t="shared" ca="1" si="8"/>
        <v>102391890.8592101</v>
      </c>
      <c r="AD35" s="61">
        <f t="shared" ca="1" si="8"/>
        <v>85326575.716008425</v>
      </c>
      <c r="AE35" s="61">
        <f t="shared" ca="1" si="8"/>
        <v>68261260.572806746</v>
      </c>
      <c r="AF35" s="61">
        <f t="shared" ca="1" si="8"/>
        <v>51195945.429605059</v>
      </c>
      <c r="AG35" s="61">
        <f t="shared" ca="1" si="8"/>
        <v>34130630.286403373</v>
      </c>
      <c r="AH35" s="61">
        <f t="shared" ca="1" si="8"/>
        <v>17065315.143201686</v>
      </c>
    </row>
    <row r="36" spans="2:34">
      <c r="B36" s="610" t="s">
        <v>447</v>
      </c>
      <c r="C36" s="611"/>
      <c r="D36" s="43"/>
      <c r="E36" s="62">
        <f ca="1">'Painel Controle'!$C41*E35</f>
        <v>0</v>
      </c>
      <c r="F36" s="62">
        <f ca="1">'Painel Controle'!$C41*F35</f>
        <v>8683419.5896909218</v>
      </c>
      <c r="G36" s="62">
        <f ca="1">'Painel Controle'!$C41*G35</f>
        <v>14119054.253552364</v>
      </c>
      <c r="H36" s="62">
        <f ca="1">'Painel Controle'!$C41*H35</f>
        <v>21484381.862749994</v>
      </c>
      <c r="I36" s="62">
        <f ca="1">'Painel Controle'!$C41*I35</f>
        <v>32874743.22957693</v>
      </c>
      <c r="J36" s="62">
        <f ca="1">'Painel Controle'!$C41*J35</f>
        <v>43516553.615164272</v>
      </c>
      <c r="K36" s="62">
        <f ca="1">'Painel Controle'!$C41*K35</f>
        <v>41775891.470557705</v>
      </c>
      <c r="L36" s="62">
        <f ca="1">'Painel Controle'!$C41*L35</f>
        <v>40035229.325951137</v>
      </c>
      <c r="M36" s="62">
        <f ca="1">'Painel Controle'!$C41*M35</f>
        <v>38294567.181344561</v>
      </c>
      <c r="N36" s="62">
        <f ca="1">'Painel Controle'!$C41*N35</f>
        <v>36553905.036737993</v>
      </c>
      <c r="O36" s="62">
        <f ca="1">'Painel Controle'!$C41*O35</f>
        <v>34813242.892131425</v>
      </c>
      <c r="P36" s="62">
        <f ca="1">'Painel Controle'!$C41*P35</f>
        <v>33072580.74752485</v>
      </c>
      <c r="Q36" s="62">
        <f ca="1">'Painel Controle'!$C41*Q35</f>
        <v>31331918.602918275</v>
      </c>
      <c r="R36" s="62">
        <f ca="1">'Painel Controle'!$C41*R35</f>
        <v>29591256.458311707</v>
      </c>
      <c r="S36" s="62">
        <f ca="1">'Painel Controle'!$C41*S35</f>
        <v>27850594.313705139</v>
      </c>
      <c r="T36" s="62">
        <f ca="1">'Painel Controle'!$C41*T35</f>
        <v>26109932.169098567</v>
      </c>
      <c r="U36" s="62">
        <f ca="1">'Painel Controle'!$C41*U35</f>
        <v>24369270.024491999</v>
      </c>
      <c r="V36" s="62">
        <f ca="1">'Painel Controle'!$C41*V35</f>
        <v>22628607.879885428</v>
      </c>
      <c r="W36" s="62">
        <f ca="1">'Painel Controle'!$C41*W35</f>
        <v>20887945.735278856</v>
      </c>
      <c r="X36" s="62">
        <f ca="1">'Painel Controle'!$C41*X35</f>
        <v>19147283.590672284</v>
      </c>
      <c r="Y36" s="62">
        <f ca="1">'Painel Controle'!$C41*Y35</f>
        <v>17406621.446065713</v>
      </c>
      <c r="Z36" s="62">
        <f ca="1">'Painel Controle'!$C41*Z35</f>
        <v>15665959.301459143</v>
      </c>
      <c r="AA36" s="62">
        <f ca="1">'Painel Controle'!$C41*AA35</f>
        <v>13925297.156852571</v>
      </c>
      <c r="AB36" s="62">
        <f ca="1">'Painel Controle'!$C41*AB35</f>
        <v>12184635.012246002</v>
      </c>
      <c r="AC36" s="62">
        <f ca="1">'Painel Controle'!$C41*AC35</f>
        <v>10443972.86763943</v>
      </c>
      <c r="AD36" s="62">
        <f ca="1">'Painel Controle'!$C41*AD35</f>
        <v>8703310.7230328582</v>
      </c>
      <c r="AE36" s="62">
        <f ca="1">'Painel Controle'!$C41*AE35</f>
        <v>6962648.5784262875</v>
      </c>
      <c r="AF36" s="62">
        <f ca="1">'Painel Controle'!$C41*AF35</f>
        <v>5221986.4338197159</v>
      </c>
      <c r="AG36" s="62">
        <f ca="1">'Painel Controle'!$C41*AG35</f>
        <v>3481324.2892131438</v>
      </c>
      <c r="AH36" s="62">
        <f ca="1">'Painel Controle'!$C41*AH35</f>
        <v>1740662.1446065719</v>
      </c>
    </row>
    <row r="37" spans="2:34">
      <c r="B37" s="610" t="s">
        <v>448</v>
      </c>
      <c r="C37" s="611"/>
      <c r="D37" s="43"/>
      <c r="E37" s="61">
        <f t="shared" ref="E37:AH37" ca="1" si="9">E36*-1</f>
        <v>0</v>
      </c>
      <c r="F37" s="61">
        <f t="shared" ca="1" si="9"/>
        <v>-8683419.5896909218</v>
      </c>
      <c r="G37" s="61">
        <f t="shared" ca="1" si="9"/>
        <v>-14119054.253552364</v>
      </c>
      <c r="H37" s="61">
        <f t="shared" ca="1" si="9"/>
        <v>-21484381.862749994</v>
      </c>
      <c r="I37" s="61">
        <f t="shared" ca="1" si="9"/>
        <v>-32874743.22957693</v>
      </c>
      <c r="J37" s="61">
        <f t="shared" ca="1" si="9"/>
        <v>-43516553.615164272</v>
      </c>
      <c r="K37" s="61">
        <f t="shared" ca="1" si="9"/>
        <v>-41775891.470557705</v>
      </c>
      <c r="L37" s="61">
        <f t="shared" ca="1" si="9"/>
        <v>-40035229.325951137</v>
      </c>
      <c r="M37" s="61">
        <f t="shared" ca="1" si="9"/>
        <v>-38294567.181344561</v>
      </c>
      <c r="N37" s="61">
        <f t="shared" ca="1" si="9"/>
        <v>-36553905.036737993</v>
      </c>
      <c r="O37" s="61">
        <f t="shared" ca="1" si="9"/>
        <v>-34813242.892131425</v>
      </c>
      <c r="P37" s="61">
        <f t="shared" ca="1" si="9"/>
        <v>-33072580.74752485</v>
      </c>
      <c r="Q37" s="61">
        <f t="shared" ca="1" si="9"/>
        <v>-31331918.602918275</v>
      </c>
      <c r="R37" s="61">
        <f t="shared" ca="1" si="9"/>
        <v>-29591256.458311707</v>
      </c>
      <c r="S37" s="61">
        <f t="shared" ca="1" si="9"/>
        <v>-27850594.313705139</v>
      </c>
      <c r="T37" s="61">
        <f t="shared" ca="1" si="9"/>
        <v>-26109932.169098567</v>
      </c>
      <c r="U37" s="61">
        <f t="shared" ca="1" si="9"/>
        <v>-24369270.024491999</v>
      </c>
      <c r="V37" s="61">
        <f t="shared" ca="1" si="9"/>
        <v>-22628607.879885428</v>
      </c>
      <c r="W37" s="61">
        <f t="shared" ca="1" si="9"/>
        <v>-20887945.735278856</v>
      </c>
      <c r="X37" s="61">
        <f t="shared" ca="1" si="9"/>
        <v>-19147283.590672284</v>
      </c>
      <c r="Y37" s="61">
        <f t="shared" ca="1" si="9"/>
        <v>-17406621.446065713</v>
      </c>
      <c r="Z37" s="61">
        <f t="shared" ca="1" si="9"/>
        <v>-15665959.301459143</v>
      </c>
      <c r="AA37" s="61">
        <f t="shared" ca="1" si="9"/>
        <v>-13925297.156852571</v>
      </c>
      <c r="AB37" s="61">
        <f t="shared" ca="1" si="9"/>
        <v>-12184635.012246002</v>
      </c>
      <c r="AC37" s="61">
        <f t="shared" ca="1" si="9"/>
        <v>-10443972.86763943</v>
      </c>
      <c r="AD37" s="61">
        <f t="shared" ca="1" si="9"/>
        <v>-8703310.7230328582</v>
      </c>
      <c r="AE37" s="61">
        <f t="shared" ca="1" si="9"/>
        <v>-6962648.5784262875</v>
      </c>
      <c r="AF37" s="61">
        <f t="shared" ca="1" si="9"/>
        <v>-5221986.4338197159</v>
      </c>
      <c r="AG37" s="61">
        <f t="shared" ca="1" si="9"/>
        <v>-3481324.2892131438</v>
      </c>
      <c r="AH37" s="61">
        <f t="shared" ca="1" si="9"/>
        <v>-1740662.1446065719</v>
      </c>
    </row>
    <row r="38" spans="2:34">
      <c r="B38" s="610" t="s">
        <v>449</v>
      </c>
      <c r="C38" s="611"/>
      <c r="D38" s="43"/>
      <c r="E38" s="61">
        <f t="shared" ref="E38:AH38" ca="1" si="10">E35/(30+1-E32)*-1</f>
        <v>0</v>
      </c>
      <c r="F38" s="61">
        <f t="shared" ca="1" si="10"/>
        <v>-2935571.1932694125</v>
      </c>
      <c r="G38" s="61">
        <f t="shared" ca="1" si="10"/>
        <v>-4943646.4473222569</v>
      </c>
      <c r="H38" s="61">
        <f t="shared" ca="1" si="10"/>
        <v>-7801155.3604756705</v>
      </c>
      <c r="I38" s="61">
        <f t="shared" ca="1" si="10"/>
        <v>-12396207.854289945</v>
      </c>
      <c r="J38" s="61">
        <f t="shared" ca="1" si="10"/>
        <v>-17065315.143201675</v>
      </c>
      <c r="K38" s="61">
        <f t="shared" ca="1" si="10"/>
        <v>-17065315.143201675</v>
      </c>
      <c r="L38" s="61">
        <f t="shared" ca="1" si="10"/>
        <v>-17065315.143201679</v>
      </c>
      <c r="M38" s="61">
        <f t="shared" ca="1" si="10"/>
        <v>-17065315.143201675</v>
      </c>
      <c r="N38" s="61">
        <f t="shared" ca="1" si="10"/>
        <v>-17065315.143201679</v>
      </c>
      <c r="O38" s="61">
        <f t="shared" ca="1" si="10"/>
        <v>-17065315.143201679</v>
      </c>
      <c r="P38" s="61">
        <f t="shared" ca="1" si="10"/>
        <v>-17065315.143201679</v>
      </c>
      <c r="Q38" s="61">
        <f t="shared" ca="1" si="10"/>
        <v>-17065315.143201675</v>
      </c>
      <c r="R38" s="61">
        <f t="shared" ca="1" si="10"/>
        <v>-17065315.143201679</v>
      </c>
      <c r="S38" s="61">
        <f t="shared" ca="1" si="10"/>
        <v>-17065315.143201679</v>
      </c>
      <c r="T38" s="61">
        <f t="shared" ca="1" si="10"/>
        <v>-17065315.143201679</v>
      </c>
      <c r="U38" s="61">
        <f t="shared" ca="1" si="10"/>
        <v>-17065315.143201683</v>
      </c>
      <c r="V38" s="61">
        <f t="shared" ca="1" si="10"/>
        <v>-17065315.143201683</v>
      </c>
      <c r="W38" s="61">
        <f t="shared" ca="1" si="10"/>
        <v>-17065315.143201683</v>
      </c>
      <c r="X38" s="61">
        <f t="shared" ca="1" si="10"/>
        <v>-17065315.143201683</v>
      </c>
      <c r="Y38" s="61">
        <f t="shared" ca="1" si="10"/>
        <v>-17065315.143201683</v>
      </c>
      <c r="Z38" s="61">
        <f t="shared" ca="1" si="10"/>
        <v>-17065315.143201683</v>
      </c>
      <c r="AA38" s="61">
        <f t="shared" ca="1" si="10"/>
        <v>-17065315.143201683</v>
      </c>
      <c r="AB38" s="61">
        <f t="shared" ca="1" si="10"/>
        <v>-17065315.143201683</v>
      </c>
      <c r="AC38" s="61">
        <f t="shared" ca="1" si="10"/>
        <v>-17065315.143201683</v>
      </c>
      <c r="AD38" s="61">
        <f t="shared" ca="1" si="10"/>
        <v>-17065315.143201686</v>
      </c>
      <c r="AE38" s="61">
        <f t="shared" ca="1" si="10"/>
        <v>-17065315.143201686</v>
      </c>
      <c r="AF38" s="61">
        <f t="shared" ca="1" si="10"/>
        <v>-17065315.143201686</v>
      </c>
      <c r="AG38" s="61">
        <f t="shared" ca="1" si="10"/>
        <v>-17065315.143201686</v>
      </c>
      <c r="AH38" s="61">
        <f t="shared" ca="1" si="10"/>
        <v>-17065315.143201686</v>
      </c>
    </row>
    <row r="39" spans="2:34">
      <c r="B39" s="610" t="s">
        <v>450</v>
      </c>
      <c r="C39" s="611"/>
      <c r="D39" s="43"/>
      <c r="E39" s="61">
        <f t="shared" ref="E39:AH39" ca="1" si="11">SUM(E35:E38)</f>
        <v>0</v>
      </c>
      <c r="F39" s="61">
        <f t="shared" ca="1" si="11"/>
        <v>82195993.411543548</v>
      </c>
      <c r="G39" s="61">
        <f t="shared" ca="1" si="11"/>
        <v>133478454.07770094</v>
      </c>
      <c r="H39" s="61">
        <f t="shared" ca="1" si="11"/>
        <v>202830039.37236744</v>
      </c>
      <c r="I39" s="61">
        <f t="shared" ca="1" si="11"/>
        <v>309905196.3572486</v>
      </c>
      <c r="J39" s="61">
        <f t="shared" ca="1" si="11"/>
        <v>409567563.43684024</v>
      </c>
      <c r="K39" s="61">
        <f t="shared" ca="1" si="11"/>
        <v>392502248.29363859</v>
      </c>
      <c r="L39" s="61">
        <f t="shared" ca="1" si="11"/>
        <v>375436933.15043688</v>
      </c>
      <c r="M39" s="61">
        <f t="shared" ca="1" si="11"/>
        <v>358371618.00723523</v>
      </c>
      <c r="N39" s="61">
        <f t="shared" ca="1" si="11"/>
        <v>341306302.86403358</v>
      </c>
      <c r="O39" s="61">
        <f t="shared" ca="1" si="11"/>
        <v>324240987.72083187</v>
      </c>
      <c r="P39" s="61">
        <f t="shared" ca="1" si="11"/>
        <v>307175672.57763016</v>
      </c>
      <c r="Q39" s="61">
        <f t="shared" ca="1" si="11"/>
        <v>290110357.43442851</v>
      </c>
      <c r="R39" s="61">
        <f t="shared" ca="1" si="11"/>
        <v>273045042.29122686</v>
      </c>
      <c r="S39" s="61">
        <f t="shared" ca="1" si="11"/>
        <v>255979727.14802518</v>
      </c>
      <c r="T39" s="61">
        <f t="shared" ca="1" si="11"/>
        <v>238914412.00482354</v>
      </c>
      <c r="U39" s="61">
        <f t="shared" ca="1" si="11"/>
        <v>221849096.86162186</v>
      </c>
      <c r="V39" s="61">
        <f t="shared" ca="1" si="11"/>
        <v>204783781.71842018</v>
      </c>
      <c r="W39" s="61">
        <f t="shared" ca="1" si="11"/>
        <v>187718466.5752185</v>
      </c>
      <c r="X39" s="61">
        <f t="shared" ca="1" si="11"/>
        <v>170653151.43201682</v>
      </c>
      <c r="Y39" s="61">
        <f t="shared" ca="1" si="11"/>
        <v>153587836.28881514</v>
      </c>
      <c r="Z39" s="61">
        <f t="shared" ca="1" si="11"/>
        <v>136522521.14561346</v>
      </c>
      <c r="AA39" s="61">
        <f t="shared" ca="1" si="11"/>
        <v>119457206.00241178</v>
      </c>
      <c r="AB39" s="61">
        <f t="shared" ca="1" si="11"/>
        <v>102391890.8592101</v>
      </c>
      <c r="AC39" s="61">
        <f t="shared" ca="1" si="11"/>
        <v>85326575.716008425</v>
      </c>
      <c r="AD39" s="61">
        <f t="shared" ca="1" si="11"/>
        <v>68261260.572806746</v>
      </c>
      <c r="AE39" s="61">
        <f t="shared" ca="1" si="11"/>
        <v>51195945.429605059</v>
      </c>
      <c r="AF39" s="61">
        <f t="shared" ca="1" si="11"/>
        <v>34130630.286403373</v>
      </c>
      <c r="AG39" s="61">
        <f t="shared" ca="1" si="11"/>
        <v>17065315.143201686</v>
      </c>
      <c r="AH39" s="61">
        <f t="shared" ca="1" si="11"/>
        <v>0</v>
      </c>
    </row>
    <row r="40" spans="2:34">
      <c r="E40" s="3"/>
      <c r="F40" s="3"/>
      <c r="G40" s="3"/>
    </row>
    <row r="41" spans="2:34">
      <c r="B41" s="2" t="s">
        <v>451</v>
      </c>
    </row>
    <row r="42" spans="2:34">
      <c r="B42" s="607"/>
      <c r="C42" s="606"/>
      <c r="D42" s="608"/>
      <c r="E42" s="48" t="str" cm="1">
        <f t="array" ref="E42:AH42">E4:AH4</f>
        <v>Ano 1</v>
      </c>
      <c r="F42" s="48" t="str">
        <v>Ano 2</v>
      </c>
      <c r="G42" s="48" t="str">
        <v>Ano 3</v>
      </c>
      <c r="H42" s="48" t="str">
        <v>Ano 4</v>
      </c>
      <c r="I42" s="48" t="str">
        <v>Ano 5</v>
      </c>
      <c r="J42" s="48" t="str">
        <v>Ano 6</v>
      </c>
      <c r="K42" s="48" t="str">
        <v>Ano 7</v>
      </c>
      <c r="L42" s="48" t="str">
        <v>Ano 8</v>
      </c>
      <c r="M42" s="48" t="str">
        <v>Ano 9</v>
      </c>
      <c r="N42" s="48" t="str">
        <v>Ano 10</v>
      </c>
      <c r="O42" s="48" t="str">
        <v>Ano 11</v>
      </c>
      <c r="P42" s="48" t="str">
        <v>Ano 12</v>
      </c>
      <c r="Q42" s="48" t="str">
        <v>Ano 13</v>
      </c>
      <c r="R42" s="48" t="str">
        <v>Ano 14</v>
      </c>
      <c r="S42" s="48" t="str">
        <v>Ano 15</v>
      </c>
      <c r="T42" s="48" t="str">
        <v>Ano 16</v>
      </c>
      <c r="U42" s="48" t="str">
        <v>Ano 17</v>
      </c>
      <c r="V42" s="48" t="str">
        <v>Ano 18</v>
      </c>
      <c r="W42" s="48" t="str">
        <v>Ano 19</v>
      </c>
      <c r="X42" s="48" t="str">
        <v>Ano 20</v>
      </c>
      <c r="Y42" s="48" t="str">
        <v>Ano 21</v>
      </c>
      <c r="Z42" s="48" t="str">
        <v>Ano 22</v>
      </c>
      <c r="AA42" s="48" t="str">
        <v>Ano 23</v>
      </c>
      <c r="AB42" s="48" t="str">
        <v>Ano 24</v>
      </c>
      <c r="AC42" s="48" t="str">
        <v>Ano 25</v>
      </c>
      <c r="AD42" s="48" t="str">
        <v>Ano 26</v>
      </c>
      <c r="AE42" s="48" t="str">
        <v>Ano 27</v>
      </c>
      <c r="AF42" s="48" t="str">
        <v>Ano 28</v>
      </c>
      <c r="AG42" s="48" t="str">
        <v>Ano 29</v>
      </c>
      <c r="AH42" s="48" t="str">
        <v>Ano 30</v>
      </c>
    </row>
    <row r="43" spans="2:34">
      <c r="B43" s="605" t="s">
        <v>333</v>
      </c>
      <c r="C43" s="606"/>
      <c r="D43" s="608"/>
      <c r="E43" s="50" t="b">
        <f t="shared" ref="E43:AH43" ca="1" si="12">ROUND(E5,2)=ROUND(E16,2)</f>
        <v>1</v>
      </c>
      <c r="F43" s="50" t="b">
        <f t="shared" ca="1" si="12"/>
        <v>1</v>
      </c>
      <c r="G43" s="50" t="b">
        <f t="shared" ca="1" si="12"/>
        <v>1</v>
      </c>
      <c r="H43" s="50" t="b">
        <f t="shared" ca="1" si="12"/>
        <v>1</v>
      </c>
      <c r="I43" s="50" t="b">
        <f t="shared" ca="1" si="12"/>
        <v>1</v>
      </c>
      <c r="J43" s="50" t="b">
        <f t="shared" ca="1" si="12"/>
        <v>1</v>
      </c>
      <c r="K43" s="50" t="b">
        <f t="shared" ca="1" si="12"/>
        <v>1</v>
      </c>
      <c r="L43" s="50" t="b">
        <f t="shared" ca="1" si="12"/>
        <v>1</v>
      </c>
      <c r="M43" s="50" t="b">
        <f t="shared" ca="1" si="12"/>
        <v>1</v>
      </c>
      <c r="N43" s="50" t="b">
        <f t="shared" ca="1" si="12"/>
        <v>1</v>
      </c>
      <c r="O43" s="50" t="b">
        <f t="shared" ca="1" si="12"/>
        <v>1</v>
      </c>
      <c r="P43" s="50" t="b">
        <f t="shared" ca="1" si="12"/>
        <v>1</v>
      </c>
      <c r="Q43" s="50" t="b">
        <f t="shared" ca="1" si="12"/>
        <v>1</v>
      </c>
      <c r="R43" s="50" t="b">
        <f t="shared" ca="1" si="12"/>
        <v>1</v>
      </c>
      <c r="S43" s="50" t="b">
        <f t="shared" ca="1" si="12"/>
        <v>1</v>
      </c>
      <c r="T43" s="50" t="b">
        <f t="shared" ca="1" si="12"/>
        <v>1</v>
      </c>
      <c r="U43" s="50" t="b">
        <f t="shared" ca="1" si="12"/>
        <v>1</v>
      </c>
      <c r="V43" s="50" t="b">
        <f t="shared" ca="1" si="12"/>
        <v>1</v>
      </c>
      <c r="W43" s="50" t="b">
        <f t="shared" ca="1" si="12"/>
        <v>1</v>
      </c>
      <c r="X43" s="50" t="b">
        <f t="shared" ca="1" si="12"/>
        <v>1</v>
      </c>
      <c r="Y43" s="50" t="b">
        <f t="shared" ca="1" si="12"/>
        <v>1</v>
      </c>
      <c r="Z43" s="50" t="b">
        <f t="shared" ca="1" si="12"/>
        <v>1</v>
      </c>
      <c r="AA43" s="50" t="b">
        <f t="shared" ca="1" si="12"/>
        <v>1</v>
      </c>
      <c r="AB43" s="50" t="b">
        <f t="shared" ca="1" si="12"/>
        <v>1</v>
      </c>
      <c r="AC43" s="50" t="b">
        <f t="shared" ca="1" si="12"/>
        <v>1</v>
      </c>
      <c r="AD43" s="50" t="b">
        <f t="shared" ca="1" si="12"/>
        <v>1</v>
      </c>
      <c r="AE43" s="50" t="b">
        <f t="shared" ca="1" si="12"/>
        <v>1</v>
      </c>
      <c r="AF43" s="50" t="b">
        <f t="shared" ca="1" si="12"/>
        <v>1</v>
      </c>
      <c r="AG43" s="50" t="b">
        <f t="shared" ca="1" si="12"/>
        <v>1</v>
      </c>
      <c r="AH43" s="50" t="b">
        <f t="shared" ca="1" si="12"/>
        <v>1</v>
      </c>
    </row>
    <row r="44" spans="2:34">
      <c r="B44" t="s">
        <v>452</v>
      </c>
    </row>
    <row r="46" spans="2:34">
      <c r="B46" s="2" t="s">
        <v>334</v>
      </c>
    </row>
    <row r="47" spans="2:34">
      <c r="B47" s="607"/>
      <c r="C47" s="606"/>
      <c r="D47" s="608"/>
      <c r="E47" s="48" t="str" cm="1">
        <f t="array" ref="E47:AH47">_xlfn.ANCHORARRAY(E42)</f>
        <v>Ano 1</v>
      </c>
      <c r="F47" s="48" t="str">
        <v>Ano 2</v>
      </c>
      <c r="G47" s="48" t="str">
        <v>Ano 3</v>
      </c>
      <c r="H47" s="48" t="str">
        <v>Ano 4</v>
      </c>
      <c r="I47" s="48" t="str">
        <v>Ano 5</v>
      </c>
      <c r="J47" s="48" t="str">
        <v>Ano 6</v>
      </c>
      <c r="K47" s="48" t="str">
        <v>Ano 7</v>
      </c>
      <c r="L47" s="48" t="str">
        <v>Ano 8</v>
      </c>
      <c r="M47" s="48" t="str">
        <v>Ano 9</v>
      </c>
      <c r="N47" s="48" t="str">
        <v>Ano 10</v>
      </c>
      <c r="O47" s="48" t="str">
        <v>Ano 11</v>
      </c>
      <c r="P47" s="48" t="str">
        <v>Ano 12</v>
      </c>
      <c r="Q47" s="48" t="str">
        <v>Ano 13</v>
      </c>
      <c r="R47" s="48" t="str">
        <v>Ano 14</v>
      </c>
      <c r="S47" s="48" t="str">
        <v>Ano 15</v>
      </c>
      <c r="T47" s="48" t="str">
        <v>Ano 16</v>
      </c>
      <c r="U47" s="48" t="str">
        <v>Ano 17</v>
      </c>
      <c r="V47" s="48" t="str">
        <v>Ano 18</v>
      </c>
      <c r="W47" s="48" t="str">
        <v>Ano 19</v>
      </c>
      <c r="X47" s="48" t="str">
        <v>Ano 20</v>
      </c>
      <c r="Y47" s="48" t="str">
        <v>Ano 21</v>
      </c>
      <c r="Z47" s="48" t="str">
        <v>Ano 22</v>
      </c>
      <c r="AA47" s="48" t="str">
        <v>Ano 23</v>
      </c>
      <c r="AB47" s="48" t="str">
        <v>Ano 24</v>
      </c>
      <c r="AC47" s="48" t="str">
        <v>Ano 25</v>
      </c>
      <c r="AD47" s="48" t="str">
        <v>Ano 26</v>
      </c>
      <c r="AE47" s="48" t="str">
        <v>Ano 27</v>
      </c>
      <c r="AF47" s="48" t="str">
        <v>Ano 28</v>
      </c>
      <c r="AG47" s="48" t="str">
        <v>Ano 29</v>
      </c>
      <c r="AH47" s="48" t="str">
        <v>Ano 30</v>
      </c>
    </row>
    <row r="48" spans="2:34">
      <c r="B48" s="605" t="s">
        <v>333</v>
      </c>
      <c r="C48" s="606"/>
      <c r="D48" s="608"/>
      <c r="E48" s="50" t="b">
        <f ca="1">ROUND(E29,2)=ROUND('DRE Nominal'!E53,2)</f>
        <v>1</v>
      </c>
      <c r="F48" s="50" t="b">
        <f ca="1">ROUND(F29,2)=ROUND('DRE Nominal'!F53,2)</f>
        <v>1</v>
      </c>
      <c r="G48" s="50" t="b">
        <f ca="1">ROUND(G29,2)=ROUND('DRE Nominal'!G53,2)</f>
        <v>1</v>
      </c>
      <c r="H48" s="50" t="b">
        <f ca="1">ROUND(H29,2)=ROUND('DRE Nominal'!H53,2)</f>
        <v>1</v>
      </c>
      <c r="I48" s="50" t="b">
        <f ca="1">ROUND(I29,2)=ROUND('DRE Nominal'!I53,2)</f>
        <v>1</v>
      </c>
      <c r="J48" s="50" t="b">
        <f ca="1">ROUND(J29,2)=ROUND('DRE Nominal'!J53,2)</f>
        <v>1</v>
      </c>
      <c r="K48" s="50" t="b">
        <f ca="1">ROUND(K29,2)=ROUND('DRE Nominal'!K53,2)</f>
        <v>1</v>
      </c>
      <c r="L48" s="50" t="b">
        <f ca="1">ROUND(L29,2)=ROUND('DRE Nominal'!L53,2)</f>
        <v>1</v>
      </c>
      <c r="M48" s="50" t="b">
        <f ca="1">ROUND(M29,2)=ROUND('DRE Nominal'!M53,2)</f>
        <v>1</v>
      </c>
      <c r="N48" s="50" t="b">
        <f ca="1">ROUND(N29,2)=ROUND('DRE Nominal'!N53,2)</f>
        <v>1</v>
      </c>
      <c r="O48" s="50" t="b">
        <f ca="1">ROUND(O29,2)=ROUND('DRE Nominal'!O53,2)</f>
        <v>1</v>
      </c>
      <c r="P48" s="50" t="b">
        <f ca="1">ROUND(P29,2)=ROUND('DRE Nominal'!P53,2)</f>
        <v>1</v>
      </c>
      <c r="Q48" s="50" t="b">
        <f ca="1">ROUND(Q29,2)=ROUND('DRE Nominal'!Q53,2)</f>
        <v>1</v>
      </c>
      <c r="R48" s="50" t="b">
        <f ca="1">ROUND(R29,2)=ROUND('DRE Nominal'!R53,2)</f>
        <v>1</v>
      </c>
      <c r="S48" s="50" t="b">
        <f ca="1">ROUND(S29,2)=ROUND('DRE Nominal'!S53,2)</f>
        <v>1</v>
      </c>
      <c r="T48" s="50" t="b">
        <f ca="1">ROUND(T29,2)=ROUND('DRE Nominal'!T53,2)</f>
        <v>1</v>
      </c>
      <c r="U48" s="50" t="b">
        <f ca="1">ROUND(U29,2)=ROUND('DRE Nominal'!U53,2)</f>
        <v>1</v>
      </c>
      <c r="V48" s="50" t="b">
        <f ca="1">ROUND(V29,2)=ROUND('DRE Nominal'!V53,2)</f>
        <v>1</v>
      </c>
      <c r="W48" s="50" t="b">
        <f ca="1">ROUND(W29,2)=ROUND('DRE Nominal'!W53,2)</f>
        <v>1</v>
      </c>
      <c r="X48" s="50" t="b">
        <f ca="1">ROUND(X29,2)=ROUND('DRE Nominal'!X53,2)</f>
        <v>1</v>
      </c>
      <c r="Y48" s="50" t="b">
        <f ca="1">ROUND(Y29,2)=ROUND('DRE Nominal'!Y53,2)</f>
        <v>1</v>
      </c>
      <c r="Z48" s="50" t="b">
        <f ca="1">ROUND(Z29,2)=ROUND('DRE Nominal'!Z53,2)</f>
        <v>1</v>
      </c>
      <c r="AA48" s="50" t="b">
        <f ca="1">ROUND(AA29,2)=ROUND('DRE Nominal'!AA53,2)</f>
        <v>1</v>
      </c>
      <c r="AB48" s="50" t="b">
        <f ca="1">ROUND(AB29,2)=ROUND('DRE Nominal'!AB53,2)</f>
        <v>1</v>
      </c>
      <c r="AC48" s="50" t="b">
        <f ca="1">ROUND(AC29,2)=ROUND('DRE Nominal'!AC53,2)</f>
        <v>1</v>
      </c>
      <c r="AD48" s="50" t="b">
        <f ca="1">ROUND(AD29,2)=ROUND('DRE Nominal'!AD53,2)</f>
        <v>1</v>
      </c>
      <c r="AE48" s="50" t="b">
        <f ca="1">ROUND(AE29,2)=ROUND('DRE Nominal'!AE53,2)</f>
        <v>1</v>
      </c>
      <c r="AF48" s="50" t="b">
        <f ca="1">ROUND(AF29,2)=ROUND('DRE Nominal'!AF53,2)</f>
        <v>1</v>
      </c>
      <c r="AG48" s="50" t="b">
        <f ca="1">ROUND(AG29,2)=ROUND('DRE Nominal'!AG53,2)</f>
        <v>1</v>
      </c>
      <c r="AH48" s="50" t="b">
        <f ca="1">ROUND(AH29,2)=ROUND('DRE Nominal'!AH53,2)</f>
        <v>1</v>
      </c>
    </row>
    <row r="50" spans="2:34">
      <c r="B50" s="2" t="s">
        <v>453</v>
      </c>
    </row>
    <row r="51" spans="2:34">
      <c r="B51" s="607"/>
      <c r="C51" s="606"/>
      <c r="D51" s="608"/>
      <c r="E51" s="68" t="str" cm="1">
        <f t="array" ref="E51:AH51">E4:AH4</f>
        <v>Ano 1</v>
      </c>
      <c r="F51" s="68" t="str">
        <v>Ano 2</v>
      </c>
      <c r="G51" s="68" t="str">
        <v>Ano 3</v>
      </c>
      <c r="H51" s="68" t="str">
        <v>Ano 4</v>
      </c>
      <c r="I51" s="68" t="str">
        <v>Ano 5</v>
      </c>
      <c r="J51" s="68" t="str">
        <v>Ano 6</v>
      </c>
      <c r="K51" s="68" t="str">
        <v>Ano 7</v>
      </c>
      <c r="L51" s="68" t="str">
        <v>Ano 8</v>
      </c>
      <c r="M51" s="68" t="str">
        <v>Ano 9</v>
      </c>
      <c r="N51" s="68" t="str">
        <v>Ano 10</v>
      </c>
      <c r="O51" s="68" t="str">
        <v>Ano 11</v>
      </c>
      <c r="P51" s="68" t="str">
        <v>Ano 12</v>
      </c>
      <c r="Q51" s="68" t="str">
        <v>Ano 13</v>
      </c>
      <c r="R51" s="68" t="str">
        <v>Ano 14</v>
      </c>
      <c r="S51" s="68" t="str">
        <v>Ano 15</v>
      </c>
      <c r="T51" s="68" t="str">
        <v>Ano 16</v>
      </c>
      <c r="U51" s="68" t="str">
        <v>Ano 17</v>
      </c>
      <c r="V51" s="68" t="str">
        <v>Ano 18</v>
      </c>
      <c r="W51" s="68" t="str">
        <v>Ano 19</v>
      </c>
      <c r="X51" s="68" t="str">
        <v>Ano 20</v>
      </c>
      <c r="Y51" s="68" t="str">
        <v>Ano 21</v>
      </c>
      <c r="Z51" s="68" t="str">
        <v>Ano 22</v>
      </c>
      <c r="AA51" s="68" t="str">
        <v>Ano 23</v>
      </c>
      <c r="AB51" s="68" t="str">
        <v>Ano 24</v>
      </c>
      <c r="AC51" s="68" t="str">
        <v>Ano 25</v>
      </c>
      <c r="AD51" s="68" t="str">
        <v>Ano 26</v>
      </c>
      <c r="AE51" s="68" t="str">
        <v>Ano 27</v>
      </c>
      <c r="AF51" s="68" t="str">
        <v>Ano 28</v>
      </c>
      <c r="AG51" s="68" t="str">
        <v>Ano 29</v>
      </c>
      <c r="AH51" s="68" t="str">
        <v>Ano 30</v>
      </c>
    </row>
    <row r="52" spans="2:34">
      <c r="B52" s="605" t="s">
        <v>336</v>
      </c>
      <c r="C52" s="606"/>
      <c r="D52" s="606"/>
      <c r="E52" s="145">
        <f ca="1">(DFC!C18 * (1+'Painel Controle'!D$149)) + (Aporte!E257 * -1 * (1+'Painel Controle'!D$149)) + ('Receitas Tarifárias'!E391*(1+'Painel Controle'!D149)) + SUM('DRE Nominal'!E18:E29) + 'DRE Nominal'!E32 + 'DRE Nominal'!E34 + 'DRE Nominal'!E38 + (Capex!L421 * -1 * (1+'Painel Controle'!D$149)) + SUM('DRE Nominal'!E49:E51) + (DFC!C7 * (1+'Painel Controle'!D$149)) + (DFC!C8 * (1+'Painel Controle'!D$149))</f>
        <v>3551098.7759104073</v>
      </c>
      <c r="F52" s="145">
        <f ca="1">(DFC!D18 * (1+'Painel Controle'!E$149)) + (Aporte!F257 * -1 * (1+'Painel Controle'!E$149)) + ('Receitas Tarifárias'!F391*(1+'Painel Controle'!E149)) + SUM('DRE Nominal'!F18:F29) + 'DRE Nominal'!F32 + 'DRE Nominal'!F34 + 'DRE Nominal'!F38 + (Capex!M421 * -1 * (1+'Painel Controle'!E$149)) + SUM('DRE Nominal'!F49:F51) + (DFC!D7 * (1+'Painel Controle'!E$149)) + (DFC!D8 * (1+'Painel Controle'!E$149)) + E7 + (E37/(1+'Painel Controle'!D149)*(1+'Painel Controle'!E149)) + E38</f>
        <v>-85131564.604812965</v>
      </c>
      <c r="G52" s="145">
        <f ca="1">(DFC!E18 * (1+'Painel Controle'!F$149)) + (Aporte!G257 * -1 * (1+'Painel Controle'!F$149)) + ('Receitas Tarifárias'!G391*(1+'Painel Controle'!F149)) + SUM('DRE Nominal'!G18:G29) + 'DRE Nominal'!G32 + 'DRE Nominal'!G34 + 'DRE Nominal'!G38 + (Capex!N421 * -1 * (1+'Painel Controle'!F$149)) + SUM('DRE Nominal'!G49:G51) + (DFC!E7 * (1+'Painel Controle'!F$149)) + (DFC!E8 * (1+'Painel Controle'!F$149)) + F7 + (F37/(1+'Painel Controle'!E149)*(1+'Painel Controle'!F149)) + F38</f>
        <v>-56226107.113479652</v>
      </c>
      <c r="H52" s="145">
        <f ca="1">(DFC!F18 * (1+'Painel Controle'!G$149)) + (Aporte!H257 * -1 * (1+'Painel Controle'!G$149)) + ('Receitas Tarifárias'!H391*(1+'Painel Controle'!G149)) + SUM('DRE Nominal'!H18:H29) + 'DRE Nominal'!H32 + 'DRE Nominal'!H34 + 'DRE Nominal'!H38 + (Capex!O421 * -1 * (1+'Painel Controle'!G$149)) + SUM('DRE Nominal'!H49:H51) + (DFC!F7 * (1+'Painel Controle'!G$149)) + (DFC!F8 * (1+'Painel Controle'!G$149)) + G7 + (G37/(1+'Painel Controle'!F149)*(1+'Painel Controle'!G149)) + G38</f>
        <v>-77152740.655142158</v>
      </c>
      <c r="I52" s="145">
        <f ca="1">(DFC!G18 * (1+'Painel Controle'!H$149)) + (Aporte!I257 * -1 * (1+'Painel Controle'!H$149)) + ('Receitas Tarifárias'!I391*(1+'Painel Controle'!H149)) + SUM('DRE Nominal'!I18:I29) + 'DRE Nominal'!I32 + 'DRE Nominal'!I34 + 'DRE Nominal'!I38 + (Capex!P421 * -1 * (1+'Painel Controle'!H$149)) + SUM('DRE Nominal'!I49:I51) + (DFC!G7 * (1+'Painel Controle'!H$149)) + (DFC!G8 * (1+'Painel Controle'!H$149)) + H7 + (H37/(1+'Painel Controle'!G149)*(1+'Painel Controle'!H149)) + H38</f>
        <v>-119471364.8391711</v>
      </c>
      <c r="J52" s="145">
        <f ca="1">(DFC!H18 * (1+'Painel Controle'!I$149)) + (Aporte!J257 * -1 * (1+'Painel Controle'!I$149)) + ('Receitas Tarifárias'!J391*(1+'Painel Controle'!I149)) + SUM('DRE Nominal'!J18:J29) + 'DRE Nominal'!J32 + 'DRE Nominal'!J34 + 'DRE Nominal'!J38 + (Capex!Q421 * -1 * (1+'Painel Controle'!I$149)) + SUM('DRE Nominal'!J49:J51) + (DFC!H7 * (1+'Painel Controle'!I$149)) + (DFC!H8 * (1+'Painel Controle'!I$149)) + I7 + (I37/(1+'Painel Controle'!H149)*(1+'Painel Controle'!I149)) + I38</f>
        <v>-116727682.2227933</v>
      </c>
      <c r="K52" s="145">
        <f ca="1">(DFC!I18 * (1+'Painel Controle'!J$149)) + (Aporte!K257 * -1 * (1+'Painel Controle'!J$149)) + ('Receitas Tarifárias'!K391*(1+'Painel Controle'!J149)) + SUM('DRE Nominal'!K18:K29) + 'DRE Nominal'!K32 + 'DRE Nominal'!K34 + 'DRE Nominal'!K38 + (Capex!R421 * -1 * (1+'Painel Controle'!J$149)) + SUM('DRE Nominal'!K49:K51) + (DFC!I7 * (1+'Painel Controle'!J$149)) + (DFC!I8 * (1+'Painel Controle'!J$149)) + J7 + (J37/(1+'Painel Controle'!I149)*(1+'Painel Controle'!J149)) + J38</f>
        <v>51842182.674060583</v>
      </c>
      <c r="L52" s="145">
        <f ca="1">(DFC!J18 * (1+'Painel Controle'!K$149)) + (Aporte!L257 * -1 * (1+'Painel Controle'!K$149)) + ('Receitas Tarifárias'!L391*(1+'Painel Controle'!K149)) + SUM('DRE Nominal'!L18:L29) + 'DRE Nominal'!L32 + 'DRE Nominal'!L34 + 'DRE Nominal'!L38 + (Capex!S421 * -1 * (1+'Painel Controle'!K$149)) + SUM('DRE Nominal'!L49:L51) + (DFC!J7 * (1+'Painel Controle'!K$149)) + (DFC!J8 * (1+'Painel Controle'!K$149)) + K7 + (K37/(1+'Painel Controle'!J149)*(1+'Painel Controle'!K149)) + K38</f>
        <v>34833680.062671289</v>
      </c>
      <c r="M52" s="145">
        <f ca="1">(DFC!K18 * (1+'Painel Controle'!L$149)) + (Aporte!M257 * -1 * (1+'Painel Controle'!L$149)) + ('Receitas Tarifárias'!M391*(1+'Painel Controle'!L149)) + SUM('DRE Nominal'!M18:M29) + 'DRE Nominal'!M32 + 'DRE Nominal'!M34 + 'DRE Nominal'!M38 + (Capex!T421 * -1 * (1+'Painel Controle'!L$149)) + SUM('DRE Nominal'!M49:M51) + (DFC!K7 * (1+'Painel Controle'!L$149)) + (DFC!K8 * (1+'Painel Controle'!L$149)) + L7 + (L37/(1+'Painel Controle'!K149)*(1+'Painel Controle'!L149)) + L38</f>
        <v>19011597.280468188</v>
      </c>
      <c r="N52" s="145">
        <f ca="1">(DFC!L18 * (1+'Painel Controle'!M$149)) + (Aporte!N257 * -1 * (1+'Painel Controle'!M$149)) + ('Receitas Tarifárias'!N391*(1+'Painel Controle'!M149)) + SUM('DRE Nominal'!N18:N29) + 'DRE Nominal'!N32 + 'DRE Nominal'!N34 + 'DRE Nominal'!N38 + (Capex!U421 * -1 * (1+'Painel Controle'!M$149)) + SUM('DRE Nominal'!N49:N51) + (DFC!L7 * (1+'Painel Controle'!M$149)) + (DFC!L8 * (1+'Painel Controle'!M$149)) + M7 + (M37/(1+'Painel Controle'!L149)*(1+'Painel Controle'!M149)) + M38</f>
        <v>59974512.900031224</v>
      </c>
      <c r="O52" s="145">
        <f ca="1">(DFC!M18 * (1+'Painel Controle'!N$149)) + (Aporte!O257 * -1 * (1+'Painel Controle'!N$149)) + ('Receitas Tarifárias'!O391*(1+'Painel Controle'!N149)) + SUM('DRE Nominal'!O18:O29) + 'DRE Nominal'!O32 + 'DRE Nominal'!O34 + 'DRE Nominal'!O38 + (Capex!V421 * -1 * (1+'Painel Controle'!N$149)) + SUM('DRE Nominal'!O49:O51) + (DFC!M7 * (1+'Painel Controle'!N$149)) + (DFC!M8 * (1+'Painel Controle'!N$149)) + N7 + (N37/(1+'Painel Controle'!M149)*(1+'Painel Controle'!N149)) + N38</f>
        <v>115098890.35711533</v>
      </c>
      <c r="P52" s="145">
        <f ca="1">(DFC!N18 * (1+'Painel Controle'!O$149)) + (Aporte!P257 * -1 * (1+'Painel Controle'!O$149)) + ('Receitas Tarifárias'!P391*(1+'Painel Controle'!O149)) + SUM('DRE Nominal'!P18:P29) + 'DRE Nominal'!P32 + 'DRE Nominal'!P34 + 'DRE Nominal'!P38 + (Capex!W421 * -1 * (1+'Painel Controle'!O$149)) + SUM('DRE Nominal'!P49:P51) + (DFC!N7 * (1+'Painel Controle'!O$149)) + (DFC!N8 * (1+'Painel Controle'!O$149)) + O7 + (O37/(1+'Painel Controle'!N149)*(1+'Painel Controle'!O149)) + O38</f>
        <v>222708061.8770349</v>
      </c>
      <c r="Q52" s="145">
        <f ca="1">(DFC!O18 * (1+'Painel Controle'!P$149)) + (Aporte!Q257 * -1 * (1+'Painel Controle'!P$149)) + ('Receitas Tarifárias'!Q391*(1+'Painel Controle'!P149)) + SUM('DRE Nominal'!Q18:Q29) + 'DRE Nominal'!Q32 + 'DRE Nominal'!Q34 + 'DRE Nominal'!Q38 + (Capex!X421 * -1 * (1+'Painel Controle'!P$149)) + SUM('DRE Nominal'!Q49:Q51) + (DFC!O7 * (1+'Painel Controle'!P$149)) + (DFC!O8 * (1+'Painel Controle'!P$149)) + P7 + (P37/(1+'Painel Controle'!O149)*(1+'Painel Controle'!P149)) + P38</f>
        <v>341838753.55572951</v>
      </c>
      <c r="R52" s="145">
        <f ca="1">(DFC!P18 * (1+'Painel Controle'!Q$149)) + (Aporte!R257 * -1 * (1+'Painel Controle'!Q$149)) + ('Receitas Tarifárias'!R391*(1+'Painel Controle'!Q149)) + SUM('DRE Nominal'!R18:R29) + 'DRE Nominal'!R32 + 'DRE Nominal'!R34 + 'DRE Nominal'!R38 + (Capex!Y421 * -1 * (1+'Painel Controle'!Q$149)) + SUM('DRE Nominal'!R49:R51) + (DFC!P7 * (1+'Painel Controle'!Q$149)) + (DFC!P8 * (1+'Painel Controle'!Q$149)) + Q7 + (Q37/(1+'Painel Controle'!P149)*(1+'Painel Controle'!Q149)) + Q38</f>
        <v>493037858.00545758</v>
      </c>
      <c r="S52" s="145">
        <f ca="1">(DFC!Q18 * (1+'Painel Controle'!R$149)) + (Aporte!S257 * -1 * (1+'Painel Controle'!R$149)) + ('Receitas Tarifárias'!S391*(1+'Painel Controle'!R149)) + SUM('DRE Nominal'!S18:S29) + 'DRE Nominal'!S32 + 'DRE Nominal'!S34 + 'DRE Nominal'!S38 + (Capex!Z421 * -1 * (1+'Painel Controle'!R$149)) + SUM('DRE Nominal'!S49:S51) + (DFC!Q7 * (1+'Painel Controle'!R$149)) + (DFC!Q8 * (1+'Painel Controle'!R$149)) + R7 + (R37/(1+'Painel Controle'!Q149)*(1+'Painel Controle'!R149)) + R38</f>
        <v>152142799.62460887</v>
      </c>
      <c r="T52" s="145">
        <f ca="1">(DFC!R18 * (1+'Painel Controle'!S$149)) + (Aporte!T257 * -1 * (1+'Painel Controle'!S$149)) + ('Receitas Tarifárias'!T391*(1+'Painel Controle'!S149)) + SUM('DRE Nominal'!T18:T29) + 'DRE Nominal'!T32 + 'DRE Nominal'!T34 + 'DRE Nominal'!T38 + (Capex!AA421 * -1 * (1+'Painel Controle'!S$149)) + SUM('DRE Nominal'!T49:T51) + (DFC!R7 * (1+'Painel Controle'!S$149)) + (DFC!R8 * (1+'Painel Controle'!S$149)) + S7 + (S37/(1+'Painel Controle'!R149)*(1+'Painel Controle'!S149)) + S38</f>
        <v>257174210.0329484</v>
      </c>
      <c r="U52" s="145">
        <f ca="1">(DFC!S18 * (1+'Painel Controle'!T$149)) + (Aporte!U257 * -1 * (1+'Painel Controle'!T$149)) + ('Receitas Tarifárias'!U391*(1+'Painel Controle'!T149)) + SUM('DRE Nominal'!U18:U29) + 'DRE Nominal'!U32 + 'DRE Nominal'!U34 + 'DRE Nominal'!U38 + (Capex!AB421 * -1 * (1+'Painel Controle'!T$149)) + SUM('DRE Nominal'!U49:U51) + (DFC!S7 * (1+'Painel Controle'!T$149)) + (DFC!S8 * (1+'Painel Controle'!T$149)) + T7 + (T37/(1+'Painel Controle'!S149)*(1+'Painel Controle'!T149)) + T38</f>
        <v>246270118.76912147</v>
      </c>
      <c r="V52" s="145">
        <f ca="1">(DFC!T18 * (1+'Painel Controle'!U$149)) + (Aporte!V257 * -1 * (1+'Painel Controle'!U$149)) + ('Receitas Tarifárias'!V391*(1+'Painel Controle'!U149)) + SUM('DRE Nominal'!V18:V29) + 'DRE Nominal'!V32 + 'DRE Nominal'!V34 + 'DRE Nominal'!V38 + (Capex!AC421 * -1 * (1+'Painel Controle'!U$149)) + SUM('DRE Nominal'!V49:V51) + (DFC!T7 * (1+'Painel Controle'!U$149)) + (DFC!T8 * (1+'Painel Controle'!U$149)) + U7 + (U37/(1+'Painel Controle'!T149)*(1+'Painel Controle'!U149)) + U38</f>
        <v>268392015.43255243</v>
      </c>
      <c r="W52" s="145">
        <f ca="1">(DFC!U18 * (1+'Painel Controle'!V$149)) + (Aporte!W257 * -1 * (1+'Painel Controle'!V$149)) + ('Receitas Tarifárias'!W391*(1+'Painel Controle'!V149)) + SUM('DRE Nominal'!W18:W29) + 'DRE Nominal'!W32 + 'DRE Nominal'!W34 + 'DRE Nominal'!W38 + (Capex!AD421 * -1 * (1+'Painel Controle'!V$149)) + SUM('DRE Nominal'!W49:W51) + (DFC!U7 * (1+'Painel Controle'!V$149)) + (DFC!U8 * (1+'Painel Controle'!V$149)) + V7 + (V37/(1+'Painel Controle'!U149)*(1+'Painel Controle'!V149)) + V38</f>
        <v>395301969.03097051</v>
      </c>
      <c r="X52" s="145">
        <f ca="1">(DFC!V18 * (1+'Painel Controle'!W$149)) + (Aporte!X257 * -1 * (1+'Painel Controle'!W$149)) + ('Receitas Tarifárias'!X391*(1+'Painel Controle'!W149)) + SUM('DRE Nominal'!X18:X29) + 'DRE Nominal'!X32 + 'DRE Nominal'!X34 + 'DRE Nominal'!X38 + (Capex!AE421 * -1 * (1+'Painel Controle'!W$149)) + SUM('DRE Nominal'!X49:X51) + (DFC!V7 * (1+'Painel Controle'!W$149)) + (DFC!V8 * (1+'Painel Controle'!W$149)) + W7 + (W37/(1+'Painel Controle'!V149)*(1+'Painel Controle'!W149)) + W38</f>
        <v>636164314.23076689</v>
      </c>
      <c r="Y52" s="145">
        <f ca="1">(DFC!W18 * (1+'Painel Controle'!X$149)) + (Aporte!Y257 * -1 * (1+'Painel Controle'!X$149)) + ('Receitas Tarifárias'!Y391*(1+'Painel Controle'!X149)) + SUM('DRE Nominal'!Y18:Y29) + 'DRE Nominal'!Y32 + 'DRE Nominal'!Y34 + 'DRE Nominal'!Y38 + (Capex!AF421 * -1 * (1+'Painel Controle'!X$149)) + SUM('DRE Nominal'!Y49:Y51) + (DFC!W7 * (1+'Painel Controle'!X$149)) + (DFC!W8 * (1+'Painel Controle'!X$149)) + X7 + (X37/(1+'Painel Controle'!W149)*(1+'Painel Controle'!X149)) + X38</f>
        <v>880092905.08607948</v>
      </c>
      <c r="Z52" s="145">
        <f ca="1">(DFC!X18 * (1+'Painel Controle'!Y$149)) + (Aporte!Z257 * -1 * (1+'Painel Controle'!Y$149)) + ('Receitas Tarifárias'!Z391*(1+'Painel Controle'!Y149)) + SUM('DRE Nominal'!Z18:Z29) + 'DRE Nominal'!Z32 + 'DRE Nominal'!Z34 + 'DRE Nominal'!Z38 + (Capex!AG421 * -1 * (1+'Painel Controle'!Y$149)) + SUM('DRE Nominal'!Z49:Z51) + (DFC!X7 * (1+'Painel Controle'!Y$149)) + (DFC!X8 * (1+'Painel Controle'!Y$149)) + Y7 + (Y37/(1+'Painel Controle'!X149)*(1+'Painel Controle'!Y149)) + Y38</f>
        <v>1200726952.768455</v>
      </c>
      <c r="AA52" s="145">
        <f ca="1">(DFC!Y18 * (1+'Painel Controle'!Z$149)) + (Aporte!AA257 * -1 * (1+'Painel Controle'!Z$149)) + ('Receitas Tarifárias'!AA391*(1+'Painel Controle'!Z149)) + SUM('DRE Nominal'!AA18:AA29) + 'DRE Nominal'!AA32 + 'DRE Nominal'!AA34 + 'DRE Nominal'!AA38 + (Capex!AH421 * -1 * (1+'Painel Controle'!Z$149)) + SUM('DRE Nominal'!AA49:AA51) + (DFC!Y7 * (1+'Painel Controle'!Z$149)) + (DFC!Y8 * (1+'Painel Controle'!Z$149)) + Z7 + (Z37/(1+'Painel Controle'!Y149)*(1+'Painel Controle'!Z149)) + Z38</f>
        <v>1492332788.0248907</v>
      </c>
      <c r="AB52" s="145">
        <f ca="1">(DFC!Z18 * (1+'Painel Controle'!AA$149)) + (Aporte!AB257 * -1 * (1+'Painel Controle'!AA$149)) + ('Receitas Tarifárias'!AB391*(1+'Painel Controle'!AA149)) + SUM('DRE Nominal'!AB18:AB29) + 'DRE Nominal'!AB32 + 'DRE Nominal'!AB34 + 'DRE Nominal'!AB38 + (Capex!AI421 * -1 * (1+'Painel Controle'!AA$149)) + SUM('DRE Nominal'!AB49:AB51) + (DFC!Z7 * (1+'Painel Controle'!AA$149)) + (DFC!Z8 * (1+'Painel Controle'!AA$149)) + AA7 + (AA37/(1+'Painel Controle'!Z149)*(1+'Painel Controle'!AA149)) + AA38</f>
        <v>1785256224.9017165</v>
      </c>
      <c r="AC52" s="145">
        <f ca="1">(DFC!AA18 * (1+'Painel Controle'!AB$149)) + (Aporte!AC257 * -1 * (1+'Painel Controle'!AB$149)) + ('Receitas Tarifárias'!AC391*(1+'Painel Controle'!AB149)) + SUM('DRE Nominal'!AC18:AC29) + 'DRE Nominal'!AC32 + 'DRE Nominal'!AC34 + 'DRE Nominal'!AC38 + (Capex!AJ421 * -1 * (1+'Painel Controle'!AB$149)) + SUM('DRE Nominal'!AC49:AC51) + (DFC!AA7 * (1+'Painel Controle'!AB$149)) + (DFC!AA8 * (1+'Painel Controle'!AB$149)) + AB7 + (AB37/(1+'Painel Controle'!AA149)*(1+'Painel Controle'!AB149)) + AB38</f>
        <v>2034274170.6293154</v>
      </c>
      <c r="AD52" s="145">
        <f ca="1">(DFC!AB18 * (1+'Painel Controle'!AC$149)) + (Aporte!AD257 * -1 * (1+'Painel Controle'!AC$149)) + ('Receitas Tarifárias'!AD391*(1+'Painel Controle'!AC149)) + SUM('DRE Nominal'!AD18:AD29) + 'DRE Nominal'!AD32 + 'DRE Nominal'!AD34 + 'DRE Nominal'!AD38 + (Capex!AK421 * -1 * (1+'Painel Controle'!AC$149)) + SUM('DRE Nominal'!AD49:AD51) + (DFC!AB7 * (1+'Painel Controle'!AC$149)) + (DFC!AB8 * (1+'Painel Controle'!AC$149)) + AC7 + (AC37/(1+'Painel Controle'!AB149)*(1+'Painel Controle'!AC149)) + AC38</f>
        <v>2303109632.1741557</v>
      </c>
      <c r="AE52" s="145">
        <f ca="1">(DFC!AC18 * (1+'Painel Controle'!AD$149)) + (Aporte!AE257 * -1 * (1+'Painel Controle'!AD$149)) + ('Receitas Tarifárias'!AE391*(1+'Painel Controle'!AD149)) + SUM('DRE Nominal'!AE18:AE29) + 'DRE Nominal'!AE32 + 'DRE Nominal'!AE34 + 'DRE Nominal'!AE38 + (Capex!AL421 * -1 * (1+'Painel Controle'!AD$149)) + SUM('DRE Nominal'!AE49:AE51) + (DFC!AC7 * (1+'Painel Controle'!AD$149)) + (DFC!AC8 * (1+'Painel Controle'!AD$149)) + AD7 + (AD37/(1+'Painel Controle'!AC149)*(1+'Painel Controle'!AD149)) + AD38</f>
        <v>2674820881.3376918</v>
      </c>
      <c r="AF52" s="145">
        <f ca="1">(DFC!AD18 * (1+'Painel Controle'!AE$149)) + (Aporte!AF257 * -1 * (1+'Painel Controle'!AE$149)) + ('Receitas Tarifárias'!AF391*(1+'Painel Controle'!AE149)) + SUM('DRE Nominal'!AF18:AF29) + 'DRE Nominal'!AF32 + 'DRE Nominal'!AF34 + 'DRE Nominal'!AF38 + (Capex!AM421 * -1 * (1+'Painel Controle'!AE$149)) + SUM('DRE Nominal'!AF49:AF51) + (DFC!AD7 * (1+'Painel Controle'!AE$149)) + (DFC!AD8 * (1+'Painel Controle'!AE$149)) + AE7 + (AE37/(1+'Painel Controle'!AD149)*(1+'Painel Controle'!AE149)) + AE38</f>
        <v>3101477693.722249</v>
      </c>
      <c r="AG52" s="145">
        <f ca="1">(DFC!AE18 * (1+'Painel Controle'!AF$149)) + (Aporte!AG257 * -1 * (1+'Painel Controle'!AF$149)) + ('Receitas Tarifárias'!AG391*(1+'Painel Controle'!AF149)) + SUM('DRE Nominal'!AG18:AG29) + 'DRE Nominal'!AG32 + 'DRE Nominal'!AG34 + 'DRE Nominal'!AG38 + (Capex!AN421 * -1 * (1+'Painel Controle'!AF$149)) + SUM('DRE Nominal'!AG49:AG51) + (DFC!AE7 * (1+'Painel Controle'!AF$149)) + (DFC!AE8 * (1+'Painel Controle'!AF$149)) + AF7 + (AF37/(1+'Painel Controle'!AE149)*(1+'Painel Controle'!AF149)) + AF38</f>
        <v>3522055121.8248434</v>
      </c>
      <c r="AH52" s="145">
        <f ca="1">(DFC!AF18 * (1+'Painel Controle'!AG$149)) + (Aporte!AH257 * -1 * (1+'Painel Controle'!AG$149)) + ('Receitas Tarifárias'!AH391*(1+'Painel Controle'!AG149)) + SUM('DRE Nominal'!AH18:AH29) + 'DRE Nominal'!AH32 + 'DRE Nominal'!AH34 + 'DRE Nominal'!AH38 + (Capex!AO421 * -1 * (1+'Painel Controle'!AG$149)) + SUM('DRE Nominal'!AH49:AH51) + (DFC!AF7 * (1+'Painel Controle'!AG$149)) + (DFC!AF8 * (1+'Painel Controle'!AG$149)) + AG7 + (AG37/(1+'Painel Controle'!AF149)*(1+'Painel Controle'!AG149)) + AG38</f>
        <v>3962854522.1106362</v>
      </c>
    </row>
    <row r="53" spans="2:34">
      <c r="B53" t="s">
        <v>454</v>
      </c>
    </row>
  </sheetData>
  <mergeCells count="13">
    <mergeCell ref="B39:C39"/>
    <mergeCell ref="B33:C33"/>
    <mergeCell ref="B34:C34"/>
    <mergeCell ref="B35:C35"/>
    <mergeCell ref="B36:C36"/>
    <mergeCell ref="B37:C37"/>
    <mergeCell ref="B38:C38"/>
    <mergeCell ref="B43:D43"/>
    <mergeCell ref="B48:D48"/>
    <mergeCell ref="B52:D52"/>
    <mergeCell ref="B42:D42"/>
    <mergeCell ref="B47:D47"/>
    <mergeCell ref="B51:D51"/>
  </mergeCells>
  <conditionalFormatting sqref="E43:AH43">
    <cfRule type="cellIs" dxfId="3" priority="3" operator="equal">
      <formula>FALSE</formula>
    </cfRule>
  </conditionalFormatting>
  <conditionalFormatting sqref="E48:AH48">
    <cfRule type="cellIs" dxfId="2" priority="2"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2A6099"/>
  </sheetPr>
  <dimension ref="B1:AG107"/>
  <sheetViews>
    <sheetView showGridLines="0" zoomScaleNormal="90" workbookViewId="0">
      <selection activeCell="B33" sqref="B33"/>
    </sheetView>
  </sheetViews>
  <sheetFormatPr defaultColWidth="14.28515625" defaultRowHeight="12.75"/>
  <cols>
    <col min="1" max="1" width="2.42578125" customWidth="1"/>
    <col min="2" max="2" width="67.140625" customWidth="1"/>
    <col min="3" max="3" width="18.42578125" customWidth="1"/>
    <col min="4" max="9" width="18.140625" customWidth="1"/>
    <col min="10" max="13" width="19.42578125" customWidth="1"/>
    <col min="14" max="14" width="23.140625" customWidth="1"/>
    <col min="15" max="15" width="25.28515625" customWidth="1"/>
    <col min="16" max="32" width="19.42578125" customWidth="1"/>
    <col min="33" max="33" width="18.7109375" bestFit="1" customWidth="1"/>
    <col min="970" max="1024" width="11.42578125" customWidth="1"/>
  </cols>
  <sheetData>
    <row r="1" spans="2:32">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row>
    <row r="2" spans="2:32">
      <c r="B2" s="41" t="s">
        <v>455</v>
      </c>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row>
    <row r="3" spans="2:32" hidden="1">
      <c r="B3" s="41"/>
      <c r="C3" s="44">
        <v>1</v>
      </c>
      <c r="D3" s="44">
        <v>2</v>
      </c>
      <c r="E3" s="44">
        <v>3</v>
      </c>
      <c r="F3" s="44">
        <v>4</v>
      </c>
      <c r="G3" s="44">
        <v>5</v>
      </c>
      <c r="H3" s="44">
        <v>6</v>
      </c>
      <c r="I3" s="44">
        <v>7</v>
      </c>
      <c r="J3" s="44">
        <v>8</v>
      </c>
      <c r="K3" s="44">
        <v>9</v>
      </c>
      <c r="L3" s="44">
        <v>10</v>
      </c>
      <c r="M3" s="44">
        <v>11</v>
      </c>
      <c r="N3" s="44">
        <v>12</v>
      </c>
      <c r="O3" s="44">
        <v>13</v>
      </c>
      <c r="P3" s="44">
        <v>14</v>
      </c>
      <c r="Q3" s="44">
        <v>15</v>
      </c>
      <c r="R3" s="44">
        <v>16</v>
      </c>
      <c r="S3" s="44">
        <v>17</v>
      </c>
      <c r="T3" s="44">
        <v>18</v>
      </c>
      <c r="U3" s="44">
        <v>19</v>
      </c>
      <c r="V3" s="44">
        <v>20</v>
      </c>
      <c r="W3" s="44">
        <v>21</v>
      </c>
      <c r="X3" s="44">
        <v>22</v>
      </c>
      <c r="Y3" s="44">
        <v>23</v>
      </c>
      <c r="Z3" s="44">
        <v>24</v>
      </c>
      <c r="AA3" s="44">
        <v>25</v>
      </c>
      <c r="AB3" s="44">
        <v>26</v>
      </c>
      <c r="AC3" s="44">
        <v>27</v>
      </c>
      <c r="AD3" s="44">
        <v>28</v>
      </c>
      <c r="AE3" s="44">
        <v>29</v>
      </c>
      <c r="AF3" s="44">
        <v>30</v>
      </c>
    </row>
    <row r="4" spans="2:32">
      <c r="B4" s="42"/>
      <c r="C4" s="54" t="str">
        <f t="shared" ref="C4:AF4" si="0">"Ano "&amp;C3</f>
        <v>Ano 1</v>
      </c>
      <c r="D4" s="54" t="str">
        <f t="shared" si="0"/>
        <v>Ano 2</v>
      </c>
      <c r="E4" s="54" t="str">
        <f t="shared" si="0"/>
        <v>Ano 3</v>
      </c>
      <c r="F4" s="54" t="str">
        <f t="shared" si="0"/>
        <v>Ano 4</v>
      </c>
      <c r="G4" s="54" t="str">
        <f t="shared" si="0"/>
        <v>Ano 5</v>
      </c>
      <c r="H4" s="54" t="str">
        <f t="shared" si="0"/>
        <v>Ano 6</v>
      </c>
      <c r="I4" s="54" t="str">
        <f t="shared" si="0"/>
        <v>Ano 7</v>
      </c>
      <c r="J4" s="54" t="str">
        <f t="shared" si="0"/>
        <v>Ano 8</v>
      </c>
      <c r="K4" s="54" t="str">
        <f t="shared" si="0"/>
        <v>Ano 9</v>
      </c>
      <c r="L4" s="54" t="str">
        <f t="shared" si="0"/>
        <v>Ano 10</v>
      </c>
      <c r="M4" s="54" t="str">
        <f t="shared" si="0"/>
        <v>Ano 11</v>
      </c>
      <c r="N4" s="54" t="str">
        <f t="shared" si="0"/>
        <v>Ano 12</v>
      </c>
      <c r="O4" s="54" t="str">
        <f t="shared" si="0"/>
        <v>Ano 13</v>
      </c>
      <c r="P4" s="54" t="str">
        <f t="shared" si="0"/>
        <v>Ano 14</v>
      </c>
      <c r="Q4" s="54" t="str">
        <f t="shared" si="0"/>
        <v>Ano 15</v>
      </c>
      <c r="R4" s="54" t="str">
        <f t="shared" si="0"/>
        <v>Ano 16</v>
      </c>
      <c r="S4" s="54" t="str">
        <f t="shared" si="0"/>
        <v>Ano 17</v>
      </c>
      <c r="T4" s="54" t="str">
        <f t="shared" si="0"/>
        <v>Ano 18</v>
      </c>
      <c r="U4" s="54" t="str">
        <f t="shared" si="0"/>
        <v>Ano 19</v>
      </c>
      <c r="V4" s="54" t="str">
        <f t="shared" si="0"/>
        <v>Ano 20</v>
      </c>
      <c r="W4" s="54" t="str">
        <f t="shared" si="0"/>
        <v>Ano 21</v>
      </c>
      <c r="X4" s="54" t="str">
        <f t="shared" si="0"/>
        <v>Ano 22</v>
      </c>
      <c r="Y4" s="54" t="str">
        <f t="shared" si="0"/>
        <v>Ano 23</v>
      </c>
      <c r="Z4" s="54" t="str">
        <f t="shared" si="0"/>
        <v>Ano 24</v>
      </c>
      <c r="AA4" s="54" t="str">
        <f t="shared" si="0"/>
        <v>Ano 25</v>
      </c>
      <c r="AB4" s="54" t="str">
        <f t="shared" si="0"/>
        <v>Ano 26</v>
      </c>
      <c r="AC4" s="54" t="str">
        <f t="shared" si="0"/>
        <v>Ano 27</v>
      </c>
      <c r="AD4" s="54" t="str">
        <f t="shared" si="0"/>
        <v>Ano 28</v>
      </c>
      <c r="AE4" s="54" t="str">
        <f t="shared" si="0"/>
        <v>Ano 29</v>
      </c>
      <c r="AF4" s="54" t="str">
        <f t="shared" si="0"/>
        <v>Ano 30</v>
      </c>
    </row>
    <row r="5" spans="2:32">
      <c r="B5" s="42" t="s">
        <v>456</v>
      </c>
      <c r="C5" s="55">
        <f ca="1">'Receitas Tarifárias'!E391</f>
        <v>0</v>
      </c>
      <c r="D5" s="55">
        <f ca="1">'Receitas Tarifárias'!F391</f>
        <v>89575305.249058172</v>
      </c>
      <c r="E5" s="55">
        <f ca="1">'Receitas Tarifárias'!G391</f>
        <v>123926237.19447097</v>
      </c>
      <c r="F5" s="55">
        <f ca="1">'Receitas Tarifárias'!H391</f>
        <v>127431200.62617458</v>
      </c>
      <c r="G5" s="55">
        <f ca="1">'Receitas Tarifárias'!I391</f>
        <v>154399075.54149824</v>
      </c>
      <c r="H5" s="55">
        <f ca="1">'Receitas Tarifárias'!J391</f>
        <v>157887907.56621242</v>
      </c>
      <c r="I5" s="55">
        <f ca="1">'Receitas Tarifárias'!K391</f>
        <v>181689002.99041897</v>
      </c>
      <c r="J5" s="55">
        <f ca="1">'Receitas Tarifárias'!L391</f>
        <v>185894551.21127304</v>
      </c>
      <c r="K5" s="55">
        <f ca="1">'Receitas Tarifárias'!M391</f>
        <v>190669441.69870406</v>
      </c>
      <c r="L5" s="55">
        <f ca="1">'Receitas Tarifárias'!N391</f>
        <v>196112896.34341455</v>
      </c>
      <c r="M5" s="55">
        <f ca="1">'Receitas Tarifárias'!O391</f>
        <v>201723275.67021003</v>
      </c>
      <c r="N5" s="55">
        <f ca="1">'Receitas Tarifárias'!P391</f>
        <v>207488753.75363588</v>
      </c>
      <c r="O5" s="55">
        <f ca="1">'Receitas Tarifárias'!Q391</f>
        <v>213076117.84737638</v>
      </c>
      <c r="P5" s="55">
        <f ca="1">'Receitas Tarifárias'!R391</f>
        <v>218451559.75897455</v>
      </c>
      <c r="Q5" s="55">
        <f ca="1">'Receitas Tarifárias'!S391</f>
        <v>223580228.31915104</v>
      </c>
      <c r="R5" s="55">
        <f ca="1">'Receitas Tarifárias'!T391</f>
        <v>238926131.81726381</v>
      </c>
      <c r="S5" s="55">
        <f ca="1">'Receitas Tarifárias'!U391</f>
        <v>243689869.50738594</v>
      </c>
      <c r="T5" s="55">
        <f ca="1">'Receitas Tarifárias'!V391</f>
        <v>248116081.45240822</v>
      </c>
      <c r="U5" s="55">
        <f ca="1">'Receitas Tarifárias'!W391</f>
        <v>252182595.78066912</v>
      </c>
      <c r="V5" s="55">
        <f ca="1">'Receitas Tarifárias'!X391</f>
        <v>255870859.31063113</v>
      </c>
      <c r="W5" s="55">
        <f ca="1">'Receitas Tarifárias'!Y391</f>
        <v>259161121.2092703</v>
      </c>
      <c r="X5" s="55">
        <f ca="1">'Receitas Tarifárias'!Z391</f>
        <v>262038894.13994992</v>
      </c>
      <c r="Y5" s="55">
        <f ca="1">'Receitas Tarifárias'!AA391</f>
        <v>264493979.85142893</v>
      </c>
      <c r="Z5" s="55">
        <f ca="1">'Receitas Tarifárias'!AB391</f>
        <v>266514451.99301225</v>
      </c>
      <c r="AA5" s="55">
        <f ca="1">'Receitas Tarifárias'!AC391</f>
        <v>268089129.69990993</v>
      </c>
      <c r="AB5" s="55">
        <f ca="1">'Receitas Tarifárias'!AD391</f>
        <v>269211129.72341412</v>
      </c>
      <c r="AC5" s="55">
        <f ca="1">'Receitas Tarifárias'!AE391</f>
        <v>269875615.28167665</v>
      </c>
      <c r="AD5" s="55">
        <f ca="1">'Receitas Tarifárias'!AF391</f>
        <v>270075517.57031417</v>
      </c>
      <c r="AE5" s="55">
        <f ca="1">'Receitas Tarifárias'!AG391</f>
        <v>269804847.4030652</v>
      </c>
      <c r="AF5" s="55">
        <f ca="1">'Receitas Tarifárias'!AH391</f>
        <v>269059674.22033173</v>
      </c>
    </row>
    <row r="6" spans="2:32">
      <c r="B6" s="42" t="s">
        <v>457</v>
      </c>
      <c r="C6" s="56" cm="1">
        <f t="array" aca="1" ref="C6:AF6" ca="1">Aporte!E257:AH257 *-1</f>
        <v>111081000</v>
      </c>
      <c r="D6" s="56">
        <f ca="1"/>
        <v>0</v>
      </c>
      <c r="E6" s="56">
        <f ca="1"/>
        <v>253089000</v>
      </c>
      <c r="F6" s="56">
        <f ca="1"/>
        <v>732183000</v>
      </c>
      <c r="G6" s="56">
        <f ca="1"/>
        <v>364902000</v>
      </c>
      <c r="H6" s="56">
        <f ca="1"/>
        <v>368745000</v>
      </c>
      <c r="I6" s="56">
        <f ca="1"/>
        <v>0</v>
      </c>
      <c r="J6" s="56">
        <f ca="1"/>
        <v>0</v>
      </c>
      <c r="K6" s="56">
        <f ca="1"/>
        <v>0</v>
      </c>
      <c r="L6" s="56">
        <f ca="1"/>
        <v>0</v>
      </c>
      <c r="M6" s="56">
        <f ca="1"/>
        <v>0</v>
      </c>
      <c r="N6" s="56">
        <f ca="1"/>
        <v>0</v>
      </c>
      <c r="O6" s="56">
        <f ca="1"/>
        <v>0</v>
      </c>
      <c r="P6" s="56">
        <f ca="1"/>
        <v>0</v>
      </c>
      <c r="Q6" s="56">
        <f ca="1"/>
        <v>0</v>
      </c>
      <c r="R6" s="56">
        <f ca="1"/>
        <v>0</v>
      </c>
      <c r="S6" s="56">
        <f ca="1"/>
        <v>0</v>
      </c>
      <c r="T6" s="56">
        <f ca="1"/>
        <v>0</v>
      </c>
      <c r="U6" s="56">
        <f ca="1"/>
        <v>0</v>
      </c>
      <c r="V6" s="56">
        <f ca="1"/>
        <v>0</v>
      </c>
      <c r="W6" s="56">
        <f ca="1"/>
        <v>0</v>
      </c>
      <c r="X6" s="56">
        <f ca="1"/>
        <v>0</v>
      </c>
      <c r="Y6" s="56">
        <f ca="1"/>
        <v>0</v>
      </c>
      <c r="Z6" s="56">
        <f ca="1"/>
        <v>0</v>
      </c>
      <c r="AA6" s="56">
        <f ca="1"/>
        <v>0</v>
      </c>
      <c r="AB6" s="56">
        <f ca="1"/>
        <v>0</v>
      </c>
      <c r="AC6" s="56">
        <f ca="1"/>
        <v>0</v>
      </c>
      <c r="AD6" s="56">
        <f ca="1"/>
        <v>0</v>
      </c>
      <c r="AE6" s="56">
        <f ca="1"/>
        <v>0</v>
      </c>
      <c r="AF6" s="56">
        <f ca="1"/>
        <v>0</v>
      </c>
    </row>
    <row r="7" spans="2:32">
      <c r="B7" s="47" t="s">
        <v>350</v>
      </c>
      <c r="C7" s="56">
        <f>'Painel Controle'!$C4</f>
        <v>0</v>
      </c>
      <c r="D7" s="56">
        <f>'Painel Controle'!$C4</f>
        <v>0</v>
      </c>
      <c r="E7" s="56">
        <f>'Painel Controle'!$C4</f>
        <v>0</v>
      </c>
      <c r="F7" s="56">
        <f>'Painel Controle'!$C4</f>
        <v>0</v>
      </c>
      <c r="G7" s="56">
        <f>'Painel Controle'!$C4</f>
        <v>0</v>
      </c>
      <c r="H7" s="56">
        <f>'Painel Controle'!$C4</f>
        <v>0</v>
      </c>
      <c r="I7" s="56">
        <f>'Painel Controle'!$C4</f>
        <v>0</v>
      </c>
      <c r="J7" s="56">
        <f>'Painel Controle'!$C4</f>
        <v>0</v>
      </c>
      <c r="K7" s="56">
        <f>'Painel Controle'!$C4</f>
        <v>0</v>
      </c>
      <c r="L7" s="56">
        <f>'Painel Controle'!$C4</f>
        <v>0</v>
      </c>
      <c r="M7" s="56">
        <f>'Painel Controle'!$C4</f>
        <v>0</v>
      </c>
      <c r="N7" s="56">
        <f>'Painel Controle'!$C4</f>
        <v>0</v>
      </c>
      <c r="O7" s="56">
        <f>'Painel Controle'!$C4</f>
        <v>0</v>
      </c>
      <c r="P7" s="56">
        <f>'Painel Controle'!$C4</f>
        <v>0</v>
      </c>
      <c r="Q7" s="56">
        <f>'Painel Controle'!$C4</f>
        <v>0</v>
      </c>
      <c r="R7" s="56">
        <f>'Painel Controle'!$C4</f>
        <v>0</v>
      </c>
      <c r="S7" s="56">
        <f>'Painel Controle'!$C4</f>
        <v>0</v>
      </c>
      <c r="T7" s="56">
        <f>'Painel Controle'!$C4</f>
        <v>0</v>
      </c>
      <c r="U7" s="56">
        <f>'Painel Controle'!$C4</f>
        <v>0</v>
      </c>
      <c r="V7" s="56">
        <f>'Painel Controle'!$C4</f>
        <v>0</v>
      </c>
      <c r="W7" s="56">
        <f>'Painel Controle'!$C4</f>
        <v>0</v>
      </c>
      <c r="X7" s="56">
        <f>'Painel Controle'!$C4</f>
        <v>0</v>
      </c>
      <c r="Y7" s="56">
        <f>'Painel Controle'!$C4</f>
        <v>0</v>
      </c>
      <c r="Z7" s="56">
        <f>'Painel Controle'!$C4</f>
        <v>0</v>
      </c>
      <c r="AA7" s="56">
        <f>'Painel Controle'!$C4</f>
        <v>0</v>
      </c>
      <c r="AB7" s="56">
        <f>'Painel Controle'!$C4</f>
        <v>0</v>
      </c>
      <c r="AC7" s="56">
        <f>'Painel Controle'!$C4</f>
        <v>0</v>
      </c>
      <c r="AD7" s="56">
        <f>'Painel Controle'!$C4</f>
        <v>0</v>
      </c>
      <c r="AE7" s="56">
        <f>'Painel Controle'!$C4</f>
        <v>0</v>
      </c>
      <c r="AF7" s="56">
        <f>'Painel Controle'!$C4</f>
        <v>0</v>
      </c>
    </row>
    <row r="8" spans="2:32">
      <c r="B8" s="47" t="s">
        <v>458</v>
      </c>
      <c r="C8" s="56" cm="1">
        <f t="array" aca="1" ref="C8:AF8" ca="1">_xlfn.ANCHORARRAY('Compart. Riscos'!C90)</f>
        <v>0</v>
      </c>
      <c r="D8" s="56">
        <f ca="1"/>
        <v>17696584.695545636</v>
      </c>
      <c r="E8" s="56">
        <f ca="1"/>
        <v>21244497.804766454</v>
      </c>
      <c r="F8" s="56">
        <f ca="1"/>
        <v>20239073.040627729</v>
      </c>
      <c r="G8" s="56">
        <f ca="1"/>
        <v>20764013.607304946</v>
      </c>
      <c r="H8" s="56">
        <f ca="1"/>
        <v>21233201.362352703</v>
      </c>
      <c r="I8" s="56">
        <f ca="1"/>
        <v>24434038.333194278</v>
      </c>
      <c r="J8" s="56">
        <f ca="1"/>
        <v>24999612.059447072</v>
      </c>
      <c r="K8" s="56">
        <f ca="1"/>
        <v>25641752.504308473</v>
      </c>
      <c r="L8" s="56">
        <f ca="1"/>
        <v>26430869.332813203</v>
      </c>
      <c r="M8" s="56">
        <f ca="1"/>
        <v>27263151.082652718</v>
      </c>
      <c r="N8" s="56">
        <f ca="1"/>
        <v>28064047.478452068</v>
      </c>
      <c r="O8" s="56">
        <f ca="1"/>
        <v>28841787.361636598</v>
      </c>
      <c r="P8" s="56">
        <f ca="1"/>
        <v>29591653.746423483</v>
      </c>
      <c r="Q8" s="56">
        <f ca="1"/>
        <v>30308773.08001297</v>
      </c>
      <c r="R8" s="56">
        <f ca="1"/>
        <v>32309162.913341619</v>
      </c>
      <c r="S8" s="56">
        <f ca="1"/>
        <v>32976071.995748926</v>
      </c>
      <c r="T8" s="56">
        <f ca="1"/>
        <v>33597634.796365038</v>
      </c>
      <c r="U8" s="56">
        <f ca="1"/>
        <v>34170712.002422839</v>
      </c>
      <c r="V8" s="56">
        <f ca="1"/>
        <v>34692655.127453461</v>
      </c>
      <c r="W8" s="56">
        <f ca="1"/>
        <v>35160653.951623015</v>
      </c>
      <c r="X8" s="56">
        <f ca="1"/>
        <v>35572618.12509837</v>
      </c>
      <c r="Y8" s="56">
        <f ca="1"/>
        <v>35927046.488851875</v>
      </c>
      <c r="Z8" s="56">
        <f ca="1"/>
        <v>36222206.777901292</v>
      </c>
      <c r="AA8" s="56">
        <f ca="1"/>
        <v>36456470.73089952</v>
      </c>
      <c r="AB8" s="56">
        <f ca="1"/>
        <v>36628799.04775463</v>
      </c>
      <c r="AC8" s="56">
        <f ca="1"/>
        <v>36738432.068745017</v>
      </c>
      <c r="AD8" s="56">
        <f ca="1"/>
        <v>36784305.313982755</v>
      </c>
      <c r="AE8" s="56">
        <f ca="1"/>
        <v>36765504.053493917</v>
      </c>
      <c r="AF8" s="200">
        <f ca="1"/>
        <v>36681399.11846704</v>
      </c>
    </row>
    <row r="9" spans="2:32">
      <c r="B9" s="42" t="s">
        <v>459</v>
      </c>
      <c r="C9" s="55">
        <f ca="1">SUM('DRE Real'!E18:E28) + 'DRE Real'!E29 + 'DRE Real'!E32 + 'DRE Real'!E34</f>
        <v>-135148.55000000002</v>
      </c>
      <c r="D9" s="55">
        <f ca="1">SUM('DRE Real'!F18:F28) + 'DRE Real'!F29 + 'DRE Real'!F32 + 'DRE Real'!F34</f>
        <v>-8844344.4505456742</v>
      </c>
      <c r="E9" s="55">
        <f ca="1">SUM('DRE Real'!G18:G28) + 'DRE Real'!G29 + 'DRE Real'!G32 + 'DRE Real'!G34</f>
        <v>-12224301.578062253</v>
      </c>
      <c r="F9" s="55">
        <f ca="1">SUM('DRE Real'!H18:H28) + 'DRE Real'!H29 + 'DRE Real'!H32 + 'DRE Real'!H34</f>
        <v>-13388489.29676218</v>
      </c>
      <c r="G9" s="55">
        <f ca="1">SUM('DRE Real'!I18:I28) + 'DRE Real'!I29 + 'DRE Real'!I32 + 'DRE Real'!I34</f>
        <v>-16174891.281981803</v>
      </c>
      <c r="H9" s="55">
        <f ca="1">SUM('DRE Real'!J18:J28) + 'DRE Real'!J29 + 'DRE Real'!J32 + 'DRE Real'!J34</f>
        <v>-16970274.270673826</v>
      </c>
      <c r="I9" s="55">
        <f ca="1">SUM('DRE Real'!K18:K28) + 'DRE Real'!K29 + 'DRE Real'!K32 + 'DRE Real'!K34</f>
        <v>-19106918.076131381</v>
      </c>
      <c r="J9" s="55">
        <f ca="1">SUM('DRE Real'!L18:L28) + 'DRE Real'!L29 + 'DRE Real'!L32 + 'DRE Real'!L34</f>
        <v>-19417083.722494565</v>
      </c>
      <c r="K9" s="55">
        <f ca="1">SUM('DRE Real'!M18:M28) + 'DRE Real'!M29 + 'DRE Real'!M32 + 'DRE Real'!M34</f>
        <v>-19783007.701176986</v>
      </c>
      <c r="L9" s="55">
        <f ca="1">SUM('DRE Real'!N18:N28) + 'DRE Real'!N29 + 'DRE Real'!N32 + 'DRE Real'!N34</f>
        <v>-20213337.352700993</v>
      </c>
      <c r="M9" s="55">
        <f ca="1">SUM('DRE Real'!O18:O28) + 'DRE Real'!O29 + 'DRE Real'!O32 + 'DRE Real'!O34</f>
        <v>-20661432.552627333</v>
      </c>
      <c r="N9" s="55">
        <f ca="1">SUM('DRE Real'!P18:P28) + 'DRE Real'!P29 + 'DRE Real'!P32 + 'DRE Real'!P34</f>
        <v>-21126091.35984714</v>
      </c>
      <c r="O9" s="55">
        <f ca="1">SUM('DRE Real'!Q18:Q28) + 'DRE Real'!Q29 + 'DRE Real'!Q32 + 'DRE Real'!Q34</f>
        <v>-21576576.288899064</v>
      </c>
      <c r="P9" s="55">
        <f ca="1">SUM('DRE Real'!R18:R28) + 'DRE Real'!R29 + 'DRE Real'!R32 + 'DRE Real'!R34</f>
        <v>-22009678.369966913</v>
      </c>
      <c r="Q9" s="55">
        <f ca="1">SUM('DRE Real'!S18:S28) + 'DRE Real'!S29 + 'DRE Real'!S32 + 'DRE Real'!S34</f>
        <v>-22422095.658904307</v>
      </c>
      <c r="R9" s="55">
        <f ca="1">SUM('DRE Real'!T18:T28) + 'DRE Real'!T29 + 'DRE Real'!T32 + 'DRE Real'!T34</f>
        <v>-23648543.601039354</v>
      </c>
      <c r="S9" s="55">
        <f ca="1">SUM('DRE Real'!U18:U28) + 'DRE Real'!U29 + 'DRE Real'!U32 + 'DRE Real'!U34</f>
        <v>-24028498.188168485</v>
      </c>
      <c r="T9" s="55">
        <f ca="1">SUM('DRE Real'!V18:V28) + 'DRE Real'!V29 + 'DRE Real'!V32 + 'DRE Real'!V34</f>
        <v>-24379340.6837993</v>
      </c>
      <c r="U9" s="55">
        <f ca="1">SUM('DRE Real'!W18:W28) + 'DRE Real'!W29 + 'DRE Real'!W32 + 'DRE Real'!W34</f>
        <v>-24698967.559510991</v>
      </c>
      <c r="V9" s="55">
        <f ca="1">SUM('DRE Real'!X18:X28) + 'DRE Real'!X29 + 'DRE Real'!X32 + 'DRE Real'!X34</f>
        <v>-24985610.99268036</v>
      </c>
      <c r="W9" s="55">
        <f ca="1">SUM('DRE Real'!Y18:Y28) + 'DRE Real'!Y29 + 'DRE Real'!Y32 + 'DRE Real'!Y34</f>
        <v>-25237395.365627423</v>
      </c>
      <c r="X9" s="55">
        <f ca="1">SUM('DRE Real'!Z18:Z28) + 'DRE Real'!Z29 + 'DRE Real'!Z32 + 'DRE Real'!Z34</f>
        <v>-25452931.701365069</v>
      </c>
      <c r="Y9" s="55">
        <f ca="1">SUM('DRE Real'!AA18:AA28) + 'DRE Real'!AA29 + 'DRE Real'!AA32 + 'DRE Real'!AA34</f>
        <v>-25631227.797395688</v>
      </c>
      <c r="Z9" s="55">
        <f ca="1">SUM('DRE Real'!AB18:AB28) + 'DRE Real'!AB29 + 'DRE Real'!AB32 + 'DRE Real'!AB34</f>
        <v>-25771134.429291412</v>
      </c>
      <c r="AA9" s="55">
        <f ca="1">SUM('DRE Real'!AC18:AC28) + 'DRE Real'!AC29 + 'DRE Real'!AC32 + 'DRE Real'!AC34</f>
        <v>-25871573.00601396</v>
      </c>
      <c r="AB9" s="55">
        <f ca="1">SUM('DRE Real'!AD18:AD28) + 'DRE Real'!AD29 + 'DRE Real'!AD32 + 'DRE Real'!AD34</f>
        <v>-25931862.327184353</v>
      </c>
      <c r="AC9" s="55">
        <f ca="1">SUM('DRE Real'!AE18:AE28) + 'DRE Real'!AE29 + 'DRE Real'!AE32 + 'DRE Real'!AE34</f>
        <v>-25951511.486530438</v>
      </c>
      <c r="AD9" s="55">
        <f ca="1">SUM('DRE Real'!AF18:AF28) + 'DRE Real'!AF29 + 'DRE Real'!AF32 + 'DRE Real'!AF34</f>
        <v>-25929826.158158034</v>
      </c>
      <c r="AE9" s="55">
        <f ca="1">SUM('DRE Real'!AG18:AG28) + 'DRE Real'!AG29 + 'DRE Real'!AG32 + 'DRE Real'!AG34</f>
        <v>-25866213.102591481</v>
      </c>
      <c r="AF9" s="163">
        <f ca="1">SUM('DRE Real'!AH18:AH28) + 'DRE Real'!AH29 + 'DRE Real'!AH32 + 'DRE Real'!AH34</f>
        <v>-25760270.059057727</v>
      </c>
    </row>
    <row r="10" spans="2:32">
      <c r="B10" s="42" t="s">
        <v>308</v>
      </c>
      <c r="C10" s="55">
        <f>Capex!L421 * -1</f>
        <v>-178599736.04676378</v>
      </c>
      <c r="D10" s="55">
        <f>Capex!M421 * -1</f>
        <v>-116521385.76469104</v>
      </c>
      <c r="E10" s="55">
        <f>Capex!N421 * -1</f>
        <v>-351556578.7818054</v>
      </c>
      <c r="F10" s="55">
        <f>Capex!O421 * -1</f>
        <v>-837400264.57339108</v>
      </c>
      <c r="G10" s="55">
        <f>Capex!P421 * -1</f>
        <v>-505318568.26877183</v>
      </c>
      <c r="H10" s="55">
        <f>Capex!Q421 * -1</f>
        <v>-496236352.91614836</v>
      </c>
      <c r="I10" s="55">
        <f>Capex!R421 * -1</f>
        <v>-5187536.297820067</v>
      </c>
      <c r="J10" s="55">
        <f>Capex!S421 * -1</f>
        <v>-61939863.914150342</v>
      </c>
      <c r="K10" s="55">
        <f>Capex!T421 * -1</f>
        <v>-68711049.279476479</v>
      </c>
      <c r="L10" s="55">
        <f>Capex!U421 * -1</f>
        <v>-37408190.679644719</v>
      </c>
      <c r="M10" s="55">
        <f>Capex!V421 * -1</f>
        <v>-35701142.339237891</v>
      </c>
      <c r="N10" s="55">
        <f>Capex!W421 * -1</f>
        <v>-10308905.579130599</v>
      </c>
      <c r="O10" s="55">
        <f>Capex!X421 * -1</f>
        <v>-11370329.22712113</v>
      </c>
      <c r="P10" s="55">
        <f>Capex!Y421 * -1</f>
        <v>-651514.00422605418</v>
      </c>
      <c r="Q10" s="55">
        <f>Capex!Z421 * -1</f>
        <v>-288160645.45553917</v>
      </c>
      <c r="R10" s="55">
        <f>Capex!AA421 * -1</f>
        <v>-54456059.627743311</v>
      </c>
      <c r="S10" s="55">
        <f>Capex!AB421 * -1</f>
        <v>-123744063.90159652</v>
      </c>
      <c r="T10" s="55">
        <f>Capex!AC421 * -1</f>
        <v>-113985356.76427202</v>
      </c>
      <c r="U10" s="55">
        <f>Capex!AD421 * -1</f>
        <v>-69147531.694192544</v>
      </c>
      <c r="V10" s="55">
        <f>Capex!AE421 * -1</f>
        <v>-23443519.900715314</v>
      </c>
      <c r="W10" s="55">
        <f>Capex!AF421 * -1</f>
        <v>-29796576.737236101</v>
      </c>
      <c r="X10" s="55">
        <f>Capex!AG421 * -1</f>
        <v>-3043823.9097820926</v>
      </c>
      <c r="Y10" s="55">
        <f>Capex!AH421 * -1</f>
        <v>-23198168.890982345</v>
      </c>
      <c r="Z10" s="55">
        <f>Capex!AI421 * -1</f>
        <v>-30247675.943929676</v>
      </c>
      <c r="AA10" s="55">
        <f>Capex!AJ421 * -1</f>
        <v>-56105385.567156322</v>
      </c>
      <c r="AB10" s="55">
        <f>Capex!AK421 * -1</f>
        <v>-58057438.006721489</v>
      </c>
      <c r="AC10" s="55">
        <f>Capex!AL421 * -1</f>
        <v>-26753060.130895667</v>
      </c>
      <c r="AD10" s="55">
        <f>Capex!AM421 * -1</f>
        <v>-13878395.354899159</v>
      </c>
      <c r="AE10" s="162">
        <f>Capex!AN421 * -1</f>
        <v>-24909861.391688135</v>
      </c>
      <c r="AF10" s="55">
        <f>Capex!AO421 * -1</f>
        <v>-34317597.273617856</v>
      </c>
    </row>
    <row r="11" spans="2:32">
      <c r="B11" s="42" t="s">
        <v>460</v>
      </c>
      <c r="C11" s="55" cm="1">
        <f t="array" aca="1" ref="C11:AF11" ca="1">_xlfn.ANCHORARRAY(Opex!E98) * -1</f>
        <v>-50878328.818097323</v>
      </c>
      <c r="D11" s="55">
        <f ca="1"/>
        <v>-49870978.170316093</v>
      </c>
      <c r="E11" s="55">
        <f ca="1"/>
        <v>-56093647.808584154</v>
      </c>
      <c r="F11" s="55">
        <f ca="1"/>
        <v>-61630050.266975917</v>
      </c>
      <c r="G11" s="55">
        <f ca="1"/>
        <v>-62805801.949133761</v>
      </c>
      <c r="H11" s="55">
        <f ca="1"/>
        <v>-61986791.47252515</v>
      </c>
      <c r="I11" s="55">
        <f ca="1"/>
        <v>-63030153.148479216</v>
      </c>
      <c r="J11" s="55">
        <f ca="1"/>
        <v>-63172842.625027247</v>
      </c>
      <c r="K11" s="55">
        <f ca="1"/>
        <v>-61406961.681260705</v>
      </c>
      <c r="L11" s="55">
        <f ca="1"/>
        <v>-61336620.923109204</v>
      </c>
      <c r="M11" s="55">
        <f ca="1"/>
        <v>-61787713.010439932</v>
      </c>
      <c r="N11" s="55">
        <f ca="1"/>
        <v>-62323258.246995255</v>
      </c>
      <c r="O11" s="55">
        <f ca="1"/>
        <v>-62889689.933098763</v>
      </c>
      <c r="P11" s="55">
        <f ca="1"/>
        <v>-63251113.775223687</v>
      </c>
      <c r="Q11" s="55">
        <f ca="1"/>
        <v>-64744554.205234334</v>
      </c>
      <c r="R11" s="55">
        <f ca="1"/>
        <v>-65641013.274548233</v>
      </c>
      <c r="S11" s="55">
        <f ca="1"/>
        <v>-66324943.882675245</v>
      </c>
      <c r="T11" s="55">
        <f ca="1"/>
        <v>-66591239.06497255</v>
      </c>
      <c r="U11" s="55">
        <f ca="1"/>
        <v>-66955639.284464359</v>
      </c>
      <c r="V11" s="55">
        <f ca="1"/>
        <v>-64973701.304283708</v>
      </c>
      <c r="W11" s="55">
        <f ca="1"/>
        <v>-65249991.202927426</v>
      </c>
      <c r="X11" s="55">
        <f ca="1"/>
        <v>-65122164.077658594</v>
      </c>
      <c r="Y11" s="55">
        <f ca="1"/>
        <v>-65361659.263170317</v>
      </c>
      <c r="Z11" s="55">
        <f ca="1"/>
        <v>-65422782.203760281</v>
      </c>
      <c r="AA11" s="55">
        <f ca="1"/>
        <v>-65650331.743332773</v>
      </c>
      <c r="AB11" s="55">
        <f ca="1"/>
        <v>-64026620.437857978</v>
      </c>
      <c r="AC11" s="55">
        <f ca="1"/>
        <v>-64171489.249361075</v>
      </c>
      <c r="AD11" s="55">
        <f ca="1"/>
        <v>-64040126.329837605</v>
      </c>
      <c r="AE11" s="55">
        <f ca="1"/>
        <v>-64368087.733769827</v>
      </c>
      <c r="AF11" s="164">
        <f ca="1"/>
        <v>-64088052.624284908</v>
      </c>
    </row>
    <row r="12" spans="2:32">
      <c r="B12" s="42" t="s">
        <v>461</v>
      </c>
      <c r="C12" s="55">
        <f ca="1">SUM('DRE Real'!E49:E51)</f>
        <v>0</v>
      </c>
      <c r="D12" s="55">
        <f ca="1">SUM('DRE Real'!F49:F51)</f>
        <v>-10063524.937421821</v>
      </c>
      <c r="E12" s="55">
        <f ca="1">SUM('DRE Real'!G49:G51)</f>
        <v>-16012650.377324529</v>
      </c>
      <c r="F12" s="55">
        <f ca="1">SUM('DRE Real'!H49:H51)</f>
        <v>-14659041.746297017</v>
      </c>
      <c r="G12" s="55">
        <f ca="1">SUM('DRE Real'!I49:I51)</f>
        <v>-26561141.629295301</v>
      </c>
      <c r="H12" s="55">
        <f ca="1">SUM('DRE Real'!J49:J51)</f>
        <v>-26393264.186513625</v>
      </c>
      <c r="I12" s="55">
        <f ca="1">SUM('DRE Real'!K49:K51)</f>
        <v>-34684065.960755199</v>
      </c>
      <c r="J12" s="55">
        <f ca="1">SUM('DRE Real'!L49:L51)</f>
        <v>-35494867.183537066</v>
      </c>
      <c r="K12" s="55">
        <f ca="1">SUM('DRE Real'!M49:M51)</f>
        <v>-37031690.126678228</v>
      </c>
      <c r="L12" s="55">
        <f ca="1">SUM('DRE Real'!N49:N51)</f>
        <v>-38711246.233529367</v>
      </c>
      <c r="M12" s="55">
        <f ca="1">SUM('DRE Real'!O49:O51)</f>
        <v>-40280888.743920423</v>
      </c>
      <c r="N12" s="55">
        <f ca="1">SUM('DRE Real'!P49:P51)</f>
        <v>-42308433.139836743</v>
      </c>
      <c r="O12" s="55">
        <f ca="1">SUM('DRE Real'!Q49:Q51)</f>
        <v>-44226326.982868619</v>
      </c>
      <c r="P12" s="55">
        <f ca="1">SUM('DRE Real'!R49:R51)</f>
        <v>-46336083.951297745</v>
      </c>
      <c r="Q12" s="55">
        <f ca="1">SUM('DRE Real'!S49:S51)</f>
        <v>-41851826.229443103</v>
      </c>
      <c r="R12" s="55">
        <f ca="1">SUM('DRE Real'!T49:T51)</f>
        <v>-46324847.419317454</v>
      </c>
      <c r="S12" s="55">
        <f ca="1">SUM('DRE Real'!U49:U51)</f>
        <v>-45330303.423380703</v>
      </c>
      <c r="T12" s="55">
        <f ca="1">SUM('DRE Real'!V49:V51)</f>
        <v>-44466899.785866983</v>
      </c>
      <c r="U12" s="55">
        <f ca="1">SUM('DRE Real'!W49:W51)</f>
        <v>-44545583.177933455</v>
      </c>
      <c r="V12" s="55">
        <f ca="1">SUM('DRE Real'!X49:X51)</f>
        <v>-46565353.275051504</v>
      </c>
      <c r="W12" s="55">
        <f ca="1">SUM('DRE Real'!Y49:Y51)</f>
        <v>-47386477.358396947</v>
      </c>
      <c r="X12" s="55">
        <f ca="1">SUM('DRE Real'!Z49:Z51)</f>
        <v>-49105592.149289176</v>
      </c>
      <c r="Y12" s="55">
        <f ca="1">SUM('DRE Real'!AA49:AA51)</f>
        <v>-49656422.690426819</v>
      </c>
      <c r="Z12" s="55">
        <f ca="1">SUM('DRE Real'!AB49:AB51)</f>
        <v>-49638843.201246992</v>
      </c>
      <c r="AA12" s="55">
        <f ca="1">SUM('DRE Real'!AC49:AC51)</f>
        <v>-47721193.246457376</v>
      </c>
      <c r="AB12" s="55">
        <f ca="1">SUM('DRE Real'!AD49:AD51)</f>
        <v>-45586831.257604018</v>
      </c>
      <c r="AC12" s="55">
        <f ca="1">SUM('DRE Real'!AE49:AE51)</f>
        <v>-44469490.564475857</v>
      </c>
      <c r="AD12" s="55">
        <f ca="1">SUM('DRE Real'!AF49:AF51)</f>
        <v>-44027590.360781543</v>
      </c>
      <c r="AE12" s="55">
        <f ca="1">SUM('DRE Real'!AG49:AG51)</f>
        <v>-40620209.318835132</v>
      </c>
      <c r="AF12" s="55">
        <f ca="1">SUM('DRE Real'!AH49:AH51)</f>
        <v>-29928658.6083038</v>
      </c>
    </row>
    <row r="13" spans="2:32">
      <c r="B13" s="43" t="s">
        <v>462</v>
      </c>
      <c r="C13" s="63">
        <f t="shared" ref="C13:AF13" ca="1" si="1">SUM(C5:C12)</f>
        <v>-118532213.4148611</v>
      </c>
      <c r="D13" s="63">
        <f t="shared" ca="1" si="1"/>
        <v>-78028343.378370821</v>
      </c>
      <c r="E13" s="63">
        <f t="shared" ca="1" si="1"/>
        <v>-37627443.546538837</v>
      </c>
      <c r="F13" s="63">
        <f t="shared" ca="1" si="1"/>
        <v>-47224572.216623954</v>
      </c>
      <c r="G13" s="63">
        <f t="shared" ca="1" si="1"/>
        <v>-70795313.980379477</v>
      </c>
      <c r="H13" s="63">
        <f t="shared" ca="1" si="1"/>
        <v>-53720573.917295806</v>
      </c>
      <c r="I13" s="63">
        <f t="shared" ca="1" si="1"/>
        <v>84114367.840427399</v>
      </c>
      <c r="J13" s="63">
        <f t="shared" ca="1" si="1"/>
        <v>30869505.825510897</v>
      </c>
      <c r="K13" s="63">
        <f t="shared" ca="1" si="1"/>
        <v>29378485.414420113</v>
      </c>
      <c r="L13" s="63">
        <f t="shared" ca="1" si="1"/>
        <v>64874370.487243466</v>
      </c>
      <c r="M13" s="63">
        <f t="shared" ca="1" si="1"/>
        <v>70555250.10663718</v>
      </c>
      <c r="N13" s="63">
        <f t="shared" ca="1" si="1"/>
        <v>99486112.906278238</v>
      </c>
      <c r="O13" s="63">
        <f t="shared" ca="1" si="1"/>
        <v>101854982.77702543</v>
      </c>
      <c r="P13" s="63">
        <f t="shared" ca="1" si="1"/>
        <v>115794823.4046836</v>
      </c>
      <c r="Q13" s="63">
        <f t="shared" ca="1" si="1"/>
        <v>-163290120.14995688</v>
      </c>
      <c r="R13" s="63">
        <f t="shared" ca="1" si="1"/>
        <v>81164830.807957083</v>
      </c>
      <c r="S13" s="63">
        <f t="shared" ca="1" si="1"/>
        <v>17238132.107313886</v>
      </c>
      <c r="T13" s="63">
        <f t="shared" ca="1" si="1"/>
        <v>32290879.949862443</v>
      </c>
      <c r="U13" s="63">
        <f t="shared" ca="1" si="1"/>
        <v>81005586.066990614</v>
      </c>
      <c r="V13" s="63">
        <f t="shared" ca="1" si="1"/>
        <v>130595328.9653537</v>
      </c>
      <c r="W13" s="63">
        <f t="shared" ca="1" si="1"/>
        <v>126651334.49670541</v>
      </c>
      <c r="X13" s="63">
        <f t="shared" ca="1" si="1"/>
        <v>154887000.42695332</v>
      </c>
      <c r="Y13" s="63">
        <f t="shared" ca="1" si="1"/>
        <v>136573547.69830561</v>
      </c>
      <c r="Z13" s="63">
        <f t="shared" ca="1" si="1"/>
        <v>131656222.99268518</v>
      </c>
      <c r="AA13" s="63">
        <f t="shared" ca="1" si="1"/>
        <v>109197116.86784905</v>
      </c>
      <c r="AB13" s="63">
        <f t="shared" ca="1" si="1"/>
        <v>112237176.74180089</v>
      </c>
      <c r="AC13" s="63">
        <f t="shared" ca="1" si="1"/>
        <v>145268495.91915864</v>
      </c>
      <c r="AD13" s="63">
        <f t="shared" ca="1" si="1"/>
        <v>158983884.68062049</v>
      </c>
      <c r="AE13" s="63">
        <f t="shared" ca="1" si="1"/>
        <v>150805979.90967456</v>
      </c>
      <c r="AF13" s="63">
        <f t="shared" ca="1" si="1"/>
        <v>151646494.77353448</v>
      </c>
    </row>
    <row r="14" spans="2:32">
      <c r="B14" s="45" t="s">
        <v>463</v>
      </c>
      <c r="C14" s="58">
        <f ca="1">C13</f>
        <v>-118532213.4148611</v>
      </c>
      <c r="D14" s="58">
        <f t="shared" ref="D14:AF14" ca="1" si="2">C14+D13</f>
        <v>-196560556.7932319</v>
      </c>
      <c r="E14" s="58">
        <f t="shared" ca="1" si="2"/>
        <v>-234188000.33977073</v>
      </c>
      <c r="F14" s="58">
        <f t="shared" ca="1" si="2"/>
        <v>-281412572.5563947</v>
      </c>
      <c r="G14" s="58">
        <f t="shared" ca="1" si="2"/>
        <v>-352207886.53677416</v>
      </c>
      <c r="H14" s="58">
        <f t="shared" ca="1" si="2"/>
        <v>-405928460.45406997</v>
      </c>
      <c r="I14" s="58">
        <f t="shared" ca="1" si="2"/>
        <v>-321814092.61364257</v>
      </c>
      <c r="J14" s="58">
        <f t="shared" ca="1" si="2"/>
        <v>-290944586.78813165</v>
      </c>
      <c r="K14" s="58">
        <f t="shared" ca="1" si="2"/>
        <v>-261566101.37371153</v>
      </c>
      <c r="L14" s="58">
        <f t="shared" ca="1" si="2"/>
        <v>-196691730.88646805</v>
      </c>
      <c r="M14" s="58">
        <f t="shared" ca="1" si="2"/>
        <v>-126136480.77983087</v>
      </c>
      <c r="N14" s="58">
        <f t="shared" ca="1" si="2"/>
        <v>-26650367.873552635</v>
      </c>
      <c r="O14" s="58">
        <f t="shared" ca="1" si="2"/>
        <v>75204614.903472796</v>
      </c>
      <c r="P14" s="58">
        <f t="shared" ca="1" si="2"/>
        <v>190999438.3081564</v>
      </c>
      <c r="Q14" s="58">
        <f t="shared" ca="1" si="2"/>
        <v>27709318.158199519</v>
      </c>
      <c r="R14" s="58">
        <f t="shared" ca="1" si="2"/>
        <v>108874148.9661566</v>
      </c>
      <c r="S14" s="58">
        <f t="shared" ca="1" si="2"/>
        <v>126112281.07347049</v>
      </c>
      <c r="T14" s="58">
        <f t="shared" ca="1" si="2"/>
        <v>158403161.02333292</v>
      </c>
      <c r="U14" s="58">
        <f t="shared" ca="1" si="2"/>
        <v>239408747.09032354</v>
      </c>
      <c r="V14" s="58">
        <f t="shared" ca="1" si="2"/>
        <v>370004076.05567724</v>
      </c>
      <c r="W14" s="58">
        <f t="shared" ca="1" si="2"/>
        <v>496655410.55238265</v>
      </c>
      <c r="X14" s="58">
        <f t="shared" ca="1" si="2"/>
        <v>651542410.97933602</v>
      </c>
      <c r="Y14" s="58">
        <f t="shared" ca="1" si="2"/>
        <v>788115958.67764163</v>
      </c>
      <c r="Z14" s="58">
        <f t="shared" ca="1" si="2"/>
        <v>919772181.67032683</v>
      </c>
      <c r="AA14" s="58">
        <f t="shared" ca="1" si="2"/>
        <v>1028969298.5381758</v>
      </c>
      <c r="AB14" s="58">
        <f t="shared" ca="1" si="2"/>
        <v>1141206475.2799766</v>
      </c>
      <c r="AC14" s="58">
        <f t="shared" ca="1" si="2"/>
        <v>1286474971.1991353</v>
      </c>
      <c r="AD14" s="58">
        <f t="shared" ca="1" si="2"/>
        <v>1445458855.8797557</v>
      </c>
      <c r="AE14" s="58">
        <f t="shared" ca="1" si="2"/>
        <v>1596264835.7894304</v>
      </c>
      <c r="AF14" s="58">
        <f t="shared" ca="1" si="2"/>
        <v>1747911330.5629649</v>
      </c>
    </row>
    <row r="15" spans="2:32">
      <c r="B15" s="45" t="s">
        <v>464</v>
      </c>
      <c r="C15" s="58">
        <f ca="1">SUM('BP Real'!E39:E40)</f>
        <v>0</v>
      </c>
      <c r="D15" s="58">
        <f ca="1">SUM('BP Real'!F39:F40)</f>
        <v>-10223087.218645955</v>
      </c>
      <c r="E15" s="58">
        <f ca="1">SUM('BP Real'!G39:G40)</f>
        <v>-16192808.554604502</v>
      </c>
      <c r="F15" s="58">
        <f ca="1">SUM('BP Real'!H39:H40)</f>
        <v>-24016794.427428748</v>
      </c>
      <c r="G15" s="58">
        <f ca="1">SUM('BP Real'!I39:I40)</f>
        <v>-35843099.457525939</v>
      </c>
      <c r="H15" s="58">
        <f ca="1">SUM('BP Real'!J39:J40)</f>
        <v>-46307645.279653102</v>
      </c>
      <c r="I15" s="58">
        <f ca="1">SUM('BP Real'!K39:K40)</f>
        <v>-43422587.133914024</v>
      </c>
      <c r="J15" s="58">
        <f ca="1">SUM('BP Real'!L39:L40)</f>
        <v>-40681641.478144027</v>
      </c>
      <c r="K15" s="58">
        <f ca="1">SUM('BP Real'!M39:M40)</f>
        <v>-38078292.916084506</v>
      </c>
      <c r="L15" s="58">
        <f ca="1">SUM('BP Real'!N39:N40)</f>
        <v>-35606304.276785508</v>
      </c>
      <c r="M15" s="58">
        <f ca="1">SUM('BP Real'!O39:O40)</f>
        <v>-33259705.165338039</v>
      </c>
      <c r="N15" s="58">
        <f ca="1">SUM('BP Real'!P39:P40)</f>
        <v>-31032780.972679123</v>
      </c>
      <c r="O15" s="58">
        <f ca="1">SUM('BP Real'!Q39:Q40)</f>
        <v>-28920062.326412845</v>
      </c>
      <c r="P15" s="58">
        <f ca="1">SUM('BP Real'!R39:R40)</f>
        <v>-26916314.9652908</v>
      </c>
      <c r="Q15" s="58">
        <f ca="1">SUM('BP Real'!S39:S40)</f>
        <v>-25016530.020668052</v>
      </c>
      <c r="R15" s="58">
        <f ca="1">SUM('BP Real'!T39:T40)</f>
        <v>-23215914.68889815</v>
      </c>
      <c r="S15" s="58">
        <f ca="1">SUM('BP Real'!U39:U40)</f>
        <v>-21509883.279252835</v>
      </c>
      <c r="T15" s="58">
        <f ca="1">SUM('BP Real'!V39:V40)</f>
        <v>-19894048.622550774</v>
      </c>
      <c r="U15" s="58">
        <f ca="1">SUM('BP Real'!W39:W40)</f>
        <v>-18364213.826255195</v>
      </c>
      <c r="V15" s="58">
        <f ca="1">SUM('BP Real'!X39:X40)</f>
        <v>-16916364.362353604</v>
      </c>
      <c r="W15" s="58">
        <f ca="1">SUM('BP Real'!Y39:Y40)</f>
        <v>-15546660.474865178</v>
      </c>
      <c r="X15" s="58">
        <f ca="1">SUM('BP Real'!Z39:Z40)</f>
        <v>-14251429.894333079</v>
      </c>
      <c r="Y15" s="58">
        <f ca="1">SUM('BP Real'!AA39:AA40)</f>
        <v>-13027160.847151071</v>
      </c>
      <c r="Z15" s="58">
        <f ca="1">SUM('BP Real'!AB39:AB40)</f>
        <v>-11870495.348047039</v>
      </c>
      <c r="AA15" s="58">
        <f ca="1">SUM('BP Real'!AC39:AC40)</f>
        <v>-10778222.764501005</v>
      </c>
      <c r="AB15" s="58">
        <f ca="1">SUM('BP Real'!AD39:AD40)</f>
        <v>-9747273.6423127241</v>
      </c>
      <c r="AC15" s="58">
        <f ca="1">SUM('BP Real'!AE39:AE40)</f>
        <v>-8774713.7819545791</v>
      </c>
      <c r="AD15" s="58">
        <f ca="1">SUM('BP Real'!AF39:AF40)</f>
        <v>-7857738.5557500841</v>
      </c>
      <c r="AE15" s="58">
        <f ca="1">SUM('BP Real'!AG39:AG40)</f>
        <v>-6993667.4563070126</v>
      </c>
      <c r="AF15" s="58">
        <f ca="1">SUM('BP Real'!AH39:AH40)</f>
        <v>-6179938.8670082213</v>
      </c>
    </row>
    <row r="16" spans="2:32">
      <c r="B16" s="42" t="s">
        <v>465</v>
      </c>
      <c r="C16" s="57">
        <f ca="1">'BP Real'!E36</f>
        <v>0</v>
      </c>
      <c r="D16" s="57">
        <f ca="1">'BP Real'!F36</f>
        <v>74903873.001701027</v>
      </c>
      <c r="E16" s="57">
        <f ca="1">'BP Real'!G36</f>
        <v>47761259.149260491</v>
      </c>
      <c r="F16" s="57">
        <f ca="1">'BP Real'!H36</f>
        <v>63272239.047666639</v>
      </c>
      <c r="G16" s="57">
        <f ca="1">'BP Real'!I36</f>
        <v>94590988.475672334</v>
      </c>
      <c r="H16" s="57">
        <f ca="1">'BP Real'!J36</f>
        <v>89224453.016608775</v>
      </c>
      <c r="I16" s="57">
        <f ca="1">'BP Real'!K36</f>
        <v>0</v>
      </c>
      <c r="J16" s="57">
        <f ca="1">'BP Real'!L36</f>
        <v>0</v>
      </c>
      <c r="K16" s="57">
        <f ca="1">'BP Real'!M36</f>
        <v>0</v>
      </c>
      <c r="L16" s="57">
        <f ca="1">'BP Real'!N36</f>
        <v>0</v>
      </c>
      <c r="M16" s="57">
        <f ca="1">'BP Real'!O36</f>
        <v>0</v>
      </c>
      <c r="N16" s="57">
        <f ca="1">'BP Real'!P36</f>
        <v>0</v>
      </c>
      <c r="O16" s="57">
        <f ca="1">'BP Real'!Q36</f>
        <v>0</v>
      </c>
      <c r="P16" s="57">
        <f ca="1">'BP Real'!R36</f>
        <v>0</v>
      </c>
      <c r="Q16" s="57">
        <f ca="1">'BP Real'!S36</f>
        <v>0</v>
      </c>
      <c r="R16" s="57">
        <f ca="1">'BP Real'!T36</f>
        <v>0</v>
      </c>
      <c r="S16" s="57">
        <f ca="1">'BP Real'!U36</f>
        <v>0</v>
      </c>
      <c r="T16" s="57">
        <f ca="1">'BP Real'!V36</f>
        <v>0</v>
      </c>
      <c r="U16" s="57">
        <f ca="1">'BP Real'!W36</f>
        <v>0</v>
      </c>
      <c r="V16" s="57">
        <f ca="1">'BP Real'!X36</f>
        <v>0</v>
      </c>
      <c r="W16" s="57">
        <f ca="1">'BP Real'!Y36</f>
        <v>0</v>
      </c>
      <c r="X16" s="57">
        <f ca="1">'BP Real'!Z36</f>
        <v>0</v>
      </c>
      <c r="Y16" s="57">
        <f ca="1">'BP Real'!AA36</f>
        <v>0</v>
      </c>
      <c r="Z16" s="57">
        <f ca="1">'BP Real'!AB36</f>
        <v>0</v>
      </c>
      <c r="AA16" s="57">
        <f ca="1">'BP Real'!AC36</f>
        <v>0</v>
      </c>
      <c r="AB16" s="57">
        <f ca="1">'BP Real'!AD36</f>
        <v>0</v>
      </c>
      <c r="AC16" s="57">
        <f ca="1">'BP Real'!AE36</f>
        <v>0</v>
      </c>
      <c r="AD16" s="57">
        <f ca="1">'BP Real'!AF36</f>
        <v>0</v>
      </c>
      <c r="AE16" s="57">
        <f ca="1">'BP Real'!AG36</f>
        <v>0</v>
      </c>
      <c r="AF16" s="57">
        <f ca="1">'BP Real'!AH36</f>
        <v>0</v>
      </c>
    </row>
    <row r="17" spans="2:33">
      <c r="B17" s="53" t="s">
        <v>466</v>
      </c>
      <c r="C17" s="64">
        <f ca="1">C13+C15+C16</f>
        <v>-118532213.4148611</v>
      </c>
      <c r="D17" s="64">
        <f t="shared" ref="D17:AF17" ca="1" si="3">D13+D15+D16</f>
        <v>-13347557.595315754</v>
      </c>
      <c r="E17" s="64">
        <f t="shared" ca="1" si="3"/>
        <v>-6058992.9518828467</v>
      </c>
      <c r="F17" s="64">
        <f t="shared" ca="1" si="3"/>
        <v>-7969127.5963860601</v>
      </c>
      <c r="G17" s="64">
        <f t="shared" ca="1" si="3"/>
        <v>-12047424.962233081</v>
      </c>
      <c r="H17" s="64">
        <f t="shared" ca="1" si="3"/>
        <v>-10803766.180340141</v>
      </c>
      <c r="I17" s="64">
        <f t="shared" ca="1" si="3"/>
        <v>40691780.706513375</v>
      </c>
      <c r="J17" s="64">
        <f t="shared" ca="1" si="3"/>
        <v>-9812135.6526331306</v>
      </c>
      <c r="K17" s="64">
        <f t="shared" ca="1" si="3"/>
        <v>-8699807.5016643927</v>
      </c>
      <c r="L17" s="64">
        <f ca="1">L13+L15+L16</f>
        <v>29268066.210457958</v>
      </c>
      <c r="M17" s="64">
        <f t="shared" ca="1" si="3"/>
        <v>37295544.94129914</v>
      </c>
      <c r="N17" s="64">
        <f t="shared" ca="1" si="3"/>
        <v>68453331.933599114</v>
      </c>
      <c r="O17" s="64">
        <f t="shared" ca="1" si="3"/>
        <v>72934920.45061259</v>
      </c>
      <c r="P17" s="64">
        <f t="shared" ca="1" si="3"/>
        <v>88878508.439392805</v>
      </c>
      <c r="Q17" s="64">
        <f t="shared" ca="1" si="3"/>
        <v>-188306650.17062494</v>
      </c>
      <c r="R17" s="64">
        <f t="shared" ca="1" si="3"/>
        <v>57948916.119058937</v>
      </c>
      <c r="S17" s="64">
        <f t="shared" ca="1" si="3"/>
        <v>-4271751.1719389483</v>
      </c>
      <c r="T17" s="64">
        <f t="shared" ca="1" si="3"/>
        <v>12396831.327311669</v>
      </c>
      <c r="U17" s="64">
        <f t="shared" ca="1" si="3"/>
        <v>62641372.240735419</v>
      </c>
      <c r="V17" s="64">
        <f t="shared" ca="1" si="3"/>
        <v>113678964.60300009</v>
      </c>
      <c r="W17" s="64">
        <f t="shared" ca="1" si="3"/>
        <v>111104674.02184023</v>
      </c>
      <c r="X17" s="64">
        <f t="shared" ca="1" si="3"/>
        <v>140635570.53262025</v>
      </c>
      <c r="Y17" s="64">
        <f t="shared" ca="1" si="3"/>
        <v>123546386.85115454</v>
      </c>
      <c r="Z17" s="64">
        <f t="shared" ca="1" si="3"/>
        <v>119785727.64463815</v>
      </c>
      <c r="AA17" s="64">
        <f t="shared" ca="1" si="3"/>
        <v>98418894.103348047</v>
      </c>
      <c r="AB17" s="64">
        <f t="shared" ca="1" si="3"/>
        <v>102489903.09948817</v>
      </c>
      <c r="AC17" s="64">
        <f t="shared" ca="1" si="3"/>
        <v>136493782.13720405</v>
      </c>
      <c r="AD17" s="64">
        <f t="shared" ca="1" si="3"/>
        <v>151126146.12487042</v>
      </c>
      <c r="AE17" s="64">
        <f t="shared" ca="1" si="3"/>
        <v>143812312.45336753</v>
      </c>
      <c r="AF17" s="64">
        <f t="shared" ca="1" si="3"/>
        <v>145466555.90652627</v>
      </c>
    </row>
    <row r="18" spans="2:33">
      <c r="B18" s="42" t="s">
        <v>467</v>
      </c>
      <c r="C18" s="57">
        <f ca="1">'Painel Controle'!C48</f>
        <v>121778538.13622099</v>
      </c>
      <c r="D18" s="59">
        <v>0</v>
      </c>
      <c r="E18" s="59">
        <v>0</v>
      </c>
      <c r="F18" s="59">
        <v>0</v>
      </c>
      <c r="G18" s="59">
        <v>0</v>
      </c>
      <c r="H18" s="59">
        <v>0</v>
      </c>
      <c r="I18" s="59">
        <v>0</v>
      </c>
      <c r="J18" s="59">
        <v>0</v>
      </c>
      <c r="K18" s="59">
        <v>0</v>
      </c>
      <c r="L18" s="59">
        <v>0</v>
      </c>
      <c r="M18" s="59">
        <v>0</v>
      </c>
      <c r="N18" s="59">
        <v>0</v>
      </c>
      <c r="O18" s="59">
        <v>0</v>
      </c>
      <c r="P18" s="59">
        <v>0</v>
      </c>
      <c r="Q18" s="59">
        <v>0</v>
      </c>
      <c r="R18" s="59">
        <v>0</v>
      </c>
      <c r="S18" s="59">
        <v>0</v>
      </c>
      <c r="T18" s="59">
        <v>0</v>
      </c>
      <c r="U18" s="59">
        <v>0</v>
      </c>
      <c r="V18" s="59">
        <v>0</v>
      </c>
      <c r="W18" s="59">
        <v>0</v>
      </c>
      <c r="X18" s="59">
        <v>0</v>
      </c>
      <c r="Y18" s="59">
        <v>0</v>
      </c>
      <c r="Z18" s="59">
        <v>0</v>
      </c>
      <c r="AA18" s="59">
        <v>0</v>
      </c>
      <c r="AB18" s="59">
        <v>0</v>
      </c>
      <c r="AC18" s="59">
        <v>0</v>
      </c>
      <c r="AD18" s="59">
        <v>0</v>
      </c>
      <c r="AE18" s="59">
        <v>0</v>
      </c>
      <c r="AF18" s="59">
        <v>0</v>
      </c>
    </row>
    <row r="19" spans="2:33">
      <c r="B19" s="70"/>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row>
    <row r="20" spans="2:33">
      <c r="B20" s="41" t="s">
        <v>468</v>
      </c>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row>
    <row r="21" spans="2:33">
      <c r="B21" s="42"/>
      <c r="C21" s="54" t="str" cm="1">
        <f t="array" ref="C21:AF21">C$4:AF$4</f>
        <v>Ano 1</v>
      </c>
      <c r="D21" s="54" t="str">
        <v>Ano 2</v>
      </c>
      <c r="E21" s="54" t="str">
        <v>Ano 3</v>
      </c>
      <c r="F21" s="54" t="str">
        <v>Ano 4</v>
      </c>
      <c r="G21" s="54" t="str">
        <v>Ano 5</v>
      </c>
      <c r="H21" s="54" t="str">
        <v>Ano 6</v>
      </c>
      <c r="I21" s="54" t="str">
        <v>Ano 7</v>
      </c>
      <c r="J21" s="54" t="str">
        <v>Ano 8</v>
      </c>
      <c r="K21" s="54" t="str">
        <v>Ano 9</v>
      </c>
      <c r="L21" s="54" t="str">
        <v>Ano 10</v>
      </c>
      <c r="M21" s="54" t="str">
        <v>Ano 11</v>
      </c>
      <c r="N21" s="54" t="str">
        <v>Ano 12</v>
      </c>
      <c r="O21" s="54" t="str">
        <v>Ano 13</v>
      </c>
      <c r="P21" s="54" t="str">
        <v>Ano 14</v>
      </c>
      <c r="Q21" s="54" t="str">
        <v>Ano 15</v>
      </c>
      <c r="R21" s="54" t="str">
        <v>Ano 16</v>
      </c>
      <c r="S21" s="54" t="str">
        <v>Ano 17</v>
      </c>
      <c r="T21" s="54" t="str">
        <v>Ano 18</v>
      </c>
      <c r="U21" s="54" t="str">
        <v>Ano 19</v>
      </c>
      <c r="V21" s="54" t="str">
        <v>Ano 20</v>
      </c>
      <c r="W21" s="54" t="str">
        <v>Ano 21</v>
      </c>
      <c r="X21" s="54" t="str">
        <v>Ano 22</v>
      </c>
      <c r="Y21" s="54" t="str">
        <v>Ano 23</v>
      </c>
      <c r="Z21" s="54" t="str">
        <v>Ano 24</v>
      </c>
      <c r="AA21" s="54" t="str">
        <v>Ano 25</v>
      </c>
      <c r="AB21" s="54" t="str">
        <v>Ano 26</v>
      </c>
      <c r="AC21" s="54" t="str">
        <v>Ano 27</v>
      </c>
      <c r="AD21" s="54" t="str">
        <v>Ano 28</v>
      </c>
      <c r="AE21" s="54" t="str">
        <v>Ano 29</v>
      </c>
      <c r="AF21" s="314" t="str">
        <v>Ano 30</v>
      </c>
      <c r="AG21" s="54" t="s">
        <v>106</v>
      </c>
    </row>
    <row r="22" spans="2:33">
      <c r="B22" s="42" t="s">
        <v>469</v>
      </c>
      <c r="C22" s="201">
        <f t="shared" ref="C22:AF22" ca="1" si="4">SUM(C5:C7)</f>
        <v>111081000</v>
      </c>
      <c r="D22" s="201">
        <f t="shared" ca="1" si="4"/>
        <v>89575305.249058172</v>
      </c>
      <c r="E22" s="201">
        <f t="shared" ca="1" si="4"/>
        <v>377015237.194471</v>
      </c>
      <c r="F22" s="201">
        <f t="shared" ca="1" si="4"/>
        <v>859614200.62617457</v>
      </c>
      <c r="G22" s="201">
        <f t="shared" ca="1" si="4"/>
        <v>519301075.54149824</v>
      </c>
      <c r="H22" s="201">
        <f t="shared" ca="1" si="4"/>
        <v>526632907.56621242</v>
      </c>
      <c r="I22" s="201">
        <f t="shared" ca="1" si="4"/>
        <v>181689002.99041897</v>
      </c>
      <c r="J22" s="201">
        <f t="shared" ca="1" si="4"/>
        <v>185894551.21127304</v>
      </c>
      <c r="K22" s="201">
        <f t="shared" ca="1" si="4"/>
        <v>190669441.69870406</v>
      </c>
      <c r="L22" s="201">
        <f t="shared" ca="1" si="4"/>
        <v>196112896.34341455</v>
      </c>
      <c r="M22" s="201">
        <f t="shared" ca="1" si="4"/>
        <v>201723275.67021003</v>
      </c>
      <c r="N22" s="201">
        <f t="shared" ca="1" si="4"/>
        <v>207488753.75363588</v>
      </c>
      <c r="O22" s="201">
        <f t="shared" ca="1" si="4"/>
        <v>213076117.84737638</v>
      </c>
      <c r="P22" s="201">
        <f t="shared" ca="1" si="4"/>
        <v>218451559.75897455</v>
      </c>
      <c r="Q22" s="201">
        <f t="shared" ca="1" si="4"/>
        <v>223580228.31915104</v>
      </c>
      <c r="R22" s="201">
        <f t="shared" ca="1" si="4"/>
        <v>238926131.81726381</v>
      </c>
      <c r="S22" s="201">
        <f t="shared" ca="1" si="4"/>
        <v>243689869.50738594</v>
      </c>
      <c r="T22" s="201">
        <f t="shared" ca="1" si="4"/>
        <v>248116081.45240822</v>
      </c>
      <c r="U22" s="201">
        <f t="shared" ca="1" si="4"/>
        <v>252182595.78066912</v>
      </c>
      <c r="V22" s="201">
        <f t="shared" ca="1" si="4"/>
        <v>255870859.31063113</v>
      </c>
      <c r="W22" s="201">
        <f t="shared" ca="1" si="4"/>
        <v>259161121.2092703</v>
      </c>
      <c r="X22" s="201">
        <f t="shared" ca="1" si="4"/>
        <v>262038894.13994992</v>
      </c>
      <c r="Y22" s="201">
        <f t="shared" ca="1" si="4"/>
        <v>264493979.85142893</v>
      </c>
      <c r="Z22" s="201">
        <f t="shared" ca="1" si="4"/>
        <v>266514451.99301225</v>
      </c>
      <c r="AA22" s="201">
        <f t="shared" ca="1" si="4"/>
        <v>268089129.69990993</v>
      </c>
      <c r="AB22" s="201">
        <f t="shared" ca="1" si="4"/>
        <v>269211129.72341412</v>
      </c>
      <c r="AC22" s="201">
        <f t="shared" ca="1" si="4"/>
        <v>269875615.28167665</v>
      </c>
      <c r="AD22" s="201">
        <f t="shared" ca="1" si="4"/>
        <v>270075517.57031417</v>
      </c>
      <c r="AE22" s="201">
        <f t="shared" ca="1" si="4"/>
        <v>269804847.4030652</v>
      </c>
      <c r="AF22" s="315">
        <f t="shared" ca="1" si="4"/>
        <v>269059674.22033173</v>
      </c>
      <c r="AG22" s="145">
        <f ca="1">SUM(C22:AF22)</f>
        <v>8209015452.7313051</v>
      </c>
    </row>
    <row r="23" spans="2:33">
      <c r="B23" s="47" t="s">
        <v>470</v>
      </c>
      <c r="C23" s="166" cm="1">
        <f t="array" aca="1" ref="C23:AF23" ca="1">C5:AF5 / C22:AF22</f>
        <v>0</v>
      </c>
      <c r="D23" s="166">
        <f ca="1"/>
        <v>1</v>
      </c>
      <c r="E23" s="166">
        <f ca="1"/>
        <v>0.32870352433673039</v>
      </c>
      <c r="F23" s="166">
        <f ca="1"/>
        <v>0.14824231676646224</v>
      </c>
      <c r="G23" s="166">
        <f ca="1"/>
        <v>0.29732092386001607</v>
      </c>
      <c r="H23" s="166">
        <f ca="1"/>
        <v>0.2998063837215898</v>
      </c>
      <c r="I23" s="166">
        <f ca="1"/>
        <v>1</v>
      </c>
      <c r="J23" s="166">
        <f ca="1"/>
        <v>1</v>
      </c>
      <c r="K23" s="166">
        <f ca="1"/>
        <v>1</v>
      </c>
      <c r="L23" s="166">
        <f ca="1"/>
        <v>1</v>
      </c>
      <c r="M23" s="166">
        <f ca="1"/>
        <v>1</v>
      </c>
      <c r="N23" s="166">
        <f ca="1"/>
        <v>1</v>
      </c>
      <c r="O23" s="166">
        <f ca="1"/>
        <v>1</v>
      </c>
      <c r="P23" s="166">
        <f ca="1"/>
        <v>1</v>
      </c>
      <c r="Q23" s="166">
        <f ca="1"/>
        <v>1</v>
      </c>
      <c r="R23" s="166">
        <f ca="1"/>
        <v>1</v>
      </c>
      <c r="S23" s="166">
        <f ca="1"/>
        <v>1</v>
      </c>
      <c r="T23" s="166">
        <f ca="1"/>
        <v>1</v>
      </c>
      <c r="U23" s="166">
        <f ca="1"/>
        <v>1</v>
      </c>
      <c r="V23" s="166">
        <f ca="1"/>
        <v>1</v>
      </c>
      <c r="W23" s="166">
        <f ca="1"/>
        <v>1</v>
      </c>
      <c r="X23" s="166">
        <f ca="1"/>
        <v>1</v>
      </c>
      <c r="Y23" s="166">
        <f ca="1"/>
        <v>1</v>
      </c>
      <c r="Z23" s="166">
        <f ca="1"/>
        <v>1</v>
      </c>
      <c r="AA23" s="166">
        <f ca="1"/>
        <v>1</v>
      </c>
      <c r="AB23" s="166">
        <f ca="1"/>
        <v>1</v>
      </c>
      <c r="AC23" s="166">
        <f ca="1"/>
        <v>1</v>
      </c>
      <c r="AD23" s="166">
        <f ca="1"/>
        <v>1</v>
      </c>
      <c r="AE23" s="166">
        <f ca="1"/>
        <v>1</v>
      </c>
      <c r="AF23" s="316">
        <f ca="1"/>
        <v>1</v>
      </c>
      <c r="AG23" s="141">
        <f ca="1">SUM(C5:AF5) / AG22</f>
        <v>0.77707436287123544</v>
      </c>
    </row>
    <row r="24" spans="2:33">
      <c r="B24" s="167" t="s">
        <v>471</v>
      </c>
      <c r="C24" s="168">
        <f t="shared" ref="C24:AF24" ca="1" si="5">SUM(C6:C7)/C22</f>
        <v>1</v>
      </c>
      <c r="D24" s="168">
        <f t="shared" ca="1" si="5"/>
        <v>0</v>
      </c>
      <c r="E24" s="168">
        <f t="shared" ca="1" si="5"/>
        <v>0.67129647566326955</v>
      </c>
      <c r="F24" s="168">
        <f t="shared" ca="1" si="5"/>
        <v>0.85175768323353784</v>
      </c>
      <c r="G24" s="168">
        <f t="shared" ca="1" si="5"/>
        <v>0.70267907613998393</v>
      </c>
      <c r="H24" s="168">
        <f t="shared" ca="1" si="5"/>
        <v>0.70019361627841015</v>
      </c>
      <c r="I24" s="168">
        <f t="shared" ca="1" si="5"/>
        <v>0</v>
      </c>
      <c r="J24" s="168">
        <f t="shared" ca="1" si="5"/>
        <v>0</v>
      </c>
      <c r="K24" s="168">
        <f t="shared" ca="1" si="5"/>
        <v>0</v>
      </c>
      <c r="L24" s="168">
        <f t="shared" ca="1" si="5"/>
        <v>0</v>
      </c>
      <c r="M24" s="168">
        <f t="shared" ca="1" si="5"/>
        <v>0</v>
      </c>
      <c r="N24" s="168">
        <f t="shared" ca="1" si="5"/>
        <v>0</v>
      </c>
      <c r="O24" s="168">
        <f t="shared" ca="1" si="5"/>
        <v>0</v>
      </c>
      <c r="P24" s="168">
        <f t="shared" ca="1" si="5"/>
        <v>0</v>
      </c>
      <c r="Q24" s="168">
        <f t="shared" ca="1" si="5"/>
        <v>0</v>
      </c>
      <c r="R24" s="168">
        <f t="shared" ca="1" si="5"/>
        <v>0</v>
      </c>
      <c r="S24" s="168">
        <f t="shared" ca="1" si="5"/>
        <v>0</v>
      </c>
      <c r="T24" s="168">
        <f t="shared" ca="1" si="5"/>
        <v>0</v>
      </c>
      <c r="U24" s="168">
        <f t="shared" ca="1" si="5"/>
        <v>0</v>
      </c>
      <c r="V24" s="168">
        <f t="shared" ca="1" si="5"/>
        <v>0</v>
      </c>
      <c r="W24" s="168">
        <f t="shared" ca="1" si="5"/>
        <v>0</v>
      </c>
      <c r="X24" s="168">
        <f t="shared" ca="1" si="5"/>
        <v>0</v>
      </c>
      <c r="Y24" s="168">
        <f t="shared" ca="1" si="5"/>
        <v>0</v>
      </c>
      <c r="Z24" s="168">
        <f t="shared" ca="1" si="5"/>
        <v>0</v>
      </c>
      <c r="AA24" s="168">
        <f t="shared" ca="1" si="5"/>
        <v>0</v>
      </c>
      <c r="AB24" s="168">
        <f t="shared" ca="1" si="5"/>
        <v>0</v>
      </c>
      <c r="AC24" s="168">
        <f t="shared" ca="1" si="5"/>
        <v>0</v>
      </c>
      <c r="AD24" s="168">
        <f t="shared" ca="1" si="5"/>
        <v>0</v>
      </c>
      <c r="AE24" s="168">
        <f t="shared" ca="1" si="5"/>
        <v>0</v>
      </c>
      <c r="AF24" s="317">
        <f t="shared" ca="1" si="5"/>
        <v>0</v>
      </c>
      <c r="AG24" s="193">
        <f ca="1">SUM(C6:AF7)/AG22</f>
        <v>0.22292563712876459</v>
      </c>
    </row>
    <row r="25" spans="2:33">
      <c r="B25" s="47" t="s">
        <v>73</v>
      </c>
      <c r="C25" s="143" cm="1">
        <f t="array" aca="1" ref="C25:AF25" ca="1">_xlfn.ANCHORARRAY(C23) + C24:AF24</f>
        <v>1</v>
      </c>
      <c r="D25" s="143">
        <f ca="1"/>
        <v>1</v>
      </c>
      <c r="E25" s="143">
        <f ca="1"/>
        <v>1</v>
      </c>
      <c r="F25" s="143">
        <f ca="1"/>
        <v>1</v>
      </c>
      <c r="G25" s="143">
        <f ca="1"/>
        <v>1</v>
      </c>
      <c r="H25" s="143">
        <f ca="1"/>
        <v>1</v>
      </c>
      <c r="I25" s="143">
        <f ca="1"/>
        <v>1</v>
      </c>
      <c r="J25" s="143">
        <f ca="1"/>
        <v>1</v>
      </c>
      <c r="K25" s="143">
        <f ca="1"/>
        <v>1</v>
      </c>
      <c r="L25" s="143">
        <f ca="1"/>
        <v>1</v>
      </c>
      <c r="M25" s="143">
        <f ca="1"/>
        <v>1</v>
      </c>
      <c r="N25" s="143">
        <f ca="1"/>
        <v>1</v>
      </c>
      <c r="O25" s="143">
        <f ca="1"/>
        <v>1</v>
      </c>
      <c r="P25" s="143">
        <f ca="1"/>
        <v>1</v>
      </c>
      <c r="Q25" s="143">
        <f ca="1"/>
        <v>1</v>
      </c>
      <c r="R25" s="143">
        <f ca="1"/>
        <v>1</v>
      </c>
      <c r="S25" s="143">
        <f ca="1"/>
        <v>1</v>
      </c>
      <c r="T25" s="143">
        <f ca="1"/>
        <v>1</v>
      </c>
      <c r="U25" s="143">
        <f ca="1"/>
        <v>1</v>
      </c>
      <c r="V25" s="143">
        <f ca="1"/>
        <v>1</v>
      </c>
      <c r="W25" s="143">
        <f ca="1"/>
        <v>1</v>
      </c>
      <c r="X25" s="143">
        <f ca="1"/>
        <v>1</v>
      </c>
      <c r="Y25" s="143">
        <f ca="1"/>
        <v>1</v>
      </c>
      <c r="Z25" s="143">
        <f ca="1"/>
        <v>1</v>
      </c>
      <c r="AA25" s="143">
        <f ca="1"/>
        <v>1</v>
      </c>
      <c r="AB25" s="143">
        <f ca="1"/>
        <v>1</v>
      </c>
      <c r="AC25" s="143">
        <f ca="1"/>
        <v>1</v>
      </c>
      <c r="AD25" s="143">
        <f ca="1"/>
        <v>1</v>
      </c>
      <c r="AE25" s="143">
        <f ca="1"/>
        <v>1</v>
      </c>
      <c r="AF25" s="318">
        <f ca="1"/>
        <v>1</v>
      </c>
      <c r="AG25" s="141">
        <f ca="1">SUM(AG23:AG24)</f>
        <v>1</v>
      </c>
    </row>
    <row r="26" spans="2:33">
      <c r="B26" t="s">
        <v>472</v>
      </c>
    </row>
    <row r="28" spans="2:33">
      <c r="B28" s="41" t="s">
        <v>473</v>
      </c>
    </row>
    <row r="29" spans="2:33">
      <c r="B29" s="6"/>
      <c r="C29" s="54" t="str" cm="1">
        <f t="array" ref="C29:AF29">C$4:AF$4</f>
        <v>Ano 1</v>
      </c>
      <c r="D29" s="54" t="str">
        <v>Ano 2</v>
      </c>
      <c r="E29" s="54" t="str">
        <v>Ano 3</v>
      </c>
      <c r="F29" s="54" t="str">
        <v>Ano 4</v>
      </c>
      <c r="G29" s="54" t="str">
        <v>Ano 5</v>
      </c>
      <c r="H29" s="54" t="str">
        <v>Ano 6</v>
      </c>
      <c r="I29" s="54" t="str">
        <v>Ano 7</v>
      </c>
      <c r="J29" s="54" t="str">
        <v>Ano 8</v>
      </c>
      <c r="K29" s="54" t="str">
        <v>Ano 9</v>
      </c>
      <c r="L29" s="54" t="str">
        <v>Ano 10</v>
      </c>
      <c r="M29" s="54" t="str">
        <v>Ano 11</v>
      </c>
      <c r="N29" s="54" t="str">
        <v>Ano 12</v>
      </c>
      <c r="O29" s="54" t="str">
        <v>Ano 13</v>
      </c>
      <c r="P29" s="54" t="str">
        <v>Ano 14</v>
      </c>
      <c r="Q29" s="54" t="str">
        <v>Ano 15</v>
      </c>
      <c r="R29" s="54" t="str">
        <v>Ano 16</v>
      </c>
      <c r="S29" s="54" t="str">
        <v>Ano 17</v>
      </c>
      <c r="T29" s="54" t="str">
        <v>Ano 18</v>
      </c>
      <c r="U29" s="54" t="str">
        <v>Ano 19</v>
      </c>
      <c r="V29" s="54" t="str">
        <v>Ano 20</v>
      </c>
      <c r="W29" s="54" t="str">
        <v>Ano 21</v>
      </c>
      <c r="X29" s="54" t="str">
        <v>Ano 22</v>
      </c>
      <c r="Y29" s="54" t="str">
        <v>Ano 23</v>
      </c>
      <c r="Z29" s="54" t="str">
        <v>Ano 24</v>
      </c>
      <c r="AA29" s="54" t="str">
        <v>Ano 25</v>
      </c>
      <c r="AB29" s="54" t="str">
        <v>Ano 26</v>
      </c>
      <c r="AC29" s="54" t="str">
        <v>Ano 27</v>
      </c>
      <c r="AD29" s="54" t="str">
        <v>Ano 28</v>
      </c>
      <c r="AE29" s="54" t="str">
        <v>Ano 29</v>
      </c>
      <c r="AF29" s="54" t="str">
        <v>Ano 30</v>
      </c>
    </row>
    <row r="30" spans="2:33">
      <c r="B30" s="6" t="s">
        <v>474</v>
      </c>
      <c r="C30" s="122" t="b" cm="1">
        <f t="array" aca="1" ref="C30:AF30" ca="1">C14:AF14 &gt; 0</f>
        <v>0</v>
      </c>
      <c r="D30" s="122" t="b">
        <f ca="1"/>
        <v>0</v>
      </c>
      <c r="E30" s="122" t="b">
        <f ca="1"/>
        <v>0</v>
      </c>
      <c r="F30" s="122" t="b">
        <f ca="1"/>
        <v>0</v>
      </c>
      <c r="G30" s="122" t="b">
        <f ca="1"/>
        <v>0</v>
      </c>
      <c r="H30" s="122" t="b">
        <f ca="1"/>
        <v>0</v>
      </c>
      <c r="I30" s="122" t="b">
        <f ca="1"/>
        <v>0</v>
      </c>
      <c r="J30" s="122" t="b">
        <f ca="1"/>
        <v>0</v>
      </c>
      <c r="K30" s="122" t="b">
        <f ca="1"/>
        <v>0</v>
      </c>
      <c r="L30" s="122" t="b">
        <f ca="1"/>
        <v>0</v>
      </c>
      <c r="M30" s="122" t="b">
        <f ca="1"/>
        <v>0</v>
      </c>
      <c r="N30" s="122" t="b">
        <f ca="1"/>
        <v>0</v>
      </c>
      <c r="O30" s="122" t="b">
        <f ca="1"/>
        <v>1</v>
      </c>
      <c r="P30" s="122" t="b">
        <f ca="1"/>
        <v>1</v>
      </c>
      <c r="Q30" s="122" t="b">
        <f ca="1"/>
        <v>1</v>
      </c>
      <c r="R30" s="122" t="b">
        <f ca="1"/>
        <v>1</v>
      </c>
      <c r="S30" s="122" t="b">
        <f ca="1"/>
        <v>1</v>
      </c>
      <c r="T30" s="122" t="b">
        <f ca="1"/>
        <v>1</v>
      </c>
      <c r="U30" s="122" t="b">
        <f ca="1"/>
        <v>1</v>
      </c>
      <c r="V30" s="122" t="b">
        <f ca="1"/>
        <v>1</v>
      </c>
      <c r="W30" s="122" t="b">
        <f ca="1"/>
        <v>1</v>
      </c>
      <c r="X30" s="122" t="b">
        <f ca="1"/>
        <v>1</v>
      </c>
      <c r="Y30" s="122" t="b">
        <f ca="1"/>
        <v>1</v>
      </c>
      <c r="Z30" s="122" t="b">
        <f ca="1"/>
        <v>1</v>
      </c>
      <c r="AA30" s="122" t="b">
        <f ca="1"/>
        <v>1</v>
      </c>
      <c r="AB30" s="122" t="b">
        <f ca="1"/>
        <v>1</v>
      </c>
      <c r="AC30" s="122" t="b">
        <f ca="1"/>
        <v>1</v>
      </c>
      <c r="AD30" s="122" t="b">
        <f ca="1"/>
        <v>1</v>
      </c>
      <c r="AE30" s="122" t="b">
        <f ca="1"/>
        <v>1</v>
      </c>
      <c r="AF30" s="122" t="b">
        <f ca="1"/>
        <v>1</v>
      </c>
    </row>
    <row r="33" spans="2:2">
      <c r="B33" s="41"/>
    </row>
    <row r="78" spans="3:16">
      <c r="C78" s="155"/>
      <c r="D78" s="155"/>
      <c r="E78" s="155"/>
      <c r="F78" s="155"/>
      <c r="G78" s="155"/>
      <c r="H78" s="155"/>
      <c r="I78" s="155"/>
      <c r="J78" s="155"/>
      <c r="K78" s="155"/>
      <c r="L78" s="155"/>
      <c r="M78" s="155"/>
      <c r="N78" s="155"/>
      <c r="O78" s="155"/>
      <c r="P78" s="155"/>
    </row>
    <row r="79" spans="3:16">
      <c r="C79" s="155"/>
      <c r="D79" s="155"/>
      <c r="E79" s="155"/>
      <c r="F79" s="155"/>
      <c r="G79" s="155"/>
      <c r="H79" s="155"/>
      <c r="I79" s="155"/>
      <c r="J79" s="155"/>
      <c r="K79" s="155"/>
      <c r="L79" s="155"/>
      <c r="M79" s="155"/>
      <c r="N79" s="155"/>
      <c r="O79" s="155"/>
      <c r="P79" s="155"/>
    </row>
    <row r="80" spans="3:16">
      <c r="C80" s="155"/>
      <c r="D80" s="155"/>
      <c r="E80" s="155"/>
      <c r="F80" s="155"/>
      <c r="G80" s="155"/>
      <c r="H80" s="155"/>
      <c r="I80" s="155"/>
      <c r="J80" s="155"/>
      <c r="K80" s="155"/>
      <c r="L80" s="155"/>
      <c r="M80" s="155"/>
      <c r="N80" s="155"/>
      <c r="O80" s="155"/>
      <c r="P80" s="155"/>
    </row>
    <row r="81" spans="3:16">
      <c r="C81" s="155"/>
      <c r="D81" s="155"/>
      <c r="E81" s="155"/>
      <c r="F81" s="155"/>
      <c r="G81" s="155"/>
      <c r="H81" s="155"/>
      <c r="I81" s="155"/>
      <c r="J81" s="155"/>
      <c r="K81" s="155"/>
      <c r="L81" s="155"/>
      <c r="M81" s="155"/>
      <c r="N81" s="155"/>
      <c r="O81" s="155"/>
      <c r="P81" s="155"/>
    </row>
    <row r="82" spans="3:16">
      <c r="C82" s="155"/>
      <c r="D82" s="155"/>
      <c r="E82" s="155"/>
      <c r="F82" s="155"/>
      <c r="G82" s="155"/>
      <c r="H82" s="155"/>
      <c r="I82" s="155"/>
      <c r="J82" s="155"/>
      <c r="K82" s="155"/>
      <c r="L82" s="155"/>
      <c r="M82" s="155"/>
      <c r="N82" s="155"/>
      <c r="O82" s="155"/>
      <c r="P82" s="155"/>
    </row>
    <row r="83" spans="3:16">
      <c r="C83" s="155"/>
      <c r="D83" s="155"/>
      <c r="E83" s="155"/>
      <c r="F83" s="155"/>
      <c r="G83" s="155"/>
      <c r="H83" s="155"/>
      <c r="I83" s="155"/>
      <c r="J83" s="155"/>
      <c r="K83" s="155"/>
      <c r="L83" s="155"/>
      <c r="M83" s="155"/>
      <c r="N83" s="155"/>
      <c r="O83" s="155"/>
      <c r="P83" s="155"/>
    </row>
    <row r="84" spans="3:16">
      <c r="C84" s="155"/>
      <c r="D84" s="155"/>
      <c r="E84" s="155"/>
      <c r="F84" s="155"/>
      <c r="G84" s="155"/>
      <c r="H84" s="155"/>
      <c r="I84" s="155"/>
      <c r="J84" s="155"/>
      <c r="K84" s="155"/>
      <c r="L84" s="155"/>
      <c r="M84" s="155"/>
      <c r="N84" s="155"/>
      <c r="O84" s="155"/>
      <c r="P84" s="155"/>
    </row>
    <row r="85" spans="3:16">
      <c r="C85" s="155"/>
      <c r="D85" s="155"/>
      <c r="E85" s="155"/>
      <c r="F85" s="155"/>
      <c r="G85" s="155"/>
      <c r="H85" s="155"/>
      <c r="I85" s="155"/>
      <c r="J85" s="155"/>
      <c r="K85" s="155"/>
      <c r="L85" s="155"/>
      <c r="M85" s="155"/>
      <c r="N85" s="155"/>
      <c r="O85" s="155"/>
      <c r="P85" s="155"/>
    </row>
    <row r="86" spans="3:16">
      <c r="C86" s="155"/>
      <c r="D86" s="155"/>
      <c r="E86" s="155"/>
      <c r="F86" s="155"/>
      <c r="G86" s="155"/>
      <c r="H86" s="155"/>
      <c r="I86" s="155"/>
      <c r="J86" s="155"/>
      <c r="K86" s="155"/>
      <c r="L86" s="155"/>
      <c r="M86" s="155"/>
      <c r="N86" s="155"/>
      <c r="O86" s="155"/>
      <c r="P86" s="155"/>
    </row>
    <row r="87" spans="3:16">
      <c r="C87" s="155"/>
      <c r="D87" s="155"/>
      <c r="E87" s="155"/>
      <c r="F87" s="155"/>
      <c r="G87" s="155"/>
      <c r="H87" s="155"/>
      <c r="I87" s="155"/>
      <c r="J87" s="155"/>
      <c r="K87" s="155"/>
      <c r="L87" s="155"/>
      <c r="M87" s="155"/>
      <c r="N87" s="155"/>
      <c r="O87" s="155"/>
      <c r="P87" s="155"/>
    </row>
    <row r="88" spans="3:16">
      <c r="C88" s="155"/>
      <c r="D88" s="155"/>
      <c r="E88" s="155"/>
      <c r="F88" s="155"/>
      <c r="G88" s="155"/>
      <c r="H88" s="155"/>
      <c r="I88" s="155"/>
      <c r="J88" s="155"/>
      <c r="K88" s="155"/>
      <c r="L88" s="155"/>
      <c r="M88" s="155"/>
      <c r="N88" s="155"/>
      <c r="O88" s="155"/>
      <c r="P88" s="155"/>
    </row>
    <row r="89" spans="3:16">
      <c r="C89" s="155"/>
      <c r="D89" s="155"/>
      <c r="E89" s="155"/>
      <c r="F89" s="155"/>
      <c r="G89" s="155"/>
      <c r="H89" s="155"/>
      <c r="I89" s="155"/>
      <c r="J89" s="155"/>
      <c r="K89" s="155"/>
      <c r="L89" s="155"/>
      <c r="M89" s="155"/>
      <c r="N89" s="155"/>
      <c r="O89" s="155"/>
      <c r="P89" s="155"/>
    </row>
    <row r="90" spans="3:16">
      <c r="C90" s="155"/>
      <c r="D90" s="155"/>
      <c r="E90" s="155"/>
      <c r="F90" s="155"/>
      <c r="G90" s="155"/>
      <c r="H90" s="155"/>
      <c r="I90" s="155"/>
      <c r="J90" s="155"/>
      <c r="K90" s="155"/>
      <c r="L90" s="155"/>
      <c r="M90" s="155"/>
      <c r="N90" s="155"/>
      <c r="O90" s="155"/>
      <c r="P90" s="155"/>
    </row>
    <row r="91" spans="3:16">
      <c r="C91" s="155"/>
      <c r="D91" s="155"/>
      <c r="E91" s="155"/>
      <c r="F91" s="155"/>
      <c r="G91" s="155"/>
      <c r="H91" s="155"/>
      <c r="I91" s="155"/>
      <c r="J91" s="155"/>
      <c r="K91" s="155"/>
      <c r="L91" s="155"/>
      <c r="M91" s="155"/>
      <c r="N91" s="155"/>
      <c r="O91" s="155"/>
      <c r="P91" s="155"/>
    </row>
    <row r="92" spans="3:16">
      <c r="C92" s="155"/>
      <c r="D92" s="155"/>
      <c r="E92" s="155"/>
      <c r="F92" s="155"/>
      <c r="G92" s="155"/>
      <c r="H92" s="155"/>
      <c r="I92" s="155"/>
      <c r="J92" s="155"/>
      <c r="K92" s="155"/>
      <c r="L92" s="155"/>
      <c r="M92" s="155"/>
      <c r="N92" s="155"/>
      <c r="O92" s="155"/>
      <c r="P92" s="155"/>
    </row>
    <row r="93" spans="3:16">
      <c r="C93" s="155"/>
      <c r="D93" s="155"/>
      <c r="E93" s="155"/>
      <c r="F93" s="155"/>
      <c r="G93" s="155"/>
      <c r="H93" s="155"/>
      <c r="I93" s="155"/>
      <c r="J93" s="155"/>
      <c r="K93" s="155"/>
      <c r="L93" s="155"/>
      <c r="M93" s="155"/>
      <c r="N93" s="155"/>
      <c r="O93" s="155"/>
      <c r="P93" s="155"/>
    </row>
    <row r="94" spans="3:16">
      <c r="C94" s="155"/>
      <c r="D94" s="155"/>
      <c r="E94" s="155"/>
      <c r="F94" s="155"/>
      <c r="G94" s="155"/>
      <c r="H94" s="155"/>
      <c r="I94" s="155"/>
      <c r="J94" s="155"/>
      <c r="K94" s="155"/>
      <c r="L94" s="155"/>
      <c r="M94" s="155"/>
      <c r="N94" s="155"/>
      <c r="O94" s="155"/>
      <c r="P94" s="155"/>
    </row>
    <row r="95" spans="3:16">
      <c r="C95" s="155"/>
      <c r="D95" s="155"/>
      <c r="E95" s="155"/>
      <c r="F95" s="155"/>
      <c r="G95" s="155"/>
      <c r="H95" s="155"/>
      <c r="I95" s="155"/>
      <c r="J95" s="155"/>
      <c r="K95" s="155"/>
      <c r="L95" s="155"/>
      <c r="M95" s="155"/>
      <c r="N95" s="155"/>
      <c r="O95" s="155"/>
      <c r="P95" s="155"/>
    </row>
    <row r="96" spans="3:16">
      <c r="C96" s="155"/>
      <c r="D96" s="155"/>
      <c r="E96" s="155"/>
      <c r="F96" s="155"/>
      <c r="G96" s="155"/>
      <c r="H96" s="155"/>
      <c r="I96" s="155"/>
      <c r="J96" s="155"/>
      <c r="K96" s="155"/>
      <c r="L96" s="155"/>
      <c r="M96" s="155"/>
      <c r="N96" s="155"/>
      <c r="O96" s="155"/>
      <c r="P96" s="155"/>
    </row>
    <row r="97" spans="3:16">
      <c r="C97" s="155"/>
      <c r="D97" s="155"/>
      <c r="E97" s="155"/>
      <c r="F97" s="155"/>
      <c r="G97" s="155"/>
      <c r="H97" s="155"/>
      <c r="I97" s="155"/>
      <c r="J97" s="155"/>
      <c r="K97" s="155"/>
      <c r="L97" s="155"/>
      <c r="M97" s="155"/>
      <c r="N97" s="155"/>
      <c r="O97" s="155"/>
      <c r="P97" s="155"/>
    </row>
    <row r="98" spans="3:16">
      <c r="C98" s="155"/>
      <c r="D98" s="155"/>
      <c r="E98" s="155"/>
      <c r="F98" s="155"/>
      <c r="G98" s="155"/>
      <c r="H98" s="155"/>
      <c r="I98" s="155"/>
      <c r="J98" s="155"/>
      <c r="K98" s="155"/>
      <c r="L98" s="155"/>
      <c r="M98" s="155"/>
      <c r="N98" s="155"/>
      <c r="O98" s="155"/>
      <c r="P98" s="155"/>
    </row>
    <row r="99" spans="3:16">
      <c r="C99" s="155"/>
      <c r="D99" s="155"/>
      <c r="E99" s="155"/>
      <c r="F99" s="155"/>
      <c r="G99" s="155"/>
      <c r="H99" s="155"/>
      <c r="I99" s="155"/>
      <c r="J99" s="155"/>
      <c r="K99" s="155"/>
      <c r="L99" s="155"/>
      <c r="M99" s="155"/>
      <c r="N99" s="155"/>
      <c r="O99" s="155"/>
      <c r="P99" s="155"/>
    </row>
    <row r="100" spans="3:16">
      <c r="C100" s="155"/>
      <c r="D100" s="155"/>
      <c r="E100" s="155"/>
      <c r="F100" s="155"/>
      <c r="G100" s="155"/>
      <c r="H100" s="155"/>
      <c r="I100" s="155"/>
      <c r="J100" s="155"/>
      <c r="K100" s="155"/>
      <c r="L100" s="155"/>
      <c r="M100" s="155"/>
      <c r="N100" s="155"/>
      <c r="O100" s="155"/>
      <c r="P100" s="155"/>
    </row>
    <row r="101" spans="3:16">
      <c r="C101" s="155"/>
      <c r="D101" s="155"/>
      <c r="E101" s="155"/>
      <c r="F101" s="155"/>
      <c r="G101" s="155"/>
      <c r="H101" s="155"/>
      <c r="I101" s="155"/>
      <c r="J101" s="155"/>
      <c r="K101" s="155"/>
      <c r="L101" s="155"/>
      <c r="M101" s="155"/>
      <c r="N101" s="155"/>
      <c r="O101" s="155"/>
      <c r="P101" s="155"/>
    </row>
    <row r="102" spans="3:16">
      <c r="C102" s="155"/>
      <c r="D102" s="155"/>
      <c r="E102" s="155"/>
      <c r="F102" s="155"/>
      <c r="G102" s="155"/>
      <c r="H102" s="155"/>
      <c r="I102" s="155"/>
      <c r="J102" s="155"/>
      <c r="K102" s="155"/>
      <c r="L102" s="155"/>
      <c r="M102" s="155"/>
      <c r="N102" s="155"/>
      <c r="O102" s="155"/>
      <c r="P102" s="155"/>
    </row>
    <row r="103" spans="3:16">
      <c r="C103" s="155"/>
      <c r="D103" s="155"/>
      <c r="E103" s="155"/>
      <c r="F103" s="155"/>
      <c r="G103" s="155"/>
      <c r="H103" s="155"/>
      <c r="I103" s="155"/>
      <c r="J103" s="155"/>
      <c r="K103" s="155"/>
      <c r="L103" s="155"/>
      <c r="M103" s="155"/>
      <c r="N103" s="155"/>
      <c r="O103" s="155"/>
      <c r="P103" s="155"/>
    </row>
    <row r="104" spans="3:16">
      <c r="C104" s="155"/>
      <c r="D104" s="155"/>
      <c r="E104" s="155"/>
      <c r="F104" s="155"/>
      <c r="G104" s="155"/>
      <c r="H104" s="155"/>
      <c r="I104" s="155"/>
      <c r="J104" s="155"/>
      <c r="K104" s="155"/>
      <c r="L104" s="155"/>
      <c r="M104" s="155"/>
      <c r="N104" s="155"/>
      <c r="O104" s="155"/>
      <c r="P104" s="155"/>
    </row>
    <row r="105" spans="3:16">
      <c r="C105" s="155"/>
      <c r="D105" s="155"/>
      <c r="E105" s="155"/>
      <c r="F105" s="155"/>
      <c r="G105" s="155"/>
      <c r="H105" s="155"/>
      <c r="I105" s="155"/>
      <c r="J105" s="155"/>
      <c r="K105" s="155"/>
      <c r="L105" s="155"/>
      <c r="M105" s="155"/>
      <c r="N105" s="155"/>
      <c r="O105" s="155"/>
      <c r="P105" s="155"/>
    </row>
    <row r="106" spans="3:16">
      <c r="C106" s="155"/>
      <c r="D106" s="155"/>
      <c r="E106" s="155"/>
      <c r="F106" s="155"/>
      <c r="G106" s="155"/>
      <c r="H106" s="155"/>
      <c r="I106" s="155"/>
      <c r="J106" s="155"/>
      <c r="K106" s="155"/>
      <c r="L106" s="155"/>
      <c r="M106" s="155"/>
      <c r="N106" s="155"/>
      <c r="O106" s="155"/>
      <c r="P106" s="155"/>
    </row>
    <row r="107" spans="3:16">
      <c r="C107" s="155"/>
      <c r="D107" s="155"/>
      <c r="E107" s="155"/>
      <c r="F107" s="155"/>
      <c r="G107" s="155"/>
      <c r="H107" s="155"/>
      <c r="I107" s="155"/>
      <c r="J107" s="155"/>
      <c r="K107" s="155"/>
      <c r="L107" s="155"/>
      <c r="M107" s="155"/>
      <c r="N107" s="155"/>
      <c r="O107" s="155"/>
      <c r="P107" s="155"/>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DD0CF-48E3-4835-9FDA-FA775F19AAB8}">
  <sheetPr>
    <tabColor rgb="FF00B050"/>
  </sheetPr>
  <dimension ref="B2:AL69"/>
  <sheetViews>
    <sheetView showGridLines="0" zoomScale="90" zoomScaleNormal="90" workbookViewId="0">
      <selection activeCell="B28" sqref="B28"/>
    </sheetView>
  </sheetViews>
  <sheetFormatPr defaultColWidth="11.85546875" defaultRowHeight="12.75"/>
  <cols>
    <col min="1" max="1" width="2.42578125" customWidth="1"/>
    <col min="2" max="2" width="29.5703125" bestFit="1" customWidth="1"/>
    <col min="3" max="3" width="69.5703125" bestFit="1" customWidth="1"/>
    <col min="4" max="4" width="38.42578125" customWidth="1"/>
    <col min="5" max="5" width="32.7109375" customWidth="1"/>
    <col min="6" max="6" width="29.28515625" customWidth="1"/>
    <col min="7" max="7" width="8.85546875" bestFit="1" customWidth="1"/>
    <col min="8" max="8" width="10.28515625" bestFit="1" customWidth="1"/>
    <col min="9" max="9" width="9.42578125" bestFit="1" customWidth="1"/>
    <col min="10" max="10" width="16.140625" bestFit="1" customWidth="1"/>
    <col min="11" max="11" width="14.7109375" customWidth="1"/>
    <col min="12" max="12" width="14.28515625" bestFit="1" customWidth="1"/>
    <col min="13" max="13" width="14.140625" bestFit="1" customWidth="1"/>
    <col min="14" max="14" width="13.28515625" bestFit="1" customWidth="1"/>
    <col min="15" max="15" width="15" bestFit="1" customWidth="1"/>
    <col min="16" max="16" width="16.85546875" bestFit="1" customWidth="1"/>
    <col min="17" max="17" width="18" bestFit="1" customWidth="1"/>
    <col min="18" max="18" width="16.140625" bestFit="1" customWidth="1"/>
    <col min="19" max="20" width="16.42578125" bestFit="1" customWidth="1"/>
    <col min="21" max="21" width="15.42578125" bestFit="1" customWidth="1"/>
    <col min="22" max="22" width="16.85546875" bestFit="1" customWidth="1"/>
    <col min="23" max="23" width="21.7109375" bestFit="1" customWidth="1"/>
    <col min="24" max="24" width="16.85546875" bestFit="1" customWidth="1"/>
    <col min="25" max="25" width="18" bestFit="1" customWidth="1"/>
    <col min="26" max="26" width="15.28515625" bestFit="1" customWidth="1"/>
    <col min="27" max="28" width="16.42578125" bestFit="1" customWidth="1"/>
    <col min="29" max="29" width="15.42578125" bestFit="1" customWidth="1"/>
    <col min="30" max="30" width="16.85546875" bestFit="1" customWidth="1"/>
    <col min="31" max="31" width="21.7109375" bestFit="1" customWidth="1"/>
    <col min="32" max="32" width="25.7109375" bestFit="1" customWidth="1"/>
    <col min="33" max="33" width="32.85546875" bestFit="1" customWidth="1"/>
    <col min="34" max="42" width="13.42578125" bestFit="1" customWidth="1"/>
  </cols>
  <sheetData>
    <row r="2" spans="2:38">
      <c r="B2" s="2" t="s">
        <v>475</v>
      </c>
    </row>
    <row r="3" spans="2:38">
      <c r="B3" s="10" t="str" cm="1">
        <f t="array" ref="B3:W4">K9:AF10</f>
        <v>Segundas</v>
      </c>
      <c r="C3" s="10" t="str">
        <v>Terças</v>
      </c>
      <c r="D3" s="10" t="str">
        <v>Quartas</v>
      </c>
      <c r="E3" s="10" t="str">
        <v>Quintas</v>
      </c>
      <c r="F3" s="10" t="str">
        <v>Sextas</v>
      </c>
      <c r="G3" s="10" t="str">
        <v>Sábados</v>
      </c>
      <c r="H3" s="10" t="str">
        <v>Domingos</v>
      </c>
      <c r="I3" s="10" t="str">
        <v xml:space="preserve">Feriados </v>
      </c>
      <c r="J3" s="10" t="str">
        <v>Segundas Férias</v>
      </c>
      <c r="K3" s="10" t="str">
        <v>Terças Férias</v>
      </c>
      <c r="L3" s="10" t="str">
        <v>Quartas Férias</v>
      </c>
      <c r="M3" s="10" t="str">
        <v>Quintas Férias</v>
      </c>
      <c r="N3" s="10" t="str">
        <v>Sextas Férias</v>
      </c>
      <c r="O3" s="10" t="str">
        <v>Sábados Férias</v>
      </c>
      <c r="P3" s="10" t="str">
        <v xml:space="preserve">Domingos Férias </v>
      </c>
      <c r="Q3" s="10" t="str">
        <v>Segundas Atípicas</v>
      </c>
      <c r="R3" s="10" t="str">
        <v>Terças  Atípicas</v>
      </c>
      <c r="S3" s="10" t="str">
        <v>Quartas  Atípicas</v>
      </c>
      <c r="T3" s="10" t="str">
        <v>Quintas  Atípicas</v>
      </c>
      <c r="U3" s="10" t="str">
        <v>Sextas  Atípicas</v>
      </c>
      <c r="V3" s="10" t="str">
        <v>Sábados Atípicos</v>
      </c>
      <c r="W3" s="38" t="str">
        <v>Quarta Feira de Cinzas</v>
      </c>
      <c r="X3" s="10" t="s">
        <v>73</v>
      </c>
    </row>
    <row r="4" spans="2:38" hidden="1">
      <c r="B4" s="36">
        <v>0</v>
      </c>
      <c r="C4" s="36">
        <v>0</v>
      </c>
      <c r="D4" s="36">
        <v>0</v>
      </c>
      <c r="E4" s="36">
        <v>0</v>
      </c>
      <c r="F4" s="36">
        <v>0</v>
      </c>
      <c r="G4" s="36">
        <v>0</v>
      </c>
      <c r="H4" s="36">
        <v>0</v>
      </c>
      <c r="I4" s="36">
        <v>0</v>
      </c>
      <c r="J4" s="36">
        <v>0</v>
      </c>
      <c r="K4" s="36">
        <v>0</v>
      </c>
      <c r="L4" s="36">
        <v>0</v>
      </c>
      <c r="M4" s="36">
        <v>0</v>
      </c>
      <c r="N4" s="36">
        <v>0</v>
      </c>
      <c r="O4" s="36">
        <v>0</v>
      </c>
      <c r="P4" s="36">
        <v>0</v>
      </c>
      <c r="Q4" s="36">
        <v>0</v>
      </c>
      <c r="R4" s="36">
        <v>0</v>
      </c>
      <c r="S4" s="36">
        <v>0</v>
      </c>
      <c r="T4" s="36">
        <v>0</v>
      </c>
      <c r="U4" s="36">
        <v>0</v>
      </c>
      <c r="V4" s="36">
        <v>0</v>
      </c>
      <c r="W4" s="215">
        <v>0</v>
      </c>
      <c r="X4" s="6"/>
    </row>
    <row r="5" spans="2:38">
      <c r="B5" s="12">
        <v>50</v>
      </c>
      <c r="C5" s="12">
        <v>50</v>
      </c>
      <c r="D5" s="12">
        <v>50</v>
      </c>
      <c r="E5" s="12">
        <v>50</v>
      </c>
      <c r="F5" s="12">
        <v>50</v>
      </c>
      <c r="G5" s="12">
        <v>50</v>
      </c>
      <c r="H5" s="12">
        <v>50</v>
      </c>
      <c r="I5" s="12">
        <v>15</v>
      </c>
      <c r="J5" s="12">
        <v>0</v>
      </c>
      <c r="K5" s="12">
        <v>0</v>
      </c>
      <c r="L5" s="12">
        <v>0</v>
      </c>
      <c r="M5" s="12">
        <v>0</v>
      </c>
      <c r="N5" s="12">
        <v>0</v>
      </c>
      <c r="O5" s="12">
        <v>0</v>
      </c>
      <c r="P5" s="12">
        <v>0</v>
      </c>
      <c r="Q5" s="12">
        <v>0</v>
      </c>
      <c r="R5" s="12">
        <v>0</v>
      </c>
      <c r="S5" s="12">
        <v>0</v>
      </c>
      <c r="T5" s="12">
        <v>0</v>
      </c>
      <c r="U5" s="12">
        <v>0</v>
      </c>
      <c r="V5" s="12">
        <v>0</v>
      </c>
      <c r="W5" s="12">
        <v>0</v>
      </c>
      <c r="X5" s="10">
        <f>SUM(B5:W5)</f>
        <v>365</v>
      </c>
    </row>
    <row r="6" spans="2:38">
      <c r="B6" t="s">
        <v>476</v>
      </c>
    </row>
    <row r="8" spans="2:38">
      <c r="B8" s="2" t="s">
        <v>477</v>
      </c>
    </row>
    <row r="9" spans="2:38">
      <c r="B9" s="600" t="s">
        <v>478</v>
      </c>
      <c r="C9" s="600" t="s">
        <v>305</v>
      </c>
      <c r="D9" s="600" t="s">
        <v>218</v>
      </c>
      <c r="E9" s="600" t="s">
        <v>479</v>
      </c>
      <c r="F9" s="600" t="s">
        <v>105</v>
      </c>
      <c r="G9" s="600"/>
      <c r="H9" s="600"/>
      <c r="I9" s="600"/>
      <c r="J9" s="600" t="s">
        <v>480</v>
      </c>
      <c r="K9" s="600" t="s">
        <v>481</v>
      </c>
      <c r="L9" s="600" t="s">
        <v>482</v>
      </c>
      <c r="M9" s="600" t="s">
        <v>483</v>
      </c>
      <c r="N9" s="600" t="s">
        <v>484</v>
      </c>
      <c r="O9" s="600" t="s">
        <v>485</v>
      </c>
      <c r="P9" s="600" t="s">
        <v>486</v>
      </c>
      <c r="Q9" s="600" t="s">
        <v>487</v>
      </c>
      <c r="R9" s="600" t="s">
        <v>488</v>
      </c>
      <c r="S9" s="600" t="s">
        <v>489</v>
      </c>
      <c r="T9" s="600" t="s">
        <v>490</v>
      </c>
      <c r="U9" s="600" t="s">
        <v>491</v>
      </c>
      <c r="V9" s="600" t="s">
        <v>492</v>
      </c>
      <c r="W9" s="600" t="s">
        <v>493</v>
      </c>
      <c r="X9" s="600" t="s">
        <v>494</v>
      </c>
      <c r="Y9" s="600" t="s">
        <v>495</v>
      </c>
      <c r="Z9" s="600" t="s">
        <v>496</v>
      </c>
      <c r="AA9" s="600" t="s">
        <v>497</v>
      </c>
      <c r="AB9" s="600" t="s">
        <v>498</v>
      </c>
      <c r="AC9" s="600" t="s">
        <v>499</v>
      </c>
      <c r="AD9" s="600" t="s">
        <v>500</v>
      </c>
      <c r="AE9" s="600" t="s">
        <v>501</v>
      </c>
      <c r="AF9" s="614" t="s">
        <v>502</v>
      </c>
      <c r="AG9" s="600" t="s">
        <v>503</v>
      </c>
      <c r="AH9" s="600" t="s">
        <v>504</v>
      </c>
      <c r="AI9" s="600" t="s">
        <v>505</v>
      </c>
      <c r="AJ9" s="600"/>
      <c r="AK9" s="600"/>
      <c r="AL9" s="600"/>
    </row>
    <row r="10" spans="2:38">
      <c r="B10" s="600"/>
      <c r="C10" s="600"/>
      <c r="D10" s="600"/>
      <c r="E10" s="600"/>
      <c r="F10" s="14">
        <v>1</v>
      </c>
      <c r="G10" s="14">
        <v>2</v>
      </c>
      <c r="H10" s="14">
        <v>3</v>
      </c>
      <c r="I10" s="14">
        <v>4</v>
      </c>
      <c r="J10" s="600"/>
      <c r="K10" s="600"/>
      <c r="L10" s="600"/>
      <c r="M10" s="600"/>
      <c r="N10" s="600"/>
      <c r="O10" s="600"/>
      <c r="P10" s="600"/>
      <c r="Q10" s="600"/>
      <c r="R10" s="600"/>
      <c r="S10" s="600"/>
      <c r="T10" s="600"/>
      <c r="U10" s="600"/>
      <c r="V10" s="600"/>
      <c r="W10" s="600"/>
      <c r="X10" s="600"/>
      <c r="Y10" s="600"/>
      <c r="Z10" s="600"/>
      <c r="AA10" s="600"/>
      <c r="AB10" s="600"/>
      <c r="AC10" s="600"/>
      <c r="AD10" s="600"/>
      <c r="AE10" s="600"/>
      <c r="AF10" s="614"/>
      <c r="AG10" s="600"/>
      <c r="AH10" s="615"/>
      <c r="AI10" s="342">
        <v>1</v>
      </c>
      <c r="AJ10" s="342">
        <v>2</v>
      </c>
      <c r="AK10" s="342">
        <v>3</v>
      </c>
      <c r="AL10" s="342">
        <v>4</v>
      </c>
    </row>
    <row r="11" spans="2:38">
      <c r="B11" s="230">
        <v>1028</v>
      </c>
      <c r="C11" s="35" t="s">
        <v>506</v>
      </c>
      <c r="D11" s="230" t="s">
        <v>507</v>
      </c>
      <c r="E11" s="230">
        <v>3</v>
      </c>
      <c r="F11" s="230">
        <v>1</v>
      </c>
      <c r="G11" s="230">
        <v>1</v>
      </c>
      <c r="H11" s="230">
        <v>0</v>
      </c>
      <c r="I11" s="230">
        <v>0</v>
      </c>
      <c r="J11" s="230">
        <v>1</v>
      </c>
      <c r="K11" s="35">
        <v>7</v>
      </c>
      <c r="L11" s="35">
        <v>7</v>
      </c>
      <c r="M11" s="35">
        <v>7</v>
      </c>
      <c r="N11" s="35">
        <v>7</v>
      </c>
      <c r="O11" s="35">
        <v>7</v>
      </c>
      <c r="P11" s="35">
        <v>7</v>
      </c>
      <c r="Q11" s="35">
        <v>7</v>
      </c>
      <c r="R11" s="35">
        <v>0</v>
      </c>
      <c r="S11" s="35">
        <v>0</v>
      </c>
      <c r="T11" s="35">
        <v>0</v>
      </c>
      <c r="U11" s="35">
        <v>0</v>
      </c>
      <c r="V11" s="35">
        <v>0</v>
      </c>
      <c r="W11" s="35">
        <v>0</v>
      </c>
      <c r="X11" s="35">
        <v>0</v>
      </c>
      <c r="Y11" s="35">
        <v>0</v>
      </c>
      <c r="Z11" s="35">
        <v>0</v>
      </c>
      <c r="AA11" s="35">
        <v>0</v>
      </c>
      <c r="AB11" s="35">
        <v>0</v>
      </c>
      <c r="AC11" s="35">
        <v>0</v>
      </c>
      <c r="AD11" s="35">
        <v>0</v>
      </c>
      <c r="AE11" s="35">
        <v>0</v>
      </c>
      <c r="AF11" s="341">
        <v>0</v>
      </c>
      <c r="AG11" s="180" cm="1">
        <f t="array" ref="AG11">SUM(K11:AF11 * B$5:W$5)</f>
        <v>2450</v>
      </c>
      <c r="AH11" s="203" cm="1">
        <f t="array" ref="AH11:AH52">AG11:AG52 / X5</f>
        <v>6.7123287671232879</v>
      </c>
      <c r="AI11" s="229" cm="1">
        <f t="array" ref="AI11:AL52">F11:I52 *_xlfn.ANCHORARRAY( AH11)</f>
        <v>6.7123287671232879</v>
      </c>
      <c r="AJ11" s="229">
        <v>6.7123287671232879</v>
      </c>
      <c r="AK11" s="229">
        <v>0</v>
      </c>
      <c r="AL11" s="229">
        <v>0</v>
      </c>
    </row>
    <row r="12" spans="2:38">
      <c r="B12" s="12">
        <v>1028</v>
      </c>
      <c r="C12" s="6" t="s">
        <v>506</v>
      </c>
      <c r="D12" s="12" t="s">
        <v>507</v>
      </c>
      <c r="E12" s="12">
        <v>3</v>
      </c>
      <c r="F12" s="12">
        <v>1</v>
      </c>
      <c r="G12" s="12">
        <v>1</v>
      </c>
      <c r="H12" s="12">
        <v>0</v>
      </c>
      <c r="I12" s="12">
        <v>0</v>
      </c>
      <c r="J12" s="12">
        <v>2</v>
      </c>
      <c r="K12" s="6">
        <v>8</v>
      </c>
      <c r="L12" s="6">
        <v>7</v>
      </c>
      <c r="M12" s="6">
        <v>7</v>
      </c>
      <c r="N12" s="6">
        <v>7</v>
      </c>
      <c r="O12" s="6">
        <v>7</v>
      </c>
      <c r="P12" s="6">
        <v>7</v>
      </c>
      <c r="Q12" s="6">
        <v>7</v>
      </c>
      <c r="R12" s="6">
        <v>0</v>
      </c>
      <c r="S12" s="6">
        <v>0</v>
      </c>
      <c r="T12" s="6">
        <v>0</v>
      </c>
      <c r="U12" s="6">
        <v>0</v>
      </c>
      <c r="V12" s="6">
        <v>0</v>
      </c>
      <c r="W12" s="6">
        <v>0</v>
      </c>
      <c r="X12" s="6">
        <v>0</v>
      </c>
      <c r="Y12" s="6">
        <v>0</v>
      </c>
      <c r="Z12" s="6">
        <v>0</v>
      </c>
      <c r="AA12" s="6">
        <v>0</v>
      </c>
      <c r="AB12" s="6">
        <v>0</v>
      </c>
      <c r="AC12" s="6">
        <v>0</v>
      </c>
      <c r="AD12" s="6">
        <v>0</v>
      </c>
      <c r="AE12" s="6">
        <v>0</v>
      </c>
      <c r="AF12" s="215">
        <v>0</v>
      </c>
      <c r="AG12" s="180" cm="1">
        <f t="array" ref="AG12">SUM(K12:AF12 * B$5:W$5)</f>
        <v>2500</v>
      </c>
      <c r="AH12" s="203">
        <v>6.8493150684931505</v>
      </c>
      <c r="AI12" s="229">
        <v>6.8493150684931505</v>
      </c>
      <c r="AJ12" s="229">
        <v>6.8493150684931505</v>
      </c>
      <c r="AK12" s="229">
        <v>0</v>
      </c>
      <c r="AL12" s="229">
        <v>0</v>
      </c>
    </row>
    <row r="13" spans="2:38">
      <c r="B13" s="12">
        <v>1030</v>
      </c>
      <c r="C13" s="6" t="s">
        <v>508</v>
      </c>
      <c r="D13" s="12" t="s">
        <v>507</v>
      </c>
      <c r="E13" s="12">
        <v>2</v>
      </c>
      <c r="F13" s="12">
        <v>1</v>
      </c>
      <c r="G13" s="12">
        <v>0</v>
      </c>
      <c r="H13" s="12">
        <v>0</v>
      </c>
      <c r="I13" s="12">
        <v>0</v>
      </c>
      <c r="J13" s="12">
        <v>1</v>
      </c>
      <c r="K13" s="6">
        <v>10</v>
      </c>
      <c r="L13" s="6">
        <v>9</v>
      </c>
      <c r="M13" s="6">
        <v>9</v>
      </c>
      <c r="N13" s="6">
        <v>9</v>
      </c>
      <c r="O13" s="6">
        <v>11</v>
      </c>
      <c r="P13" s="6">
        <v>11</v>
      </c>
      <c r="Q13" s="6">
        <v>9</v>
      </c>
      <c r="R13" s="6">
        <v>0</v>
      </c>
      <c r="S13" s="6">
        <v>0</v>
      </c>
      <c r="T13" s="6">
        <v>0</v>
      </c>
      <c r="U13" s="6">
        <v>0</v>
      </c>
      <c r="V13" s="6">
        <v>0</v>
      </c>
      <c r="W13" s="6">
        <v>0</v>
      </c>
      <c r="X13" s="6">
        <v>0</v>
      </c>
      <c r="Y13" s="6">
        <v>0</v>
      </c>
      <c r="Z13" s="6">
        <v>0</v>
      </c>
      <c r="AA13" s="6">
        <v>0</v>
      </c>
      <c r="AB13" s="6">
        <v>0</v>
      </c>
      <c r="AC13" s="6">
        <v>0</v>
      </c>
      <c r="AD13" s="6">
        <v>0</v>
      </c>
      <c r="AE13" s="6">
        <v>0</v>
      </c>
      <c r="AF13" s="215">
        <v>0</v>
      </c>
      <c r="AG13" s="180" cm="1">
        <f t="array" ref="AG13">SUM(K13:AF13 * B$5:W$5)</f>
        <v>3400</v>
      </c>
      <c r="AH13" s="203">
        <v>9.3150684931506849</v>
      </c>
      <c r="AI13" s="229">
        <v>9.3150684931506849</v>
      </c>
      <c r="AJ13" s="229">
        <v>0</v>
      </c>
      <c r="AK13" s="229">
        <v>0</v>
      </c>
      <c r="AL13" s="229">
        <v>0</v>
      </c>
    </row>
    <row r="14" spans="2:38">
      <c r="B14" s="12">
        <v>1030</v>
      </c>
      <c r="C14" s="6" t="s">
        <v>508</v>
      </c>
      <c r="D14" s="12" t="s">
        <v>507</v>
      </c>
      <c r="E14" s="12">
        <v>2</v>
      </c>
      <c r="F14" s="12">
        <v>1</v>
      </c>
      <c r="G14" s="12">
        <v>0</v>
      </c>
      <c r="H14" s="12">
        <v>0</v>
      </c>
      <c r="I14" s="12">
        <v>0</v>
      </c>
      <c r="J14" s="12">
        <v>2</v>
      </c>
      <c r="K14" s="6">
        <v>10</v>
      </c>
      <c r="L14" s="6">
        <v>9</v>
      </c>
      <c r="M14" s="6">
        <v>9</v>
      </c>
      <c r="N14" s="6">
        <v>9</v>
      </c>
      <c r="O14" s="6">
        <v>11</v>
      </c>
      <c r="P14" s="6">
        <v>11</v>
      </c>
      <c r="Q14" s="6">
        <v>9</v>
      </c>
      <c r="R14" s="6">
        <v>0</v>
      </c>
      <c r="S14" s="6">
        <v>0</v>
      </c>
      <c r="T14" s="6">
        <v>0</v>
      </c>
      <c r="U14" s="6">
        <v>0</v>
      </c>
      <c r="V14" s="6">
        <v>0</v>
      </c>
      <c r="W14" s="6">
        <v>0</v>
      </c>
      <c r="X14" s="6">
        <v>0</v>
      </c>
      <c r="Y14" s="6">
        <v>0</v>
      </c>
      <c r="Z14" s="6">
        <v>0</v>
      </c>
      <c r="AA14" s="6">
        <v>0</v>
      </c>
      <c r="AB14" s="6">
        <v>0</v>
      </c>
      <c r="AC14" s="6">
        <v>0</v>
      </c>
      <c r="AD14" s="6">
        <v>0</v>
      </c>
      <c r="AE14" s="6">
        <v>0</v>
      </c>
      <c r="AF14" s="215">
        <v>0</v>
      </c>
      <c r="AG14" s="180" cm="1">
        <f t="array" ref="AG14">SUM(K14:AF14 * B$5:W$5)</f>
        <v>3400</v>
      </c>
      <c r="AH14" s="203">
        <v>9.3150684931506849</v>
      </c>
      <c r="AI14" s="229">
        <v>9.3150684931506849</v>
      </c>
      <c r="AJ14" s="229">
        <v>0</v>
      </c>
      <c r="AK14" s="229">
        <v>0</v>
      </c>
      <c r="AL14" s="229">
        <v>0</v>
      </c>
    </row>
    <row r="15" spans="2:38">
      <c r="B15" s="12">
        <v>1030</v>
      </c>
      <c r="C15" s="6" t="s">
        <v>509</v>
      </c>
      <c r="D15" s="12" t="s">
        <v>507</v>
      </c>
      <c r="E15" s="12">
        <v>2</v>
      </c>
      <c r="F15" s="12">
        <v>1</v>
      </c>
      <c r="G15" s="12">
        <v>0</v>
      </c>
      <c r="H15" s="12">
        <v>0</v>
      </c>
      <c r="I15" s="12">
        <v>0</v>
      </c>
      <c r="J15" s="12">
        <v>1</v>
      </c>
      <c r="K15" s="6">
        <v>2</v>
      </c>
      <c r="L15" s="6">
        <v>2</v>
      </c>
      <c r="M15" s="6">
        <v>2</v>
      </c>
      <c r="N15" s="6">
        <v>2</v>
      </c>
      <c r="O15" s="6">
        <v>2</v>
      </c>
      <c r="P15" s="6">
        <v>0</v>
      </c>
      <c r="Q15" s="6">
        <v>0</v>
      </c>
      <c r="R15" s="6">
        <v>0</v>
      </c>
      <c r="S15" s="6">
        <v>0</v>
      </c>
      <c r="T15" s="6">
        <v>0</v>
      </c>
      <c r="U15" s="6">
        <v>0</v>
      </c>
      <c r="V15" s="6">
        <v>0</v>
      </c>
      <c r="W15" s="6">
        <v>0</v>
      </c>
      <c r="X15" s="6">
        <v>0</v>
      </c>
      <c r="Y15" s="6">
        <v>0</v>
      </c>
      <c r="Z15" s="6">
        <v>0</v>
      </c>
      <c r="AA15" s="6">
        <v>0</v>
      </c>
      <c r="AB15" s="6">
        <v>0</v>
      </c>
      <c r="AC15" s="6">
        <v>0</v>
      </c>
      <c r="AD15" s="6">
        <v>0</v>
      </c>
      <c r="AE15" s="6">
        <v>0</v>
      </c>
      <c r="AF15" s="215">
        <v>0</v>
      </c>
      <c r="AG15" s="180" cm="1">
        <f t="array" ref="AG15">SUM(K15:AF15 * B$5:W$5)</f>
        <v>500</v>
      </c>
      <c r="AH15" s="203">
        <v>1.3698630136986301</v>
      </c>
      <c r="AI15" s="229">
        <v>1.3698630136986301</v>
      </c>
      <c r="AJ15" s="229">
        <v>0</v>
      </c>
      <c r="AK15" s="229">
        <v>0</v>
      </c>
      <c r="AL15" s="229">
        <v>0</v>
      </c>
    </row>
    <row r="16" spans="2:38">
      <c r="B16" s="12">
        <v>1030</v>
      </c>
      <c r="C16" s="6" t="s">
        <v>509</v>
      </c>
      <c r="D16" s="12" t="s">
        <v>507</v>
      </c>
      <c r="E16" s="12">
        <v>2</v>
      </c>
      <c r="F16" s="12">
        <v>1</v>
      </c>
      <c r="G16" s="12">
        <v>0</v>
      </c>
      <c r="H16" s="12">
        <v>0</v>
      </c>
      <c r="I16" s="12">
        <v>0</v>
      </c>
      <c r="J16" s="12">
        <v>2</v>
      </c>
      <c r="K16" s="6">
        <v>2</v>
      </c>
      <c r="L16" s="6">
        <v>2</v>
      </c>
      <c r="M16" s="6">
        <v>2</v>
      </c>
      <c r="N16" s="6">
        <v>2</v>
      </c>
      <c r="O16" s="6">
        <v>2</v>
      </c>
      <c r="P16" s="6">
        <v>0</v>
      </c>
      <c r="Q16" s="6">
        <v>0</v>
      </c>
      <c r="R16" s="6">
        <v>0</v>
      </c>
      <c r="S16" s="6">
        <v>0</v>
      </c>
      <c r="T16" s="6">
        <v>0</v>
      </c>
      <c r="U16" s="6">
        <v>0</v>
      </c>
      <c r="V16" s="6">
        <v>0</v>
      </c>
      <c r="W16" s="6">
        <v>0</v>
      </c>
      <c r="X16" s="6">
        <v>0</v>
      </c>
      <c r="Y16" s="6">
        <v>0</v>
      </c>
      <c r="Z16" s="6">
        <v>0</v>
      </c>
      <c r="AA16" s="6">
        <v>0</v>
      </c>
      <c r="AB16" s="6">
        <v>0</v>
      </c>
      <c r="AC16" s="6">
        <v>0</v>
      </c>
      <c r="AD16" s="6">
        <v>0</v>
      </c>
      <c r="AE16" s="6">
        <v>0</v>
      </c>
      <c r="AF16" s="215">
        <v>0</v>
      </c>
      <c r="AG16" s="180" cm="1">
        <f t="array" ref="AG16">SUM(K16:AF16 * B$5:W$5)</f>
        <v>500</v>
      </c>
      <c r="AH16" s="203">
        <v>1.3698630136986301</v>
      </c>
      <c r="AI16" s="229">
        <v>1.3698630136986301</v>
      </c>
      <c r="AJ16" s="229">
        <v>0</v>
      </c>
      <c r="AK16" s="229">
        <v>0</v>
      </c>
      <c r="AL16" s="229">
        <v>0</v>
      </c>
    </row>
    <row r="17" spans="2:38">
      <c r="B17" s="12">
        <v>1064</v>
      </c>
      <c r="C17" s="6" t="s">
        <v>510</v>
      </c>
      <c r="D17" s="12" t="s">
        <v>507</v>
      </c>
      <c r="E17" s="12">
        <v>3</v>
      </c>
      <c r="F17" s="12">
        <v>1</v>
      </c>
      <c r="G17" s="12">
        <v>1</v>
      </c>
      <c r="H17" s="12">
        <v>1</v>
      </c>
      <c r="I17" s="12">
        <v>0</v>
      </c>
      <c r="J17" s="12">
        <v>1</v>
      </c>
      <c r="K17" s="6">
        <v>1</v>
      </c>
      <c r="L17" s="6">
        <v>1</v>
      </c>
      <c r="M17" s="6">
        <v>1</v>
      </c>
      <c r="N17" s="6">
        <v>1</v>
      </c>
      <c r="O17" s="6">
        <v>1</v>
      </c>
      <c r="P17" s="6">
        <v>1</v>
      </c>
      <c r="Q17" s="6">
        <v>1</v>
      </c>
      <c r="R17" s="6">
        <v>0</v>
      </c>
      <c r="S17" s="6">
        <v>0</v>
      </c>
      <c r="T17" s="6">
        <v>0</v>
      </c>
      <c r="U17" s="6">
        <v>0</v>
      </c>
      <c r="V17" s="6">
        <v>0</v>
      </c>
      <c r="W17" s="6">
        <v>0</v>
      </c>
      <c r="X17" s="6">
        <v>0</v>
      </c>
      <c r="Y17" s="6">
        <v>0</v>
      </c>
      <c r="Z17" s="6">
        <v>0</v>
      </c>
      <c r="AA17" s="6">
        <v>0</v>
      </c>
      <c r="AB17" s="6">
        <v>0</v>
      </c>
      <c r="AC17" s="6">
        <v>0</v>
      </c>
      <c r="AD17" s="6">
        <v>0</v>
      </c>
      <c r="AE17" s="6">
        <v>0</v>
      </c>
      <c r="AF17" s="215">
        <v>0</v>
      </c>
      <c r="AG17" s="180" cm="1">
        <f t="array" ref="AG17">SUM(K17:AF17 * B$5:W$5)</f>
        <v>350</v>
      </c>
      <c r="AH17" s="203">
        <v>0.95890410958904104</v>
      </c>
      <c r="AI17" s="229">
        <v>0.95890410958904104</v>
      </c>
      <c r="AJ17" s="229">
        <v>0.95890410958904104</v>
      </c>
      <c r="AK17" s="229">
        <v>0.95890410958904104</v>
      </c>
      <c r="AL17" s="229">
        <v>0</v>
      </c>
    </row>
    <row r="18" spans="2:38">
      <c r="B18" s="12">
        <v>1064</v>
      </c>
      <c r="C18" s="6" t="s">
        <v>510</v>
      </c>
      <c r="D18" s="12" t="s">
        <v>507</v>
      </c>
      <c r="E18" s="12">
        <v>3</v>
      </c>
      <c r="F18" s="12">
        <v>1</v>
      </c>
      <c r="G18" s="12">
        <v>1</v>
      </c>
      <c r="H18" s="12">
        <v>1</v>
      </c>
      <c r="I18" s="12">
        <v>0</v>
      </c>
      <c r="J18" s="12">
        <v>2</v>
      </c>
      <c r="K18" s="6">
        <v>1</v>
      </c>
      <c r="L18" s="6">
        <v>1</v>
      </c>
      <c r="M18" s="6">
        <v>1</v>
      </c>
      <c r="N18" s="6">
        <v>1</v>
      </c>
      <c r="O18" s="6">
        <v>1</v>
      </c>
      <c r="P18" s="6">
        <v>1</v>
      </c>
      <c r="Q18" s="6">
        <v>1</v>
      </c>
      <c r="R18" s="6">
        <v>0</v>
      </c>
      <c r="S18" s="6">
        <v>0</v>
      </c>
      <c r="T18" s="6">
        <v>0</v>
      </c>
      <c r="U18" s="6">
        <v>0</v>
      </c>
      <c r="V18" s="6">
        <v>0</v>
      </c>
      <c r="W18" s="6">
        <v>0</v>
      </c>
      <c r="X18" s="6">
        <v>0</v>
      </c>
      <c r="Y18" s="6">
        <v>0</v>
      </c>
      <c r="Z18" s="6">
        <v>0</v>
      </c>
      <c r="AA18" s="6">
        <v>0</v>
      </c>
      <c r="AB18" s="6">
        <v>0</v>
      </c>
      <c r="AC18" s="6">
        <v>0</v>
      </c>
      <c r="AD18" s="6">
        <v>0</v>
      </c>
      <c r="AE18" s="6">
        <v>0</v>
      </c>
      <c r="AF18" s="215">
        <v>0</v>
      </c>
      <c r="AG18" s="180" cm="1">
        <f t="array" ref="AG18">SUM(K18:AF18 * B$5:W$5)</f>
        <v>350</v>
      </c>
      <c r="AH18" s="203">
        <v>0.95890410958904104</v>
      </c>
      <c r="AI18" s="229">
        <v>0.95890410958904104</v>
      </c>
      <c r="AJ18" s="229">
        <v>0.95890410958904104</v>
      </c>
      <c r="AK18" s="229">
        <v>0.95890410958904104</v>
      </c>
      <c r="AL18" s="229">
        <v>0</v>
      </c>
    </row>
    <row r="19" spans="2:38">
      <c r="B19" s="12">
        <v>1145</v>
      </c>
      <c r="C19" s="6" t="s">
        <v>511</v>
      </c>
      <c r="D19" s="12" t="s">
        <v>507</v>
      </c>
      <c r="E19" s="12">
        <v>3</v>
      </c>
      <c r="F19" s="12">
        <v>1</v>
      </c>
      <c r="G19" s="12">
        <v>1</v>
      </c>
      <c r="H19" s="12">
        <v>0</v>
      </c>
      <c r="I19" s="12">
        <v>0</v>
      </c>
      <c r="J19" s="12">
        <v>1</v>
      </c>
      <c r="K19" s="6">
        <v>2</v>
      </c>
      <c r="L19" s="6">
        <v>2</v>
      </c>
      <c r="M19" s="6">
        <v>2</v>
      </c>
      <c r="N19" s="6">
        <v>2</v>
      </c>
      <c r="O19" s="6">
        <v>2</v>
      </c>
      <c r="P19" s="6">
        <v>2</v>
      </c>
      <c r="Q19" s="6">
        <v>3</v>
      </c>
      <c r="R19" s="6">
        <v>0</v>
      </c>
      <c r="S19" s="6">
        <v>0</v>
      </c>
      <c r="T19" s="6">
        <v>0</v>
      </c>
      <c r="U19" s="6">
        <v>0</v>
      </c>
      <c r="V19" s="6">
        <v>0</v>
      </c>
      <c r="W19" s="6">
        <v>0</v>
      </c>
      <c r="X19" s="6">
        <v>0</v>
      </c>
      <c r="Y19" s="6">
        <v>0</v>
      </c>
      <c r="Z19" s="6">
        <v>0</v>
      </c>
      <c r="AA19" s="6">
        <v>0</v>
      </c>
      <c r="AB19" s="6">
        <v>0</v>
      </c>
      <c r="AC19" s="6">
        <v>0</v>
      </c>
      <c r="AD19" s="6">
        <v>0</v>
      </c>
      <c r="AE19" s="6">
        <v>0</v>
      </c>
      <c r="AF19" s="215">
        <v>0</v>
      </c>
      <c r="AG19" s="180" cm="1">
        <f t="array" ref="AG19">SUM(K19:AF19 * B$5:W$5)</f>
        <v>750</v>
      </c>
      <c r="AH19" s="203">
        <v>2.0547945205479454</v>
      </c>
      <c r="AI19" s="229">
        <v>2.0547945205479454</v>
      </c>
      <c r="AJ19" s="229">
        <v>2.0547945205479454</v>
      </c>
      <c r="AK19" s="229">
        <v>0</v>
      </c>
      <c r="AL19" s="229">
        <v>0</v>
      </c>
    </row>
    <row r="20" spans="2:38">
      <c r="B20" s="12">
        <v>1145</v>
      </c>
      <c r="C20" s="6" t="s">
        <v>511</v>
      </c>
      <c r="D20" s="12" t="s">
        <v>507</v>
      </c>
      <c r="E20" s="12">
        <v>3</v>
      </c>
      <c r="F20" s="12">
        <v>1</v>
      </c>
      <c r="G20" s="12">
        <v>1</v>
      </c>
      <c r="H20" s="12">
        <v>0</v>
      </c>
      <c r="I20" s="12">
        <v>0</v>
      </c>
      <c r="J20" s="12">
        <v>2</v>
      </c>
      <c r="K20" s="6">
        <v>2</v>
      </c>
      <c r="L20" s="6">
        <v>2</v>
      </c>
      <c r="M20" s="6">
        <v>2</v>
      </c>
      <c r="N20" s="6">
        <v>2</v>
      </c>
      <c r="O20" s="6">
        <v>3</v>
      </c>
      <c r="P20" s="6">
        <v>2</v>
      </c>
      <c r="Q20" s="6">
        <v>3</v>
      </c>
      <c r="R20" s="6">
        <v>0</v>
      </c>
      <c r="S20" s="6">
        <v>0</v>
      </c>
      <c r="T20" s="6">
        <v>0</v>
      </c>
      <c r="U20" s="6">
        <v>0</v>
      </c>
      <c r="V20" s="6">
        <v>0</v>
      </c>
      <c r="W20" s="6">
        <v>0</v>
      </c>
      <c r="X20" s="6">
        <v>0</v>
      </c>
      <c r="Y20" s="6">
        <v>0</v>
      </c>
      <c r="Z20" s="6">
        <v>0</v>
      </c>
      <c r="AA20" s="6">
        <v>0</v>
      </c>
      <c r="AB20" s="6">
        <v>0</v>
      </c>
      <c r="AC20" s="6">
        <v>0</v>
      </c>
      <c r="AD20" s="6">
        <v>0</v>
      </c>
      <c r="AE20" s="6">
        <v>0</v>
      </c>
      <c r="AF20" s="215">
        <v>0</v>
      </c>
      <c r="AG20" s="180" cm="1">
        <f t="array" ref="AG20">SUM(K20:AF20 * B$5:W$5)</f>
        <v>800</v>
      </c>
      <c r="AH20" s="203">
        <v>2.1917808219178081</v>
      </c>
      <c r="AI20" s="229">
        <v>2.1917808219178081</v>
      </c>
      <c r="AJ20" s="229">
        <v>2.1917808219178081</v>
      </c>
      <c r="AK20" s="229">
        <v>0</v>
      </c>
      <c r="AL20" s="229">
        <v>0</v>
      </c>
    </row>
    <row r="21" spans="2:38">
      <c r="B21" s="12">
        <v>1164</v>
      </c>
      <c r="C21" s="6" t="s">
        <v>512</v>
      </c>
      <c r="D21" s="12" t="s">
        <v>507</v>
      </c>
      <c r="E21" s="12">
        <v>3</v>
      </c>
      <c r="F21" s="12">
        <v>1</v>
      </c>
      <c r="G21" s="12">
        <v>1</v>
      </c>
      <c r="H21" s="12">
        <v>1</v>
      </c>
      <c r="I21" s="12">
        <v>1</v>
      </c>
      <c r="J21" s="12">
        <v>1</v>
      </c>
      <c r="K21" s="6">
        <v>0</v>
      </c>
      <c r="L21" s="6">
        <v>0</v>
      </c>
      <c r="M21" s="6">
        <v>0</v>
      </c>
      <c r="N21" s="6">
        <v>0</v>
      </c>
      <c r="O21" s="6">
        <v>1</v>
      </c>
      <c r="P21" s="6">
        <v>0</v>
      </c>
      <c r="Q21" s="6">
        <v>1</v>
      </c>
      <c r="R21" s="6">
        <v>2</v>
      </c>
      <c r="S21" s="6">
        <v>0</v>
      </c>
      <c r="T21" s="6">
        <v>0</v>
      </c>
      <c r="U21" s="6">
        <v>0</v>
      </c>
      <c r="V21" s="6">
        <v>0</v>
      </c>
      <c r="W21" s="6">
        <v>0</v>
      </c>
      <c r="X21" s="6">
        <v>0</v>
      </c>
      <c r="Y21" s="6">
        <v>0</v>
      </c>
      <c r="Z21" s="6">
        <v>0</v>
      </c>
      <c r="AA21" s="6">
        <v>0</v>
      </c>
      <c r="AB21" s="6">
        <v>0</v>
      </c>
      <c r="AC21" s="6">
        <v>0</v>
      </c>
      <c r="AD21" s="6">
        <v>0</v>
      </c>
      <c r="AE21" s="6">
        <v>0</v>
      </c>
      <c r="AF21" s="215">
        <v>0</v>
      </c>
      <c r="AG21" s="180" cm="1">
        <f t="array" ref="AG21">SUM(K21:AF21 * B$5:W$5)</f>
        <v>130</v>
      </c>
      <c r="AH21" s="203">
        <v>0.35616438356164382</v>
      </c>
      <c r="AI21" s="229">
        <v>0.35616438356164382</v>
      </c>
      <c r="AJ21" s="229">
        <v>0.35616438356164382</v>
      </c>
      <c r="AK21" s="229">
        <v>0.35616438356164382</v>
      </c>
      <c r="AL21" s="229">
        <v>0.35616438356164382</v>
      </c>
    </row>
    <row r="22" spans="2:38">
      <c r="B22" s="12">
        <v>1164</v>
      </c>
      <c r="C22" s="6" t="s">
        <v>512</v>
      </c>
      <c r="D22" s="12" t="s">
        <v>507</v>
      </c>
      <c r="E22" s="12">
        <v>3</v>
      </c>
      <c r="F22" s="12">
        <v>1</v>
      </c>
      <c r="G22" s="12">
        <v>1</v>
      </c>
      <c r="H22" s="12">
        <v>1</v>
      </c>
      <c r="I22" s="12">
        <v>1</v>
      </c>
      <c r="J22" s="12">
        <v>2</v>
      </c>
      <c r="K22" s="6">
        <v>0</v>
      </c>
      <c r="L22" s="6">
        <v>0</v>
      </c>
      <c r="M22" s="6">
        <v>0</v>
      </c>
      <c r="N22" s="6">
        <v>0</v>
      </c>
      <c r="O22" s="6">
        <v>0</v>
      </c>
      <c r="P22" s="6">
        <v>0</v>
      </c>
      <c r="Q22" s="6">
        <v>1</v>
      </c>
      <c r="R22" s="6">
        <v>1</v>
      </c>
      <c r="S22" s="6">
        <v>0</v>
      </c>
      <c r="T22" s="6">
        <v>0</v>
      </c>
      <c r="U22" s="6">
        <v>0</v>
      </c>
      <c r="V22" s="6">
        <v>0</v>
      </c>
      <c r="W22" s="6">
        <v>0</v>
      </c>
      <c r="X22" s="6">
        <v>0</v>
      </c>
      <c r="Y22" s="6">
        <v>0</v>
      </c>
      <c r="Z22" s="6">
        <v>0</v>
      </c>
      <c r="AA22" s="6">
        <v>0</v>
      </c>
      <c r="AB22" s="6">
        <v>0</v>
      </c>
      <c r="AC22" s="6">
        <v>0</v>
      </c>
      <c r="AD22" s="6">
        <v>0</v>
      </c>
      <c r="AE22" s="6">
        <v>0</v>
      </c>
      <c r="AF22" s="215">
        <v>0</v>
      </c>
      <c r="AG22" s="180" cm="1">
        <f t="array" ref="AG22">SUM(K22:AF22 * B$5:W$5)</f>
        <v>65</v>
      </c>
      <c r="AH22" s="203">
        <v>0.17808219178082191</v>
      </c>
      <c r="AI22" s="229">
        <v>0.17808219178082191</v>
      </c>
      <c r="AJ22" s="229">
        <v>0.17808219178082191</v>
      </c>
      <c r="AK22" s="229">
        <v>0.17808219178082191</v>
      </c>
      <c r="AL22" s="229">
        <v>0.17808219178082191</v>
      </c>
    </row>
    <row r="23" spans="2:38">
      <c r="B23" s="12">
        <v>3100</v>
      </c>
      <c r="C23" s="6" t="s">
        <v>513</v>
      </c>
      <c r="D23" s="12" t="s">
        <v>507</v>
      </c>
      <c r="E23" s="12">
        <v>2</v>
      </c>
      <c r="F23" s="12">
        <v>0</v>
      </c>
      <c r="G23" s="12">
        <v>0</v>
      </c>
      <c r="H23" s="12">
        <v>0</v>
      </c>
      <c r="I23" s="12">
        <v>0</v>
      </c>
      <c r="J23" s="12">
        <v>1</v>
      </c>
      <c r="K23" s="6">
        <v>4</v>
      </c>
      <c r="L23" s="6">
        <v>4</v>
      </c>
      <c r="M23" s="6">
        <v>4</v>
      </c>
      <c r="N23" s="6">
        <v>4</v>
      </c>
      <c r="O23" s="6">
        <v>4</v>
      </c>
      <c r="P23" s="6">
        <v>0</v>
      </c>
      <c r="Q23" s="6">
        <v>0</v>
      </c>
      <c r="R23" s="6">
        <v>0</v>
      </c>
      <c r="S23" s="6">
        <v>0</v>
      </c>
      <c r="T23" s="6">
        <v>0</v>
      </c>
      <c r="U23" s="6">
        <v>0</v>
      </c>
      <c r="V23" s="6">
        <v>0</v>
      </c>
      <c r="W23" s="6">
        <v>0</v>
      </c>
      <c r="X23" s="6">
        <v>0</v>
      </c>
      <c r="Y23" s="6">
        <v>0</v>
      </c>
      <c r="Z23" s="6">
        <v>0</v>
      </c>
      <c r="AA23" s="6">
        <v>0</v>
      </c>
      <c r="AB23" s="6">
        <v>0</v>
      </c>
      <c r="AC23" s="6">
        <v>0</v>
      </c>
      <c r="AD23" s="6">
        <v>0</v>
      </c>
      <c r="AE23" s="6">
        <v>0</v>
      </c>
      <c r="AF23" s="215">
        <v>0</v>
      </c>
      <c r="AG23" s="180" cm="1">
        <f t="array" ref="AG23">SUM(K23:AF23 * B$5:W$5)</f>
        <v>1000</v>
      </c>
      <c r="AH23" s="203">
        <v>2.7397260273972601</v>
      </c>
      <c r="AI23" s="229">
        <v>0</v>
      </c>
      <c r="AJ23" s="229">
        <v>0</v>
      </c>
      <c r="AK23" s="229">
        <v>0</v>
      </c>
      <c r="AL23" s="229">
        <v>0</v>
      </c>
    </row>
    <row r="24" spans="2:38">
      <c r="B24" s="12">
        <v>3100</v>
      </c>
      <c r="C24" s="6" t="s">
        <v>513</v>
      </c>
      <c r="D24" s="12" t="s">
        <v>507</v>
      </c>
      <c r="E24" s="12">
        <v>2</v>
      </c>
      <c r="F24" s="12">
        <v>0</v>
      </c>
      <c r="G24" s="12">
        <v>0</v>
      </c>
      <c r="H24" s="12">
        <v>0</v>
      </c>
      <c r="I24" s="12">
        <v>0</v>
      </c>
      <c r="J24" s="12">
        <v>2</v>
      </c>
      <c r="K24" s="6">
        <v>3</v>
      </c>
      <c r="L24" s="6">
        <v>3</v>
      </c>
      <c r="M24" s="6">
        <v>3</v>
      </c>
      <c r="N24" s="6">
        <v>3</v>
      </c>
      <c r="O24" s="6">
        <v>3</v>
      </c>
      <c r="P24" s="6">
        <v>0</v>
      </c>
      <c r="Q24" s="6">
        <v>0</v>
      </c>
      <c r="R24" s="6">
        <v>0</v>
      </c>
      <c r="S24" s="6">
        <v>0</v>
      </c>
      <c r="T24" s="6">
        <v>0</v>
      </c>
      <c r="U24" s="6">
        <v>0</v>
      </c>
      <c r="V24" s="6">
        <v>0</v>
      </c>
      <c r="W24" s="6">
        <v>0</v>
      </c>
      <c r="X24" s="6">
        <v>0</v>
      </c>
      <c r="Y24" s="6">
        <v>0</v>
      </c>
      <c r="Z24" s="6">
        <v>0</v>
      </c>
      <c r="AA24" s="6">
        <v>0</v>
      </c>
      <c r="AB24" s="6">
        <v>0</v>
      </c>
      <c r="AC24" s="6">
        <v>0</v>
      </c>
      <c r="AD24" s="6">
        <v>0</v>
      </c>
      <c r="AE24" s="6">
        <v>0</v>
      </c>
      <c r="AF24" s="215">
        <v>0</v>
      </c>
      <c r="AG24" s="180" cm="1">
        <f t="array" ref="AG24">SUM(K24:AF24 * B$5:W$5)</f>
        <v>750</v>
      </c>
      <c r="AH24" s="203">
        <v>2.0547945205479454</v>
      </c>
      <c r="AI24" s="229">
        <v>0</v>
      </c>
      <c r="AJ24" s="229">
        <v>0</v>
      </c>
      <c r="AK24" s="229">
        <v>0</v>
      </c>
      <c r="AL24" s="229">
        <v>0</v>
      </c>
    </row>
    <row r="25" spans="2:38">
      <c r="B25" s="12">
        <v>3100</v>
      </c>
      <c r="C25" s="6" t="s">
        <v>514</v>
      </c>
      <c r="D25" s="12" t="s">
        <v>507</v>
      </c>
      <c r="E25" s="12">
        <v>2</v>
      </c>
      <c r="F25" s="12">
        <v>0</v>
      </c>
      <c r="G25" s="12">
        <v>0</v>
      </c>
      <c r="H25" s="12">
        <v>0</v>
      </c>
      <c r="I25" s="12">
        <v>0</v>
      </c>
      <c r="J25" s="12">
        <v>1</v>
      </c>
      <c r="K25" s="6">
        <v>1</v>
      </c>
      <c r="L25" s="6">
        <v>1</v>
      </c>
      <c r="M25" s="6">
        <v>1</v>
      </c>
      <c r="N25" s="6">
        <v>1</v>
      </c>
      <c r="O25" s="6">
        <v>1</v>
      </c>
      <c r="P25" s="6">
        <v>0</v>
      </c>
      <c r="Q25" s="6">
        <v>0</v>
      </c>
      <c r="R25" s="6">
        <v>0</v>
      </c>
      <c r="S25" s="6">
        <v>0</v>
      </c>
      <c r="T25" s="6">
        <v>0</v>
      </c>
      <c r="U25" s="6">
        <v>0</v>
      </c>
      <c r="V25" s="6">
        <v>0</v>
      </c>
      <c r="W25" s="6">
        <v>0</v>
      </c>
      <c r="X25" s="6">
        <v>0</v>
      </c>
      <c r="Y25" s="6">
        <v>0</v>
      </c>
      <c r="Z25" s="6">
        <v>0</v>
      </c>
      <c r="AA25" s="6">
        <v>0</v>
      </c>
      <c r="AB25" s="6">
        <v>0</v>
      </c>
      <c r="AC25" s="6">
        <v>0</v>
      </c>
      <c r="AD25" s="6">
        <v>0</v>
      </c>
      <c r="AE25" s="6">
        <v>0</v>
      </c>
      <c r="AF25" s="215">
        <v>0</v>
      </c>
      <c r="AG25" s="180" cm="1">
        <f t="array" ref="AG25">SUM(K25:AF25 * B$5:W$5)</f>
        <v>250</v>
      </c>
      <c r="AH25" s="203">
        <v>0.68493150684931503</v>
      </c>
      <c r="AI25" s="229">
        <v>0</v>
      </c>
      <c r="AJ25" s="229">
        <v>0</v>
      </c>
      <c r="AK25" s="229">
        <v>0</v>
      </c>
      <c r="AL25" s="229">
        <v>0</v>
      </c>
    </row>
    <row r="26" spans="2:38">
      <c r="B26" s="12">
        <v>3100</v>
      </c>
      <c r="C26" s="6" t="s">
        <v>514</v>
      </c>
      <c r="D26" s="12" t="s">
        <v>507</v>
      </c>
      <c r="E26" s="12">
        <v>2</v>
      </c>
      <c r="F26" s="12">
        <v>0</v>
      </c>
      <c r="G26" s="12">
        <v>0</v>
      </c>
      <c r="H26" s="12">
        <v>0</v>
      </c>
      <c r="I26" s="12">
        <v>0</v>
      </c>
      <c r="J26" s="12">
        <v>2</v>
      </c>
      <c r="K26" s="6">
        <v>1</v>
      </c>
      <c r="L26" s="6">
        <v>1</v>
      </c>
      <c r="M26" s="6">
        <v>1</v>
      </c>
      <c r="N26" s="6">
        <v>1</v>
      </c>
      <c r="O26" s="6">
        <v>1</v>
      </c>
      <c r="P26" s="6">
        <v>0</v>
      </c>
      <c r="Q26" s="6">
        <v>0</v>
      </c>
      <c r="R26" s="6">
        <v>0</v>
      </c>
      <c r="S26" s="6">
        <v>0</v>
      </c>
      <c r="T26" s="6">
        <v>0</v>
      </c>
      <c r="U26" s="6">
        <v>0</v>
      </c>
      <c r="V26" s="6">
        <v>0</v>
      </c>
      <c r="W26" s="6">
        <v>0</v>
      </c>
      <c r="X26" s="6">
        <v>0</v>
      </c>
      <c r="Y26" s="6">
        <v>0</v>
      </c>
      <c r="Z26" s="6">
        <v>0</v>
      </c>
      <c r="AA26" s="6">
        <v>0</v>
      </c>
      <c r="AB26" s="6">
        <v>0</v>
      </c>
      <c r="AC26" s="6">
        <v>0</v>
      </c>
      <c r="AD26" s="6">
        <v>0</v>
      </c>
      <c r="AE26" s="6">
        <v>0</v>
      </c>
      <c r="AF26" s="215">
        <v>0</v>
      </c>
      <c r="AG26" s="180" cm="1">
        <f t="array" ref="AG26">SUM(K26:AF26 * B$5:W$5)</f>
        <v>250</v>
      </c>
      <c r="AH26" s="203">
        <v>0.68493150684931503</v>
      </c>
      <c r="AI26" s="229">
        <v>0</v>
      </c>
      <c r="AJ26" s="229">
        <v>0</v>
      </c>
      <c r="AK26" s="229">
        <v>0</v>
      </c>
      <c r="AL26" s="229">
        <v>0</v>
      </c>
    </row>
    <row r="27" spans="2:38">
      <c r="B27" s="12">
        <v>3116</v>
      </c>
      <c r="C27" s="6" t="s">
        <v>515</v>
      </c>
      <c r="D27" s="12" t="s">
        <v>507</v>
      </c>
      <c r="E27" s="12">
        <v>2</v>
      </c>
      <c r="F27" s="12">
        <v>0</v>
      </c>
      <c r="G27" s="12">
        <v>0</v>
      </c>
      <c r="H27" s="12">
        <v>0</v>
      </c>
      <c r="I27" s="12">
        <v>1</v>
      </c>
      <c r="J27" s="12">
        <v>1</v>
      </c>
      <c r="K27" s="6">
        <v>1</v>
      </c>
      <c r="L27" s="6">
        <v>1</v>
      </c>
      <c r="M27" s="6">
        <v>1</v>
      </c>
      <c r="N27" s="6">
        <v>1</v>
      </c>
      <c r="O27" s="6">
        <v>1</v>
      </c>
      <c r="P27" s="6">
        <v>1</v>
      </c>
      <c r="Q27" s="6">
        <v>0</v>
      </c>
      <c r="R27" s="6">
        <v>0</v>
      </c>
      <c r="S27" s="6">
        <v>0</v>
      </c>
      <c r="T27" s="6">
        <v>0</v>
      </c>
      <c r="U27" s="6">
        <v>0</v>
      </c>
      <c r="V27" s="6">
        <v>0</v>
      </c>
      <c r="W27" s="6">
        <v>0</v>
      </c>
      <c r="X27" s="6">
        <v>0</v>
      </c>
      <c r="Y27" s="6">
        <v>0</v>
      </c>
      <c r="Z27" s="6">
        <v>0</v>
      </c>
      <c r="AA27" s="6">
        <v>0</v>
      </c>
      <c r="AB27" s="6">
        <v>0</v>
      </c>
      <c r="AC27" s="6">
        <v>0</v>
      </c>
      <c r="AD27" s="6">
        <v>0</v>
      </c>
      <c r="AE27" s="6">
        <v>0</v>
      </c>
      <c r="AF27" s="215">
        <v>0</v>
      </c>
      <c r="AG27" s="180" cm="1">
        <f t="array" ref="AG27">SUM(K27:AF27 * B$5:W$5)</f>
        <v>300</v>
      </c>
      <c r="AH27" s="203">
        <v>0.82191780821917804</v>
      </c>
      <c r="AI27" s="229">
        <v>0</v>
      </c>
      <c r="AJ27" s="229">
        <v>0</v>
      </c>
      <c r="AK27" s="229">
        <v>0</v>
      </c>
      <c r="AL27" s="229">
        <v>0.82191780821917804</v>
      </c>
    </row>
    <row r="28" spans="2:38">
      <c r="B28" s="12">
        <v>3116</v>
      </c>
      <c r="C28" s="6" t="s">
        <v>515</v>
      </c>
      <c r="D28" s="12" t="s">
        <v>507</v>
      </c>
      <c r="E28" s="12">
        <v>2</v>
      </c>
      <c r="F28" s="12">
        <v>0</v>
      </c>
      <c r="G28" s="12">
        <v>0</v>
      </c>
      <c r="H28" s="12">
        <v>0</v>
      </c>
      <c r="I28" s="12">
        <v>1</v>
      </c>
      <c r="J28" s="12">
        <v>2</v>
      </c>
      <c r="K28" s="6">
        <v>2</v>
      </c>
      <c r="L28" s="6">
        <v>2</v>
      </c>
      <c r="M28" s="6">
        <v>2</v>
      </c>
      <c r="N28" s="6">
        <v>2</v>
      </c>
      <c r="O28" s="6">
        <v>2</v>
      </c>
      <c r="P28" s="6">
        <v>1</v>
      </c>
      <c r="Q28" s="6">
        <v>0</v>
      </c>
      <c r="R28" s="6">
        <v>0</v>
      </c>
      <c r="S28" s="6">
        <v>0</v>
      </c>
      <c r="T28" s="6">
        <v>0</v>
      </c>
      <c r="U28" s="6">
        <v>0</v>
      </c>
      <c r="V28" s="6">
        <v>0</v>
      </c>
      <c r="W28" s="6">
        <v>0</v>
      </c>
      <c r="X28" s="6">
        <v>0</v>
      </c>
      <c r="Y28" s="6">
        <v>0</v>
      </c>
      <c r="Z28" s="6">
        <v>0</v>
      </c>
      <c r="AA28" s="6">
        <v>0</v>
      </c>
      <c r="AB28" s="6">
        <v>0</v>
      </c>
      <c r="AC28" s="6">
        <v>0</v>
      </c>
      <c r="AD28" s="6">
        <v>0</v>
      </c>
      <c r="AE28" s="6">
        <v>0</v>
      </c>
      <c r="AF28" s="215">
        <v>0</v>
      </c>
      <c r="AG28" s="180" cm="1">
        <f t="array" ref="AG28">SUM(K28:AF28 * B$5:W$5)</f>
        <v>550</v>
      </c>
      <c r="AH28" s="203">
        <v>1.5068493150684932</v>
      </c>
      <c r="AI28" s="229">
        <v>0</v>
      </c>
      <c r="AJ28" s="229">
        <v>0</v>
      </c>
      <c r="AK28" s="229">
        <v>0</v>
      </c>
      <c r="AL28" s="229">
        <v>1.5068493150684932</v>
      </c>
    </row>
    <row r="29" spans="2:38">
      <c r="B29" s="12">
        <v>3153</v>
      </c>
      <c r="C29" s="6" t="s">
        <v>516</v>
      </c>
      <c r="D29" s="12" t="s">
        <v>507</v>
      </c>
      <c r="E29" s="12">
        <v>3</v>
      </c>
      <c r="F29" s="12">
        <v>0</v>
      </c>
      <c r="G29" s="12">
        <v>1</v>
      </c>
      <c r="H29" s="12">
        <v>0</v>
      </c>
      <c r="I29" s="12">
        <v>0</v>
      </c>
      <c r="J29" s="12">
        <v>1</v>
      </c>
      <c r="K29" s="6">
        <v>6</v>
      </c>
      <c r="L29" s="6">
        <v>6</v>
      </c>
      <c r="M29" s="6">
        <v>6</v>
      </c>
      <c r="N29" s="6">
        <v>6</v>
      </c>
      <c r="O29" s="6">
        <v>6</v>
      </c>
      <c r="P29" s="6">
        <v>5</v>
      </c>
      <c r="Q29" s="6">
        <v>1</v>
      </c>
      <c r="R29" s="6">
        <v>0</v>
      </c>
      <c r="S29" s="6">
        <v>0</v>
      </c>
      <c r="T29" s="6">
        <v>0</v>
      </c>
      <c r="U29" s="6">
        <v>0</v>
      </c>
      <c r="V29" s="6">
        <v>0</v>
      </c>
      <c r="W29" s="6">
        <v>0</v>
      </c>
      <c r="X29" s="6">
        <v>0</v>
      </c>
      <c r="Y29" s="6">
        <v>0</v>
      </c>
      <c r="Z29" s="6">
        <v>0</v>
      </c>
      <c r="AA29" s="6">
        <v>0</v>
      </c>
      <c r="AB29" s="6">
        <v>0</v>
      </c>
      <c r="AC29" s="6">
        <v>0</v>
      </c>
      <c r="AD29" s="6">
        <v>0</v>
      </c>
      <c r="AE29" s="6">
        <v>0</v>
      </c>
      <c r="AF29" s="215">
        <v>0</v>
      </c>
      <c r="AG29" s="180" cm="1">
        <f t="array" ref="AG29">SUM(K29:AF29 * B$5:W$5)</f>
        <v>1800</v>
      </c>
      <c r="AH29" s="203">
        <v>4.9315068493150687</v>
      </c>
      <c r="AI29" s="229">
        <v>0</v>
      </c>
      <c r="AJ29" s="229">
        <v>4.9315068493150687</v>
      </c>
      <c r="AK29" s="229">
        <v>0</v>
      </c>
      <c r="AL29" s="229">
        <v>0</v>
      </c>
    </row>
    <row r="30" spans="2:38">
      <c r="B30" s="12">
        <v>3153</v>
      </c>
      <c r="C30" s="6" t="s">
        <v>516</v>
      </c>
      <c r="D30" s="12" t="s">
        <v>507</v>
      </c>
      <c r="E30" s="12">
        <v>3</v>
      </c>
      <c r="F30" s="12">
        <v>0</v>
      </c>
      <c r="G30" s="12">
        <v>1</v>
      </c>
      <c r="H30" s="12">
        <v>0</v>
      </c>
      <c r="I30" s="12">
        <v>0</v>
      </c>
      <c r="J30" s="12">
        <v>2</v>
      </c>
      <c r="K30" s="6">
        <v>6</v>
      </c>
      <c r="L30" s="6">
        <v>6</v>
      </c>
      <c r="M30" s="6">
        <v>6</v>
      </c>
      <c r="N30" s="6">
        <v>6</v>
      </c>
      <c r="O30" s="6">
        <v>6</v>
      </c>
      <c r="P30" s="6">
        <v>5</v>
      </c>
      <c r="Q30" s="6">
        <v>1</v>
      </c>
      <c r="R30" s="6">
        <v>0</v>
      </c>
      <c r="S30" s="6">
        <v>0</v>
      </c>
      <c r="T30" s="6">
        <v>0</v>
      </c>
      <c r="U30" s="6">
        <v>0</v>
      </c>
      <c r="V30" s="6">
        <v>0</v>
      </c>
      <c r="W30" s="6">
        <v>0</v>
      </c>
      <c r="X30" s="6">
        <v>0</v>
      </c>
      <c r="Y30" s="6">
        <v>0</v>
      </c>
      <c r="Z30" s="6">
        <v>0</v>
      </c>
      <c r="AA30" s="6">
        <v>0</v>
      </c>
      <c r="AB30" s="6">
        <v>0</v>
      </c>
      <c r="AC30" s="6">
        <v>0</v>
      </c>
      <c r="AD30" s="6">
        <v>0</v>
      </c>
      <c r="AE30" s="6">
        <v>0</v>
      </c>
      <c r="AF30" s="215">
        <v>0</v>
      </c>
      <c r="AG30" s="180" cm="1">
        <f t="array" ref="AG30">SUM(K30:AF30 * B$5:W$5)</f>
        <v>1800</v>
      </c>
      <c r="AH30" s="203">
        <v>4.9315068493150687</v>
      </c>
      <c r="AI30" s="229">
        <v>0</v>
      </c>
      <c r="AJ30" s="229">
        <v>4.9315068493150687</v>
      </c>
      <c r="AK30" s="229">
        <v>0</v>
      </c>
      <c r="AL30" s="229">
        <v>0</v>
      </c>
    </row>
    <row r="31" spans="2:38">
      <c r="B31" s="12">
        <v>3153</v>
      </c>
      <c r="C31" s="6" t="s">
        <v>517</v>
      </c>
      <c r="D31" s="12" t="s">
        <v>507</v>
      </c>
      <c r="E31" s="12">
        <v>3</v>
      </c>
      <c r="F31" s="12">
        <v>0</v>
      </c>
      <c r="G31" s="12">
        <v>1</v>
      </c>
      <c r="H31" s="12">
        <v>0</v>
      </c>
      <c r="I31" s="12">
        <v>0</v>
      </c>
      <c r="J31" s="12">
        <v>1</v>
      </c>
      <c r="K31" s="6">
        <v>11</v>
      </c>
      <c r="L31" s="6">
        <v>11</v>
      </c>
      <c r="M31" s="6">
        <v>11</v>
      </c>
      <c r="N31" s="6">
        <v>11</v>
      </c>
      <c r="O31" s="6">
        <v>11</v>
      </c>
      <c r="P31" s="6">
        <v>4</v>
      </c>
      <c r="Q31" s="6">
        <v>0</v>
      </c>
      <c r="R31" s="6">
        <v>0</v>
      </c>
      <c r="S31" s="6">
        <v>0</v>
      </c>
      <c r="T31" s="6">
        <v>0</v>
      </c>
      <c r="U31" s="6">
        <v>0</v>
      </c>
      <c r="V31" s="6">
        <v>0</v>
      </c>
      <c r="W31" s="6">
        <v>0</v>
      </c>
      <c r="X31" s="6">
        <v>0</v>
      </c>
      <c r="Y31" s="6">
        <v>0</v>
      </c>
      <c r="Z31" s="6">
        <v>0</v>
      </c>
      <c r="AA31" s="6">
        <v>0</v>
      </c>
      <c r="AB31" s="6">
        <v>0</v>
      </c>
      <c r="AC31" s="6">
        <v>0</v>
      </c>
      <c r="AD31" s="6">
        <v>0</v>
      </c>
      <c r="AE31" s="6">
        <v>0</v>
      </c>
      <c r="AF31" s="215">
        <v>0</v>
      </c>
      <c r="AG31" s="180" cm="1">
        <f t="array" ref="AG31">SUM(K31:AF31 * B$5:W$5)</f>
        <v>2950</v>
      </c>
      <c r="AH31" s="203">
        <v>8.0821917808219172</v>
      </c>
      <c r="AI31" s="229">
        <v>0</v>
      </c>
      <c r="AJ31" s="229">
        <v>8.0821917808219172</v>
      </c>
      <c r="AK31" s="229">
        <v>0</v>
      </c>
      <c r="AL31" s="229">
        <v>0</v>
      </c>
    </row>
    <row r="32" spans="2:38">
      <c r="B32" s="12">
        <v>3153</v>
      </c>
      <c r="C32" s="6" t="s">
        <v>517</v>
      </c>
      <c r="D32" s="12" t="s">
        <v>507</v>
      </c>
      <c r="E32" s="12">
        <v>3</v>
      </c>
      <c r="F32" s="12">
        <v>0</v>
      </c>
      <c r="G32" s="12">
        <v>1</v>
      </c>
      <c r="H32" s="12">
        <v>0</v>
      </c>
      <c r="I32" s="12">
        <v>0</v>
      </c>
      <c r="J32" s="12">
        <v>2</v>
      </c>
      <c r="K32" s="6">
        <v>9</v>
      </c>
      <c r="L32" s="6">
        <v>9</v>
      </c>
      <c r="M32" s="6">
        <v>9</v>
      </c>
      <c r="N32" s="6">
        <v>9</v>
      </c>
      <c r="O32" s="6">
        <v>9</v>
      </c>
      <c r="P32" s="6">
        <v>6</v>
      </c>
      <c r="Q32" s="6">
        <v>0</v>
      </c>
      <c r="R32" s="6">
        <v>0</v>
      </c>
      <c r="S32" s="6">
        <v>0</v>
      </c>
      <c r="T32" s="6">
        <v>0</v>
      </c>
      <c r="U32" s="6">
        <v>0</v>
      </c>
      <c r="V32" s="6">
        <v>0</v>
      </c>
      <c r="W32" s="6">
        <v>0</v>
      </c>
      <c r="X32" s="6">
        <v>0</v>
      </c>
      <c r="Y32" s="6">
        <v>0</v>
      </c>
      <c r="Z32" s="6">
        <v>0</v>
      </c>
      <c r="AA32" s="6">
        <v>0</v>
      </c>
      <c r="AB32" s="6">
        <v>0</v>
      </c>
      <c r="AC32" s="6">
        <v>0</v>
      </c>
      <c r="AD32" s="6">
        <v>0</v>
      </c>
      <c r="AE32" s="6">
        <v>0</v>
      </c>
      <c r="AF32" s="215">
        <v>0</v>
      </c>
      <c r="AG32" s="180" cm="1">
        <f t="array" ref="AG32">SUM(K32:AF32 * B$5:W$5)</f>
        <v>2550</v>
      </c>
      <c r="AH32" s="203">
        <v>6.9863013698630141</v>
      </c>
      <c r="AI32" s="229">
        <v>0</v>
      </c>
      <c r="AJ32" s="229">
        <v>6.9863013698630141</v>
      </c>
      <c r="AK32" s="229">
        <v>0</v>
      </c>
      <c r="AL32" s="229">
        <v>0</v>
      </c>
    </row>
    <row r="33" spans="2:38">
      <c r="B33" s="12">
        <v>3975</v>
      </c>
      <c r="C33" s="6" t="s">
        <v>518</v>
      </c>
      <c r="D33" s="12" t="s">
        <v>507</v>
      </c>
      <c r="E33" s="12">
        <v>2</v>
      </c>
      <c r="F33" s="12">
        <v>0</v>
      </c>
      <c r="G33" s="12">
        <v>0</v>
      </c>
      <c r="H33" s="12">
        <v>1</v>
      </c>
      <c r="I33" s="12">
        <v>0</v>
      </c>
      <c r="J33" s="12">
        <v>1</v>
      </c>
      <c r="K33" s="6">
        <v>2</v>
      </c>
      <c r="L33" s="6">
        <v>2</v>
      </c>
      <c r="M33" s="6">
        <v>2</v>
      </c>
      <c r="N33" s="6">
        <v>2</v>
      </c>
      <c r="O33" s="6">
        <v>2</v>
      </c>
      <c r="P33" s="6">
        <v>0</v>
      </c>
      <c r="Q33" s="6">
        <v>0</v>
      </c>
      <c r="R33" s="6">
        <v>0</v>
      </c>
      <c r="S33" s="6">
        <v>0</v>
      </c>
      <c r="T33" s="6">
        <v>0</v>
      </c>
      <c r="U33" s="6">
        <v>0</v>
      </c>
      <c r="V33" s="6">
        <v>0</v>
      </c>
      <c r="W33" s="6">
        <v>0</v>
      </c>
      <c r="X33" s="6">
        <v>0</v>
      </c>
      <c r="Y33" s="6">
        <v>0</v>
      </c>
      <c r="Z33" s="6">
        <v>0</v>
      </c>
      <c r="AA33" s="6">
        <v>0</v>
      </c>
      <c r="AB33" s="6">
        <v>0</v>
      </c>
      <c r="AC33" s="6">
        <v>0</v>
      </c>
      <c r="AD33" s="6">
        <v>0</v>
      </c>
      <c r="AE33" s="6">
        <v>0</v>
      </c>
      <c r="AF33" s="215">
        <v>0</v>
      </c>
      <c r="AG33" s="180" cm="1">
        <f t="array" ref="AG33">SUM(K33:AF33 * B$5:W$5)</f>
        <v>500</v>
      </c>
      <c r="AH33" s="203">
        <v>1.3698630136986301</v>
      </c>
      <c r="AI33" s="229">
        <v>0</v>
      </c>
      <c r="AJ33" s="229">
        <v>0</v>
      </c>
      <c r="AK33" s="229">
        <v>1.3698630136986301</v>
      </c>
      <c r="AL33" s="229">
        <v>0</v>
      </c>
    </row>
    <row r="34" spans="2:38">
      <c r="B34" s="12">
        <v>3975</v>
      </c>
      <c r="C34" s="6" t="s">
        <v>518</v>
      </c>
      <c r="D34" s="12" t="s">
        <v>507</v>
      </c>
      <c r="E34" s="12">
        <v>2</v>
      </c>
      <c r="F34" s="12">
        <v>0</v>
      </c>
      <c r="G34" s="12">
        <v>0</v>
      </c>
      <c r="H34" s="12">
        <v>1</v>
      </c>
      <c r="I34" s="12">
        <v>0</v>
      </c>
      <c r="J34" s="12">
        <v>2</v>
      </c>
      <c r="K34" s="6">
        <v>2</v>
      </c>
      <c r="L34" s="6">
        <v>2</v>
      </c>
      <c r="M34" s="6">
        <v>2</v>
      </c>
      <c r="N34" s="6">
        <v>2</v>
      </c>
      <c r="O34" s="6">
        <v>2</v>
      </c>
      <c r="P34" s="6">
        <v>0</v>
      </c>
      <c r="Q34" s="6">
        <v>0</v>
      </c>
      <c r="R34" s="6">
        <v>0</v>
      </c>
      <c r="S34" s="6">
        <v>0</v>
      </c>
      <c r="T34" s="6">
        <v>0</v>
      </c>
      <c r="U34" s="6">
        <v>0</v>
      </c>
      <c r="V34" s="6">
        <v>0</v>
      </c>
      <c r="W34" s="6">
        <v>0</v>
      </c>
      <c r="X34" s="6">
        <v>0</v>
      </c>
      <c r="Y34" s="6">
        <v>0</v>
      </c>
      <c r="Z34" s="6">
        <v>0</v>
      </c>
      <c r="AA34" s="6">
        <v>0</v>
      </c>
      <c r="AB34" s="6">
        <v>0</v>
      </c>
      <c r="AC34" s="6">
        <v>0</v>
      </c>
      <c r="AD34" s="6">
        <v>0</v>
      </c>
      <c r="AE34" s="6">
        <v>0</v>
      </c>
      <c r="AF34" s="215">
        <v>0</v>
      </c>
      <c r="AG34" s="180" cm="1">
        <f t="array" ref="AG34">SUM(K34:AF34 * B$5:W$5)</f>
        <v>500</v>
      </c>
      <c r="AH34" s="203">
        <v>1.3698630136986301</v>
      </c>
      <c r="AI34" s="229">
        <v>0</v>
      </c>
      <c r="AJ34" s="229">
        <v>0</v>
      </c>
      <c r="AK34" s="229">
        <v>1.3698630136986301</v>
      </c>
      <c r="AL34" s="229">
        <v>0</v>
      </c>
    </row>
    <row r="35" spans="2:38">
      <c r="B35" s="12">
        <v>4406</v>
      </c>
      <c r="C35" s="6" t="s">
        <v>519</v>
      </c>
      <c r="D35" s="12" t="s">
        <v>507</v>
      </c>
      <c r="E35" s="12">
        <v>2</v>
      </c>
      <c r="F35" s="12">
        <v>0</v>
      </c>
      <c r="G35" s="12">
        <v>0</v>
      </c>
      <c r="H35" s="12">
        <v>0</v>
      </c>
      <c r="I35" s="12">
        <v>0</v>
      </c>
      <c r="J35" s="12">
        <v>1</v>
      </c>
      <c r="K35" s="6">
        <v>1</v>
      </c>
      <c r="L35" s="6">
        <v>1</v>
      </c>
      <c r="M35" s="6">
        <v>1</v>
      </c>
      <c r="N35" s="6">
        <v>1</v>
      </c>
      <c r="O35" s="6">
        <v>1</v>
      </c>
      <c r="P35" s="6">
        <v>0</v>
      </c>
      <c r="Q35" s="6">
        <v>0</v>
      </c>
      <c r="R35" s="6">
        <v>1</v>
      </c>
      <c r="S35" s="6">
        <v>0</v>
      </c>
      <c r="T35" s="6">
        <v>0</v>
      </c>
      <c r="U35" s="6">
        <v>0</v>
      </c>
      <c r="V35" s="6">
        <v>0</v>
      </c>
      <c r="W35" s="6">
        <v>0</v>
      </c>
      <c r="X35" s="6">
        <v>0</v>
      </c>
      <c r="Y35" s="6">
        <v>0</v>
      </c>
      <c r="Z35" s="6">
        <v>0</v>
      </c>
      <c r="AA35" s="6">
        <v>0</v>
      </c>
      <c r="AB35" s="6">
        <v>0</v>
      </c>
      <c r="AC35" s="6">
        <v>0</v>
      </c>
      <c r="AD35" s="6">
        <v>0</v>
      </c>
      <c r="AE35" s="6">
        <v>0</v>
      </c>
      <c r="AF35" s="215">
        <v>0</v>
      </c>
      <c r="AG35" s="180" cm="1">
        <f t="array" ref="AG35">SUM(K35:AF35 * B$5:W$5)</f>
        <v>265</v>
      </c>
      <c r="AH35" s="203">
        <v>0.72602739726027399</v>
      </c>
      <c r="AI35" s="229">
        <v>0</v>
      </c>
      <c r="AJ35" s="229">
        <v>0</v>
      </c>
      <c r="AK35" s="229">
        <v>0</v>
      </c>
      <c r="AL35" s="229">
        <v>0</v>
      </c>
    </row>
    <row r="36" spans="2:38">
      <c r="B36" s="12">
        <v>4406</v>
      </c>
      <c r="C36" s="6" t="s">
        <v>519</v>
      </c>
      <c r="D36" s="12" t="s">
        <v>507</v>
      </c>
      <c r="E36" s="12">
        <v>2</v>
      </c>
      <c r="F36" s="12">
        <v>0</v>
      </c>
      <c r="G36" s="12">
        <v>0</v>
      </c>
      <c r="H36" s="12">
        <v>0</v>
      </c>
      <c r="I36" s="12">
        <v>0</v>
      </c>
      <c r="J36" s="12">
        <v>2</v>
      </c>
      <c r="K36" s="6">
        <v>1</v>
      </c>
      <c r="L36" s="6">
        <v>1</v>
      </c>
      <c r="M36" s="6">
        <v>1</v>
      </c>
      <c r="N36" s="6">
        <v>1</v>
      </c>
      <c r="O36" s="6">
        <v>1</v>
      </c>
      <c r="P36" s="6">
        <v>0</v>
      </c>
      <c r="Q36" s="6">
        <v>0</v>
      </c>
      <c r="R36" s="6">
        <v>1</v>
      </c>
      <c r="S36" s="6">
        <v>0</v>
      </c>
      <c r="T36" s="6">
        <v>0</v>
      </c>
      <c r="U36" s="6">
        <v>0</v>
      </c>
      <c r="V36" s="6">
        <v>0</v>
      </c>
      <c r="W36" s="6">
        <v>0</v>
      </c>
      <c r="X36" s="6">
        <v>0</v>
      </c>
      <c r="Y36" s="6">
        <v>0</v>
      </c>
      <c r="Z36" s="6">
        <v>0</v>
      </c>
      <c r="AA36" s="6">
        <v>0</v>
      </c>
      <c r="AB36" s="6">
        <v>0</v>
      </c>
      <c r="AC36" s="6">
        <v>0</v>
      </c>
      <c r="AD36" s="6">
        <v>0</v>
      </c>
      <c r="AE36" s="6">
        <v>0</v>
      </c>
      <c r="AF36" s="215">
        <v>0</v>
      </c>
      <c r="AG36" s="180" cm="1">
        <f t="array" ref="AG36">SUM(K36:AF36 * B$5:W$5)</f>
        <v>265</v>
      </c>
      <c r="AH36" s="203">
        <v>0.72602739726027399</v>
      </c>
      <c r="AI36" s="229">
        <v>0</v>
      </c>
      <c r="AJ36" s="229">
        <v>0</v>
      </c>
      <c r="AK36" s="229">
        <v>0</v>
      </c>
      <c r="AL36" s="229">
        <v>0</v>
      </c>
    </row>
    <row r="37" spans="2:38">
      <c r="B37" s="12">
        <v>4406</v>
      </c>
      <c r="C37" s="6" t="s">
        <v>520</v>
      </c>
      <c r="D37" s="12" t="s">
        <v>507</v>
      </c>
      <c r="E37" s="12">
        <v>2</v>
      </c>
      <c r="F37" s="12">
        <v>0</v>
      </c>
      <c r="G37" s="12">
        <v>0</v>
      </c>
      <c r="H37" s="12">
        <v>1</v>
      </c>
      <c r="I37" s="12">
        <v>0</v>
      </c>
      <c r="J37" s="12">
        <v>1</v>
      </c>
      <c r="K37" s="6">
        <v>1</v>
      </c>
      <c r="L37" s="6">
        <v>1</v>
      </c>
      <c r="M37" s="6">
        <v>1</v>
      </c>
      <c r="N37" s="6">
        <v>1</v>
      </c>
      <c r="O37" s="6">
        <v>1</v>
      </c>
      <c r="P37" s="6">
        <v>2</v>
      </c>
      <c r="Q37" s="6">
        <v>0</v>
      </c>
      <c r="R37" s="6">
        <v>2</v>
      </c>
      <c r="S37" s="6">
        <v>0</v>
      </c>
      <c r="T37" s="6">
        <v>0</v>
      </c>
      <c r="U37" s="6">
        <v>0</v>
      </c>
      <c r="V37" s="6">
        <v>0</v>
      </c>
      <c r="W37" s="6">
        <v>0</v>
      </c>
      <c r="X37" s="6">
        <v>0</v>
      </c>
      <c r="Y37" s="6">
        <v>0</v>
      </c>
      <c r="Z37" s="6">
        <v>0</v>
      </c>
      <c r="AA37" s="6">
        <v>0</v>
      </c>
      <c r="AB37" s="6">
        <v>0</v>
      </c>
      <c r="AC37" s="6">
        <v>0</v>
      </c>
      <c r="AD37" s="6">
        <v>0</v>
      </c>
      <c r="AE37" s="6">
        <v>0</v>
      </c>
      <c r="AF37" s="215">
        <v>0</v>
      </c>
      <c r="AG37" s="180" cm="1">
        <f t="array" ref="AG37">SUM(K37:AF37 * B$5:W$5)</f>
        <v>380</v>
      </c>
      <c r="AH37" s="203">
        <v>1.0410958904109588</v>
      </c>
      <c r="AI37" s="229">
        <v>0</v>
      </c>
      <c r="AJ37" s="229">
        <v>0</v>
      </c>
      <c r="AK37" s="229">
        <v>1.0410958904109588</v>
      </c>
      <c r="AL37" s="229">
        <v>0</v>
      </c>
    </row>
    <row r="38" spans="2:38">
      <c r="B38" s="12">
        <v>4406</v>
      </c>
      <c r="C38" s="6" t="s">
        <v>520</v>
      </c>
      <c r="D38" s="12" t="s">
        <v>507</v>
      </c>
      <c r="E38" s="12">
        <v>2</v>
      </c>
      <c r="F38" s="12">
        <v>0</v>
      </c>
      <c r="G38" s="12">
        <v>0</v>
      </c>
      <c r="H38" s="12">
        <v>1</v>
      </c>
      <c r="I38" s="12">
        <v>0</v>
      </c>
      <c r="J38" s="12">
        <v>2</v>
      </c>
      <c r="K38" s="6">
        <v>1</v>
      </c>
      <c r="L38" s="6">
        <v>1</v>
      </c>
      <c r="M38" s="6">
        <v>1</v>
      </c>
      <c r="N38" s="6">
        <v>1</v>
      </c>
      <c r="O38" s="6">
        <v>1</v>
      </c>
      <c r="P38" s="6">
        <v>2</v>
      </c>
      <c r="Q38" s="6">
        <v>0</v>
      </c>
      <c r="R38" s="6">
        <v>2</v>
      </c>
      <c r="S38" s="6">
        <v>0</v>
      </c>
      <c r="T38" s="6">
        <v>0</v>
      </c>
      <c r="U38" s="6">
        <v>0</v>
      </c>
      <c r="V38" s="6">
        <v>0</v>
      </c>
      <c r="W38" s="6">
        <v>0</v>
      </c>
      <c r="X38" s="6">
        <v>0</v>
      </c>
      <c r="Y38" s="6">
        <v>0</v>
      </c>
      <c r="Z38" s="6">
        <v>0</v>
      </c>
      <c r="AA38" s="6">
        <v>0</v>
      </c>
      <c r="AB38" s="6">
        <v>0</v>
      </c>
      <c r="AC38" s="6">
        <v>0</v>
      </c>
      <c r="AD38" s="6">
        <v>0</v>
      </c>
      <c r="AE38" s="6">
        <v>0</v>
      </c>
      <c r="AF38" s="215">
        <v>0</v>
      </c>
      <c r="AG38" s="180" cm="1">
        <f t="array" ref="AG38">SUM(K38:AF38 * B$5:W$5)</f>
        <v>380</v>
      </c>
      <c r="AH38" s="203">
        <v>1.0410958904109588</v>
      </c>
      <c r="AI38" s="229">
        <v>0</v>
      </c>
      <c r="AJ38" s="229">
        <v>0</v>
      </c>
      <c r="AK38" s="229">
        <v>1.0410958904109588</v>
      </c>
      <c r="AL38" s="229">
        <v>0</v>
      </c>
    </row>
    <row r="39" spans="2:38">
      <c r="B39" s="12">
        <v>4445</v>
      </c>
      <c r="C39" s="6" t="s">
        <v>521</v>
      </c>
      <c r="D39" s="12" t="s">
        <v>507</v>
      </c>
      <c r="E39" s="12">
        <v>2</v>
      </c>
      <c r="F39" s="12">
        <v>0</v>
      </c>
      <c r="G39" s="12">
        <v>0</v>
      </c>
      <c r="H39" s="12">
        <v>0</v>
      </c>
      <c r="I39" s="12">
        <v>0</v>
      </c>
      <c r="J39" s="12">
        <v>1</v>
      </c>
      <c r="K39" s="6">
        <v>40</v>
      </c>
      <c r="L39" s="6">
        <v>40</v>
      </c>
      <c r="M39" s="6">
        <v>40</v>
      </c>
      <c r="N39" s="6">
        <v>40</v>
      </c>
      <c r="O39" s="6">
        <v>40</v>
      </c>
      <c r="P39" s="6">
        <v>32</v>
      </c>
      <c r="Q39" s="6">
        <v>18</v>
      </c>
      <c r="R39" s="6">
        <v>0</v>
      </c>
      <c r="S39" s="6">
        <v>0</v>
      </c>
      <c r="T39" s="6">
        <v>0</v>
      </c>
      <c r="U39" s="6">
        <v>0</v>
      </c>
      <c r="V39" s="6">
        <v>0</v>
      </c>
      <c r="W39" s="6">
        <v>0</v>
      </c>
      <c r="X39" s="6">
        <v>0</v>
      </c>
      <c r="Y39" s="6">
        <v>0</v>
      </c>
      <c r="Z39" s="6">
        <v>0</v>
      </c>
      <c r="AA39" s="6">
        <v>0</v>
      </c>
      <c r="AB39" s="6">
        <v>0</v>
      </c>
      <c r="AC39" s="6">
        <v>0</v>
      </c>
      <c r="AD39" s="6">
        <v>0</v>
      </c>
      <c r="AE39" s="6">
        <v>0</v>
      </c>
      <c r="AF39" s="215">
        <v>0</v>
      </c>
      <c r="AG39" s="180" cm="1">
        <f t="array" ref="AG39">SUM(K39:AF39 * B$5:W$5)</f>
        <v>12500</v>
      </c>
      <c r="AH39" s="203">
        <v>34.246575342465754</v>
      </c>
      <c r="AI39" s="229">
        <v>0</v>
      </c>
      <c r="AJ39" s="229">
        <v>0</v>
      </c>
      <c r="AK39" s="229">
        <v>0</v>
      </c>
      <c r="AL39" s="229">
        <v>0</v>
      </c>
    </row>
    <row r="40" spans="2:38">
      <c r="B40" s="12">
        <v>4445</v>
      </c>
      <c r="C40" s="6" t="s">
        <v>521</v>
      </c>
      <c r="D40" s="12" t="s">
        <v>507</v>
      </c>
      <c r="E40" s="12">
        <v>2</v>
      </c>
      <c r="F40" s="12">
        <v>0</v>
      </c>
      <c r="G40" s="12">
        <v>0</v>
      </c>
      <c r="H40" s="12">
        <v>0</v>
      </c>
      <c r="I40" s="12">
        <v>0</v>
      </c>
      <c r="J40" s="12">
        <v>2</v>
      </c>
      <c r="K40" s="6">
        <v>40</v>
      </c>
      <c r="L40" s="6">
        <v>40</v>
      </c>
      <c r="M40" s="6">
        <v>40</v>
      </c>
      <c r="N40" s="6">
        <v>40</v>
      </c>
      <c r="O40" s="6">
        <v>40</v>
      </c>
      <c r="P40" s="6">
        <v>32</v>
      </c>
      <c r="Q40" s="6">
        <v>18</v>
      </c>
      <c r="R40" s="6">
        <v>0</v>
      </c>
      <c r="S40" s="6">
        <v>0</v>
      </c>
      <c r="T40" s="6">
        <v>0</v>
      </c>
      <c r="U40" s="6">
        <v>0</v>
      </c>
      <c r="V40" s="6">
        <v>0</v>
      </c>
      <c r="W40" s="6">
        <v>0</v>
      </c>
      <c r="X40" s="6">
        <v>0</v>
      </c>
      <c r="Y40" s="6">
        <v>0</v>
      </c>
      <c r="Z40" s="6">
        <v>0</v>
      </c>
      <c r="AA40" s="6">
        <v>0</v>
      </c>
      <c r="AB40" s="6">
        <v>0</v>
      </c>
      <c r="AC40" s="6">
        <v>0</v>
      </c>
      <c r="AD40" s="6">
        <v>0</v>
      </c>
      <c r="AE40" s="6">
        <v>0</v>
      </c>
      <c r="AF40" s="215">
        <v>0</v>
      </c>
      <c r="AG40" s="180" cm="1">
        <f t="array" ref="AG40">SUM(K40:AF40 * B$5:W$5)</f>
        <v>12500</v>
      </c>
      <c r="AH40" s="203">
        <v>34.246575342465754</v>
      </c>
      <c r="AI40" s="229">
        <v>0</v>
      </c>
      <c r="AJ40" s="229">
        <v>0</v>
      </c>
      <c r="AK40" s="229">
        <v>0</v>
      </c>
      <c r="AL40" s="229">
        <v>0</v>
      </c>
    </row>
    <row r="41" spans="2:38">
      <c r="B41" s="12">
        <v>4445</v>
      </c>
      <c r="C41" s="6" t="s">
        <v>522</v>
      </c>
      <c r="D41" s="12" t="s">
        <v>507</v>
      </c>
      <c r="E41" s="12">
        <v>2</v>
      </c>
      <c r="F41" s="12">
        <v>0</v>
      </c>
      <c r="G41" s="12">
        <v>0</v>
      </c>
      <c r="H41" s="12">
        <v>0</v>
      </c>
      <c r="I41" s="12">
        <v>0</v>
      </c>
      <c r="J41" s="12">
        <v>1</v>
      </c>
      <c r="K41" s="6">
        <v>16</v>
      </c>
      <c r="L41" s="6">
        <v>16</v>
      </c>
      <c r="M41" s="6">
        <v>16</v>
      </c>
      <c r="N41" s="6">
        <v>16</v>
      </c>
      <c r="O41" s="6">
        <v>16</v>
      </c>
      <c r="P41" s="6">
        <v>2</v>
      </c>
      <c r="Q41" s="6">
        <v>0</v>
      </c>
      <c r="R41" s="6">
        <v>0</v>
      </c>
      <c r="S41" s="6">
        <v>0</v>
      </c>
      <c r="T41" s="6">
        <v>0</v>
      </c>
      <c r="U41" s="6">
        <v>0</v>
      </c>
      <c r="V41" s="6">
        <v>0</v>
      </c>
      <c r="W41" s="6">
        <v>0</v>
      </c>
      <c r="X41" s="6">
        <v>0</v>
      </c>
      <c r="Y41" s="6">
        <v>0</v>
      </c>
      <c r="Z41" s="6">
        <v>0</v>
      </c>
      <c r="AA41" s="6">
        <v>0</v>
      </c>
      <c r="AB41" s="6">
        <v>0</v>
      </c>
      <c r="AC41" s="6">
        <v>0</v>
      </c>
      <c r="AD41" s="6">
        <v>0</v>
      </c>
      <c r="AE41" s="6">
        <v>0</v>
      </c>
      <c r="AF41" s="215">
        <v>0</v>
      </c>
      <c r="AG41" s="180" cm="1">
        <f t="array" ref="AG41">SUM(K41:AF41 * B$5:W$5)</f>
        <v>4100</v>
      </c>
      <c r="AH41" s="203">
        <v>11.232876712328768</v>
      </c>
      <c r="AI41" s="229">
        <v>0</v>
      </c>
      <c r="AJ41" s="229">
        <v>0</v>
      </c>
      <c r="AK41" s="229">
        <v>0</v>
      </c>
      <c r="AL41" s="229">
        <v>0</v>
      </c>
    </row>
    <row r="42" spans="2:38">
      <c r="B42" s="12">
        <v>4445</v>
      </c>
      <c r="C42" s="6" t="s">
        <v>522</v>
      </c>
      <c r="D42" s="12" t="s">
        <v>507</v>
      </c>
      <c r="E42" s="12">
        <v>2</v>
      </c>
      <c r="F42" s="12">
        <v>0</v>
      </c>
      <c r="G42" s="12">
        <v>0</v>
      </c>
      <c r="H42" s="12">
        <v>0</v>
      </c>
      <c r="I42" s="12">
        <v>0</v>
      </c>
      <c r="J42" s="12">
        <v>2</v>
      </c>
      <c r="K42" s="6">
        <v>16</v>
      </c>
      <c r="L42" s="6">
        <v>16</v>
      </c>
      <c r="M42" s="6">
        <v>16</v>
      </c>
      <c r="N42" s="6">
        <v>16</v>
      </c>
      <c r="O42" s="6">
        <v>16</v>
      </c>
      <c r="P42" s="6">
        <v>2</v>
      </c>
      <c r="Q42" s="6">
        <v>0</v>
      </c>
      <c r="R42" s="6">
        <v>0</v>
      </c>
      <c r="S42" s="6">
        <v>0</v>
      </c>
      <c r="T42" s="6">
        <v>0</v>
      </c>
      <c r="U42" s="6">
        <v>0</v>
      </c>
      <c r="V42" s="6">
        <v>0</v>
      </c>
      <c r="W42" s="6">
        <v>0</v>
      </c>
      <c r="X42" s="6">
        <v>0</v>
      </c>
      <c r="Y42" s="6">
        <v>0</v>
      </c>
      <c r="Z42" s="6">
        <v>0</v>
      </c>
      <c r="AA42" s="6">
        <v>0</v>
      </c>
      <c r="AB42" s="6">
        <v>0</v>
      </c>
      <c r="AC42" s="6">
        <v>0</v>
      </c>
      <c r="AD42" s="6">
        <v>0</v>
      </c>
      <c r="AE42" s="6">
        <v>0</v>
      </c>
      <c r="AF42" s="215">
        <v>0</v>
      </c>
      <c r="AG42" s="180" cm="1">
        <f t="array" ref="AG42">SUM(K42:AF42 * B$5:W$5)</f>
        <v>4100</v>
      </c>
      <c r="AH42" s="203">
        <v>11.232876712328768</v>
      </c>
      <c r="AI42" s="229">
        <v>0</v>
      </c>
      <c r="AJ42" s="229">
        <v>0</v>
      </c>
      <c r="AK42" s="229">
        <v>0</v>
      </c>
      <c r="AL42" s="229">
        <v>0</v>
      </c>
    </row>
    <row r="43" spans="2:38">
      <c r="B43" s="222">
        <v>4550</v>
      </c>
      <c r="C43" s="36" t="s">
        <v>523</v>
      </c>
      <c r="D43" s="222" t="s">
        <v>507</v>
      </c>
      <c r="E43" s="12">
        <v>2</v>
      </c>
      <c r="F43" s="222">
        <v>0</v>
      </c>
      <c r="G43" s="222">
        <v>0</v>
      </c>
      <c r="H43" s="222">
        <v>0</v>
      </c>
      <c r="I43" s="222">
        <v>0</v>
      </c>
      <c r="J43" s="222">
        <v>1</v>
      </c>
      <c r="K43" s="36">
        <v>1</v>
      </c>
      <c r="L43" s="36">
        <v>0</v>
      </c>
      <c r="M43" s="36">
        <v>0</v>
      </c>
      <c r="N43" s="36">
        <v>0</v>
      </c>
      <c r="O43" s="36">
        <v>1</v>
      </c>
      <c r="P43" s="36">
        <v>1</v>
      </c>
      <c r="Q43" s="36">
        <v>1</v>
      </c>
      <c r="R43" s="36">
        <v>1</v>
      </c>
      <c r="S43" s="36">
        <v>0</v>
      </c>
      <c r="T43" s="36">
        <v>0</v>
      </c>
      <c r="U43" s="36">
        <v>0</v>
      </c>
      <c r="V43" s="36">
        <v>0</v>
      </c>
      <c r="W43" s="36">
        <v>0</v>
      </c>
      <c r="X43" s="36">
        <v>0</v>
      </c>
      <c r="Y43" s="36">
        <v>0</v>
      </c>
      <c r="Z43" s="36">
        <v>0</v>
      </c>
      <c r="AA43" s="36">
        <v>0</v>
      </c>
      <c r="AB43" s="36">
        <v>0</v>
      </c>
      <c r="AC43" s="36">
        <v>0</v>
      </c>
      <c r="AD43" s="36">
        <v>0</v>
      </c>
      <c r="AE43" s="36">
        <v>0</v>
      </c>
      <c r="AF43" s="252">
        <v>0</v>
      </c>
      <c r="AG43" s="180" cm="1">
        <f t="array" ref="AG43">SUM(K43:AF43 * B$5:W$5)</f>
        <v>215</v>
      </c>
      <c r="AH43" s="203">
        <v>0.58904109589041098</v>
      </c>
      <c r="AI43" s="229">
        <v>0</v>
      </c>
      <c r="AJ43" s="229">
        <v>0</v>
      </c>
      <c r="AK43" s="229">
        <v>0</v>
      </c>
      <c r="AL43" s="229">
        <v>0</v>
      </c>
    </row>
    <row r="44" spans="2:38">
      <c r="B44" s="12">
        <v>4550</v>
      </c>
      <c r="C44" s="6" t="s">
        <v>523</v>
      </c>
      <c r="D44" s="12" t="s">
        <v>507</v>
      </c>
      <c r="E44" s="12">
        <v>2</v>
      </c>
      <c r="F44" s="12">
        <v>0</v>
      </c>
      <c r="G44" s="12">
        <v>0</v>
      </c>
      <c r="H44" s="12">
        <v>0</v>
      </c>
      <c r="I44" s="12">
        <v>0</v>
      </c>
      <c r="J44" s="12">
        <v>2</v>
      </c>
      <c r="K44" s="6">
        <v>1</v>
      </c>
      <c r="L44" s="6">
        <v>0</v>
      </c>
      <c r="M44" s="6">
        <v>0</v>
      </c>
      <c r="N44" s="6">
        <v>0</v>
      </c>
      <c r="O44" s="6">
        <v>1</v>
      </c>
      <c r="P44" s="6">
        <v>1</v>
      </c>
      <c r="Q44" s="6">
        <v>1</v>
      </c>
      <c r="R44" s="6">
        <v>1</v>
      </c>
      <c r="S44" s="6">
        <v>0</v>
      </c>
      <c r="T44" s="6">
        <v>0</v>
      </c>
      <c r="U44" s="6">
        <v>0</v>
      </c>
      <c r="V44" s="6">
        <v>0</v>
      </c>
      <c r="W44" s="6">
        <v>0</v>
      </c>
      <c r="X44" s="6">
        <v>0</v>
      </c>
      <c r="Y44" s="6">
        <v>0</v>
      </c>
      <c r="Z44" s="6">
        <v>0</v>
      </c>
      <c r="AA44" s="6">
        <v>0</v>
      </c>
      <c r="AB44" s="6">
        <v>0</v>
      </c>
      <c r="AC44" s="6">
        <v>0</v>
      </c>
      <c r="AD44" s="6">
        <v>0</v>
      </c>
      <c r="AE44" s="6">
        <v>0</v>
      </c>
      <c r="AF44" s="215">
        <v>0</v>
      </c>
      <c r="AG44" s="180" cm="1">
        <f t="array" ref="AG44">SUM(K44:AF44 * B$5:W$5)</f>
        <v>215</v>
      </c>
      <c r="AH44" s="203">
        <v>0.58904109589041098</v>
      </c>
      <c r="AI44" s="229">
        <v>0</v>
      </c>
      <c r="AJ44" s="229">
        <v>0</v>
      </c>
      <c r="AK44" s="229">
        <v>0</v>
      </c>
      <c r="AL44" s="229">
        <v>0</v>
      </c>
    </row>
    <row r="45" spans="2:38">
      <c r="B45" s="12">
        <v>3939</v>
      </c>
      <c r="C45" s="6" t="s">
        <v>524</v>
      </c>
      <c r="D45" s="12" t="s">
        <v>525</v>
      </c>
      <c r="E45" s="12">
        <v>2</v>
      </c>
      <c r="F45" s="12">
        <v>0</v>
      </c>
      <c r="G45" s="12">
        <v>0</v>
      </c>
      <c r="H45" s="12">
        <v>0</v>
      </c>
      <c r="I45" s="12">
        <v>0</v>
      </c>
      <c r="J45" s="12">
        <v>1</v>
      </c>
      <c r="K45" s="6">
        <v>1</v>
      </c>
      <c r="L45" s="6">
        <v>1</v>
      </c>
      <c r="M45" s="6">
        <v>1</v>
      </c>
      <c r="N45" s="6">
        <v>1</v>
      </c>
      <c r="O45" s="6">
        <v>1</v>
      </c>
      <c r="P45" s="6">
        <v>1</v>
      </c>
      <c r="Q45" s="6">
        <v>1</v>
      </c>
      <c r="R45" s="6">
        <v>1</v>
      </c>
      <c r="S45" s="6">
        <v>1</v>
      </c>
      <c r="T45" s="6">
        <v>1</v>
      </c>
      <c r="U45" s="6">
        <v>1</v>
      </c>
      <c r="V45" s="6">
        <v>1</v>
      </c>
      <c r="W45" s="6">
        <v>1</v>
      </c>
      <c r="X45" s="6">
        <v>1</v>
      </c>
      <c r="Y45" s="6">
        <v>1</v>
      </c>
      <c r="Z45" s="6">
        <v>1</v>
      </c>
      <c r="AA45" s="6">
        <v>1</v>
      </c>
      <c r="AB45" s="6">
        <v>1</v>
      </c>
      <c r="AC45" s="6">
        <v>1</v>
      </c>
      <c r="AD45" s="6">
        <v>1</v>
      </c>
      <c r="AE45" s="6">
        <v>1</v>
      </c>
      <c r="AF45" s="215">
        <v>1</v>
      </c>
      <c r="AG45" s="180" cm="1">
        <f t="array" ref="AG45">SUM(K45:AF45 * B$5:W$5)</f>
        <v>365</v>
      </c>
      <c r="AH45" s="203">
        <v>1</v>
      </c>
      <c r="AI45" s="229">
        <v>0</v>
      </c>
      <c r="AJ45" s="229">
        <v>0</v>
      </c>
      <c r="AK45" s="229">
        <v>0</v>
      </c>
      <c r="AL45" s="229">
        <v>0</v>
      </c>
    </row>
    <row r="46" spans="2:38">
      <c r="B46" s="12">
        <v>3939</v>
      </c>
      <c r="C46" s="6" t="s">
        <v>524</v>
      </c>
      <c r="D46" s="12" t="s">
        <v>525</v>
      </c>
      <c r="E46" s="12">
        <v>2</v>
      </c>
      <c r="F46" s="12">
        <v>0</v>
      </c>
      <c r="G46" s="12">
        <v>0</v>
      </c>
      <c r="H46" s="12">
        <v>0</v>
      </c>
      <c r="I46" s="12">
        <v>0</v>
      </c>
      <c r="J46" s="12">
        <v>2</v>
      </c>
      <c r="K46" s="6">
        <v>1</v>
      </c>
      <c r="L46" s="6">
        <v>1</v>
      </c>
      <c r="M46" s="6">
        <v>1</v>
      </c>
      <c r="N46" s="6">
        <v>1</v>
      </c>
      <c r="O46" s="6">
        <v>1</v>
      </c>
      <c r="P46" s="6">
        <v>1</v>
      </c>
      <c r="Q46" s="6">
        <v>1</v>
      </c>
      <c r="R46" s="6">
        <v>1</v>
      </c>
      <c r="S46" s="6">
        <v>1</v>
      </c>
      <c r="T46" s="6">
        <v>1</v>
      </c>
      <c r="U46" s="6">
        <v>1</v>
      </c>
      <c r="V46" s="6">
        <v>1</v>
      </c>
      <c r="W46" s="6">
        <v>1</v>
      </c>
      <c r="X46" s="6">
        <v>1</v>
      </c>
      <c r="Y46" s="6">
        <v>1</v>
      </c>
      <c r="Z46" s="6">
        <v>1</v>
      </c>
      <c r="AA46" s="6">
        <v>1</v>
      </c>
      <c r="AB46" s="6">
        <v>1</v>
      </c>
      <c r="AC46" s="6">
        <v>1</v>
      </c>
      <c r="AD46" s="6">
        <v>1</v>
      </c>
      <c r="AE46" s="6">
        <v>1</v>
      </c>
      <c r="AF46" s="215">
        <v>1</v>
      </c>
      <c r="AG46" s="180" cm="1">
        <f t="array" ref="AG46">SUM(K46:AF46 * B$5:W$5)</f>
        <v>365</v>
      </c>
      <c r="AH46" s="203">
        <v>1</v>
      </c>
      <c r="AI46" s="229">
        <v>0</v>
      </c>
      <c r="AJ46" s="229">
        <v>0</v>
      </c>
      <c r="AK46" s="229">
        <v>0</v>
      </c>
      <c r="AL46" s="229">
        <v>0</v>
      </c>
    </row>
    <row r="47" spans="2:38">
      <c r="B47" s="12">
        <v>3943</v>
      </c>
      <c r="C47" s="6" t="s">
        <v>526</v>
      </c>
      <c r="D47" s="12" t="s">
        <v>525</v>
      </c>
      <c r="E47" s="12">
        <v>2</v>
      </c>
      <c r="F47" s="12">
        <v>0</v>
      </c>
      <c r="G47" s="12">
        <v>0</v>
      </c>
      <c r="H47" s="12">
        <v>0</v>
      </c>
      <c r="I47" s="12">
        <v>0</v>
      </c>
      <c r="J47" s="12">
        <v>1</v>
      </c>
      <c r="K47" s="6">
        <v>1</v>
      </c>
      <c r="L47" s="6">
        <v>1</v>
      </c>
      <c r="M47" s="6">
        <v>1</v>
      </c>
      <c r="N47" s="6">
        <v>1</v>
      </c>
      <c r="O47" s="6">
        <v>1</v>
      </c>
      <c r="P47" s="6">
        <v>1</v>
      </c>
      <c r="Q47" s="6">
        <v>1</v>
      </c>
      <c r="R47" s="6">
        <v>1</v>
      </c>
      <c r="S47" s="6">
        <v>1</v>
      </c>
      <c r="T47" s="6">
        <v>1</v>
      </c>
      <c r="U47" s="6">
        <v>1</v>
      </c>
      <c r="V47" s="6">
        <v>1</v>
      </c>
      <c r="W47" s="6">
        <v>1</v>
      </c>
      <c r="X47" s="6">
        <v>1</v>
      </c>
      <c r="Y47" s="6">
        <v>1</v>
      </c>
      <c r="Z47" s="6">
        <v>1</v>
      </c>
      <c r="AA47" s="6">
        <v>1</v>
      </c>
      <c r="AB47" s="6">
        <v>1</v>
      </c>
      <c r="AC47" s="6">
        <v>1</v>
      </c>
      <c r="AD47" s="6">
        <v>1</v>
      </c>
      <c r="AE47" s="6">
        <v>1</v>
      </c>
      <c r="AF47" s="215">
        <v>1</v>
      </c>
      <c r="AG47" s="180" cm="1">
        <f t="array" ref="AG47">SUM(K47:AF47 * B$5:W$5)</f>
        <v>365</v>
      </c>
      <c r="AH47" s="203">
        <v>1</v>
      </c>
      <c r="AI47" s="229">
        <v>0</v>
      </c>
      <c r="AJ47" s="229">
        <v>0</v>
      </c>
      <c r="AK47" s="229">
        <v>0</v>
      </c>
      <c r="AL47" s="229">
        <v>0</v>
      </c>
    </row>
    <row r="48" spans="2:38">
      <c r="B48" s="12">
        <v>3943</v>
      </c>
      <c r="C48" s="6" t="s">
        <v>526</v>
      </c>
      <c r="D48" s="12" t="s">
        <v>525</v>
      </c>
      <c r="E48" s="12">
        <v>2</v>
      </c>
      <c r="F48" s="12">
        <v>0</v>
      </c>
      <c r="G48" s="12">
        <v>0</v>
      </c>
      <c r="H48" s="12">
        <v>0</v>
      </c>
      <c r="I48" s="12">
        <v>0</v>
      </c>
      <c r="J48" s="12">
        <v>2</v>
      </c>
      <c r="K48" s="6">
        <v>1</v>
      </c>
      <c r="L48" s="6">
        <v>1</v>
      </c>
      <c r="M48" s="6">
        <v>1</v>
      </c>
      <c r="N48" s="6">
        <v>1</v>
      </c>
      <c r="O48" s="6">
        <v>1</v>
      </c>
      <c r="P48" s="6">
        <v>1</v>
      </c>
      <c r="Q48" s="6">
        <v>1</v>
      </c>
      <c r="R48" s="6">
        <v>1</v>
      </c>
      <c r="S48" s="6">
        <v>1</v>
      </c>
      <c r="T48" s="6">
        <v>1</v>
      </c>
      <c r="U48" s="6">
        <v>1</v>
      </c>
      <c r="V48" s="6">
        <v>1</v>
      </c>
      <c r="W48" s="6">
        <v>1</v>
      </c>
      <c r="X48" s="6">
        <v>1</v>
      </c>
      <c r="Y48" s="6">
        <v>1</v>
      </c>
      <c r="Z48" s="6">
        <v>1</v>
      </c>
      <c r="AA48" s="6">
        <v>1</v>
      </c>
      <c r="AB48" s="6">
        <v>1</v>
      </c>
      <c r="AC48" s="6">
        <v>1</v>
      </c>
      <c r="AD48" s="6">
        <v>1</v>
      </c>
      <c r="AE48" s="6">
        <v>1</v>
      </c>
      <c r="AF48" s="215">
        <v>1</v>
      </c>
      <c r="AG48" s="180" cm="1">
        <f t="array" ref="AG48">SUM(K48:AF48 * B$5:W$5)</f>
        <v>365</v>
      </c>
      <c r="AH48" s="203">
        <v>1</v>
      </c>
      <c r="AI48" s="229">
        <v>0</v>
      </c>
      <c r="AJ48" s="229">
        <v>0</v>
      </c>
      <c r="AK48" s="229">
        <v>0</v>
      </c>
      <c r="AL48" s="229">
        <v>0</v>
      </c>
    </row>
    <row r="49" spans="2:38">
      <c r="B49" s="12">
        <v>3947</v>
      </c>
      <c r="C49" s="6" t="s">
        <v>527</v>
      </c>
      <c r="D49" s="12" t="s">
        <v>525</v>
      </c>
      <c r="E49" s="12">
        <v>2</v>
      </c>
      <c r="F49" s="12">
        <v>0</v>
      </c>
      <c r="G49" s="12">
        <v>0</v>
      </c>
      <c r="H49" s="12">
        <v>0</v>
      </c>
      <c r="I49" s="12">
        <v>0</v>
      </c>
      <c r="J49" s="12">
        <v>1</v>
      </c>
      <c r="K49" s="6">
        <v>8</v>
      </c>
      <c r="L49" s="6">
        <v>8</v>
      </c>
      <c r="M49" s="6">
        <v>8</v>
      </c>
      <c r="N49" s="6">
        <v>8</v>
      </c>
      <c r="O49" s="6">
        <v>8</v>
      </c>
      <c r="P49" s="6">
        <v>1</v>
      </c>
      <c r="Q49" s="6">
        <v>0</v>
      </c>
      <c r="R49" s="6">
        <v>0</v>
      </c>
      <c r="S49" s="6">
        <v>7</v>
      </c>
      <c r="T49" s="6">
        <v>7</v>
      </c>
      <c r="U49" s="6">
        <v>7</v>
      </c>
      <c r="V49" s="6">
        <v>7</v>
      </c>
      <c r="W49" s="6">
        <v>7</v>
      </c>
      <c r="X49" s="6">
        <v>1</v>
      </c>
      <c r="Y49" s="6">
        <v>0</v>
      </c>
      <c r="Z49" s="6">
        <v>6</v>
      </c>
      <c r="AA49" s="6">
        <v>6</v>
      </c>
      <c r="AB49" s="6">
        <v>6</v>
      </c>
      <c r="AC49" s="6">
        <v>6</v>
      </c>
      <c r="AD49" s="6">
        <v>6</v>
      </c>
      <c r="AE49" s="6">
        <v>1</v>
      </c>
      <c r="AF49" s="215">
        <v>6</v>
      </c>
      <c r="AG49" s="180" cm="1">
        <f t="array" ref="AG49">SUM(K49:AF49 * B$5:W$5)</f>
        <v>2050</v>
      </c>
      <c r="AH49" s="203">
        <v>5.6164383561643838</v>
      </c>
      <c r="AI49" s="229">
        <v>0</v>
      </c>
      <c r="AJ49" s="229">
        <v>0</v>
      </c>
      <c r="AK49" s="229">
        <v>0</v>
      </c>
      <c r="AL49" s="229">
        <v>0</v>
      </c>
    </row>
    <row r="50" spans="2:38">
      <c r="B50" s="12">
        <v>3947</v>
      </c>
      <c r="C50" s="6" t="s">
        <v>527</v>
      </c>
      <c r="D50" s="12" t="s">
        <v>525</v>
      </c>
      <c r="E50" s="12">
        <v>2</v>
      </c>
      <c r="F50" s="12">
        <v>0</v>
      </c>
      <c r="G50" s="12">
        <v>0</v>
      </c>
      <c r="H50" s="12">
        <v>0</v>
      </c>
      <c r="I50" s="12">
        <v>0</v>
      </c>
      <c r="J50" s="12">
        <v>2</v>
      </c>
      <c r="K50" s="6">
        <v>6</v>
      </c>
      <c r="L50" s="6">
        <v>6</v>
      </c>
      <c r="M50" s="6">
        <v>6</v>
      </c>
      <c r="N50" s="6">
        <v>6</v>
      </c>
      <c r="O50" s="6">
        <v>6</v>
      </c>
      <c r="P50" s="6">
        <v>1</v>
      </c>
      <c r="Q50" s="6">
        <v>0</v>
      </c>
      <c r="R50" s="6">
        <v>0</v>
      </c>
      <c r="S50" s="6">
        <v>6</v>
      </c>
      <c r="T50" s="6">
        <v>6</v>
      </c>
      <c r="U50" s="6">
        <v>6</v>
      </c>
      <c r="V50" s="6">
        <v>6</v>
      </c>
      <c r="W50" s="6">
        <v>6</v>
      </c>
      <c r="X50" s="6">
        <v>1</v>
      </c>
      <c r="Y50" s="6">
        <v>0</v>
      </c>
      <c r="Z50" s="6">
        <v>5</v>
      </c>
      <c r="AA50" s="6">
        <v>5</v>
      </c>
      <c r="AB50" s="6">
        <v>5</v>
      </c>
      <c r="AC50" s="6">
        <v>5</v>
      </c>
      <c r="AD50" s="6">
        <v>5</v>
      </c>
      <c r="AE50" s="6">
        <v>1</v>
      </c>
      <c r="AF50" s="215">
        <v>5</v>
      </c>
      <c r="AG50" s="180" cm="1">
        <f t="array" ref="AG50">SUM(K50:AF50 * B$5:W$5)</f>
        <v>1550</v>
      </c>
      <c r="AH50" s="203">
        <v>4.2465753424657535</v>
      </c>
      <c r="AI50" s="229">
        <v>0</v>
      </c>
      <c r="AJ50" s="229">
        <v>0</v>
      </c>
      <c r="AK50" s="229">
        <v>0</v>
      </c>
      <c r="AL50" s="229">
        <v>0</v>
      </c>
    </row>
    <row r="51" spans="2:38">
      <c r="B51" s="222">
        <v>3948</v>
      </c>
      <c r="C51" s="36" t="s">
        <v>528</v>
      </c>
      <c r="D51" s="222" t="s">
        <v>525</v>
      </c>
      <c r="E51" s="12">
        <v>2</v>
      </c>
      <c r="F51" s="222">
        <v>0</v>
      </c>
      <c r="G51" s="222">
        <v>0</v>
      </c>
      <c r="H51" s="222">
        <v>0</v>
      </c>
      <c r="I51" s="222">
        <v>0</v>
      </c>
      <c r="J51" s="222">
        <v>1</v>
      </c>
      <c r="K51" s="36">
        <v>17</v>
      </c>
      <c r="L51" s="36">
        <v>17</v>
      </c>
      <c r="M51" s="36">
        <v>17</v>
      </c>
      <c r="N51" s="36">
        <v>17</v>
      </c>
      <c r="O51" s="36">
        <v>17</v>
      </c>
      <c r="P51" s="36">
        <v>19</v>
      </c>
      <c r="Q51" s="36">
        <v>10</v>
      </c>
      <c r="R51" s="36">
        <v>10</v>
      </c>
      <c r="S51" s="36">
        <v>17</v>
      </c>
      <c r="T51" s="36">
        <v>17</v>
      </c>
      <c r="U51" s="36">
        <v>17</v>
      </c>
      <c r="V51" s="36">
        <v>17</v>
      </c>
      <c r="W51" s="36">
        <v>17</v>
      </c>
      <c r="X51" s="36">
        <v>19</v>
      </c>
      <c r="Y51" s="36">
        <v>10</v>
      </c>
      <c r="Z51" s="36">
        <v>17</v>
      </c>
      <c r="AA51" s="36">
        <v>17</v>
      </c>
      <c r="AB51" s="36">
        <v>17</v>
      </c>
      <c r="AC51" s="36">
        <v>17</v>
      </c>
      <c r="AD51" s="36">
        <v>17</v>
      </c>
      <c r="AE51" s="36">
        <v>19</v>
      </c>
      <c r="AF51" s="252">
        <v>17</v>
      </c>
      <c r="AG51" s="181" cm="1">
        <f t="array" ref="AG51">SUM(K51:AF51 * B$5:W$5)</f>
        <v>5850</v>
      </c>
      <c r="AH51" s="343">
        <v>16.027397260273972</v>
      </c>
      <c r="AI51" s="344">
        <v>0</v>
      </c>
      <c r="AJ51" s="344">
        <v>0</v>
      </c>
      <c r="AK51" s="344">
        <v>0</v>
      </c>
      <c r="AL51" s="344">
        <v>0</v>
      </c>
    </row>
    <row r="52" spans="2:38">
      <c r="B52" s="12">
        <v>3948</v>
      </c>
      <c r="C52" s="6" t="s">
        <v>528</v>
      </c>
      <c r="D52" s="12" t="s">
        <v>525</v>
      </c>
      <c r="E52" s="12">
        <v>2</v>
      </c>
      <c r="F52" s="12">
        <v>0</v>
      </c>
      <c r="G52" s="12">
        <v>0</v>
      </c>
      <c r="H52" s="12">
        <v>0</v>
      </c>
      <c r="I52" s="12">
        <v>0</v>
      </c>
      <c r="J52" s="12">
        <v>2</v>
      </c>
      <c r="K52" s="6">
        <v>19</v>
      </c>
      <c r="L52" s="6">
        <v>19</v>
      </c>
      <c r="M52" s="6">
        <v>19</v>
      </c>
      <c r="N52" s="6">
        <v>19</v>
      </c>
      <c r="O52" s="6">
        <v>19</v>
      </c>
      <c r="P52" s="6">
        <v>17</v>
      </c>
      <c r="Q52" s="6">
        <v>10</v>
      </c>
      <c r="R52" s="6">
        <v>10</v>
      </c>
      <c r="S52" s="6">
        <v>19</v>
      </c>
      <c r="T52" s="6">
        <v>19</v>
      </c>
      <c r="U52" s="6">
        <v>19</v>
      </c>
      <c r="V52" s="6">
        <v>19</v>
      </c>
      <c r="W52" s="6">
        <v>19</v>
      </c>
      <c r="X52" s="6">
        <v>17</v>
      </c>
      <c r="Y52" s="6">
        <v>10</v>
      </c>
      <c r="Z52" s="6">
        <v>19</v>
      </c>
      <c r="AA52" s="6">
        <v>19</v>
      </c>
      <c r="AB52" s="6">
        <v>19</v>
      </c>
      <c r="AC52" s="6">
        <v>19</v>
      </c>
      <c r="AD52" s="6">
        <v>19</v>
      </c>
      <c r="AE52" s="6">
        <v>17</v>
      </c>
      <c r="AF52" s="6">
        <v>19</v>
      </c>
      <c r="AG52" s="149" cm="1">
        <f t="array" ref="AG52">SUM(K52:AF52 * B$5:W$5)</f>
        <v>6250</v>
      </c>
      <c r="AH52" s="229">
        <v>17.123287671232877</v>
      </c>
      <c r="AI52" s="229">
        <v>0</v>
      </c>
      <c r="AJ52" s="229">
        <v>0</v>
      </c>
      <c r="AK52" s="229">
        <v>0</v>
      </c>
      <c r="AL52" s="229">
        <v>0</v>
      </c>
    </row>
    <row r="53" spans="2:38">
      <c r="B53" t="s">
        <v>529</v>
      </c>
      <c r="AH53" s="40"/>
      <c r="AI53" s="40"/>
      <c r="AJ53" s="40"/>
      <c r="AK53" s="40"/>
    </row>
    <row r="55" spans="2:38">
      <c r="B55" s="2" t="s">
        <v>530</v>
      </c>
    </row>
    <row r="56" spans="2:38">
      <c r="B56" s="46" t="str" cm="1">
        <f t="array" ref="B56:B61">Tráfego!B3:B8</f>
        <v>Pórtico</v>
      </c>
      <c r="C56" s="46" t="s">
        <v>531</v>
      </c>
      <c r="D56" s="179" t="s">
        <v>532</v>
      </c>
      <c r="E56" s="46" t="s">
        <v>533</v>
      </c>
    </row>
    <row r="57" spans="2:38">
      <c r="B57" s="149">
        <v>1</v>
      </c>
      <c r="C57" s="203">
        <f ca="1">SUMIF($E$11:$E$52,2,OFFSET(AI$11:AI$52,,B57-1))</f>
        <v>21.36986301369863</v>
      </c>
      <c r="D57" s="203">
        <f ca="1">SUMIF($E$11:$E$52,3,OFFSET(AI$11:AI$52,,B57-1))</f>
        <v>20.260273972602739</v>
      </c>
      <c r="E57" s="229" cm="1">
        <f t="array" aca="1" ref="E57:E60" ca="1">C57:C60 + D57:D60</f>
        <v>41.630136986301366</v>
      </c>
    </row>
    <row r="58" spans="2:38">
      <c r="B58" s="149">
        <v>2</v>
      </c>
      <c r="C58" s="203">
        <f ca="1">SUMIF($E$11:$E$52,2,OFFSET(AI$11:AI$52,,B58-1))</f>
        <v>0</v>
      </c>
      <c r="D58" s="203">
        <f t="shared" ref="D58:D60" ca="1" si="0">SUMIF($E$11:$E$52,3,OFFSET(AI$11:AI$52,,B58-1))</f>
        <v>45.19178082191781</v>
      </c>
      <c r="E58" s="229">
        <f ca="1"/>
        <v>45.19178082191781</v>
      </c>
    </row>
    <row r="59" spans="2:38">
      <c r="B59" s="149">
        <v>3</v>
      </c>
      <c r="C59" s="203">
        <f ca="1">SUMIF($E$11:$E$52,2,OFFSET(AI$11:AI$52,,B59-1))</f>
        <v>4.8219178082191778</v>
      </c>
      <c r="D59" s="203">
        <f t="shared" ca="1" si="0"/>
        <v>2.4520547945205475</v>
      </c>
      <c r="E59" s="229">
        <f ca="1"/>
        <v>7.2739726027397253</v>
      </c>
    </row>
    <row r="60" spans="2:38">
      <c r="B60" s="149">
        <v>4</v>
      </c>
      <c r="C60" s="203">
        <f ca="1">SUMIF($E$11:$E$52,2,OFFSET(AI$11:AI$52,,B60-1))</f>
        <v>2.3287671232876712</v>
      </c>
      <c r="D60" s="203">
        <f t="shared" ca="1" si="0"/>
        <v>0.53424657534246567</v>
      </c>
      <c r="E60" s="229">
        <f ca="1"/>
        <v>2.8630136986301369</v>
      </c>
    </row>
    <row r="61" spans="2:38">
      <c r="B61" s="46" t="str">
        <v>Total</v>
      </c>
      <c r="C61" s="346">
        <f ca="1">SUM(C57:C60)</f>
        <v>28.520547945205482</v>
      </c>
      <c r="D61" s="346">
        <f ca="1">SUM(D57:D60)</f>
        <v>68.438356164383563</v>
      </c>
      <c r="E61" s="245">
        <f ca="1">SUM(E57:E60)</f>
        <v>96.958904109589042</v>
      </c>
    </row>
    <row r="63" spans="2:38">
      <c r="B63" s="2" t="s">
        <v>534</v>
      </c>
    </row>
    <row r="64" spans="2:38">
      <c r="B64" s="46" t="str" cm="1">
        <f t="array" ref="B64:B69">_xlfn.ANCHORARRAY(B56)</f>
        <v>Pórtico</v>
      </c>
      <c r="C64" s="46" t="str" cm="1">
        <f t="array" ref="C64:E64">C56:E56</f>
        <v>VDMA dos veículos com 2 eixos</v>
      </c>
      <c r="D64" s="179" t="str">
        <v>VDMA dos veículos com 3 eixos</v>
      </c>
      <c r="E64" s="46" t="str">
        <v>VDMA dos veículos com 2 e 3 eixos</v>
      </c>
      <c r="F64" s="354"/>
    </row>
    <row r="65" spans="2:6">
      <c r="B65" s="149">
        <v>1</v>
      </c>
      <c r="C65" s="110" cm="1">
        <f t="array" aca="1" ref="C65:C69" ca="1">C57:C61 / Tráfego!$F4:$F8</f>
        <v>1.5286121863912533E-3</v>
      </c>
      <c r="D65" s="219" cm="1">
        <f t="array" aca="1" ref="D65:D69" ca="1">D57:D61 / Tráfego!$F4:$F8</f>
        <v>1.4492419382517074E-3</v>
      </c>
      <c r="E65" s="110" cm="1">
        <f t="array" aca="1" ref="E65:E69" ca="1">E57:E61 / Tráfego!$F4:$F8</f>
        <v>2.9778541246429603E-3</v>
      </c>
      <c r="F65" s="156"/>
    </row>
    <row r="66" spans="2:6">
      <c r="B66" s="149">
        <v>2</v>
      </c>
      <c r="C66" s="110">
        <f ca="1"/>
        <v>0</v>
      </c>
      <c r="D66" s="219">
        <f ca="1"/>
        <v>3.2037987545771103E-3</v>
      </c>
      <c r="E66" s="110">
        <f ca="1"/>
        <v>3.2037987545771103E-3</v>
      </c>
      <c r="F66" s="156"/>
    </row>
    <row r="67" spans="2:6">
      <c r="B67" s="149">
        <v>3</v>
      </c>
      <c r="C67" s="110">
        <f ca="1"/>
        <v>1.1277500981695858E-3</v>
      </c>
      <c r="D67" s="219">
        <f ca="1"/>
        <v>5.7348655560328365E-4</v>
      </c>
      <c r="E67" s="110">
        <f ca="1"/>
        <v>1.7012366537728697E-3</v>
      </c>
      <c r="F67" s="156"/>
    </row>
    <row r="68" spans="2:6">
      <c r="B68" s="149">
        <v>4</v>
      </c>
      <c r="C68" s="110">
        <f ca="1"/>
        <v>3.2865652485867321E-4</v>
      </c>
      <c r="D68" s="219">
        <f ca="1"/>
        <v>7.5397673349930904E-5</v>
      </c>
      <c r="E68" s="110">
        <f ca="1"/>
        <v>4.0405419820860414E-4</v>
      </c>
      <c r="F68" s="156"/>
    </row>
    <row r="69" spans="2:6">
      <c r="B69" s="46" t="str">
        <v>Total</v>
      </c>
      <c r="C69" s="205">
        <f ca="1"/>
        <v>7.2300908178102741E-4</v>
      </c>
      <c r="D69" s="353">
        <f ca="1"/>
        <v>1.7349439829865575E-3</v>
      </c>
      <c r="E69" s="205">
        <f ca="1"/>
        <v>2.4579530647675851E-3</v>
      </c>
      <c r="F69" s="349"/>
    </row>
  </sheetData>
  <mergeCells count="31">
    <mergeCell ref="Q9:Q10"/>
    <mergeCell ref="F9:I9"/>
    <mergeCell ref="B9:B10"/>
    <mergeCell ref="C9:C10"/>
    <mergeCell ref="D9:D10"/>
    <mergeCell ref="J9:J10"/>
    <mergeCell ref="K9:K10"/>
    <mergeCell ref="L9:L10"/>
    <mergeCell ref="M9:M10"/>
    <mergeCell ref="N9:N10"/>
    <mergeCell ref="O9:O10"/>
    <mergeCell ref="P9:P10"/>
    <mergeCell ref="E9:E10"/>
    <mergeCell ref="AC9:AC10"/>
    <mergeCell ref="R9:R10"/>
    <mergeCell ref="S9:S10"/>
    <mergeCell ref="T9:T10"/>
    <mergeCell ref="U9:U10"/>
    <mergeCell ref="V9:V10"/>
    <mergeCell ref="W9:W10"/>
    <mergeCell ref="X9:X10"/>
    <mergeCell ref="Y9:Y10"/>
    <mergeCell ref="Z9:Z10"/>
    <mergeCell ref="AA9:AA10"/>
    <mergeCell ref="AB9:AB10"/>
    <mergeCell ref="AI9:AL9"/>
    <mergeCell ref="AD9:AD10"/>
    <mergeCell ref="AE9:AE10"/>
    <mergeCell ref="AF9:AF10"/>
    <mergeCell ref="AG9:AG10"/>
    <mergeCell ref="AH9:AH10"/>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40CAC-9AED-476A-AED9-BED99D9D2F5A}">
  <sheetPr>
    <tabColor rgb="FF00B050"/>
  </sheetPr>
  <dimension ref="A2:AR346"/>
  <sheetViews>
    <sheetView showGridLines="0" zoomScale="85" zoomScaleNormal="85" workbookViewId="0"/>
  </sheetViews>
  <sheetFormatPr defaultColWidth="11.85546875" defaultRowHeight="12.75"/>
  <cols>
    <col min="1" max="1" width="2.42578125" customWidth="1"/>
    <col min="2" max="2" width="26.140625" customWidth="1"/>
    <col min="3" max="3" width="60.28515625" customWidth="1"/>
    <col min="4" max="4" width="45.7109375" customWidth="1"/>
    <col min="5" max="5" width="15.7109375" customWidth="1"/>
    <col min="6" max="6" width="39.5703125" customWidth="1"/>
    <col min="7" max="7" width="31" bestFit="1" customWidth="1"/>
    <col min="8" max="16" width="12.28515625" bestFit="1" customWidth="1"/>
    <col min="17" max="37" width="13.42578125" bestFit="1" customWidth="1"/>
  </cols>
  <sheetData>
    <row r="2" spans="2:6">
      <c r="B2" s="2" t="s">
        <v>535</v>
      </c>
    </row>
    <row r="3" spans="2:6">
      <c r="B3" s="46" t="str" cm="1">
        <f t="array" ref="B3:B7">'Painel Controle'!B$68:B$72</f>
        <v>Pórtico</v>
      </c>
      <c r="C3" s="46" t="str" cm="1">
        <f t="array" ref="C3:E3">TRANSPOSE(_xlfn.UNIQUE('Painel Controle'!E$93:E$103))</f>
        <v>Leves</v>
      </c>
      <c r="D3" s="46" t="str">
        <v>Pesados I</v>
      </c>
      <c r="E3" s="179" t="str">
        <v>Pesados II</v>
      </c>
      <c r="F3" s="173" t="s">
        <v>73</v>
      </c>
    </row>
    <row r="4" spans="2:6">
      <c r="B4" s="46">
        <v>1</v>
      </c>
      <c r="C4" s="254">
        <v>10485.34281729209</v>
      </c>
      <c r="D4" s="254">
        <v>1976.5564969000554</v>
      </c>
      <c r="E4" s="257">
        <v>1518.0121400980297</v>
      </c>
      <c r="F4" s="244">
        <f>SUM(C4:E4)</f>
        <v>13979.911454290175</v>
      </c>
    </row>
    <row r="5" spans="2:6">
      <c r="B5" s="46">
        <v>2</v>
      </c>
      <c r="C5" s="254">
        <v>11407.812504317786</v>
      </c>
      <c r="D5" s="254">
        <v>1558.841432142046</v>
      </c>
      <c r="E5" s="257">
        <v>1139.0325575356251</v>
      </c>
      <c r="F5" s="244">
        <f t="shared" ref="F5:F7" si="0">SUM(C5:E5)</f>
        <v>14105.686493995458</v>
      </c>
    </row>
    <row r="6" spans="2:6">
      <c r="B6" s="46">
        <v>3</v>
      </c>
      <c r="C6" s="254">
        <v>3543.3953749465204</v>
      </c>
      <c r="D6" s="254">
        <v>575.53330938525301</v>
      </c>
      <c r="E6" s="257">
        <v>156.76840143702788</v>
      </c>
      <c r="F6" s="244">
        <f t="shared" si="0"/>
        <v>4275.6970857688011</v>
      </c>
    </row>
    <row r="7" spans="2:6">
      <c r="B7" s="150">
        <v>4</v>
      </c>
      <c r="C7" s="258">
        <v>6067.7961405523602</v>
      </c>
      <c r="D7" s="258">
        <v>866.52123260055816</v>
      </c>
      <c r="E7" s="259">
        <v>151.39962056589678</v>
      </c>
      <c r="F7" s="244">
        <f t="shared" si="0"/>
        <v>7085.7169937188155</v>
      </c>
    </row>
    <row r="8" spans="2:6">
      <c r="B8" s="10" t="s">
        <v>73</v>
      </c>
      <c r="C8" s="244">
        <f>SUM(C4:C7)</f>
        <v>31504.346837108758</v>
      </c>
      <c r="D8" s="244">
        <f t="shared" ref="D8:E8" si="1">SUM(D4:D7)</f>
        <v>4977.4524710279129</v>
      </c>
      <c r="E8" s="260">
        <f t="shared" si="1"/>
        <v>2965.2127196365795</v>
      </c>
      <c r="F8" s="244">
        <f>SUM(F4:F7)</f>
        <v>39447.012027773249</v>
      </c>
    </row>
    <row r="9" spans="2:6">
      <c r="B9" t="s">
        <v>536</v>
      </c>
      <c r="F9" s="261"/>
    </row>
    <row r="10" spans="2:6">
      <c r="F10" s="261"/>
    </row>
    <row r="11" spans="2:6">
      <c r="B11" s="2" t="s">
        <v>537</v>
      </c>
    </row>
    <row r="12" spans="2:6">
      <c r="B12" s="46" t="str" cm="1">
        <f t="array" ref="B12:B16">'Painel Controle'!B$68:B$72</f>
        <v>Pórtico</v>
      </c>
      <c r="C12" s="46" t="str" cm="1">
        <f t="array" ref="C12:E12">TRANSPOSE(_xlfn.UNIQUE('Painel Controle'!E$93:E$103))</f>
        <v>Leves</v>
      </c>
      <c r="D12" s="46" t="str">
        <v>Pesados I</v>
      </c>
      <c r="E12" s="179" t="str">
        <v>Pesados II</v>
      </c>
      <c r="F12" s="173" t="s">
        <v>73</v>
      </c>
    </row>
    <row r="13" spans="2:6">
      <c r="B13" s="46">
        <v>1</v>
      </c>
      <c r="C13" s="422" cm="1">
        <f t="array" ref="C13:E16">C4:E7 * (1-C134:E137)</f>
        <v>10051.266125195682</v>
      </c>
      <c r="D13" s="422">
        <v>1870.2355787778699</v>
      </c>
      <c r="E13" s="423">
        <v>1433.4693847707879</v>
      </c>
      <c r="F13" s="244">
        <f>SUM(C13:E13)</f>
        <v>13354.97108874434</v>
      </c>
    </row>
    <row r="14" spans="2:6">
      <c r="B14" s="46">
        <v>2</v>
      </c>
      <c r="C14" s="422">
        <v>10945.905069013215</v>
      </c>
      <c r="D14" s="422">
        <v>1448.6310249749672</v>
      </c>
      <c r="E14" s="423">
        <v>1057.9305558123606</v>
      </c>
      <c r="F14" s="244">
        <f t="shared" ref="F14:F16" si="2">SUM(C14:E14)</f>
        <v>13452.466649800543</v>
      </c>
    </row>
    <row r="15" spans="2:6">
      <c r="B15" s="46">
        <v>3</v>
      </c>
      <c r="C15" s="422">
        <v>3095.4251344350819</v>
      </c>
      <c r="D15" s="422">
        <v>458.47568713740492</v>
      </c>
      <c r="E15" s="423">
        <v>72.59226470483064</v>
      </c>
      <c r="F15" s="244">
        <f t="shared" si="2"/>
        <v>3626.4930862773172</v>
      </c>
    </row>
    <row r="16" spans="2:6">
      <c r="B16" s="150">
        <v>4</v>
      </c>
      <c r="C16" s="424">
        <v>5962.8924414431876</v>
      </c>
      <c r="D16" s="424">
        <v>853.30871062952042</v>
      </c>
      <c r="E16" s="425">
        <v>94.624762853685496</v>
      </c>
      <c r="F16" s="244">
        <f t="shared" si="2"/>
        <v>6910.825914926394</v>
      </c>
    </row>
    <row r="17" spans="2:35">
      <c r="B17" s="10" t="s">
        <v>73</v>
      </c>
      <c r="C17" s="244">
        <f>SUM(C13:C16)</f>
        <v>30055.488770087162</v>
      </c>
      <c r="D17" s="244">
        <f t="shared" ref="D17:E17" si="3">SUM(D13:D16)</f>
        <v>4630.6510015197628</v>
      </c>
      <c r="E17" s="260">
        <f t="shared" si="3"/>
        <v>2658.6169681416641</v>
      </c>
      <c r="F17" s="244">
        <f>SUM(F13:F16)</f>
        <v>37344.756739748598</v>
      </c>
    </row>
    <row r="18" spans="2:35">
      <c r="F18" s="261"/>
    </row>
    <row r="19" spans="2:35">
      <c r="B19" s="2" t="s">
        <v>538</v>
      </c>
      <c r="F19" s="261"/>
    </row>
    <row r="20" spans="2:35">
      <c r="B20" s="46" t="str" cm="1">
        <f t="array" ref="B20:B25">B12:B17</f>
        <v>Pórtico</v>
      </c>
      <c r="C20" s="46" t="str" cm="1">
        <f t="array" ref="C20:F20">C12:F12</f>
        <v>Leves</v>
      </c>
      <c r="D20" s="46" t="str">
        <v>Pesados I</v>
      </c>
      <c r="E20" s="46" t="str">
        <v>Pesados II</v>
      </c>
      <c r="F20" s="244" t="str">
        <v>Total</v>
      </c>
    </row>
    <row r="21" spans="2:35">
      <c r="B21" s="46">
        <v>1</v>
      </c>
      <c r="C21" s="110" cm="1">
        <f t="array" ref="C21:E21">C13:E13 / F13</f>
        <v>0.75262357802234081</v>
      </c>
      <c r="D21" s="110">
        <v>0.14004040640373361</v>
      </c>
      <c r="E21" s="110">
        <v>0.10733601557392555</v>
      </c>
      <c r="F21" s="110">
        <f>SUM(_xlfn.ANCHORARRAY(C21))</f>
        <v>1</v>
      </c>
    </row>
    <row r="22" spans="2:35">
      <c r="B22" s="46">
        <v>2</v>
      </c>
      <c r="C22" s="110" cm="1">
        <f t="array" ref="C22:E22">C14:E14 / F14</f>
        <v>0.81367271549233</v>
      </c>
      <c r="D22" s="110">
        <v>0.10768516010381232</v>
      </c>
      <c r="E22" s="110">
        <v>7.8642124403857663E-2</v>
      </c>
      <c r="F22" s="110">
        <f t="shared" ref="F22:F25" si="4">SUM(_xlfn.ANCHORARRAY(C22))</f>
        <v>1</v>
      </c>
    </row>
    <row r="23" spans="2:35">
      <c r="B23" s="46">
        <v>3</v>
      </c>
      <c r="C23" s="110" cm="1">
        <f t="array" ref="C23:E23">C15:E15 / F15</f>
        <v>0.85355881309913395</v>
      </c>
      <c r="D23" s="110">
        <v>0.12642397937342859</v>
      </c>
      <c r="E23" s="110">
        <v>2.0017207527437575E-2</v>
      </c>
      <c r="F23" s="110">
        <f t="shared" si="4"/>
        <v>1.0000000000000002</v>
      </c>
    </row>
    <row r="24" spans="2:35">
      <c r="B24" s="46">
        <v>4</v>
      </c>
      <c r="C24" s="110" cm="1">
        <f t="array" ref="C24:E24">C16:E16 / F16</f>
        <v>0.86283354766095233</v>
      </c>
      <c r="D24" s="110">
        <v>0.12347420136665516</v>
      </c>
      <c r="E24" s="110">
        <v>1.3692250972392397E-2</v>
      </c>
      <c r="F24" s="110">
        <f t="shared" si="4"/>
        <v>0.99999999999999989</v>
      </c>
    </row>
    <row r="25" spans="2:35">
      <c r="B25" s="46" t="str">
        <v>Total</v>
      </c>
      <c r="C25" s="110" cm="1">
        <f t="array" ref="C25:E25">C17:E17 / F17</f>
        <v>0.80481147539775066</v>
      </c>
      <c r="D25" s="110">
        <v>0.12399735346491203</v>
      </c>
      <c r="E25" s="110">
        <v>7.1191171137337056E-2</v>
      </c>
      <c r="F25" s="110">
        <f t="shared" si="4"/>
        <v>0.99999999999999978</v>
      </c>
    </row>
    <row r="26" spans="2:35">
      <c r="F26" s="261"/>
    </row>
    <row r="27" spans="2:35">
      <c r="F27" s="261"/>
    </row>
    <row r="28" spans="2:35">
      <c r="B28" s="2" t="s">
        <v>539</v>
      </c>
    </row>
    <row r="29" spans="2:35">
      <c r="B29" s="10" t="s">
        <v>540</v>
      </c>
      <c r="C29" s="10" t="s">
        <v>541</v>
      </c>
      <c r="D29" s="10" t="s">
        <v>197</v>
      </c>
      <c r="E29" s="173">
        <v>2025</v>
      </c>
      <c r="F29" s="173">
        <v>2026</v>
      </c>
      <c r="G29" s="173">
        <v>2027</v>
      </c>
      <c r="H29" s="173">
        <v>2028</v>
      </c>
      <c r="I29" s="173">
        <v>2029</v>
      </c>
      <c r="J29" s="173">
        <v>2030</v>
      </c>
      <c r="K29" s="173">
        <v>2031</v>
      </c>
      <c r="L29" s="173">
        <v>2032</v>
      </c>
      <c r="M29" s="173">
        <v>2033</v>
      </c>
      <c r="N29" s="173">
        <v>2034</v>
      </c>
      <c r="O29" s="173">
        <v>2035</v>
      </c>
      <c r="P29" s="173">
        <v>2036</v>
      </c>
      <c r="Q29" s="173">
        <v>2037</v>
      </c>
      <c r="R29" s="173">
        <v>2038</v>
      </c>
      <c r="S29" s="173">
        <v>2039</v>
      </c>
      <c r="T29" s="173">
        <v>2040</v>
      </c>
      <c r="U29" s="173">
        <v>2041</v>
      </c>
      <c r="V29" s="173">
        <v>2042</v>
      </c>
      <c r="W29" s="173">
        <v>2043</v>
      </c>
      <c r="X29" s="173">
        <v>2044</v>
      </c>
      <c r="Y29" s="173">
        <v>2045</v>
      </c>
      <c r="Z29" s="173">
        <v>2046</v>
      </c>
      <c r="AA29" s="173">
        <v>2047</v>
      </c>
      <c r="AB29" s="173">
        <v>2048</v>
      </c>
      <c r="AC29" s="173">
        <v>2049</v>
      </c>
      <c r="AD29" s="173">
        <v>2050</v>
      </c>
      <c r="AE29" s="173">
        <v>2051</v>
      </c>
      <c r="AF29" s="173">
        <v>2052</v>
      </c>
      <c r="AG29" s="173">
        <v>2053</v>
      </c>
      <c r="AH29" s="173">
        <v>2054</v>
      </c>
      <c r="AI29" s="173">
        <v>2055</v>
      </c>
    </row>
    <row r="30" spans="2:35">
      <c r="B30" s="6" t="s">
        <v>147</v>
      </c>
      <c r="C30" s="6" t="s">
        <v>542</v>
      </c>
      <c r="D30" s="122" t="str" cm="1">
        <f t="array" ref="D30:D32">TRANSPOSE(_xlfn.ANCHORARRAY(C$3))</f>
        <v>Leves</v>
      </c>
      <c r="E30" s="135">
        <v>3.8069761103065008E-2</v>
      </c>
      <c r="F30" s="135">
        <v>2.8487984485745826E-2</v>
      </c>
      <c r="G30" s="135">
        <v>2.741547271378994E-2</v>
      </c>
      <c r="H30" s="135">
        <v>2.7334508909423322E-2</v>
      </c>
      <c r="I30" s="135">
        <v>2.7551555853796289E-2</v>
      </c>
      <c r="J30" s="135">
        <v>2.767425322037273E-2</v>
      </c>
      <c r="K30" s="135">
        <v>2.7477351125532484E-2</v>
      </c>
      <c r="L30" s="135">
        <v>2.6817257036955228E-2</v>
      </c>
      <c r="M30" s="135">
        <v>2.5854920377999496E-2</v>
      </c>
      <c r="N30" s="135">
        <v>2.4663111116281694E-2</v>
      </c>
      <c r="O30" s="135">
        <v>2.3292954951851769E-2</v>
      </c>
      <c r="P30" s="135">
        <v>2.1754679496309576E-2</v>
      </c>
      <c r="Q30" s="135">
        <v>2.0076399033339548E-2</v>
      </c>
      <c r="R30" s="135">
        <v>1.8325277115813193E-2</v>
      </c>
      <c r="S30" s="135">
        <v>1.6512708097603163E-2</v>
      </c>
      <c r="T30" s="135">
        <v>1.4638113424035063E-2</v>
      </c>
      <c r="U30" s="135">
        <v>1.2714287261650218E-2</v>
      </c>
      <c r="V30" s="135">
        <v>1.078816350782205E-2</v>
      </c>
      <c r="W30" s="135">
        <v>8.8735477957838354E-3</v>
      </c>
      <c r="X30" s="135">
        <v>6.9592790183781988E-3</v>
      </c>
      <c r="Y30" s="135">
        <v>5.0547107497035098E-3</v>
      </c>
      <c r="Z30" s="135">
        <v>3.1486668282299773E-3</v>
      </c>
      <c r="AA30" s="135">
        <v>1.256024661700909E-3</v>
      </c>
      <c r="AB30" s="135">
        <v>-6.1370069296776304E-4</v>
      </c>
      <c r="AC30" s="135">
        <v>-2.475451505524669E-3</v>
      </c>
      <c r="AD30" s="135">
        <v>-4.3345726814713343E-3</v>
      </c>
      <c r="AE30" s="135">
        <v>-6.1830341669241468E-3</v>
      </c>
      <c r="AF30" s="135">
        <v>-8.0224835635766285E-3</v>
      </c>
      <c r="AG30" s="135">
        <v>-9.8709890203875512E-3</v>
      </c>
      <c r="AH30" s="135">
        <v>-1.1733584985480191E-2</v>
      </c>
      <c r="AI30" s="135">
        <v>-1.3611632757475707E-2</v>
      </c>
    </row>
    <row r="31" spans="2:35">
      <c r="B31" s="6" t="s">
        <v>147</v>
      </c>
      <c r="C31" s="6" t="s">
        <v>542</v>
      </c>
      <c r="D31" s="122" t="str">
        <v>Pesados I</v>
      </c>
      <c r="E31" s="135">
        <v>1.617184167102223E-2</v>
      </c>
      <c r="F31" s="135">
        <v>1.1927160834126342E-2</v>
      </c>
      <c r="G31" s="135">
        <v>1.074947481015273E-2</v>
      </c>
      <c r="H31" s="135">
        <v>9.9198914156989042E-3</v>
      </c>
      <c r="I31" s="135">
        <v>9.1942210296923326E-3</v>
      </c>
      <c r="J31" s="135">
        <v>8.4378195281641071E-3</v>
      </c>
      <c r="K31" s="135">
        <v>7.5586136142976306E-3</v>
      </c>
      <c r="L31" s="135">
        <v>6.5025119326825569E-3</v>
      </c>
      <c r="M31" s="135">
        <v>5.3461786193632326E-3</v>
      </c>
      <c r="N31" s="135">
        <v>4.115349053350174E-3</v>
      </c>
      <c r="O31" s="135">
        <v>2.8312753451978628E-3</v>
      </c>
      <c r="P31" s="135">
        <v>1.4902112094473379E-3</v>
      </c>
      <c r="Q31" s="135">
        <v>1.0120084319273186E-4</v>
      </c>
      <c r="R31" s="135">
        <v>-1.2983142288100231E-3</v>
      </c>
      <c r="S31" s="135">
        <v>-2.7046971618515398E-3</v>
      </c>
      <c r="T31" s="135">
        <v>-4.1202642883545765E-3</v>
      </c>
      <c r="U31" s="135">
        <v>-5.5418912714607933E-3</v>
      </c>
      <c r="V31" s="135">
        <v>-6.9426061160079728E-3</v>
      </c>
      <c r="W31" s="135">
        <v>-8.3188107877697776E-3</v>
      </c>
      <c r="X31" s="135">
        <v>-9.6821054080177566E-3</v>
      </c>
      <c r="Y31" s="135">
        <v>-1.1027180612277617E-2</v>
      </c>
      <c r="Z31" s="135">
        <v>-1.2365570963472157E-2</v>
      </c>
      <c r="AA31" s="135">
        <v>-1.3688793129046502E-2</v>
      </c>
      <c r="AB31" s="135">
        <v>-1.4992261156760696E-2</v>
      </c>
      <c r="AC31" s="135">
        <v>-1.6289819790534704E-2</v>
      </c>
      <c r="AD31" s="135">
        <v>-1.7586520250923804E-2</v>
      </c>
      <c r="AE31" s="135">
        <v>-1.887653034679862E-2</v>
      </c>
      <c r="AF31" s="135">
        <v>-2.0159737468897238E-2</v>
      </c>
      <c r="AG31" s="135">
        <v>-2.14488442163209E-2</v>
      </c>
      <c r="AH31" s="135">
        <v>-2.2747608297578742E-2</v>
      </c>
      <c r="AI31" s="135">
        <v>-2.4057690030893558E-2</v>
      </c>
    </row>
    <row r="32" spans="2:35">
      <c r="B32" s="6" t="s">
        <v>147</v>
      </c>
      <c r="C32" s="6" t="s">
        <v>542</v>
      </c>
      <c r="D32" s="122" t="str">
        <v>Pesados II</v>
      </c>
      <c r="E32" s="135">
        <v>3.2039520858429288E-2</v>
      </c>
      <c r="F32" s="135">
        <v>2.4334382735373111E-2</v>
      </c>
      <c r="G32" s="135">
        <v>2.3054771872374674E-2</v>
      </c>
      <c r="H32" s="135">
        <v>2.2518328666144422E-2</v>
      </c>
      <c r="I32" s="135">
        <v>2.220458321353122E-2</v>
      </c>
      <c r="J32" s="135">
        <v>2.1821364365586765E-2</v>
      </c>
      <c r="K32" s="135">
        <v>2.1192345461712975E-2</v>
      </c>
      <c r="L32" s="135">
        <v>2.0208007260863997E-2</v>
      </c>
      <c r="M32" s="135">
        <v>1.9001011604093371E-2</v>
      </c>
      <c r="N32" s="135">
        <v>1.762605134642467E-2</v>
      </c>
      <c r="O32" s="135">
        <v>1.6123428470703999E-2</v>
      </c>
      <c r="P32" s="135">
        <v>1.4496493106084999E-2</v>
      </c>
      <c r="Q32" s="135">
        <v>1.2765837503512093E-2</v>
      </c>
      <c r="R32" s="135">
        <v>1.0989967813025274E-2</v>
      </c>
      <c r="S32" s="135">
        <v>9.1772005559039565E-3</v>
      </c>
      <c r="T32" s="135">
        <v>7.3258554641993639E-3</v>
      </c>
      <c r="U32" s="135">
        <v>5.4446935103521204E-3</v>
      </c>
      <c r="V32" s="135">
        <v>3.5750272494042539E-3</v>
      </c>
      <c r="W32" s="135">
        <v>1.7264205000349902E-3</v>
      </c>
      <c r="X32" s="135">
        <v>-1.1403785076150204E-4</v>
      </c>
      <c r="Y32" s="135">
        <v>-1.9381678055271651E-3</v>
      </c>
      <c r="Z32" s="135">
        <v>-3.7588395007401038E-3</v>
      </c>
      <c r="AA32" s="135">
        <v>-5.5630121150368767E-3</v>
      </c>
      <c r="AB32" s="135">
        <v>-7.3428499390929842E-3</v>
      </c>
      <c r="AC32" s="135">
        <v>-9.1146124156570602E-3</v>
      </c>
      <c r="AD32" s="135">
        <v>-1.0884171863931565E-2</v>
      </c>
      <c r="AE32" s="135">
        <v>-1.2643750477586176E-2</v>
      </c>
      <c r="AF32" s="135">
        <v>-1.4394175253866911E-2</v>
      </c>
      <c r="AG32" s="135">
        <v>-1.6152698072542521E-2</v>
      </c>
      <c r="AH32" s="135">
        <v>-1.7924248866929587E-2</v>
      </c>
      <c r="AI32" s="135">
        <v>-1.9710534821401532E-2</v>
      </c>
    </row>
    <row r="33" spans="2:35">
      <c r="B33" s="6" t="s">
        <v>147</v>
      </c>
      <c r="C33" s="6" t="s">
        <v>543</v>
      </c>
      <c r="D33" s="122" t="str" cm="1">
        <f t="array" ref="D33:D35">TRANSPOSE(_xlfn.ANCHORARRAY(C$3))</f>
        <v>Leves</v>
      </c>
      <c r="E33" s="135">
        <v>5.201634983156822E-2</v>
      </c>
      <c r="F33" s="135">
        <v>4.2434573214249038E-2</v>
      </c>
      <c r="G33" s="135">
        <v>4.1362061442293152E-2</v>
      </c>
      <c r="H33" s="135">
        <v>4.1281097637926534E-2</v>
      </c>
      <c r="I33" s="135">
        <v>4.1498144582299501E-2</v>
      </c>
      <c r="J33" s="135">
        <v>4.1620841948875942E-2</v>
      </c>
      <c r="K33" s="135">
        <v>4.1423939854035696E-2</v>
      </c>
      <c r="L33" s="135">
        <v>4.076384576545844E-2</v>
      </c>
      <c r="M33" s="135">
        <v>3.9801509106502708E-2</v>
      </c>
      <c r="N33" s="135">
        <v>3.8609699844784906E-2</v>
      </c>
      <c r="O33" s="135">
        <v>3.7239543680354981E-2</v>
      </c>
      <c r="P33" s="135">
        <v>3.5701268224812788E-2</v>
      </c>
      <c r="Q33" s="135">
        <v>3.402298776184276E-2</v>
      </c>
      <c r="R33" s="135">
        <v>3.2271865844316405E-2</v>
      </c>
      <c r="S33" s="135">
        <v>3.0459296826106375E-2</v>
      </c>
      <c r="T33" s="135">
        <v>2.8584702152538277E-2</v>
      </c>
      <c r="U33" s="135">
        <v>2.6660875990153432E-2</v>
      </c>
      <c r="V33" s="135">
        <v>2.4734752236325264E-2</v>
      </c>
      <c r="W33" s="135">
        <v>2.2820136524287049E-2</v>
      </c>
      <c r="X33" s="135">
        <v>2.0905867746881412E-2</v>
      </c>
      <c r="Y33" s="135">
        <v>1.9001299478206723E-2</v>
      </c>
      <c r="Z33" s="135">
        <v>1.7095255556733191E-2</v>
      </c>
      <c r="AA33" s="135">
        <v>1.5202613390204123E-2</v>
      </c>
      <c r="AB33" s="135">
        <v>1.3332888035535451E-2</v>
      </c>
      <c r="AC33" s="135">
        <v>1.1471137222978545E-2</v>
      </c>
      <c r="AD33" s="135">
        <v>9.6120160470318794E-3</v>
      </c>
      <c r="AE33" s="135">
        <v>7.7635545615790669E-3</v>
      </c>
      <c r="AF33" s="135">
        <v>5.9241051649265852E-3</v>
      </c>
      <c r="AG33" s="135">
        <v>4.0755997081156625E-3</v>
      </c>
      <c r="AH33" s="135">
        <v>2.2130037430230232E-3</v>
      </c>
      <c r="AI33" s="135">
        <v>3.3495597102750629E-4</v>
      </c>
    </row>
    <row r="34" spans="2:35">
      <c r="B34" s="6" t="s">
        <v>147</v>
      </c>
      <c r="C34" s="6" t="s">
        <v>543</v>
      </c>
      <c r="D34" s="122" t="str">
        <v>Pesados I</v>
      </c>
      <c r="E34" s="135">
        <v>3.0118430399525442E-2</v>
      </c>
      <c r="F34" s="135">
        <v>2.5873749562629555E-2</v>
      </c>
      <c r="G34" s="135">
        <v>2.4696063538655944E-2</v>
      </c>
      <c r="H34" s="135">
        <v>2.3866480144202118E-2</v>
      </c>
      <c r="I34" s="135">
        <v>2.3140809758195546E-2</v>
      </c>
      <c r="J34" s="135">
        <v>2.2384408256667321E-2</v>
      </c>
      <c r="K34" s="135">
        <v>2.1505202342800844E-2</v>
      </c>
      <c r="L34" s="135">
        <v>2.0449100661185771E-2</v>
      </c>
      <c r="M34" s="135">
        <v>1.9292767347866446E-2</v>
      </c>
      <c r="N34" s="135">
        <v>1.8061937781853388E-2</v>
      </c>
      <c r="O34" s="135">
        <v>1.6777864073701076E-2</v>
      </c>
      <c r="P34" s="135">
        <v>1.5436799937950552E-2</v>
      </c>
      <c r="Q34" s="135">
        <v>1.4047789571695946E-2</v>
      </c>
      <c r="R34" s="135">
        <v>1.2648274499693191E-2</v>
      </c>
      <c r="S34" s="135">
        <v>1.1241891566651674E-2</v>
      </c>
      <c r="T34" s="135">
        <v>9.8263244401486372E-3</v>
      </c>
      <c r="U34" s="135">
        <v>8.4046974570424204E-3</v>
      </c>
      <c r="V34" s="135">
        <v>7.0039826124952409E-3</v>
      </c>
      <c r="W34" s="135">
        <v>5.6277779407334361E-3</v>
      </c>
      <c r="X34" s="135">
        <v>4.2644833204854571E-3</v>
      </c>
      <c r="Y34" s="135">
        <v>2.9194081162255969E-3</v>
      </c>
      <c r="Z34" s="135">
        <v>1.5810177650310564E-3</v>
      </c>
      <c r="AA34" s="135">
        <v>2.577955994567116E-4</v>
      </c>
      <c r="AB34" s="135">
        <v>-1.0456724282574825E-3</v>
      </c>
      <c r="AC34" s="135">
        <v>-2.3432310620314922E-3</v>
      </c>
      <c r="AD34" s="135">
        <v>-3.6399315224205919E-3</v>
      </c>
      <c r="AE34" s="135">
        <v>-4.9299416182954081E-3</v>
      </c>
      <c r="AF34" s="135">
        <v>-6.2131487403940255E-3</v>
      </c>
      <c r="AG34" s="135">
        <v>-7.5022554878176884E-3</v>
      </c>
      <c r="AH34" s="135">
        <v>-8.80101956907553E-3</v>
      </c>
      <c r="AI34" s="135">
        <v>-1.0111101302390346E-2</v>
      </c>
    </row>
    <row r="35" spans="2:35">
      <c r="B35" s="6" t="s">
        <v>147</v>
      </c>
      <c r="C35" s="6" t="s">
        <v>543</v>
      </c>
      <c r="D35" s="122" t="str">
        <v>Pesados II</v>
      </c>
      <c r="E35" s="135">
        <v>4.59861095869325E-2</v>
      </c>
      <c r="F35" s="135">
        <v>3.8280971463876323E-2</v>
      </c>
      <c r="G35" s="135">
        <v>3.7001360600877886E-2</v>
      </c>
      <c r="H35" s="135">
        <v>3.6464917394647633E-2</v>
      </c>
      <c r="I35" s="135">
        <v>3.6151171942034432E-2</v>
      </c>
      <c r="J35" s="135">
        <v>3.5767953094089977E-2</v>
      </c>
      <c r="K35" s="135">
        <v>3.5138934190216187E-2</v>
      </c>
      <c r="L35" s="135">
        <v>3.4154595989367209E-2</v>
      </c>
      <c r="M35" s="135">
        <v>3.2947600332596583E-2</v>
      </c>
      <c r="N35" s="135">
        <v>3.1572640074927882E-2</v>
      </c>
      <c r="O35" s="135">
        <v>3.0070017199207211E-2</v>
      </c>
      <c r="P35" s="135">
        <v>2.8443081834588213E-2</v>
      </c>
      <c r="Q35" s="135">
        <v>2.6712426232015307E-2</v>
      </c>
      <c r="R35" s="135">
        <v>2.4936556541528487E-2</v>
      </c>
      <c r="S35" s="135">
        <v>2.312378928440717E-2</v>
      </c>
      <c r="T35" s="135">
        <v>2.1272444192702578E-2</v>
      </c>
      <c r="U35" s="135">
        <v>1.9391282238855334E-2</v>
      </c>
      <c r="V35" s="135">
        <v>1.7521615977907468E-2</v>
      </c>
      <c r="W35" s="135">
        <v>1.5673009228538204E-2</v>
      </c>
      <c r="X35" s="135">
        <v>1.3832550877741712E-2</v>
      </c>
      <c r="Y35" s="135">
        <v>1.2008420922976049E-2</v>
      </c>
      <c r="Z35" s="135">
        <v>1.018774922776311E-2</v>
      </c>
      <c r="AA35" s="135">
        <v>8.383576613466337E-3</v>
      </c>
      <c r="AB35" s="135">
        <v>6.6037387894102295E-3</v>
      </c>
      <c r="AC35" s="135">
        <v>4.8319763128461535E-3</v>
      </c>
      <c r="AD35" s="135">
        <v>3.0624168645716487E-3</v>
      </c>
      <c r="AE35" s="135">
        <v>1.3028382509170378E-3</v>
      </c>
      <c r="AF35" s="135">
        <v>-4.4758652536369681E-4</v>
      </c>
      <c r="AG35" s="135">
        <v>-2.2061093440393087E-3</v>
      </c>
      <c r="AH35" s="135">
        <v>-3.9776601384263754E-3</v>
      </c>
      <c r="AI35" s="135">
        <v>-5.7639460928983199E-3</v>
      </c>
    </row>
    <row r="36" spans="2:35">
      <c r="B36" s="6" t="s">
        <v>147</v>
      </c>
      <c r="C36" s="6" t="s">
        <v>544</v>
      </c>
      <c r="D36" s="122" t="str" cm="1">
        <f t="array" ref="D36:D38">TRANSPOSE(_xlfn.ANCHORARRAY(C$3))</f>
        <v>Leves</v>
      </c>
      <c r="E36" s="135">
        <v>6.5962938560071432E-2</v>
      </c>
      <c r="F36" s="135">
        <v>5.638116194275225E-2</v>
      </c>
      <c r="G36" s="135">
        <v>5.5308650170796364E-2</v>
      </c>
      <c r="H36" s="135">
        <v>5.5227686366429746E-2</v>
      </c>
      <c r="I36" s="135">
        <v>5.5444733310802713E-2</v>
      </c>
      <c r="J36" s="135">
        <v>5.5567430677379154E-2</v>
      </c>
      <c r="K36" s="135">
        <v>5.5370528582538908E-2</v>
      </c>
      <c r="L36" s="135">
        <v>5.4710434493961652E-2</v>
      </c>
      <c r="M36" s="135">
        <v>5.374809783500592E-2</v>
      </c>
      <c r="N36" s="135">
        <v>5.2556288573288118E-2</v>
      </c>
      <c r="O36" s="135">
        <v>5.1186132408858193E-2</v>
      </c>
      <c r="P36" s="135">
        <v>4.9647856953316E-2</v>
      </c>
      <c r="Q36" s="135">
        <v>4.7969576490345972E-2</v>
      </c>
      <c r="R36" s="135">
        <v>4.6218454572819617E-2</v>
      </c>
      <c r="S36" s="135">
        <v>4.4405885554609587E-2</v>
      </c>
      <c r="T36" s="135">
        <v>4.2531290881041489E-2</v>
      </c>
      <c r="U36" s="135">
        <v>4.0607464718656644E-2</v>
      </c>
      <c r="V36" s="135">
        <v>3.8681340964828476E-2</v>
      </c>
      <c r="W36" s="135">
        <v>3.6766725252790261E-2</v>
      </c>
      <c r="X36" s="135">
        <v>3.4852456475384624E-2</v>
      </c>
      <c r="Y36" s="135">
        <v>3.2947888206709935E-2</v>
      </c>
      <c r="Z36" s="135">
        <v>3.1041844285236403E-2</v>
      </c>
      <c r="AA36" s="135">
        <v>2.9149202118707335E-2</v>
      </c>
      <c r="AB36" s="135">
        <v>2.7279476764038663E-2</v>
      </c>
      <c r="AC36" s="135">
        <v>2.5417725951481757E-2</v>
      </c>
      <c r="AD36" s="135">
        <v>2.3558604775535091E-2</v>
      </c>
      <c r="AE36" s="135">
        <v>2.1710143290082279E-2</v>
      </c>
      <c r="AF36" s="135">
        <v>1.9870693893429797E-2</v>
      </c>
      <c r="AG36" s="135">
        <v>1.8022188436618874E-2</v>
      </c>
      <c r="AH36" s="135">
        <v>1.6159592471526235E-2</v>
      </c>
      <c r="AI36" s="135">
        <v>1.428154469953072E-2</v>
      </c>
    </row>
    <row r="37" spans="2:35">
      <c r="B37" s="6" t="s">
        <v>147</v>
      </c>
      <c r="C37" s="6" t="s">
        <v>544</v>
      </c>
      <c r="D37" s="122" t="str">
        <v>Pesados I</v>
      </c>
      <c r="E37" s="135">
        <v>4.4065019128028654E-2</v>
      </c>
      <c r="F37" s="135">
        <v>3.9820338291132767E-2</v>
      </c>
      <c r="G37" s="135">
        <v>3.8642652267159155E-2</v>
      </c>
      <c r="H37" s="135">
        <v>3.781306887270533E-2</v>
      </c>
      <c r="I37" s="135">
        <v>3.7087398486698758E-2</v>
      </c>
      <c r="J37" s="135">
        <v>3.6330996985170533E-2</v>
      </c>
      <c r="K37" s="135">
        <v>3.5451791071304056E-2</v>
      </c>
      <c r="L37" s="135">
        <v>3.4395689389688983E-2</v>
      </c>
      <c r="M37" s="135">
        <v>3.3239356076369658E-2</v>
      </c>
      <c r="N37" s="135">
        <v>3.20085265103566E-2</v>
      </c>
      <c r="O37" s="135">
        <v>3.0724452802204288E-2</v>
      </c>
      <c r="P37" s="135">
        <v>2.9383388666453764E-2</v>
      </c>
      <c r="Q37" s="135">
        <v>2.7994378300199158E-2</v>
      </c>
      <c r="R37" s="135">
        <v>2.6594863228196403E-2</v>
      </c>
      <c r="S37" s="135">
        <v>2.5188480295154886E-2</v>
      </c>
      <c r="T37" s="135">
        <v>2.3772913168651849E-2</v>
      </c>
      <c r="U37" s="135">
        <v>2.2351286185545632E-2</v>
      </c>
      <c r="V37" s="135">
        <v>2.0950571340998453E-2</v>
      </c>
      <c r="W37" s="135">
        <v>1.9574366669236648E-2</v>
      </c>
      <c r="X37" s="135">
        <v>1.8211072048988669E-2</v>
      </c>
      <c r="Y37" s="135">
        <v>1.6865996844728809E-2</v>
      </c>
      <c r="Z37" s="135">
        <v>1.552760649353427E-2</v>
      </c>
      <c r="AA37" s="135">
        <v>1.4204384327959925E-2</v>
      </c>
      <c r="AB37" s="135">
        <v>1.2900916300245731E-2</v>
      </c>
      <c r="AC37" s="135">
        <v>1.1603357666471721E-2</v>
      </c>
      <c r="AD37" s="135">
        <v>1.0306657206082622E-2</v>
      </c>
      <c r="AE37" s="135">
        <v>9.0166471102078056E-3</v>
      </c>
      <c r="AF37" s="135">
        <v>7.7334399881091882E-3</v>
      </c>
      <c r="AG37" s="135">
        <v>6.4443332406855253E-3</v>
      </c>
      <c r="AH37" s="135">
        <v>5.1455691594276837E-3</v>
      </c>
      <c r="AI37" s="135">
        <v>3.8354874261128675E-3</v>
      </c>
    </row>
    <row r="38" spans="2:35">
      <c r="B38" s="6" t="s">
        <v>147</v>
      </c>
      <c r="C38" s="6" t="s">
        <v>544</v>
      </c>
      <c r="D38" s="122" t="str">
        <v>Pesados II</v>
      </c>
      <c r="E38" s="135">
        <v>5.9932698315435712E-2</v>
      </c>
      <c r="F38" s="135">
        <v>5.2227560192379535E-2</v>
      </c>
      <c r="G38" s="135">
        <v>5.0947949329381098E-2</v>
      </c>
      <c r="H38" s="135">
        <v>5.0411506123150845E-2</v>
      </c>
      <c r="I38" s="135">
        <v>5.0097760670537644E-2</v>
      </c>
      <c r="J38" s="135">
        <v>4.9714541822593189E-2</v>
      </c>
      <c r="K38" s="135">
        <v>4.9085522918719399E-2</v>
      </c>
      <c r="L38" s="135">
        <v>4.8101184717870421E-2</v>
      </c>
      <c r="M38" s="135">
        <v>4.6894189061099795E-2</v>
      </c>
      <c r="N38" s="135">
        <v>4.5519228803431094E-2</v>
      </c>
      <c r="O38" s="135">
        <v>4.4016605927710423E-2</v>
      </c>
      <c r="P38" s="135">
        <v>4.2389670563091425E-2</v>
      </c>
      <c r="Q38" s="135">
        <v>4.0659014960518519E-2</v>
      </c>
      <c r="R38" s="135">
        <v>3.8883145270031699E-2</v>
      </c>
      <c r="S38" s="135">
        <v>3.7070378012910382E-2</v>
      </c>
      <c r="T38" s="135">
        <v>3.521903292120579E-2</v>
      </c>
      <c r="U38" s="135">
        <v>3.3337870967358546E-2</v>
      </c>
      <c r="V38" s="135">
        <v>3.146820470641068E-2</v>
      </c>
      <c r="W38" s="135">
        <v>2.9619597957041416E-2</v>
      </c>
      <c r="X38" s="135">
        <v>2.7779139606244924E-2</v>
      </c>
      <c r="Y38" s="135">
        <v>2.5955009651479261E-2</v>
      </c>
      <c r="Z38" s="135">
        <v>2.4134337956266322E-2</v>
      </c>
      <c r="AA38" s="135">
        <v>2.2330165341969549E-2</v>
      </c>
      <c r="AB38" s="135">
        <v>2.0550327517913441E-2</v>
      </c>
      <c r="AC38" s="135">
        <v>1.8778565041349365E-2</v>
      </c>
      <c r="AD38" s="135">
        <v>1.7009005593074861E-2</v>
      </c>
      <c r="AE38" s="135">
        <v>1.5249426979420251E-2</v>
      </c>
      <c r="AF38" s="135">
        <v>1.3499002203139517E-2</v>
      </c>
      <c r="AG38" s="135">
        <v>1.1740479384463905E-2</v>
      </c>
      <c r="AH38" s="135">
        <v>9.9689285900768383E-3</v>
      </c>
      <c r="AI38" s="135">
        <v>8.1826426356048938E-3</v>
      </c>
    </row>
    <row r="39" spans="2:35">
      <c r="B39" s="6" t="s">
        <v>545</v>
      </c>
      <c r="C39" s="6" t="s">
        <v>542</v>
      </c>
      <c r="D39" s="122" t="str" cm="1">
        <f t="array" ref="D39:D41">TRANSPOSE(_xlfn.ANCHORARRAY(C$3))</f>
        <v>Leves</v>
      </c>
      <c r="E39" s="135">
        <v>1.1566012552824967E-2</v>
      </c>
      <c r="F39" s="135">
        <v>1.1566012552824967E-2</v>
      </c>
      <c r="G39" s="135">
        <v>1.1566012552824967E-2</v>
      </c>
      <c r="H39" s="135">
        <v>1.1566012552824967E-2</v>
      </c>
      <c r="I39" s="135">
        <v>1.1566012552824967E-2</v>
      </c>
      <c r="J39" s="135">
        <v>1.1566012552824967E-2</v>
      </c>
      <c r="K39" s="135">
        <v>1.1566012552824967E-2</v>
      </c>
      <c r="L39" s="135">
        <v>1.1566012552824967E-2</v>
      </c>
      <c r="M39" s="135">
        <v>1.1566012552824967E-2</v>
      </c>
      <c r="N39" s="135">
        <v>1.1566012552824967E-2</v>
      </c>
      <c r="O39" s="135">
        <v>1.1566012552824967E-2</v>
      </c>
      <c r="P39" s="135">
        <v>1.1566012552824967E-2</v>
      </c>
      <c r="Q39" s="135">
        <v>1.1566012552824967E-2</v>
      </c>
      <c r="R39" s="135">
        <v>1.1566012552824967E-2</v>
      </c>
      <c r="S39" s="135">
        <v>1.1566012552824967E-2</v>
      </c>
      <c r="T39" s="135">
        <v>1.1566012552824967E-2</v>
      </c>
      <c r="U39" s="135">
        <v>1.1566012552824967E-2</v>
      </c>
      <c r="V39" s="135">
        <v>1.1566012552824967E-2</v>
      </c>
      <c r="W39" s="135">
        <v>1.1566012552824967E-2</v>
      </c>
      <c r="X39" s="135">
        <v>1.1566012552824967E-2</v>
      </c>
      <c r="Y39" s="135">
        <v>1.1566012552824967E-2</v>
      </c>
      <c r="Z39" s="135">
        <v>1.1566012552824967E-2</v>
      </c>
      <c r="AA39" s="135">
        <v>1.1566012552824967E-2</v>
      </c>
      <c r="AB39" s="135">
        <v>1.1566012552824967E-2</v>
      </c>
      <c r="AC39" s="135">
        <v>1.1566012552824967E-2</v>
      </c>
      <c r="AD39" s="135">
        <v>1.1566012552824967E-2</v>
      </c>
      <c r="AE39" s="135">
        <v>1.1566012552824967E-2</v>
      </c>
      <c r="AF39" s="135">
        <v>1.1566012552824967E-2</v>
      </c>
      <c r="AG39" s="135">
        <v>1.1566012552824967E-2</v>
      </c>
      <c r="AH39" s="135">
        <v>1.1566012552824967E-2</v>
      </c>
      <c r="AI39" s="135">
        <v>1.1566012552824967E-2</v>
      </c>
    </row>
    <row r="40" spans="2:35">
      <c r="B40" s="6" t="s">
        <v>545</v>
      </c>
      <c r="C40" s="6" t="s">
        <v>542</v>
      </c>
      <c r="D40" s="122" t="str">
        <v>Pesados I</v>
      </c>
      <c r="E40" s="135">
        <v>-5.1850144290754852E-3</v>
      </c>
      <c r="F40" s="135">
        <v>-5.1850144290754852E-3</v>
      </c>
      <c r="G40" s="135">
        <v>-5.1850144290754852E-3</v>
      </c>
      <c r="H40" s="135">
        <v>-5.1850144290754852E-3</v>
      </c>
      <c r="I40" s="135">
        <v>-5.1850144290754852E-3</v>
      </c>
      <c r="J40" s="135">
        <v>-5.1850144290754852E-3</v>
      </c>
      <c r="K40" s="135">
        <v>-5.1850144290754852E-3</v>
      </c>
      <c r="L40" s="135">
        <v>-5.1850144290754852E-3</v>
      </c>
      <c r="M40" s="135">
        <v>-5.1850144290754852E-3</v>
      </c>
      <c r="N40" s="135">
        <v>-5.1850144290754852E-3</v>
      </c>
      <c r="O40" s="135">
        <v>-5.1850144290754852E-3</v>
      </c>
      <c r="P40" s="135">
        <v>-5.1850144290754852E-3</v>
      </c>
      <c r="Q40" s="135">
        <v>-5.1850144290754852E-3</v>
      </c>
      <c r="R40" s="135">
        <v>-5.1850144290754852E-3</v>
      </c>
      <c r="S40" s="135">
        <v>-5.1850144290754852E-3</v>
      </c>
      <c r="T40" s="135">
        <v>-5.1850144290754852E-3</v>
      </c>
      <c r="U40" s="135">
        <v>-5.1850144290754852E-3</v>
      </c>
      <c r="V40" s="135">
        <v>-5.1850144290754852E-3</v>
      </c>
      <c r="W40" s="135">
        <v>-5.1850144290754852E-3</v>
      </c>
      <c r="X40" s="135">
        <v>-5.1850144290754852E-3</v>
      </c>
      <c r="Y40" s="135">
        <v>-5.1850144290754852E-3</v>
      </c>
      <c r="Z40" s="135">
        <v>-5.1850144290754852E-3</v>
      </c>
      <c r="AA40" s="135">
        <v>-5.1850144290754852E-3</v>
      </c>
      <c r="AB40" s="135">
        <v>-5.1850144290754852E-3</v>
      </c>
      <c r="AC40" s="135">
        <v>-5.1850144290754852E-3</v>
      </c>
      <c r="AD40" s="135">
        <v>-5.1850144290754852E-3</v>
      </c>
      <c r="AE40" s="135">
        <v>-5.1850144290754852E-3</v>
      </c>
      <c r="AF40" s="135">
        <v>-5.1850144290754852E-3</v>
      </c>
      <c r="AG40" s="135">
        <v>-5.1850144290754852E-3</v>
      </c>
      <c r="AH40" s="135">
        <v>-5.1850144290754852E-3</v>
      </c>
      <c r="AI40" s="135">
        <v>-5.1850144290754852E-3</v>
      </c>
    </row>
    <row r="41" spans="2:35">
      <c r="B41" s="6" t="s">
        <v>545</v>
      </c>
      <c r="C41" s="6" t="s">
        <v>542</v>
      </c>
      <c r="D41" s="122" t="str">
        <v>Pesados II</v>
      </c>
      <c r="E41" s="135">
        <v>5.0364829755622509E-3</v>
      </c>
      <c r="F41" s="135">
        <v>5.0364829755622509E-3</v>
      </c>
      <c r="G41" s="135">
        <v>5.0364829755622509E-3</v>
      </c>
      <c r="H41" s="135">
        <v>5.0364829755622509E-3</v>
      </c>
      <c r="I41" s="135">
        <v>5.0364829755622509E-3</v>
      </c>
      <c r="J41" s="135">
        <v>5.0364829755622509E-3</v>
      </c>
      <c r="K41" s="135">
        <v>5.0364829755622509E-3</v>
      </c>
      <c r="L41" s="135">
        <v>5.0364829755622509E-3</v>
      </c>
      <c r="M41" s="135">
        <v>5.0364829755622509E-3</v>
      </c>
      <c r="N41" s="135">
        <v>5.0364829755622509E-3</v>
      </c>
      <c r="O41" s="135">
        <v>5.0364829755622509E-3</v>
      </c>
      <c r="P41" s="135">
        <v>5.0364829755622509E-3</v>
      </c>
      <c r="Q41" s="135">
        <v>5.0364829755622509E-3</v>
      </c>
      <c r="R41" s="135">
        <v>5.0364829755622509E-3</v>
      </c>
      <c r="S41" s="135">
        <v>5.0364829755622509E-3</v>
      </c>
      <c r="T41" s="135">
        <v>5.0364829755622509E-3</v>
      </c>
      <c r="U41" s="135">
        <v>5.0364829755622509E-3</v>
      </c>
      <c r="V41" s="135">
        <v>5.0364829755622509E-3</v>
      </c>
      <c r="W41" s="135">
        <v>5.0364829755622509E-3</v>
      </c>
      <c r="X41" s="135">
        <v>5.0364829755622509E-3</v>
      </c>
      <c r="Y41" s="135">
        <v>5.0364829755622509E-3</v>
      </c>
      <c r="Z41" s="135">
        <v>5.0364829755622509E-3</v>
      </c>
      <c r="AA41" s="135">
        <v>5.0364829755622509E-3</v>
      </c>
      <c r="AB41" s="135">
        <v>5.0364829755622509E-3</v>
      </c>
      <c r="AC41" s="135">
        <v>5.0364829755622509E-3</v>
      </c>
      <c r="AD41" s="135">
        <v>5.0364829755622509E-3</v>
      </c>
      <c r="AE41" s="135">
        <v>5.0364829755622509E-3</v>
      </c>
      <c r="AF41" s="135">
        <v>5.0364829755622509E-3</v>
      </c>
      <c r="AG41" s="135">
        <v>5.0364829755622509E-3</v>
      </c>
      <c r="AH41" s="135">
        <v>5.0364829755622509E-3</v>
      </c>
      <c r="AI41" s="135">
        <v>5.0364829755622509E-3</v>
      </c>
    </row>
    <row r="42" spans="2:35">
      <c r="B42" s="6" t="s">
        <v>545</v>
      </c>
      <c r="C42" s="6" t="s">
        <v>543</v>
      </c>
      <c r="D42" s="122" t="str" cm="1">
        <f t="array" ref="D42:D44">TRANSPOSE(_xlfn.ANCHORARRAY(C$3))</f>
        <v>Leves</v>
      </c>
      <c r="E42" s="135">
        <v>2.551389517204905E-2</v>
      </c>
      <c r="F42" s="135">
        <v>2.551389517204905E-2</v>
      </c>
      <c r="G42" s="135">
        <v>2.551389517204905E-2</v>
      </c>
      <c r="H42" s="135">
        <v>2.551389517204905E-2</v>
      </c>
      <c r="I42" s="135">
        <v>2.551389517204905E-2</v>
      </c>
      <c r="J42" s="135">
        <v>2.551389517204905E-2</v>
      </c>
      <c r="K42" s="135">
        <v>2.551389517204905E-2</v>
      </c>
      <c r="L42" s="135">
        <v>2.551389517204905E-2</v>
      </c>
      <c r="M42" s="135">
        <v>2.551389517204905E-2</v>
      </c>
      <c r="N42" s="135">
        <v>2.551389517204905E-2</v>
      </c>
      <c r="O42" s="135">
        <v>2.551389517204905E-2</v>
      </c>
      <c r="P42" s="135">
        <v>2.551389517204905E-2</v>
      </c>
      <c r="Q42" s="135">
        <v>2.551389517204905E-2</v>
      </c>
      <c r="R42" s="135">
        <v>2.551389517204905E-2</v>
      </c>
      <c r="S42" s="135">
        <v>2.551389517204905E-2</v>
      </c>
      <c r="T42" s="135">
        <v>2.551389517204905E-2</v>
      </c>
      <c r="U42" s="135">
        <v>2.551389517204905E-2</v>
      </c>
      <c r="V42" s="135">
        <v>2.551389517204905E-2</v>
      </c>
      <c r="W42" s="135">
        <v>2.551389517204905E-2</v>
      </c>
      <c r="X42" s="135">
        <v>2.551389517204905E-2</v>
      </c>
      <c r="Y42" s="135">
        <v>2.551389517204905E-2</v>
      </c>
      <c r="Z42" s="135">
        <v>2.551389517204905E-2</v>
      </c>
      <c r="AA42" s="135">
        <v>2.551389517204905E-2</v>
      </c>
      <c r="AB42" s="135">
        <v>2.551389517204905E-2</v>
      </c>
      <c r="AC42" s="135">
        <v>2.551389517204905E-2</v>
      </c>
      <c r="AD42" s="135">
        <v>2.551389517204905E-2</v>
      </c>
      <c r="AE42" s="135">
        <v>2.551389517204905E-2</v>
      </c>
      <c r="AF42" s="135">
        <v>2.551389517204905E-2</v>
      </c>
      <c r="AG42" s="135">
        <v>2.551389517204905E-2</v>
      </c>
      <c r="AH42" s="135">
        <v>2.551389517204905E-2</v>
      </c>
      <c r="AI42" s="135">
        <v>2.551389517204905E-2</v>
      </c>
    </row>
    <row r="43" spans="2:35">
      <c r="B43" s="6" t="s">
        <v>545</v>
      </c>
      <c r="C43" s="6" t="s">
        <v>543</v>
      </c>
      <c r="D43" s="122" t="str">
        <v>Pesados I</v>
      </c>
      <c r="E43" s="135">
        <v>8.7624391084768494E-3</v>
      </c>
      <c r="F43" s="135">
        <v>8.7624391084768494E-3</v>
      </c>
      <c r="G43" s="135">
        <v>8.7624391084768494E-3</v>
      </c>
      <c r="H43" s="135">
        <v>8.7624391084768494E-3</v>
      </c>
      <c r="I43" s="135">
        <v>8.7624391084768494E-3</v>
      </c>
      <c r="J43" s="135">
        <v>8.7624391084768494E-3</v>
      </c>
      <c r="K43" s="135">
        <v>8.7624391084768494E-3</v>
      </c>
      <c r="L43" s="135">
        <v>8.7624391084768494E-3</v>
      </c>
      <c r="M43" s="135">
        <v>8.7624391084768494E-3</v>
      </c>
      <c r="N43" s="135">
        <v>8.7624391084768494E-3</v>
      </c>
      <c r="O43" s="135">
        <v>8.7624391084768494E-3</v>
      </c>
      <c r="P43" s="135">
        <v>8.7624391084768494E-3</v>
      </c>
      <c r="Q43" s="135">
        <v>8.7624391084768494E-3</v>
      </c>
      <c r="R43" s="135">
        <v>8.7624391084768494E-3</v>
      </c>
      <c r="S43" s="135">
        <v>8.7624391084768494E-3</v>
      </c>
      <c r="T43" s="135">
        <v>8.7624391084768494E-3</v>
      </c>
      <c r="U43" s="135">
        <v>8.7624391084768494E-3</v>
      </c>
      <c r="V43" s="135">
        <v>8.7624391084768494E-3</v>
      </c>
      <c r="W43" s="135">
        <v>8.7624391084768494E-3</v>
      </c>
      <c r="X43" s="135">
        <v>8.7624391084768494E-3</v>
      </c>
      <c r="Y43" s="135">
        <v>8.7624391084768494E-3</v>
      </c>
      <c r="Z43" s="135">
        <v>8.7624391084768494E-3</v>
      </c>
      <c r="AA43" s="135">
        <v>8.7624391084768494E-3</v>
      </c>
      <c r="AB43" s="135">
        <v>8.7624391084768494E-3</v>
      </c>
      <c r="AC43" s="135">
        <v>8.7624391084768494E-3</v>
      </c>
      <c r="AD43" s="135">
        <v>8.7624391084768494E-3</v>
      </c>
      <c r="AE43" s="135">
        <v>8.7624391084768494E-3</v>
      </c>
      <c r="AF43" s="135">
        <v>8.7624391084768494E-3</v>
      </c>
      <c r="AG43" s="135">
        <v>8.7624391084768494E-3</v>
      </c>
      <c r="AH43" s="135">
        <v>8.7624391084768494E-3</v>
      </c>
      <c r="AI43" s="135">
        <v>8.7624391084768494E-3</v>
      </c>
    </row>
    <row r="44" spans="2:35">
      <c r="B44" s="6" t="s">
        <v>545</v>
      </c>
      <c r="C44" s="6" t="s">
        <v>543</v>
      </c>
      <c r="D44" s="122" t="str">
        <v>Pesados II</v>
      </c>
      <c r="E44" s="135">
        <v>1.8984420647953915E-2</v>
      </c>
      <c r="F44" s="135">
        <v>1.8984420647953915E-2</v>
      </c>
      <c r="G44" s="135">
        <v>1.8984420647953915E-2</v>
      </c>
      <c r="H44" s="135">
        <v>1.8984420647953915E-2</v>
      </c>
      <c r="I44" s="135">
        <v>1.8984420647953915E-2</v>
      </c>
      <c r="J44" s="135">
        <v>1.8984420647953915E-2</v>
      </c>
      <c r="K44" s="135">
        <v>1.8984420647953915E-2</v>
      </c>
      <c r="L44" s="135">
        <v>1.8984420647953915E-2</v>
      </c>
      <c r="M44" s="135">
        <v>1.8984420647953915E-2</v>
      </c>
      <c r="N44" s="135">
        <v>1.8984420647953915E-2</v>
      </c>
      <c r="O44" s="135">
        <v>1.8984420647953915E-2</v>
      </c>
      <c r="P44" s="135">
        <v>1.8984420647953915E-2</v>
      </c>
      <c r="Q44" s="135">
        <v>1.8984420647953915E-2</v>
      </c>
      <c r="R44" s="135">
        <v>1.8984420647953915E-2</v>
      </c>
      <c r="S44" s="135">
        <v>1.8984420647953915E-2</v>
      </c>
      <c r="T44" s="135">
        <v>1.8984420647953915E-2</v>
      </c>
      <c r="U44" s="135">
        <v>1.8984420647953915E-2</v>
      </c>
      <c r="V44" s="135">
        <v>1.8984420647953915E-2</v>
      </c>
      <c r="W44" s="135">
        <v>1.8984420647953915E-2</v>
      </c>
      <c r="X44" s="135">
        <v>1.8984420647953915E-2</v>
      </c>
      <c r="Y44" s="135">
        <v>1.8984420647953915E-2</v>
      </c>
      <c r="Z44" s="135">
        <v>1.8984420647953915E-2</v>
      </c>
      <c r="AA44" s="135">
        <v>1.8984420647953915E-2</v>
      </c>
      <c r="AB44" s="135">
        <v>1.8984420647953915E-2</v>
      </c>
      <c r="AC44" s="135">
        <v>1.8984420647953915E-2</v>
      </c>
      <c r="AD44" s="135">
        <v>1.8984420647953915E-2</v>
      </c>
      <c r="AE44" s="135">
        <v>1.8984420647953915E-2</v>
      </c>
      <c r="AF44" s="135">
        <v>1.8984420647953915E-2</v>
      </c>
      <c r="AG44" s="135">
        <v>1.8984420647953915E-2</v>
      </c>
      <c r="AH44" s="135">
        <v>1.8984420647953915E-2</v>
      </c>
      <c r="AI44" s="135">
        <v>1.8984420647953915E-2</v>
      </c>
    </row>
    <row r="45" spans="2:35">
      <c r="B45" s="6" t="s">
        <v>545</v>
      </c>
      <c r="C45" s="6" t="s">
        <v>544</v>
      </c>
      <c r="D45" s="122" t="str" cm="1">
        <f t="array" ref="D45:D47">TRANSPOSE(_xlfn.ANCHORARRAY(C$3))</f>
        <v>Leves</v>
      </c>
      <c r="E45" s="135">
        <v>3.9461742960633428E-2</v>
      </c>
      <c r="F45" s="135">
        <v>3.9461742960633428E-2</v>
      </c>
      <c r="G45" s="135">
        <v>3.9461742960633428E-2</v>
      </c>
      <c r="H45" s="135">
        <v>3.9461742960633428E-2</v>
      </c>
      <c r="I45" s="135">
        <v>3.9461742960633428E-2</v>
      </c>
      <c r="J45" s="135">
        <v>3.9461742960633428E-2</v>
      </c>
      <c r="K45" s="135">
        <v>3.9461742960633428E-2</v>
      </c>
      <c r="L45" s="135">
        <v>3.9461742960633428E-2</v>
      </c>
      <c r="M45" s="135">
        <v>3.9461742960633428E-2</v>
      </c>
      <c r="N45" s="135">
        <v>3.9461742960633428E-2</v>
      </c>
      <c r="O45" s="135">
        <v>3.9461742960633428E-2</v>
      </c>
      <c r="P45" s="135">
        <v>3.9461742960633428E-2</v>
      </c>
      <c r="Q45" s="135">
        <v>3.9461742960633428E-2</v>
      </c>
      <c r="R45" s="135">
        <v>3.9461742960633428E-2</v>
      </c>
      <c r="S45" s="135">
        <v>3.9461742960633428E-2</v>
      </c>
      <c r="T45" s="135">
        <v>3.9461742960633428E-2</v>
      </c>
      <c r="U45" s="135">
        <v>3.9461742960633428E-2</v>
      </c>
      <c r="V45" s="135">
        <v>3.9461742960633428E-2</v>
      </c>
      <c r="W45" s="135">
        <v>3.9461742960633428E-2</v>
      </c>
      <c r="X45" s="135">
        <v>3.9461742960633428E-2</v>
      </c>
      <c r="Y45" s="135">
        <v>3.9461742960633428E-2</v>
      </c>
      <c r="Z45" s="135">
        <v>3.9461742960633428E-2</v>
      </c>
      <c r="AA45" s="135">
        <v>3.9461742960633428E-2</v>
      </c>
      <c r="AB45" s="135">
        <v>3.9461742960633428E-2</v>
      </c>
      <c r="AC45" s="135">
        <v>3.9461742960633428E-2</v>
      </c>
      <c r="AD45" s="135">
        <v>3.9461742960633428E-2</v>
      </c>
      <c r="AE45" s="135">
        <v>3.9461742960633428E-2</v>
      </c>
      <c r="AF45" s="135">
        <v>3.9461742960633428E-2</v>
      </c>
      <c r="AG45" s="135">
        <v>3.9461742960633428E-2</v>
      </c>
      <c r="AH45" s="135">
        <v>3.9461742960633428E-2</v>
      </c>
      <c r="AI45" s="135">
        <v>3.9461742960633428E-2</v>
      </c>
    </row>
    <row r="46" spans="2:35">
      <c r="B46" s="6" t="s">
        <v>545</v>
      </c>
      <c r="C46" s="6" t="s">
        <v>544</v>
      </c>
      <c r="D46" s="122" t="str">
        <v>Pesados I</v>
      </c>
      <c r="E46" s="135">
        <v>2.2709869039545305E-2</v>
      </c>
      <c r="F46" s="135">
        <v>2.2709869039545305E-2</v>
      </c>
      <c r="G46" s="135">
        <v>2.2709869039545305E-2</v>
      </c>
      <c r="H46" s="135">
        <v>2.2709869039545305E-2</v>
      </c>
      <c r="I46" s="135">
        <v>2.2709869039545305E-2</v>
      </c>
      <c r="J46" s="135">
        <v>2.2709869039545305E-2</v>
      </c>
      <c r="K46" s="135">
        <v>2.2709869039545305E-2</v>
      </c>
      <c r="L46" s="135">
        <v>2.2709869039545305E-2</v>
      </c>
      <c r="M46" s="135">
        <v>2.2709869039545305E-2</v>
      </c>
      <c r="N46" s="135">
        <v>2.2709869039545305E-2</v>
      </c>
      <c r="O46" s="135">
        <v>2.2709869039545305E-2</v>
      </c>
      <c r="P46" s="135">
        <v>2.2709869039545305E-2</v>
      </c>
      <c r="Q46" s="135">
        <v>2.2709869039545305E-2</v>
      </c>
      <c r="R46" s="135">
        <v>2.2709869039545305E-2</v>
      </c>
      <c r="S46" s="135">
        <v>2.2709869039545305E-2</v>
      </c>
      <c r="T46" s="135">
        <v>2.2709869039545305E-2</v>
      </c>
      <c r="U46" s="135">
        <v>2.2709869039545305E-2</v>
      </c>
      <c r="V46" s="135">
        <v>2.2709869039545305E-2</v>
      </c>
      <c r="W46" s="135">
        <v>2.2709869039545305E-2</v>
      </c>
      <c r="X46" s="135">
        <v>2.2709869039545305E-2</v>
      </c>
      <c r="Y46" s="135">
        <v>2.2709869039545305E-2</v>
      </c>
      <c r="Z46" s="135">
        <v>2.2709869039545305E-2</v>
      </c>
      <c r="AA46" s="135">
        <v>2.2709869039545305E-2</v>
      </c>
      <c r="AB46" s="135">
        <v>2.2709869039545305E-2</v>
      </c>
      <c r="AC46" s="135">
        <v>2.2709869039545305E-2</v>
      </c>
      <c r="AD46" s="135">
        <v>2.2709869039545305E-2</v>
      </c>
      <c r="AE46" s="135">
        <v>2.2709869039545305E-2</v>
      </c>
      <c r="AF46" s="135">
        <v>2.2709869039545305E-2</v>
      </c>
      <c r="AG46" s="135">
        <v>2.2709869039545305E-2</v>
      </c>
      <c r="AH46" s="135">
        <v>2.2709869039545305E-2</v>
      </c>
      <c r="AI46" s="135">
        <v>2.2709869039545305E-2</v>
      </c>
    </row>
    <row r="47" spans="2:35">
      <c r="B47" s="6" t="s">
        <v>545</v>
      </c>
      <c r="C47" s="6" t="s">
        <v>544</v>
      </c>
      <c r="D47" s="122" t="str">
        <v>Pesados II</v>
      </c>
      <c r="E47" s="135">
        <v>3.2932321809710619E-2</v>
      </c>
      <c r="F47" s="135">
        <v>3.2932321809710619E-2</v>
      </c>
      <c r="G47" s="135">
        <v>3.2932321809710619E-2</v>
      </c>
      <c r="H47" s="135">
        <v>3.2932321809710619E-2</v>
      </c>
      <c r="I47" s="135">
        <v>3.2932321809710619E-2</v>
      </c>
      <c r="J47" s="135">
        <v>3.2932321809710619E-2</v>
      </c>
      <c r="K47" s="135">
        <v>3.2932321809710619E-2</v>
      </c>
      <c r="L47" s="135">
        <v>3.2932321809710619E-2</v>
      </c>
      <c r="M47" s="135">
        <v>3.2932321809710619E-2</v>
      </c>
      <c r="N47" s="135">
        <v>3.2932321809710619E-2</v>
      </c>
      <c r="O47" s="135">
        <v>3.2932321809710619E-2</v>
      </c>
      <c r="P47" s="135">
        <v>3.2932321809710619E-2</v>
      </c>
      <c r="Q47" s="135">
        <v>3.2932321809710619E-2</v>
      </c>
      <c r="R47" s="135">
        <v>3.2932321809710619E-2</v>
      </c>
      <c r="S47" s="135">
        <v>3.2932321809710619E-2</v>
      </c>
      <c r="T47" s="135">
        <v>3.2932321809710619E-2</v>
      </c>
      <c r="U47" s="135">
        <v>3.2932321809710619E-2</v>
      </c>
      <c r="V47" s="135">
        <v>3.2932321809710619E-2</v>
      </c>
      <c r="W47" s="135">
        <v>3.2932321809710619E-2</v>
      </c>
      <c r="X47" s="135">
        <v>3.2932321809710619E-2</v>
      </c>
      <c r="Y47" s="135">
        <v>3.2932321809710619E-2</v>
      </c>
      <c r="Z47" s="135">
        <v>3.2932321809710619E-2</v>
      </c>
      <c r="AA47" s="135">
        <v>3.2932321809710619E-2</v>
      </c>
      <c r="AB47" s="135">
        <v>3.2932321809710619E-2</v>
      </c>
      <c r="AC47" s="135">
        <v>3.2932321809710619E-2</v>
      </c>
      <c r="AD47" s="135">
        <v>3.2932321809710619E-2</v>
      </c>
      <c r="AE47" s="135">
        <v>3.2932321809710619E-2</v>
      </c>
      <c r="AF47" s="135">
        <v>3.2932321809710619E-2</v>
      </c>
      <c r="AG47" s="135">
        <v>3.2932321809710619E-2</v>
      </c>
      <c r="AH47" s="135">
        <v>3.2932321809710619E-2</v>
      </c>
      <c r="AI47" s="135">
        <v>3.2932321809710619E-2</v>
      </c>
    </row>
    <row r="48" spans="2:35">
      <c r="B48" s="382" t="s">
        <v>214</v>
      </c>
    </row>
    <row r="49" spans="2:35">
      <c r="B49" t="s">
        <v>546</v>
      </c>
    </row>
    <row r="51" spans="2:35">
      <c r="B51" s="2" t="s">
        <v>547</v>
      </c>
    </row>
    <row r="52" spans="2:35" hidden="1">
      <c r="B52" s="2"/>
      <c r="D52">
        <v>0</v>
      </c>
      <c r="E52">
        <v>1</v>
      </c>
      <c r="F52">
        <v>2</v>
      </c>
      <c r="G52">
        <v>3</v>
      </c>
      <c r="H52">
        <v>4</v>
      </c>
      <c r="I52">
        <v>5</v>
      </c>
      <c r="J52">
        <v>6</v>
      </c>
      <c r="K52">
        <v>7</v>
      </c>
      <c r="L52">
        <v>8</v>
      </c>
      <c r="M52">
        <v>9</v>
      </c>
      <c r="N52">
        <v>10</v>
      </c>
      <c r="O52">
        <v>11</v>
      </c>
      <c r="P52">
        <v>12</v>
      </c>
      <c r="Q52">
        <v>13</v>
      </c>
      <c r="R52">
        <v>14</v>
      </c>
      <c r="S52">
        <v>15</v>
      </c>
      <c r="T52">
        <v>16</v>
      </c>
      <c r="U52">
        <v>17</v>
      </c>
      <c r="V52">
        <v>18</v>
      </c>
      <c r="W52">
        <v>19</v>
      </c>
      <c r="X52">
        <v>20</v>
      </c>
      <c r="Y52">
        <v>21</v>
      </c>
      <c r="Z52">
        <v>22</v>
      </c>
      <c r="AA52">
        <v>23</v>
      </c>
      <c r="AB52">
        <v>24</v>
      </c>
      <c r="AC52">
        <v>25</v>
      </c>
      <c r="AD52">
        <v>26</v>
      </c>
      <c r="AE52">
        <v>27</v>
      </c>
      <c r="AF52">
        <v>28</v>
      </c>
      <c r="AG52">
        <v>29</v>
      </c>
      <c r="AH52">
        <v>30</v>
      </c>
    </row>
    <row r="53" spans="2:35">
      <c r="B53" s="10" t="s">
        <v>540</v>
      </c>
      <c r="C53" s="10" t="s">
        <v>541</v>
      </c>
      <c r="D53" s="10" t="s">
        <v>197</v>
      </c>
      <c r="E53" s="46" t="str">
        <f>"Ano "&amp;D52</f>
        <v>Ano 0</v>
      </c>
      <c r="F53" s="46" t="str">
        <f t="shared" ref="F53:AI53" si="5">"Ano "&amp;E52</f>
        <v>Ano 1</v>
      </c>
      <c r="G53" s="46" t="str">
        <f t="shared" si="5"/>
        <v>Ano 2</v>
      </c>
      <c r="H53" s="46" t="str">
        <f t="shared" si="5"/>
        <v>Ano 3</v>
      </c>
      <c r="I53" s="46" t="str">
        <f t="shared" si="5"/>
        <v>Ano 4</v>
      </c>
      <c r="J53" s="46" t="str">
        <f t="shared" si="5"/>
        <v>Ano 5</v>
      </c>
      <c r="K53" s="46" t="str">
        <f t="shared" si="5"/>
        <v>Ano 6</v>
      </c>
      <c r="L53" s="46" t="str">
        <f t="shared" si="5"/>
        <v>Ano 7</v>
      </c>
      <c r="M53" s="46" t="str">
        <f t="shared" si="5"/>
        <v>Ano 8</v>
      </c>
      <c r="N53" s="46" t="str">
        <f t="shared" si="5"/>
        <v>Ano 9</v>
      </c>
      <c r="O53" s="46" t="str">
        <f t="shared" si="5"/>
        <v>Ano 10</v>
      </c>
      <c r="P53" s="46" t="str">
        <f t="shared" si="5"/>
        <v>Ano 11</v>
      </c>
      <c r="Q53" s="46" t="str">
        <f t="shared" si="5"/>
        <v>Ano 12</v>
      </c>
      <c r="R53" s="46" t="str">
        <f t="shared" si="5"/>
        <v>Ano 13</v>
      </c>
      <c r="S53" s="46" t="str">
        <f t="shared" si="5"/>
        <v>Ano 14</v>
      </c>
      <c r="T53" s="46" t="str">
        <f t="shared" si="5"/>
        <v>Ano 15</v>
      </c>
      <c r="U53" s="46" t="str">
        <f t="shared" si="5"/>
        <v>Ano 16</v>
      </c>
      <c r="V53" s="46" t="str">
        <f t="shared" si="5"/>
        <v>Ano 17</v>
      </c>
      <c r="W53" s="46" t="str">
        <f t="shared" si="5"/>
        <v>Ano 18</v>
      </c>
      <c r="X53" s="46" t="str">
        <f t="shared" si="5"/>
        <v>Ano 19</v>
      </c>
      <c r="Y53" s="46" t="str">
        <f t="shared" si="5"/>
        <v>Ano 20</v>
      </c>
      <c r="Z53" s="46" t="str">
        <f t="shared" si="5"/>
        <v>Ano 21</v>
      </c>
      <c r="AA53" s="46" t="str">
        <f t="shared" si="5"/>
        <v>Ano 22</v>
      </c>
      <c r="AB53" s="46" t="str">
        <f t="shared" si="5"/>
        <v>Ano 23</v>
      </c>
      <c r="AC53" s="46" t="str">
        <f t="shared" si="5"/>
        <v>Ano 24</v>
      </c>
      <c r="AD53" s="46" t="str">
        <f t="shared" si="5"/>
        <v>Ano 25</v>
      </c>
      <c r="AE53" s="46" t="str">
        <f t="shared" si="5"/>
        <v>Ano 26</v>
      </c>
      <c r="AF53" s="46" t="str">
        <f t="shared" si="5"/>
        <v>Ano 27</v>
      </c>
      <c r="AG53" s="46" t="str">
        <f t="shared" si="5"/>
        <v>Ano 28</v>
      </c>
      <c r="AH53" s="46" t="str">
        <f t="shared" si="5"/>
        <v>Ano 29</v>
      </c>
      <c r="AI53" s="46" t="str">
        <f t="shared" si="5"/>
        <v>Ano 30</v>
      </c>
    </row>
    <row r="54" spans="2:35">
      <c r="B54" s="6" t="str" cm="1">
        <f t="array" ref="B54:D71">B30:D47</f>
        <v>Taxa específica anual</v>
      </c>
      <c r="C54" s="6" t="str">
        <v>Pessimista</v>
      </c>
      <c r="D54" s="122" t="str">
        <v>Leves</v>
      </c>
      <c r="E54" s="141" cm="1">
        <f t="array" ref="E54:AI71">E30:AI47</f>
        <v>3.8069761103065008E-2</v>
      </c>
      <c r="F54" s="141">
        <v>2.8487984485745826E-2</v>
      </c>
      <c r="G54" s="141">
        <v>2.741547271378994E-2</v>
      </c>
      <c r="H54" s="141">
        <v>2.7334508909423322E-2</v>
      </c>
      <c r="I54" s="141">
        <v>2.7551555853796289E-2</v>
      </c>
      <c r="J54" s="141">
        <v>2.767425322037273E-2</v>
      </c>
      <c r="K54" s="141">
        <v>2.7477351125532484E-2</v>
      </c>
      <c r="L54" s="141">
        <v>2.6817257036955228E-2</v>
      </c>
      <c r="M54" s="141">
        <v>2.5854920377999496E-2</v>
      </c>
      <c r="N54" s="141">
        <v>2.4663111116281694E-2</v>
      </c>
      <c r="O54" s="141">
        <v>2.3292954951851769E-2</v>
      </c>
      <c r="P54" s="141">
        <v>2.1754679496309576E-2</v>
      </c>
      <c r="Q54" s="141">
        <v>2.0076399033339548E-2</v>
      </c>
      <c r="R54" s="141">
        <v>1.8325277115813193E-2</v>
      </c>
      <c r="S54" s="141">
        <v>1.6512708097603163E-2</v>
      </c>
      <c r="T54" s="141">
        <v>1.4638113424035063E-2</v>
      </c>
      <c r="U54" s="141">
        <v>1.2714287261650218E-2</v>
      </c>
      <c r="V54" s="141">
        <v>1.078816350782205E-2</v>
      </c>
      <c r="W54" s="141">
        <v>8.8735477957838354E-3</v>
      </c>
      <c r="X54" s="141">
        <v>6.9592790183781988E-3</v>
      </c>
      <c r="Y54" s="141">
        <v>5.0547107497035098E-3</v>
      </c>
      <c r="Z54" s="141">
        <v>3.1486668282299773E-3</v>
      </c>
      <c r="AA54" s="141">
        <v>1.256024661700909E-3</v>
      </c>
      <c r="AB54" s="141">
        <v>-6.1370069296776304E-4</v>
      </c>
      <c r="AC54" s="141">
        <v>-2.475451505524669E-3</v>
      </c>
      <c r="AD54" s="141">
        <v>-4.3345726814713343E-3</v>
      </c>
      <c r="AE54" s="141">
        <v>-6.1830341669241468E-3</v>
      </c>
      <c r="AF54" s="141">
        <v>-8.0224835635766285E-3</v>
      </c>
      <c r="AG54" s="141">
        <v>-9.8709890203875512E-3</v>
      </c>
      <c r="AH54" s="141">
        <v>-1.1733584985480191E-2</v>
      </c>
      <c r="AI54" s="141">
        <v>-1.3611632757475707E-2</v>
      </c>
    </row>
    <row r="55" spans="2:35">
      <c r="B55" s="6" t="str">
        <v>Taxa específica anual</v>
      </c>
      <c r="C55" s="6" t="str">
        <v>Pessimista</v>
      </c>
      <c r="D55" s="122" t="str">
        <v>Pesados I</v>
      </c>
      <c r="E55" s="141">
        <v>1.617184167102223E-2</v>
      </c>
      <c r="F55" s="141">
        <v>1.1927160834126342E-2</v>
      </c>
      <c r="G55" s="141">
        <v>1.074947481015273E-2</v>
      </c>
      <c r="H55" s="141">
        <v>9.9198914156989042E-3</v>
      </c>
      <c r="I55" s="141">
        <v>9.1942210296923326E-3</v>
      </c>
      <c r="J55" s="141">
        <v>8.4378195281641071E-3</v>
      </c>
      <c r="K55" s="141">
        <v>7.5586136142976306E-3</v>
      </c>
      <c r="L55" s="141">
        <v>6.5025119326825569E-3</v>
      </c>
      <c r="M55" s="141">
        <v>5.3461786193632326E-3</v>
      </c>
      <c r="N55" s="141">
        <v>4.115349053350174E-3</v>
      </c>
      <c r="O55" s="141">
        <v>2.8312753451978628E-3</v>
      </c>
      <c r="P55" s="141">
        <v>1.4902112094473379E-3</v>
      </c>
      <c r="Q55" s="141">
        <v>1.0120084319273186E-4</v>
      </c>
      <c r="R55" s="141">
        <v>-1.2983142288100231E-3</v>
      </c>
      <c r="S55" s="141">
        <v>-2.7046971618515398E-3</v>
      </c>
      <c r="T55" s="141">
        <v>-4.1202642883545765E-3</v>
      </c>
      <c r="U55" s="141">
        <v>-5.5418912714607933E-3</v>
      </c>
      <c r="V55" s="141">
        <v>-6.9426061160079728E-3</v>
      </c>
      <c r="W55" s="141">
        <v>-8.3188107877697776E-3</v>
      </c>
      <c r="X55" s="141">
        <v>-9.6821054080177566E-3</v>
      </c>
      <c r="Y55" s="141">
        <v>-1.1027180612277617E-2</v>
      </c>
      <c r="Z55" s="141">
        <v>-1.2365570963472157E-2</v>
      </c>
      <c r="AA55" s="141">
        <v>-1.3688793129046502E-2</v>
      </c>
      <c r="AB55" s="141">
        <v>-1.4992261156760696E-2</v>
      </c>
      <c r="AC55" s="141">
        <v>-1.6289819790534704E-2</v>
      </c>
      <c r="AD55" s="141">
        <v>-1.7586520250923804E-2</v>
      </c>
      <c r="AE55" s="141">
        <v>-1.887653034679862E-2</v>
      </c>
      <c r="AF55" s="141">
        <v>-2.0159737468897238E-2</v>
      </c>
      <c r="AG55" s="141">
        <v>-2.14488442163209E-2</v>
      </c>
      <c r="AH55" s="141">
        <v>-2.2747608297578742E-2</v>
      </c>
      <c r="AI55" s="141">
        <v>-2.4057690030893558E-2</v>
      </c>
    </row>
    <row r="56" spans="2:35">
      <c r="B56" s="6" t="str">
        <v>Taxa específica anual</v>
      </c>
      <c r="C56" s="6" t="str">
        <v>Pessimista</v>
      </c>
      <c r="D56" s="122" t="str">
        <v>Pesados II</v>
      </c>
      <c r="E56" s="141">
        <v>3.2039520858429288E-2</v>
      </c>
      <c r="F56" s="141">
        <v>2.4334382735373111E-2</v>
      </c>
      <c r="G56" s="141">
        <v>2.3054771872374674E-2</v>
      </c>
      <c r="H56" s="141">
        <v>2.2518328666144422E-2</v>
      </c>
      <c r="I56" s="141">
        <v>2.220458321353122E-2</v>
      </c>
      <c r="J56" s="141">
        <v>2.1821364365586765E-2</v>
      </c>
      <c r="K56" s="141">
        <v>2.1192345461712975E-2</v>
      </c>
      <c r="L56" s="141">
        <v>2.0208007260863997E-2</v>
      </c>
      <c r="M56" s="141">
        <v>1.9001011604093371E-2</v>
      </c>
      <c r="N56" s="141">
        <v>1.762605134642467E-2</v>
      </c>
      <c r="O56" s="141">
        <v>1.6123428470703999E-2</v>
      </c>
      <c r="P56" s="141">
        <v>1.4496493106084999E-2</v>
      </c>
      <c r="Q56" s="141">
        <v>1.2765837503512093E-2</v>
      </c>
      <c r="R56" s="141">
        <v>1.0989967813025274E-2</v>
      </c>
      <c r="S56" s="141">
        <v>9.1772005559039565E-3</v>
      </c>
      <c r="T56" s="141">
        <v>7.3258554641993639E-3</v>
      </c>
      <c r="U56" s="141">
        <v>5.4446935103521204E-3</v>
      </c>
      <c r="V56" s="141">
        <v>3.5750272494042539E-3</v>
      </c>
      <c r="W56" s="141">
        <v>1.7264205000349902E-3</v>
      </c>
      <c r="X56" s="141">
        <v>-1.1403785076150204E-4</v>
      </c>
      <c r="Y56" s="141">
        <v>-1.9381678055271651E-3</v>
      </c>
      <c r="Z56" s="141">
        <v>-3.7588395007401038E-3</v>
      </c>
      <c r="AA56" s="141">
        <v>-5.5630121150368767E-3</v>
      </c>
      <c r="AB56" s="141">
        <v>-7.3428499390929842E-3</v>
      </c>
      <c r="AC56" s="141">
        <v>-9.1146124156570602E-3</v>
      </c>
      <c r="AD56" s="141">
        <v>-1.0884171863931565E-2</v>
      </c>
      <c r="AE56" s="141">
        <v>-1.2643750477586176E-2</v>
      </c>
      <c r="AF56" s="141">
        <v>-1.4394175253866911E-2</v>
      </c>
      <c r="AG56" s="141">
        <v>-1.6152698072542521E-2</v>
      </c>
      <c r="AH56" s="141">
        <v>-1.7924248866929587E-2</v>
      </c>
      <c r="AI56" s="141">
        <v>-1.9710534821401532E-2</v>
      </c>
    </row>
    <row r="57" spans="2:35">
      <c r="B57" s="6" t="str">
        <v>Taxa específica anual</v>
      </c>
      <c r="C57" s="6" t="str">
        <v>Base</v>
      </c>
      <c r="D57" s="122" t="str">
        <v>Leves</v>
      </c>
      <c r="E57" s="141">
        <v>5.201634983156822E-2</v>
      </c>
      <c r="F57" s="141">
        <v>4.2434573214249038E-2</v>
      </c>
      <c r="G57" s="141">
        <v>4.1362061442293152E-2</v>
      </c>
      <c r="H57" s="141">
        <v>4.1281097637926534E-2</v>
      </c>
      <c r="I57" s="141">
        <v>4.1498144582299501E-2</v>
      </c>
      <c r="J57" s="141">
        <v>4.1620841948875942E-2</v>
      </c>
      <c r="K57" s="141">
        <v>4.1423939854035696E-2</v>
      </c>
      <c r="L57" s="141">
        <v>4.076384576545844E-2</v>
      </c>
      <c r="M57" s="141">
        <v>3.9801509106502708E-2</v>
      </c>
      <c r="N57" s="141">
        <v>3.8609699844784906E-2</v>
      </c>
      <c r="O57" s="141">
        <v>3.7239543680354981E-2</v>
      </c>
      <c r="P57" s="141">
        <v>3.5701268224812788E-2</v>
      </c>
      <c r="Q57" s="141">
        <v>3.402298776184276E-2</v>
      </c>
      <c r="R57" s="141">
        <v>3.2271865844316405E-2</v>
      </c>
      <c r="S57" s="141">
        <v>3.0459296826106375E-2</v>
      </c>
      <c r="T57" s="141">
        <v>2.8584702152538277E-2</v>
      </c>
      <c r="U57" s="141">
        <v>2.6660875990153432E-2</v>
      </c>
      <c r="V57" s="141">
        <v>2.4734752236325264E-2</v>
      </c>
      <c r="W57" s="141">
        <v>2.2820136524287049E-2</v>
      </c>
      <c r="X57" s="141">
        <v>2.0905867746881412E-2</v>
      </c>
      <c r="Y57" s="141">
        <v>1.9001299478206723E-2</v>
      </c>
      <c r="Z57" s="141">
        <v>1.7095255556733191E-2</v>
      </c>
      <c r="AA57" s="141">
        <v>1.5202613390204123E-2</v>
      </c>
      <c r="AB57" s="141">
        <v>1.3332888035535451E-2</v>
      </c>
      <c r="AC57" s="141">
        <v>1.1471137222978545E-2</v>
      </c>
      <c r="AD57" s="141">
        <v>9.6120160470318794E-3</v>
      </c>
      <c r="AE57" s="141">
        <v>7.7635545615790669E-3</v>
      </c>
      <c r="AF57" s="141">
        <v>5.9241051649265852E-3</v>
      </c>
      <c r="AG57" s="141">
        <v>4.0755997081156625E-3</v>
      </c>
      <c r="AH57" s="141">
        <v>2.2130037430230232E-3</v>
      </c>
      <c r="AI57" s="141">
        <v>3.3495597102750629E-4</v>
      </c>
    </row>
    <row r="58" spans="2:35">
      <c r="B58" s="6" t="str">
        <v>Taxa específica anual</v>
      </c>
      <c r="C58" s="6" t="str">
        <v>Base</v>
      </c>
      <c r="D58" s="122" t="str">
        <v>Pesados I</v>
      </c>
      <c r="E58" s="141">
        <v>3.0118430399525442E-2</v>
      </c>
      <c r="F58" s="141">
        <v>2.5873749562629555E-2</v>
      </c>
      <c r="G58" s="141">
        <v>2.4696063538655944E-2</v>
      </c>
      <c r="H58" s="141">
        <v>2.3866480144202118E-2</v>
      </c>
      <c r="I58" s="141">
        <v>2.3140809758195546E-2</v>
      </c>
      <c r="J58" s="141">
        <v>2.2384408256667321E-2</v>
      </c>
      <c r="K58" s="141">
        <v>2.1505202342800844E-2</v>
      </c>
      <c r="L58" s="141">
        <v>2.0449100661185771E-2</v>
      </c>
      <c r="M58" s="141">
        <v>1.9292767347866446E-2</v>
      </c>
      <c r="N58" s="141">
        <v>1.8061937781853388E-2</v>
      </c>
      <c r="O58" s="141">
        <v>1.6777864073701076E-2</v>
      </c>
      <c r="P58" s="141">
        <v>1.5436799937950552E-2</v>
      </c>
      <c r="Q58" s="141">
        <v>1.4047789571695946E-2</v>
      </c>
      <c r="R58" s="141">
        <v>1.2648274499693191E-2</v>
      </c>
      <c r="S58" s="141">
        <v>1.1241891566651674E-2</v>
      </c>
      <c r="T58" s="141">
        <v>9.8263244401486372E-3</v>
      </c>
      <c r="U58" s="141">
        <v>8.4046974570424204E-3</v>
      </c>
      <c r="V58" s="141">
        <v>7.0039826124952409E-3</v>
      </c>
      <c r="W58" s="141">
        <v>5.6277779407334361E-3</v>
      </c>
      <c r="X58" s="141">
        <v>4.2644833204854571E-3</v>
      </c>
      <c r="Y58" s="141">
        <v>2.9194081162255969E-3</v>
      </c>
      <c r="Z58" s="141">
        <v>1.5810177650310564E-3</v>
      </c>
      <c r="AA58" s="141">
        <v>2.577955994567116E-4</v>
      </c>
      <c r="AB58" s="141">
        <v>-1.0456724282574825E-3</v>
      </c>
      <c r="AC58" s="141">
        <v>-2.3432310620314922E-3</v>
      </c>
      <c r="AD58" s="141">
        <v>-3.6399315224205919E-3</v>
      </c>
      <c r="AE58" s="141">
        <v>-4.9299416182954081E-3</v>
      </c>
      <c r="AF58" s="141">
        <v>-6.2131487403940255E-3</v>
      </c>
      <c r="AG58" s="141">
        <v>-7.5022554878176884E-3</v>
      </c>
      <c r="AH58" s="141">
        <v>-8.80101956907553E-3</v>
      </c>
      <c r="AI58" s="141">
        <v>-1.0111101302390346E-2</v>
      </c>
    </row>
    <row r="59" spans="2:35">
      <c r="B59" s="6" t="str">
        <v>Taxa específica anual</v>
      </c>
      <c r="C59" s="6" t="str">
        <v>Base</v>
      </c>
      <c r="D59" s="122" t="str">
        <v>Pesados II</v>
      </c>
      <c r="E59" s="141">
        <v>4.59861095869325E-2</v>
      </c>
      <c r="F59" s="141">
        <v>3.8280971463876323E-2</v>
      </c>
      <c r="G59" s="141">
        <v>3.7001360600877886E-2</v>
      </c>
      <c r="H59" s="141">
        <v>3.6464917394647633E-2</v>
      </c>
      <c r="I59" s="141">
        <v>3.6151171942034432E-2</v>
      </c>
      <c r="J59" s="141">
        <v>3.5767953094089977E-2</v>
      </c>
      <c r="K59" s="141">
        <v>3.5138934190216187E-2</v>
      </c>
      <c r="L59" s="141">
        <v>3.4154595989367209E-2</v>
      </c>
      <c r="M59" s="141">
        <v>3.2947600332596583E-2</v>
      </c>
      <c r="N59" s="141">
        <v>3.1572640074927882E-2</v>
      </c>
      <c r="O59" s="141">
        <v>3.0070017199207211E-2</v>
      </c>
      <c r="P59" s="141">
        <v>2.8443081834588213E-2</v>
      </c>
      <c r="Q59" s="141">
        <v>2.6712426232015307E-2</v>
      </c>
      <c r="R59" s="141">
        <v>2.4936556541528487E-2</v>
      </c>
      <c r="S59" s="141">
        <v>2.312378928440717E-2</v>
      </c>
      <c r="T59" s="141">
        <v>2.1272444192702578E-2</v>
      </c>
      <c r="U59" s="141">
        <v>1.9391282238855334E-2</v>
      </c>
      <c r="V59" s="141">
        <v>1.7521615977907468E-2</v>
      </c>
      <c r="W59" s="141">
        <v>1.5673009228538204E-2</v>
      </c>
      <c r="X59" s="141">
        <v>1.3832550877741712E-2</v>
      </c>
      <c r="Y59" s="141">
        <v>1.2008420922976049E-2</v>
      </c>
      <c r="Z59" s="141">
        <v>1.018774922776311E-2</v>
      </c>
      <c r="AA59" s="141">
        <v>8.383576613466337E-3</v>
      </c>
      <c r="AB59" s="141">
        <v>6.6037387894102295E-3</v>
      </c>
      <c r="AC59" s="141">
        <v>4.8319763128461535E-3</v>
      </c>
      <c r="AD59" s="141">
        <v>3.0624168645716487E-3</v>
      </c>
      <c r="AE59" s="141">
        <v>1.3028382509170378E-3</v>
      </c>
      <c r="AF59" s="141">
        <v>-4.4758652536369681E-4</v>
      </c>
      <c r="AG59" s="141">
        <v>-2.2061093440393087E-3</v>
      </c>
      <c r="AH59" s="141">
        <v>-3.9776601384263754E-3</v>
      </c>
      <c r="AI59" s="141">
        <v>-5.7639460928983199E-3</v>
      </c>
    </row>
    <row r="60" spans="2:35">
      <c r="B60" s="6" t="str">
        <v>Taxa específica anual</v>
      </c>
      <c r="C60" s="6" t="str">
        <v>Otimista</v>
      </c>
      <c r="D60" s="122" t="str">
        <v>Leves</v>
      </c>
      <c r="E60" s="141">
        <v>6.5962938560071432E-2</v>
      </c>
      <c r="F60" s="141">
        <v>5.638116194275225E-2</v>
      </c>
      <c r="G60" s="141">
        <v>5.5308650170796364E-2</v>
      </c>
      <c r="H60" s="141">
        <v>5.5227686366429746E-2</v>
      </c>
      <c r="I60" s="141">
        <v>5.5444733310802713E-2</v>
      </c>
      <c r="J60" s="141">
        <v>5.5567430677379154E-2</v>
      </c>
      <c r="K60" s="141">
        <v>5.5370528582538908E-2</v>
      </c>
      <c r="L60" s="141">
        <v>5.4710434493961652E-2</v>
      </c>
      <c r="M60" s="141">
        <v>5.374809783500592E-2</v>
      </c>
      <c r="N60" s="141">
        <v>5.2556288573288118E-2</v>
      </c>
      <c r="O60" s="141">
        <v>5.1186132408858193E-2</v>
      </c>
      <c r="P60" s="141">
        <v>4.9647856953316E-2</v>
      </c>
      <c r="Q60" s="141">
        <v>4.7969576490345972E-2</v>
      </c>
      <c r="R60" s="141">
        <v>4.6218454572819617E-2</v>
      </c>
      <c r="S60" s="141">
        <v>4.4405885554609587E-2</v>
      </c>
      <c r="T60" s="141">
        <v>4.2531290881041489E-2</v>
      </c>
      <c r="U60" s="141">
        <v>4.0607464718656644E-2</v>
      </c>
      <c r="V60" s="141">
        <v>3.8681340964828476E-2</v>
      </c>
      <c r="W60" s="141">
        <v>3.6766725252790261E-2</v>
      </c>
      <c r="X60" s="141">
        <v>3.4852456475384624E-2</v>
      </c>
      <c r="Y60" s="141">
        <v>3.2947888206709935E-2</v>
      </c>
      <c r="Z60" s="141">
        <v>3.1041844285236403E-2</v>
      </c>
      <c r="AA60" s="141">
        <v>2.9149202118707335E-2</v>
      </c>
      <c r="AB60" s="141">
        <v>2.7279476764038663E-2</v>
      </c>
      <c r="AC60" s="141">
        <v>2.5417725951481757E-2</v>
      </c>
      <c r="AD60" s="141">
        <v>2.3558604775535091E-2</v>
      </c>
      <c r="AE60" s="141">
        <v>2.1710143290082279E-2</v>
      </c>
      <c r="AF60" s="141">
        <v>1.9870693893429797E-2</v>
      </c>
      <c r="AG60" s="141">
        <v>1.8022188436618874E-2</v>
      </c>
      <c r="AH60" s="141">
        <v>1.6159592471526235E-2</v>
      </c>
      <c r="AI60" s="141">
        <v>1.428154469953072E-2</v>
      </c>
    </row>
    <row r="61" spans="2:35">
      <c r="B61" s="6" t="str">
        <v>Taxa específica anual</v>
      </c>
      <c r="C61" s="6" t="str">
        <v>Otimista</v>
      </c>
      <c r="D61" s="122" t="str">
        <v>Pesados I</v>
      </c>
      <c r="E61" s="141">
        <v>4.4065019128028654E-2</v>
      </c>
      <c r="F61" s="141">
        <v>3.9820338291132767E-2</v>
      </c>
      <c r="G61" s="141">
        <v>3.8642652267159155E-2</v>
      </c>
      <c r="H61" s="141">
        <v>3.781306887270533E-2</v>
      </c>
      <c r="I61" s="141">
        <v>3.7087398486698758E-2</v>
      </c>
      <c r="J61" s="141">
        <v>3.6330996985170533E-2</v>
      </c>
      <c r="K61" s="141">
        <v>3.5451791071304056E-2</v>
      </c>
      <c r="L61" s="141">
        <v>3.4395689389688983E-2</v>
      </c>
      <c r="M61" s="141">
        <v>3.3239356076369658E-2</v>
      </c>
      <c r="N61" s="141">
        <v>3.20085265103566E-2</v>
      </c>
      <c r="O61" s="141">
        <v>3.0724452802204288E-2</v>
      </c>
      <c r="P61" s="141">
        <v>2.9383388666453764E-2</v>
      </c>
      <c r="Q61" s="141">
        <v>2.7994378300199158E-2</v>
      </c>
      <c r="R61" s="141">
        <v>2.6594863228196403E-2</v>
      </c>
      <c r="S61" s="141">
        <v>2.5188480295154886E-2</v>
      </c>
      <c r="T61" s="141">
        <v>2.3772913168651849E-2</v>
      </c>
      <c r="U61" s="141">
        <v>2.2351286185545632E-2</v>
      </c>
      <c r="V61" s="141">
        <v>2.0950571340998453E-2</v>
      </c>
      <c r="W61" s="141">
        <v>1.9574366669236648E-2</v>
      </c>
      <c r="X61" s="141">
        <v>1.8211072048988669E-2</v>
      </c>
      <c r="Y61" s="141">
        <v>1.6865996844728809E-2</v>
      </c>
      <c r="Z61" s="141">
        <v>1.552760649353427E-2</v>
      </c>
      <c r="AA61" s="141">
        <v>1.4204384327959925E-2</v>
      </c>
      <c r="AB61" s="141">
        <v>1.2900916300245731E-2</v>
      </c>
      <c r="AC61" s="141">
        <v>1.1603357666471721E-2</v>
      </c>
      <c r="AD61" s="141">
        <v>1.0306657206082622E-2</v>
      </c>
      <c r="AE61" s="141">
        <v>9.0166471102078056E-3</v>
      </c>
      <c r="AF61" s="141">
        <v>7.7334399881091882E-3</v>
      </c>
      <c r="AG61" s="141">
        <v>6.4443332406855253E-3</v>
      </c>
      <c r="AH61" s="141">
        <v>5.1455691594276837E-3</v>
      </c>
      <c r="AI61" s="141">
        <v>3.8354874261128675E-3</v>
      </c>
    </row>
    <row r="62" spans="2:35">
      <c r="B62" s="6" t="str">
        <v>Taxa específica anual</v>
      </c>
      <c r="C62" s="6" t="str">
        <v>Otimista</v>
      </c>
      <c r="D62" s="122" t="str">
        <v>Pesados II</v>
      </c>
      <c r="E62" s="141">
        <v>5.9932698315435712E-2</v>
      </c>
      <c r="F62" s="141">
        <v>5.2227560192379535E-2</v>
      </c>
      <c r="G62" s="141">
        <v>5.0947949329381098E-2</v>
      </c>
      <c r="H62" s="141">
        <v>5.0411506123150845E-2</v>
      </c>
      <c r="I62" s="141">
        <v>5.0097760670537644E-2</v>
      </c>
      <c r="J62" s="141">
        <v>4.9714541822593189E-2</v>
      </c>
      <c r="K62" s="141">
        <v>4.9085522918719399E-2</v>
      </c>
      <c r="L62" s="141">
        <v>4.8101184717870421E-2</v>
      </c>
      <c r="M62" s="141">
        <v>4.6894189061099795E-2</v>
      </c>
      <c r="N62" s="141">
        <v>4.5519228803431094E-2</v>
      </c>
      <c r="O62" s="141">
        <v>4.4016605927710423E-2</v>
      </c>
      <c r="P62" s="141">
        <v>4.2389670563091425E-2</v>
      </c>
      <c r="Q62" s="141">
        <v>4.0659014960518519E-2</v>
      </c>
      <c r="R62" s="141">
        <v>3.8883145270031699E-2</v>
      </c>
      <c r="S62" s="141">
        <v>3.7070378012910382E-2</v>
      </c>
      <c r="T62" s="141">
        <v>3.521903292120579E-2</v>
      </c>
      <c r="U62" s="141">
        <v>3.3337870967358546E-2</v>
      </c>
      <c r="V62" s="141">
        <v>3.146820470641068E-2</v>
      </c>
      <c r="W62" s="141">
        <v>2.9619597957041416E-2</v>
      </c>
      <c r="X62" s="141">
        <v>2.7779139606244924E-2</v>
      </c>
      <c r="Y62" s="141">
        <v>2.5955009651479261E-2</v>
      </c>
      <c r="Z62" s="141">
        <v>2.4134337956266322E-2</v>
      </c>
      <c r="AA62" s="141">
        <v>2.2330165341969549E-2</v>
      </c>
      <c r="AB62" s="141">
        <v>2.0550327517913441E-2</v>
      </c>
      <c r="AC62" s="141">
        <v>1.8778565041349365E-2</v>
      </c>
      <c r="AD62" s="141">
        <v>1.7009005593074861E-2</v>
      </c>
      <c r="AE62" s="141">
        <v>1.5249426979420251E-2</v>
      </c>
      <c r="AF62" s="141">
        <v>1.3499002203139517E-2</v>
      </c>
      <c r="AG62" s="141">
        <v>1.1740479384463905E-2</v>
      </c>
      <c r="AH62" s="141">
        <v>9.9689285900768383E-3</v>
      </c>
      <c r="AI62" s="141">
        <v>8.1826426356048938E-3</v>
      </c>
    </row>
    <row r="63" spans="2:35">
      <c r="B63" s="6" t="str">
        <v>Taxa constante (CAGR)</v>
      </c>
      <c r="C63" s="6" t="str">
        <v>Pessimista</v>
      </c>
      <c r="D63" s="122" t="str">
        <v>Leves</v>
      </c>
      <c r="E63" s="141">
        <v>1.1566012552824967E-2</v>
      </c>
      <c r="F63" s="141">
        <v>1.1566012552824967E-2</v>
      </c>
      <c r="G63" s="141">
        <v>1.1566012552824967E-2</v>
      </c>
      <c r="H63" s="141">
        <v>1.1566012552824967E-2</v>
      </c>
      <c r="I63" s="141">
        <v>1.1566012552824967E-2</v>
      </c>
      <c r="J63" s="141">
        <v>1.1566012552824967E-2</v>
      </c>
      <c r="K63" s="141">
        <v>1.1566012552824967E-2</v>
      </c>
      <c r="L63" s="141">
        <v>1.1566012552824967E-2</v>
      </c>
      <c r="M63" s="141">
        <v>1.1566012552824967E-2</v>
      </c>
      <c r="N63" s="141">
        <v>1.1566012552824967E-2</v>
      </c>
      <c r="O63" s="141">
        <v>1.1566012552824967E-2</v>
      </c>
      <c r="P63" s="141">
        <v>1.1566012552824967E-2</v>
      </c>
      <c r="Q63" s="141">
        <v>1.1566012552824967E-2</v>
      </c>
      <c r="R63" s="141">
        <v>1.1566012552824967E-2</v>
      </c>
      <c r="S63" s="141">
        <v>1.1566012552824967E-2</v>
      </c>
      <c r="T63" s="141">
        <v>1.1566012552824967E-2</v>
      </c>
      <c r="U63" s="141">
        <v>1.1566012552824967E-2</v>
      </c>
      <c r="V63" s="141">
        <v>1.1566012552824967E-2</v>
      </c>
      <c r="W63" s="141">
        <v>1.1566012552824967E-2</v>
      </c>
      <c r="X63" s="141">
        <v>1.1566012552824967E-2</v>
      </c>
      <c r="Y63" s="141">
        <v>1.1566012552824967E-2</v>
      </c>
      <c r="Z63" s="141">
        <v>1.1566012552824967E-2</v>
      </c>
      <c r="AA63" s="141">
        <v>1.1566012552824967E-2</v>
      </c>
      <c r="AB63" s="141">
        <v>1.1566012552824967E-2</v>
      </c>
      <c r="AC63" s="141">
        <v>1.1566012552824967E-2</v>
      </c>
      <c r="AD63" s="141">
        <v>1.1566012552824967E-2</v>
      </c>
      <c r="AE63" s="141">
        <v>1.1566012552824967E-2</v>
      </c>
      <c r="AF63" s="141">
        <v>1.1566012552824967E-2</v>
      </c>
      <c r="AG63" s="141">
        <v>1.1566012552824967E-2</v>
      </c>
      <c r="AH63" s="141">
        <v>1.1566012552824967E-2</v>
      </c>
      <c r="AI63" s="141">
        <v>1.1566012552824967E-2</v>
      </c>
    </row>
    <row r="64" spans="2:35">
      <c r="B64" s="6" t="str">
        <v>Taxa constante (CAGR)</v>
      </c>
      <c r="C64" s="6" t="str">
        <v>Pessimista</v>
      </c>
      <c r="D64" s="122" t="str">
        <v>Pesados I</v>
      </c>
      <c r="E64" s="141">
        <v>-5.1850144290754852E-3</v>
      </c>
      <c r="F64" s="141">
        <v>-5.1850144290754852E-3</v>
      </c>
      <c r="G64" s="141">
        <v>-5.1850144290754852E-3</v>
      </c>
      <c r="H64" s="141">
        <v>-5.1850144290754852E-3</v>
      </c>
      <c r="I64" s="141">
        <v>-5.1850144290754852E-3</v>
      </c>
      <c r="J64" s="141">
        <v>-5.1850144290754852E-3</v>
      </c>
      <c r="K64" s="141">
        <v>-5.1850144290754852E-3</v>
      </c>
      <c r="L64" s="141">
        <v>-5.1850144290754852E-3</v>
      </c>
      <c r="M64" s="141">
        <v>-5.1850144290754852E-3</v>
      </c>
      <c r="N64" s="141">
        <v>-5.1850144290754852E-3</v>
      </c>
      <c r="O64" s="141">
        <v>-5.1850144290754852E-3</v>
      </c>
      <c r="P64" s="141">
        <v>-5.1850144290754852E-3</v>
      </c>
      <c r="Q64" s="141">
        <v>-5.1850144290754852E-3</v>
      </c>
      <c r="R64" s="141">
        <v>-5.1850144290754852E-3</v>
      </c>
      <c r="S64" s="141">
        <v>-5.1850144290754852E-3</v>
      </c>
      <c r="T64" s="141">
        <v>-5.1850144290754852E-3</v>
      </c>
      <c r="U64" s="141">
        <v>-5.1850144290754852E-3</v>
      </c>
      <c r="V64" s="141">
        <v>-5.1850144290754852E-3</v>
      </c>
      <c r="W64" s="141">
        <v>-5.1850144290754852E-3</v>
      </c>
      <c r="X64" s="141">
        <v>-5.1850144290754852E-3</v>
      </c>
      <c r="Y64" s="141">
        <v>-5.1850144290754852E-3</v>
      </c>
      <c r="Z64" s="141">
        <v>-5.1850144290754852E-3</v>
      </c>
      <c r="AA64" s="141">
        <v>-5.1850144290754852E-3</v>
      </c>
      <c r="AB64" s="141">
        <v>-5.1850144290754852E-3</v>
      </c>
      <c r="AC64" s="141">
        <v>-5.1850144290754852E-3</v>
      </c>
      <c r="AD64" s="141">
        <v>-5.1850144290754852E-3</v>
      </c>
      <c r="AE64" s="141">
        <v>-5.1850144290754852E-3</v>
      </c>
      <c r="AF64" s="141">
        <v>-5.1850144290754852E-3</v>
      </c>
      <c r="AG64" s="141">
        <v>-5.1850144290754852E-3</v>
      </c>
      <c r="AH64" s="141">
        <v>-5.1850144290754852E-3</v>
      </c>
      <c r="AI64" s="141">
        <v>-5.1850144290754852E-3</v>
      </c>
    </row>
    <row r="65" spans="2:44">
      <c r="B65" s="6" t="str">
        <v>Taxa constante (CAGR)</v>
      </c>
      <c r="C65" s="6" t="str">
        <v>Pessimista</v>
      </c>
      <c r="D65" s="122" t="str">
        <v>Pesados II</v>
      </c>
      <c r="E65" s="141">
        <v>5.0364829755622509E-3</v>
      </c>
      <c r="F65" s="141">
        <v>5.0364829755622509E-3</v>
      </c>
      <c r="G65" s="141">
        <v>5.0364829755622509E-3</v>
      </c>
      <c r="H65" s="141">
        <v>5.0364829755622509E-3</v>
      </c>
      <c r="I65" s="141">
        <v>5.0364829755622509E-3</v>
      </c>
      <c r="J65" s="141">
        <v>5.0364829755622509E-3</v>
      </c>
      <c r="K65" s="141">
        <v>5.0364829755622509E-3</v>
      </c>
      <c r="L65" s="141">
        <v>5.0364829755622509E-3</v>
      </c>
      <c r="M65" s="141">
        <v>5.0364829755622509E-3</v>
      </c>
      <c r="N65" s="141">
        <v>5.0364829755622509E-3</v>
      </c>
      <c r="O65" s="141">
        <v>5.0364829755622509E-3</v>
      </c>
      <c r="P65" s="141">
        <v>5.0364829755622509E-3</v>
      </c>
      <c r="Q65" s="141">
        <v>5.0364829755622509E-3</v>
      </c>
      <c r="R65" s="141">
        <v>5.0364829755622509E-3</v>
      </c>
      <c r="S65" s="141">
        <v>5.0364829755622509E-3</v>
      </c>
      <c r="T65" s="141">
        <v>5.0364829755622509E-3</v>
      </c>
      <c r="U65" s="141">
        <v>5.0364829755622509E-3</v>
      </c>
      <c r="V65" s="141">
        <v>5.0364829755622509E-3</v>
      </c>
      <c r="W65" s="141">
        <v>5.0364829755622509E-3</v>
      </c>
      <c r="X65" s="141">
        <v>5.0364829755622509E-3</v>
      </c>
      <c r="Y65" s="141">
        <v>5.0364829755622509E-3</v>
      </c>
      <c r="Z65" s="141">
        <v>5.0364829755622509E-3</v>
      </c>
      <c r="AA65" s="141">
        <v>5.0364829755622509E-3</v>
      </c>
      <c r="AB65" s="141">
        <v>5.0364829755622509E-3</v>
      </c>
      <c r="AC65" s="141">
        <v>5.0364829755622509E-3</v>
      </c>
      <c r="AD65" s="141">
        <v>5.0364829755622509E-3</v>
      </c>
      <c r="AE65" s="141">
        <v>5.0364829755622509E-3</v>
      </c>
      <c r="AF65" s="141">
        <v>5.0364829755622509E-3</v>
      </c>
      <c r="AG65" s="141">
        <v>5.0364829755622509E-3</v>
      </c>
      <c r="AH65" s="141">
        <v>5.0364829755622509E-3</v>
      </c>
      <c r="AI65" s="141">
        <v>5.0364829755622509E-3</v>
      </c>
    </row>
    <row r="66" spans="2:44">
      <c r="B66" s="6" t="str">
        <v>Taxa constante (CAGR)</v>
      </c>
      <c r="C66" s="6" t="str">
        <v>Base</v>
      </c>
      <c r="D66" s="122" t="str">
        <v>Leves</v>
      </c>
      <c r="E66" s="141">
        <v>2.551389517204905E-2</v>
      </c>
      <c r="F66" s="141">
        <v>2.551389517204905E-2</v>
      </c>
      <c r="G66" s="141">
        <v>2.551389517204905E-2</v>
      </c>
      <c r="H66" s="141">
        <v>2.551389517204905E-2</v>
      </c>
      <c r="I66" s="141">
        <v>2.551389517204905E-2</v>
      </c>
      <c r="J66" s="141">
        <v>2.551389517204905E-2</v>
      </c>
      <c r="K66" s="141">
        <v>2.551389517204905E-2</v>
      </c>
      <c r="L66" s="141">
        <v>2.551389517204905E-2</v>
      </c>
      <c r="M66" s="141">
        <v>2.551389517204905E-2</v>
      </c>
      <c r="N66" s="141">
        <v>2.551389517204905E-2</v>
      </c>
      <c r="O66" s="141">
        <v>2.551389517204905E-2</v>
      </c>
      <c r="P66" s="141">
        <v>2.551389517204905E-2</v>
      </c>
      <c r="Q66" s="141">
        <v>2.551389517204905E-2</v>
      </c>
      <c r="R66" s="141">
        <v>2.551389517204905E-2</v>
      </c>
      <c r="S66" s="141">
        <v>2.551389517204905E-2</v>
      </c>
      <c r="T66" s="141">
        <v>2.551389517204905E-2</v>
      </c>
      <c r="U66" s="141">
        <v>2.551389517204905E-2</v>
      </c>
      <c r="V66" s="141">
        <v>2.551389517204905E-2</v>
      </c>
      <c r="W66" s="141">
        <v>2.551389517204905E-2</v>
      </c>
      <c r="X66" s="141">
        <v>2.551389517204905E-2</v>
      </c>
      <c r="Y66" s="141">
        <v>2.551389517204905E-2</v>
      </c>
      <c r="Z66" s="141">
        <v>2.551389517204905E-2</v>
      </c>
      <c r="AA66" s="141">
        <v>2.551389517204905E-2</v>
      </c>
      <c r="AB66" s="141">
        <v>2.551389517204905E-2</v>
      </c>
      <c r="AC66" s="141">
        <v>2.551389517204905E-2</v>
      </c>
      <c r="AD66" s="141">
        <v>2.551389517204905E-2</v>
      </c>
      <c r="AE66" s="141">
        <v>2.551389517204905E-2</v>
      </c>
      <c r="AF66" s="141">
        <v>2.551389517204905E-2</v>
      </c>
      <c r="AG66" s="141">
        <v>2.551389517204905E-2</v>
      </c>
      <c r="AH66" s="141">
        <v>2.551389517204905E-2</v>
      </c>
      <c r="AI66" s="141">
        <v>2.551389517204905E-2</v>
      </c>
    </row>
    <row r="67" spans="2:44">
      <c r="B67" s="6" t="str">
        <v>Taxa constante (CAGR)</v>
      </c>
      <c r="C67" s="6" t="str">
        <v>Base</v>
      </c>
      <c r="D67" s="122" t="str">
        <v>Pesados I</v>
      </c>
      <c r="E67" s="141">
        <v>8.7624391084768494E-3</v>
      </c>
      <c r="F67" s="141">
        <v>8.7624391084768494E-3</v>
      </c>
      <c r="G67" s="141">
        <v>8.7624391084768494E-3</v>
      </c>
      <c r="H67" s="141">
        <v>8.7624391084768494E-3</v>
      </c>
      <c r="I67" s="141">
        <v>8.7624391084768494E-3</v>
      </c>
      <c r="J67" s="141">
        <v>8.7624391084768494E-3</v>
      </c>
      <c r="K67" s="141">
        <v>8.7624391084768494E-3</v>
      </c>
      <c r="L67" s="141">
        <v>8.7624391084768494E-3</v>
      </c>
      <c r="M67" s="141">
        <v>8.7624391084768494E-3</v>
      </c>
      <c r="N67" s="141">
        <v>8.7624391084768494E-3</v>
      </c>
      <c r="O67" s="141">
        <v>8.7624391084768494E-3</v>
      </c>
      <c r="P67" s="141">
        <v>8.7624391084768494E-3</v>
      </c>
      <c r="Q67" s="141">
        <v>8.7624391084768494E-3</v>
      </c>
      <c r="R67" s="141">
        <v>8.7624391084768494E-3</v>
      </c>
      <c r="S67" s="141">
        <v>8.7624391084768494E-3</v>
      </c>
      <c r="T67" s="141">
        <v>8.7624391084768494E-3</v>
      </c>
      <c r="U67" s="141">
        <v>8.7624391084768494E-3</v>
      </c>
      <c r="V67" s="141">
        <v>8.7624391084768494E-3</v>
      </c>
      <c r="W67" s="141">
        <v>8.7624391084768494E-3</v>
      </c>
      <c r="X67" s="141">
        <v>8.7624391084768494E-3</v>
      </c>
      <c r="Y67" s="141">
        <v>8.7624391084768494E-3</v>
      </c>
      <c r="Z67" s="141">
        <v>8.7624391084768494E-3</v>
      </c>
      <c r="AA67" s="141">
        <v>8.7624391084768494E-3</v>
      </c>
      <c r="AB67" s="141">
        <v>8.7624391084768494E-3</v>
      </c>
      <c r="AC67" s="141">
        <v>8.7624391084768494E-3</v>
      </c>
      <c r="AD67" s="141">
        <v>8.7624391084768494E-3</v>
      </c>
      <c r="AE67" s="141">
        <v>8.7624391084768494E-3</v>
      </c>
      <c r="AF67" s="141">
        <v>8.7624391084768494E-3</v>
      </c>
      <c r="AG67" s="141">
        <v>8.7624391084768494E-3</v>
      </c>
      <c r="AH67" s="141">
        <v>8.7624391084768494E-3</v>
      </c>
      <c r="AI67" s="141">
        <v>8.7624391084768494E-3</v>
      </c>
    </row>
    <row r="68" spans="2:44">
      <c r="B68" s="6" t="str">
        <v>Taxa constante (CAGR)</v>
      </c>
      <c r="C68" s="6" t="str">
        <v>Base</v>
      </c>
      <c r="D68" s="122" t="str">
        <v>Pesados II</v>
      </c>
      <c r="E68" s="141">
        <v>1.8984420647953915E-2</v>
      </c>
      <c r="F68" s="141">
        <v>1.8984420647953915E-2</v>
      </c>
      <c r="G68" s="141">
        <v>1.8984420647953915E-2</v>
      </c>
      <c r="H68" s="141">
        <v>1.8984420647953915E-2</v>
      </c>
      <c r="I68" s="141">
        <v>1.8984420647953915E-2</v>
      </c>
      <c r="J68" s="141">
        <v>1.8984420647953915E-2</v>
      </c>
      <c r="K68" s="141">
        <v>1.8984420647953915E-2</v>
      </c>
      <c r="L68" s="141">
        <v>1.8984420647953915E-2</v>
      </c>
      <c r="M68" s="141">
        <v>1.8984420647953915E-2</v>
      </c>
      <c r="N68" s="141">
        <v>1.8984420647953915E-2</v>
      </c>
      <c r="O68" s="141">
        <v>1.8984420647953915E-2</v>
      </c>
      <c r="P68" s="141">
        <v>1.8984420647953915E-2</v>
      </c>
      <c r="Q68" s="141">
        <v>1.8984420647953915E-2</v>
      </c>
      <c r="R68" s="141">
        <v>1.8984420647953915E-2</v>
      </c>
      <c r="S68" s="141">
        <v>1.8984420647953915E-2</v>
      </c>
      <c r="T68" s="141">
        <v>1.8984420647953915E-2</v>
      </c>
      <c r="U68" s="141">
        <v>1.8984420647953915E-2</v>
      </c>
      <c r="V68" s="141">
        <v>1.8984420647953915E-2</v>
      </c>
      <c r="W68" s="141">
        <v>1.8984420647953915E-2</v>
      </c>
      <c r="X68" s="141">
        <v>1.8984420647953915E-2</v>
      </c>
      <c r="Y68" s="141">
        <v>1.8984420647953915E-2</v>
      </c>
      <c r="Z68" s="141">
        <v>1.8984420647953915E-2</v>
      </c>
      <c r="AA68" s="141">
        <v>1.8984420647953915E-2</v>
      </c>
      <c r="AB68" s="141">
        <v>1.8984420647953915E-2</v>
      </c>
      <c r="AC68" s="141">
        <v>1.8984420647953915E-2</v>
      </c>
      <c r="AD68" s="141">
        <v>1.8984420647953915E-2</v>
      </c>
      <c r="AE68" s="141">
        <v>1.8984420647953915E-2</v>
      </c>
      <c r="AF68" s="141">
        <v>1.8984420647953915E-2</v>
      </c>
      <c r="AG68" s="141">
        <v>1.8984420647953915E-2</v>
      </c>
      <c r="AH68" s="141">
        <v>1.8984420647953915E-2</v>
      </c>
      <c r="AI68" s="141">
        <v>1.8984420647953915E-2</v>
      </c>
    </row>
    <row r="69" spans="2:44">
      <c r="B69" s="6" t="str">
        <v>Taxa constante (CAGR)</v>
      </c>
      <c r="C69" s="6" t="str">
        <v>Otimista</v>
      </c>
      <c r="D69" s="122" t="str">
        <v>Leves</v>
      </c>
      <c r="E69" s="141">
        <v>3.9461742960633428E-2</v>
      </c>
      <c r="F69" s="141">
        <v>3.9461742960633428E-2</v>
      </c>
      <c r="G69" s="141">
        <v>3.9461742960633428E-2</v>
      </c>
      <c r="H69" s="141">
        <v>3.9461742960633428E-2</v>
      </c>
      <c r="I69" s="141">
        <v>3.9461742960633428E-2</v>
      </c>
      <c r="J69" s="141">
        <v>3.9461742960633428E-2</v>
      </c>
      <c r="K69" s="141">
        <v>3.9461742960633428E-2</v>
      </c>
      <c r="L69" s="141">
        <v>3.9461742960633428E-2</v>
      </c>
      <c r="M69" s="141">
        <v>3.9461742960633428E-2</v>
      </c>
      <c r="N69" s="141">
        <v>3.9461742960633428E-2</v>
      </c>
      <c r="O69" s="141">
        <v>3.9461742960633428E-2</v>
      </c>
      <c r="P69" s="141">
        <v>3.9461742960633428E-2</v>
      </c>
      <c r="Q69" s="141">
        <v>3.9461742960633428E-2</v>
      </c>
      <c r="R69" s="141">
        <v>3.9461742960633428E-2</v>
      </c>
      <c r="S69" s="141">
        <v>3.9461742960633428E-2</v>
      </c>
      <c r="T69" s="141">
        <v>3.9461742960633428E-2</v>
      </c>
      <c r="U69" s="141">
        <v>3.9461742960633428E-2</v>
      </c>
      <c r="V69" s="141">
        <v>3.9461742960633428E-2</v>
      </c>
      <c r="W69" s="141">
        <v>3.9461742960633428E-2</v>
      </c>
      <c r="X69" s="141">
        <v>3.9461742960633428E-2</v>
      </c>
      <c r="Y69" s="141">
        <v>3.9461742960633428E-2</v>
      </c>
      <c r="Z69" s="141">
        <v>3.9461742960633428E-2</v>
      </c>
      <c r="AA69" s="141">
        <v>3.9461742960633428E-2</v>
      </c>
      <c r="AB69" s="141">
        <v>3.9461742960633428E-2</v>
      </c>
      <c r="AC69" s="141">
        <v>3.9461742960633428E-2</v>
      </c>
      <c r="AD69" s="141">
        <v>3.9461742960633428E-2</v>
      </c>
      <c r="AE69" s="141">
        <v>3.9461742960633428E-2</v>
      </c>
      <c r="AF69" s="141">
        <v>3.9461742960633428E-2</v>
      </c>
      <c r="AG69" s="141">
        <v>3.9461742960633428E-2</v>
      </c>
      <c r="AH69" s="141">
        <v>3.9461742960633428E-2</v>
      </c>
      <c r="AI69" s="141">
        <v>3.9461742960633428E-2</v>
      </c>
    </row>
    <row r="70" spans="2:44">
      <c r="B70" s="6" t="str">
        <v>Taxa constante (CAGR)</v>
      </c>
      <c r="C70" s="6" t="str">
        <v>Otimista</v>
      </c>
      <c r="D70" s="122" t="str">
        <v>Pesados I</v>
      </c>
      <c r="E70" s="141">
        <v>2.2709869039545305E-2</v>
      </c>
      <c r="F70" s="141">
        <v>2.2709869039545305E-2</v>
      </c>
      <c r="G70" s="141">
        <v>2.2709869039545305E-2</v>
      </c>
      <c r="H70" s="141">
        <v>2.2709869039545305E-2</v>
      </c>
      <c r="I70" s="141">
        <v>2.2709869039545305E-2</v>
      </c>
      <c r="J70" s="141">
        <v>2.2709869039545305E-2</v>
      </c>
      <c r="K70" s="141">
        <v>2.2709869039545305E-2</v>
      </c>
      <c r="L70" s="141">
        <v>2.2709869039545305E-2</v>
      </c>
      <c r="M70" s="141">
        <v>2.2709869039545305E-2</v>
      </c>
      <c r="N70" s="141">
        <v>2.2709869039545305E-2</v>
      </c>
      <c r="O70" s="141">
        <v>2.2709869039545305E-2</v>
      </c>
      <c r="P70" s="141">
        <v>2.2709869039545305E-2</v>
      </c>
      <c r="Q70" s="141">
        <v>2.2709869039545305E-2</v>
      </c>
      <c r="R70" s="141">
        <v>2.2709869039545305E-2</v>
      </c>
      <c r="S70" s="141">
        <v>2.2709869039545305E-2</v>
      </c>
      <c r="T70" s="141">
        <v>2.2709869039545305E-2</v>
      </c>
      <c r="U70" s="141">
        <v>2.2709869039545305E-2</v>
      </c>
      <c r="V70" s="141">
        <v>2.2709869039545305E-2</v>
      </c>
      <c r="W70" s="141">
        <v>2.2709869039545305E-2</v>
      </c>
      <c r="X70" s="141">
        <v>2.2709869039545305E-2</v>
      </c>
      <c r="Y70" s="141">
        <v>2.2709869039545305E-2</v>
      </c>
      <c r="Z70" s="141">
        <v>2.2709869039545305E-2</v>
      </c>
      <c r="AA70" s="141">
        <v>2.2709869039545305E-2</v>
      </c>
      <c r="AB70" s="141">
        <v>2.2709869039545305E-2</v>
      </c>
      <c r="AC70" s="141">
        <v>2.2709869039545305E-2</v>
      </c>
      <c r="AD70" s="141">
        <v>2.2709869039545305E-2</v>
      </c>
      <c r="AE70" s="141">
        <v>2.2709869039545305E-2</v>
      </c>
      <c r="AF70" s="141">
        <v>2.2709869039545305E-2</v>
      </c>
      <c r="AG70" s="141">
        <v>2.2709869039545305E-2</v>
      </c>
      <c r="AH70" s="141">
        <v>2.2709869039545305E-2</v>
      </c>
      <c r="AI70" s="141">
        <v>2.2709869039545305E-2</v>
      </c>
    </row>
    <row r="71" spans="2:44">
      <c r="B71" s="6" t="str">
        <v>Taxa constante (CAGR)</v>
      </c>
      <c r="C71" s="6" t="str">
        <v>Otimista</v>
      </c>
      <c r="D71" s="122" t="str">
        <v>Pesados II</v>
      </c>
      <c r="E71" s="141">
        <v>3.2932321809710619E-2</v>
      </c>
      <c r="F71" s="141">
        <v>3.2932321809710619E-2</v>
      </c>
      <c r="G71" s="141">
        <v>3.2932321809710619E-2</v>
      </c>
      <c r="H71" s="141">
        <v>3.2932321809710619E-2</v>
      </c>
      <c r="I71" s="141">
        <v>3.2932321809710619E-2</v>
      </c>
      <c r="J71" s="141">
        <v>3.2932321809710619E-2</v>
      </c>
      <c r="K71" s="141">
        <v>3.2932321809710619E-2</v>
      </c>
      <c r="L71" s="141">
        <v>3.2932321809710619E-2</v>
      </c>
      <c r="M71" s="141">
        <v>3.2932321809710619E-2</v>
      </c>
      <c r="N71" s="141">
        <v>3.2932321809710619E-2</v>
      </c>
      <c r="O71" s="141">
        <v>3.2932321809710619E-2</v>
      </c>
      <c r="P71" s="141">
        <v>3.2932321809710619E-2</v>
      </c>
      <c r="Q71" s="141">
        <v>3.2932321809710619E-2</v>
      </c>
      <c r="R71" s="141">
        <v>3.2932321809710619E-2</v>
      </c>
      <c r="S71" s="141">
        <v>3.2932321809710619E-2</v>
      </c>
      <c r="T71" s="141">
        <v>3.2932321809710619E-2</v>
      </c>
      <c r="U71" s="141">
        <v>3.2932321809710619E-2</v>
      </c>
      <c r="V71" s="141">
        <v>3.2932321809710619E-2</v>
      </c>
      <c r="W71" s="141">
        <v>3.2932321809710619E-2</v>
      </c>
      <c r="X71" s="141">
        <v>3.2932321809710619E-2</v>
      </c>
      <c r="Y71" s="141">
        <v>3.2932321809710619E-2</v>
      </c>
      <c r="Z71" s="141">
        <v>3.2932321809710619E-2</v>
      </c>
      <c r="AA71" s="141">
        <v>3.2932321809710619E-2</v>
      </c>
      <c r="AB71" s="141">
        <v>3.2932321809710619E-2</v>
      </c>
      <c r="AC71" s="141">
        <v>3.2932321809710619E-2</v>
      </c>
      <c r="AD71" s="141">
        <v>3.2932321809710619E-2</v>
      </c>
      <c r="AE71" s="141">
        <v>3.2932321809710619E-2</v>
      </c>
      <c r="AF71" s="141">
        <v>3.2932321809710619E-2</v>
      </c>
      <c r="AG71" s="141">
        <v>3.2932321809710619E-2</v>
      </c>
      <c r="AH71" s="141">
        <v>3.2932321809710619E-2</v>
      </c>
      <c r="AI71" s="141">
        <v>3.2932321809710619E-2</v>
      </c>
    </row>
    <row r="73" spans="2:44">
      <c r="B73" s="2" t="s">
        <v>548</v>
      </c>
    </row>
    <row r="74" spans="2:44" hidden="1">
      <c r="B74" s="2"/>
      <c r="D74">
        <v>0</v>
      </c>
      <c r="E74">
        <v>1</v>
      </c>
      <c r="F74">
        <v>2</v>
      </c>
      <c r="G74">
        <v>3</v>
      </c>
      <c r="H74">
        <v>4</v>
      </c>
      <c r="I74">
        <v>5</v>
      </c>
      <c r="J74">
        <v>6</v>
      </c>
      <c r="K74">
        <v>7</v>
      </c>
      <c r="L74">
        <v>8</v>
      </c>
      <c r="M74">
        <v>9</v>
      </c>
      <c r="N74">
        <v>10</v>
      </c>
      <c r="O74">
        <v>11</v>
      </c>
      <c r="P74">
        <v>12</v>
      </c>
      <c r="Q74">
        <v>13</v>
      </c>
      <c r="R74">
        <v>14</v>
      </c>
      <c r="S74">
        <v>15</v>
      </c>
      <c r="T74">
        <v>16</v>
      </c>
      <c r="U74">
        <v>17</v>
      </c>
      <c r="V74">
        <v>18</v>
      </c>
      <c r="W74">
        <v>19</v>
      </c>
      <c r="X74">
        <v>20</v>
      </c>
      <c r="Y74">
        <v>21</v>
      </c>
      <c r="Z74">
        <v>22</v>
      </c>
      <c r="AA74">
        <v>23</v>
      </c>
      <c r="AB74">
        <v>24</v>
      </c>
      <c r="AC74">
        <v>25</v>
      </c>
      <c r="AD74">
        <v>26</v>
      </c>
      <c r="AE74">
        <v>27</v>
      </c>
      <c r="AF74">
        <v>28</v>
      </c>
      <c r="AG74">
        <v>29</v>
      </c>
      <c r="AH74">
        <v>30</v>
      </c>
    </row>
    <row r="75" spans="2:44">
      <c r="B75" s="10" t="s">
        <v>540</v>
      </c>
      <c r="C75" s="10" t="s">
        <v>541</v>
      </c>
      <c r="D75" s="10" t="s">
        <v>197</v>
      </c>
      <c r="E75" s="46" t="str">
        <f>"Ano "&amp;D74</f>
        <v>Ano 0</v>
      </c>
      <c r="F75" s="46" t="str">
        <f t="shared" ref="F75" si="6">"Ano "&amp;E74</f>
        <v>Ano 1</v>
      </c>
      <c r="G75" s="46" t="str">
        <f t="shared" ref="G75" si="7">"Ano "&amp;F74</f>
        <v>Ano 2</v>
      </c>
      <c r="H75" s="46" t="str">
        <f t="shared" ref="H75" si="8">"Ano "&amp;G74</f>
        <v>Ano 3</v>
      </c>
      <c r="I75" s="46" t="str">
        <f t="shared" ref="I75" si="9">"Ano "&amp;H74</f>
        <v>Ano 4</v>
      </c>
      <c r="J75" s="46" t="str">
        <f t="shared" ref="J75" si="10">"Ano "&amp;I74</f>
        <v>Ano 5</v>
      </c>
      <c r="K75" s="46" t="str">
        <f t="shared" ref="K75" si="11">"Ano "&amp;J74</f>
        <v>Ano 6</v>
      </c>
      <c r="L75" s="46" t="str">
        <f t="shared" ref="L75" si="12">"Ano "&amp;K74</f>
        <v>Ano 7</v>
      </c>
      <c r="M75" s="46" t="str">
        <f t="shared" ref="M75" si="13">"Ano "&amp;L74</f>
        <v>Ano 8</v>
      </c>
      <c r="N75" s="46" t="str">
        <f t="shared" ref="N75" si="14">"Ano "&amp;M74</f>
        <v>Ano 9</v>
      </c>
      <c r="O75" s="46" t="str">
        <f t="shared" ref="O75" si="15">"Ano "&amp;N74</f>
        <v>Ano 10</v>
      </c>
      <c r="P75" s="46" t="str">
        <f t="shared" ref="P75" si="16">"Ano "&amp;O74</f>
        <v>Ano 11</v>
      </c>
      <c r="Q75" s="46" t="str">
        <f t="shared" ref="Q75" si="17">"Ano "&amp;P74</f>
        <v>Ano 12</v>
      </c>
      <c r="R75" s="46" t="str">
        <f t="shared" ref="R75" si="18">"Ano "&amp;Q74</f>
        <v>Ano 13</v>
      </c>
      <c r="S75" s="46" t="str">
        <f t="shared" ref="S75" si="19">"Ano "&amp;R74</f>
        <v>Ano 14</v>
      </c>
      <c r="T75" s="46" t="str">
        <f t="shared" ref="T75" si="20">"Ano "&amp;S74</f>
        <v>Ano 15</v>
      </c>
      <c r="U75" s="46" t="str">
        <f t="shared" ref="U75" si="21">"Ano "&amp;T74</f>
        <v>Ano 16</v>
      </c>
      <c r="V75" s="46" t="str">
        <f t="shared" ref="V75" si="22">"Ano "&amp;U74</f>
        <v>Ano 17</v>
      </c>
      <c r="W75" s="46" t="str">
        <f t="shared" ref="W75" si="23">"Ano "&amp;V74</f>
        <v>Ano 18</v>
      </c>
      <c r="X75" s="46" t="str">
        <f t="shared" ref="X75" si="24">"Ano "&amp;W74</f>
        <v>Ano 19</v>
      </c>
      <c r="Y75" s="46" t="str">
        <f t="shared" ref="Y75" si="25">"Ano "&amp;X74</f>
        <v>Ano 20</v>
      </c>
      <c r="Z75" s="46" t="str">
        <f t="shared" ref="Z75" si="26">"Ano "&amp;Y74</f>
        <v>Ano 21</v>
      </c>
      <c r="AA75" s="46" t="str">
        <f t="shared" ref="AA75" si="27">"Ano "&amp;Z74</f>
        <v>Ano 22</v>
      </c>
      <c r="AB75" s="46" t="str">
        <f t="shared" ref="AB75" si="28">"Ano "&amp;AA74</f>
        <v>Ano 23</v>
      </c>
      <c r="AC75" s="46" t="str">
        <f t="shared" ref="AC75" si="29">"Ano "&amp;AB74</f>
        <v>Ano 24</v>
      </c>
      <c r="AD75" s="46" t="str">
        <f t="shared" ref="AD75" si="30">"Ano "&amp;AC74</f>
        <v>Ano 25</v>
      </c>
      <c r="AE75" s="46" t="str">
        <f t="shared" ref="AE75" si="31">"Ano "&amp;AD74</f>
        <v>Ano 26</v>
      </c>
      <c r="AF75" s="46" t="str">
        <f t="shared" ref="AF75" si="32">"Ano "&amp;AE74</f>
        <v>Ano 27</v>
      </c>
      <c r="AG75" s="46" t="str">
        <f t="shared" ref="AG75" si="33">"Ano "&amp;AF74</f>
        <v>Ano 28</v>
      </c>
      <c r="AH75" s="46" t="str">
        <f t="shared" ref="AH75" si="34">"Ano "&amp;AG74</f>
        <v>Ano 29</v>
      </c>
      <c r="AI75" s="46" t="str">
        <f t="shared" ref="AI75" si="35">"Ano "&amp;AH74</f>
        <v>Ano 30</v>
      </c>
    </row>
    <row r="76" spans="2:44">
      <c r="B76" s="122" t="str">
        <f>'Painel Controle'!C$39</f>
        <v>Taxa específica anual</v>
      </c>
      <c r="C76" s="122" t="str">
        <f>'Painel Controle'!C$40</f>
        <v>Base</v>
      </c>
      <c r="D76" s="122" t="str" cm="1">
        <f t="array" ref="D76:D78">TRANSPOSE(_xlfn.ANCHORARRAY(C$3))</f>
        <v>Leves</v>
      </c>
      <c r="E76" s="141" cm="1">
        <f t="array" ref="E76:AI78">_xlfn._xlws.FILTER(_xlfn._xlws.FILTER($E$54:$AI$71,$B$54:$B$71=B76),$C$54:$C$62=C76)</f>
        <v>5.201634983156822E-2</v>
      </c>
      <c r="F76" s="141">
        <v>4.2434573214249038E-2</v>
      </c>
      <c r="G76" s="141">
        <v>4.1362061442293152E-2</v>
      </c>
      <c r="H76" s="141">
        <v>4.1281097637926534E-2</v>
      </c>
      <c r="I76" s="141">
        <v>4.1498144582299501E-2</v>
      </c>
      <c r="J76" s="141">
        <v>4.1620841948875942E-2</v>
      </c>
      <c r="K76" s="141">
        <v>4.1423939854035696E-2</v>
      </c>
      <c r="L76" s="141">
        <v>4.076384576545844E-2</v>
      </c>
      <c r="M76" s="141">
        <v>3.9801509106502708E-2</v>
      </c>
      <c r="N76" s="141">
        <v>3.8609699844784906E-2</v>
      </c>
      <c r="O76" s="141">
        <v>3.7239543680354981E-2</v>
      </c>
      <c r="P76" s="141">
        <v>3.5701268224812788E-2</v>
      </c>
      <c r="Q76" s="141">
        <v>3.402298776184276E-2</v>
      </c>
      <c r="R76" s="141">
        <v>3.2271865844316405E-2</v>
      </c>
      <c r="S76" s="141">
        <v>3.0459296826106375E-2</v>
      </c>
      <c r="T76" s="141">
        <v>2.8584702152538277E-2</v>
      </c>
      <c r="U76" s="141">
        <v>2.6660875990153432E-2</v>
      </c>
      <c r="V76" s="141">
        <v>2.4734752236325264E-2</v>
      </c>
      <c r="W76" s="141">
        <v>2.2820136524287049E-2</v>
      </c>
      <c r="X76" s="141">
        <v>2.0905867746881412E-2</v>
      </c>
      <c r="Y76" s="141">
        <v>1.9001299478206723E-2</v>
      </c>
      <c r="Z76" s="141">
        <v>1.7095255556733191E-2</v>
      </c>
      <c r="AA76" s="141">
        <v>1.5202613390204123E-2</v>
      </c>
      <c r="AB76" s="141">
        <v>1.3332888035535451E-2</v>
      </c>
      <c r="AC76" s="141">
        <v>1.1471137222978545E-2</v>
      </c>
      <c r="AD76" s="141">
        <v>9.6120160470318794E-3</v>
      </c>
      <c r="AE76" s="141">
        <v>7.7635545615790669E-3</v>
      </c>
      <c r="AF76" s="141">
        <v>5.9241051649265852E-3</v>
      </c>
      <c r="AG76" s="141">
        <v>4.0755997081156625E-3</v>
      </c>
      <c r="AH76" s="141">
        <v>2.2130037430230232E-3</v>
      </c>
      <c r="AI76" s="141">
        <v>3.3495597102750629E-4</v>
      </c>
    </row>
    <row r="77" spans="2:44">
      <c r="B77" s="122" t="str">
        <f>'Painel Controle'!C$39</f>
        <v>Taxa específica anual</v>
      </c>
      <c r="C77" s="122" t="str">
        <f>'Painel Controle'!C$40</f>
        <v>Base</v>
      </c>
      <c r="D77" s="122" t="str">
        <v>Pesados I</v>
      </c>
      <c r="E77" s="141">
        <v>3.0118430399525442E-2</v>
      </c>
      <c r="F77" s="141">
        <v>2.5873749562629555E-2</v>
      </c>
      <c r="G77" s="141">
        <v>2.4696063538655944E-2</v>
      </c>
      <c r="H77" s="141">
        <v>2.3866480144202118E-2</v>
      </c>
      <c r="I77" s="141">
        <v>2.3140809758195546E-2</v>
      </c>
      <c r="J77" s="141">
        <v>2.2384408256667321E-2</v>
      </c>
      <c r="K77" s="141">
        <v>2.1505202342800844E-2</v>
      </c>
      <c r="L77" s="141">
        <v>2.0449100661185771E-2</v>
      </c>
      <c r="M77" s="141">
        <v>1.9292767347866446E-2</v>
      </c>
      <c r="N77" s="141">
        <v>1.8061937781853388E-2</v>
      </c>
      <c r="O77" s="141">
        <v>1.6777864073701076E-2</v>
      </c>
      <c r="P77" s="141">
        <v>1.5436799937950552E-2</v>
      </c>
      <c r="Q77" s="141">
        <v>1.4047789571695946E-2</v>
      </c>
      <c r="R77" s="141">
        <v>1.2648274499693191E-2</v>
      </c>
      <c r="S77" s="141">
        <v>1.1241891566651674E-2</v>
      </c>
      <c r="T77" s="141">
        <v>9.8263244401486372E-3</v>
      </c>
      <c r="U77" s="141">
        <v>8.4046974570424204E-3</v>
      </c>
      <c r="V77" s="141">
        <v>7.0039826124952409E-3</v>
      </c>
      <c r="W77" s="141">
        <v>5.6277779407334361E-3</v>
      </c>
      <c r="X77" s="141">
        <v>4.2644833204854571E-3</v>
      </c>
      <c r="Y77" s="141">
        <v>2.9194081162255969E-3</v>
      </c>
      <c r="Z77" s="141">
        <v>1.5810177650310564E-3</v>
      </c>
      <c r="AA77" s="141">
        <v>2.577955994567116E-4</v>
      </c>
      <c r="AB77" s="141">
        <v>-1.0456724282574825E-3</v>
      </c>
      <c r="AC77" s="141">
        <v>-2.3432310620314922E-3</v>
      </c>
      <c r="AD77" s="141">
        <v>-3.6399315224205919E-3</v>
      </c>
      <c r="AE77" s="141">
        <v>-4.9299416182954081E-3</v>
      </c>
      <c r="AF77" s="141">
        <v>-6.2131487403940255E-3</v>
      </c>
      <c r="AG77" s="141">
        <v>-7.5022554878176884E-3</v>
      </c>
      <c r="AH77" s="141">
        <v>-8.80101956907553E-3</v>
      </c>
      <c r="AI77" s="141">
        <v>-1.0111101302390346E-2</v>
      </c>
    </row>
    <row r="78" spans="2:44">
      <c r="B78" s="122" t="str">
        <f>'Painel Controle'!C$39</f>
        <v>Taxa específica anual</v>
      </c>
      <c r="C78" s="122" t="str">
        <f>'Painel Controle'!C$40</f>
        <v>Base</v>
      </c>
      <c r="D78" s="122" t="str">
        <v>Pesados II</v>
      </c>
      <c r="E78" s="141">
        <v>4.59861095869325E-2</v>
      </c>
      <c r="F78" s="141">
        <v>3.8280971463876323E-2</v>
      </c>
      <c r="G78" s="141">
        <v>3.7001360600877886E-2</v>
      </c>
      <c r="H78" s="141">
        <v>3.6464917394647633E-2</v>
      </c>
      <c r="I78" s="141">
        <v>3.6151171942034432E-2</v>
      </c>
      <c r="J78" s="141">
        <v>3.5767953094089977E-2</v>
      </c>
      <c r="K78" s="141">
        <v>3.5138934190216187E-2</v>
      </c>
      <c r="L78" s="141">
        <v>3.4154595989367209E-2</v>
      </c>
      <c r="M78" s="141">
        <v>3.2947600332596583E-2</v>
      </c>
      <c r="N78" s="141">
        <v>3.1572640074927882E-2</v>
      </c>
      <c r="O78" s="141">
        <v>3.0070017199207211E-2</v>
      </c>
      <c r="P78" s="141">
        <v>2.8443081834588213E-2</v>
      </c>
      <c r="Q78" s="141">
        <v>2.6712426232015307E-2</v>
      </c>
      <c r="R78" s="141">
        <v>2.4936556541528487E-2</v>
      </c>
      <c r="S78" s="141">
        <v>2.312378928440717E-2</v>
      </c>
      <c r="T78" s="141">
        <v>2.1272444192702578E-2</v>
      </c>
      <c r="U78" s="141">
        <v>1.9391282238855334E-2</v>
      </c>
      <c r="V78" s="141">
        <v>1.7521615977907468E-2</v>
      </c>
      <c r="W78" s="141">
        <v>1.5673009228538204E-2</v>
      </c>
      <c r="X78" s="141">
        <v>1.3832550877741712E-2</v>
      </c>
      <c r="Y78" s="141">
        <v>1.2008420922976049E-2</v>
      </c>
      <c r="Z78" s="141">
        <v>1.018774922776311E-2</v>
      </c>
      <c r="AA78" s="141">
        <v>8.383576613466337E-3</v>
      </c>
      <c r="AB78" s="141">
        <v>6.6037387894102295E-3</v>
      </c>
      <c r="AC78" s="141">
        <v>4.8319763128461535E-3</v>
      </c>
      <c r="AD78" s="141">
        <v>3.0624168645716487E-3</v>
      </c>
      <c r="AE78" s="141">
        <v>1.3028382509170378E-3</v>
      </c>
      <c r="AF78" s="141">
        <v>-4.4758652536369681E-4</v>
      </c>
      <c r="AG78" s="141">
        <v>-2.2061093440393087E-3</v>
      </c>
      <c r="AH78" s="141">
        <v>-3.9776601384263754E-3</v>
      </c>
      <c r="AI78" s="141">
        <v>-5.7639460928983199E-3</v>
      </c>
    </row>
    <row r="79" spans="2:44">
      <c r="B79" s="134"/>
      <c r="C79" s="134"/>
      <c r="D79" s="134"/>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134"/>
      <c r="AK79" s="134"/>
      <c r="AL79" s="134"/>
      <c r="AM79" s="134"/>
      <c r="AN79" s="134"/>
      <c r="AO79" s="134"/>
      <c r="AP79" s="134"/>
      <c r="AQ79" s="134"/>
      <c r="AR79" s="134"/>
    </row>
    <row r="80" spans="2:44">
      <c r="B80" s="210" t="s">
        <v>549</v>
      </c>
      <c r="C80" s="134"/>
      <c r="D80" s="134"/>
      <c r="E80" s="134"/>
      <c r="F80" s="307"/>
      <c r="G80" s="134"/>
      <c r="H80" s="307"/>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134"/>
      <c r="AK80" s="134"/>
      <c r="AL80" s="134"/>
      <c r="AM80" s="134"/>
      <c r="AN80" s="134"/>
      <c r="AO80" s="134"/>
      <c r="AP80" s="134"/>
      <c r="AQ80" s="134"/>
      <c r="AR80" s="134"/>
    </row>
    <row r="81" spans="2:44" hidden="1">
      <c r="B81" s="210"/>
      <c r="C81" s="134"/>
      <c r="D81" s="134"/>
      <c r="E81" s="134"/>
      <c r="F81" s="134"/>
      <c r="G81" s="239">
        <v>0</v>
      </c>
      <c r="H81" s="239">
        <v>1</v>
      </c>
      <c r="I81" s="239">
        <v>2</v>
      </c>
      <c r="J81" s="239">
        <v>3</v>
      </c>
      <c r="K81" s="239">
        <v>4</v>
      </c>
      <c r="L81" s="239">
        <v>5</v>
      </c>
      <c r="M81" s="239">
        <v>6</v>
      </c>
      <c r="N81" s="239">
        <v>7</v>
      </c>
      <c r="O81" s="239">
        <v>8</v>
      </c>
      <c r="P81" s="239">
        <v>9</v>
      </c>
      <c r="Q81" s="239">
        <v>10</v>
      </c>
      <c r="R81" s="239">
        <v>11</v>
      </c>
      <c r="S81" s="239">
        <v>12</v>
      </c>
      <c r="T81" s="239">
        <v>13</v>
      </c>
      <c r="U81" s="239">
        <v>14</v>
      </c>
      <c r="V81" s="239">
        <v>15</v>
      </c>
      <c r="W81" s="239">
        <v>16</v>
      </c>
      <c r="X81" s="239">
        <v>17</v>
      </c>
      <c r="Y81" s="239">
        <v>18</v>
      </c>
      <c r="Z81" s="239">
        <v>19</v>
      </c>
      <c r="AA81" s="239">
        <v>20</v>
      </c>
      <c r="AB81" s="239">
        <v>21</v>
      </c>
      <c r="AC81" s="239">
        <v>22</v>
      </c>
      <c r="AD81" s="239">
        <v>23</v>
      </c>
      <c r="AE81" s="239">
        <v>24</v>
      </c>
      <c r="AF81" s="239">
        <v>25</v>
      </c>
      <c r="AG81" s="239">
        <v>26</v>
      </c>
      <c r="AH81" s="239">
        <v>27</v>
      </c>
      <c r="AI81" s="239">
        <v>28</v>
      </c>
      <c r="AJ81" s="239">
        <v>29</v>
      </c>
      <c r="AK81" s="239">
        <v>30</v>
      </c>
      <c r="AL81" s="134"/>
      <c r="AM81" s="134"/>
      <c r="AN81" s="134"/>
      <c r="AO81" s="134"/>
      <c r="AP81" s="134"/>
      <c r="AQ81" s="134"/>
      <c r="AR81" s="134"/>
    </row>
    <row r="82" spans="2:44">
      <c r="B82" s="72" t="s">
        <v>105</v>
      </c>
      <c r="C82" s="72" t="s">
        <v>550</v>
      </c>
      <c r="D82" s="72" t="s">
        <v>196</v>
      </c>
      <c r="E82" s="72" t="s">
        <v>197</v>
      </c>
      <c r="F82" s="319" t="s">
        <v>551</v>
      </c>
      <c r="G82" s="319" t="s">
        <v>552</v>
      </c>
      <c r="H82" s="97" t="str" cm="1">
        <f t="array" ref="H82:AL82">E75:AI75</f>
        <v>Ano 0</v>
      </c>
      <c r="I82" s="97" t="str">
        <v>Ano 1</v>
      </c>
      <c r="J82" s="97" t="str">
        <v>Ano 2</v>
      </c>
      <c r="K82" s="97" t="str">
        <v>Ano 3</v>
      </c>
      <c r="L82" s="97" t="str">
        <v>Ano 4</v>
      </c>
      <c r="M82" s="97" t="str">
        <v>Ano 5</v>
      </c>
      <c r="N82" s="97" t="str">
        <v>Ano 6</v>
      </c>
      <c r="O82" s="97" t="str">
        <v>Ano 7</v>
      </c>
      <c r="P82" s="97" t="str">
        <v>Ano 8</v>
      </c>
      <c r="Q82" s="97" t="str">
        <v>Ano 9</v>
      </c>
      <c r="R82" s="97" t="str">
        <v>Ano 10</v>
      </c>
      <c r="S82" s="97" t="str">
        <v>Ano 11</v>
      </c>
      <c r="T82" s="97" t="str">
        <v>Ano 12</v>
      </c>
      <c r="U82" s="97" t="str">
        <v>Ano 13</v>
      </c>
      <c r="V82" s="97" t="str">
        <v>Ano 14</v>
      </c>
      <c r="W82" s="97" t="str">
        <v>Ano 15</v>
      </c>
      <c r="X82" s="97" t="str">
        <v>Ano 16</v>
      </c>
      <c r="Y82" s="97" t="str">
        <v>Ano 17</v>
      </c>
      <c r="Z82" s="97" t="str">
        <v>Ano 18</v>
      </c>
      <c r="AA82" s="97" t="str">
        <v>Ano 19</v>
      </c>
      <c r="AB82" s="97" t="str">
        <v>Ano 20</v>
      </c>
      <c r="AC82" s="97" t="str">
        <v>Ano 21</v>
      </c>
      <c r="AD82" s="97" t="str">
        <v>Ano 22</v>
      </c>
      <c r="AE82" s="97" t="str">
        <v>Ano 23</v>
      </c>
      <c r="AF82" s="97" t="str">
        <v>Ano 24</v>
      </c>
      <c r="AG82" s="97" t="str">
        <v>Ano 25</v>
      </c>
      <c r="AH82" s="97" t="str">
        <v>Ano 26</v>
      </c>
      <c r="AI82" s="97" t="str">
        <v>Ano 27</v>
      </c>
      <c r="AJ82" s="97" t="str">
        <v>Ano 28</v>
      </c>
      <c r="AK82" s="97" t="str">
        <v>Ano 29</v>
      </c>
      <c r="AL82" s="97" t="str">
        <v>Ano 30</v>
      </c>
    </row>
    <row r="83" spans="2:44">
      <c r="B83" s="325" cm="1">
        <f t="array" ref="B83:B94">_xlfn.SEQUENCE(ROWS('Painel Controle'!C110:C121),,1,0)</f>
        <v>1</v>
      </c>
      <c r="C83" s="326" cm="1">
        <f t="array" ref="C83:C94">'Painel Controle'!B$110:B$121</f>
        <v>1</v>
      </c>
      <c r="D83" s="327" t="str" cm="1">
        <f t="array" ref="D83:D94">'Painel Controle'!C$110:C$121</f>
        <v>Automóvel</v>
      </c>
      <c r="E83" s="327" t="str" cm="1">
        <f t="array" ref="E83:E94">'Painel Controle'!D$110:D$121</f>
        <v>Leves</v>
      </c>
      <c r="F83" s="328" cm="1">
        <f t="array" aca="1" ref="F83" ca="1">INDEX('Painel Controle'!F$110:I$121,Tráfego!C83,Tráfego!B83) / SUM(_xlfn._xlws.FILTER(OFFSET('Painel Controle'!F$110:F$121,,Tráfego!B83-1),'Painel Controle'!D$110:D$121=Tráfego!E83))</f>
        <v>0.95466762228991231</v>
      </c>
      <c r="G83" s="356" cm="1">
        <f t="array" aca="1" ref="G83" ca="1">INDEX(C$4:E$7,B83,MATCH(E83,_xlfn.ANCHORARRAY(C$3))) * F83</f>
        <v>10010.017296278851</v>
      </c>
      <c r="H83" s="142" cm="1">
        <f t="array" aca="1" ref="H83" ca="1">INDEX(C$4:E$7,B83,MATCH(E83,_xlfn.ANCHORARRAY(C$3))) * F83 * (1 + INDEX(E$76:E$78,MATCH(E83,_xlfn.ANCHORARRAY(D$76),0)))</f>
        <v>10530.70185778214</v>
      </c>
      <c r="I83" s="313" cm="1">
        <f t="array" aca="1" ref="I83" ca="1">(1 + INDEX($F$76:$AI$78,MATCH($E83,_xlfn.ANCHORARRAY($D$76)),H$81)) * H83</f>
        <v>10977.567696763625</v>
      </c>
      <c r="J83" s="313" cm="1">
        <f t="array" aca="1" ref="J83" ca="1">(1 + INDEX($F$76:$AI$78,MATCH($E83,_xlfn.ANCHORARRAY($D$76)),I$81)) * I83</f>
        <v>11431.622526324094</v>
      </c>
      <c r="K83" s="313" cm="1">
        <f t="array" aca="1" ref="K83" ca="1">(1 + INDEX($F$76:$AI$78,MATCH($E83,_xlfn.ANCHORARRAY($D$76)),J$81)) * J83</f>
        <v>11903.5324519932</v>
      </c>
      <c r="L83" s="313" cm="1">
        <f t="array" aca="1" ref="L83" ca="1">(1 + INDEX($F$76:$AI$78,MATCH($E83,_xlfn.ANCHORARRAY($D$76)),K$81)) * K83</f>
        <v>12397.506962726107</v>
      </c>
      <c r="M83" s="313" cm="1">
        <f t="array" aca="1" ref="M83" ca="1">(1 + INDEX($F$76:$AI$78,MATCH($E83,_xlfn.ANCHORARRAY($D$76)),L$81)) * L83</f>
        <v>12913.501640581821</v>
      </c>
      <c r="N83" s="313" cm="1">
        <f t="array" aca="1" ref="N83" ca="1">(1 + INDEX($F$76:$AI$78,MATCH($E83,_xlfn.ANCHORARRAY($D$76)),M$81)) * M83</f>
        <v>13448.429755846273</v>
      </c>
      <c r="O83" s="313" cm="1">
        <f t="array" aca="1" ref="O83" ca="1">(1 + INDEX($F$76:$AI$78,MATCH($E83,_xlfn.ANCHORARRAY($D$76)),N$81)) * N83</f>
        <v>13996.639472201192</v>
      </c>
      <c r="P83" s="313" cm="1">
        <f t="array" aca="1" ref="P83" ca="1">(1 + INDEX($F$76:$AI$78,MATCH($E83,_xlfn.ANCHORARRAY($D$76)),O$81)) * O83</f>
        <v>14553.726845614443</v>
      </c>
      <c r="Q83" s="313" cm="1">
        <f t="array" aca="1" ref="Q83" ca="1">(1 + INDEX($F$76:$AI$78,MATCH($E83,_xlfn.ANCHORARRAY($D$76)),P$81)) * P83</f>
        <v>15115.641870746605</v>
      </c>
      <c r="R83" s="313" cm="1">
        <f t="array" aca="1" ref="R83" ca="1">(1 + INDEX($F$76:$AI$78,MATCH($E83,_xlfn.ANCHORARRAY($D$76)),Q$81)) * Q83</f>
        <v>15678.541476448876</v>
      </c>
      <c r="S83" s="313" cm="1">
        <f t="array" aca="1" ref="S83" ca="1">(1 + INDEX($F$76:$AI$78,MATCH($E83,_xlfn.ANCHORARRAY($D$76)),R$81)) * R83</f>
        <v>16238.285291073429</v>
      </c>
      <c r="T83" s="313" cm="1">
        <f t="array" aca="1" ref="T83" ca="1">(1 + INDEX($F$76:$AI$78,MATCH($E83,_xlfn.ANCHORARRAY($D$76)),S$81)) * S83</f>
        <v>16790.760272804931</v>
      </c>
      <c r="U83" s="313" cm="1">
        <f t="array" aca="1" ref="U83" ca="1">(1 + INDEX($F$76:$AI$78,MATCH($E83,_xlfn.ANCHORARRAY($D$76)),T$81)) * T83</f>
        <v>17332.62943575297</v>
      </c>
      <c r="V83" s="313" cm="1">
        <f t="array" aca="1" ref="V83" ca="1">(1 + INDEX($F$76:$AI$78,MATCH($E83,_xlfn.ANCHORARRAY($D$76)),U$81)) * U83</f>
        <v>17860.569140513478</v>
      </c>
      <c r="W83" s="313" cm="1">
        <f t="array" aca="1" ref="W83" ca="1">(1 + INDEX($F$76:$AI$78,MATCH($E83,_xlfn.ANCHORARRAY($D$76)),V$81)) * V83</f>
        <v>18371.108189669874</v>
      </c>
      <c r="X83" s="313" cm="1">
        <f t="array" aca="1" ref="X83" ca="1">(1 + INDEX($F$76:$AI$78,MATCH($E83,_xlfn.ANCHORARRAY($D$76)),W$81)) * W83</f>
        <v>18860.898026916355</v>
      </c>
      <c r="Y83" s="313" cm="1">
        <f t="array" aca="1" ref="Y83" ca="1">(1 + INDEX($F$76:$AI$78,MATCH($E83,_xlfn.ANCHORARRAY($D$76)),X$81)) * X83</f>
        <v>19327.417666566726</v>
      </c>
      <c r="Z83" s="313" cm="1">
        <f t="array" aca="1" ref="Z83" ca="1">(1 + INDEX($F$76:$AI$78,MATCH($E83,_xlfn.ANCHORARRAY($D$76)),Y$81)) * Y83</f>
        <v>19768.471976379697</v>
      </c>
      <c r="AA83" s="313" cm="1">
        <f t="array" aca="1" ref="AA83" ca="1">(1 + INDEX($F$76:$AI$78,MATCH($E83,_xlfn.ANCHORARRAY($D$76)),Z$81)) * Z83</f>
        <v>20181.749037075821</v>
      </c>
      <c r="AB83" s="313" cm="1">
        <f t="array" aca="1" ref="AB83" ca="1">(1 + INDEX($F$76:$AI$78,MATCH($E83,_xlfn.ANCHORARRAY($D$76)),AA$81)) * AA83</f>
        <v>20565.228494523308</v>
      </c>
      <c r="AC83" s="313" cm="1">
        <f t="array" aca="1" ref="AC83" ca="1">(1 + INDEX($F$76:$AI$78,MATCH($E83,_xlfn.ANCHORARRAY($D$76)),AB$81)) * AB83</f>
        <v>20916.796331219794</v>
      </c>
      <c r="AD83" s="313" cm="1">
        <f t="array" aca="1" ref="AD83" ca="1">(1 + INDEX($F$76:$AI$78,MATCH($E83,_xlfn.ANCHORARRAY($D$76)),AC$81)) * AC83</f>
        <v>21234.786299204967</v>
      </c>
      <c r="AE83" s="313" cm="1">
        <f t="array" aca="1" ref="AE83" ca="1">(1 + INDEX($F$76:$AI$78,MATCH($E83,_xlfn.ANCHORARRAY($D$76)),AD$81)) * AD83</f>
        <v>21517.907327390789</v>
      </c>
      <c r="AF83" s="313" cm="1">
        <f t="array" aca="1" ref="AF83" ca="1">(1 + INDEX($F$76:$AI$78,MATCH($E83,_xlfn.ANCHORARRAY($D$76)),AE$81)) * AE83</f>
        <v>21764.742195094623</v>
      </c>
      <c r="AG83" s="313" cm="1">
        <f t="array" aca="1" ref="AG83" ca="1">(1 + INDEX($F$76:$AI$78,MATCH($E83,_xlfn.ANCHORARRAY($D$76)),AF$81)) * AF83</f>
        <v>21973.945246333384</v>
      </c>
      <c r="AH83" s="313" cm="1">
        <f t="array" aca="1" ref="AH83" ca="1">(1 + INDEX($F$76:$AI$78,MATCH($E83,_xlfn.ANCHORARRAY($D$76)),AG$81)) * AG83</f>
        <v>22144.541169186443</v>
      </c>
      <c r="AI83" s="313" cm="1">
        <f t="array" aca="1" ref="AI83" ca="1">(1 + INDEX($F$76:$AI$78,MATCH($E83,_xlfn.ANCHORARRAY($D$76)),AH$81)) * AH83</f>
        <v>22275.727759901751</v>
      </c>
      <c r="AJ83" s="313" cm="1">
        <f t="array" aca="1" ref="AJ83" ca="1">(1 + INDEX($F$76:$AI$78,MATCH($E83,_xlfn.ANCHORARRAY($D$76)),AI$81)) * AI83</f>
        <v>22366.514709458072</v>
      </c>
      <c r="AK83" s="313" cm="1">
        <f t="array" aca="1" ref="AK83" ca="1">(1 + INDEX($F$76:$AI$78,MATCH($E83,_xlfn.ANCHORARRAY($D$76)),AJ$81)) * AJ83</f>
        <v>22416.011890228481</v>
      </c>
      <c r="AL83" s="313" cm="1">
        <f t="array" aca="1" ref="AL83" ca="1">(1 + INDEX($F$76:$AI$78,MATCH($E83,_xlfn.ANCHORARRAY($D$76)),AK$81)) * AK83</f>
        <v>22423.520267257736</v>
      </c>
    </row>
    <row r="84" spans="2:44">
      <c r="B84" s="97">
        <v>1</v>
      </c>
      <c r="C84" s="204">
        <v>2</v>
      </c>
      <c r="D84" s="89" t="str">
        <v xml:space="preserve">Automóvel com reboque </v>
      </c>
      <c r="E84" s="89" t="str">
        <v>Leves</v>
      </c>
      <c r="F84" s="318" cm="1">
        <f t="array" aca="1" ref="F84" ca="1">INDEX('Painel Controle'!F$110:I$121,Tráfego!C84,Tráfego!B84) / SUM(_xlfn._xlws.FILTER(OFFSET('Painel Controle'!F$110:F$121,,Tráfego!B84-1),'Painel Controle'!D$110:D$121=Tráfego!E84))</f>
        <v>2.5085110195305505E-3</v>
      </c>
      <c r="G84" s="356" cm="1">
        <f t="array" aca="1" ref="G84" ca="1">INDEX(C$4:E$7,B84,MATCH(E84,_xlfn.ANCHORARRAY(C$3))) * F84</f>
        <v>26.302598000732715</v>
      </c>
      <c r="H84" s="142" cm="1">
        <f t="array" aca="1" ref="H84" ca="1">INDEX(C$4:E$7,B84,MATCH(E84,_xlfn.ANCHORARRAY(C$3))) * F84 * (1 + INDEX(E$76:E$78,MATCH(E84,_xlfn.ANCHORARRAY(D$76),0)))</f>
        <v>27.670763139817936</v>
      </c>
      <c r="I84" s="313" cm="1">
        <f t="array" aca="1" ref="I84" ca="1">(1 + INDEX($F$76:$AI$78,MATCH($E84,_xlfn.ANCHORARRAY($D$76)),H$81)) * H84</f>
        <v>28.844960164168683</v>
      </c>
      <c r="J84" s="313" cm="1">
        <f t="array" aca="1" ref="J84" ca="1">(1 + INDEX($F$76:$AI$78,MATCH($E84,_xlfn.ANCHORARRAY($D$76)),I$81)) * I84</f>
        <v>30.038047178779525</v>
      </c>
      <c r="K84" s="313" cm="1">
        <f t="array" aca="1" ref="K84" ca="1">(1 + INDEX($F$76:$AI$78,MATCH($E84,_xlfn.ANCHORARRAY($D$76)),J$81)) * J84</f>
        <v>31.278050737219367</v>
      </c>
      <c r="L84" s="313" cm="1">
        <f t="array" aca="1" ref="L84" ca="1">(1 + INDEX($F$76:$AI$78,MATCH($E84,_xlfn.ANCHORARRAY($D$76)),K$81)) * K84</f>
        <v>32.576031808964999</v>
      </c>
      <c r="M84" s="313" cm="1">
        <f t="array" aca="1" ref="M84" ca="1">(1 + INDEX($F$76:$AI$78,MATCH($E84,_xlfn.ANCHORARRAY($D$76)),L$81)) * L84</f>
        <v>33.931873680207488</v>
      </c>
      <c r="N84" s="313" cm="1">
        <f t="array" aca="1" ref="N84" ca="1">(1 + INDEX($F$76:$AI$78,MATCH($E84,_xlfn.ANCHORARRAY($D$76)),M$81)) * M84</f>
        <v>35.337465574671143</v>
      </c>
      <c r="O84" s="313" cm="1">
        <f t="array" aca="1" ref="O84" ca="1">(1 + INDEX($F$76:$AI$78,MATCH($E84,_xlfn.ANCHORARRAY($D$76)),N$81)) * N84</f>
        <v>36.777956571099232</v>
      </c>
      <c r="P84" s="313" cm="1">
        <f t="array" aca="1" ref="P84" ca="1">(1 + INDEX($F$76:$AI$78,MATCH($E84,_xlfn.ANCHORARRAY($D$76)),O$81)) * O84</f>
        <v>38.241774744482399</v>
      </c>
      <c r="Q84" s="313" cm="1">
        <f t="array" aca="1" ref="Q84" ca="1">(1 + INDEX($F$76:$AI$78,MATCH($E84,_xlfn.ANCHORARRAY($D$76)),P$81)) * P84</f>
        <v>39.718278188898744</v>
      </c>
      <c r="R84" s="313" cm="1">
        <f t="array" aca="1" ref="R84" ca="1">(1 + INDEX($F$76:$AI$78,MATCH($E84,_xlfn.ANCHORARRAY($D$76)),Q$81)) * Q84</f>
        <v>41.197368744422725</v>
      </c>
      <c r="S84" s="313" cm="1">
        <f t="array" aca="1" ref="S84" ca="1">(1 + INDEX($F$76:$AI$78,MATCH($E84,_xlfn.ANCHORARRAY($D$76)),R$81)) * R84</f>
        <v>42.668167056123878</v>
      </c>
      <c r="T84" s="313" cm="1">
        <f t="array" aca="1" ref="T84" ca="1">(1 + INDEX($F$76:$AI$78,MATCH($E84,_xlfn.ANCHORARRAY($D$76)),S$81)) * S84</f>
        <v>44.11986558169464</v>
      </c>
      <c r="U84" s="313" cm="1">
        <f t="array" aca="1" ref="U84" ca="1">(1 + INDEX($F$76:$AI$78,MATCH($E84,_xlfn.ANCHORARRAY($D$76)),T$81)) * T84</f>
        <v>45.543695964816365</v>
      </c>
      <c r="V84" s="313" cm="1">
        <f t="array" aca="1" ref="V84" ca="1">(1 + INDEX($F$76:$AI$78,MATCH($E84,_xlfn.ANCHORARRAY($D$76)),U$81)) * U84</f>
        <v>46.93092491876665</v>
      </c>
      <c r="W84" s="313" cm="1">
        <f t="array" aca="1" ref="W84" ca="1">(1 + INDEX($F$76:$AI$78,MATCH($E84,_xlfn.ANCHORARRAY($D$76)),V$81)) * V84</f>
        <v>48.272431429312732</v>
      </c>
      <c r="X84" s="313" cm="1">
        <f t="array" aca="1" ref="X84" ca="1">(1 + INDEX($F$76:$AI$78,MATCH($E84,_xlfn.ANCHORARRAY($D$76)),W$81)) * W84</f>
        <v>49.559416737392823</v>
      </c>
      <c r="Y84" s="313" cm="1">
        <f t="array" aca="1" ref="Y84" ca="1">(1 + INDEX($F$76:$AI$78,MATCH($E84,_xlfn.ANCHORARRAY($D$76)),X$81)) * X84</f>
        <v>50.785256631369023</v>
      </c>
      <c r="Z84" s="313" cm="1">
        <f t="array" aca="1" ref="Z84" ca="1">(1 + INDEX($F$76:$AI$78,MATCH($E84,_xlfn.ANCHORARRAY($D$76)),Y$81)) * Y84</f>
        <v>51.944183121117817</v>
      </c>
      <c r="AA84" s="313" cm="1">
        <f t="array" aca="1" ref="AA84" ca="1">(1 + INDEX($F$76:$AI$78,MATCH($E84,_xlfn.ANCHORARRAY($D$76)),Z$81)) * Z84</f>
        <v>53.030121343667695</v>
      </c>
      <c r="AB84" s="313" cm="1">
        <f t="array" aca="1" ref="AB84" ca="1">(1 + INDEX($F$76:$AI$78,MATCH($E84,_xlfn.ANCHORARRAY($D$76)),AA$81)) * AA84</f>
        <v>54.037762560684364</v>
      </c>
      <c r="AC84" s="313" cm="1">
        <f t="array" aca="1" ref="AC84" ca="1">(1 + INDEX($F$76:$AI$78,MATCH($E84,_xlfn.ANCHORARRAY($D$76)),AB$81)) * AB84</f>
        <v>54.961551921373335</v>
      </c>
      <c r="AD84" s="313" cm="1">
        <f t="array" aca="1" ref="AD84" ca="1">(1 + INDEX($F$76:$AI$78,MATCH($E84,_xlfn.ANCHORARRAY($D$76)),AC$81)) * AC84</f>
        <v>55.797111146559601</v>
      </c>
      <c r="AE84" s="313" cm="1">
        <f t="array" aca="1" ref="AE84" ca="1">(1 + INDEX($F$76:$AI$78,MATCH($E84,_xlfn.ANCHORARRAY($D$76)),AD$81)) * AD84</f>
        <v>56.541047782183007</v>
      </c>
      <c r="AF84" s="313" cm="1">
        <f t="array" aca="1" ref="AF84" ca="1">(1 + INDEX($F$76:$AI$78,MATCH($E84,_xlfn.ANCHORARRAY($D$76)),AE$81)) * AE84</f>
        <v>57.189637900023413</v>
      </c>
      <c r="AG84" s="313" cm="1">
        <f t="array" aca="1" ref="AG84" ca="1">(1 + INDEX($F$76:$AI$78,MATCH($E84,_xlfn.ANCHORARRAY($D$76)),AF$81)) * AF84</f>
        <v>57.739345617242378</v>
      </c>
      <c r="AH84" s="313" cm="1">
        <f t="array" aca="1" ref="AH84" ca="1">(1 + INDEX($F$76:$AI$78,MATCH($E84,_xlfn.ANCHORARRAY($D$76)),AG$81)) * AG84</f>
        <v>58.187608177291708</v>
      </c>
      <c r="AI84" s="313" cm="1">
        <f t="array" aca="1" ref="AI84" ca="1">(1 + INDEX($F$76:$AI$78,MATCH($E84,_xlfn.ANCHORARRAY($D$76)),AH$81)) * AH84</f>
        <v>58.532317687429526</v>
      </c>
      <c r="AJ84" s="313" cm="1">
        <f t="array" aca="1" ref="AJ84" ca="1">(1 + INDEX($F$76:$AI$78,MATCH($E84,_xlfn.ANCHORARRAY($D$76)),AI$81)) * AI84</f>
        <v>58.770871984311746</v>
      </c>
      <c r="AK84" s="313" cm="1">
        <f t="array" aca="1" ref="AK84" ca="1">(1 + INDEX($F$76:$AI$78,MATCH($E84,_xlfn.ANCHORARRAY($D$76)),AJ$81)) * AJ84</f>
        <v>58.900932143993757</v>
      </c>
      <c r="AL84" s="313" cm="1">
        <f t="array" aca="1" ref="AL84" ca="1">(1 + INDEX($F$76:$AI$78,MATCH($E84,_xlfn.ANCHORARRAY($D$76)),AK$81)) * AK84</f>
        <v>58.920661362914473</v>
      </c>
    </row>
    <row r="85" spans="2:44">
      <c r="B85" s="97">
        <v>1</v>
      </c>
      <c r="C85" s="204">
        <v>3</v>
      </c>
      <c r="D85" s="89" t="str">
        <v>Veículos Comerciais com 2 Eixos</v>
      </c>
      <c r="E85" s="89" t="str">
        <v>Pesados I</v>
      </c>
      <c r="F85" s="318" cm="1">
        <f t="array" aca="1" ref="F85" ca="1">INDEX('Painel Controle'!F$110:I$121,Tráfego!C85,Tráfego!B85) / SUM(_xlfn._xlws.FILTER(OFFSET('Painel Controle'!F$110:F$121,,Tráfego!B85-1),'Painel Controle'!D$110:D$121=Tráfego!E85))</f>
        <v>0.6909891843216559</v>
      </c>
      <c r="G85" s="356" cm="1">
        <f t="array" aca="1" ref="G85" ca="1">INDEX(C$4:E$7,B85,MATCH(E85,_xlfn.ANCHORARRAY(C$3))) * F85</f>
        <v>1365.7791615586389</v>
      </c>
      <c r="H85" s="142" cm="1">
        <f t="array" aca="1" ref="H85" ca="1">INDEX(C$4:E$7,B85,MATCH(E85,_xlfn.ANCHORARRAY(C$3))) * F85 * (1 + INDEX(E$76:E$78,MATCH(E85,_xlfn.ANCHORARRAY(D$76),0)))</f>
        <v>1406.914286177165</v>
      </c>
      <c r="I85" s="313" cm="1">
        <f t="array" aca="1" ref="I85" ca="1">(1 + INDEX($F$76:$AI$78,MATCH($E85,_xlfn.ANCHORARRAY($D$76)),H$81)) * H85</f>
        <v>1443.3164340737987</v>
      </c>
      <c r="J85" s="313" cm="1">
        <f t="array" aca="1" ref="J85" ca="1">(1 + INDEX($F$76:$AI$78,MATCH($E85,_xlfn.ANCHORARRAY($D$76)),I$81)) * I85</f>
        <v>1478.9606684360715</v>
      </c>
      <c r="K85" s="313" cm="1">
        <f t="array" aca="1" ref="K85" ca="1">(1 + INDEX($F$76:$AI$78,MATCH($E85,_xlfn.ANCHORARRAY($D$76)),J$81)) * J85</f>
        <v>1514.2582538633569</v>
      </c>
      <c r="L85" s="313" cm="1">
        <f t="array" aca="1" ref="L85" ca="1">(1 + INDEX($F$76:$AI$78,MATCH($E85,_xlfn.ANCHORARRAY($D$76)),K$81)) * K85</f>
        <v>1549.2994160407861</v>
      </c>
      <c r="M85" s="313" cm="1">
        <f t="array" aca="1" ref="M85" ca="1">(1 + INDEX($F$76:$AI$78,MATCH($E85,_xlfn.ANCHORARRAY($D$76)),L$81)) * L85</f>
        <v>1583.9795666812593</v>
      </c>
      <c r="N85" s="313" cm="1">
        <f t="array" aca="1" ref="N85" ca="1">(1 + INDEX($F$76:$AI$78,MATCH($E85,_xlfn.ANCHORARRAY($D$76)),M$81)) * M85</f>
        <v>1618.0433677696017</v>
      </c>
      <c r="O85" s="313" cm="1">
        <f t="array" aca="1" ref="O85" ca="1">(1 + INDEX($F$76:$AI$78,MATCH($E85,_xlfn.ANCHORARRAY($D$76)),N$81)) * N85</f>
        <v>1651.1308994712863</v>
      </c>
      <c r="P85" s="313" cm="1">
        <f t="array" aca="1" ref="P85" ca="1">(1 + INDEX($F$76:$AI$78,MATCH($E85,_xlfn.ANCHORARRAY($D$76)),O$81)) * O85</f>
        <v>1682.9857837756592</v>
      </c>
      <c r="Q85" s="313" cm="1">
        <f t="array" aca="1" ref="Q85" ca="1">(1 + INDEX($F$76:$AI$78,MATCH($E85,_xlfn.ANCHORARRAY($D$76)),P$81)) * P85</f>
        <v>1713.3837682899589</v>
      </c>
      <c r="R85" s="313" cm="1">
        <f t="array" aca="1" ref="R85" ca="1">(1 + INDEX($F$76:$AI$78,MATCH($E85,_xlfn.ANCHORARRAY($D$76)),Q$81)) * Q85</f>
        <v>1742.1306882604135</v>
      </c>
      <c r="S85" s="313" cm="1">
        <f t="array" aca="1" ref="S85" ca="1">(1 + INDEX($F$76:$AI$78,MATCH($E85,_xlfn.ANCHORARRAY($D$76)),R$81)) * R85</f>
        <v>1769.0236111608535</v>
      </c>
      <c r="T85" s="313" cm="1">
        <f t="array" aca="1" ref="T85" ca="1">(1 + INDEX($F$76:$AI$78,MATCH($E85,_xlfn.ANCHORARRAY($D$76)),S$81)) * S85</f>
        <v>1793.8744825978029</v>
      </c>
      <c r="U85" s="313" cm="1">
        <f t="array" aca="1" ref="U85" ca="1">(1 + INDEX($F$76:$AI$78,MATCH($E85,_xlfn.ANCHORARRAY($D$76)),T$81)) * T85</f>
        <v>1816.5638994716949</v>
      </c>
      <c r="V85" s="313" cm="1">
        <f t="array" aca="1" ref="V85" ca="1">(1 + INDEX($F$76:$AI$78,MATCH($E85,_xlfn.ANCHORARRAY($D$76)),U$81)) * U85</f>
        <v>1836.9855138534497</v>
      </c>
      <c r="W85" s="313" cm="1">
        <f t="array" aca="1" ref="W85" ca="1">(1 + INDEX($F$76:$AI$78,MATCH($E85,_xlfn.ANCHORARRAY($D$76)),V$81)) * V85</f>
        <v>1855.0363295044269</v>
      </c>
      <c r="X85" s="313" cm="1">
        <f t="array" aca="1" ref="X85" ca="1">(1 + INDEX($F$76:$AI$78,MATCH($E85,_xlfn.ANCHORARRAY($D$76)),W$81)) * W85</f>
        <v>1870.6273486257342</v>
      </c>
      <c r="Y85" s="313" cm="1">
        <f t="array" aca="1" ref="Y85" ca="1">(1 + INDEX($F$76:$AI$78,MATCH($E85,_xlfn.ANCHORARRAY($D$76)),X$81)) * X85</f>
        <v>1883.729190049967</v>
      </c>
      <c r="Z85" s="313" cm="1">
        <f t="array" aca="1" ref="Z85" ca="1">(1 + INDEX($F$76:$AI$78,MATCH($E85,_xlfn.ANCHORARRAY($D$76)),Y$81)) * Y85</f>
        <v>1894.3303996320458</v>
      </c>
      <c r="AA85" s="313" cm="1">
        <f t="array" aca="1" ref="AA85" ca="1">(1 + INDEX($F$76:$AI$78,MATCH($E85,_xlfn.ANCHORARRAY($D$76)),Z$81)) * Z85</f>
        <v>1902.4087400247652</v>
      </c>
      <c r="AB85" s="313" cm="1">
        <f t="array" aca="1" ref="AB85" ca="1">(1 + INDEX($F$76:$AI$78,MATCH($E85,_xlfn.ANCHORARRAY($D$76)),AA$81)) * AA85</f>
        <v>1907.962647540772</v>
      </c>
      <c r="AC85" s="313" cm="1">
        <f t="array" aca="1" ref="AC85" ca="1">(1 + INDEX($F$76:$AI$78,MATCH($E85,_xlfn.ANCHORARRAY($D$76)),AB$81)) * AB85</f>
        <v>1910.9791703815497</v>
      </c>
      <c r="AD85" s="313" cm="1">
        <f t="array" aca="1" ref="AD85" ca="1">(1 + INDEX($F$76:$AI$78,MATCH($E85,_xlfn.ANCHORARRAY($D$76)),AC$81)) * AC85</f>
        <v>1911.4718124023275</v>
      </c>
      <c r="AE85" s="313" cm="1">
        <f t="array" aca="1" ref="AE85" ca="1">(1 + INDEX($F$76:$AI$78,MATCH($E85,_xlfn.ANCHORARRAY($D$76)),AD$81)) * AD85</f>
        <v>1909.473039030707</v>
      </c>
      <c r="AF85" s="313" cm="1">
        <f t="array" aca="1" ref="AF85" ca="1">(1 + INDEX($F$76:$AI$78,MATCH($E85,_xlfn.ANCHORARRAY($D$76)),AE$81)) * AE85</f>
        <v>1904.9987024935385</v>
      </c>
      <c r="AG85" s="313" cm="1">
        <f t="array" aca="1" ref="AG85" ca="1">(1 + INDEX($F$76:$AI$78,MATCH($E85,_xlfn.ANCHORARRAY($D$76)),AF$81)) * AF85</f>
        <v>1898.0646376661621</v>
      </c>
      <c r="AH85" s="313" cm="1">
        <f t="array" aca="1" ref="AH85" ca="1">(1 + INDEX($F$76:$AI$78,MATCH($E85,_xlfn.ANCHORARRAY($D$76)),AG$81)) * AG85</f>
        <v>1888.7072898147169</v>
      </c>
      <c r="AI85" s="313" cm="1">
        <f t="array" aca="1" ref="AI85" ca="1">(1 + INDEX($F$76:$AI$78,MATCH($E85,_xlfn.ANCHORARRAY($D$76)),AH$81)) * AH85</f>
        <v>1876.9724704960315</v>
      </c>
      <c r="AJ85" s="313" cm="1">
        <f t="array" aca="1" ref="AJ85" ca="1">(1 + INDEX($F$76:$AI$78,MATCH($E85,_xlfn.ANCHORARRAY($D$76)),AI$81)) * AI85</f>
        <v>1862.8909434787699</v>
      </c>
      <c r="AK85" s="313" cm="1">
        <f t="array" aca="1" ref="AK85" ca="1">(1 + INDEX($F$76:$AI$78,MATCH($E85,_xlfn.ANCHORARRAY($D$76)),AJ$81)) * AJ85</f>
        <v>1846.4956038301598</v>
      </c>
      <c r="AL85" s="313" cm="1">
        <f t="array" aca="1" ref="AL85" ca="1">(1 + INDEX($F$76:$AI$78,MATCH($E85,_xlfn.ANCHORARRAY($D$76)),AK$81)) * AK85</f>
        <v>1827.8254997254146</v>
      </c>
    </row>
    <row r="86" spans="2:44">
      <c r="B86" s="97">
        <v>1</v>
      </c>
      <c r="C86" s="204">
        <v>4</v>
      </c>
      <c r="D86" s="89" t="str">
        <v>Veículos Comerciais com 3 Eixos</v>
      </c>
      <c r="E86" s="89" t="str">
        <v>Pesados I</v>
      </c>
      <c r="F86" s="318" cm="1">
        <f t="array" aca="1" ref="F86" ca="1">INDEX('Painel Controle'!F$110:I$121,Tráfego!C86,Tráfego!B86) / SUM(_xlfn._xlws.FILTER(OFFSET('Painel Controle'!F$110:F$121,,Tráfego!B86-1),'Painel Controle'!D$110:D$121=Tráfego!E86))</f>
        <v>0.1889022540535856</v>
      </c>
      <c r="G86" s="356" cm="1">
        <f t="array" aca="1" ref="G86" ca="1">INDEX(C$4:E$7,B86,MATCH(E86,_xlfn.ANCHORARRAY(C$3))) * F86</f>
        <v>373.37597752867947</v>
      </c>
      <c r="H86" s="142" cm="1">
        <f t="array" aca="1" ref="H86" ca="1">INDEX(C$4:E$7,B86,MATCH(E86,_xlfn.ANCHORARRAY(C$3))) * F86 * (1 + INDEX(E$76:E$78,MATCH(E86,_xlfn.ANCHORARRAY(D$76),0)))</f>
        <v>384.62147592073177</v>
      </c>
      <c r="I86" s="313" cm="1">
        <f t="array" aca="1" ref="I86" ca="1">(1 + INDEX($F$76:$AI$78,MATCH($E86,_xlfn.ANCHORARRAY($D$76)),H$81)) * H86</f>
        <v>394.57307566511372</v>
      </c>
      <c r="J86" s="313" cm="1">
        <f t="array" aca="1" ref="J86" ca="1">(1 + INDEX($F$76:$AI$78,MATCH($E86,_xlfn.ANCHORARRAY($D$76)),I$81)) * I86</f>
        <v>404.31747741238229</v>
      </c>
      <c r="K86" s="313" cm="1">
        <f t="array" aca="1" ref="K86" ca="1">(1 + INDEX($F$76:$AI$78,MATCH($E86,_xlfn.ANCHORARRAY($D$76)),J$81)) * J86</f>
        <v>413.96711245899883</v>
      </c>
      <c r="L86" s="313" cm="1">
        <f t="array" aca="1" ref="L86" ca="1">(1 + INDEX($F$76:$AI$78,MATCH($E86,_xlfn.ANCHORARRAY($D$76)),K$81)) * K86</f>
        <v>423.54664665456204</v>
      </c>
      <c r="M86" s="313" cm="1">
        <f t="array" aca="1" ref="M86" ca="1">(1 + INDEX($F$76:$AI$78,MATCH($E86,_xlfn.ANCHORARRAY($D$76)),L$81)) * L86</f>
        <v>433.02748770902019</v>
      </c>
      <c r="N86" s="313" cm="1">
        <f t="array" aca="1" ref="N86" ca="1">(1 + INDEX($F$76:$AI$78,MATCH($E86,_xlfn.ANCHORARRAY($D$76)),M$81)) * M86</f>
        <v>442.33983145219736</v>
      </c>
      <c r="O86" s="313" cm="1">
        <f t="array" aca="1" ref="O86" ca="1">(1 + INDEX($F$76:$AI$78,MATCH($E86,_xlfn.ANCHORARRAY($D$76)),N$81)) * N86</f>
        <v>451.38528319201527</v>
      </c>
      <c r="P86" s="313" cm="1">
        <f t="array" aca="1" ref="P86" ca="1">(1 + INDEX($F$76:$AI$78,MATCH($E86,_xlfn.ANCHORARRAY($D$76)),O$81)) * O86</f>
        <v>460.09375444488961</v>
      </c>
      <c r="Q86" s="313" cm="1">
        <f t="array" aca="1" ref="Q86" ca="1">(1 + INDEX($F$76:$AI$78,MATCH($E86,_xlfn.ANCHORARRAY($D$76)),P$81)) * P86</f>
        <v>468.40393921149251</v>
      </c>
      <c r="R86" s="313" cm="1">
        <f t="array" aca="1" ref="R86" ca="1">(1 + INDEX($F$76:$AI$78,MATCH($E86,_xlfn.ANCHORARRAY($D$76)),Q$81)) * Q86</f>
        <v>476.26275683516906</v>
      </c>
      <c r="S86" s="313" cm="1">
        <f t="array" aca="1" ref="S86" ca="1">(1 + INDEX($F$76:$AI$78,MATCH($E86,_xlfn.ANCHORARRAY($D$76)),R$81)) * R86</f>
        <v>483.61472973033034</v>
      </c>
      <c r="T86" s="313" cm="1">
        <f t="array" aca="1" ref="T86" ca="1">(1 + INDEX($F$76:$AI$78,MATCH($E86,_xlfn.ANCHORARRAY($D$76)),S$81)) * S86</f>
        <v>490.40844768735462</v>
      </c>
      <c r="U86" s="313" cm="1">
        <f t="array" aca="1" ref="U86" ca="1">(1 + INDEX($F$76:$AI$78,MATCH($E86,_xlfn.ANCHORARRAY($D$76)),T$81)) * T86</f>
        <v>496.61126835067273</v>
      </c>
      <c r="V86" s="313" cm="1">
        <f t="array" aca="1" ref="V86" ca="1">(1 + INDEX($F$76:$AI$78,MATCH($E86,_xlfn.ANCHORARRAY($D$76)),U$81)) * U86</f>
        <v>502.19411838024837</v>
      </c>
      <c r="W86" s="313" cm="1">
        <f t="array" aca="1" ref="W86" ca="1">(1 + INDEX($F$76:$AI$78,MATCH($E86,_xlfn.ANCHORARRAY($D$76)),V$81)) * V86</f>
        <v>507.12884071938709</v>
      </c>
      <c r="X86" s="313" cm="1">
        <f t="array" aca="1" ref="X86" ca="1">(1 + INDEX($F$76:$AI$78,MATCH($E86,_xlfn.ANCHORARRAY($D$76)),W$81)) * W86</f>
        <v>511.3911051973742</v>
      </c>
      <c r="Y86" s="313" cm="1">
        <f t="array" aca="1" ref="Y86" ca="1">(1 + INDEX($F$76:$AI$78,MATCH($E86,_xlfn.ANCHORARRAY($D$76)),X$81)) * X86</f>
        <v>514.97287960636129</v>
      </c>
      <c r="Z86" s="313" cm="1">
        <f t="array" aca="1" ref="Z86" ca="1">(1 + INDEX($F$76:$AI$78,MATCH($E86,_xlfn.ANCHORARRAY($D$76)),Y$81)) * Y86</f>
        <v>517.87103261828599</v>
      </c>
      <c r="AA86" s="313" cm="1">
        <f t="array" aca="1" ref="AA86" ca="1">(1 + INDEX($F$76:$AI$78,MATCH($E86,_xlfn.ANCHORARRAY($D$76)),Z$81)) * Z86</f>
        <v>520.07948499904921</v>
      </c>
      <c r="AB86" s="313" cm="1">
        <f t="array" aca="1" ref="AB86" ca="1">(1 + INDEX($F$76:$AI$78,MATCH($E86,_xlfn.ANCHORARRAY($D$76)),AA$81)) * AA86</f>
        <v>521.59780926863789</v>
      </c>
      <c r="AC86" s="313" cm="1">
        <f t="array" aca="1" ref="AC86" ca="1">(1 + INDEX($F$76:$AI$78,MATCH($E86,_xlfn.ANCHORARRAY($D$76)),AB$81)) * AB86</f>
        <v>522.42246467129291</v>
      </c>
      <c r="AD86" s="313" cm="1">
        <f t="array" aca="1" ref="AD86" ca="1">(1 + INDEX($F$76:$AI$78,MATCH($E86,_xlfn.ANCHORARRAY($D$76)),AC$81)) * AC86</f>
        <v>522.55714288374247</v>
      </c>
      <c r="AE86" s="313" cm="1">
        <f t="array" aca="1" ref="AE86" ca="1">(1 + INDEX($F$76:$AI$78,MATCH($E86,_xlfn.ANCHORARRAY($D$76)),AD$81)) * AD86</f>
        <v>522.01071928723991</v>
      </c>
      <c r="AF86" s="313" cm="1">
        <f t="array" aca="1" ref="AF86" ca="1">(1 + INDEX($F$76:$AI$78,MATCH($E86,_xlfn.ANCHORARRAY($D$76)),AE$81)) * AE86</f>
        <v>520.78752755509265</v>
      </c>
      <c r="AG86" s="313" cm="1">
        <f t="array" aca="1" ref="AG86" ca="1">(1 + INDEX($F$76:$AI$78,MATCH($E86,_xlfn.ANCHORARRAY($D$76)),AF$81)) * AF86</f>
        <v>518.89189661706143</v>
      </c>
      <c r="AH86" s="313" cm="1">
        <f t="array" aca="1" ref="AH86" ca="1">(1 + INDEX($F$76:$AI$78,MATCH($E86,_xlfn.ANCHORARRAY($D$76)),AG$81)) * AG86</f>
        <v>516.33378986053276</v>
      </c>
      <c r="AI86" s="313" cm="1">
        <f t="array" aca="1" ref="AI86" ca="1">(1 + INDEX($F$76:$AI$78,MATCH($E86,_xlfn.ANCHORARRAY($D$76)),AH$81)) * AH86</f>
        <v>513.12573122443791</v>
      </c>
      <c r="AJ86" s="313" cm="1">
        <f t="array" aca="1" ref="AJ86" ca="1">(1 + INDEX($F$76:$AI$78,MATCH($E86,_xlfn.ANCHORARRAY($D$76)),AI$81)) * AI86</f>
        <v>509.27613089141892</v>
      </c>
      <c r="AK86" s="313" cm="1">
        <f t="array" aca="1" ref="AK86" ca="1">(1 + INDEX($F$76:$AI$78,MATCH($E86,_xlfn.ANCHORARRAY($D$76)),AJ$81)) * AJ86</f>
        <v>504.79398169738045</v>
      </c>
      <c r="AL86" s="313" cm="1">
        <f t="array" aca="1" ref="AL86" ca="1">(1 + INDEX($F$76:$AI$78,MATCH($E86,_xlfn.ANCHORARRAY($D$76)),AK$81)) * AK86</f>
        <v>499.68995861160124</v>
      </c>
    </row>
    <row r="87" spans="2:44">
      <c r="B87" s="97">
        <v>1</v>
      </c>
      <c r="C87" s="204">
        <v>5</v>
      </c>
      <c r="D87" s="89" t="str">
        <v>Veículos Comerciais com 4 Eixos</v>
      </c>
      <c r="E87" s="89" t="str">
        <v>Pesados I</v>
      </c>
      <c r="F87" s="318" cm="1">
        <f t="array" aca="1" ref="F87" ca="1">INDEX('Painel Controle'!F$110:I$121,Tráfego!C87,Tráfego!B87) / SUM(_xlfn._xlws.FILTER(OFFSET('Painel Controle'!F$110:F$121,,Tráfego!B87-1),'Painel Controle'!D$110:D$121=Tráfego!E87))</f>
        <v>9.9046610169491497E-2</v>
      </c>
      <c r="G87" s="356" cm="1">
        <f t="array" aca="1" ref="G87" ca="1">INDEX(C$4:E$7,B87,MATCH(E87,_xlfn.ANCHORARRAY(C$3))) * F87</f>
        <v>195.77122082643552</v>
      </c>
      <c r="H87" s="142" cm="1">
        <f t="array" aca="1" ref="H87" ca="1">INDEX(C$4:E$7,B87,MATCH(E87,_xlfn.ANCHORARRAY(C$3))) * F87 * (1 + INDEX(E$76:E$78,MATCH(E87,_xlfn.ANCHORARRAY(D$76),0)))</f>
        <v>201.66754271512664</v>
      </c>
      <c r="I87" s="313" cm="1">
        <f t="array" aca="1" ref="I87" ca="1">(1 + INDEX($F$76:$AI$78,MATCH($E87,_xlfn.ANCHORARRAY($D$76)),H$81)) * H87</f>
        <v>206.88543821024874</v>
      </c>
      <c r="J87" s="313" cm="1">
        <f t="array" aca="1" ref="J87" ca="1">(1 + INDEX($F$76:$AI$78,MATCH($E87,_xlfn.ANCHORARRAY($D$76)),I$81)) * I87</f>
        <v>211.99469413751171</v>
      </c>
      <c r="K87" s="313" cm="1">
        <f t="array" aca="1" ref="K87" ca="1">(1 + INDEX($F$76:$AI$78,MATCH($E87,_xlfn.ANCHORARRAY($D$76)),J$81)) * J87</f>
        <v>217.05426129582085</v>
      </c>
      <c r="L87" s="313" cm="1">
        <f t="array" aca="1" ref="L87" ca="1">(1 + INDEX($F$76:$AI$78,MATCH($E87,_xlfn.ANCHORARRAY($D$76)),K$81)) * K87</f>
        <v>222.07707266367311</v>
      </c>
      <c r="M87" s="313" cm="1">
        <f t="array" aca="1" ref="M87" ca="1">(1 + INDEX($F$76:$AI$78,MATCH($E87,_xlfn.ANCHORARRAY($D$76)),L$81)) * L87</f>
        <v>227.04813652262234</v>
      </c>
      <c r="N87" s="313" cm="1">
        <f t="array" aca="1" ref="N87" ca="1">(1 + INDEX($F$76:$AI$78,MATCH($E87,_xlfn.ANCHORARRAY($D$76)),M$81)) * M87</f>
        <v>231.93085264009721</v>
      </c>
      <c r="O87" s="313" cm="1">
        <f t="array" aca="1" ref="O87" ca="1">(1 + INDEX($F$76:$AI$78,MATCH($E87,_xlfn.ANCHORARRAY($D$76)),N$81)) * N87</f>
        <v>236.6736299921692</v>
      </c>
      <c r="P87" s="313" cm="1">
        <f t="array" aca="1" ref="P87" ca="1">(1 + INDEX($F$76:$AI$78,MATCH($E87,_xlfn.ANCHORARRAY($D$76)),O$81)) * O87</f>
        <v>241.23971927298314</v>
      </c>
      <c r="Q87" s="313" cm="1">
        <f t="array" aca="1" ref="Q87" ca="1">(1 + INDEX($F$76:$AI$78,MATCH($E87,_xlfn.ANCHORARRAY($D$76)),P$81)) * P87</f>
        <v>245.59697607300353</v>
      </c>
      <c r="R87" s="313" cm="1">
        <f t="array" aca="1" ref="R87" ca="1">(1 + INDEX($F$76:$AI$78,MATCH($E87,_xlfn.ANCHORARRAY($D$76)),Q$81)) * Q87</f>
        <v>249.7175687544684</v>
      </c>
      <c r="S87" s="313" cm="1">
        <f t="array" aca="1" ref="S87" ca="1">(1 + INDEX($F$76:$AI$78,MATCH($E87,_xlfn.ANCHORARRAY($D$76)),R$81)) * R87</f>
        <v>253.57240890432254</v>
      </c>
      <c r="T87" s="313" cm="1">
        <f t="array" aca="1" ref="T87" ca="1">(1 + INDEX($F$76:$AI$78,MATCH($E87,_xlfn.ANCHORARRAY($D$76)),S$81)) * S87</f>
        <v>257.13454074579852</v>
      </c>
      <c r="U87" s="313" cm="1">
        <f t="array" aca="1" ref="U87" ca="1">(1 + INDEX($F$76:$AI$78,MATCH($E87,_xlfn.ANCHORARRAY($D$76)),T$81)) * T87</f>
        <v>260.3868490005039</v>
      </c>
      <c r="V87" s="313" cm="1">
        <f t="array" aca="1" ref="V87" ca="1">(1 + INDEX($F$76:$AI$78,MATCH($E87,_xlfn.ANCHORARRAY($D$76)),U$81)) * U87</f>
        <v>263.31408972234965</v>
      </c>
      <c r="W87" s="313" cm="1">
        <f t="array" aca="1" ref="W87" ca="1">(1 + INDEX($F$76:$AI$78,MATCH($E87,_xlfn.ANCHORARRAY($D$76)),V$81)) * V87</f>
        <v>265.90149939762387</v>
      </c>
      <c r="X87" s="313" cm="1">
        <f t="array" aca="1" ref="X87" ca="1">(1 + INDEX($F$76:$AI$78,MATCH($E87,_xlfn.ANCHORARRAY($D$76)),W$81)) * W87</f>
        <v>268.13632105343487</v>
      </c>
      <c r="Y87" s="313" cm="1">
        <f t="array" aca="1" ref="Y87" ca="1">(1 + INDEX($F$76:$AI$78,MATCH($E87,_xlfn.ANCHORARRAY($D$76)),X$81)) * X87</f>
        <v>270.01434318387157</v>
      </c>
      <c r="Z87" s="313" cm="1">
        <f t="array" aca="1" ref="Z87" ca="1">(1 + INDEX($F$76:$AI$78,MATCH($E87,_xlfn.ANCHORARRAY($D$76)),Y$81)) * Y87</f>
        <v>271.5339239481234</v>
      </c>
      <c r="AA87" s="313" cm="1">
        <f t="array" aca="1" ref="AA87" ca="1">(1 + INDEX($F$76:$AI$78,MATCH($E87,_xlfn.ANCHORARRAY($D$76)),Z$81)) * Z87</f>
        <v>272.69187583774612</v>
      </c>
      <c r="AB87" s="313" cm="1">
        <f t="array" aca="1" ref="AB87" ca="1">(1 + INDEX($F$76:$AI$78,MATCH($E87,_xlfn.ANCHORARRAY($D$76)),AA$81)) * AA87</f>
        <v>273.48797471329561</v>
      </c>
      <c r="AC87" s="313" cm="1">
        <f t="array" aca="1" ref="AC87" ca="1">(1 + INDEX($F$76:$AI$78,MATCH($E87,_xlfn.ANCHORARRAY($D$76)),AB$81)) * AB87</f>
        <v>273.9203640598397</v>
      </c>
      <c r="AD87" s="313" cm="1">
        <f t="array" aca="1" ref="AD87" ca="1">(1 + INDEX($F$76:$AI$78,MATCH($E87,_xlfn.ANCHORARRAY($D$76)),AC$81)) * AC87</f>
        <v>273.99097952429588</v>
      </c>
      <c r="AE87" s="313" cm="1">
        <f t="array" aca="1" ref="AE87" ca="1">(1 + INDEX($F$76:$AI$78,MATCH($E87,_xlfn.ANCHORARRAY($D$76)),AD$81)) * AD87</f>
        <v>273.70447471141608</v>
      </c>
      <c r="AF87" s="313" cm="1">
        <f t="array" aca="1" ref="AF87" ca="1">(1 + INDEX($F$76:$AI$78,MATCH($E87,_xlfn.ANCHORARRAY($D$76)),AE$81)) * AE87</f>
        <v>273.06312188445526</v>
      </c>
      <c r="AG87" s="313" cm="1">
        <f t="array" aca="1" ref="AG87" ca="1">(1 + INDEX($F$76:$AI$78,MATCH($E87,_xlfn.ANCHORARRAY($D$76)),AF$81)) * AF87</f>
        <v>272.06919081949746</v>
      </c>
      <c r="AH87" s="313" cm="1">
        <f t="array" aca="1" ref="AH87" ca="1">(1 + INDEX($F$76:$AI$78,MATCH($E87,_xlfn.ANCHORARRAY($D$76)),AG$81)) * AG87</f>
        <v>270.72790559262046</v>
      </c>
      <c r="AI87" s="313" cm="1">
        <f t="array" aca="1" ref="AI87" ca="1">(1 + INDEX($F$76:$AI$78,MATCH($E87,_xlfn.ANCHORARRAY($D$76)),AH$81)) * AH87</f>
        <v>269.04583284699817</v>
      </c>
      <c r="AJ87" s="313" cm="1">
        <f t="array" aca="1" ref="AJ87" ca="1">(1 + INDEX($F$76:$AI$78,MATCH($E87,_xlfn.ANCHORARRAY($D$76)),AI$81)) * AI87</f>
        <v>267.02738227104732</v>
      </c>
      <c r="AK87" s="313" cm="1">
        <f t="array" aca="1" ref="AK87" ca="1">(1 + INDEX($F$76:$AI$78,MATCH($E87,_xlfn.ANCHORARRAY($D$76)),AJ$81)) * AJ87</f>
        <v>264.67726905420079</v>
      </c>
      <c r="AL87" s="313" cm="1">
        <f t="array" aca="1" ref="AL87" ca="1">(1 + INDEX($F$76:$AI$78,MATCH($E87,_xlfn.ANCHORARRAY($D$76)),AK$81)) * AK87</f>
        <v>262.00109037435374</v>
      </c>
    </row>
    <row r="88" spans="2:44">
      <c r="B88" s="97">
        <v>1</v>
      </c>
      <c r="C88" s="204">
        <v>6</v>
      </c>
      <c r="D88" s="89" t="str">
        <v>Veículos Comerciais com 5 Eixos Articulado</v>
      </c>
      <c r="E88" s="89" t="str">
        <v>Pesados II</v>
      </c>
      <c r="F88" s="318" cm="1">
        <f t="array" aca="1" ref="F88" ca="1">INDEX('Painel Controle'!F$110:I$121,Tráfego!C88,Tráfego!B88) / SUM(_xlfn._xlws.FILTER(OFFSET('Painel Controle'!F$110:F$121,,Tráfego!B88-1),'Painel Controle'!D$110:D$121=Tráfego!E88))</f>
        <v>3.4482758620689655E-2</v>
      </c>
      <c r="G88" s="356" cm="1">
        <f t="array" aca="1" ref="G88" ca="1">INDEX(C$4:E$7,B88,MATCH(E88,_xlfn.ANCHORARRAY(C$3))) * F88</f>
        <v>52.345246210276883</v>
      </c>
      <c r="H88" s="142" cm="1">
        <f t="array" aca="1" ref="H88" ca="1">INDEX(C$4:E$7,B88,MATCH(E88,_xlfn.ANCHORARRAY(C$3))) * F88 * (1 + INDEX(E$76:E$78,MATCH(E88,_xlfn.ANCHORARRAY(D$76),0)))</f>
        <v>54.752400438857642</v>
      </c>
      <c r="I88" s="313" cm="1">
        <f t="array" aca="1" ref="I88" ca="1">(1 + INDEX($F$76:$AI$78,MATCH($E88,_xlfn.ANCHORARRAY($D$76)),H$81)) * H88</f>
        <v>56.848375517636278</v>
      </c>
      <c r="J88" s="313" cm="1">
        <f t="array" aca="1" ref="J88" ca="1">(1 + INDEX($F$76:$AI$78,MATCH($E88,_xlfn.ANCHORARRAY($D$76)),I$81)) * I88</f>
        <v>58.951842759738454</v>
      </c>
      <c r="K88" s="313" cm="1">
        <f t="array" aca="1" ref="K88" ca="1">(1 + INDEX($F$76:$AI$78,MATCH($E88,_xlfn.ANCHORARRAY($D$76)),J$81)) * J88</f>
        <v>61.101516836234573</v>
      </c>
      <c r="L88" s="313" cm="1">
        <f t="array" aca="1" ref="L88" ca="1">(1 + INDEX($F$76:$AI$78,MATCH($E88,_xlfn.ANCHORARRAY($D$76)),K$81)) * K88</f>
        <v>63.310408277300404</v>
      </c>
      <c r="M88" s="313" cm="1">
        <f t="array" aca="1" ref="M88" ca="1">(1 + INDEX($F$76:$AI$78,MATCH($E88,_xlfn.ANCHORARRAY($D$76)),L$81)) * L88</f>
        <v>65.574891990930567</v>
      </c>
      <c r="N88" s="313" cm="1">
        <f t="array" aca="1" ref="N88" ca="1">(1 + INDEX($F$76:$AI$78,MATCH($E88,_xlfn.ANCHORARRAY($D$76)),M$81)) * M88</f>
        <v>67.879123805130405</v>
      </c>
      <c r="O88" s="313" cm="1">
        <f t="array" aca="1" ref="O88" ca="1">(1 + INDEX($F$76:$AI$78,MATCH($E88,_xlfn.ANCHORARRAY($D$76)),N$81)) * N88</f>
        <v>70.197507854806872</v>
      </c>
      <c r="P88" s="313" cm="1">
        <f t="array" aca="1" ref="P88" ca="1">(1 + INDEX($F$76:$AI$78,MATCH($E88,_xlfn.ANCHORARRAY($D$76)),O$81)) * O88</f>
        <v>72.510347287951362</v>
      </c>
      <c r="Q88" s="313" cm="1">
        <f t="array" aca="1" ref="Q88" ca="1">(1 + INDEX($F$76:$AI$78,MATCH($E88,_xlfn.ANCHORARRAY($D$76)),P$81)) * P88</f>
        <v>74.799690384581879</v>
      </c>
      <c r="R88" s="313" cm="1">
        <f t="array" aca="1" ref="R88" ca="1">(1 + INDEX($F$76:$AI$78,MATCH($E88,_xlfn.ANCHORARRAY($D$76)),Q$81)) * Q88</f>
        <v>77.048918360941627</v>
      </c>
      <c r="S88" s="313" cm="1">
        <f t="array" aca="1" ref="S88" ca="1">(1 + INDEX($F$76:$AI$78,MATCH($E88,_xlfn.ANCHORARRAY($D$76)),R$81)) * R88</f>
        <v>79.240427051148401</v>
      </c>
      <c r="T88" s="313" cm="1">
        <f t="array" aca="1" ref="T88" ca="1">(1 + INDEX($F$76:$AI$78,MATCH($E88,_xlfn.ANCHORARRAY($D$76)),S$81)) * S88</f>
        <v>81.357131113345588</v>
      </c>
      <c r="U88" s="313" cm="1">
        <f t="array" aca="1" ref="U88" ca="1">(1 + INDEX($F$76:$AI$78,MATCH($E88,_xlfn.ANCHORARRAY($D$76)),T$81)) * T88</f>
        <v>83.385897813410082</v>
      </c>
      <c r="V88" s="313" cm="1">
        <f t="array" aca="1" ref="V88" ca="1">(1 + INDEX($F$76:$AI$78,MATCH($E88,_xlfn.ANCHORARRAY($D$76)),U$81)) * U88</f>
        <v>85.314095743738491</v>
      </c>
      <c r="W88" s="313" cm="1">
        <f t="array" aca="1" ref="W88" ca="1">(1 + INDEX($F$76:$AI$78,MATCH($E88,_xlfn.ANCHORARRAY($D$76)),V$81)) * V88</f>
        <v>87.12893508429805</v>
      </c>
      <c r="X88" s="313" cm="1">
        <f t="array" aca="1" ref="X88" ca="1">(1 + INDEX($F$76:$AI$78,MATCH($E88,_xlfn.ANCHORARRAY($D$76)),W$81)) * W88</f>
        <v>88.818476855688573</v>
      </c>
      <c r="Y88" s="313" cm="1">
        <f t="array" aca="1" ref="Y88" ca="1">(1 + INDEX($F$76:$AI$78,MATCH($E88,_xlfn.ANCHORARRAY($D$76)),X$81)) * X88</f>
        <v>90.374720098896617</v>
      </c>
      <c r="Z88" s="313" cm="1">
        <f t="array" aca="1" ref="Z88" ca="1">(1 + INDEX($F$76:$AI$78,MATCH($E88,_xlfn.ANCHORARRAY($D$76)),Y$81)) * Y88</f>
        <v>91.791163921033174</v>
      </c>
      <c r="AA88" s="313" cm="1">
        <f t="array" aca="1" ref="AA88" ca="1">(1 + INDEX($F$76:$AI$78,MATCH($E88,_xlfn.ANCHORARRAY($D$76)),Z$81)) * Z88</f>
        <v>93.060869866097988</v>
      </c>
      <c r="AB88" s="313" cm="1">
        <f t="array" aca="1" ref="AB88" ca="1">(1 + INDEX($F$76:$AI$78,MATCH($E88,_xlfn.ANCHORARRAY($D$76)),AA$81)) * AA88</f>
        <v>94.178383962908384</v>
      </c>
      <c r="AC88" s="313" cm="1">
        <f t="array" aca="1" ref="AC88" ca="1">(1 + INDEX($F$76:$AI$78,MATCH($E88,_xlfn.ANCHORARRAY($D$76)),AB$81)) * AB88</f>
        <v>95.137849721398482</v>
      </c>
      <c r="AD88" s="313" cm="1">
        <f t="array" aca="1" ref="AD88" ca="1">(1 + INDEX($F$76:$AI$78,MATCH($E88,_xlfn.ANCHORARRAY($D$76)),AC$81)) * AC88</f>
        <v>95.93544517337827</v>
      </c>
      <c r="AE88" s="313" cm="1">
        <f t="array" aca="1" ref="AE88" ca="1">(1 + INDEX($F$76:$AI$78,MATCH($E88,_xlfn.ANCHORARRAY($D$76)),AD$81)) * AD88</f>
        <v>96.568977793949045</v>
      </c>
      <c r="AF88" s="313" cm="1">
        <f t="array" aca="1" ref="AF88" ca="1">(1 + INDEX($F$76:$AI$78,MATCH($E88,_xlfn.ANCHORARRAY($D$76)),AE$81)) * AE88</f>
        <v>97.035596807205167</v>
      </c>
      <c r="AG88" s="313" cm="1">
        <f t="array" aca="1" ref="AG88" ca="1">(1 + INDEX($F$76:$AI$78,MATCH($E88,_xlfn.ANCHORARRAY($D$76)),AF$81)) * AF88</f>
        <v>97.332760255331323</v>
      </c>
      <c r="AH88" s="313" cm="1">
        <f t="array" aca="1" ref="AH88" ca="1">(1 + INDEX($F$76:$AI$78,MATCH($E88,_xlfn.ANCHORARRAY($D$76)),AG$81)) * AG88</f>
        <v>97.459569098459312</v>
      </c>
      <c r="AI88" s="313" cm="1">
        <f t="array" aca="1" ref="AI88" ca="1">(1 + INDEX($F$76:$AI$78,MATCH($E88,_xlfn.ANCHORARRAY($D$76)),AH$81)) * AH88</f>
        <v>97.415947508563093</v>
      </c>
      <c r="AJ88" s="313" cm="1">
        <f t="array" aca="1" ref="AJ88" ca="1">(1 + INDEX($F$76:$AI$78,MATCH($E88,_xlfn.ANCHORARRAY($D$76)),AI$81)) * AI88</f>
        <v>97.201037276506014</v>
      </c>
      <c r="AK88" s="313" cm="1">
        <f t="array" aca="1" ref="AK88" ca="1">(1 + INDEX($F$76:$AI$78,MATCH($E88,_xlfn.ANCHORARRAY($D$76)),AJ$81)) * AJ88</f>
        <v>96.814404585117558</v>
      </c>
      <c r="AL88" s="313" cm="1">
        <f t="array" aca="1" ref="AL88" ca="1">(1 + INDEX($F$76:$AI$78,MATCH($E88,_xlfn.ANCHORARRAY($D$76)),AK$81)) * AK88</f>
        <v>96.256371576072894</v>
      </c>
    </row>
    <row r="89" spans="2:44">
      <c r="B89" s="97">
        <v>1</v>
      </c>
      <c r="C89" s="204">
        <v>7</v>
      </c>
      <c r="D89" s="89" t="str">
        <v>Veículos Comerciais com 6 Eixos Articulado</v>
      </c>
      <c r="E89" s="89" t="str">
        <v>Pesados II</v>
      </c>
      <c r="F89" s="318" cm="1">
        <f t="array" aca="1" ref="F89" ca="1">INDEX('Painel Controle'!F$110:I$121,Tráfego!C89,Tráfego!B89) / SUM(_xlfn._xlws.FILTER(OFFSET('Painel Controle'!F$110:F$121,,Tráfego!B89-1),'Painel Controle'!D$110:D$121=Tráfego!E89))</f>
        <v>0.89931034482758609</v>
      </c>
      <c r="G89" s="356" cm="1">
        <f t="array" aca="1" ref="G89" ca="1">INDEX(C$4:E$7,B89,MATCH(E89,_xlfn.ANCHORARRAY(C$3))) * F89</f>
        <v>1365.1640211640211</v>
      </c>
      <c r="H89" s="142" cm="1">
        <f t="array" aca="1" ref="H89" ca="1">INDEX(C$4:E$7,B89,MATCH(E89,_xlfn.ANCHORARRAY(C$3))) * F89 * (1 + INDEX(E$76:E$78,MATCH(E89,_xlfn.ANCHORARRAY(D$76),0)))</f>
        <v>1427.9426034454073</v>
      </c>
      <c r="I89" s="313" cm="1">
        <f t="array" aca="1" ref="I89" ca="1">(1 + INDEX($F$76:$AI$78,MATCH($E89,_xlfn.ANCHORARRAY($D$76)),H$81)) * H89</f>
        <v>1482.6056334999541</v>
      </c>
      <c r="J89" s="313" cm="1">
        <f t="array" aca="1" ref="J89" ca="1">(1 + INDEX($F$76:$AI$78,MATCH($E89,_xlfn.ANCHORARRAY($D$76)),I$81)) * I89</f>
        <v>1537.464059173979</v>
      </c>
      <c r="K89" s="313" cm="1">
        <f t="array" aca="1" ref="K89" ca="1">(1 + INDEX($F$76:$AI$78,MATCH($E89,_xlfn.ANCHORARRAY($D$76)),J$81)) * J89</f>
        <v>1593.5275590889978</v>
      </c>
      <c r="L89" s="313" cm="1">
        <f t="array" aca="1" ref="L89" ca="1">(1 + INDEX($F$76:$AI$78,MATCH($E89,_xlfn.ANCHORARRAY($D$76)),K$81)) * K89</f>
        <v>1651.1354478719945</v>
      </c>
      <c r="M89" s="313" cm="1">
        <f t="array" aca="1" ref="M89" ca="1">(1 + INDEX($F$76:$AI$78,MATCH($E89,_xlfn.ANCHORARRAY($D$76)),L$81)) * L89</f>
        <v>1710.1931831234692</v>
      </c>
      <c r="N89" s="313" cm="1">
        <f t="array" aca="1" ref="N89" ca="1">(1 + INDEX($F$76:$AI$78,MATCH($E89,_xlfn.ANCHORARRAY($D$76)),M$81)) * M89</f>
        <v>1770.2875488378011</v>
      </c>
      <c r="O89" s="313" cm="1">
        <f t="array" aca="1" ref="O89" ca="1">(1 + INDEX($F$76:$AI$78,MATCH($E89,_xlfn.ANCHORARRAY($D$76)),N$81)) * N89</f>
        <v>1830.7510048533634</v>
      </c>
      <c r="P89" s="313" cm="1">
        <f t="array" aca="1" ref="P89" ca="1">(1 + INDEX($F$76:$AI$78,MATCH($E89,_xlfn.ANCHORARRAY($D$76)),O$81)) * O89</f>
        <v>1891.0698572697715</v>
      </c>
      <c r="Q89" s="313" cm="1">
        <f t="array" aca="1" ref="Q89" ca="1">(1 + INDEX($F$76:$AI$78,MATCH($E89,_xlfn.ANCHORARRAY($D$76)),P$81)) * P89</f>
        <v>1950.7759252298954</v>
      </c>
      <c r="R89" s="313" cm="1">
        <f t="array" aca="1" ref="R89" ca="1">(1 + INDEX($F$76:$AI$78,MATCH($E89,_xlfn.ANCHORARRAY($D$76)),Q$81)) * Q89</f>
        <v>2009.4357908533577</v>
      </c>
      <c r="S89" s="313" cm="1">
        <f t="array" aca="1" ref="S89" ca="1">(1 + INDEX($F$76:$AI$78,MATCH($E89,_xlfn.ANCHORARRAY($D$76)),R$81)) * R89</f>
        <v>2066.5903374939503</v>
      </c>
      <c r="T89" s="313" cm="1">
        <f t="array" aca="1" ref="T89" ca="1">(1 + INDEX($F$76:$AI$78,MATCH($E89,_xlfn.ANCHORARRAY($D$76)),S$81)) * S89</f>
        <v>2121.7939794360532</v>
      </c>
      <c r="U89" s="313" cm="1">
        <f t="array" aca="1" ref="U89" ca="1">(1 + INDEX($F$76:$AI$78,MATCH($E89,_xlfn.ANCHORARRAY($D$76)),T$81)) * T89</f>
        <v>2174.7042149737349</v>
      </c>
      <c r="V89" s="313" cm="1">
        <f t="array" aca="1" ref="V89" ca="1">(1 + INDEX($F$76:$AI$78,MATCH($E89,_xlfn.ANCHORARRAY($D$76)),U$81)) * U89</f>
        <v>2224.9916169966996</v>
      </c>
      <c r="W89" s="313" cm="1">
        <f t="array" aca="1" ref="W89" ca="1">(1 + INDEX($F$76:$AI$78,MATCH($E89,_xlfn.ANCHORARRAY($D$76)),V$81)) * V89</f>
        <v>2272.322626998493</v>
      </c>
      <c r="X89" s="313" cm="1">
        <f t="array" aca="1" ref="X89" ca="1">(1 + INDEX($F$76:$AI$78,MATCH($E89,_xlfn.ANCHORARRAY($D$76)),W$81)) * W89</f>
        <v>2316.3858763963581</v>
      </c>
      <c r="Y89" s="313" cm="1">
        <f t="array" aca="1" ref="Y89" ca="1">(1 + INDEX($F$76:$AI$78,MATCH($E89,_xlfn.ANCHORARRAY($D$76)),X$81)) * X89</f>
        <v>2356.9727001792235</v>
      </c>
      <c r="Z89" s="313" cm="1">
        <f t="array" aca="1" ref="Z89" ca="1">(1 + INDEX($F$76:$AI$78,MATCH($E89,_xlfn.ANCHORARRAY($D$76)),Y$81)) * Y89</f>
        <v>2393.9135550605451</v>
      </c>
      <c r="AA89" s="313" cm="1">
        <f t="array" aca="1" ref="AA89" ca="1">(1 + INDEX($F$76:$AI$78,MATCH($E89,_xlfn.ANCHORARRAY($D$76)),Z$81)) * Z89</f>
        <v>2427.0274861078356</v>
      </c>
      <c r="AB89" s="313" cm="1">
        <f t="array" aca="1" ref="AB89" ca="1">(1 + INDEX($F$76:$AI$78,MATCH($E89,_xlfn.ANCHORARRAY($D$76)),AA$81)) * AA89</f>
        <v>2456.1722537526507</v>
      </c>
      <c r="AC89" s="313" cm="1">
        <f t="array" aca="1" ref="AC89" ca="1">(1 + INDEX($F$76:$AI$78,MATCH($E89,_xlfn.ANCHORARRAY($D$76)),AB$81)) * AB89</f>
        <v>2481.1951207340726</v>
      </c>
      <c r="AD89" s="313" cm="1">
        <f t="array" aca="1" ref="AD89" ca="1">(1 + INDEX($F$76:$AI$78,MATCH($E89,_xlfn.ANCHORARRAY($D$76)),AC$81)) * AC89</f>
        <v>2501.9964101217056</v>
      </c>
      <c r="AE89" s="313" cm="1">
        <f t="array" aca="1" ref="AE89" ca="1">(1 + INDEX($F$76:$AI$78,MATCH($E89,_xlfn.ANCHORARRAY($D$76)),AD$81)) * AD89</f>
        <v>2518.5189408661913</v>
      </c>
      <c r="AF89" s="313" cm="1">
        <f t="array" aca="1" ref="AF89" ca="1">(1 + INDEX($F$76:$AI$78,MATCH($E89,_xlfn.ANCHORARRAY($D$76)),AE$81)) * AE89</f>
        <v>2530.688364731911</v>
      </c>
      <c r="AG89" s="313" cm="1">
        <f t="array" aca="1" ref="AG89" ca="1">(1 + INDEX($F$76:$AI$78,MATCH($E89,_xlfn.ANCHORARRAY($D$76)),AF$81)) * AF89</f>
        <v>2538.4383874590412</v>
      </c>
      <c r="AH89" s="313" cm="1">
        <f t="array" aca="1" ref="AH89" ca="1">(1 + INDEX($F$76:$AI$78,MATCH($E89,_xlfn.ANCHORARRAY($D$76)),AG$81)) * AG89</f>
        <v>2541.7455620878191</v>
      </c>
      <c r="AI89" s="313" cm="1">
        <f t="array" aca="1" ref="AI89" ca="1">(1 + INDEX($F$76:$AI$78,MATCH($E89,_xlfn.ANCHORARRAY($D$76)),AH$81)) * AH89</f>
        <v>2540.6079110233254</v>
      </c>
      <c r="AJ89" s="313" cm="1">
        <f t="array" aca="1" ref="AJ89" ca="1">(1 + INDEX($F$76:$AI$78,MATCH($E89,_xlfn.ANCHORARRAY($D$76)),AI$81)) * AI89</f>
        <v>2535.0030521712765</v>
      </c>
      <c r="AK89" s="313" cm="1">
        <f t="array" aca="1" ref="AK89" ca="1">(1 + INDEX($F$76:$AI$78,MATCH($E89,_xlfn.ANCHORARRAY($D$76)),AJ$81)) * AJ89</f>
        <v>2524.9196715798657</v>
      </c>
      <c r="AL89" s="313" cm="1">
        <f t="array" aca="1" ref="AL89" ca="1">(1 + INDEX($F$76:$AI$78,MATCH($E89,_xlfn.ANCHORARRAY($D$76)),AK$81)) * AK89</f>
        <v>2510.366170703981</v>
      </c>
    </row>
    <row r="90" spans="2:44">
      <c r="B90" s="97">
        <v>1</v>
      </c>
      <c r="C90" s="204">
        <v>8</v>
      </c>
      <c r="D90" s="89" t="str">
        <v>Veículos Comerciais com 7 Eixos Articulado</v>
      </c>
      <c r="E90" s="89" t="str">
        <v>Pesados II</v>
      </c>
      <c r="F90" s="318" cm="1">
        <f t="array" aca="1" ref="F90" ca="1">INDEX('Painel Controle'!F$110:I$121,Tráfego!C90,Tráfego!B90) / SUM(_xlfn._xlws.FILTER(OFFSET('Painel Controle'!F$110:F$121,,Tráfego!B90-1),'Painel Controle'!D$110:D$121=Tráfego!E90))</f>
        <v>5.310344827586206E-2</v>
      </c>
      <c r="G90" s="356" cm="1">
        <f t="array" aca="1" ref="G90" ca="1">INDEX(C$4:E$7,B90,MATCH(E90,_xlfn.ANCHORARRAY(C$3))) * F90</f>
        <v>80.611679163826395</v>
      </c>
      <c r="H90" s="142" cm="1">
        <f t="array" aca="1" ref="H90" ca="1">INDEX(C$4:E$7,B90,MATCH(E90,_xlfn.ANCHORARRAY(C$3))) * F90 * (1 + INDEX(E$76:E$78,MATCH(E90,_xlfn.ANCHORARRAY(D$76),0)))</f>
        <v>84.318696675840755</v>
      </c>
      <c r="I90" s="313" cm="1">
        <f t="array" aca="1" ref="I90" ca="1">(1 + INDEX($F$76:$AI$78,MATCH($E90,_xlfn.ANCHORARRAY($D$76)),H$81)) * H90</f>
        <v>87.546498297159857</v>
      </c>
      <c r="J90" s="313" cm="1">
        <f t="array" aca="1" ref="J90" ca="1">(1 + INDEX($F$76:$AI$78,MATCH($E90,_xlfn.ANCHORARRAY($D$76)),I$81)) * I90</f>
        <v>90.785837849997208</v>
      </c>
      <c r="K90" s="313" cm="1">
        <f t="array" aca="1" ref="K90" ca="1">(1 + INDEX($F$76:$AI$78,MATCH($E90,_xlfn.ANCHORARRAY($D$76)),J$81)) * J90</f>
        <v>94.096335927801235</v>
      </c>
      <c r="L90" s="313" cm="1">
        <f t="array" aca="1" ref="L90" ca="1">(1 + INDEX($F$76:$AI$78,MATCH($E90,_xlfn.ANCHORARRAY($D$76)),K$81)) * K90</f>
        <v>97.498028747042611</v>
      </c>
      <c r="M90" s="313" cm="1">
        <f t="array" aca="1" ref="M90" ca="1">(1 + INDEX($F$76:$AI$78,MATCH($E90,_xlfn.ANCHORARRAY($D$76)),L$81)) * L90</f>
        <v>100.98533366603307</v>
      </c>
      <c r="N90" s="313" cm="1">
        <f t="array" aca="1" ref="N90" ca="1">(1 + INDEX($F$76:$AI$78,MATCH($E90,_xlfn.ANCHORARRAY($D$76)),M$81)) * M90</f>
        <v>104.53385065990084</v>
      </c>
      <c r="O90" s="313" cm="1">
        <f t="array" aca="1" ref="O90" ca="1">(1 + INDEX($F$76:$AI$78,MATCH($E90,_xlfn.ANCHORARRAY($D$76)),N$81)) * N90</f>
        <v>108.10416209640259</v>
      </c>
      <c r="P90" s="313" cm="1">
        <f t="array" aca="1" ref="P90" ca="1">(1 + INDEX($F$76:$AI$78,MATCH($E90,_xlfn.ANCHORARRAY($D$76)),O$81)) * O90</f>
        <v>111.6659348234451</v>
      </c>
      <c r="Q90" s="313" cm="1">
        <f t="array" aca="1" ref="Q90" ca="1">(1 + INDEX($F$76:$AI$78,MATCH($E90,_xlfn.ANCHORARRAY($D$76)),P$81)) * P90</f>
        <v>115.19152319225608</v>
      </c>
      <c r="R90" s="313" cm="1">
        <f t="array" aca="1" ref="R90" ca="1">(1 + INDEX($F$76:$AI$78,MATCH($E90,_xlfn.ANCHORARRAY($D$76)),Q$81)) * Q90</f>
        <v>118.65533427585009</v>
      </c>
      <c r="S90" s="313" cm="1">
        <f t="array" aca="1" ref="S90" ca="1">(1 + INDEX($F$76:$AI$78,MATCH($E90,_xlfn.ANCHORARRAY($D$76)),R$81)) * R90</f>
        <v>122.03025765876852</v>
      </c>
      <c r="T90" s="313" cm="1">
        <f t="array" aca="1" ref="T90" ca="1">(1 + INDEX($F$76:$AI$78,MATCH($E90,_xlfn.ANCHORARRAY($D$76)),S$81)) * S90</f>
        <v>125.2899819145522</v>
      </c>
      <c r="U90" s="313" cm="1">
        <f t="array" aca="1" ref="U90" ca="1">(1 + INDEX($F$76:$AI$78,MATCH($E90,_xlfn.ANCHORARRAY($D$76)),T$81)) * T90</f>
        <v>128.41428263265152</v>
      </c>
      <c r="V90" s="313" cm="1">
        <f t="array" aca="1" ref="V90" ca="1">(1 + INDEX($F$76:$AI$78,MATCH($E90,_xlfn.ANCHORARRAY($D$76)),U$81)) * U90</f>
        <v>131.38370744535726</v>
      </c>
      <c r="W90" s="313" cm="1">
        <f t="array" aca="1" ref="W90" ca="1">(1 + INDEX($F$76:$AI$78,MATCH($E90,_xlfn.ANCHORARRAY($D$76)),V$81)) * V90</f>
        <v>134.17856002981898</v>
      </c>
      <c r="X90" s="313" cm="1">
        <f t="array" aca="1" ref="X90" ca="1">(1 + INDEX($F$76:$AI$78,MATCH($E90,_xlfn.ANCHORARRAY($D$76)),W$81)) * W90</f>
        <v>136.78045435776039</v>
      </c>
      <c r="Y90" s="313" cm="1">
        <f t="array" aca="1" ref="Y90" ca="1">(1 + INDEX($F$76:$AI$78,MATCH($E90,_xlfn.ANCHORARRAY($D$76)),X$81)) * X90</f>
        <v>139.17706895230077</v>
      </c>
      <c r="Z90" s="313" cm="1">
        <f t="array" aca="1" ref="Z90" ca="1">(1 + INDEX($F$76:$AI$78,MATCH($E90,_xlfn.ANCHORARRAY($D$76)),Y$81)) * Y90</f>
        <v>141.35839243839109</v>
      </c>
      <c r="AA90" s="313" cm="1">
        <f t="array" aca="1" ref="AA90" ca="1">(1 + INDEX($F$76:$AI$78,MATCH($E90,_xlfn.ANCHORARRAY($D$76)),Z$81)) * Z90</f>
        <v>143.31373959379093</v>
      </c>
      <c r="AB90" s="313" cm="1">
        <f t="array" aca="1" ref="AB90" ca="1">(1 + INDEX($F$76:$AI$78,MATCH($E90,_xlfn.ANCHORARRAY($D$76)),AA$81)) * AA90</f>
        <v>145.03471130287895</v>
      </c>
      <c r="AC90" s="313" cm="1">
        <f t="array" aca="1" ref="AC90" ca="1">(1 + INDEX($F$76:$AI$78,MATCH($E90,_xlfn.ANCHORARRAY($D$76)),AB$81)) * AB90</f>
        <v>146.5122885709537</v>
      </c>
      <c r="AD90" s="313" cm="1">
        <f t="array" aca="1" ref="AD90" ca="1">(1 + INDEX($F$76:$AI$78,MATCH($E90,_xlfn.ANCHORARRAY($D$76)),AC$81)) * AC90</f>
        <v>147.74058556700257</v>
      </c>
      <c r="AE90" s="313" cm="1">
        <f t="array" aca="1" ref="AE90" ca="1">(1 + INDEX($F$76:$AI$78,MATCH($E90,_xlfn.ANCHORARRAY($D$76)),AD$81)) * AD90</f>
        <v>148.71622580268158</v>
      </c>
      <c r="AF90" s="313" cm="1">
        <f t="array" aca="1" ref="AF90" ca="1">(1 + INDEX($F$76:$AI$78,MATCH($E90,_xlfn.ANCHORARRAY($D$76)),AE$81)) * AE90</f>
        <v>149.43481908309602</v>
      </c>
      <c r="AG90" s="313" cm="1">
        <f t="array" aca="1" ref="AG90" ca="1">(1 + INDEX($F$76:$AI$78,MATCH($E90,_xlfn.ANCHORARRAY($D$76)),AF$81)) * AF90</f>
        <v>149.89245079321032</v>
      </c>
      <c r="AH90" s="313" cm="1">
        <f t="array" aca="1" ref="AH90" ca="1">(1 + INDEX($F$76:$AI$78,MATCH($E90,_xlfn.ANCHORARRAY($D$76)),AG$81)) * AG90</f>
        <v>150.08773641162742</v>
      </c>
      <c r="AI90" s="313" cm="1">
        <f t="array" aca="1" ref="AI90" ca="1">(1 + INDEX($F$76:$AI$78,MATCH($E90,_xlfn.ANCHORARRAY($D$76)),AH$81)) * AH90</f>
        <v>150.02055916318724</v>
      </c>
      <c r="AJ90" s="313" cm="1">
        <f t="array" aca="1" ref="AJ90" ca="1">(1 + INDEX($F$76:$AI$78,MATCH($E90,_xlfn.ANCHORARRAY($D$76)),AI$81)) * AI90</f>
        <v>149.68959740581934</v>
      </c>
      <c r="AK90" s="313" cm="1">
        <f t="array" aca="1" ref="AK90" ca="1">(1 + INDEX($F$76:$AI$78,MATCH($E90,_xlfn.ANCHORARRAY($D$76)),AJ$81)) * AJ90</f>
        <v>149.09418306108111</v>
      </c>
      <c r="AL90" s="313" cm="1">
        <f t="array" aca="1" ref="AL90" ca="1">(1 + INDEX($F$76:$AI$78,MATCH($E90,_xlfn.ANCHORARRAY($D$76)),AK$81)) * AK90</f>
        <v>148.23481222715233</v>
      </c>
    </row>
    <row r="91" spans="2:44">
      <c r="B91" s="97">
        <v>1</v>
      </c>
      <c r="C91" s="204">
        <v>9</v>
      </c>
      <c r="D91" s="89" t="str">
        <v>Veículos Comerciais com 8 Eixos Articulado</v>
      </c>
      <c r="E91" s="89" t="str">
        <v>Pesados II</v>
      </c>
      <c r="F91" s="318" cm="1">
        <f t="array" aca="1" ref="F91" ca="1">INDEX('Painel Controle'!F$110:I$121,Tráfego!C91,Tráfego!B91) / SUM(_xlfn._xlws.FILTER(OFFSET('Painel Controle'!F$110:F$121,,Tráfego!B91-1),'Painel Controle'!D$110:D$121=Tráfego!E91))</f>
        <v>0</v>
      </c>
      <c r="G91" s="356" cm="1">
        <f t="array" aca="1" ref="G91" ca="1">INDEX(C$4:E$7,B91,MATCH(E91,_xlfn.ANCHORARRAY(C$3))) * F91</f>
        <v>0</v>
      </c>
      <c r="H91" s="142" cm="1">
        <f t="array" aca="1" ref="H91" ca="1">INDEX(C$4:E$7,B91,MATCH(E91,_xlfn.ANCHORARRAY(C$3))) * F91 * (1 + INDEX(E$76:E$78,MATCH(E91,_xlfn.ANCHORARRAY(D$76),0)))</f>
        <v>0</v>
      </c>
      <c r="I91" s="313" cm="1">
        <f t="array" aca="1" ref="I91" ca="1">(1 + INDEX($F$76:$AI$78,MATCH($E91,_xlfn.ANCHORARRAY($D$76)),H$81)) * H91</f>
        <v>0</v>
      </c>
      <c r="J91" s="313" cm="1">
        <f t="array" aca="1" ref="J91" ca="1">(1 + INDEX($F$76:$AI$78,MATCH($E91,_xlfn.ANCHORARRAY($D$76)),I$81)) * I91</f>
        <v>0</v>
      </c>
      <c r="K91" s="313" cm="1">
        <f t="array" aca="1" ref="K91" ca="1">(1 + INDEX($F$76:$AI$78,MATCH($E91,_xlfn.ANCHORARRAY($D$76)),J$81)) * J91</f>
        <v>0</v>
      </c>
      <c r="L91" s="313" cm="1">
        <f t="array" aca="1" ref="L91" ca="1">(1 + INDEX($F$76:$AI$78,MATCH($E91,_xlfn.ANCHORARRAY($D$76)),K$81)) * K91</f>
        <v>0</v>
      </c>
      <c r="M91" s="313" cm="1">
        <f t="array" aca="1" ref="M91" ca="1">(1 + INDEX($F$76:$AI$78,MATCH($E91,_xlfn.ANCHORARRAY($D$76)),L$81)) * L91</f>
        <v>0</v>
      </c>
      <c r="N91" s="313" cm="1">
        <f t="array" aca="1" ref="N91" ca="1">(1 + INDEX($F$76:$AI$78,MATCH($E91,_xlfn.ANCHORARRAY($D$76)),M$81)) * M91</f>
        <v>0</v>
      </c>
      <c r="O91" s="313" cm="1">
        <f t="array" aca="1" ref="O91" ca="1">(1 + INDEX($F$76:$AI$78,MATCH($E91,_xlfn.ANCHORARRAY($D$76)),N$81)) * N91</f>
        <v>0</v>
      </c>
      <c r="P91" s="313" cm="1">
        <f t="array" aca="1" ref="P91" ca="1">(1 + INDEX($F$76:$AI$78,MATCH($E91,_xlfn.ANCHORARRAY($D$76)),O$81)) * O91</f>
        <v>0</v>
      </c>
      <c r="Q91" s="313" cm="1">
        <f t="array" aca="1" ref="Q91" ca="1">(1 + INDEX($F$76:$AI$78,MATCH($E91,_xlfn.ANCHORARRAY($D$76)),P$81)) * P91</f>
        <v>0</v>
      </c>
      <c r="R91" s="313" cm="1">
        <f t="array" aca="1" ref="R91" ca="1">(1 + INDEX($F$76:$AI$78,MATCH($E91,_xlfn.ANCHORARRAY($D$76)),Q$81)) * Q91</f>
        <v>0</v>
      </c>
      <c r="S91" s="313" cm="1">
        <f t="array" aca="1" ref="S91" ca="1">(1 + INDEX($F$76:$AI$78,MATCH($E91,_xlfn.ANCHORARRAY($D$76)),R$81)) * R91</f>
        <v>0</v>
      </c>
      <c r="T91" s="313" cm="1">
        <f t="array" aca="1" ref="T91" ca="1">(1 + INDEX($F$76:$AI$78,MATCH($E91,_xlfn.ANCHORARRAY($D$76)),S$81)) * S91</f>
        <v>0</v>
      </c>
      <c r="U91" s="313" cm="1">
        <f t="array" aca="1" ref="U91" ca="1">(1 + INDEX($F$76:$AI$78,MATCH($E91,_xlfn.ANCHORARRAY($D$76)),T$81)) * T91</f>
        <v>0</v>
      </c>
      <c r="V91" s="313" cm="1">
        <f t="array" aca="1" ref="V91" ca="1">(1 + INDEX($F$76:$AI$78,MATCH($E91,_xlfn.ANCHORARRAY($D$76)),U$81)) * U91</f>
        <v>0</v>
      </c>
      <c r="W91" s="313" cm="1">
        <f t="array" aca="1" ref="W91" ca="1">(1 + INDEX($F$76:$AI$78,MATCH($E91,_xlfn.ANCHORARRAY($D$76)),V$81)) * V91</f>
        <v>0</v>
      </c>
      <c r="X91" s="313" cm="1">
        <f t="array" aca="1" ref="X91" ca="1">(1 + INDEX($F$76:$AI$78,MATCH($E91,_xlfn.ANCHORARRAY($D$76)),W$81)) * W91</f>
        <v>0</v>
      </c>
      <c r="Y91" s="313" cm="1">
        <f t="array" aca="1" ref="Y91" ca="1">(1 + INDEX($F$76:$AI$78,MATCH($E91,_xlfn.ANCHORARRAY($D$76)),X$81)) * X91</f>
        <v>0</v>
      </c>
      <c r="Z91" s="313" cm="1">
        <f t="array" aca="1" ref="Z91" ca="1">(1 + INDEX($F$76:$AI$78,MATCH($E91,_xlfn.ANCHORARRAY($D$76)),Y$81)) * Y91</f>
        <v>0</v>
      </c>
      <c r="AA91" s="313" cm="1">
        <f t="array" aca="1" ref="AA91" ca="1">(1 + INDEX($F$76:$AI$78,MATCH($E91,_xlfn.ANCHORARRAY($D$76)),Z$81)) * Z91</f>
        <v>0</v>
      </c>
      <c r="AB91" s="313" cm="1">
        <f t="array" aca="1" ref="AB91" ca="1">(1 + INDEX($F$76:$AI$78,MATCH($E91,_xlfn.ANCHORARRAY($D$76)),AA$81)) * AA91</f>
        <v>0</v>
      </c>
      <c r="AC91" s="313" cm="1">
        <f t="array" aca="1" ref="AC91" ca="1">(1 + INDEX($F$76:$AI$78,MATCH($E91,_xlfn.ANCHORARRAY($D$76)),AB$81)) * AB91</f>
        <v>0</v>
      </c>
      <c r="AD91" s="313" cm="1">
        <f t="array" aca="1" ref="AD91" ca="1">(1 + INDEX($F$76:$AI$78,MATCH($E91,_xlfn.ANCHORARRAY($D$76)),AC$81)) * AC91</f>
        <v>0</v>
      </c>
      <c r="AE91" s="313" cm="1">
        <f t="array" aca="1" ref="AE91" ca="1">(1 + INDEX($F$76:$AI$78,MATCH($E91,_xlfn.ANCHORARRAY($D$76)),AD$81)) * AD91</f>
        <v>0</v>
      </c>
      <c r="AF91" s="313" cm="1">
        <f t="array" aca="1" ref="AF91" ca="1">(1 + INDEX($F$76:$AI$78,MATCH($E91,_xlfn.ANCHORARRAY($D$76)),AE$81)) * AE91</f>
        <v>0</v>
      </c>
      <c r="AG91" s="313" cm="1">
        <f t="array" aca="1" ref="AG91" ca="1">(1 + INDEX($F$76:$AI$78,MATCH($E91,_xlfn.ANCHORARRAY($D$76)),AF$81)) * AF91</f>
        <v>0</v>
      </c>
      <c r="AH91" s="313" cm="1">
        <f t="array" aca="1" ref="AH91" ca="1">(1 + INDEX($F$76:$AI$78,MATCH($E91,_xlfn.ANCHORARRAY($D$76)),AG$81)) * AG91</f>
        <v>0</v>
      </c>
      <c r="AI91" s="313" cm="1">
        <f t="array" aca="1" ref="AI91" ca="1">(1 + INDEX($F$76:$AI$78,MATCH($E91,_xlfn.ANCHORARRAY($D$76)),AH$81)) * AH91</f>
        <v>0</v>
      </c>
      <c r="AJ91" s="313" cm="1">
        <f t="array" aca="1" ref="AJ91" ca="1">(1 + INDEX($F$76:$AI$78,MATCH($E91,_xlfn.ANCHORARRAY($D$76)),AI$81)) * AI91</f>
        <v>0</v>
      </c>
      <c r="AK91" s="313" cm="1">
        <f t="array" aca="1" ref="AK91" ca="1">(1 + INDEX($F$76:$AI$78,MATCH($E91,_xlfn.ANCHORARRAY($D$76)),AJ$81)) * AJ91</f>
        <v>0</v>
      </c>
      <c r="AL91" s="313" cm="1">
        <f t="array" aca="1" ref="AL91" ca="1">(1 + INDEX($F$76:$AI$78,MATCH($E91,_xlfn.ANCHORARRAY($D$76)),AK$81)) * AK91</f>
        <v>0</v>
      </c>
    </row>
    <row r="92" spans="2:44">
      <c r="B92" s="97">
        <v>1</v>
      </c>
      <c r="C92" s="204">
        <v>10</v>
      </c>
      <c r="D92" s="89" t="str">
        <v>Veículos Comerciais com 9 Eixos Articulado</v>
      </c>
      <c r="E92" s="89" t="str">
        <v>Pesados II</v>
      </c>
      <c r="F92" s="318" cm="1">
        <f t="array" aca="1" ref="F92" ca="1">INDEX('Painel Controle'!F$110:I$121,Tráfego!C92,Tráfego!B92) / SUM(_xlfn._xlws.FILTER(OFFSET('Painel Controle'!F$110:F$121,,Tráfego!B92-1),'Painel Controle'!D$110:D$121=Tráfego!E92))</f>
        <v>1.3103448275862069E-2</v>
      </c>
      <c r="G92" s="356" cm="1">
        <f t="array" aca="1" ref="G92" ca="1">INDEX(C$4:E$7,B92,MATCH(E92,_xlfn.ANCHORARRAY(C$3))) * F92</f>
        <v>19.891193559905219</v>
      </c>
      <c r="H92" s="142" cm="1">
        <f t="array" aca="1" ref="H92" ca="1">INDEX(C$4:E$7,B92,MATCH(E92,_xlfn.ANCHORARRAY(C$3))) * F92 * (1 + INDEX(E$76:E$78,MATCH(E92,_xlfn.ANCHORARRAY(D$76),0)))</f>
        <v>20.805912166765907</v>
      </c>
      <c r="I92" s="313" cm="1">
        <f t="array" aca="1" ref="I92" ca="1">(1 + INDEX($F$76:$AI$78,MATCH($E92,_xlfn.ANCHORARRAY($D$76)),H$81)) * H92</f>
        <v>21.602382696701788</v>
      </c>
      <c r="J92" s="313" cm="1">
        <f t="array" aca="1" ref="J92" ca="1">(1 + INDEX($F$76:$AI$78,MATCH($E92,_xlfn.ANCHORARRAY($D$76)),I$81)) * I92</f>
        <v>22.401700248700617</v>
      </c>
      <c r="K92" s="313" cm="1">
        <f t="array" aca="1" ref="K92" ca="1">(1 + INDEX($F$76:$AI$78,MATCH($E92,_xlfn.ANCHORARRAY($D$76)),J$81)) * J92</f>
        <v>23.218576397769144</v>
      </c>
      <c r="L92" s="313" cm="1">
        <f t="array" aca="1" ref="L92" ca="1">(1 + INDEX($F$76:$AI$78,MATCH($E92,_xlfn.ANCHORARRAY($D$76)),K$81)) * K92</f>
        <v>24.057955145374159</v>
      </c>
      <c r="M92" s="313" cm="1">
        <f t="array" aca="1" ref="M92" ca="1">(1 + INDEX($F$76:$AI$78,MATCH($E92,_xlfn.ANCHORARRAY($D$76)),L$81)) * L92</f>
        <v>24.918458956553621</v>
      </c>
      <c r="N92" s="313" cm="1">
        <f t="array" aca="1" ref="N92" ca="1">(1 + INDEX($F$76:$AI$78,MATCH($E92,_xlfn.ANCHORARRAY($D$76)),M$81)) * M92</f>
        <v>25.794067045949561</v>
      </c>
      <c r="O92" s="313" cm="1">
        <f t="array" aca="1" ref="O92" ca="1">(1 + INDEX($F$76:$AI$78,MATCH($E92,_xlfn.ANCHORARRAY($D$76)),N$81)) * N92</f>
        <v>26.675052984826618</v>
      </c>
      <c r="P92" s="313" cm="1">
        <f t="array" aca="1" ref="P92" ca="1">(1 + INDEX($F$76:$AI$78,MATCH($E92,_xlfn.ANCHORARRAY($D$76)),O$81)) * O92</f>
        <v>27.553931969421523</v>
      </c>
      <c r="Q92" s="313" cm="1">
        <f t="array" aca="1" ref="Q92" ca="1">(1 + INDEX($F$76:$AI$78,MATCH($E92,_xlfn.ANCHORARRAY($D$76)),P$81)) * P92</f>
        <v>28.423882346141117</v>
      </c>
      <c r="R92" s="313" cm="1">
        <f t="array" aca="1" ref="R92" ca="1">(1 + INDEX($F$76:$AI$78,MATCH($E92,_xlfn.ANCHORARRAY($D$76)),Q$81)) * Q92</f>
        <v>29.27858897715782</v>
      </c>
      <c r="S92" s="313" cm="1">
        <f t="array" aca="1" ref="S92" ca="1">(1 + INDEX($F$76:$AI$78,MATCH($E92,_xlfn.ANCHORARRAY($D$76)),R$81)) * R92</f>
        <v>30.111362279436392</v>
      </c>
      <c r="T92" s="313" cm="1">
        <f t="array" aca="1" ref="T92" ca="1">(1 + INDEX($F$76:$AI$78,MATCH($E92,_xlfn.ANCHORARRAY($D$76)),S$81)) * S92</f>
        <v>30.915709823071325</v>
      </c>
      <c r="U92" s="313" cm="1">
        <f t="array" aca="1" ref="U92" ca="1">(1 + INDEX($F$76:$AI$78,MATCH($E92,_xlfn.ANCHORARRAY($D$76)),T$81)) * T92</f>
        <v>31.686641169095829</v>
      </c>
      <c r="V92" s="313" cm="1">
        <f t="array" aca="1" ref="V92" ca="1">(1 + INDEX($F$76:$AI$78,MATCH($E92,_xlfn.ANCHORARRAY($D$76)),U$81)) * U92</f>
        <v>32.41935638262062</v>
      </c>
      <c r="W92" s="313" cm="1">
        <f t="array" aca="1" ref="W92" ca="1">(1 + INDEX($F$76:$AI$78,MATCH($E92,_xlfn.ANCHORARRAY($D$76)),V$81)) * V92</f>
        <v>33.108995332033253</v>
      </c>
      <c r="X92" s="313" cm="1">
        <f t="array" aca="1" ref="X92" ca="1">(1 + INDEX($F$76:$AI$78,MATCH($E92,_xlfn.ANCHORARRAY($D$76)),W$81)) * W92</f>
        <v>33.751021205161656</v>
      </c>
      <c r="Y92" s="313" cm="1">
        <f t="array" aca="1" ref="Y92" ca="1">(1 + INDEX($F$76:$AI$78,MATCH($E92,_xlfn.ANCHORARRAY($D$76)),X$81)) * X92</f>
        <v>34.342393637580713</v>
      </c>
      <c r="Z92" s="313" cm="1">
        <f t="array" aca="1" ref="Z92" ca="1">(1 + INDEX($F$76:$AI$78,MATCH($E92,_xlfn.ANCHORARRAY($D$76)),Y$81)) * Y92</f>
        <v>34.880642289992608</v>
      </c>
      <c r="AA92" s="313" cm="1">
        <f t="array" aca="1" ref="AA92" ca="1">(1 + INDEX($F$76:$AI$78,MATCH($E92,_xlfn.ANCHORARRAY($D$76)),Z$81)) * Z92</f>
        <v>35.363130549117237</v>
      </c>
      <c r="AB92" s="313" cm="1">
        <f t="array" aca="1" ref="AB92" ca="1">(1 + INDEX($F$76:$AI$78,MATCH($E92,_xlfn.ANCHORARRAY($D$76)),AA$81)) * AA92</f>
        <v>35.787785905905189</v>
      </c>
      <c r="AC92" s="313" cm="1">
        <f t="array" aca="1" ref="AC92" ca="1">(1 + INDEX($F$76:$AI$78,MATCH($E92,_xlfn.ANCHORARRAY($D$76)),AB$81)) * AB92</f>
        <v>36.152382894131428</v>
      </c>
      <c r="AD92" s="313" cm="1">
        <f t="array" aca="1" ref="AD92" ca="1">(1 + INDEX($F$76:$AI$78,MATCH($E92,_xlfn.ANCHORARRAY($D$76)),AC$81)) * AC92</f>
        <v>36.455469165883748</v>
      </c>
      <c r="AE92" s="313" cm="1">
        <f t="array" aca="1" ref="AE92" ca="1">(1 + INDEX($F$76:$AI$78,MATCH($E92,_xlfn.ANCHORARRAY($D$76)),AD$81)) * AD92</f>
        <v>36.696211561700643</v>
      </c>
      <c r="AF92" s="313" cm="1">
        <f t="array" aca="1" ref="AF92" ca="1">(1 + INDEX($F$76:$AI$78,MATCH($E92,_xlfn.ANCHORARRAY($D$76)),AE$81)) * AE92</f>
        <v>36.873526786737969</v>
      </c>
      <c r="AG92" s="313" cm="1">
        <f t="array" aca="1" ref="AG92" ca="1">(1 + INDEX($F$76:$AI$78,MATCH($E92,_xlfn.ANCHORARRAY($D$76)),AF$81)) * AF92</f>
        <v>36.986448897025909</v>
      </c>
      <c r="AH92" s="313" cm="1">
        <f t="array" aca="1" ref="AH92" ca="1">(1 + INDEX($F$76:$AI$78,MATCH($E92,_xlfn.ANCHORARRAY($D$76)),AG$81)) * AG92</f>
        <v>37.03463625741454</v>
      </c>
      <c r="AI92" s="313" cm="1">
        <f t="array" aca="1" ref="AI92" ca="1">(1 + INDEX($F$76:$AI$78,MATCH($E92,_xlfn.ANCHORARRAY($D$76)),AH$81)) * AH92</f>
        <v>37.018060053253976</v>
      </c>
      <c r="AJ92" s="313" cm="1">
        <f t="array" aca="1" ref="AJ92" ca="1">(1 + INDEX($F$76:$AI$78,MATCH($E92,_xlfn.ANCHORARRAY($D$76)),AI$81)) * AI92</f>
        <v>36.936394165072286</v>
      </c>
      <c r="AK92" s="313" cm="1">
        <f t="array" aca="1" ref="AK92" ca="1">(1 + INDEX($F$76:$AI$78,MATCH($E92,_xlfn.ANCHORARRAY($D$76)),AJ$81)) * AJ92</f>
        <v>36.789473742344676</v>
      </c>
      <c r="AL92" s="313" cm="1">
        <f t="array" aca="1" ref="AL92" ca="1">(1 + INDEX($F$76:$AI$78,MATCH($E92,_xlfn.ANCHORARRAY($D$76)),AK$81)) * AK92</f>
        <v>36.5774211989077</v>
      </c>
    </row>
    <row r="93" spans="2:44">
      <c r="B93" s="97">
        <v>1</v>
      </c>
      <c r="C93" s="204">
        <v>11</v>
      </c>
      <c r="D93" s="89" t="str">
        <v>Motocicleta</v>
      </c>
      <c r="E93" s="89" t="str">
        <v>Leves</v>
      </c>
      <c r="F93" s="318" cm="1">
        <f t="array" aca="1" ref="F93" ca="1">INDEX('Painel Controle'!F$110:I$121,Tráfego!C93,Tráfego!B93) / SUM(_xlfn._xlws.FILTER(OFFSET('Painel Controle'!F$110:F$121,,Tráfego!B93-1),'Painel Controle'!D$110:D$121=Tráfego!E93))</f>
        <v>4.2823866690557259E-2</v>
      </c>
      <c r="G93" s="356" cm="1">
        <f t="array" aca="1" ref="G93" ca="1">INDEX(C$4:E$7,B93,MATCH(E93,_xlfn.ANCHORARRAY(C$3))) * F93</f>
        <v>449.02292301250856</v>
      </c>
      <c r="H93" s="142" cm="1">
        <f t="array" aca="1" ref="H93" ca="1">INDEX(C$4:E$7,B93,MATCH(E93,_xlfn.ANCHORARRAY(C$3))) * F93 * (1 + INDEX(E$76:E$78,MATCH(E93,_xlfn.ANCHORARRAY(D$76),0)))</f>
        <v>472.37945645832053</v>
      </c>
      <c r="I93" s="313" cm="1">
        <f t="array" aca="1" ref="I93" ca="1">(1 + INDEX($F$76:$AI$78,MATCH($E93,_xlfn.ANCHORARRAY($D$76)),H$81)) * H93</f>
        <v>492.42467708830833</v>
      </c>
      <c r="J93" s="313" cm="1">
        <f t="array" aca="1" ref="J93" ca="1">(1 + INDEX($F$76:$AI$78,MATCH($E93,_xlfn.ANCHORARRAY($D$76)),I$81)) * I93</f>
        <v>512.79237683773636</v>
      </c>
      <c r="K93" s="313" cm="1">
        <f t="array" aca="1" ref="K93" ca="1">(1 + INDEX($F$76:$AI$78,MATCH($E93,_xlfn.ANCHORARRAY($D$76)),J$81)) * J93</f>
        <v>533.96100901395937</v>
      </c>
      <c r="L93" s="313" cm="1">
        <f t="array" aca="1" ref="L93" ca="1">(1 + INDEX($F$76:$AI$78,MATCH($E93,_xlfn.ANCHORARRAY($D$76)),K$81)) * K93</f>
        <v>556.11940016733115</v>
      </c>
      <c r="M93" s="313" cm="1">
        <f t="array" aca="1" ref="M93" ca="1">(1 + INDEX($F$76:$AI$78,MATCH($E93,_xlfn.ANCHORARRAY($D$76)),L$81)) * L93</f>
        <v>579.26555782639934</v>
      </c>
      <c r="N93" s="313" cm="1">
        <f t="array" aca="1" ref="N93" ca="1">(1 + INDEX($F$76:$AI$78,MATCH($E93,_xlfn.ANCHORARRAY($D$76)),M$81)) * M93</f>
        <v>603.26101945331459</v>
      </c>
      <c r="O93" s="313" cm="1">
        <f t="array" aca="1" ref="O93" ca="1">(1 + INDEX($F$76:$AI$78,MATCH($E93,_xlfn.ANCHORARRAY($D$76)),N$81)) * N93</f>
        <v>627.85225860662274</v>
      </c>
      <c r="P93" s="313" cm="1">
        <f t="array" aca="1" ref="P93" ca="1">(1 + INDEX($F$76:$AI$78,MATCH($E93,_xlfn.ANCHORARRAY($D$76)),O$81)) * O93</f>
        <v>652.84172599509247</v>
      </c>
      <c r="Q93" s="313" cm="1">
        <f t="array" aca="1" ref="Q93" ca="1">(1 + INDEX($F$76:$AI$78,MATCH($E93,_xlfn.ANCHORARRAY($D$76)),P$81)) * P93</f>
        <v>678.04774908191428</v>
      </c>
      <c r="R93" s="313" cm="1">
        <f t="array" aca="1" ref="R93" ca="1">(1 + INDEX($F$76:$AI$78,MATCH($E93,_xlfn.ANCHORARRAY($D$76)),Q$81)) * Q93</f>
        <v>703.2979378512166</v>
      </c>
      <c r="S93" s="313" cm="1">
        <f t="array" aca="1" ref="S93" ca="1">(1 + INDEX($F$76:$AI$78,MATCH($E93,_xlfn.ANCHORARRAY($D$76)),R$81)) * R93</f>
        <v>728.40656617240063</v>
      </c>
      <c r="T93" s="313" cm="1">
        <f t="array" aca="1" ref="T93" ca="1">(1 + INDEX($F$76:$AI$78,MATCH($E93,_xlfn.ANCHORARRAY($D$76)),S$81)) * S93</f>
        <v>753.18913385893018</v>
      </c>
      <c r="U93" s="313" cm="1">
        <f t="array" aca="1" ref="U93" ca="1">(1 + INDEX($F$76:$AI$78,MATCH($E93,_xlfn.ANCHORARRAY($D$76)),T$81)) * T93</f>
        <v>777.49595254222243</v>
      </c>
      <c r="V93" s="313" cm="1">
        <f t="array" aca="1" ref="V93" ca="1">(1 + INDEX($F$76:$AI$78,MATCH($E93,_xlfn.ANCHORARRAY($D$76)),U$81)) * U93</f>
        <v>801.17793254180231</v>
      </c>
      <c r="W93" s="313" cm="1">
        <f t="array" aca="1" ref="W93" ca="1">(1 + INDEX($F$76:$AI$78,MATCH($E93,_xlfn.ANCHORARRAY($D$76)),V$81)) * V93</f>
        <v>824.07936511469609</v>
      </c>
      <c r="X93" s="313" cm="1">
        <f t="array" aca="1" ref="X93" ca="1">(1 + INDEX($F$76:$AI$78,MATCH($E93,_xlfn.ANCHORARRAY($D$76)),W$81)) * W93</f>
        <v>846.05004287406337</v>
      </c>
      <c r="Y93" s="313" cm="1">
        <f t="array" aca="1" ref="Y93" ca="1">(1 + INDEX($F$76:$AI$78,MATCH($E93,_xlfn.ANCHORARRAY($D$76)),X$81)) * X93</f>
        <v>866.97688106408566</v>
      </c>
      <c r="Z93" s="313" cm="1">
        <f t="array" aca="1" ref="Z93" ca="1">(1 + INDEX($F$76:$AI$78,MATCH($E93,_xlfn.ANCHORARRAY($D$76)),Y$81)) * Y93</f>
        <v>886.76141185336871</v>
      </c>
      <c r="AA93" s="313" cm="1">
        <f t="array" aca="1" ref="AA93" ca="1">(1 + INDEX($F$76:$AI$78,MATCH($E93,_xlfn.ANCHORARRAY($D$76)),Z$81)) * Z93</f>
        <v>905.29992865261306</v>
      </c>
      <c r="AB93" s="313" cm="1">
        <f t="array" aca="1" ref="AB93" ca="1">(1 + INDEX($F$76:$AI$78,MATCH($E93,_xlfn.ANCHORARRAY($D$76)),AA$81)) * AA93</f>
        <v>922.50180371454053</v>
      </c>
      <c r="AC93" s="313" cm="1">
        <f t="array" aca="1" ref="AC93" ca="1">(1 + INDEX($F$76:$AI$78,MATCH($E93,_xlfn.ANCHORARRAY($D$76)),AB$81)) * AB93</f>
        <v>938.27220780058792</v>
      </c>
      <c r="AD93" s="313" cm="1">
        <f t="array" aca="1" ref="AD93" ca="1">(1 + INDEX($F$76:$AI$78,MATCH($E93,_xlfn.ANCHORARRAY($D$76)),AC$81)) * AC93</f>
        <v>952.53639743055351</v>
      </c>
      <c r="AE93" s="313" cm="1">
        <f t="array" aca="1" ref="AE93" ca="1">(1 + INDEX($F$76:$AI$78,MATCH($E93,_xlfn.ANCHORARRAY($D$76)),AD$81)) * AD93</f>
        <v>965.23645856726739</v>
      </c>
      <c r="AF93" s="313" cm="1">
        <f t="array" aca="1" ref="AF93" ca="1">(1 + INDEX($F$76:$AI$78,MATCH($E93,_xlfn.ANCHORARRAY($D$76)),AE$81)) * AE93</f>
        <v>976.30881843611439</v>
      </c>
      <c r="AG93" s="313" cm="1">
        <f t="array" aca="1" ref="AG93" ca="1">(1 + INDEX($F$76:$AI$78,MATCH($E93,_xlfn.ANCHORARRAY($D$76)),AF$81)) * AF93</f>
        <v>985.69311446578104</v>
      </c>
      <c r="AH93" s="313" cm="1">
        <f t="array" aca="1" ref="AH93" ca="1">(1 + INDEX($F$76:$AI$78,MATCH($E93,_xlfn.ANCHORARRAY($D$76)),AG$81)) * AG93</f>
        <v>993.34559674090895</v>
      </c>
      <c r="AI93" s="313" cm="1">
        <f t="array" aca="1" ref="AI93" ca="1">(1 + INDEX($F$76:$AI$78,MATCH($E93,_xlfn.ANCHORARRAY($D$76)),AH$81)) * AH93</f>
        <v>999.23028052111886</v>
      </c>
      <c r="AJ93" s="313" cm="1">
        <f t="array" aca="1" ref="AJ93" ca="1">(1 + INDEX($F$76:$AI$78,MATCH($E93,_xlfn.ANCHORARRAY($D$76)),AI$81)) * AI93</f>
        <v>1003.3027431607511</v>
      </c>
      <c r="AK93" s="313" cm="1">
        <f t="array" aca="1" ref="AK93" ca="1">(1 + INDEX($F$76:$AI$78,MATCH($E93,_xlfn.ANCHORARRAY($D$76)),AJ$81)) * AJ93</f>
        <v>1005.5230558867511</v>
      </c>
      <c r="AL93" s="313" cm="1">
        <f t="array" aca="1" ref="AL93" ca="1">(1 + INDEX($F$76:$AI$78,MATCH($E93,_xlfn.ANCHORARRAY($D$76)),AK$81)) * AK93</f>
        <v>1005.8598618383262</v>
      </c>
    </row>
    <row r="94" spans="2:44">
      <c r="B94" s="97">
        <v>1</v>
      </c>
      <c r="C94" s="204">
        <v>12</v>
      </c>
      <c r="D94" s="89" t="str">
        <v xml:space="preserve">Veículos do transporte público coletivo intermunicipal e metropolitano </v>
      </c>
      <c r="E94" s="89" t="str">
        <v>Pesados I</v>
      </c>
      <c r="F94" s="318" cm="1">
        <f t="array" aca="1" ref="F94" ca="1">INDEX('Painel Controle'!F$110:I$121,Tráfego!C94,Tráfego!B94) / SUM(_xlfn._xlws.FILTER(OFFSET('Painel Controle'!F$110:F$121,,Tráfego!B94-1),'Painel Controle'!D$110:D$121=Tráfego!E94))</f>
        <v>2.1061951455266896E-2</v>
      </c>
      <c r="G94" s="356" cm="1">
        <f t="array" aca="1" ref="G94" ca="1">INDEX(C$4:E$7,B94,MATCH(E94,_xlfn.ANCHORARRAY(C$3))) * F94</f>
        <v>41.630136986301359</v>
      </c>
      <c r="H94" s="142" cm="1">
        <f t="array" aca="1" ref="H94" ca="1">INDEX(C$4:E$7,B94,MATCH(E94,_xlfn.ANCHORARRAY(C$3))) * F94 * (1 + INDEX(E$76:E$78,MATCH(E94,_xlfn.ANCHORARRAY(D$76),0)))</f>
        <v>42.883971369645984</v>
      </c>
      <c r="I94" s="313" cm="1">
        <f t="array" aca="1" ref="I94" ca="1">(1 + INDEX($F$76:$AI$78,MATCH($E94,_xlfn.ANCHORARRAY($D$76)),H$81)) * H94</f>
        <v>43.993540505115178</v>
      </c>
      <c r="J94" s="313" cm="1">
        <f t="array" aca="1" ref="J94" ca="1">(1 + INDEX($F$76:$AI$78,MATCH($E94,_xlfn.ANCHORARRAY($D$76)),I$81)) * I94</f>
        <v>45.080007776719938</v>
      </c>
      <c r="K94" s="313" cm="1">
        <f t="array" aca="1" ref="K94" ca="1">(1 + INDEX($F$76:$AI$78,MATCH($E94,_xlfn.ANCHORARRAY($D$76)),J$81)) * J94</f>
        <v>46.155908887223504</v>
      </c>
      <c r="L94" s="313" cm="1">
        <f t="array" aca="1" ref="L94" ca="1">(1 + INDEX($F$76:$AI$78,MATCH($E94,_xlfn.ANCHORARRAY($D$76)),K$81)) * K94</f>
        <v>47.22399399399935</v>
      </c>
      <c r="M94" s="313" cm="1">
        <f t="array" aca="1" ref="M94" ca="1">(1 + INDEX($F$76:$AI$78,MATCH($E94,_xlfn.ANCHORARRAY($D$76)),L$81)) * L94</f>
        <v>48.281075155071434</v>
      </c>
      <c r="N94" s="313" cm="1">
        <f t="array" aca="1" ref="N94" ca="1">(1 + INDEX($F$76:$AI$78,MATCH($E94,_xlfn.ANCHORARRAY($D$76)),M$81)) * M94</f>
        <v>49.319369445609219</v>
      </c>
      <c r="O94" s="313" cm="1">
        <f t="array" aca="1" ref="O94" ca="1">(1 + INDEX($F$76:$AI$78,MATCH($E94,_xlfn.ANCHORARRAY($D$76)),N$81)) * N94</f>
        <v>50.327906195948692</v>
      </c>
      <c r="P94" s="313" cm="1">
        <f t="array" aca="1" ref="P94" ca="1">(1 + INDEX($F$76:$AI$78,MATCH($E94,_xlfn.ANCHORARRAY($D$76)),O$81)) * O94</f>
        <v>51.298870781292379</v>
      </c>
      <c r="Q94" s="313" cm="1">
        <f t="array" aca="1" ref="Q94" ca="1">(1 + INDEX($F$76:$AI$78,MATCH($E94,_xlfn.ANCHORARRAY($D$76)),P$81)) * P94</f>
        <v>52.225427793623417</v>
      </c>
      <c r="R94" s="313" cm="1">
        <f t="array" aca="1" ref="R94" ca="1">(1 + INDEX($F$76:$AI$78,MATCH($E94,_xlfn.ANCHORARRAY($D$76)),Q$81)) * Q94</f>
        <v>53.101658922335723</v>
      </c>
      <c r="S94" s="313" cm="1">
        <f t="array" aca="1" ref="S94" ca="1">(1 + INDEX($F$76:$AI$78,MATCH($E94,_xlfn.ANCHORARRAY($D$76)),R$81)) * R94</f>
        <v>53.921378607493104</v>
      </c>
      <c r="T94" s="313" cm="1">
        <f t="array" aca="1" ref="T94" ca="1">(1 + INDEX($F$76:$AI$78,MATCH($E94,_xlfn.ANCHORARRAY($D$76)),S$81)) * S94</f>
        <v>54.678854787586914</v>
      </c>
      <c r="U94" s="313" cm="1">
        <f t="array" aca="1" ref="U94" ca="1">(1 + INDEX($F$76:$AI$78,MATCH($E94,_xlfn.ANCHORARRAY($D$76)),T$81)) * T94</f>
        <v>55.370447952269174</v>
      </c>
      <c r="V94" s="313" cm="1">
        <f t="array" aca="1" ref="V94" ca="1">(1 + INDEX($F$76:$AI$78,MATCH($E94,_xlfn.ANCHORARRAY($D$76)),U$81)) * U94</f>
        <v>55.992916524145514</v>
      </c>
      <c r="W94" s="313" cm="1">
        <f t="array" aca="1" ref="W94" ca="1">(1 + INDEX($F$76:$AI$78,MATCH($E94,_xlfn.ANCHORARRAY($D$76)),V$81)) * V94</f>
        <v>56.543121088261927</v>
      </c>
      <c r="X94" s="313" cm="1">
        <f t="array" aca="1" ref="X94" ca="1">(1 + INDEX($F$76:$AI$78,MATCH($E94,_xlfn.ANCHORARRAY($D$76)),W$81)) * W94</f>
        <v>57.018348914285681</v>
      </c>
      <c r="Y94" s="313" cm="1">
        <f t="array" aca="1" ref="Y94" ca="1">(1 + INDEX($F$76:$AI$78,MATCH($E94,_xlfn.ANCHORARRAY($D$76)),X$81)) * X94</f>
        <v>57.417704438674527</v>
      </c>
      <c r="Z94" s="313" cm="1">
        <f t="array" aca="1" ref="Z94" ca="1">(1 + INDEX($F$76:$AI$78,MATCH($E94,_xlfn.ANCHORARRAY($D$76)),Y$81)) * Y94</f>
        <v>57.740838529122051</v>
      </c>
      <c r="AA94" s="313" cm="1">
        <f t="array" aca="1" ref="AA94" ca="1">(1 + INDEX($F$76:$AI$78,MATCH($E94,_xlfn.ANCHORARRAY($D$76)),Z$81)) * Z94</f>
        <v>57.987073371940333</v>
      </c>
      <c r="AB94" s="313" cm="1">
        <f t="array" aca="1" ref="AB94" ca="1">(1 + INDEX($F$76:$AI$78,MATCH($E94,_xlfn.ANCHORARRAY($D$76)),AA$81)) * AA94</f>
        <v>58.156361304578546</v>
      </c>
      <c r="AC94" s="313" cm="1">
        <f t="array" aca="1" ref="AC94" ca="1">(1 + INDEX($F$76:$AI$78,MATCH($E94,_xlfn.ANCHORARRAY($D$76)),AB$81)) * AB94</f>
        <v>58.248307544950649</v>
      </c>
      <c r="AD94" s="313" cm="1">
        <f t="array" aca="1" ref="AD94" ca="1">(1 + INDEX($F$76:$AI$78,MATCH($E94,_xlfn.ANCHORARRAY($D$76)),AC$81)) * AC94</f>
        <v>58.263323702311538</v>
      </c>
      <c r="AE94" s="313" cm="1">
        <f t="array" aca="1" ref="AE94" ca="1">(1 + INDEX($F$76:$AI$78,MATCH($E94,_xlfn.ANCHORARRAY($D$76)),AD$81)) * AD94</f>
        <v>58.202399351137387</v>
      </c>
      <c r="AF94" s="313" cm="1">
        <f t="array" aca="1" ref="AF94" ca="1">(1 + INDEX($F$76:$AI$78,MATCH($E94,_xlfn.ANCHORARRAY($D$76)),AE$81)) * AE94</f>
        <v>58.066017681093044</v>
      </c>
      <c r="AG94" s="313" cm="1">
        <f t="array" aca="1" ref="AG94" ca="1">(1 + INDEX($F$76:$AI$78,MATCH($E94,_xlfn.ANCHORARRAY($D$76)),AF$81)) * AF94</f>
        <v>57.854661352954203</v>
      </c>
      <c r="AH94" s="313" cm="1">
        <f t="array" aca="1" ref="AH94" ca="1">(1 + INDEX($F$76:$AI$78,MATCH($E94,_xlfn.ANCHORARRAY($D$76)),AG$81)) * AG94</f>
        <v>57.569441250137885</v>
      </c>
      <c r="AI94" s="313" cm="1">
        <f t="array" aca="1" ref="AI94" ca="1">(1 + INDEX($F$76:$AI$78,MATCH($E94,_xlfn.ANCHORARRAY($D$76)),AH$81)) * AH94</f>
        <v>57.211753748749402</v>
      </c>
      <c r="AJ94" s="313" cm="1">
        <f t="array" aca="1" ref="AJ94" ca="1">(1 + INDEX($F$76:$AI$78,MATCH($E94,_xlfn.ANCHORARRAY($D$76)),AI$81)) * AI94</f>
        <v>56.782536555220176</v>
      </c>
      <c r="AK94" s="313" cm="1">
        <f t="array" aca="1" ref="AK94" ca="1">(1 + INDEX($F$76:$AI$78,MATCH($E94,_xlfn.ANCHORARRAY($D$76)),AJ$81)) * AJ94</f>
        <v>56.282792339815934</v>
      </c>
      <c r="AL94" s="313" cm="1">
        <f t="array" aca="1" ref="AL94" ca="1">(1 + INDEX($F$76:$AI$78,MATCH($E94,_xlfn.ANCHORARRAY($D$76)),AK$81)) * AK94</f>
        <v>55.713711324886653</v>
      </c>
    </row>
    <row r="95" spans="2:44">
      <c r="B95" s="97" cm="1">
        <f t="array" ref="B95:B106">_xlfn.ANCHORARRAY(B83) + 1</f>
        <v>2</v>
      </c>
      <c r="C95" s="204" cm="1">
        <f t="array" ref="C95:C106">'Painel Controle'!B$110:B$121</f>
        <v>1</v>
      </c>
      <c r="D95" s="89" t="str" cm="1">
        <f t="array" ref="D95:D106">'Painel Controle'!C$110:C$121</f>
        <v>Automóvel</v>
      </c>
      <c r="E95" s="89" t="str" cm="1">
        <f t="array" ref="E95:E106">'Painel Controle'!D$110:D$121</f>
        <v>Leves</v>
      </c>
      <c r="F95" s="318" cm="1">
        <f t="array" aca="1" ref="F95" ca="1">INDEX('Painel Controle'!F$110:I$121,Tráfego!C95,Tráfego!B95) / SUM(_xlfn._xlws.FILTER(OFFSET('Painel Controle'!F$110:F$121,,Tráfego!B95-1),'Painel Controle'!D$110:D$121=Tráfego!E95))</f>
        <v>0.92424242424242431</v>
      </c>
      <c r="G95" s="356" cm="1">
        <f t="array" aca="1" ref="G95" ca="1">INDEX(C$4:E$7,B95,MATCH(E95,_xlfn.ANCHORARRAY(C$3))) * F95</f>
        <v>10543.584284293713</v>
      </c>
      <c r="H95" s="142" cm="1">
        <f t="array" aca="1" ref="H95" ca="1">INDEX(C$4:E$7,B95,MATCH(E95,_xlfn.ANCHORARRAY(C$3))) * F95 * (1 + INDEX(E$76:E$78,MATCH(E95,_xlfn.ANCHORARRAY(D$76),0)))</f>
        <v>11092.02305290416</v>
      </c>
      <c r="I95" s="313" cm="1">
        <f t="array" aca="1" ref="I95" ca="1">(1 + INDEX($F$76:$AI$78,MATCH($E95,_xlfn.ANCHORARRAY($D$76)),H$81)) * H95</f>
        <v>11562.70831723676</v>
      </c>
      <c r="J95" s="313" cm="1">
        <f t="array" aca="1" ref="J95" ca="1">(1 + INDEX($F$76:$AI$78,MATCH($E95,_xlfn.ANCHORARRAY($D$76)),I$81)) * I95</f>
        <v>12040.965769093622</v>
      </c>
      <c r="K95" s="313" cm="1">
        <f t="array" aca="1" ref="K95" ca="1">(1 + INDEX($F$76:$AI$78,MATCH($E95,_xlfn.ANCHORARRAY($D$76)),J$81)) * J95</f>
        <v>12538.030052662507</v>
      </c>
      <c r="L95" s="313" cm="1">
        <f t="array" aca="1" ref="L95" ca="1">(1 + INDEX($F$76:$AI$78,MATCH($E95,_xlfn.ANCHORARRAY($D$76)),K$81)) * K95</f>
        <v>13058.335036565111</v>
      </c>
      <c r="M95" s="313" cm="1">
        <f t="array" aca="1" ref="M95" ca="1">(1 + INDEX($F$76:$AI$78,MATCH($E95,_xlfn.ANCHORARRAY($D$76)),L$81)) * L95</f>
        <v>13601.833935237457</v>
      </c>
      <c r="N95" s="313" cm="1">
        <f t="array" aca="1" ref="N95" ca="1">(1 + INDEX($F$76:$AI$78,MATCH($E95,_xlfn.ANCHORARRAY($D$76)),M$81)) * M95</f>
        <v>14165.275486075316</v>
      </c>
      <c r="O95" s="313" cm="1">
        <f t="array" aca="1" ref="O95" ca="1">(1 + INDEX($F$76:$AI$78,MATCH($E95,_xlfn.ANCHORARRAY($D$76)),N$81)) * N95</f>
        <v>14742.706591214919</v>
      </c>
      <c r="P95" s="313" cm="1">
        <f t="array" aca="1" ref="P95" ca="1">(1 + INDEX($F$76:$AI$78,MATCH($E95,_xlfn.ANCHORARRAY($D$76)),O$81)) * O95</f>
        <v>15329.488561859658</v>
      </c>
      <c r="Q95" s="313" cm="1">
        <f t="array" aca="1" ref="Q95" ca="1">(1 + INDEX($F$76:$AI$78,MATCH($E95,_xlfn.ANCHORARRAY($D$76)),P$81)) * P95</f>
        <v>15921.355514007122</v>
      </c>
      <c r="R95" s="313" cm="1">
        <f t="array" aca="1" ref="R95" ca="1">(1 + INDEX($F$76:$AI$78,MATCH($E95,_xlfn.ANCHORARRAY($D$76)),Q$81)) * Q95</f>
        <v>16514.259528121453</v>
      </c>
      <c r="S95" s="313" cm="1">
        <f t="array" aca="1" ref="S95" ca="1">(1 + INDEX($F$76:$AI$78,MATCH($E95,_xlfn.ANCHORARRAY($D$76)),R$81)) * R95</f>
        <v>17103.839537069085</v>
      </c>
      <c r="T95" s="313" cm="1">
        <f t="array" aca="1" ref="T95" ca="1">(1 + INDEX($F$76:$AI$78,MATCH($E95,_xlfn.ANCHORARRAY($D$76)),S$81)) * S95</f>
        <v>17685.763260319309</v>
      </c>
      <c r="U95" s="313" cm="1">
        <f t="array" aca="1" ref="U95" ca="1">(1 + INDEX($F$76:$AI$78,MATCH($E95,_xlfn.ANCHORARRAY($D$76)),T$81)) * T95</f>
        <v>18256.515839610674</v>
      </c>
      <c r="V95" s="313" cm="1">
        <f t="array" aca="1" ref="V95" ca="1">(1 + INDEX($F$76:$AI$78,MATCH($E95,_xlfn.ANCHORARRAY($D$76)),U$81)) * U95</f>
        <v>18812.596474579888</v>
      </c>
      <c r="W95" s="313" cm="1">
        <f t="array" aca="1" ref="W95" ca="1">(1 + INDEX($F$76:$AI$78,MATCH($E95,_xlfn.ANCHORARRAY($D$76)),V$81)) * V95</f>
        <v>19350.348941521646</v>
      </c>
      <c r="X95" s="313" cm="1">
        <f t="array" aca="1" ref="X95" ca="1">(1 + INDEX($F$76:$AI$78,MATCH($E95,_xlfn.ANCHORARRAY($D$76)),W$81)) * W95</f>
        <v>19866.246195017753</v>
      </c>
      <c r="Y95" s="313" cm="1">
        <f t="array" aca="1" ref="Y95" ca="1">(1 + INDEX($F$76:$AI$78,MATCH($E95,_xlfn.ANCHORARRAY($D$76)),X$81)) * X95</f>
        <v>20357.632872517355</v>
      </c>
      <c r="Z95" s="313" cm="1">
        <f t="array" aca="1" ref="Z95" ca="1">(1 + INDEX($F$76:$AI$78,MATCH($E95,_xlfn.ANCHORARRAY($D$76)),Y$81)) * Y95</f>
        <v>20822.196833979517</v>
      </c>
      <c r="AA95" s="313" cm="1">
        <f t="array" aca="1" ref="AA95" ca="1">(1 + INDEX($F$76:$AI$78,MATCH($E95,_xlfn.ANCHORARRAY($D$76)),Z$81)) * Z95</f>
        <v>21257.502927190224</v>
      </c>
      <c r="AB95" s="313" cm="1">
        <f t="array" aca="1" ref="AB95" ca="1">(1 + INDEX($F$76:$AI$78,MATCH($E95,_xlfn.ANCHORARRAY($D$76)),AA$81)) * AA95</f>
        <v>21661.423106468621</v>
      </c>
      <c r="AC95" s="313" cm="1">
        <f t="array" aca="1" ref="AC95" ca="1">(1 + INDEX($F$76:$AI$78,MATCH($E95,_xlfn.ANCHORARRAY($D$76)),AB$81)) * AB95</f>
        <v>22031.730670196226</v>
      </c>
      <c r="AD95" s="313" cm="1">
        <f t="array" aca="1" ref="AD95" ca="1">(1 + INDEX($F$76:$AI$78,MATCH($E95,_xlfn.ANCHORARRAY($D$76)),AC$81)) * AC95</f>
        <v>22366.670553892323</v>
      </c>
      <c r="AE95" s="313" cm="1">
        <f t="array" aca="1" ref="AE95" ca="1">(1 + INDEX($F$76:$AI$78,MATCH($E95,_xlfn.ANCHORARRAY($D$76)),AD$81)) * AD95</f>
        <v>22664.882868115077</v>
      </c>
      <c r="AF95" s="313" cm="1">
        <f t="array" aca="1" ref="AF95" ca="1">(1 + INDEX($F$76:$AI$78,MATCH($E95,_xlfn.ANCHORARRAY($D$76)),AE$81)) * AE95</f>
        <v>22924.874849637959</v>
      </c>
      <c r="AG95" s="313" cm="1">
        <f t="array" aca="1" ref="AG95" ca="1">(1 + INDEX($F$76:$AI$78,MATCH($E95,_xlfn.ANCHORARRAY($D$76)),AF$81)) * AF95</f>
        <v>23145.229114568876</v>
      </c>
      <c r="AH95" s="313" cm="1">
        <f t="array" aca="1" ref="AH95" ca="1">(1 + INDEX($F$76:$AI$78,MATCH($E95,_xlfn.ANCHORARRAY($D$76)),AG$81)) * AG95</f>
        <v>23324.918363640081</v>
      </c>
      <c r="AI95" s="313" cm="1">
        <f t="array" aca="1" ref="AI95" ca="1">(1 + INDEX($F$76:$AI$78,MATCH($E95,_xlfn.ANCHORARRAY($D$76)),AH$81)) * AH95</f>
        <v>23463.097632989611</v>
      </c>
      <c r="AJ95" s="313" cm="1">
        <f t="array" aca="1" ref="AJ95" ca="1">(1 + INDEX($F$76:$AI$78,MATCH($E95,_xlfn.ANCHORARRAY($D$76)),AI$81)) * AI95</f>
        <v>23558.723826854111</v>
      </c>
      <c r="AK95" s="313" cm="1">
        <f t="array" aca="1" ref="AK95" ca="1">(1 + INDEX($F$76:$AI$78,MATCH($E95,_xlfn.ANCHORARRAY($D$76)),AJ$81)) * AJ95</f>
        <v>23610.859370863785</v>
      </c>
      <c r="AL95" s="313" cm="1">
        <f t="array" aca="1" ref="AL95" ca="1">(1 + INDEX($F$76:$AI$78,MATCH($E95,_xlfn.ANCHORARRAY($D$76)),AK$81)) * AK95</f>
        <v>23618.767969191147</v>
      </c>
    </row>
    <row r="96" spans="2:44">
      <c r="B96" s="97">
        <v>2</v>
      </c>
      <c r="C96" s="204">
        <v>2</v>
      </c>
      <c r="D96" s="89" t="str">
        <v xml:space="preserve">Automóvel com reboque </v>
      </c>
      <c r="E96" s="89" t="str">
        <v>Leves</v>
      </c>
      <c r="F96" s="318" cm="1">
        <f t="array" aca="1" ref="F96" ca="1">INDEX('Painel Controle'!F$110:I$121,Tráfego!C96,Tráfego!B96) / SUM(_xlfn._xlws.FILTER(OFFSET('Painel Controle'!F$110:F$121,,Tráfego!B96-1),'Painel Controle'!D$110:D$121=Tráfego!E96))</f>
        <v>3.129117259552042E-3</v>
      </c>
      <c r="G96" s="356" cm="1">
        <f t="array" aca="1" ref="G96" ca="1">INDEX(C$4:E$7,B96,MATCH(E96,_xlfn.ANCHORARRAY(C$3))) * F96</f>
        <v>35.696383000994388</v>
      </c>
      <c r="H96" s="142" cm="1">
        <f t="array" aca="1" ref="H96" ca="1">INDEX(C$4:E$7,B96,MATCH(E96,_xlfn.ANCHORARRAY(C$3))) * F96 * (1 + INDEX(E$76:E$78,MATCH(E96,_xlfn.ANCHORARRAY(D$76),0)))</f>
        <v>37.553178546895758</v>
      </c>
      <c r="I96" s="313" cm="1">
        <f t="array" aca="1" ref="I96" ca="1">(1 + INDEX($F$76:$AI$78,MATCH($E96,_xlfn.ANCHORARRAY($D$76)),H$81)) * H96</f>
        <v>39.146731651371773</v>
      </c>
      <c r="J96" s="313" cm="1">
        <f t="array" aca="1" ref="J96" ca="1">(1 + INDEX($F$76:$AI$78,MATCH($E96,_xlfn.ANCHORARRAY($D$76)),I$81)) * I96</f>
        <v>40.765921171200773</v>
      </c>
      <c r="K96" s="313" cm="1">
        <f t="array" aca="1" ref="K96" ca="1">(1 + INDEX($F$76:$AI$78,MATCH($E96,_xlfn.ANCHORARRAY($D$76)),J$81)) * J96</f>
        <v>42.448783143369127</v>
      </c>
      <c r="L96" s="313" cm="1">
        <f t="array" aca="1" ref="L96" ca="1">(1 + INDEX($F$76:$AI$78,MATCH($E96,_xlfn.ANCHORARRAY($D$76)),K$81)) * K96</f>
        <v>44.210328883595338</v>
      </c>
      <c r="M96" s="313" cm="1">
        <f t="array" aca="1" ref="M96" ca="1">(1 + INDEX($F$76:$AI$78,MATCH($E96,_xlfn.ANCHORARRAY($D$76)),L$81)) * L96</f>
        <v>46.050399994567286</v>
      </c>
      <c r="N96" s="313" cm="1">
        <f t="array" aca="1" ref="N96" ca="1">(1 + INDEX($F$76:$AI$78,MATCH($E96,_xlfn.ANCHORARRAY($D$76)),M$81)) * M96</f>
        <v>47.957988994196526</v>
      </c>
      <c r="O96" s="313" cm="1">
        <f t="array" aca="1" ref="O96" ca="1">(1 + INDEX($F$76:$AI$78,MATCH($E96,_xlfn.ANCHORARRAY($D$76)),N$81)) * N96</f>
        <v>49.912941060777506</v>
      </c>
      <c r="P96" s="313" cm="1">
        <f t="array" aca="1" ref="P96" ca="1">(1 + INDEX($F$76:$AI$78,MATCH($E96,_xlfn.ANCHORARRAY($D$76)),O$81)) * O96</f>
        <v>51.899551438940378</v>
      </c>
      <c r="Q96" s="313" cm="1">
        <f t="array" aca="1" ref="Q96" ca="1">(1 + INDEX($F$76:$AI$78,MATCH($E96,_xlfn.ANCHORARRAY($D$76)),P$81)) * P96</f>
        <v>53.903377542076839</v>
      </c>
      <c r="R96" s="313" cm="1">
        <f t="array" aca="1" ref="R96" ca="1">(1 + INDEX($F$76:$AI$78,MATCH($E96,_xlfn.ANCHORARRAY($D$76)),Q$81)) * Q96</f>
        <v>55.910714724573673</v>
      </c>
      <c r="S96" s="313" cm="1">
        <f t="array" aca="1" ref="S96" ca="1">(1 + INDEX($F$76:$AI$78,MATCH($E96,_xlfn.ANCHORARRAY($D$76)),R$81)) * R96</f>
        <v>57.906798147596668</v>
      </c>
      <c r="T96" s="313" cm="1">
        <f t="array" aca="1" ref="T96" ca="1">(1 + INDEX($F$76:$AI$78,MATCH($E96,_xlfn.ANCHORARRAY($D$76)),S$81)) * S96</f>
        <v>59.876960432299846</v>
      </c>
      <c r="U96" s="313" cm="1">
        <f t="array" aca="1" ref="U96" ca="1">(1 + INDEX($F$76:$AI$78,MATCH($E96,_xlfn.ANCHORARRAY($D$76)),T$81)) * T96</f>
        <v>61.80930166653647</v>
      </c>
      <c r="V96" s="313" cm="1">
        <f t="array" aca="1" ref="V96" ca="1">(1 + INDEX($F$76:$AI$78,MATCH($E96,_xlfn.ANCHORARRAY($D$76)),U$81)) * U96</f>
        <v>63.691969532611857</v>
      </c>
      <c r="W96" s="313" cm="1">
        <f t="array" aca="1" ref="W96" ca="1">(1 + INDEX($F$76:$AI$78,MATCH($E96,_xlfn.ANCHORARRAY($D$76)),V$81)) * V96</f>
        <v>65.512585511210105</v>
      </c>
      <c r="X96" s="313" cm="1">
        <f t="array" aca="1" ref="X96" ca="1">(1 + INDEX($F$76:$AI$78,MATCH($E96,_xlfn.ANCHORARRAY($D$76)),W$81)) * W96</f>
        <v>67.259208429318804</v>
      </c>
      <c r="Y96" s="313" cm="1">
        <f t="array" aca="1" ref="Y96" ca="1">(1 + INDEX($F$76:$AI$78,MATCH($E96,_xlfn.ANCHORARRAY($D$76)),X$81)) * X96</f>
        <v>68.922848285429367</v>
      </c>
      <c r="Z96" s="313" cm="1">
        <f t="array" aca="1" ref="Z96" ca="1">(1 + INDEX($F$76:$AI$78,MATCH($E96,_xlfn.ANCHORARRAY($D$76)),Y$81)) * Y96</f>
        <v>70.495677092945584</v>
      </c>
      <c r="AA96" s="313" cm="1">
        <f t="array" aca="1" ref="AA96" ca="1">(1 + INDEX($F$76:$AI$78,MATCH($E96,_xlfn.ANCHORARRAY($D$76)),Z$81)) * Z96</f>
        <v>71.969450394977557</v>
      </c>
      <c r="AB96" s="313" cm="1">
        <f t="array" aca="1" ref="AB96" ca="1">(1 + INDEX($F$76:$AI$78,MATCH($E96,_xlfn.ANCHORARRAY($D$76)),AA$81)) * AA96</f>
        <v>73.336963475214475</v>
      </c>
      <c r="AC96" s="313" cm="1">
        <f t="array" aca="1" ref="AC96" ca="1">(1 + INDEX($F$76:$AI$78,MATCH($E96,_xlfn.ANCHORARRAY($D$76)),AB$81)) * AB96</f>
        <v>74.590677607578073</v>
      </c>
      <c r="AD96" s="313" cm="1">
        <f t="array" aca="1" ref="AD96" ca="1">(1 + INDEX($F$76:$AI$78,MATCH($E96,_xlfn.ANCHORARRAY($D$76)),AC$81)) * AC96</f>
        <v>75.724650841759441</v>
      </c>
      <c r="AE96" s="313" cm="1">
        <f t="array" aca="1" ref="AE96" ca="1">(1 + INDEX($F$76:$AI$78,MATCH($E96,_xlfn.ANCHORARRAY($D$76)),AD$81)) * AD96</f>
        <v>76.734279132962641</v>
      </c>
      <c r="AF96" s="313" cm="1">
        <f t="array" aca="1" ref="AF96" ca="1">(1 + INDEX($F$76:$AI$78,MATCH($E96,_xlfn.ANCHORARRAY($D$76)),AE$81)) * AE96</f>
        <v>77.614508578603193</v>
      </c>
      <c r="AG96" s="313" cm="1">
        <f t="array" aca="1" ref="AG96" ca="1">(1 + INDEX($F$76:$AI$78,MATCH($E96,_xlfn.ANCHORARRAY($D$76)),AF$81)) * AF96</f>
        <v>78.360540480543222</v>
      </c>
      <c r="AH96" s="313" cm="1">
        <f t="array" aca="1" ref="AH96" ca="1">(1 + INDEX($F$76:$AI$78,MATCH($E96,_xlfn.ANCHORARRAY($D$76)),AG$81)) * AG96</f>
        <v>78.96889681203875</v>
      </c>
      <c r="AI96" s="313" cm="1">
        <f t="array" aca="1" ref="AI96" ca="1">(1 + INDEX($F$76:$AI$78,MATCH($E96,_xlfn.ANCHORARRAY($D$76)),AH$81)) * AH96</f>
        <v>79.436716861511499</v>
      </c>
      <c r="AJ96" s="313" cm="1">
        <f t="array" aca="1" ref="AJ96" ca="1">(1 + INDEX($F$76:$AI$78,MATCH($E96,_xlfn.ANCHORARRAY($D$76)),AI$81)) * AI96</f>
        <v>79.760469121565947</v>
      </c>
      <c r="AK96" s="313" cm="1">
        <f t="array" aca="1" ref="AK96" ca="1">(1 + INDEX($F$76:$AI$78,MATCH($E96,_xlfn.ANCHORARRAY($D$76)),AJ$81)) * AJ96</f>
        <v>79.93697933827724</v>
      </c>
      <c r="AL96" s="313" cm="1">
        <f t="array" aca="1" ref="AL96" ca="1">(1 + INDEX($F$76:$AI$78,MATCH($E96,_xlfn.ANCHORARRAY($D$76)),AK$81)) * AK96</f>
        <v>79.963754706812495</v>
      </c>
    </row>
    <row r="97" spans="2:38">
      <c r="B97" s="97">
        <v>2</v>
      </c>
      <c r="C97" s="204">
        <v>3</v>
      </c>
      <c r="D97" s="89" t="str">
        <v>Veículos Comerciais com 2 Eixos</v>
      </c>
      <c r="E97" s="89" t="str">
        <v>Pesados I</v>
      </c>
      <c r="F97" s="318" cm="1">
        <f t="array" aca="1" ref="F97" ca="1">INDEX('Painel Controle'!F$110:I$121,Tráfego!C97,Tráfego!B97) / SUM(_xlfn._xlws.FILTER(OFFSET('Painel Controle'!F$110:F$121,,Tráfego!B97-1),'Painel Controle'!D$110:D$121=Tráfego!E97))</f>
        <v>0.70382807253190049</v>
      </c>
      <c r="G97" s="356" cm="1">
        <f t="array" aca="1" ref="G97" ca="1">INDEX(C$4:E$7,B97,MATCH(E97,_xlfn.ANCHORARRAY(C$3))) * F97</f>
        <v>1097.1563605674037</v>
      </c>
      <c r="H97" s="142" cm="1">
        <f t="array" aca="1" ref="H97" ca="1">INDEX(C$4:E$7,B97,MATCH(E97,_xlfn.ANCHORARRAY(C$3))) * F97 * (1 + INDEX(E$76:E$78,MATCH(E97,_xlfn.ANCHORARRAY(D$76),0)))</f>
        <v>1130.2009880505498</v>
      </c>
      <c r="I97" s="313" cm="1">
        <f t="array" aca="1" ref="I97" ca="1">(1 + INDEX($F$76:$AI$78,MATCH($E97,_xlfn.ANCHORARRAY($D$76)),H$81)) * H97</f>
        <v>1159.4435253708061</v>
      </c>
      <c r="J97" s="313" cm="1">
        <f t="array" aca="1" ref="J97" ca="1">(1 + INDEX($F$76:$AI$78,MATCH($E97,_xlfn.ANCHORARRAY($D$76)),I$81)) * I97</f>
        <v>1188.0772163428469</v>
      </c>
      <c r="K97" s="313" cm="1">
        <f t="array" aca="1" ref="K97" ca="1">(1 + INDEX($F$76:$AI$78,MATCH($E97,_xlfn.ANCHORARRAY($D$76)),J$81)) * J97</f>
        <v>1216.4324376364723</v>
      </c>
      <c r="L97" s="313" cm="1">
        <f t="array" aca="1" ref="L97" ca="1">(1 + INDEX($F$76:$AI$78,MATCH($E97,_xlfn.ANCHORARRAY($D$76)),K$81)) * K97</f>
        <v>1244.581669259516</v>
      </c>
      <c r="M97" s="313" cm="1">
        <f t="array" aca="1" ref="M97" ca="1">(1 + INDEX($F$76:$AI$78,MATCH($E97,_xlfn.ANCHORARRAY($D$76)),L$81)) * L97</f>
        <v>1272.4408934529856</v>
      </c>
      <c r="N97" s="313" cm="1">
        <f t="array" aca="1" ref="N97" ca="1">(1 + INDEX($F$76:$AI$78,MATCH($E97,_xlfn.ANCHORARRAY($D$76)),M$81)) * M97</f>
        <v>1299.8049923359463</v>
      </c>
      <c r="O97" s="313" cm="1">
        <f t="array" aca="1" ref="O97" ca="1">(1 + INDEX($F$76:$AI$78,MATCH($E97,_xlfn.ANCHORARRAY($D$76)),N$81)) * N97</f>
        <v>1326.3848354641359</v>
      </c>
      <c r="P97" s="313" cm="1">
        <f t="array" aca="1" ref="P97" ca="1">(1 + INDEX($F$76:$AI$78,MATCH($E97,_xlfn.ANCHORARRAY($D$76)),O$81)) * O97</f>
        <v>1351.9744695084835</v>
      </c>
      <c r="Q97" s="313" cm="1">
        <f t="array" aca="1" ref="Q97" ca="1">(1 + INDEX($F$76:$AI$78,MATCH($E97,_xlfn.ANCHORARRAY($D$76)),P$81)) * P97</f>
        <v>1376.3937482593999</v>
      </c>
      <c r="R97" s="313" cm="1">
        <f t="array" aca="1" ref="R97" ca="1">(1 + INDEX($F$76:$AI$78,MATCH($E97,_xlfn.ANCHORARRAY($D$76)),Q$81)) * Q97</f>
        <v>1399.486695479588</v>
      </c>
      <c r="S97" s="313" cm="1">
        <f t="array" aca="1" ref="S97" ca="1">(1 + INDEX($F$76:$AI$78,MATCH($E97,_xlfn.ANCHORARRAY($D$76)),R$81)) * R97</f>
        <v>1421.0902916135299</v>
      </c>
      <c r="T97" s="313" cm="1">
        <f t="array" aca="1" ref="T97" ca="1">(1 + INDEX($F$76:$AI$78,MATCH($E97,_xlfn.ANCHORARRAY($D$76)),S$81)) * S97</f>
        <v>1441.0534689924968</v>
      </c>
      <c r="U97" s="313" cm="1">
        <f t="array" aca="1" ref="U97" ca="1">(1 + INDEX($F$76:$AI$78,MATCH($E97,_xlfn.ANCHORARRAY($D$76)),T$81)) * T97</f>
        <v>1459.280308837049</v>
      </c>
      <c r="V97" s="313" cm="1">
        <f t="array" aca="1" ref="V97" ca="1">(1 + INDEX($F$76:$AI$78,MATCH($E97,_xlfn.ANCHORARRAY($D$76)),U$81)) * U97</f>
        <v>1475.685379834345</v>
      </c>
      <c r="W97" s="313" cm="1">
        <f t="array" aca="1" ref="W97" ca="1">(1 + INDEX($F$76:$AI$78,MATCH($E97,_xlfn.ANCHORARRAY($D$76)),V$81)) * V97</f>
        <v>1490.1859431481812</v>
      </c>
      <c r="X97" s="313" cm="1">
        <f t="array" aca="1" ref="X97" ca="1">(1 + INDEX($F$76:$AI$78,MATCH($E97,_xlfn.ANCHORARRAY($D$76)),W$81)) * W97</f>
        <v>1502.7105051550791</v>
      </c>
      <c r="Y97" s="313" cm="1">
        <f t="array" aca="1" ref="Y97" ca="1">(1 + INDEX($F$76:$AI$78,MATCH($E97,_xlfn.ANCHORARRAY($D$76)),X$81)) * X97</f>
        <v>1513.2354634047992</v>
      </c>
      <c r="Z97" s="313" cm="1">
        <f t="array" aca="1" ref="Z97" ca="1">(1 + INDEX($F$76:$AI$78,MATCH($E97,_xlfn.ANCHORARRAY($D$76)),Y$81)) * Y97</f>
        <v>1521.7516165648842</v>
      </c>
      <c r="AA97" s="313" cm="1">
        <f t="array" aca="1" ref="AA97" ca="1">(1 + INDEX($F$76:$AI$78,MATCH($E97,_xlfn.ANCHORARRAY($D$76)),Z$81)) * Z97</f>
        <v>1528.241100951647</v>
      </c>
      <c r="AB97" s="313" cm="1">
        <f t="array" aca="1" ref="AB97" ca="1">(1 + INDEX($F$76:$AI$78,MATCH($E97,_xlfn.ANCHORARRAY($D$76)),AA$81)) * AA97</f>
        <v>1532.7026604253149</v>
      </c>
      <c r="AC97" s="313" cm="1">
        <f t="array" aca="1" ref="AC97" ca="1">(1 + INDEX($F$76:$AI$78,MATCH($E97,_xlfn.ANCHORARRAY($D$76)),AB$81)) * AB97</f>
        <v>1535.1258905599577</v>
      </c>
      <c r="AD97" s="313" cm="1">
        <f t="array" aca="1" ref="AD97" ca="1">(1 + INDEX($F$76:$AI$78,MATCH($E97,_xlfn.ANCHORARRAY($D$76)),AC$81)) * AC97</f>
        <v>1535.5216392591562</v>
      </c>
      <c r="AE97" s="313" cm="1">
        <f t="array" aca="1" ref="AE97" ca="1">(1 + INDEX($F$76:$AI$78,MATCH($E97,_xlfn.ANCHORARRAY($D$76)),AD$81)) * AD97</f>
        <v>1533.9159866179903</v>
      </c>
      <c r="AF97" s="313" cm="1">
        <f t="array" aca="1" ref="AF97" ca="1">(1 + INDEX($F$76:$AI$78,MATCH($E97,_xlfn.ANCHORARRAY($D$76)),AE$81)) * AE97</f>
        <v>1530.3216670316003</v>
      </c>
      <c r="AG97" s="313" cm="1">
        <f t="array" aca="1" ref="AG97" ca="1">(1 + INDEX($F$76:$AI$78,MATCH($E97,_xlfn.ANCHORARRAY($D$76)),AF$81)) * AF97</f>
        <v>1524.7514009563288</v>
      </c>
      <c r="AH97" s="313" cm="1">
        <f t="array" aca="1" ref="AH97" ca="1">(1 + INDEX($F$76:$AI$78,MATCH($E97,_xlfn.ANCHORARRAY($D$76)),AG$81)) * AG97</f>
        <v>1517.2344655672</v>
      </c>
      <c r="AI97" s="313" cm="1">
        <f t="array" aca="1" ref="AI97" ca="1">(1 + INDEX($F$76:$AI$78,MATCH($E97,_xlfn.ANCHORARRAY($D$76)),AH$81)) * AH97</f>
        <v>1507.8076621585788</v>
      </c>
      <c r="AJ97" s="313" cm="1">
        <f t="array" aca="1" ref="AJ97" ca="1">(1 + INDEX($F$76:$AI$78,MATCH($E97,_xlfn.ANCHORARRAY($D$76)),AI$81)) * AI97</f>
        <v>1496.4957038505761</v>
      </c>
      <c r="AK97" s="313" cm="1">
        <f t="array" aca="1" ref="AK97" ca="1">(1 + INDEX($F$76:$AI$78,MATCH($E97,_xlfn.ANCHORARRAY($D$76)),AJ$81)) * AJ97</f>
        <v>1483.3250158759497</v>
      </c>
      <c r="AL97" s="313" cm="1">
        <f t="array" aca="1" ref="AL97" ca="1">(1 + INDEX($F$76:$AI$78,MATCH($E97,_xlfn.ANCHORARRAY($D$76)),AK$81)) * AK97</f>
        <v>1468.3269663760582</v>
      </c>
    </row>
    <row r="98" spans="2:38">
      <c r="B98" s="97">
        <v>2</v>
      </c>
      <c r="C98" s="204">
        <v>4</v>
      </c>
      <c r="D98" s="89" t="str">
        <v>Veículos Comerciais com 3 Eixos</v>
      </c>
      <c r="E98" s="89" t="str">
        <v>Pesados I</v>
      </c>
      <c r="F98" s="318" cm="1">
        <f t="array" aca="1" ref="F98" ca="1">INDEX('Painel Controle'!F$110:I$121,Tráfego!C98,Tráfego!B98) / SUM(_xlfn._xlws.FILTER(OFFSET('Painel Controle'!F$110:F$121,,Tráfego!B98-1),'Painel Controle'!D$110:D$121=Tráfego!E98))</f>
        <v>0.19263463106268441</v>
      </c>
      <c r="G98" s="356" cm="1">
        <f t="array" aca="1" ref="G98" ca="1">INDEX(C$4:E$7,B98,MATCH(E98,_xlfn.ANCHORARRAY(C$3))) * F98</f>
        <v>300.2868441659096</v>
      </c>
      <c r="H98" s="142" cm="1">
        <f t="array" aca="1" ref="H98" ca="1">INDEX(C$4:E$7,B98,MATCH(E98,_xlfn.ANCHORARRAY(C$3))) * F98 * (1 + INDEX(E$76:E$78,MATCH(E98,_xlfn.ANCHORARRAY(D$76),0)))</f>
        <v>309.3310125818137</v>
      </c>
      <c r="I98" s="313" cm="1">
        <f t="array" aca="1" ref="I98" ca="1">(1 + INDEX($F$76:$AI$78,MATCH($E98,_xlfn.ANCHORARRAY($D$76)),H$81)) * H98</f>
        <v>317.33456573331017</v>
      </c>
      <c r="J98" s="313" cm="1">
        <f t="array" aca="1" ref="J98" ca="1">(1 + INDEX($F$76:$AI$78,MATCH($E98,_xlfn.ANCHORARRAY($D$76)),I$81)) * I98</f>
        <v>325.17148033167177</v>
      </c>
      <c r="K98" s="313" cm="1">
        <f t="array" aca="1" ref="K98" ca="1">(1 + INDEX($F$76:$AI$78,MATCH($E98,_xlfn.ANCHORARRAY($D$76)),J$81)) * J98</f>
        <v>332.93217901046842</v>
      </c>
      <c r="L98" s="313" cm="1">
        <f t="array" aca="1" ref="L98" ca="1">(1 + INDEX($F$76:$AI$78,MATCH($E98,_xlfn.ANCHORARRAY($D$76)),K$81)) * K98</f>
        <v>340.63649922733117</v>
      </c>
      <c r="M98" s="313" cm="1">
        <f t="array" aca="1" ref="M98" ca="1">(1 + INDEX($F$76:$AI$78,MATCH($E98,_xlfn.ANCHORARRAY($D$76)),L$81)) * L98</f>
        <v>348.26144569315767</v>
      </c>
      <c r="N98" s="313" cm="1">
        <f t="array" aca="1" ref="N98" ca="1">(1 + INDEX($F$76:$AI$78,MATCH($E98,_xlfn.ANCHORARRAY($D$76)),M$81)) * M98</f>
        <v>355.75087855098536</v>
      </c>
      <c r="O98" s="313" cm="1">
        <f t="array" aca="1" ref="O98" ca="1">(1 + INDEX($F$76:$AI$78,MATCH($E98,_xlfn.ANCHORARRAY($D$76)),N$81)) * N98</f>
        <v>363.02566407677972</v>
      </c>
      <c r="P98" s="313" cm="1">
        <f t="array" aca="1" ref="P98" ca="1">(1 + INDEX($F$76:$AI$78,MATCH($E98,_xlfn.ANCHORARRAY($D$76)),O$81)) * O98</f>
        <v>370.02943375511774</v>
      </c>
      <c r="Q98" s="313" cm="1">
        <f t="array" aca="1" ref="Q98" ca="1">(1 + INDEX($F$76:$AI$78,MATCH($E98,_xlfn.ANCHORARRAY($D$76)),P$81)) * P98</f>
        <v>376.71288236505711</v>
      </c>
      <c r="R98" s="313" cm="1">
        <f t="array" aca="1" ref="R98" ca="1">(1 + INDEX($F$76:$AI$78,MATCH($E98,_xlfn.ANCHORARRAY($D$76)),Q$81)) * Q98</f>
        <v>383.03331990019018</v>
      </c>
      <c r="S98" s="313" cm="1">
        <f t="array" aca="1" ref="S98" ca="1">(1 + INDEX($F$76:$AI$78,MATCH($E98,_xlfn.ANCHORARRAY($D$76)),R$81)) * R98</f>
        <v>388.94612862905842</v>
      </c>
      <c r="T98" s="313" cm="1">
        <f t="array" aca="1" ref="T98" ca="1">(1 + INDEX($F$76:$AI$78,MATCH($E98,_xlfn.ANCHORARRAY($D$76)),S$81)) * S98</f>
        <v>394.4099619987652</v>
      </c>
      <c r="U98" s="313" cm="1">
        <f t="array" aca="1" ref="U98" ca="1">(1 + INDEX($F$76:$AI$78,MATCH($E98,_xlfn.ANCHORARRAY($D$76)),T$81)) * T98</f>
        <v>399.39856746353917</v>
      </c>
      <c r="V98" s="313" cm="1">
        <f t="array" aca="1" ref="V98" ca="1">(1 + INDEX($F$76:$AI$78,MATCH($E98,_xlfn.ANCHORARRAY($D$76)),U$81)) * U98</f>
        <v>403.88856285084029</v>
      </c>
      <c r="W98" s="313" cm="1">
        <f t="array" aca="1" ref="W98" ca="1">(1 + INDEX($F$76:$AI$78,MATCH($E98,_xlfn.ANCHORARRAY($D$76)),V$81)) * V98</f>
        <v>407.85730290707801</v>
      </c>
      <c r="X98" s="313" cm="1">
        <f t="array" aca="1" ref="X98" ca="1">(1 + INDEX($F$76:$AI$78,MATCH($E98,_xlfn.ANCHORARRAY($D$76)),W$81)) * W98</f>
        <v>411.28522014365728</v>
      </c>
      <c r="Y98" s="313" cm="1">
        <f t="array" aca="1" ref="Y98" ca="1">(1 + INDEX($F$76:$AI$78,MATCH($E98,_xlfn.ANCHORARRAY($D$76)),X$81)) * X98</f>
        <v>414.16585467431975</v>
      </c>
      <c r="Z98" s="313" cm="1">
        <f t="array" aca="1" ref="Z98" ca="1">(1 + INDEX($F$76:$AI$78,MATCH($E98,_xlfn.ANCHORARRAY($D$76)),Y$81)) * Y98</f>
        <v>416.49668813506088</v>
      </c>
      <c r="AA98" s="313" cm="1">
        <f t="array" aca="1" ref="AA98" ca="1">(1 + INDEX($F$76:$AI$78,MATCH($E98,_xlfn.ANCHORARRAY($D$76)),Z$81)) * Z98</f>
        <v>418.27283131465026</v>
      </c>
      <c r="AB98" s="313" cm="1">
        <f t="array" aca="1" ref="AB98" ca="1">(1 + INDEX($F$76:$AI$78,MATCH($E98,_xlfn.ANCHORARRAY($D$76)),AA$81)) * AA98</f>
        <v>419.49394041318692</v>
      </c>
      <c r="AC98" s="313" cm="1">
        <f t="array" aca="1" ref="AC98" ca="1">(1 + INDEX($F$76:$AI$78,MATCH($E98,_xlfn.ANCHORARRAY($D$76)),AB$81)) * AB98</f>
        <v>420.15716778530305</v>
      </c>
      <c r="AD98" s="313" cm="1">
        <f t="array" aca="1" ref="AD98" ca="1">(1 + INDEX($F$76:$AI$78,MATCH($E98,_xlfn.ANCHORARRAY($D$76)),AC$81)) * AC98</f>
        <v>420.26548245423828</v>
      </c>
      <c r="AE98" s="313" cm="1">
        <f t="array" aca="1" ref="AE98" ca="1">(1 + INDEX($F$76:$AI$78,MATCH($E98,_xlfn.ANCHORARRAY($D$76)),AD$81)) * AD98</f>
        <v>419.82602242668753</v>
      </c>
      <c r="AF98" s="313" cm="1">
        <f t="array" aca="1" ref="AF98" ca="1">(1 + INDEX($F$76:$AI$78,MATCH($E98,_xlfn.ANCHORARRAY($D$76)),AE$81)) * AE98</f>
        <v>418.84227305028821</v>
      </c>
      <c r="AG98" s="313" cm="1">
        <f t="array" aca="1" ref="AG98" ca="1">(1 + INDEX($F$76:$AI$78,MATCH($E98,_xlfn.ANCHORARRAY($D$76)),AF$81)) * AF98</f>
        <v>417.31771585769019</v>
      </c>
      <c r="AH98" s="313" cm="1">
        <f t="array" aca="1" ref="AH98" ca="1">(1 + INDEX($F$76:$AI$78,MATCH($E98,_xlfn.ANCHORARRAY($D$76)),AG$81)) * AG98</f>
        <v>415.26036388223139</v>
      </c>
      <c r="AI98" s="313" cm="1">
        <f t="array" aca="1" ref="AI98" ca="1">(1 + INDEX($F$76:$AI$78,MATCH($E98,_xlfn.ANCHORARRAY($D$76)),AH$81)) * AH98</f>
        <v>412.68028947544093</v>
      </c>
      <c r="AJ98" s="313" cm="1">
        <f t="array" aca="1" ref="AJ98" ca="1">(1 + INDEX($F$76:$AI$78,MATCH($E98,_xlfn.ANCHORARRAY($D$76)),AI$81)) * AI98</f>
        <v>409.58425650900961</v>
      </c>
      <c r="AK98" s="313" cm="1">
        <f t="array" aca="1" ref="AK98" ca="1">(1 + INDEX($F$76:$AI$78,MATCH($E98,_xlfn.ANCHORARRAY($D$76)),AJ$81)) * AJ98</f>
        <v>405.97949745228857</v>
      </c>
      <c r="AL98" s="313" cm="1">
        <f t="array" aca="1" ref="AL98" ca="1">(1 + INDEX($F$76:$AI$78,MATCH($E98,_xlfn.ANCHORARRAY($D$76)),AK$81)) * AK98</f>
        <v>401.87459762685495</v>
      </c>
    </row>
    <row r="99" spans="2:38">
      <c r="B99" s="97">
        <v>2</v>
      </c>
      <c r="C99" s="204">
        <v>5</v>
      </c>
      <c r="D99" s="89" t="str">
        <v>Veículos Comerciais com 4 Eixos</v>
      </c>
      <c r="E99" s="89" t="str">
        <v>Pesados I</v>
      </c>
      <c r="F99" s="318" cm="1">
        <f t="array" aca="1" ref="F99" ca="1">INDEX('Painel Controle'!F$110:I$121,Tráfego!C99,Tráfego!B99) / SUM(_xlfn._xlws.FILTER(OFFSET('Painel Controle'!F$110:F$121,,Tráfego!B99-1),'Painel Controle'!D$110:D$121=Tráfego!E99))</f>
        <v>7.4546675621222275E-2</v>
      </c>
      <c r="G99" s="356" cm="1">
        <f t="array" aca="1" ref="G99" ca="1">INDEX(C$4:E$7,B99,MATCH(E99,_xlfn.ANCHORARRAY(C$3))) * F99</f>
        <v>116.20644658681468</v>
      </c>
      <c r="H99" s="142" cm="1">
        <f t="array" aca="1" ref="H99" ca="1">INDEX(C$4:E$7,B99,MATCH(E99,_xlfn.ANCHORARRAY(C$3))) * F99 * (1 + INDEX(E$76:E$78,MATCH(E99,_xlfn.ANCHORARRAY(D$76),0)))</f>
        <v>119.70640236031582</v>
      </c>
      <c r="I99" s="313" cm="1">
        <f t="array" aca="1" ref="I99" ca="1">(1 + INDEX($F$76:$AI$78,MATCH($E99,_xlfn.ANCHORARRAY($D$76)),H$81)) * H99</f>
        <v>122.80365583603</v>
      </c>
      <c r="J99" s="313" cm="1">
        <f t="array" aca="1" ref="J99" ca="1">(1 + INDEX($F$76:$AI$78,MATCH($E99,_xlfn.ANCHORARRAY($D$76)),I$81)) * I99</f>
        <v>125.83642272333584</v>
      </c>
      <c r="K99" s="313" cm="1">
        <f t="array" aca="1" ref="K99" ca="1">(1 + INDEX($F$76:$AI$78,MATCH($E99,_xlfn.ANCHORARRAY($D$76)),J$81)) * J99</f>
        <v>128.83969520767977</v>
      </c>
      <c r="L99" s="313" cm="1">
        <f t="array" aca="1" ref="L99" ca="1">(1 + INDEX($F$76:$AI$78,MATCH($E99,_xlfn.ANCHORARRAY($D$76)),K$81)) * K99</f>
        <v>131.82115008378457</v>
      </c>
      <c r="M99" s="313" cm="1">
        <f t="array" aca="1" ref="M99" ca="1">(1 + INDEX($F$76:$AI$78,MATCH($E99,_xlfn.ANCHORARRAY($D$76)),L$81)) * L99</f>
        <v>134.77188852412343</v>
      </c>
      <c r="N99" s="313" cm="1">
        <f t="array" aca="1" ref="N99" ca="1">(1 + INDEX($F$76:$AI$78,MATCH($E99,_xlfn.ANCHORARRAY($D$76)),M$81)) * M99</f>
        <v>137.6701852569561</v>
      </c>
      <c r="O99" s="313" cm="1">
        <f t="array" aca="1" ref="O99" ca="1">(1 + INDEX($F$76:$AI$78,MATCH($E99,_xlfn.ANCHORARRAY($D$76)),N$81)) * N99</f>
        <v>140.48541673331968</v>
      </c>
      <c r="P99" s="313" cm="1">
        <f t="array" aca="1" ref="P99" ca="1">(1 + INDEX($F$76:$AI$78,MATCH($E99,_xlfn.ANCHORARRAY($D$76)),O$81)) * O99</f>
        <v>143.19576919412367</v>
      </c>
      <c r="Q99" s="313" cm="1">
        <f t="array" aca="1" ref="Q99" ca="1">(1 + INDEX($F$76:$AI$78,MATCH($E99,_xlfn.ANCHORARRAY($D$76)),P$81)) * P99</f>
        <v>145.78216226793256</v>
      </c>
      <c r="R99" s="313" cm="1">
        <f t="array" aca="1" ref="R99" ca="1">(1 + INDEX($F$76:$AI$78,MATCH($E99,_xlfn.ANCHORARRAY($D$76)),Q$81)) * Q99</f>
        <v>148.22807557083416</v>
      </c>
      <c r="S99" s="313" cm="1">
        <f t="array" aca="1" ref="S99" ca="1">(1 + INDEX($F$76:$AI$78,MATCH($E99,_xlfn.ANCHORARRAY($D$76)),R$81)) * R99</f>
        <v>150.51624271860854</v>
      </c>
      <c r="T99" s="313" cm="1">
        <f t="array" aca="1" ref="T99" ca="1">(1 + INDEX($F$76:$AI$78,MATCH($E99,_xlfn.ANCHORARRAY($D$76)),S$81)) * S99</f>
        <v>152.63066322344187</v>
      </c>
      <c r="U99" s="313" cm="1">
        <f t="array" aca="1" ref="U99" ca="1">(1 + INDEX($F$76:$AI$78,MATCH($E99,_xlfn.ANCHORARRAY($D$76)),T$81)) * T99</f>
        <v>154.56117774896219</v>
      </c>
      <c r="V99" s="313" cm="1">
        <f t="array" aca="1" ref="V99" ca="1">(1 + INDEX($F$76:$AI$78,MATCH($E99,_xlfn.ANCHORARRAY($D$76)),U$81)) * U99</f>
        <v>156.29873774962999</v>
      </c>
      <c r="W99" s="313" cm="1">
        <f t="array" aca="1" ref="W99" ca="1">(1 + INDEX($F$76:$AI$78,MATCH($E99,_xlfn.ANCHORARRAY($D$76)),V$81)) * V99</f>
        <v>157.83457985634357</v>
      </c>
      <c r="X99" s="313" cm="1">
        <f t="array" aca="1" ref="X99" ca="1">(1 + INDEX($F$76:$AI$78,MATCH($E99,_xlfn.ANCHORARRAY($D$76)),W$81)) * W99</f>
        <v>159.16113174829553</v>
      </c>
      <c r="Y99" s="313" cm="1">
        <f t="array" aca="1" ref="Y99" ca="1">(1 + INDEX($F$76:$AI$78,MATCH($E99,_xlfn.ANCHORARRAY($D$76)),X$81)) * X99</f>
        <v>160.27589354764567</v>
      </c>
      <c r="Z99" s="313" cm="1">
        <f t="array" aca="1" ref="Z99" ca="1">(1 + INDEX($F$76:$AI$78,MATCH($E99,_xlfn.ANCHORARRAY($D$76)),Y$81)) * Y99</f>
        <v>161.17789068578443</v>
      </c>
      <c r="AA99" s="313" cm="1">
        <f t="array" aca="1" ref="AA99" ca="1">(1 + INDEX($F$76:$AI$78,MATCH($E99,_xlfn.ANCHORARRAY($D$76)),Z$81)) * Z99</f>
        <v>161.865231112245</v>
      </c>
      <c r="AB99" s="313" cm="1">
        <f t="array" aca="1" ref="AB99" ca="1">(1 + INDEX($F$76:$AI$78,MATCH($E99,_xlfn.ANCHORARRAY($D$76)),AA$81)) * AA99</f>
        <v>162.33778178168882</v>
      </c>
      <c r="AC99" s="313" cm="1">
        <f t="array" aca="1" ref="AC99" ca="1">(1 + INDEX($F$76:$AI$78,MATCH($E99,_xlfn.ANCHORARRAY($D$76)),AB$81)) * AB99</f>
        <v>162.59444069862141</v>
      </c>
      <c r="AD99" s="313" cm="1">
        <f t="array" aca="1" ref="AD99" ca="1">(1 + INDEX($F$76:$AI$78,MATCH($E99,_xlfn.ANCHORARRAY($D$76)),AC$81)) * AC99</f>
        <v>162.63635682992964</v>
      </c>
      <c r="AE99" s="313" cm="1">
        <f t="array" aca="1" ref="AE99" ca="1">(1 + INDEX($F$76:$AI$78,MATCH($E99,_xlfn.ANCHORARRAY($D$76)),AD$81)) * AD99</f>
        <v>162.46629247576033</v>
      </c>
      <c r="AF99" s="313" cm="1">
        <f t="array" aca="1" ref="AF99" ca="1">(1 + INDEX($F$76:$AI$78,MATCH($E99,_xlfn.ANCHORARRAY($D$76)),AE$81)) * AE99</f>
        <v>162.08559641269804</v>
      </c>
      <c r="AG99" s="313" cm="1">
        <f t="array" aca="1" ref="AG99" ca="1">(1 + INDEX($F$76:$AI$78,MATCH($E99,_xlfn.ANCHORARRAY($D$76)),AF$81)) * AF99</f>
        <v>161.49561594098512</v>
      </c>
      <c r="AH99" s="313" cm="1">
        <f t="array" aca="1" ref="AH99" ca="1">(1 + INDEX($F$76:$AI$78,MATCH($E99,_xlfn.ANCHORARRAY($D$76)),AG$81)) * AG99</f>
        <v>160.6994519827854</v>
      </c>
      <c r="AI99" s="313" cm="1">
        <f t="array" aca="1" ref="AI99" ca="1">(1 + INDEX($F$76:$AI$78,MATCH($E99,_xlfn.ANCHORARRAY($D$76)),AH$81)) * AH99</f>
        <v>159.70100238511654</v>
      </c>
      <c r="AJ99" s="313" cm="1">
        <f t="array" aca="1" ref="AJ99" ca="1">(1 + INDEX($F$76:$AI$78,MATCH($E99,_xlfn.ANCHORARRAY($D$76)),AI$81)) * AI99</f>
        <v>158.50288466356281</v>
      </c>
      <c r="AK99" s="313" cm="1">
        <f t="array" aca="1" ref="AK99" ca="1">(1 + INDEX($F$76:$AI$78,MATCH($E99,_xlfn.ANCHORARRAY($D$76)),AJ$81)) * AJ99</f>
        <v>157.10789767388388</v>
      </c>
      <c r="AL99" s="313" cm="1">
        <f t="array" aca="1" ref="AL99" ca="1">(1 + INDEX($F$76:$AI$78,MATCH($E99,_xlfn.ANCHORARRAY($D$76)),AK$81)) * AK99</f>
        <v>155.51936380509767</v>
      </c>
    </row>
    <row r="100" spans="2:38">
      <c r="B100" s="97">
        <v>2</v>
      </c>
      <c r="C100" s="204">
        <v>6</v>
      </c>
      <c r="D100" s="89" t="str">
        <v>Veículos Comerciais com 5 Eixos Articulado</v>
      </c>
      <c r="E100" s="89" t="str">
        <v>Pesados II</v>
      </c>
      <c r="F100" s="318" cm="1">
        <f t="array" aca="1" ref="F100" ca="1">INDEX('Painel Controle'!F$110:I$121,Tráfego!C100,Tráfego!B100) / SUM(_xlfn._xlws.FILTER(OFFSET('Painel Controle'!F$110:F$121,,Tráfego!B100-1),'Painel Controle'!D$110:D$121=Tráfego!E100))</f>
        <v>9.2830882352941194E-2</v>
      </c>
      <c r="G100" s="356" cm="1">
        <f t="array" aca="1" ref="G100" ca="1">INDEX(C$4:E$7,B100,MATCH(E100,_xlfn.ANCHORARRAY(C$3))) * F100</f>
        <v>105.73739734475933</v>
      </c>
      <c r="H100" s="142" cm="1">
        <f t="array" aca="1" ref="H100" ca="1">INDEX(C$4:E$7,B100,MATCH(E100,_xlfn.ANCHORARRAY(C$3))) * F100 * (1 + INDEX(E$76:E$78,MATCH(E100,_xlfn.ANCHORARRAY(D$76),0)))</f>
        <v>110.59984888649245</v>
      </c>
      <c r="I100" s="313" cm="1">
        <f t="array" aca="1" ref="I100" ca="1">(1 + INDEX($F$76:$AI$78,MATCH($E100,_xlfn.ANCHORARRAY($D$76)),H$81)) * H100</f>
        <v>114.8337185456253</v>
      </c>
      <c r="J100" s="313" cm="1">
        <f t="array" aca="1" ref="J100" ca="1">(1 + INDEX($F$76:$AI$78,MATCH($E100,_xlfn.ANCHORARRAY($D$76)),I$81)) * I100</f>
        <v>119.0827223746717</v>
      </c>
      <c r="K100" s="313" cm="1">
        <f t="array" aca="1" ref="K100" ca="1">(1 + INDEX($F$76:$AI$78,MATCH($E100,_xlfn.ANCHORARRAY($D$76)),J$81)) * J100</f>
        <v>123.42506400919386</v>
      </c>
      <c r="L100" s="313" cm="1">
        <f t="array" aca="1" ref="L100" ca="1">(1 + INDEX($F$76:$AI$78,MATCH($E100,_xlfn.ANCHORARRAY($D$76)),K$81)) * K100</f>
        <v>127.88702472014684</v>
      </c>
      <c r="M100" s="313" cm="1">
        <f t="array" aca="1" ref="M100" ca="1">(1 + INDEX($F$76:$AI$78,MATCH($E100,_xlfn.ANCHORARRAY($D$76)),L$81)) * L100</f>
        <v>132.46128182167979</v>
      </c>
      <c r="N100" s="313" cm="1">
        <f t="array" aca="1" ref="N100" ca="1">(1 + INDEX($F$76:$AI$78,MATCH($E100,_xlfn.ANCHORARRAY($D$76)),M$81)) * M100</f>
        <v>137.11583008636347</v>
      </c>
      <c r="O100" s="313" cm="1">
        <f t="array" aca="1" ref="O100" ca="1">(1 + INDEX($F$76:$AI$78,MATCH($E100,_xlfn.ANCHORARRAY($D$76)),N$81)) * N100</f>
        <v>141.79896586670995</v>
      </c>
      <c r="P100" s="313" cm="1">
        <f t="array" aca="1" ref="P100" ca="1">(1 + INDEX($F$76:$AI$78,MATCH($E100,_xlfn.ANCHORARRAY($D$76)),O$81)) * O100</f>
        <v>146.4709015216618</v>
      </c>
      <c r="Q100" s="313" cm="1">
        <f t="array" aca="1" ref="Q100" ca="1">(1 + INDEX($F$76:$AI$78,MATCH($E100,_xlfn.ANCHORARRAY($D$76)),P$81)) * P100</f>
        <v>151.09537457685545</v>
      </c>
      <c r="R100" s="313" cm="1">
        <f t="array" aca="1" ref="R100" ca="1">(1 + INDEX($F$76:$AI$78,MATCH($E100,_xlfn.ANCHORARRAY($D$76)),Q$81)) * Q100</f>
        <v>155.63881508910214</v>
      </c>
      <c r="S100" s="313" cm="1">
        <f t="array" aca="1" ref="S100" ca="1">(1 + INDEX($F$76:$AI$78,MATCH($E100,_xlfn.ANCHORARRAY($D$76)),R$81)) * R100</f>
        <v>160.06566264331983</v>
      </c>
      <c r="T100" s="313" cm="1">
        <f t="array" aca="1" ref="T100" ca="1">(1 + INDEX($F$76:$AI$78,MATCH($E100,_xlfn.ANCHORARRAY($D$76)),S$81)) * S100</f>
        <v>164.34140484895815</v>
      </c>
      <c r="U100" s="313" cm="1">
        <f t="array" aca="1" ref="U100" ca="1">(1 + INDEX($F$76:$AI$78,MATCH($E100,_xlfn.ANCHORARRAY($D$76)),T$81)) * T100</f>
        <v>168.43951358308843</v>
      </c>
      <c r="V100" s="313" cm="1">
        <f t="array" aca="1" ref="V100" ca="1">(1 + INDEX($F$76:$AI$78,MATCH($E100,_xlfn.ANCHORARRAY($D$76)),U$81)) * U100</f>
        <v>172.33447340235179</v>
      </c>
      <c r="W100" s="313" cm="1">
        <f t="array" aca="1" ref="W100" ca="1">(1 + INDEX($F$76:$AI$78,MATCH($E100,_xlfn.ANCHORARRAY($D$76)),V$81)) * V100</f>
        <v>176.0004488702821</v>
      </c>
      <c r="X100" s="313" cm="1">
        <f t="array" aca="1" ref="X100" ca="1">(1 + INDEX($F$76:$AI$78,MATCH($E100,_xlfn.ANCHORARRAY($D$76)),W$81)) * W100</f>
        <v>179.41332324849097</v>
      </c>
      <c r="Y100" s="313" cm="1">
        <f t="array" aca="1" ref="Y100" ca="1">(1 + INDEX($F$76:$AI$78,MATCH($E100,_xlfn.ANCHORARRAY($D$76)),X$81)) * X100</f>
        <v>182.55693459977121</v>
      </c>
      <c r="Z100" s="313" cm="1">
        <f t="array" aca="1" ref="Z100" ca="1">(1 + INDEX($F$76:$AI$78,MATCH($E100,_xlfn.ANCHORARRAY($D$76)),Y$81)) * Y100</f>
        <v>185.41815112048707</v>
      </c>
      <c r="AA100" s="313" cm="1">
        <f t="array" aca="1" ref="AA100" ca="1">(1 + INDEX($F$76:$AI$78,MATCH($E100,_xlfn.ANCHORARRAY($D$76)),Z$81)) * Z100</f>
        <v>187.98295712951801</v>
      </c>
      <c r="AB100" s="313" cm="1">
        <f t="array" aca="1" ref="AB100" ca="1">(1 + INDEX($F$76:$AI$78,MATCH($E100,_xlfn.ANCHORARRAY($D$76)),AA$81)) * AA100</f>
        <v>190.24033560507502</v>
      </c>
      <c r="AC100" s="313" cm="1">
        <f t="array" aca="1" ref="AC100" ca="1">(1 + INDEX($F$76:$AI$78,MATCH($E100,_xlfn.ANCHORARRAY($D$76)),AB$81)) * AB100</f>
        <v>192.17845643722501</v>
      </c>
      <c r="AD100" s="313" cm="1">
        <f t="array" aca="1" ref="AD100" ca="1">(1 + INDEX($F$76:$AI$78,MATCH($E100,_xlfn.ANCHORARRAY($D$76)),AC$81)) * AC100</f>
        <v>193.7895992502242</v>
      </c>
      <c r="AE100" s="313" cm="1">
        <f t="array" aca="1" ref="AE100" ca="1">(1 + INDEX($F$76:$AI$78,MATCH($E100,_xlfn.ANCHORARRAY($D$76)),AD$81)) * AD100</f>
        <v>195.06933514377718</v>
      </c>
      <c r="AF100" s="313" cm="1">
        <f t="array" aca="1" ref="AF100" ca="1">(1 + INDEX($F$76:$AI$78,MATCH($E100,_xlfn.ANCHORARRAY($D$76)),AE$81)) * AE100</f>
        <v>196.01190555055456</v>
      </c>
      <c r="AG100" s="313" cm="1">
        <f t="array" aca="1" ref="AG100" ca="1">(1 + INDEX($F$76:$AI$78,MATCH($E100,_xlfn.ANCHORARRAY($D$76)),AF$81)) * AF100</f>
        <v>196.61217571576941</v>
      </c>
      <c r="AH100" s="313" cm="1">
        <f t="array" aca="1" ref="AH100" ca="1">(1 + INDEX($F$76:$AI$78,MATCH($E100,_xlfn.ANCHORARRAY($D$76)),AG$81)) * AG100</f>
        <v>196.86832957888794</v>
      </c>
      <c r="AI100" s="313" cm="1">
        <f t="array" aca="1" ref="AI100" ca="1">(1 + INDEX($F$76:$AI$78,MATCH($E100,_xlfn.ANCHORARRAY($D$76)),AH$81)) * AH100</f>
        <v>196.78021396729756</v>
      </c>
      <c r="AJ100" s="313" cm="1">
        <f t="array" aca="1" ref="AJ100" ca="1">(1 + INDEX($F$76:$AI$78,MATCH($E100,_xlfn.ANCHORARRAY($D$76)),AI$81)) * AI100</f>
        <v>196.34609529854225</v>
      </c>
      <c r="AK100" s="313" cm="1">
        <f t="array" aca="1" ref="AK100" ca="1">(1 + INDEX($F$76:$AI$78,MATCH($E100,_xlfn.ANCHORARRAY($D$76)),AJ$81)) * AJ100</f>
        <v>195.56509726193758</v>
      </c>
      <c r="AL100" s="313" cm="1">
        <f t="array" aca="1" ref="AL100" ca="1">(1 + INDEX($F$76:$AI$78,MATCH($E100,_xlfn.ANCHORARRAY($D$76)),AK$81)) * AK100</f>
        <v>194.43787058366735</v>
      </c>
    </row>
    <row r="101" spans="2:38">
      <c r="B101" s="97">
        <v>2</v>
      </c>
      <c r="C101" s="204">
        <v>7</v>
      </c>
      <c r="D101" s="89" t="str">
        <v>Veículos Comerciais com 6 Eixos Articulado</v>
      </c>
      <c r="E101" s="89" t="str">
        <v>Pesados II</v>
      </c>
      <c r="F101" s="318" cm="1">
        <f t="array" aca="1" ref="F101" ca="1">INDEX('Painel Controle'!F$110:I$121,Tráfego!C101,Tráfego!B101) / SUM(_xlfn._xlws.FILTER(OFFSET('Painel Controle'!F$110:F$121,,Tráfego!B101-1),'Painel Controle'!D$110:D$121=Tráfego!E101))</f>
        <v>0.85845588235294124</v>
      </c>
      <c r="G101" s="356" cm="1">
        <f t="array" aca="1" ref="G101" ca="1">INDEX(C$4:E$7,B101,MATCH(E101,_xlfn.ANCHORARRAY(C$3))) * F101</f>
        <v>977.80919920797237</v>
      </c>
      <c r="H101" s="142" cm="1">
        <f t="array" aca="1" ref="H101" ca="1">INDEX(C$4:E$7,B101,MATCH(E101,_xlfn.ANCHORARRAY(C$3))) * F101 * (1 + INDEX(E$76:E$78,MATCH(E101,_xlfn.ANCHORARRAY(D$76),0)))</f>
        <v>1022.774840197861</v>
      </c>
      <c r="I101" s="313" cm="1">
        <f t="array" aca="1" ref="I101" ca="1">(1 + INDEX($F$76:$AI$78,MATCH($E101,_xlfn.ANCHORARRAY($D$76)),H$81)) * H101</f>
        <v>1061.9276546694459</v>
      </c>
      <c r="J101" s="313" cm="1">
        <f t="array" aca="1" ref="J101" ca="1">(1 + INDEX($F$76:$AI$78,MATCH($E101,_xlfn.ANCHORARRAY($D$76)),I$81)) * I101</f>
        <v>1101.2204227519146</v>
      </c>
      <c r="K101" s="313" cm="1">
        <f t="array" aca="1" ref="K101" ca="1">(1 + INDEX($F$76:$AI$78,MATCH($E101,_xlfn.ANCHORARRAY($D$76)),J$81)) * J101</f>
        <v>1141.3763345008622</v>
      </c>
      <c r="L101" s="313" cm="1">
        <f t="array" aca="1" ref="L101" ca="1">(1 + INDEX($F$76:$AI$78,MATCH($E101,_xlfn.ANCHORARRAY($D$76)),K$81)) * K101</f>
        <v>1182.6384266199718</v>
      </c>
      <c r="M101" s="313" cm="1">
        <f t="array" aca="1" ref="M101" ca="1">(1 + INDEX($F$76:$AI$78,MATCH($E101,_xlfn.ANCHORARRAY($D$76)),L$81)) * L101</f>
        <v>1224.9389823905833</v>
      </c>
      <c r="N101" s="313" cm="1">
        <f t="array" aca="1" ref="N101" ca="1">(1 + INDEX($F$76:$AI$78,MATCH($E101,_xlfn.ANCHORARRAY($D$76)),M$81)) * M101</f>
        <v>1267.9820326798365</v>
      </c>
      <c r="O101" s="313" cm="1">
        <f t="array" aca="1" ref="O101" ca="1">(1 + INDEX($F$76:$AI$78,MATCH($E101,_xlfn.ANCHORARRAY($D$76)),N$81)) * N101</f>
        <v>1311.2894467277929</v>
      </c>
      <c r="P101" s="313" cm="1">
        <f t="array" aca="1" ref="P101" ca="1">(1 + INDEX($F$76:$AI$78,MATCH($E101,_xlfn.ANCHORARRAY($D$76)),O$81)) * O101</f>
        <v>1354.4932873389319</v>
      </c>
      <c r="Q101" s="313" cm="1">
        <f t="array" aca="1" ref="Q101" ca="1">(1 + INDEX($F$76:$AI$78,MATCH($E101,_xlfn.ANCHORARRAY($D$76)),P$81)) * P101</f>
        <v>1397.2582163839897</v>
      </c>
      <c r="R101" s="313" cm="1">
        <f t="array" aca="1" ref="R101" ca="1">(1 + INDEX($F$76:$AI$78,MATCH($E101,_xlfn.ANCHORARRAY($D$76)),Q$81)) * Q101</f>
        <v>1439.27379498239</v>
      </c>
      <c r="S101" s="313" cm="1">
        <f t="array" aca="1" ref="S101" ca="1">(1 + INDEX($F$76:$AI$78,MATCH($E101,_xlfn.ANCHORARRAY($D$76)),R$81)) * R101</f>
        <v>1480.2111773154525</v>
      </c>
      <c r="T101" s="313" cm="1">
        <f t="array" aca="1" ref="T101" ca="1">(1 + INDEX($F$76:$AI$78,MATCH($E101,_xlfn.ANCHORARRAY($D$76)),S$81)) * S101</f>
        <v>1519.751209197296</v>
      </c>
      <c r="U101" s="313" cm="1">
        <f t="array" aca="1" ref="U101" ca="1">(1 + INDEX($F$76:$AI$78,MATCH($E101,_xlfn.ANCHORARRAY($D$76)),T$81)) * T101</f>
        <v>1557.6485711545006</v>
      </c>
      <c r="V101" s="313" cm="1">
        <f t="array" aca="1" ref="V101" ca="1">(1 + INDEX($F$76:$AI$78,MATCH($E101,_xlfn.ANCHORARRAY($D$76)),U$81)) * U101</f>
        <v>1593.6673084930351</v>
      </c>
      <c r="W101" s="313" cm="1">
        <f t="array" aca="1" ref="W101" ca="1">(1 + INDEX($F$76:$AI$78,MATCH($E101,_xlfn.ANCHORARRAY($D$76)),V$81)) * V101</f>
        <v>1627.5685073746877</v>
      </c>
      <c r="X101" s="313" cm="1">
        <f t="array" aca="1" ref="X101" ca="1">(1 + INDEX($F$76:$AI$78,MATCH($E101,_xlfn.ANCHORARRAY($D$76)),W$81)) * W101</f>
        <v>1659.1291476642627</v>
      </c>
      <c r="Y101" s="313" cm="1">
        <f t="array" aca="1" ref="Y101" ca="1">(1 + INDEX($F$76:$AI$78,MATCH($E101,_xlfn.ANCHORARRAY($D$76)),X$81)) * X101</f>
        <v>1688.1997714473889</v>
      </c>
      <c r="Z101" s="313" cm="1">
        <f t="array" aca="1" ref="Z101" ca="1">(1 + INDEX($F$76:$AI$78,MATCH($E101,_xlfn.ANCHORARRAY($D$76)),Y$81)) * Y101</f>
        <v>1714.6589420449</v>
      </c>
      <c r="AA101" s="313" cm="1">
        <f t="array" aca="1" ref="AA101" ca="1">(1 + INDEX($F$76:$AI$78,MATCH($E101,_xlfn.ANCHORARRAY($D$76)),Z$81)) * Z101</f>
        <v>1738.3770490987108</v>
      </c>
      <c r="AB101" s="313" cm="1">
        <f t="array" aca="1" ref="AB101" ca="1">(1 + INDEX($F$76:$AI$78,MATCH($E101,_xlfn.ANCHORARRAY($D$76)),AA$81)) * AA101</f>
        <v>1759.2522124271291</v>
      </c>
      <c r="AC101" s="313" cm="1">
        <f t="array" aca="1" ref="AC101" ca="1">(1 + INDEX($F$76:$AI$78,MATCH($E101,_xlfn.ANCHORARRAY($D$76)),AB$81)) * AB101</f>
        <v>1777.1750327957241</v>
      </c>
      <c r="AD101" s="313" cm="1">
        <f t="array" aca="1" ref="AD101" ca="1">(1 + INDEX($F$76:$AI$78,MATCH($E101,_xlfn.ANCHORARRAY($D$76)),AC$81)) * AC101</f>
        <v>1792.0741158387066</v>
      </c>
      <c r="AE101" s="313" cm="1">
        <f t="array" aca="1" ref="AE101" ca="1">(1 + INDEX($F$76:$AI$78,MATCH($E101,_xlfn.ANCHORARRAY($D$76)),AD$81)) * AD101</f>
        <v>1803.9085051909688</v>
      </c>
      <c r="AF101" s="313" cm="1">
        <f t="array" aca="1" ref="AF101" ca="1">(1 + INDEX($F$76:$AI$78,MATCH($E101,_xlfn.ANCHORARRAY($D$76)),AE$81)) * AE101</f>
        <v>1812.6249483585932</v>
      </c>
      <c r="AG101" s="313" cm="1">
        <f t="array" aca="1" ref="AG101" ca="1">(1 + INDEX($F$76:$AI$78,MATCH($E101,_xlfn.ANCHORARRAY($D$76)),AF$81)) * AF101</f>
        <v>1818.1759615695898</v>
      </c>
      <c r="AH101" s="313" cm="1">
        <f t="array" aca="1" ref="AH101" ca="1">(1 + INDEX($F$76:$AI$78,MATCH($E101,_xlfn.ANCHORARRAY($D$76)),AG$81)) * AG101</f>
        <v>1820.5447507592205</v>
      </c>
      <c r="AI101" s="313" cm="1">
        <f t="array" aca="1" ref="AI101" ca="1">(1 + INDEX($F$76:$AI$78,MATCH($E101,_xlfn.ANCHORARRAY($D$76)),AH$81)) * AH101</f>
        <v>1819.7298994599591</v>
      </c>
      <c r="AJ101" s="313" cm="1">
        <f t="array" aca="1" ref="AJ101" ca="1">(1 + INDEX($F$76:$AI$78,MATCH($E101,_xlfn.ANCHORARRAY($D$76)),AI$81)) * AI101</f>
        <v>1815.7153763251329</v>
      </c>
      <c r="AK101" s="313" cm="1">
        <f t="array" aca="1" ref="AK101" ca="1">(1 + INDEX($F$76:$AI$78,MATCH($E101,_xlfn.ANCHORARRAY($D$76)),AJ$81)) * AJ101</f>
        <v>1808.4930776499966</v>
      </c>
      <c r="AL101" s="313" cm="1">
        <f t="array" aca="1" ref="AL101" ca="1">(1 + INDEX($F$76:$AI$78,MATCH($E101,_xlfn.ANCHORARRAY($D$76)),AK$81)) * AK101</f>
        <v>1798.0690210410423</v>
      </c>
    </row>
    <row r="102" spans="2:38">
      <c r="B102" s="97">
        <v>2</v>
      </c>
      <c r="C102" s="204">
        <v>8</v>
      </c>
      <c r="D102" s="89" t="str">
        <v>Veículos Comerciais com 7 Eixos Articulado</v>
      </c>
      <c r="E102" s="89" t="str">
        <v>Pesados II</v>
      </c>
      <c r="F102" s="318" cm="1">
        <f t="array" aca="1" ref="F102" ca="1">INDEX('Painel Controle'!F$110:I$121,Tráfego!C102,Tráfego!B102) / SUM(_xlfn._xlws.FILTER(OFFSET('Painel Controle'!F$110:F$121,,Tráfego!B102-1),'Painel Controle'!D$110:D$121=Tráfego!E102))</f>
        <v>3.1250000000000007E-2</v>
      </c>
      <c r="G102" s="356" cm="1">
        <f t="array" aca="1" ref="G102" ca="1">INDEX(C$4:E$7,B102,MATCH(E102,_xlfn.ANCHORARRAY(C$3))) * F102</f>
        <v>35.594767422988291</v>
      </c>
      <c r="H102" s="142" cm="1">
        <f t="array" aca="1" ref="H102" ca="1">INDEX(C$4:E$7,B102,MATCH(E102,_xlfn.ANCHORARRAY(C$3))) * F102 * (1 + INDEX(E$76:E$78,MATCH(E102,_xlfn.ANCHORARRAY(D$76),0)))</f>
        <v>37.231632298423207</v>
      </c>
      <c r="I102" s="313" cm="1">
        <f t="array" aca="1" ref="I102" ca="1">(1 + INDEX($F$76:$AI$78,MATCH($E102,_xlfn.ANCHORARRAY($D$76)),H$81)) * H102</f>
        <v>38.656895351992681</v>
      </c>
      <c r="J102" s="313" cm="1">
        <f t="array" aca="1" ref="J102" ca="1">(1 + INDEX($F$76:$AI$78,MATCH($E102,_xlfn.ANCHORARRAY($D$76)),I$81)) * I102</f>
        <v>40.087253076622162</v>
      </c>
      <c r="K102" s="313" cm="1">
        <f t="array" aca="1" ref="K102" ca="1">(1 + INDEX($F$76:$AI$78,MATCH($E102,_xlfn.ANCHORARRAY($D$76)),J$81)) * J102</f>
        <v>41.549031448639525</v>
      </c>
      <c r="L102" s="313" cm="1">
        <f t="array" aca="1" ref="L102" ca="1">(1 + INDEX($F$76:$AI$78,MATCH($E102,_xlfn.ANCHORARRAY($D$76)),K$81)) * K102</f>
        <v>43.051077628564286</v>
      </c>
      <c r="M102" s="313" cm="1">
        <f t="array" aca="1" ref="M102" ca="1">(1 + INDEX($F$76:$AI$78,MATCH($E102,_xlfn.ANCHORARRAY($D$76)),L$81)) * L102</f>
        <v>44.590926553832801</v>
      </c>
      <c r="N102" s="313" cm="1">
        <f t="array" aca="1" ref="N102" ca="1">(1 + INDEX($F$76:$AI$78,MATCH($E102,_xlfn.ANCHORARRAY($D$76)),M$81)) * M102</f>
        <v>46.157804187488694</v>
      </c>
      <c r="O102" s="313" cm="1">
        <f t="array" aca="1" ref="O102" ca="1">(1 + INDEX($F$76:$AI$78,MATCH($E102,_xlfn.ANCHORARRAY($D$76)),N$81)) * N102</f>
        <v>47.734305341268694</v>
      </c>
      <c r="P102" s="313" cm="1">
        <f t="array" aca="1" ref="P102" ca="1">(1 + INDEX($F$76:$AI$78,MATCH($E102,_xlfn.ANCHORARRAY($D$76)),O$81)) * O102</f>
        <v>49.307036155806948</v>
      </c>
      <c r="Q102" s="313" cm="1">
        <f t="array" aca="1" ref="Q102" ca="1">(1 + INDEX($F$76:$AI$78,MATCH($E102,_xlfn.ANCHORARRAY($D$76)),P$81)) * P102</f>
        <v>50.863789461515694</v>
      </c>
      <c r="R102" s="313" cm="1">
        <f t="array" aca="1" ref="R102" ca="1">(1 + INDEX($F$76:$AI$78,MATCH($E102,_xlfn.ANCHORARRAY($D$76)),Q$81)) * Q102</f>
        <v>52.393264485440326</v>
      </c>
      <c r="S102" s="313" cm="1">
        <f t="array" aca="1" ref="S102" ca="1">(1 + INDEX($F$76:$AI$78,MATCH($E102,_xlfn.ANCHORARRAY($D$76)),R$81)) * R102</f>
        <v>53.883490394780928</v>
      </c>
      <c r="T102" s="313" cm="1">
        <f t="array" aca="1" ref="T102" ca="1">(1 + INDEX($F$76:$AI$78,MATCH($E102,_xlfn.ANCHORARRAY($D$76)),S$81)) * S102</f>
        <v>55.322849157075019</v>
      </c>
      <c r="U102" s="313" cm="1">
        <f t="array" aca="1" ref="U102" ca="1">(1 + INDEX($F$76:$AI$78,MATCH($E102,_xlfn.ANCHORARRAY($D$76)),T$81)) * T102</f>
        <v>56.70241051311887</v>
      </c>
      <c r="V102" s="313" cm="1">
        <f t="array" aca="1" ref="V102" ca="1">(1 + INDEX($F$76:$AI$78,MATCH($E102,_xlfn.ANCHORARRAY($D$76)),U$81)) * U102</f>
        <v>58.013585105742187</v>
      </c>
      <c r="W102" s="313" cm="1">
        <f t="array" aca="1" ref="W102" ca="1">(1 + INDEX($F$76:$AI$78,MATCH($E102,_xlfn.ANCHORARRAY($D$76)),V$81)) * V102</f>
        <v>59.24767585732269</v>
      </c>
      <c r="X102" s="313" cm="1">
        <f t="array" aca="1" ref="X102" ca="1">(1 + INDEX($F$76:$AI$78,MATCH($E102,_xlfn.ANCHORARRAY($D$76)),W$81)) * W102</f>
        <v>60.396564261868249</v>
      </c>
      <c r="Y102" s="313" cm="1">
        <f t="array" aca="1" ref="Y102" ca="1">(1 + INDEX($F$76:$AI$78,MATCH($E102,_xlfn.ANCHORARRAY($D$76)),X$81)) * X102</f>
        <v>61.454809667249712</v>
      </c>
      <c r="Z102" s="313" cm="1">
        <f t="array" aca="1" ref="Z102" ca="1">(1 + INDEX($F$76:$AI$78,MATCH($E102,_xlfn.ANCHORARRAY($D$76)),Y$81)) * Y102</f>
        <v>62.417991466302574</v>
      </c>
      <c r="AA102" s="313" cm="1">
        <f t="array" aca="1" ref="AA102" ca="1">(1 + INDEX($F$76:$AI$78,MATCH($E102,_xlfn.ANCHORARRAY($D$76)),Z$81)) * Z102</f>
        <v>63.281391508946655</v>
      </c>
      <c r="AB102" s="313" cm="1">
        <f t="array" aca="1" ref="AB102" ca="1">(1 + INDEX($F$76:$AI$78,MATCH($E102,_xlfn.ANCHORARRAY($D$76)),AA$81)) * AA102</f>
        <v>64.041301094777722</v>
      </c>
      <c r="AC102" s="313" cm="1">
        <f t="array" aca="1" ref="AC102" ca="1">(1 + INDEX($F$76:$AI$78,MATCH($E102,_xlfn.ANCHORARRAY($D$76)),AB$81)) * AB102</f>
        <v>64.693737810550985</v>
      </c>
      <c r="AD102" s="313" cm="1">
        <f t="array" aca="1" ref="AD102" ca="1">(1 + INDEX($F$76:$AI$78,MATCH($E102,_xlfn.ANCHORARRAY($D$76)),AC$81)) * AC102</f>
        <v>65.236102717897239</v>
      </c>
      <c r="AE102" s="313" cm="1">
        <f t="array" aca="1" ref="AE102" ca="1">(1 + INDEX($F$76:$AI$78,MATCH($E102,_xlfn.ANCHORARRAY($D$76)),AD$81)) * AD102</f>
        <v>65.666904899885367</v>
      </c>
      <c r="AF102" s="313" cm="1">
        <f t="array" aca="1" ref="AF102" ca="1">(1 + INDEX($F$76:$AI$78,MATCH($E102,_xlfn.ANCHORARRAY($D$76)),AE$81)) * AE102</f>
        <v>65.984205828899533</v>
      </c>
      <c r="AG102" s="313" cm="1">
        <f t="array" aca="1" ref="AG102" ca="1">(1 + INDEX($F$76:$AI$78,MATCH($E102,_xlfn.ANCHORARRAY($D$76)),AF$81)) * AF102</f>
        <v>66.186276973625326</v>
      </c>
      <c r="AH102" s="313" cm="1">
        <f t="array" aca="1" ref="AH102" ca="1">(1 + INDEX($F$76:$AI$78,MATCH($E102,_xlfn.ANCHORARRAY($D$76)),AG$81)) * AG102</f>
        <v>66.272506986952351</v>
      </c>
      <c r="AI102" s="313" cm="1">
        <f t="array" aca="1" ref="AI102" ca="1">(1 + INDEX($F$76:$AI$78,MATCH($E102,_xlfn.ANCHORARRAY($D$76)),AH$81)) * AH102</f>
        <v>66.242844305822913</v>
      </c>
      <c r="AJ102" s="313" cm="1">
        <f t="array" aca="1" ref="AJ102" ca="1">(1 + INDEX($F$76:$AI$78,MATCH($E102,_xlfn.ANCHORARRAY($D$76)),AI$81)) * AI102</f>
        <v>66.096705348024102</v>
      </c>
      <c r="AK102" s="313" cm="1">
        <f t="array" aca="1" ref="AK102" ca="1">(1 + INDEX($F$76:$AI$78,MATCH($E102,_xlfn.ANCHORARRAY($D$76)),AJ$81)) * AJ102</f>
        <v>65.833795117879959</v>
      </c>
      <c r="AL102" s="313" cm="1">
        <f t="array" aca="1" ref="AL102" ca="1">(1 + INDEX($F$76:$AI$78,MATCH($E102,_xlfn.ANCHORARRAY($D$76)),AK$81)) * AK102</f>
        <v>65.454332671729588</v>
      </c>
    </row>
    <row r="103" spans="2:38">
      <c r="B103" s="97">
        <v>2</v>
      </c>
      <c r="C103" s="204">
        <v>9</v>
      </c>
      <c r="D103" s="89" t="str">
        <v>Veículos Comerciais com 8 Eixos Articulado</v>
      </c>
      <c r="E103" s="89" t="str">
        <v>Pesados II</v>
      </c>
      <c r="F103" s="318" cm="1">
        <f t="array" aca="1" ref="F103" ca="1">INDEX('Painel Controle'!F$110:I$121,Tráfego!C103,Tráfego!B103) / SUM(_xlfn._xlws.FILTER(OFFSET('Painel Controle'!F$110:F$121,,Tráfego!B103-1),'Painel Controle'!D$110:D$121=Tráfego!E103))</f>
        <v>0</v>
      </c>
      <c r="G103" s="356" cm="1">
        <f t="array" aca="1" ref="G103" ca="1">INDEX(C$4:E$7,B103,MATCH(E103,_xlfn.ANCHORARRAY(C$3))) * F103</f>
        <v>0</v>
      </c>
      <c r="H103" s="142" cm="1">
        <f t="array" aca="1" ref="H103" ca="1">INDEX(C$4:E$7,B103,MATCH(E103,_xlfn.ANCHORARRAY(C$3))) * F103 * (1 + INDEX(E$76:E$78,MATCH(E103,_xlfn.ANCHORARRAY(D$76),0)))</f>
        <v>0</v>
      </c>
      <c r="I103" s="313" cm="1">
        <f t="array" aca="1" ref="I103" ca="1">(1 + INDEX($F$76:$AI$78,MATCH($E103,_xlfn.ANCHORARRAY($D$76)),H$81)) * H103</f>
        <v>0</v>
      </c>
      <c r="J103" s="313" cm="1">
        <f t="array" aca="1" ref="J103" ca="1">(1 + INDEX($F$76:$AI$78,MATCH($E103,_xlfn.ANCHORARRAY($D$76)),I$81)) * I103</f>
        <v>0</v>
      </c>
      <c r="K103" s="313" cm="1">
        <f t="array" aca="1" ref="K103" ca="1">(1 + INDEX($F$76:$AI$78,MATCH($E103,_xlfn.ANCHORARRAY($D$76)),J$81)) * J103</f>
        <v>0</v>
      </c>
      <c r="L103" s="313" cm="1">
        <f t="array" aca="1" ref="L103" ca="1">(1 + INDEX($F$76:$AI$78,MATCH($E103,_xlfn.ANCHORARRAY($D$76)),K$81)) * K103</f>
        <v>0</v>
      </c>
      <c r="M103" s="313" cm="1">
        <f t="array" aca="1" ref="M103" ca="1">(1 + INDEX($F$76:$AI$78,MATCH($E103,_xlfn.ANCHORARRAY($D$76)),L$81)) * L103</f>
        <v>0</v>
      </c>
      <c r="N103" s="313" cm="1">
        <f t="array" aca="1" ref="N103" ca="1">(1 + INDEX($F$76:$AI$78,MATCH($E103,_xlfn.ANCHORARRAY($D$76)),M$81)) * M103</f>
        <v>0</v>
      </c>
      <c r="O103" s="313" cm="1">
        <f t="array" aca="1" ref="O103" ca="1">(1 + INDEX($F$76:$AI$78,MATCH($E103,_xlfn.ANCHORARRAY($D$76)),N$81)) * N103</f>
        <v>0</v>
      </c>
      <c r="P103" s="313" cm="1">
        <f t="array" aca="1" ref="P103" ca="1">(1 + INDEX($F$76:$AI$78,MATCH($E103,_xlfn.ANCHORARRAY($D$76)),O$81)) * O103</f>
        <v>0</v>
      </c>
      <c r="Q103" s="313" cm="1">
        <f t="array" aca="1" ref="Q103" ca="1">(1 + INDEX($F$76:$AI$78,MATCH($E103,_xlfn.ANCHORARRAY($D$76)),P$81)) * P103</f>
        <v>0</v>
      </c>
      <c r="R103" s="313" cm="1">
        <f t="array" aca="1" ref="R103" ca="1">(1 + INDEX($F$76:$AI$78,MATCH($E103,_xlfn.ANCHORARRAY($D$76)),Q$81)) * Q103</f>
        <v>0</v>
      </c>
      <c r="S103" s="313" cm="1">
        <f t="array" aca="1" ref="S103" ca="1">(1 + INDEX($F$76:$AI$78,MATCH($E103,_xlfn.ANCHORARRAY($D$76)),R$81)) * R103</f>
        <v>0</v>
      </c>
      <c r="T103" s="313" cm="1">
        <f t="array" aca="1" ref="T103" ca="1">(1 + INDEX($F$76:$AI$78,MATCH($E103,_xlfn.ANCHORARRAY($D$76)),S$81)) * S103</f>
        <v>0</v>
      </c>
      <c r="U103" s="313" cm="1">
        <f t="array" aca="1" ref="U103" ca="1">(1 + INDEX($F$76:$AI$78,MATCH($E103,_xlfn.ANCHORARRAY($D$76)),T$81)) * T103</f>
        <v>0</v>
      </c>
      <c r="V103" s="313" cm="1">
        <f t="array" aca="1" ref="V103" ca="1">(1 + INDEX($F$76:$AI$78,MATCH($E103,_xlfn.ANCHORARRAY($D$76)),U$81)) * U103</f>
        <v>0</v>
      </c>
      <c r="W103" s="313" cm="1">
        <f t="array" aca="1" ref="W103" ca="1">(1 + INDEX($F$76:$AI$78,MATCH($E103,_xlfn.ANCHORARRAY($D$76)),V$81)) * V103</f>
        <v>0</v>
      </c>
      <c r="X103" s="313" cm="1">
        <f t="array" aca="1" ref="X103" ca="1">(1 + INDEX($F$76:$AI$78,MATCH($E103,_xlfn.ANCHORARRAY($D$76)),W$81)) * W103</f>
        <v>0</v>
      </c>
      <c r="Y103" s="313" cm="1">
        <f t="array" aca="1" ref="Y103" ca="1">(1 + INDEX($F$76:$AI$78,MATCH($E103,_xlfn.ANCHORARRAY($D$76)),X$81)) * X103</f>
        <v>0</v>
      </c>
      <c r="Z103" s="313" cm="1">
        <f t="array" aca="1" ref="Z103" ca="1">(1 + INDEX($F$76:$AI$78,MATCH($E103,_xlfn.ANCHORARRAY($D$76)),Y$81)) * Y103</f>
        <v>0</v>
      </c>
      <c r="AA103" s="313" cm="1">
        <f t="array" aca="1" ref="AA103" ca="1">(1 + INDEX($F$76:$AI$78,MATCH($E103,_xlfn.ANCHORARRAY($D$76)),Z$81)) * Z103</f>
        <v>0</v>
      </c>
      <c r="AB103" s="313" cm="1">
        <f t="array" aca="1" ref="AB103" ca="1">(1 + INDEX($F$76:$AI$78,MATCH($E103,_xlfn.ANCHORARRAY($D$76)),AA$81)) * AA103</f>
        <v>0</v>
      </c>
      <c r="AC103" s="313" cm="1">
        <f t="array" aca="1" ref="AC103" ca="1">(1 + INDEX($F$76:$AI$78,MATCH($E103,_xlfn.ANCHORARRAY($D$76)),AB$81)) * AB103</f>
        <v>0</v>
      </c>
      <c r="AD103" s="313" cm="1">
        <f t="array" aca="1" ref="AD103" ca="1">(1 + INDEX($F$76:$AI$78,MATCH($E103,_xlfn.ANCHORARRAY($D$76)),AC$81)) * AC103</f>
        <v>0</v>
      </c>
      <c r="AE103" s="313" cm="1">
        <f t="array" aca="1" ref="AE103" ca="1">(1 + INDEX($F$76:$AI$78,MATCH($E103,_xlfn.ANCHORARRAY($D$76)),AD$81)) * AD103</f>
        <v>0</v>
      </c>
      <c r="AF103" s="313" cm="1">
        <f t="array" aca="1" ref="AF103" ca="1">(1 + INDEX($F$76:$AI$78,MATCH($E103,_xlfn.ANCHORARRAY($D$76)),AE$81)) * AE103</f>
        <v>0</v>
      </c>
      <c r="AG103" s="313" cm="1">
        <f t="array" aca="1" ref="AG103" ca="1">(1 + INDEX($F$76:$AI$78,MATCH($E103,_xlfn.ANCHORARRAY($D$76)),AF$81)) * AF103</f>
        <v>0</v>
      </c>
      <c r="AH103" s="313" cm="1">
        <f t="array" aca="1" ref="AH103" ca="1">(1 + INDEX($F$76:$AI$78,MATCH($E103,_xlfn.ANCHORARRAY($D$76)),AG$81)) * AG103</f>
        <v>0</v>
      </c>
      <c r="AI103" s="313" cm="1">
        <f t="array" aca="1" ref="AI103" ca="1">(1 + INDEX($F$76:$AI$78,MATCH($E103,_xlfn.ANCHORARRAY($D$76)),AH$81)) * AH103</f>
        <v>0</v>
      </c>
      <c r="AJ103" s="313" cm="1">
        <f t="array" aca="1" ref="AJ103" ca="1">(1 + INDEX($F$76:$AI$78,MATCH($E103,_xlfn.ANCHORARRAY($D$76)),AI$81)) * AI103</f>
        <v>0</v>
      </c>
      <c r="AK103" s="313" cm="1">
        <f t="array" aca="1" ref="AK103" ca="1">(1 + INDEX($F$76:$AI$78,MATCH($E103,_xlfn.ANCHORARRAY($D$76)),AJ$81)) * AJ103</f>
        <v>0</v>
      </c>
      <c r="AL103" s="313" cm="1">
        <f t="array" aca="1" ref="AL103" ca="1">(1 + INDEX($F$76:$AI$78,MATCH($E103,_xlfn.ANCHORARRAY($D$76)),AK$81)) * AK103</f>
        <v>0</v>
      </c>
    </row>
    <row r="104" spans="2:38">
      <c r="B104" s="97">
        <v>2</v>
      </c>
      <c r="C104" s="204">
        <v>10</v>
      </c>
      <c r="D104" s="89" t="str">
        <v>Veículos Comerciais com 9 Eixos Articulado</v>
      </c>
      <c r="E104" s="89" t="str">
        <v>Pesados II</v>
      </c>
      <c r="F104" s="318" cm="1">
        <f t="array" aca="1" ref="F104" ca="1">INDEX('Painel Controle'!F$110:I$121,Tráfego!C104,Tráfego!B104) / SUM(_xlfn._xlws.FILTER(OFFSET('Painel Controle'!F$110:F$121,,Tráfego!B104-1),'Painel Controle'!D$110:D$121=Tráfego!E104))</f>
        <v>1.7463235294117651E-2</v>
      </c>
      <c r="G104" s="356" cm="1">
        <f t="array" aca="1" ref="G104" ca="1">INDEX(C$4:E$7,B104,MATCH(E104,_xlfn.ANCHORARRAY(C$3))) * F104</f>
        <v>19.891193559905222</v>
      </c>
      <c r="H104" s="142" cm="1">
        <f t="array" aca="1" ref="H104" ca="1">INDEX(C$4:E$7,B104,MATCH(E104,_xlfn.ANCHORARRAY(C$3))) * F104 * (1 + INDEX(E$76:E$78,MATCH(E104,_xlfn.ANCHORARRAY(D$76),0)))</f>
        <v>20.805912166765911</v>
      </c>
      <c r="I104" s="313" cm="1">
        <f t="array" aca="1" ref="I104" ca="1">(1 + INDEX($F$76:$AI$78,MATCH($E104,_xlfn.ANCHORARRAY($D$76)),H$81)) * H104</f>
        <v>21.602382696701795</v>
      </c>
      <c r="J104" s="313" cm="1">
        <f t="array" aca="1" ref="J104" ca="1">(1 + INDEX($F$76:$AI$78,MATCH($E104,_xlfn.ANCHORARRAY($D$76)),I$81)) * I104</f>
        <v>22.401700248700624</v>
      </c>
      <c r="K104" s="313" cm="1">
        <f t="array" aca="1" ref="K104" ca="1">(1 + INDEX($F$76:$AI$78,MATCH($E104,_xlfn.ANCHORARRAY($D$76)),J$81)) * J104</f>
        <v>23.218576397769151</v>
      </c>
      <c r="L104" s="313" cm="1">
        <f t="array" aca="1" ref="L104" ca="1">(1 + INDEX($F$76:$AI$78,MATCH($E104,_xlfn.ANCHORARRAY($D$76)),K$81)) * K104</f>
        <v>24.057955145374166</v>
      </c>
      <c r="M104" s="313" cm="1">
        <f t="array" aca="1" ref="M104" ca="1">(1 + INDEX($F$76:$AI$78,MATCH($E104,_xlfn.ANCHORARRAY($D$76)),L$81)) * L104</f>
        <v>24.918458956553629</v>
      </c>
      <c r="N104" s="313" cm="1">
        <f t="array" aca="1" ref="N104" ca="1">(1 + INDEX($F$76:$AI$78,MATCH($E104,_xlfn.ANCHORARRAY($D$76)),M$81)) * M104</f>
        <v>25.794067045949571</v>
      </c>
      <c r="O104" s="313" cm="1">
        <f t="array" aca="1" ref="O104" ca="1">(1 + INDEX($F$76:$AI$78,MATCH($E104,_xlfn.ANCHORARRAY($D$76)),N$81)) * N104</f>
        <v>26.675052984826628</v>
      </c>
      <c r="P104" s="313" cm="1">
        <f t="array" aca="1" ref="P104" ca="1">(1 + INDEX($F$76:$AI$78,MATCH($E104,_xlfn.ANCHORARRAY($D$76)),O$81)) * O104</f>
        <v>27.553931969421534</v>
      </c>
      <c r="Q104" s="313" cm="1">
        <f t="array" aca="1" ref="Q104" ca="1">(1 + INDEX($F$76:$AI$78,MATCH($E104,_xlfn.ANCHORARRAY($D$76)),P$81)) * P104</f>
        <v>28.423882346141127</v>
      </c>
      <c r="R104" s="313" cm="1">
        <f t="array" aca="1" ref="R104" ca="1">(1 + INDEX($F$76:$AI$78,MATCH($E104,_xlfn.ANCHORARRAY($D$76)),Q$81)) * Q104</f>
        <v>29.278588977157835</v>
      </c>
      <c r="S104" s="313" cm="1">
        <f t="array" aca="1" ref="S104" ca="1">(1 + INDEX($F$76:$AI$78,MATCH($E104,_xlfn.ANCHORARRAY($D$76)),R$81)) * R104</f>
        <v>30.111362279436406</v>
      </c>
      <c r="T104" s="313" cm="1">
        <f t="array" aca="1" ref="T104" ca="1">(1 + INDEX($F$76:$AI$78,MATCH($E104,_xlfn.ANCHORARRAY($D$76)),S$81)) * S104</f>
        <v>30.915709823071339</v>
      </c>
      <c r="U104" s="313" cm="1">
        <f t="array" aca="1" ref="U104" ca="1">(1 + INDEX($F$76:$AI$78,MATCH($E104,_xlfn.ANCHORARRAY($D$76)),T$81)) * T104</f>
        <v>31.686641169095846</v>
      </c>
      <c r="V104" s="313" cm="1">
        <f t="array" aca="1" ref="V104" ca="1">(1 + INDEX($F$76:$AI$78,MATCH($E104,_xlfn.ANCHORARRAY($D$76)),U$81)) * U104</f>
        <v>32.419356382620641</v>
      </c>
      <c r="W104" s="313" cm="1">
        <f t="array" aca="1" ref="W104" ca="1">(1 + INDEX($F$76:$AI$78,MATCH($E104,_xlfn.ANCHORARRAY($D$76)),V$81)) * V104</f>
        <v>33.108995332033274</v>
      </c>
      <c r="X104" s="313" cm="1">
        <f t="array" aca="1" ref="X104" ca="1">(1 + INDEX($F$76:$AI$78,MATCH($E104,_xlfn.ANCHORARRAY($D$76)),W$81)) * W104</f>
        <v>33.751021205161678</v>
      </c>
      <c r="Y104" s="313" cm="1">
        <f t="array" aca="1" ref="Y104" ca="1">(1 + INDEX($F$76:$AI$78,MATCH($E104,_xlfn.ANCHORARRAY($D$76)),X$81)) * X104</f>
        <v>34.342393637580734</v>
      </c>
      <c r="Z104" s="313" cm="1">
        <f t="array" aca="1" ref="Z104" ca="1">(1 + INDEX($F$76:$AI$78,MATCH($E104,_xlfn.ANCHORARRAY($D$76)),Y$81)) * Y104</f>
        <v>34.880642289992629</v>
      </c>
      <c r="AA104" s="313" cm="1">
        <f t="array" aca="1" ref="AA104" ca="1">(1 + INDEX($F$76:$AI$78,MATCH($E104,_xlfn.ANCHORARRAY($D$76)),Z$81)) * Z104</f>
        <v>35.363130549117258</v>
      </c>
      <c r="AB104" s="313" cm="1">
        <f t="array" aca="1" ref="AB104" ca="1">(1 + INDEX($F$76:$AI$78,MATCH($E104,_xlfn.ANCHORARRAY($D$76)),AA$81)) * AA104</f>
        <v>35.78778590590521</v>
      </c>
      <c r="AC104" s="313" cm="1">
        <f t="array" aca="1" ref="AC104" ca="1">(1 + INDEX($F$76:$AI$78,MATCH($E104,_xlfn.ANCHORARRAY($D$76)),AB$81)) * AB104</f>
        <v>36.152382894131449</v>
      </c>
      <c r="AD104" s="313" cm="1">
        <f t="array" aca="1" ref="AD104" ca="1">(1 + INDEX($F$76:$AI$78,MATCH($E104,_xlfn.ANCHORARRAY($D$76)),AC$81)) * AC104</f>
        <v>36.45546916588377</v>
      </c>
      <c r="AE104" s="313" cm="1">
        <f t="array" aca="1" ref="AE104" ca="1">(1 + INDEX($F$76:$AI$78,MATCH($E104,_xlfn.ANCHORARRAY($D$76)),AD$81)) * AD104</f>
        <v>36.696211561700665</v>
      </c>
      <c r="AF104" s="313" cm="1">
        <f t="array" aca="1" ref="AF104" ca="1">(1 + INDEX($F$76:$AI$78,MATCH($E104,_xlfn.ANCHORARRAY($D$76)),AE$81)) * AE104</f>
        <v>36.87352678673799</v>
      </c>
      <c r="AG104" s="313" cm="1">
        <f t="array" aca="1" ref="AG104" ca="1">(1 + INDEX($F$76:$AI$78,MATCH($E104,_xlfn.ANCHORARRAY($D$76)),AF$81)) * AF104</f>
        <v>36.98644889702593</v>
      </c>
      <c r="AH104" s="313" cm="1">
        <f t="array" aca="1" ref="AH104" ca="1">(1 + INDEX($F$76:$AI$78,MATCH($E104,_xlfn.ANCHORARRAY($D$76)),AG$81)) * AG104</f>
        <v>37.034636257414562</v>
      </c>
      <c r="AI104" s="313" cm="1">
        <f t="array" aca="1" ref="AI104" ca="1">(1 + INDEX($F$76:$AI$78,MATCH($E104,_xlfn.ANCHORARRAY($D$76)),AH$81)) * AH104</f>
        <v>37.018060053253997</v>
      </c>
      <c r="AJ104" s="313" cm="1">
        <f t="array" aca="1" ref="AJ104" ca="1">(1 + INDEX($F$76:$AI$78,MATCH($E104,_xlfn.ANCHORARRAY($D$76)),AI$81)) * AI104</f>
        <v>36.936394165072308</v>
      </c>
      <c r="AK104" s="313" cm="1">
        <f t="array" aca="1" ref="AK104" ca="1">(1 + INDEX($F$76:$AI$78,MATCH($E104,_xlfn.ANCHORARRAY($D$76)),AJ$81)) * AJ104</f>
        <v>36.789473742344697</v>
      </c>
      <c r="AL104" s="313" cm="1">
        <f t="array" aca="1" ref="AL104" ca="1">(1 + INDEX($F$76:$AI$78,MATCH($E104,_xlfn.ANCHORARRAY($D$76)),AK$81)) * AK104</f>
        <v>36.577421198907722</v>
      </c>
    </row>
    <row r="105" spans="2:38">
      <c r="B105" s="97">
        <v>2</v>
      </c>
      <c r="C105" s="204">
        <v>11</v>
      </c>
      <c r="D105" s="89" t="str">
        <v>Motocicleta</v>
      </c>
      <c r="E105" s="89" t="str">
        <v>Leves</v>
      </c>
      <c r="F105" s="318" cm="1">
        <f t="array" aca="1" ref="F105" ca="1">INDEX('Painel Controle'!F$110:I$121,Tráfego!C105,Tráfego!B105) / SUM(_xlfn._xlws.FILTER(OFFSET('Painel Controle'!F$110:F$121,,Tráfego!B105-1),'Painel Controle'!D$110:D$121=Tráfego!E105))</f>
        <v>7.2628458498023726E-2</v>
      </c>
      <c r="G105" s="356" cm="1">
        <f t="array" aca="1" ref="G105" ca="1">INDEX(C$4:E$7,B105,MATCH(E105,_xlfn.ANCHORARRAY(C$3))) * F105</f>
        <v>828.53183702308047</v>
      </c>
      <c r="H105" s="142" cm="1">
        <f t="array" aca="1" ref="H105" ca="1">INDEX(C$4:E$7,B105,MATCH(E105,_xlfn.ANCHORARRAY(C$3))) * F105 * (1 + INDEX(E$76:E$78,MATCH(E105,_xlfn.ANCHORARRAY(D$76),0)))</f>
        <v>871.62903890426492</v>
      </c>
      <c r="I105" s="313" cm="1">
        <f t="array" aca="1" ref="I105" ca="1">(1 + INDEX($F$76:$AI$78,MATCH($E105,_xlfn.ANCHORARRAY($D$76)),H$81)) * H105</f>
        <v>908.61624517131349</v>
      </c>
      <c r="J105" s="313" cm="1">
        <f t="array" aca="1" ref="J105" ca="1">(1 + INDEX($F$76:$AI$78,MATCH($E105,_xlfn.ANCHORARRAY($D$76)),I$81)) * I105</f>
        <v>946.19848613155511</v>
      </c>
      <c r="K105" s="313" cm="1">
        <f t="array" aca="1" ref="K105" ca="1">(1 + INDEX($F$76:$AI$78,MATCH($E105,_xlfn.ANCHORARRAY($D$76)),J$81)) * J105</f>
        <v>985.25859822241011</v>
      </c>
      <c r="L105" s="313" cm="1">
        <f t="array" aca="1" ref="L105" ca="1">(1 + INDEX($F$76:$AI$78,MATCH($E105,_xlfn.ANCHORARRAY($D$76)),K$81)) * K105</f>
        <v>1026.1450019823974</v>
      </c>
      <c r="M105" s="313" cm="1">
        <f t="array" aca="1" ref="M105" ca="1">(1 + INDEX($F$76:$AI$78,MATCH($E105,_xlfn.ANCHORARRAY($D$76)),L$81)) * L105</f>
        <v>1068.8540209265357</v>
      </c>
      <c r="N105" s="313" cm="1">
        <f t="array" aca="1" ref="N105" ca="1">(1 + INDEX($F$76:$AI$78,MATCH($E105,_xlfn.ANCHORARRAY($D$76)),M$81)) * M105</f>
        <v>1113.1301656021408</v>
      </c>
      <c r="O105" s="313" cm="1">
        <f t="array" aca="1" ref="O105" ca="1">(1 + INDEX($F$76:$AI$78,MATCH($E105,_xlfn.ANCHORARRAY($D$76)),N$81)) * N105</f>
        <v>1158.5056319896257</v>
      </c>
      <c r="P105" s="313" cm="1">
        <f t="array" aca="1" ref="P105" ca="1">(1 + INDEX($F$76:$AI$78,MATCH($E105,_xlfn.ANCHORARRAY($D$76)),O$81)) * O105</f>
        <v>1204.6159044511955</v>
      </c>
      <c r="Q105" s="313" cm="1">
        <f t="array" aca="1" ref="Q105" ca="1">(1 + INDEX($F$76:$AI$78,MATCH($E105,_xlfn.ANCHORARRAY($D$76)),P$81)) * P105</f>
        <v>1251.1257629503102</v>
      </c>
      <c r="R105" s="313" cm="1">
        <f t="array" aca="1" ref="R105" ca="1">(1 + INDEX($F$76:$AI$78,MATCH($E105,_xlfn.ANCHORARRAY($D$76)),Q$81)) * Q105</f>
        <v>1297.7171154493158</v>
      </c>
      <c r="S105" s="313" cm="1">
        <f t="array" aca="1" ref="S105" ca="1">(1 + INDEX($F$76:$AI$78,MATCH($E105,_xlfn.ANCHORARRAY($D$76)),R$81)) * R105</f>
        <v>1344.0472622679022</v>
      </c>
      <c r="T105" s="313" cm="1">
        <f t="array" aca="1" ref="T105" ca="1">(1 + INDEX($F$76:$AI$78,MATCH($E105,_xlfn.ANCHORARRAY($D$76)),S$81)) * S105</f>
        <v>1389.7757658233813</v>
      </c>
      <c r="U105" s="313" cm="1">
        <f t="array" aca="1" ref="U105" ca="1">(1 + INDEX($F$76:$AI$78,MATCH($E105,_xlfn.ANCHORARRAY($D$76)),T$81)) * T105</f>
        <v>1434.6264228917155</v>
      </c>
      <c r="V105" s="313" cm="1">
        <f t="array" aca="1" ref="V105" ca="1">(1 + INDEX($F$76:$AI$78,MATCH($E105,_xlfn.ANCHORARRAY($D$76)),U$81)) * U105</f>
        <v>1478.3241349411494</v>
      </c>
      <c r="W105" s="313" cm="1">
        <f t="array" aca="1" ref="W105" ca="1">(1 + INDEX($F$76:$AI$78,MATCH($E105,_xlfn.ANCHORARRAY($D$76)),V$81)) * V105</f>
        <v>1520.5815900233511</v>
      </c>
      <c r="X105" s="313" cm="1">
        <f t="array" aca="1" ref="X105" ca="1">(1 + INDEX($F$76:$AI$78,MATCH($E105,_xlfn.ANCHORARRAY($D$76)),W$81)) * W105</f>
        <v>1561.1216272278739</v>
      </c>
      <c r="Y105" s="313" cm="1">
        <f t="array" aca="1" ref="Y105" ca="1">(1 + INDEX($F$76:$AI$78,MATCH($E105,_xlfn.ANCHORARRAY($D$76)),X$81)) * X105</f>
        <v>1599.7355838881242</v>
      </c>
      <c r="Z105" s="313" cm="1">
        <f t="array" aca="1" ref="Z105" ca="1">(1 + INDEX($F$76:$AI$78,MATCH($E105,_xlfn.ANCHORARRAY($D$76)),Y$81)) * Y105</f>
        <v>1636.2417683152112</v>
      </c>
      <c r="AA105" s="313" cm="1">
        <f t="array" aca="1" ref="AA105" ca="1">(1 + INDEX($F$76:$AI$78,MATCH($E105,_xlfn.ANCHORARRAY($D$76)),Z$81)) * Z105</f>
        <v>1670.4488223255323</v>
      </c>
      <c r="AB105" s="313" cm="1">
        <f t="array" aca="1" ref="AB105" ca="1">(1 + INDEX($F$76:$AI$78,MATCH($E105,_xlfn.ANCHORARRAY($D$76)),AA$81)) * AA105</f>
        <v>1702.1895206615575</v>
      </c>
      <c r="AC105" s="313" cm="1">
        <f t="array" aca="1" ref="AC105" ca="1">(1 + INDEX($F$76:$AI$78,MATCH($E105,_xlfn.ANCHORARRAY($D$76)),AB$81)) * AB105</f>
        <v>1731.28888552326</v>
      </c>
      <c r="AD105" s="313" cm="1">
        <f t="array" aca="1" ref="AD105" ca="1">(1 + INDEX($F$76:$AI$78,MATCH($E105,_xlfn.ANCHORARRAY($D$76)),AC$81)) * AC105</f>
        <v>1757.6090011166275</v>
      </c>
      <c r="AE105" s="313" cm="1">
        <f t="array" aca="1" ref="AE105" ca="1">(1 + INDEX($F$76:$AI$78,MATCH($E105,_xlfn.ANCHORARRAY($D$76)),AD$81)) * AD105</f>
        <v>1781.0430051387648</v>
      </c>
      <c r="AF105" s="313" cm="1">
        <f t="array" aca="1" ref="AF105" ca="1">(1 + INDEX($F$76:$AI$78,MATCH($E105,_xlfn.ANCHORARRAY($D$76)),AE$81)) * AE105</f>
        <v>1801.4735938507376</v>
      </c>
      <c r="AG105" s="313" cm="1">
        <f t="array" aca="1" ref="AG105" ca="1">(1 + INDEX($F$76:$AI$78,MATCH($E105,_xlfn.ANCHORARRAY($D$76)),AF$81)) * AF105</f>
        <v>1818.789386943135</v>
      </c>
      <c r="AH105" s="313" cm="1">
        <f t="array" aca="1" ref="AH105" ca="1">(1 + INDEX($F$76:$AI$78,MATCH($E105,_xlfn.ANCHORARRAY($D$76)),AG$81)) * AG105</f>
        <v>1832.9096575846891</v>
      </c>
      <c r="AI105" s="313" cm="1">
        <f t="array" aca="1" ref="AI105" ca="1">(1 + INDEX($F$76:$AI$78,MATCH($E105,_xlfn.ANCHORARRAY($D$76)),AH$81)) * AH105</f>
        <v>1843.7680071540303</v>
      </c>
      <c r="AJ105" s="313" cm="1">
        <f t="array" aca="1" ref="AJ105" ca="1">(1 + INDEX($F$76:$AI$78,MATCH($E105,_xlfn.ANCHORARRAY($D$76)),AI$81)) * AI105</f>
        <v>1851.2824675058203</v>
      </c>
      <c r="AK105" s="313" cm="1">
        <f t="array" aca="1" ref="AK105" ca="1">(1 + INDEX($F$76:$AI$78,MATCH($E105,_xlfn.ANCHORARRAY($D$76)),AJ$81)) * AJ105</f>
        <v>1855.3793625358035</v>
      </c>
      <c r="AL105" s="313" cm="1">
        <f t="array" aca="1" ref="AL105" ca="1">(1 + INDEX($F$76:$AI$78,MATCH($E105,_xlfn.ANCHORARRAY($D$76)),AK$81)) * AK105</f>
        <v>1856.0008329318061</v>
      </c>
    </row>
    <row r="106" spans="2:38">
      <c r="B106" s="97">
        <v>2</v>
      </c>
      <c r="C106" s="204">
        <v>12</v>
      </c>
      <c r="D106" s="89" t="str">
        <v xml:space="preserve">Veículos do transporte público coletivo intermunicipal e metropolitano </v>
      </c>
      <c r="E106" s="89" t="str">
        <v>Pesados I</v>
      </c>
      <c r="F106" s="318" cm="1">
        <f t="array" aca="1" ref="F106" ca="1">INDEX('Painel Controle'!F$110:I$121,Tráfego!C106,Tráfego!B106) / SUM(_xlfn._xlws.FILTER(OFFSET('Painel Controle'!F$110:F$121,,Tráfego!B106-1),'Painel Controle'!D$110:D$121=Tráfego!E106))</f>
        <v>2.8990620784192629E-2</v>
      </c>
      <c r="G106" s="356" cm="1">
        <f t="array" aca="1" ref="G106" ca="1">INDEX(C$4:E$7,B106,MATCH(E106,_xlfn.ANCHORARRAY(C$3))) * F106</f>
        <v>45.191780821917803</v>
      </c>
      <c r="H106" s="142" cm="1">
        <f t="array" aca="1" ref="H106" ca="1">INDEX(C$4:E$7,B106,MATCH(E106,_xlfn.ANCHORARRAY(C$3))) * F106 * (1 + INDEX(E$76:E$78,MATCH(E106,_xlfn.ANCHORARRAY(D$76),0)))</f>
        <v>46.552886327233345</v>
      </c>
      <c r="I106" s="313" cm="1">
        <f t="array" aca="1" ref="I106" ca="1">(1 + INDEX($F$76:$AI$78,MATCH($E106,_xlfn.ANCHORARRAY($D$76)),H$81)) * H106</f>
        <v>47.757384049481743</v>
      </c>
      <c r="J106" s="313" cm="1">
        <f t="array" aca="1" ref="J106" ca="1">(1 + INDEX($F$76:$AI$78,MATCH($E106,_xlfn.ANCHORARRAY($D$76)),I$81)) * I106</f>
        <v>48.936803440407736</v>
      </c>
      <c r="K106" s="313" cm="1">
        <f t="array" aca="1" ref="K106" ca="1">(1 + INDEX($F$76:$AI$78,MATCH($E106,_xlfn.ANCHORARRAY($D$76)),J$81)) * J106</f>
        <v>50.10475268803895</v>
      </c>
      <c r="L106" s="313" cm="1">
        <f t="array" aca="1" ref="L106" ca="1">(1 + INDEX($F$76:$AI$78,MATCH($E106,_xlfn.ANCHORARRAY($D$76)),K$81)) * K106</f>
        <v>51.264217237974293</v>
      </c>
      <c r="M106" s="313" cm="1">
        <f t="array" aca="1" ref="M106" ca="1">(1 + INDEX($F$76:$AI$78,MATCH($E106,_xlfn.ANCHORARRAY($D$76)),L$81)) * L106</f>
        <v>52.41173640558759</v>
      </c>
      <c r="N106" s="313" cm="1">
        <f t="array" aca="1" ref="N106" ca="1">(1 + INDEX($F$76:$AI$78,MATCH($E106,_xlfn.ANCHORARRAY($D$76)),M$81)) * M106</f>
        <v>53.538861402127289</v>
      </c>
      <c r="O106" s="313" cm="1">
        <f t="array" aca="1" ref="O106" ca="1">(1 + INDEX($F$76:$AI$78,MATCH($E106,_xlfn.ANCHORARRAY($D$76)),N$81)) * N106</f>
        <v>54.633682968224662</v>
      </c>
      <c r="P106" s="313" cm="1">
        <f t="array" aca="1" ref="P106" ca="1">(1 + INDEX($F$76:$AI$78,MATCH($E106,_xlfn.ANCHORARRAY($D$76)),O$81)) * O106</f>
        <v>55.687717903087716</v>
      </c>
      <c r="Q106" s="313" cm="1">
        <f t="array" aca="1" ref="Q106" ca="1">(1 + INDEX($F$76:$AI$78,MATCH($E106,_xlfn.ANCHORARRAY($D$76)),P$81)) * P106</f>
        <v>56.693545999066686</v>
      </c>
      <c r="R106" s="313" cm="1">
        <f t="array" aca="1" ref="R106" ca="1">(1 + INDEX($F$76:$AI$78,MATCH($E106,_xlfn.ANCHORARRAY($D$76)),Q$81)) * Q106</f>
        <v>57.644742607695143</v>
      </c>
      <c r="S106" s="313" cm="1">
        <f t="array" aca="1" ref="S106" ca="1">(1 + INDEX($F$76:$AI$78,MATCH($E106,_xlfn.ANCHORARRAY($D$76)),R$81)) * R106</f>
        <v>58.534592966804787</v>
      </c>
      <c r="T106" s="313" cm="1">
        <f t="array" aca="1" ref="T106" ca="1">(1 + INDEX($F$76:$AI$78,MATCH($E106,_xlfn.ANCHORARRAY($D$76)),S$81)) * S106</f>
        <v>59.356874611467333</v>
      </c>
      <c r="U106" s="313" cm="1">
        <f t="array" aca="1" ref="U106" ca="1">(1 + INDEX($F$76:$AI$78,MATCH($E106,_xlfn.ANCHORARRAY($D$76)),T$81)) * T106</f>
        <v>60.107636654997044</v>
      </c>
      <c r="V106" s="313" cm="1">
        <f t="array" aca="1" ref="V106" ca="1">(1 + INDEX($F$76:$AI$78,MATCH($E106,_xlfn.ANCHORARRAY($D$76)),U$81)) * U106</f>
        <v>60.78336018860022</v>
      </c>
      <c r="W106" s="313" cm="1">
        <f t="array" aca="1" ref="W106" ca="1">(1 + INDEX($F$76:$AI$78,MATCH($E106,_xlfn.ANCHORARRAY($D$76)),V$81)) * V106</f>
        <v>61.380637206375823</v>
      </c>
      <c r="X106" s="313" cm="1">
        <f t="array" aca="1" ref="X106" ca="1">(1 + INDEX($F$76:$AI$78,MATCH($E106,_xlfn.ANCHORARRAY($D$76)),W$81)) * W106</f>
        <v>61.896522891815891</v>
      </c>
      <c r="Y106" s="313" cm="1">
        <f t="array" aca="1" ref="Y106" ca="1">(1 + INDEX($F$76:$AI$78,MATCH($E106,_xlfn.ANCHORARRAY($D$76)),X$81)) * X106</f>
        <v>62.330045061924082</v>
      </c>
      <c r="Z106" s="313" cm="1">
        <f t="array" aca="1" ref="Z106" ca="1">(1 + INDEX($F$76:$AI$78,MATCH($E106,_xlfn.ANCHORARRAY($D$76)),Y$81)) * Y106</f>
        <v>62.680824714568502</v>
      </c>
      <c r="AA106" s="313" cm="1">
        <f t="array" aca="1" ref="AA106" ca="1">(1 + INDEX($F$76:$AI$78,MATCH($E106,_xlfn.ANCHORARRAY($D$76)),Z$81)) * Z106</f>
        <v>62.948126046078052</v>
      </c>
      <c r="AB106" s="313" cm="1">
        <f t="array" aca="1" ref="AB106" ca="1">(1 + INDEX($F$76:$AI$78,MATCH($E106,_xlfn.ANCHORARRAY($D$76)),AA$81)) * AA106</f>
        <v>63.131897316158167</v>
      </c>
      <c r="AC106" s="313" cm="1">
        <f t="array" aca="1" ref="AC106" ca="1">(1 + INDEX($F$76:$AI$78,MATCH($E106,_xlfn.ANCHORARRAY($D$76)),AB$81)) * AB106</f>
        <v>63.23170996735513</v>
      </c>
      <c r="AD106" s="313" cm="1">
        <f t="array" aca="1" ref="AD106" ca="1">(1 + INDEX($F$76:$AI$78,MATCH($E106,_xlfn.ANCHORARRAY($D$76)),AC$81)) * AC106</f>
        <v>63.248010823930834</v>
      </c>
      <c r="AE106" s="313" cm="1">
        <f t="array" aca="1" ref="AE106" ca="1">(1 + INDEX($F$76:$AI$78,MATCH($E106,_xlfn.ANCHORARRAY($D$76)),AD$81)) * AD106</f>
        <v>63.18187412287012</v>
      </c>
      <c r="AF106" s="313" cm="1">
        <f t="array" aca="1" ref="AF106" ca="1">(1 + INDEX($F$76:$AI$78,MATCH($E106,_xlfn.ANCHORARRAY($D$76)),AE$81)) * AE106</f>
        <v>63.033824392868048</v>
      </c>
      <c r="AG106" s="313" cm="1">
        <f t="array" aca="1" ref="AG106" ca="1">(1 + INDEX($F$76:$AI$78,MATCH($E106,_xlfn.ANCHORARRAY($D$76)),AF$81)) * AF106</f>
        <v>62.804385588481722</v>
      </c>
      <c r="AH106" s="313" cm="1">
        <f t="array" aca="1" ref="AH106" ca="1">(1 + INDEX($F$76:$AI$78,MATCH($E106,_xlfn.ANCHORARRAY($D$76)),AG$81)) * AG106</f>
        <v>62.494763634157593</v>
      </c>
      <c r="AI106" s="313" cm="1">
        <f t="array" aca="1" ref="AI106" ca="1">(1 + INDEX($F$76:$AI$78,MATCH($E106,_xlfn.ANCHORARRAY($D$76)),AH$81)) * AH106</f>
        <v>62.106474372202804</v>
      </c>
      <c r="AJ106" s="313" cm="1">
        <f t="array" aca="1" ref="AJ106" ca="1">(1 + INDEX($F$76:$AI$78,MATCH($E106,_xlfn.ANCHORARRAY($D$76)),AI$81)) * AI106</f>
        <v>61.640535734014939</v>
      </c>
      <c r="AK106" s="313" cm="1">
        <f t="array" aca="1" ref="AK106" ca="1">(1 + INDEX($F$76:$AI$78,MATCH($E106,_xlfn.ANCHORARRAY($D$76)),AJ$81)) * AJ106</f>
        <v>61.098036172771572</v>
      </c>
      <c r="AL106" s="313" cm="1">
        <f t="array" aca="1" ref="AL106" ca="1">(1 + INDEX($F$76:$AI$78,MATCH($E106,_xlfn.ANCHORARRAY($D$76)),AK$81)) * AK106</f>
        <v>60.480267739651566</v>
      </c>
    </row>
    <row r="107" spans="2:38">
      <c r="B107" s="97" cm="1">
        <f t="array" ref="B107:B118">_xlfn.ANCHORARRAY(B95) + 1</f>
        <v>3</v>
      </c>
      <c r="C107" s="204" cm="1">
        <f t="array" ref="C107:C118">'Painel Controle'!B$110:B$121</f>
        <v>1</v>
      </c>
      <c r="D107" s="89" t="str" cm="1">
        <f t="array" ref="D107:D118">'Painel Controle'!C$110:C$121</f>
        <v>Automóvel</v>
      </c>
      <c r="E107" s="89" t="str" cm="1">
        <f t="array" ref="E107:E118">'Painel Controle'!D$110:D$121</f>
        <v>Leves</v>
      </c>
      <c r="F107" s="318" cm="1">
        <f t="array" aca="1" ref="F107" ca="1">INDEX('Painel Controle'!F$110:I$121,Tráfego!C107,Tráfego!B107) / SUM(_xlfn._xlws.FILTER(OFFSET('Painel Controle'!F$110:F$121,,Tráfego!B107-1),'Painel Controle'!D$110:D$121=Tráfego!E107))</f>
        <v>0.88515151515151524</v>
      </c>
      <c r="G107" s="356" cm="1">
        <f t="array" aca="1" ref="G107" ca="1">INDEX(C$4:E$7,B107,MATCH(E107,_xlfn.ANCHORARRAY(C$3))) * F107</f>
        <v>3136.441784914784</v>
      </c>
      <c r="H107" s="142" cm="1">
        <f t="array" aca="1" ref="H107" ca="1">INDEX(C$4:E$7,B107,MATCH(E107,_xlfn.ANCHORARRAY(C$3))) * F107 * (1 + INDEX(E$76:E$78,MATCH(E107,_xlfn.ANCHORARRAY(D$76),0)))</f>
        <v>3299.5880380252597</v>
      </c>
      <c r="I107" s="313" cm="1">
        <f t="array" aca="1" ref="I107" ca="1">(1 + INDEX($F$76:$AI$78,MATCH($E107,_xlfn.ANCHORARRAY($D$76)),H$81)) * H107</f>
        <v>3439.6046482017027</v>
      </c>
      <c r="J107" s="313" cm="1">
        <f t="array" aca="1" ref="J107" ca="1">(1 + INDEX($F$76:$AI$78,MATCH($E107,_xlfn.ANCHORARRAY($D$76)),I$81)) * I107</f>
        <v>3581.8737869978186</v>
      </c>
      <c r="K107" s="313" cm="1">
        <f t="array" aca="1" ref="K107" ca="1">(1 + INDEX($F$76:$AI$78,MATCH($E107,_xlfn.ANCHORARRAY($D$76)),J$81)) * J107</f>
        <v>3729.737468525605</v>
      </c>
      <c r="L107" s="313" cm="1">
        <f t="array" aca="1" ref="L107" ca="1">(1 + INDEX($F$76:$AI$78,MATCH($E107,_xlfn.ANCHORARRAY($D$76)),K$81)) * K107</f>
        <v>3884.5146532485001</v>
      </c>
      <c r="M107" s="313" cm="1">
        <f t="array" aca="1" ref="M107" ca="1">(1 + INDEX($F$76:$AI$78,MATCH($E107,_xlfn.ANCHORARRAY($D$76)),L$81)) * L107</f>
        <v>4046.1914236794487</v>
      </c>
      <c r="N107" s="313" cm="1">
        <f t="array" aca="1" ref="N107" ca="1">(1 + INDEX($F$76:$AI$78,MATCH($E107,_xlfn.ANCHORARRAY($D$76)),M$81)) * M107</f>
        <v>4213.8006138518613</v>
      </c>
      <c r="O107" s="313" cm="1">
        <f t="array" aca="1" ref="O107" ca="1">(1 + INDEX($F$76:$AI$78,MATCH($E107,_xlfn.ANCHORARRAY($D$76)),N$81)) * N107</f>
        <v>4385.571332161313</v>
      </c>
      <c r="P107" s="313" cm="1">
        <f t="array" aca="1" ref="P107" ca="1">(1 + INDEX($F$76:$AI$78,MATCH($E107,_xlfn.ANCHORARRAY($D$76)),O$81)) * O107</f>
        <v>4560.1236894755484</v>
      </c>
      <c r="Q107" s="313" cm="1">
        <f t="array" aca="1" ref="Q107" ca="1">(1 + INDEX($F$76:$AI$78,MATCH($E107,_xlfn.ANCHORARRAY($D$76)),P$81)) * P107</f>
        <v>4736.1886963812922</v>
      </c>
      <c r="R107" s="313" cm="1">
        <f t="array" aca="1" ref="R107" ca="1">(1 + INDEX($F$76:$AI$78,MATCH($E107,_xlfn.ANCHORARRAY($D$76)),Q$81)) * Q107</f>
        <v>4912.5622022185871</v>
      </c>
      <c r="S107" s="313" cm="1">
        <f t="array" aca="1" ref="S107" ca="1">(1 + INDEX($F$76:$AI$78,MATCH($E107,_xlfn.ANCHORARRAY($D$76)),R$81)) * R107</f>
        <v>5087.9469030710698</v>
      </c>
      <c r="T107" s="313" cm="1">
        <f t="array" aca="1" ref="T107" ca="1">(1 + INDEX($F$76:$AI$78,MATCH($E107,_xlfn.ANCHORARRAY($D$76)),S$81)) * S107</f>
        <v>5261.0540582871627</v>
      </c>
      <c r="U107" s="313" cm="1">
        <f t="array" aca="1" ref="U107" ca="1">(1 + INDEX($F$76:$AI$78,MATCH($E107,_xlfn.ANCHORARRAY($D$76)),T$81)) * T107</f>
        <v>5430.8380890559019</v>
      </c>
      <c r="V107" s="313" cm="1">
        <f t="array" aca="1" ref="V107" ca="1">(1 + INDEX($F$76:$AI$78,MATCH($E107,_xlfn.ANCHORARRAY($D$76)),U$81)) * U107</f>
        <v>5596.2575984249797</v>
      </c>
      <c r="W107" s="313" cm="1">
        <f t="array" aca="1" ref="W107" ca="1">(1 + INDEX($F$76:$AI$78,MATCH($E107,_xlfn.ANCHORARRAY($D$76)),V$81)) * V107</f>
        <v>5756.2249550448369</v>
      </c>
      <c r="X107" s="313" cm="1">
        <f t="array" aca="1" ref="X107" ca="1">(1 + INDEX($F$76:$AI$78,MATCH($E107,_xlfn.ANCHORARRAY($D$76)),W$81)) * W107</f>
        <v>5909.690954742714</v>
      </c>
      <c r="Y107" s="313" cm="1">
        <f t="array" aca="1" ref="Y107" ca="1">(1 + INDEX($F$76:$AI$78,MATCH($E107,_xlfn.ANCHORARRAY($D$76)),X$81)) * X107</f>
        <v>6055.8656963015274</v>
      </c>
      <c r="Z107" s="313" cm="1">
        <f t="array" aca="1" ref="Z107" ca="1">(1 + INDEX($F$76:$AI$78,MATCH($E107,_xlfn.ANCHORARRAY($D$76)),Y$81)) * Y107</f>
        <v>6194.0613782638748</v>
      </c>
      <c r="AA107" s="313" cm="1">
        <f t="array" aca="1" ref="AA107" ca="1">(1 + INDEX($F$76:$AI$78,MATCH($E107,_xlfn.ANCHORARRAY($D$76)),Z$81)) * Z107</f>
        <v>6323.553606253925</v>
      </c>
      <c r="AB107" s="313" cm="1">
        <f t="array" aca="1" ref="AB107" ca="1">(1 + INDEX($F$76:$AI$78,MATCH($E107,_xlfn.ANCHORARRAY($D$76)),AA$81)) * AA107</f>
        <v>6443.7093420928495</v>
      </c>
      <c r="AC107" s="313" cm="1">
        <f t="array" aca="1" ref="AC107" ca="1">(1 + INDEX($F$76:$AI$78,MATCH($E107,_xlfn.ANCHORARRAY($D$76)),AB$81)) * AB107</f>
        <v>6553.8662000292361</v>
      </c>
      <c r="AD107" s="313" cm="1">
        <f t="array" aca="1" ref="AD107" ca="1">(1 + INDEX($F$76:$AI$78,MATCH($E107,_xlfn.ANCHORARRAY($D$76)),AC$81)) * AC107</f>
        <v>6653.5020940794066</v>
      </c>
      <c r="AE107" s="313" cm="1">
        <f t="array" aca="1" ref="AE107" ca="1">(1 + INDEX($F$76:$AI$78,MATCH($E107,_xlfn.ANCHORARRAY($D$76)),AD$81)) * AD107</f>
        <v>6742.2124925439675</v>
      </c>
      <c r="AF107" s="313" cm="1">
        <f t="array" aca="1" ref="AF107" ca="1">(1 + INDEX($F$76:$AI$78,MATCH($E107,_xlfn.ANCHORARRAY($D$76)),AE$81)) * AE107</f>
        <v>6819.5533372324198</v>
      </c>
      <c r="AG107" s="313" cm="1">
        <f t="array" aca="1" ref="AG107" ca="1">(1 + INDEX($F$76:$AI$78,MATCH($E107,_xlfn.ANCHORARRAY($D$76)),AF$81)) * AF107</f>
        <v>6885.1029933434875</v>
      </c>
      <c r="AH107" s="313" cm="1">
        <f t="array" aca="1" ref="AH107" ca="1">(1 + INDEX($F$76:$AI$78,MATCH($E107,_xlfn.ANCHORARRAY($D$76)),AG$81)) * AG107</f>
        <v>6938.5558660944007</v>
      </c>
      <c r="AI107" s="313" cm="1">
        <f t="array" aca="1" ref="AI107" ca="1">(1 + INDEX($F$76:$AI$78,MATCH($E107,_xlfn.ANCHORARRAY($D$76)),AH$81)) * AH107</f>
        <v>6979.6606007378623</v>
      </c>
      <c r="AJ107" s="313" cm="1">
        <f t="array" aca="1" ref="AJ107" ca="1">(1 + INDEX($F$76:$AI$78,MATCH($E107,_xlfn.ANCHORARRAY($D$76)),AI$81)) * AI107</f>
        <v>7008.1069034449756</v>
      </c>
      <c r="AK107" s="313" cm="1">
        <f t="array" aca="1" ref="AK107" ca="1">(1 + INDEX($F$76:$AI$78,MATCH($E107,_xlfn.ANCHORARRAY($D$76)),AJ$81)) * AJ107</f>
        <v>7023.615870253805</v>
      </c>
      <c r="AL107" s="313" cm="1">
        <f t="array" aca="1" ref="AL107" ca="1">(1 + INDEX($F$76:$AI$78,MATCH($E107,_xlfn.ANCHORARRAY($D$76)),AK$81)) * AK107</f>
        <v>7025.9684723277505</v>
      </c>
    </row>
    <row r="108" spans="2:38">
      <c r="B108" s="97">
        <v>3</v>
      </c>
      <c r="C108" s="204">
        <v>2</v>
      </c>
      <c r="D108" s="89" t="str">
        <v xml:space="preserve">Automóvel com reboque </v>
      </c>
      <c r="E108" s="89" t="str">
        <v>Leves</v>
      </c>
      <c r="F108" s="318" cm="1">
        <f t="array" aca="1" ref="F108" ca="1">INDEX('Painel Controle'!F$110:I$121,Tráfego!C108,Tráfego!B108) / SUM(_xlfn._xlws.FILTER(OFFSET('Painel Controle'!F$110:F$121,,Tráfego!B108-1),'Painel Controle'!D$110:D$121=Tráfego!E108))</f>
        <v>6.666666666666668E-3</v>
      </c>
      <c r="G108" s="356" cm="1">
        <f t="array" aca="1" ref="G108" ca="1">INDEX(C$4:E$7,B108,MATCH(E108,_xlfn.ANCHORARRAY(C$3))) * F108</f>
        <v>23.622635832976808</v>
      </c>
      <c r="H108" s="142" cm="1">
        <f t="array" aca="1" ref="H108" ca="1">INDEX(C$4:E$7,B108,MATCH(E108,_xlfn.ANCHORARRAY(C$3))) * F108 * (1 + INDEX(E$76:E$78,MATCH(E108,_xlfn.ANCHORARRAY(D$76),0)))</f>
        <v>24.851399122408669</v>
      </c>
      <c r="I108" s="313" cm="1">
        <f t="array" aca="1" ref="I108" ca="1">(1 + INDEX($F$76:$AI$78,MATCH($E108,_xlfn.ANCHORARRAY($D$76)),H$81)) * H108</f>
        <v>25.905957637945043</v>
      </c>
      <c r="J108" s="313" cm="1">
        <f t="array" aca="1" ref="J108" ca="1">(1 + INDEX($F$76:$AI$78,MATCH($E108,_xlfn.ANCHORARRAY($D$76)),I$81)) * I108</f>
        <v>26.977481449487168</v>
      </c>
      <c r="K108" s="313" cm="1">
        <f t="array" aca="1" ref="K108" ca="1">(1 + INDEX($F$76:$AI$78,MATCH($E108,_xlfn.ANCHORARRAY($D$76)),J$81)) * J108</f>
        <v>28.091141495228801</v>
      </c>
      <c r="L108" s="313" cm="1">
        <f t="array" aca="1" ref="L108" ca="1">(1 + INDEX($F$76:$AI$78,MATCH($E108,_xlfn.ANCHORARRAY($D$76)),K$81)) * K108</f>
        <v>29.256871746479639</v>
      </c>
      <c r="M108" s="313" cm="1">
        <f t="array" aca="1" ref="M108" ca="1">(1 + INDEX($F$76:$AI$78,MATCH($E108,_xlfn.ANCHORARRAY($D$76)),L$81)) * L108</f>
        <v>30.474567381358401</v>
      </c>
      <c r="N108" s="313" cm="1">
        <f t="array" aca="1" ref="N108" ca="1">(1 + INDEX($F$76:$AI$78,MATCH($E108,_xlfn.ANCHORARRAY($D$76)),M$81)) * M108</f>
        <v>31.736944027641549</v>
      </c>
      <c r="O108" s="313" cm="1">
        <f t="array" aca="1" ref="O108" ca="1">(1 + INDEX($F$76:$AI$78,MATCH($E108,_xlfn.ANCHORARRAY($D$76)),N$81)) * N108</f>
        <v>33.030663919051314</v>
      </c>
      <c r="P108" s="313" cm="1">
        <f t="array" aca="1" ref="P108" ca="1">(1 + INDEX($F$76:$AI$78,MATCH($E108,_xlfn.ANCHORARRAY($D$76)),O$81)) * O108</f>
        <v>34.345334189819262</v>
      </c>
      <c r="Q108" s="313" cm="1">
        <f t="array" aca="1" ref="Q108" ca="1">(1 + INDEX($F$76:$AI$78,MATCH($E108,_xlfn.ANCHORARRAY($D$76)),P$81)) * P108</f>
        <v>35.671397233957009</v>
      </c>
      <c r="R108" s="313" cm="1">
        <f t="array" aca="1" ref="R108" ca="1">(1 + INDEX($F$76:$AI$78,MATCH($E108,_xlfn.ANCHORARRAY($D$76)),Q$81)) * Q108</f>
        <v>36.999783789390243</v>
      </c>
      <c r="S108" s="313" cm="1">
        <f t="array" aca="1" ref="S108" ca="1">(1 + INDEX($F$76:$AI$78,MATCH($E108,_xlfn.ANCHORARRAY($D$76)),R$81)) * R108</f>
        <v>38.320722994715346</v>
      </c>
      <c r="T108" s="313" cm="1">
        <f t="array" aca="1" ref="T108" ca="1">(1 + INDEX($F$76:$AI$78,MATCH($E108,_xlfn.ANCHORARRAY($D$76)),S$81)) * S108</f>
        <v>39.624508484189512</v>
      </c>
      <c r="U108" s="313" cm="1">
        <f t="array" aca="1" ref="U108" ca="1">(1 + INDEX($F$76:$AI$78,MATCH($E108,_xlfn.ANCHORARRAY($D$76)),T$81)) * T108</f>
        <v>40.903265306138252</v>
      </c>
      <c r="V108" s="313" cm="1">
        <f t="array" aca="1" ref="V108" ca="1">(1 + INDEX($F$76:$AI$78,MATCH($E108,_xlfn.ANCHORARRAY($D$76)),U$81)) * U108</f>
        <v>42.149150005254896</v>
      </c>
      <c r="W108" s="313" cm="1">
        <f t="array" aca="1" ref="W108" ca="1">(1 + INDEX($F$76:$AI$78,MATCH($E108,_xlfn.ANCHORARRAY($D$76)),V$81)) * V108</f>
        <v>43.353970904137761</v>
      </c>
      <c r="X108" s="313" cm="1">
        <f t="array" aca="1" ref="X108" ca="1">(1 + INDEX($F$76:$AI$78,MATCH($E108,_xlfn.ANCHORARRAY($D$76)),W$81)) * W108</f>
        <v>44.509825746093696</v>
      </c>
      <c r="Y108" s="313" cm="1">
        <f t="array" aca="1" ref="Y108" ca="1">(1 + INDEX($F$76:$AI$78,MATCH($E108,_xlfn.ANCHORARRAY($D$76)),X$81)) * X108</f>
        <v>45.610765258005337</v>
      </c>
      <c r="Z108" s="313" cm="1">
        <f t="array" aca="1" ref="Z108" ca="1">(1 + INDEX($F$76:$AI$78,MATCH($E108,_xlfn.ANCHORARRAY($D$76)),Y$81)) * Y108</f>
        <v>46.65160914817023</v>
      </c>
      <c r="AA108" s="313" cm="1">
        <f t="array" aca="1" ref="AA108" ca="1">(1 + INDEX($F$76:$AI$78,MATCH($E108,_xlfn.ANCHORARRAY($D$76)),Z$81)) * Z108</f>
        <v>47.626901519201077</v>
      </c>
      <c r="AB108" s="313" cm="1">
        <f t="array" aca="1" ref="AB108" ca="1">(1 + INDEX($F$76:$AI$78,MATCH($E108,_xlfn.ANCHORARRAY($D$76)),AA$81)) * AA108</f>
        <v>48.531874538186479</v>
      </c>
      <c r="AC108" s="313" cm="1">
        <f t="array" aca="1" ref="AC108" ca="1">(1 + INDEX($F$76:$AI$78,MATCH($E108,_xlfn.ANCHORARRAY($D$76)),AB$81)) * AB108</f>
        <v>49.361539336064091</v>
      </c>
      <c r="AD108" s="313" cm="1">
        <f t="array" aca="1" ref="AD108" ca="1">(1 + INDEX($F$76:$AI$78,MATCH($E108,_xlfn.ANCHORARRAY($D$76)),AC$81)) * AC108</f>
        <v>50.111963734935628</v>
      </c>
      <c r="AE108" s="313" cm="1">
        <f t="array" aca="1" ref="AE108" ca="1">(1 + INDEX($F$76:$AI$78,MATCH($E108,_xlfn.ANCHORARRAY($D$76)),AD$81)) * AD108</f>
        <v>50.780100936654335</v>
      </c>
      <c r="AF108" s="313" cm="1">
        <f t="array" aca="1" ref="AF108" ca="1">(1 + INDEX($F$76:$AI$78,MATCH($E108,_xlfn.ANCHORARRAY($D$76)),AE$81)) * AE108</f>
        <v>51.362606442695402</v>
      </c>
      <c r="AG108" s="313" cm="1">
        <f t="array" aca="1" ref="AG108" ca="1">(1 + INDEX($F$76:$AI$78,MATCH($E108,_xlfn.ANCHORARRAY($D$76)),AF$81)) * AF108</f>
        <v>51.856304640039973</v>
      </c>
      <c r="AH108" s="313" cm="1">
        <f t="array" aca="1" ref="AH108" ca="1">(1 + INDEX($F$76:$AI$78,MATCH($E108,_xlfn.ANCHORARRAY($D$76)),AG$81)) * AG108</f>
        <v>52.258893890474788</v>
      </c>
      <c r="AI108" s="313" cm="1">
        <f t="array" aca="1" ref="AI108" ca="1">(1 + INDEX($F$76:$AI$78,MATCH($E108,_xlfn.ANCHORARRAY($D$76)),AH$81)) * AH108</f>
        <v>52.568481073684701</v>
      </c>
      <c r="AJ108" s="313" cm="1">
        <f t="array" aca="1" ref="AJ108" ca="1">(1 + INDEX($F$76:$AI$78,MATCH($E108,_xlfn.ANCHORARRAY($D$76)),AI$81)) * AI108</f>
        <v>52.782729159804695</v>
      </c>
      <c r="AK108" s="313" cm="1">
        <f t="array" aca="1" ref="AK108" ca="1">(1 + INDEX($F$76:$AI$78,MATCH($E108,_xlfn.ANCHORARRAY($D$76)),AJ$81)) * AJ108</f>
        <v>52.899537537002317</v>
      </c>
      <c r="AL108" s="313" cm="1">
        <f t="array" aca="1" ref="AL108" ca="1">(1 + INDEX($F$76:$AI$78,MATCH($E108,_xlfn.ANCHORARRAY($D$76)),AK$81)) * AK108</f>
        <v>52.917256552964929</v>
      </c>
    </row>
    <row r="109" spans="2:38">
      <c r="B109" s="97">
        <v>3</v>
      </c>
      <c r="C109" s="204">
        <v>3</v>
      </c>
      <c r="D109" s="89" t="str">
        <v>Veículos Comerciais com 2 Eixos</v>
      </c>
      <c r="E109" s="89" t="str">
        <v>Pesados I</v>
      </c>
      <c r="F109" s="318" cm="1">
        <f t="array" aca="1" ref="F109" ca="1">INDEX('Painel Controle'!F$110:I$121,Tráfego!C109,Tráfego!B109) / SUM(_xlfn._xlws.FILTER(OFFSET('Painel Controle'!F$110:F$121,,Tráfego!B109-1),'Painel Controle'!D$110:D$121=Tráfego!E109))</f>
        <v>0.62408451326322523</v>
      </c>
      <c r="G109" s="356" cm="1">
        <f t="array" aca="1" ref="G109" ca="1">INDEX(C$4:E$7,B109,MATCH(E109,_xlfn.ANCHORARRAY(C$3))) * F109</f>
        <v>359.18142525446882</v>
      </c>
      <c r="H109" s="142" cm="1">
        <f t="array" aca="1" ref="H109" ca="1">INDEX(C$4:E$7,B109,MATCH(E109,_xlfn.ANCHORARRAY(C$3))) * F109 * (1 + INDEX(E$76:E$78,MATCH(E109,_xlfn.ANCHORARRAY(D$76),0)))</f>
        <v>369.99940601179787</v>
      </c>
      <c r="I109" s="313" cm="1">
        <f t="array" aca="1" ref="I109" ca="1">(1 + INDEX($F$76:$AI$78,MATCH($E109,_xlfn.ANCHORARRAY($D$76)),H$81)) * H109</f>
        <v>379.57267798126884</v>
      </c>
      <c r="J109" s="313" cm="1">
        <f t="array" aca="1" ref="J109" ca="1">(1 + INDEX($F$76:$AI$78,MATCH($E109,_xlfn.ANCHORARRAY($D$76)),I$81)) * I109</f>
        <v>388.94662895423204</v>
      </c>
      <c r="K109" s="313" cm="1">
        <f t="array" aca="1" ref="K109" ca="1">(1 + INDEX($F$76:$AI$78,MATCH($E109,_xlfn.ANCHORARRAY($D$76)),J$81)) * J109</f>
        <v>398.22941595132255</v>
      </c>
      <c r="L109" s="313" cm="1">
        <f t="array" aca="1" ref="L109" ca="1">(1 + INDEX($F$76:$AI$78,MATCH($E109,_xlfn.ANCHORARRAY($D$76)),K$81)) * K109</f>
        <v>407.44476710596945</v>
      </c>
      <c r="M109" s="313" cm="1">
        <f t="array" aca="1" ref="M109" ca="1">(1 + INDEX($F$76:$AI$78,MATCH($E109,_xlfn.ANCHORARRAY($D$76)),L$81)) * L109</f>
        <v>416.56517711491222</v>
      </c>
      <c r="N109" s="313" cm="1">
        <f t="array" aca="1" ref="N109" ca="1">(1 + INDEX($F$76:$AI$78,MATCH($E109,_xlfn.ANCHORARRAY($D$76)),M$81)) * M109</f>
        <v>425.52349553773308</v>
      </c>
      <c r="O109" s="313" cm="1">
        <f t="array" aca="1" ref="O109" ca="1">(1 + INDEX($F$76:$AI$78,MATCH($E109,_xlfn.ANCHORARRAY($D$76)),N$81)) * N109</f>
        <v>434.22506833168381</v>
      </c>
      <c r="P109" s="313" cm="1">
        <f t="array" aca="1" ref="P109" ca="1">(1 + INDEX($F$76:$AI$78,MATCH($E109,_xlfn.ANCHORARRAY($D$76)),O$81)) * O109</f>
        <v>442.60247155161841</v>
      </c>
      <c r="Q109" s="313" cm="1">
        <f t="array" aca="1" ref="Q109" ca="1">(1 + INDEX($F$76:$AI$78,MATCH($E109,_xlfn.ANCHORARRAY($D$76)),P$81)) * P109</f>
        <v>450.59672985487828</v>
      </c>
      <c r="R109" s="313" cm="1">
        <f t="array" aca="1" ref="R109" ca="1">(1 + INDEX($F$76:$AI$78,MATCH($E109,_xlfn.ANCHORARRAY($D$76)),Q$81)) * Q109</f>
        <v>458.15678054043764</v>
      </c>
      <c r="S109" s="313" cm="1">
        <f t="array" aca="1" ref="S109" ca="1">(1 + INDEX($F$76:$AI$78,MATCH($E109,_xlfn.ANCHORARRAY($D$76)),R$81)) * R109</f>
        <v>465.22925510185587</v>
      </c>
      <c r="T109" s="313" cm="1">
        <f t="array" aca="1" ref="T109" ca="1">(1 + INDEX($F$76:$AI$78,MATCH($E109,_xlfn.ANCHORARRAY($D$76)),S$81)) * S109</f>
        <v>471.76469778012358</v>
      </c>
      <c r="U109" s="313" cm="1">
        <f t="array" aca="1" ref="U109" ca="1">(1 + INDEX($F$76:$AI$78,MATCH($E109,_xlfn.ANCHORARRAY($D$76)),T$81)) * T109</f>
        <v>477.73170717691141</v>
      </c>
      <c r="V109" s="313" cm="1">
        <f t="array" aca="1" ref="V109" ca="1">(1 + INDEX($F$76:$AI$78,MATCH($E109,_xlfn.ANCHORARRAY($D$76)),U$81)) * U109</f>
        <v>483.10231522694562</v>
      </c>
      <c r="W109" s="313" cm="1">
        <f t="array" aca="1" ref="W109" ca="1">(1 + INDEX($F$76:$AI$78,MATCH($E109,_xlfn.ANCHORARRAY($D$76)),V$81)) * V109</f>
        <v>487.84943531415257</v>
      </c>
      <c r="X109" s="313" cm="1">
        <f t="array" aca="1" ref="X109" ca="1">(1 + INDEX($F$76:$AI$78,MATCH($E109,_xlfn.ANCHORARRAY($D$76)),W$81)) * W109</f>
        <v>491.94966222255704</v>
      </c>
      <c r="Y109" s="313" cm="1">
        <f t="array" aca="1" ref="Y109" ca="1">(1 + INDEX($F$76:$AI$78,MATCH($E109,_xlfn.ANCHORARRAY($D$76)),X$81)) * X109</f>
        <v>495.39526910298673</v>
      </c>
      <c r="Z109" s="313" cm="1">
        <f t="array" aca="1" ref="Z109" ca="1">(1 + INDEX($F$76:$AI$78,MATCH($E109,_xlfn.ANCHORARRAY($D$76)),Y$81)) * Y109</f>
        <v>498.18324367038821</v>
      </c>
      <c r="AA109" s="313" cm="1">
        <f t="array" aca="1" ref="AA109" ca="1">(1 + INDEX($F$76:$AI$78,MATCH($E109,_xlfn.ANCHORARRAY($D$76)),Z$81)) * Z109</f>
        <v>500.30773780356594</v>
      </c>
      <c r="AB109" s="313" cm="1">
        <f t="array" aca="1" ref="AB109" ca="1">(1 + INDEX($F$76:$AI$78,MATCH($E109,_xlfn.ANCHORARRAY($D$76)),AA$81)) * AA109</f>
        <v>501.76834027392016</v>
      </c>
      <c r="AC109" s="313" cm="1">
        <f t="array" aca="1" ref="AC109" ca="1">(1 + INDEX($F$76:$AI$78,MATCH($E109,_xlfn.ANCHORARRAY($D$76)),AB$81)) * AB109</f>
        <v>502.5616449338234</v>
      </c>
      <c r="AD109" s="313" cm="1">
        <f t="array" aca="1" ref="AD109" ca="1">(1 + INDEX($F$76:$AI$78,MATCH($E109,_xlfn.ANCHORARRAY($D$76)),AC$81)) * AC109</f>
        <v>502.69120311434307</v>
      </c>
      <c r="AE109" s="313" cm="1">
        <f t="array" aca="1" ref="AE109" ca="1">(1 + INDEX($F$76:$AI$78,MATCH($E109,_xlfn.ANCHORARRAY($D$76)),AD$81)) * AD109</f>
        <v>502.16555278331884</v>
      </c>
      <c r="AF109" s="313" cm="1">
        <f t="array" aca="1" ref="AF109" ca="1">(1 + INDEX($F$76:$AI$78,MATCH($E109,_xlfn.ANCHORARRAY($D$76)),AE$81)) * AE109</f>
        <v>500.98886286175474</v>
      </c>
      <c r="AG109" s="313" cm="1">
        <f t="array" aca="1" ref="AG109" ca="1">(1 + INDEX($F$76:$AI$78,MATCH($E109,_xlfn.ANCHORARRAY($D$76)),AF$81)) * AF109</f>
        <v>499.16529770744262</v>
      </c>
      <c r="AH109" s="313" cm="1">
        <f t="array" aca="1" ref="AH109" ca="1">(1 + INDEX($F$76:$AI$78,MATCH($E109,_xlfn.ANCHORARRAY($D$76)),AG$81)) * AG109</f>
        <v>496.70444193186586</v>
      </c>
      <c r="AI109" s="313" cm="1">
        <f t="array" aca="1" ref="AI109" ca="1">(1 + INDEX($F$76:$AI$78,MATCH($E109,_xlfn.ANCHORARRAY($D$76)),AH$81)) * AH109</f>
        <v>493.6183433541288</v>
      </c>
      <c r="AJ109" s="313" cm="1">
        <f t="array" aca="1" ref="AJ109" ca="1">(1 + INDEX($F$76:$AI$78,MATCH($E109,_xlfn.ANCHORARRAY($D$76)),AI$81)) * AI109</f>
        <v>489.91509242881278</v>
      </c>
      <c r="AK109" s="313" cm="1">
        <f t="array" aca="1" ref="AK109" ca="1">(1 + INDEX($F$76:$AI$78,MATCH($E109,_xlfn.ANCHORARRAY($D$76)),AJ$81)) * AJ109</f>
        <v>485.60334011316138</v>
      </c>
      <c r="AL109" s="313" cm="1">
        <f t="array" aca="1" ref="AL109" ca="1">(1 + INDEX($F$76:$AI$78,MATCH($E109,_xlfn.ANCHORARRAY($D$76)),AK$81)) * AK109</f>
        <v>480.69335554849812</v>
      </c>
    </row>
    <row r="110" spans="2:38">
      <c r="B110" s="97">
        <v>3</v>
      </c>
      <c r="C110" s="204">
        <v>4</v>
      </c>
      <c r="D110" s="89" t="str">
        <v>Veículos Comerciais com 3 Eixos</v>
      </c>
      <c r="E110" s="89" t="str">
        <v>Pesados I</v>
      </c>
      <c r="F110" s="318" cm="1">
        <f t="array" aca="1" ref="F110" ca="1">INDEX('Painel Controle'!F$110:I$121,Tráfego!C110,Tráfego!B110) / SUM(_xlfn._xlws.FILTER(OFFSET('Painel Controle'!F$110:F$121,,Tráfego!B110-1),'Painel Controle'!D$110:D$121=Tráfego!E110))</f>
        <v>0.28864995622311135</v>
      </c>
      <c r="G110" s="356" cm="1">
        <f t="array" aca="1" ref="G110" ca="1">INDEX(C$4:E$7,B110,MATCH(E110,_xlfn.ANCHORARRAY(C$3))) * F110</f>
        <v>166.12766455899569</v>
      </c>
      <c r="H110" s="142" cm="1">
        <f t="array" aca="1" ref="H110" ca="1">INDEX(C$4:E$7,B110,MATCH(E110,_xlfn.ANCHORARRAY(C$3))) * F110 * (1 + INDEX(E$76:E$78,MATCH(E110,_xlfn.ANCHORARRAY(D$76),0)))</f>
        <v>171.13116906145152</v>
      </c>
      <c r="I110" s="313" cm="1">
        <f t="array" aca="1" ref="I110" ca="1">(1 + INDEX($F$76:$AI$78,MATCH($E110,_xlfn.ANCHORARRAY($D$76)),H$81)) * H110</f>
        <v>175.55897407210753</v>
      </c>
      <c r="J110" s="313" cm="1">
        <f t="array" aca="1" ref="J110" ca="1">(1 + INDEX($F$76:$AI$78,MATCH($E110,_xlfn.ANCHORARRAY($D$76)),I$81)) * I110</f>
        <v>179.89458965057355</v>
      </c>
      <c r="K110" s="313" cm="1">
        <f t="array" aca="1" ref="K110" ca="1">(1 + INDEX($F$76:$AI$78,MATCH($E110,_xlfn.ANCHORARRAY($D$76)),J$81)) * J110</f>
        <v>184.18804030251835</v>
      </c>
      <c r="L110" s="313" cm="1">
        <f t="array" aca="1" ref="L110" ca="1">(1 + INDEX($F$76:$AI$78,MATCH($E110,_xlfn.ANCHORARRAY($D$76)),K$81)) * K110</f>
        <v>188.45030070289377</v>
      </c>
      <c r="M110" s="313" cm="1">
        <f t="array" aca="1" ref="M110" ca="1">(1 + INDEX($F$76:$AI$78,MATCH($E110,_xlfn.ANCHORARRAY($D$76)),L$81)) * L110</f>
        <v>192.66864916991906</v>
      </c>
      <c r="N110" s="313" cm="1">
        <f t="array" aca="1" ref="N110" ca="1">(1 + INDEX($F$76:$AI$78,MATCH($E110,_xlfn.ANCHORARRAY($D$76)),M$81)) * M110</f>
        <v>196.81202745543229</v>
      </c>
      <c r="O110" s="313" cm="1">
        <f t="array" aca="1" ref="O110" ca="1">(1 + INDEX($F$76:$AI$78,MATCH($E110,_xlfn.ANCHORARRAY($D$76)),N$81)) * N110</f>
        <v>200.83665641620047</v>
      </c>
      <c r="P110" s="313" cm="1">
        <f t="array" aca="1" ref="P110" ca="1">(1 + INDEX($F$76:$AI$78,MATCH($E110,_xlfn.ANCHORARRAY($D$76)),O$81)) * O110</f>
        <v>204.71135130336162</v>
      </c>
      <c r="Q110" s="313" cm="1">
        <f t="array" aca="1" ref="Q110" ca="1">(1 + INDEX($F$76:$AI$78,MATCH($E110,_xlfn.ANCHORARRAY($D$76)),P$81)) * P110</f>
        <v>208.40883499384208</v>
      </c>
      <c r="R110" s="313" cm="1">
        <f t="array" aca="1" ref="R110" ca="1">(1 + INDEX($F$76:$AI$78,MATCH($E110,_xlfn.ANCHORARRAY($D$76)),Q$81)) * Q110</f>
        <v>211.90549009912715</v>
      </c>
      <c r="S110" s="313" cm="1">
        <f t="array" aca="1" ref="S110" ca="1">(1 + INDEX($F$76:$AI$78,MATCH($E110,_xlfn.ANCHORARRAY($D$76)),R$81)) * R110</f>
        <v>215.17663275554074</v>
      </c>
      <c r="T110" s="313" cm="1">
        <f t="array" aca="1" ref="T110" ca="1">(1 + INDEX($F$76:$AI$78,MATCH($E110,_xlfn.ANCHORARRAY($D$76)),S$81)) * S110</f>
        <v>218.19938881323668</v>
      </c>
      <c r="U110" s="313" cm="1">
        <f t="array" aca="1" ref="U110" ca="1">(1 + INDEX($F$76:$AI$78,MATCH($E110,_xlfn.ANCHORARRAY($D$76)),T$81)) * T110</f>
        <v>220.95923457861178</v>
      </c>
      <c r="V110" s="313" cm="1">
        <f t="array" aca="1" ref="V110" ca="1">(1 + INDEX($F$76:$AI$78,MATCH($E110,_xlfn.ANCHORARRAY($D$76)),U$81)) * U110</f>
        <v>223.4432343343949</v>
      </c>
      <c r="W110" s="313" cm="1">
        <f t="array" aca="1" ref="W110" ca="1">(1 + INDEX($F$76:$AI$78,MATCH($E110,_xlfn.ANCHORARRAY($D$76)),V$81)) * V110</f>
        <v>225.63886004892083</v>
      </c>
      <c r="X110" s="313" cm="1">
        <f t="array" aca="1" ref="X110" ca="1">(1 + INDEX($F$76:$AI$78,MATCH($E110,_xlfn.ANCHORARRAY($D$76)),W$81)) * W110</f>
        <v>227.53528640218394</v>
      </c>
      <c r="Y110" s="313" cm="1">
        <f t="array" aca="1" ref="Y110" ca="1">(1 + INDEX($F$76:$AI$78,MATCH($E110,_xlfn.ANCHORARRAY($D$76)),X$81)) * X110</f>
        <v>229.12893959187397</v>
      </c>
      <c r="Z110" s="313" cm="1">
        <f t="array" aca="1" ref="Z110" ca="1">(1 + INDEX($F$76:$AI$78,MATCH($E110,_xlfn.ANCHORARRAY($D$76)),Y$81)) * Y110</f>
        <v>230.41842638369278</v>
      </c>
      <c r="AA110" s="313" cm="1">
        <f t="array" aca="1" ref="AA110" ca="1">(1 + INDEX($F$76:$AI$78,MATCH($E110,_xlfn.ANCHORARRAY($D$76)),Z$81)) * Z110</f>
        <v>231.40104191973853</v>
      </c>
      <c r="AB110" s="313" cm="1">
        <f t="array" aca="1" ref="AB110" ca="1">(1 + INDEX($F$76:$AI$78,MATCH($E110,_xlfn.ANCHORARRAY($D$76)),AA$81)) * AA110</f>
        <v>232.07659599962207</v>
      </c>
      <c r="AC110" s="313" cm="1">
        <f t="array" aca="1" ref="AC110" ca="1">(1 + INDEX($F$76:$AI$78,MATCH($E110,_xlfn.ANCHORARRAY($D$76)),AB$81)) * AB110</f>
        <v>232.44351322074542</v>
      </c>
      <c r="AD110" s="313" cm="1">
        <f t="array" aca="1" ref="AD110" ca="1">(1 + INDEX($F$76:$AI$78,MATCH($E110,_xlfn.ANCHORARRAY($D$76)),AC$81)) * AC110</f>
        <v>232.50343613557598</v>
      </c>
      <c r="AE110" s="313" cm="1">
        <f t="array" aca="1" ref="AE110" ca="1">(1 + INDEX($F$76:$AI$78,MATCH($E110,_xlfn.ANCHORARRAY($D$76)),AD$81)) * AD110</f>
        <v>232.26031370293387</v>
      </c>
      <c r="AF110" s="313" cm="1">
        <f t="array" aca="1" ref="AF110" ca="1">(1 + INDEX($F$76:$AI$78,MATCH($E110,_xlfn.ANCHORARRAY($D$76)),AE$81)) * AE110</f>
        <v>231.71607412138798</v>
      </c>
      <c r="AG110" s="313" cm="1">
        <f t="array" aca="1" ref="AG110" ca="1">(1 + INDEX($F$76:$AI$78,MATCH($E110,_xlfn.ANCHORARRAY($D$76)),AF$81)) * AF110</f>
        <v>230.872643478942</v>
      </c>
      <c r="AH110" s="313" cm="1">
        <f t="array" aca="1" ref="AH110" ca="1">(1 + INDEX($F$76:$AI$78,MATCH($E110,_xlfn.ANCHORARRAY($D$76)),AG$81)) * AG110</f>
        <v>229.73445482532929</v>
      </c>
      <c r="AI110" s="313" cm="1">
        <f t="array" aca="1" ref="AI110" ca="1">(1 + INDEX($F$76:$AI$78,MATCH($E110,_xlfn.ANCHORARRAY($D$76)),AH$81)) * AH110</f>
        <v>228.30708048670618</v>
      </c>
      <c r="AJ110" s="313" cm="1">
        <f t="array" aca="1" ref="AJ110" ca="1">(1 + INDEX($F$76:$AI$78,MATCH($E110,_xlfn.ANCHORARRAY($D$76)),AI$81)) * AI110</f>
        <v>226.59426243921715</v>
      </c>
      <c r="AK110" s="313" cm="1">
        <f t="array" aca="1" ref="AK110" ca="1">(1 + INDEX($F$76:$AI$78,MATCH($E110,_xlfn.ANCHORARRAY($D$76)),AJ$81)) * AJ110</f>
        <v>224.60000190124936</v>
      </c>
      <c r="AL110" s="313" cm="1">
        <f t="array" aca="1" ref="AL110" ca="1">(1 + INDEX($F$76:$AI$78,MATCH($E110,_xlfn.ANCHORARRAY($D$76)),AK$81)) * AK110</f>
        <v>222.32904852950875</v>
      </c>
    </row>
    <row r="111" spans="2:38">
      <c r="B111" s="97">
        <v>3</v>
      </c>
      <c r="C111" s="204">
        <v>5</v>
      </c>
      <c r="D111" s="89" t="str">
        <v>Veículos Comerciais com 4 Eixos</v>
      </c>
      <c r="E111" s="89" t="str">
        <v>Pesados I</v>
      </c>
      <c r="F111" s="318" cm="1">
        <f t="array" aca="1" ref="F111" ca="1">INDEX('Painel Controle'!F$110:I$121,Tráfego!C111,Tráfego!B111) / SUM(_xlfn._xlws.FILTER(OFFSET('Painel Controle'!F$110:F$121,,Tráfego!B111-1),'Painel Controle'!D$110:D$121=Tráfego!E111))</f>
        <v>7.4626865671641784E-2</v>
      </c>
      <c r="G111" s="356" cm="1">
        <f t="array" aca="1" ref="G111" ca="1">INDEX(C$4:E$7,B111,MATCH(E111,_xlfn.ANCHORARRAY(C$3))) * F111</f>
        <v>42.950246969048727</v>
      </c>
      <c r="H111" s="142" cm="1">
        <f t="array" aca="1" ref="H111" ca="1">INDEX(C$4:E$7,B111,MATCH(E111,_xlfn.ANCHORARRAY(C$3))) * F111 * (1 + INDEX(E$76:E$78,MATCH(E111,_xlfn.ANCHORARRAY(D$76),0)))</f>
        <v>44.243840993028449</v>
      </c>
      <c r="I111" s="313" cm="1">
        <f t="array" aca="1" ref="I111" ca="1">(1 + INDEX($F$76:$AI$78,MATCH($E111,_xlfn.ANCHORARRAY($D$76)),H$81)) * H111</f>
        <v>45.388595054570871</v>
      </c>
      <c r="J111" s="313" cm="1">
        <f t="array" aca="1" ref="J111" ca="1">(1 + INDEX($F$76:$AI$78,MATCH($E111,_xlfn.ANCHORARRAY($D$76)),I$81)) * I111</f>
        <v>46.509514681968881</v>
      </c>
      <c r="K111" s="313" cm="1">
        <f t="array" aca="1" ref="K111" ca="1">(1 + INDEX($F$76:$AI$78,MATCH($E111,_xlfn.ANCHORARRAY($D$76)),J$81)) * J111</f>
        <v>47.61953309064257</v>
      </c>
      <c r="L111" s="313" cm="1">
        <f t="array" aca="1" ref="L111" ca="1">(1 + INDEX($F$76:$AI$78,MATCH($E111,_xlfn.ANCHORARRAY($D$76)),K$81)) * K111</f>
        <v>48.721487646667228</v>
      </c>
      <c r="M111" s="313" cm="1">
        <f t="array" aca="1" ref="M111" ca="1">(1 + INDEX($F$76:$AI$78,MATCH($E111,_xlfn.ANCHORARRAY($D$76)),L$81)) * L111</f>
        <v>49.812089317022398</v>
      </c>
      <c r="N111" s="313" cm="1">
        <f t="array" aca="1" ref="N111" ca="1">(1 + INDEX($F$76:$AI$78,MATCH($E111,_xlfn.ANCHORARRAY($D$76)),M$81)) * M111</f>
        <v>50.883308376902633</v>
      </c>
      <c r="O111" s="313" cm="1">
        <f t="array" aca="1" ref="O111" ca="1">(1 + INDEX($F$76:$AI$78,MATCH($E111,_xlfn.ANCHORARRAY($D$76)),N$81)) * N111</f>
        <v>51.923826271876074</v>
      </c>
      <c r="P111" s="313" cm="1">
        <f t="array" aca="1" ref="P111" ca="1">(1 + INDEX($F$76:$AI$78,MATCH($E111,_xlfn.ANCHORARRAY($D$76)),O$81)) * O111</f>
        <v>52.925580571950412</v>
      </c>
      <c r="Q111" s="313" cm="1">
        <f t="array" aca="1" ref="Q111" ca="1">(1 + INDEX($F$76:$AI$78,MATCH($E111,_xlfn.ANCHORARRAY($D$76)),P$81)) * P111</f>
        <v>53.881519115309452</v>
      </c>
      <c r="R111" s="313" cm="1">
        <f t="array" aca="1" ref="R111" ca="1">(1 + INDEX($F$76:$AI$78,MATCH($E111,_xlfn.ANCHORARRAY($D$76)),Q$81)) * Q111</f>
        <v>54.785535919110643</v>
      </c>
      <c r="S111" s="313" cm="1">
        <f t="array" aca="1" ref="S111" ca="1">(1 + INDEX($F$76:$AI$78,MATCH($E111,_xlfn.ANCHORARRAY($D$76)),R$81)) * R111</f>
        <v>55.631249276587361</v>
      </c>
      <c r="T111" s="313" cm="1">
        <f t="array" aca="1" ref="T111" ca="1">(1 + INDEX($F$76:$AI$78,MATCH($E111,_xlfn.ANCHORARRAY($D$76)),S$81)) * S111</f>
        <v>56.412745360035423</v>
      </c>
      <c r="U111" s="313" cm="1">
        <f t="array" aca="1" ref="U111" ca="1">(1 + INDEX($F$76:$AI$78,MATCH($E111,_xlfn.ANCHORARRAY($D$76)),T$81)) * T111</f>
        <v>57.126269248630443</v>
      </c>
      <c r="V111" s="313" cm="1">
        <f t="array" aca="1" ref="V111" ca="1">(1 + INDEX($F$76:$AI$78,MATCH($E111,_xlfn.ANCHORARRAY($D$76)),U$81)) * U111</f>
        <v>57.768476573130897</v>
      </c>
      <c r="W111" s="313" cm="1">
        <f t="array" aca="1" ref="W111" ca="1">(1 + INDEX($F$76:$AI$78,MATCH($E111,_xlfn.ANCHORARRAY($D$76)),V$81)) * V111</f>
        <v>58.336128366351609</v>
      </c>
      <c r="X111" s="313" cm="1">
        <f t="array" aca="1" ref="X111" ca="1">(1 + INDEX($F$76:$AI$78,MATCH($E111,_xlfn.ANCHORARRAY($D$76)),W$81)) * W111</f>
        <v>58.826425876085985</v>
      </c>
      <c r="Y111" s="313" cm="1">
        <f t="array" aca="1" ref="Y111" ca="1">(1 + INDEX($F$76:$AI$78,MATCH($E111,_xlfn.ANCHORARRAY($D$76)),X$81)) * X111</f>
        <v>59.238445140077332</v>
      </c>
      <c r="Z111" s="313" cm="1">
        <f t="array" aca="1" ref="Z111" ca="1">(1 + INDEX($F$76:$AI$78,MATCH($E111,_xlfn.ANCHORARRAY($D$76)),Y$81)) * Y111</f>
        <v>59.571825954880005</v>
      </c>
      <c r="AA111" s="313" cm="1">
        <f t="array" aca="1" ref="AA111" ca="1">(1 + INDEX($F$76:$AI$78,MATCH($E111,_xlfn.ANCHORARRAY($D$76)),Z$81)) * Z111</f>
        <v>59.825869013035451</v>
      </c>
      <c r="AB111" s="313" cm="1">
        <f t="array" aca="1" ref="AB111" ca="1">(1 + INDEX($F$76:$AI$78,MATCH($E111,_xlfn.ANCHORARRAY($D$76)),AA$81)) * AA111</f>
        <v>60.000525140592359</v>
      </c>
      <c r="AC111" s="313" cm="1">
        <f t="array" aca="1" ref="AC111" ca="1">(1 + INDEX($F$76:$AI$78,MATCH($E111,_xlfn.ANCHORARRAY($D$76)),AB$81)) * AB111</f>
        <v>60.095387036750829</v>
      </c>
      <c r="AD111" s="313" cm="1">
        <f t="array" aca="1" ref="AD111" ca="1">(1 + INDEX($F$76:$AI$78,MATCH($E111,_xlfn.ANCHORARRAY($D$76)),AC$81)) * AC111</f>
        <v>60.110879363076549</v>
      </c>
      <c r="AE111" s="313" cm="1">
        <f t="array" aca="1" ref="AE111" ca="1">(1 + INDEX($F$76:$AI$78,MATCH($E111,_xlfn.ANCHORARRAY($D$76)),AD$81)) * AD111</f>
        <v>60.048023073888267</v>
      </c>
      <c r="AF111" s="313" cm="1">
        <f t="array" aca="1" ref="AF111" ca="1">(1 + INDEX($F$76:$AI$78,MATCH($E111,_xlfn.ANCHORARRAY($D$76)),AE$81)) * AE111</f>
        <v>59.907316681007948</v>
      </c>
      <c r="AG111" s="313" cm="1">
        <f t="array" aca="1" ref="AG111" ca="1">(1 + INDEX($F$76:$AI$78,MATCH($E111,_xlfn.ANCHORARRAY($D$76)),AF$81)) * AF111</f>
        <v>59.689258150597112</v>
      </c>
      <c r="AH111" s="313" cm="1">
        <f t="array" aca="1" ref="AH111" ca="1">(1 + INDEX($F$76:$AI$78,MATCH($E111,_xlfn.ANCHORARRAY($D$76)),AG$81)) * AG111</f>
        <v>59.394993592675306</v>
      </c>
      <c r="AI111" s="313" cm="1">
        <f t="array" aca="1" ref="AI111" ca="1">(1 + INDEX($F$76:$AI$78,MATCH($E111,_xlfn.ANCHORARRAY($D$76)),AH$81)) * AH111</f>
        <v>59.025963663049261</v>
      </c>
      <c r="AJ111" s="313" cm="1">
        <f t="array" aca="1" ref="AJ111" ca="1">(1 + INDEX($F$76:$AI$78,MATCH($E111,_xlfn.ANCHORARRAY($D$76)),AI$81)) * AI111</f>
        <v>58.58313580323442</v>
      </c>
      <c r="AK111" s="313" cm="1">
        <f t="array" aca="1" ref="AK111" ca="1">(1 + INDEX($F$76:$AI$78,MATCH($E111,_xlfn.ANCHORARRAY($D$76)),AJ$81)) * AJ111</f>
        <v>58.067544478612348</v>
      </c>
      <c r="AL111" s="313" cm="1">
        <f t="array" aca="1" ref="AL111" ca="1">(1 + INDEX($F$76:$AI$78,MATCH($E111,_xlfn.ANCHORARRAY($D$76)),AK$81)) * AK111</f>
        <v>57.480417654008043</v>
      </c>
    </row>
    <row r="112" spans="2:38">
      <c r="B112" s="97">
        <v>3</v>
      </c>
      <c r="C112" s="204">
        <v>6</v>
      </c>
      <c r="D112" s="89" t="str">
        <v>Veículos Comerciais com 5 Eixos Articulado</v>
      </c>
      <c r="E112" s="89" t="str">
        <v>Pesados II</v>
      </c>
      <c r="F112" s="318" cm="1">
        <f t="array" aca="1" ref="F112" ca="1">INDEX('Painel Controle'!F$110:I$121,Tráfego!C112,Tráfego!B112) / SUM(_xlfn._xlws.FILTER(OFFSET('Painel Controle'!F$110:F$121,,Tráfego!B112-1),'Painel Controle'!D$110:D$121=Tráfego!E112))</f>
        <v>8.2191780821917804E-2</v>
      </c>
      <c r="G112" s="356" cm="1">
        <f t="array" aca="1" ref="G112" ca="1">INDEX(C$4:E$7,B112,MATCH(E112,_xlfn.ANCHORARRAY(C$3))) * F112</f>
        <v>12.885074090714619</v>
      </c>
      <c r="H112" s="142" cm="1">
        <f t="array" aca="1" ref="H112" ca="1">INDEX(C$4:E$7,B112,MATCH(E112,_xlfn.ANCHORARRAY(C$3))) * F112 * (1 + INDEX(E$76:E$78,MATCH(E112,_xlfn.ANCHORARRAY(D$76),0)))</f>
        <v>13.477608519885967</v>
      </c>
      <c r="I112" s="313" cm="1">
        <f t="array" aca="1" ref="I112" ca="1">(1 + INDEX($F$76:$AI$78,MATCH($E112,_xlfn.ANCHORARRAY($D$76)),H$81)) * H112</f>
        <v>13.993544467037019</v>
      </c>
      <c r="J112" s="313" cm="1">
        <f t="array" aca="1" ref="J112" ca="1">(1 + INDEX($F$76:$AI$78,MATCH($E112,_xlfn.ANCHORARRAY($D$76)),I$81)) * I112</f>
        <v>14.511324651946275</v>
      </c>
      <c r="K112" s="313" cm="1">
        <f t="array" aca="1" ref="K112" ca="1">(1 + INDEX($F$76:$AI$78,MATCH($E112,_xlfn.ANCHORARRAY($D$76)),J$81)) * J112</f>
        <v>15.04047890666641</v>
      </c>
      <c r="L112" s="313" cm="1">
        <f t="array" aca="1" ref="L112" ca="1">(1 + INDEX($F$76:$AI$78,MATCH($E112,_xlfn.ANCHORARRAY($D$76)),K$81)) * K112</f>
        <v>15.584209845711849</v>
      </c>
      <c r="M112" s="313" cm="1">
        <f t="array" aca="1" ref="M112" ca="1">(1 + INDEX($F$76:$AI$78,MATCH($E112,_xlfn.ANCHORARRAY($D$76)),L$81)) * L112</f>
        <v>16.141625132481725</v>
      </c>
      <c r="N112" s="313" cm="1">
        <f t="array" aca="1" ref="N112" ca="1">(1 + INDEX($F$76:$AI$78,MATCH($E112,_xlfn.ANCHORARRAY($D$76)),M$81)) * M112</f>
        <v>16.708824635735141</v>
      </c>
      <c r="O112" s="313" cm="1">
        <f t="array" aca="1" ref="O112" ca="1">(1 + INDEX($F$76:$AI$78,MATCH($E112,_xlfn.ANCHORARRAY($D$76)),N$81)) * N112</f>
        <v>17.279507790625861</v>
      </c>
      <c r="P112" s="313" cm="1">
        <f t="array" aca="1" ref="P112" ca="1">(1 + INDEX($F$76:$AI$78,MATCH($E112,_xlfn.ANCHORARRAY($D$76)),O$81)) * O112</f>
        <v>17.848826107255391</v>
      </c>
      <c r="Q112" s="313" cm="1">
        <f t="array" aca="1" ref="Q112" ca="1">(1 + INDEX($F$76:$AI$78,MATCH($E112,_xlfn.ANCHORARRAY($D$76)),P$81)) * P112</f>
        <v>18.412360669699741</v>
      </c>
      <c r="R112" s="313" cm="1">
        <f t="array" aca="1" ref="R112" ca="1">(1 + INDEX($F$76:$AI$78,MATCH($E112,_xlfn.ANCHORARRAY($D$76)),Q$81)) * Q112</f>
        <v>18.966020671715619</v>
      </c>
      <c r="S112" s="313" cm="1">
        <f t="array" aca="1" ref="S112" ca="1">(1 + INDEX($F$76:$AI$78,MATCH($E112,_xlfn.ANCHORARRAY($D$76)),R$81)) * R112</f>
        <v>19.505472749757718</v>
      </c>
      <c r="T112" s="313" cm="1">
        <f t="array" aca="1" ref="T112" ca="1">(1 + INDEX($F$76:$AI$78,MATCH($E112,_xlfn.ANCHORARRAY($D$76)),S$81)) * S112</f>
        <v>20.026511251706207</v>
      </c>
      <c r="U112" s="313" cm="1">
        <f t="array" aca="1" ref="U112" ca="1">(1 + INDEX($F$76:$AI$78,MATCH($E112,_xlfn.ANCHORARRAY($D$76)),T$81)) * T112</f>
        <v>20.525903481863935</v>
      </c>
      <c r="V112" s="313" cm="1">
        <f t="array" aca="1" ref="V112" ca="1">(1 + INDEX($F$76:$AI$78,MATCH($E112,_xlfn.ANCHORARRAY($D$76)),U$81)) * U112</f>
        <v>21.000540148850636</v>
      </c>
      <c r="W112" s="313" cm="1">
        <f t="array" aca="1" ref="W112" ca="1">(1 + INDEX($F$76:$AI$78,MATCH($E112,_xlfn.ANCHORARRAY($D$76)),V$81)) * V112</f>
        <v>21.447272967183672</v>
      </c>
      <c r="X112" s="313" cm="1">
        <f t="array" aca="1" ref="X112" ca="1">(1 + INDEX($F$76:$AI$78,MATCH($E112,_xlfn.ANCHORARRAY($D$76)),W$81)) * W112</f>
        <v>21.863163090544102</v>
      </c>
      <c r="Y112" s="313" cm="1">
        <f t="array" aca="1" ref="Y112" ca="1">(1 + INDEX($F$76:$AI$78,MATCH($E112,_xlfn.ANCHORARRAY($D$76)),X$81)) * X112</f>
        <v>22.246241038278978</v>
      </c>
      <c r="Z112" s="313" cm="1">
        <f t="array" aca="1" ref="Z112" ca="1">(1 + INDEX($F$76:$AI$78,MATCH($E112,_xlfn.ANCHORARRAY($D$76)),Y$81)) * Y112</f>
        <v>22.594906579372211</v>
      </c>
      <c r="AA112" s="313" cm="1">
        <f t="array" aca="1" ref="AA112" ca="1">(1 + INDEX($F$76:$AI$78,MATCH($E112,_xlfn.ANCHORARRAY($D$76)),Z$81)) * Z112</f>
        <v>22.907451774209196</v>
      </c>
      <c r="AB112" s="313" cm="1">
        <f t="array" aca="1" ref="AB112" ca="1">(1 + INDEX($F$76:$AI$78,MATCH($E112,_xlfn.ANCHORARRAY($D$76)),AA$81)) * AA112</f>
        <v>23.182534097386675</v>
      </c>
      <c r="AC112" s="313" cm="1">
        <f t="array" aca="1" ref="AC112" ca="1">(1 + INDEX($F$76:$AI$78,MATCH($E112,_xlfn.ANCHORARRAY($D$76)),AB$81)) * AB112</f>
        <v>23.418711941234918</v>
      </c>
      <c r="AD112" s="313" cm="1">
        <f t="array" aca="1" ref="AD112" ca="1">(1 + INDEX($F$76:$AI$78,MATCH($E112,_xlfn.ANCHORARRAY($D$76)),AC$81)) * AC112</f>
        <v>23.615044506982958</v>
      </c>
      <c r="AE112" s="313" cm="1">
        <f t="array" aca="1" ref="AE112" ca="1">(1 + INDEX($F$76:$AI$78,MATCH($E112,_xlfn.ANCHORARRAY($D$76)),AD$81)) * AD112</f>
        <v>23.770992092407369</v>
      </c>
      <c r="AF112" s="313" cm="1">
        <f t="array" aca="1" ref="AF112" ca="1">(1 + INDEX($F$76:$AI$78,MATCH($E112,_xlfn.ANCHORARRAY($D$76)),AE$81)) * AE112</f>
        <v>23.885852963130734</v>
      </c>
      <c r="AG112" s="313" cm="1">
        <f t="array" aca="1" ref="AG112" ca="1">(1 + INDEX($F$76:$AI$78,MATCH($E112,_xlfn.ANCHORARRAY($D$76)),AF$81)) * AF112</f>
        <v>23.959001402069703</v>
      </c>
      <c r="AH112" s="313" cm="1">
        <f t="array" aca="1" ref="AH112" ca="1">(1 + INDEX($F$76:$AI$78,MATCH($E112,_xlfn.ANCHORARRAY($D$76)),AG$81)) * AG112</f>
        <v>23.990216105550093</v>
      </c>
      <c r="AI112" s="313" cm="1">
        <f t="array" aca="1" ref="AI112" ca="1">(1 + INDEX($F$76:$AI$78,MATCH($E112,_xlfn.ANCHORARRAY($D$76)),AH$81)) * AH112</f>
        <v>23.979478408080684</v>
      </c>
      <c r="AJ112" s="313" cm="1">
        <f t="array" aca="1" ref="AJ112" ca="1">(1 + INDEX($F$76:$AI$78,MATCH($E112,_xlfn.ANCHORARRAY($D$76)),AI$81)) * AI112</f>
        <v>23.926577056699429</v>
      </c>
      <c r="AK112" s="313" cm="1">
        <f t="array" aca="1" ref="AK112" ca="1">(1 + INDEX($F$76:$AI$78,MATCH($E112,_xlfn.ANCHORARRAY($D$76)),AJ$81)) * AJ112</f>
        <v>23.831405264892009</v>
      </c>
      <c r="AL112" s="313" cm="1">
        <f t="array" aca="1" ref="AL112" ca="1">(1 + INDEX($F$76:$AI$78,MATCH($E112,_xlfn.ANCHORARRAY($D$76)),AK$81)) * AK112</f>
        <v>23.694042329627159</v>
      </c>
    </row>
    <row r="113" spans="2:38">
      <c r="B113" s="97">
        <v>3</v>
      </c>
      <c r="C113" s="204">
        <v>7</v>
      </c>
      <c r="D113" s="89" t="str">
        <v>Veículos Comerciais com 6 Eixos Articulado</v>
      </c>
      <c r="E113" s="89" t="str">
        <v>Pesados II</v>
      </c>
      <c r="F113" s="318" cm="1">
        <f t="array" aca="1" ref="F113" ca="1">INDEX('Painel Controle'!F$110:I$121,Tráfego!C113,Tráfego!B113) / SUM(_xlfn._xlws.FILTER(OFFSET('Painel Controle'!F$110:F$121,,Tráfego!B113-1),'Painel Controle'!D$110:D$121=Tráfego!E113))</f>
        <v>0.64383561643835618</v>
      </c>
      <c r="G113" s="356" cm="1">
        <f t="array" aca="1" ref="G113" ca="1">INDEX(C$4:E$7,B113,MATCH(E113,_xlfn.ANCHORARRAY(C$3))) * F113</f>
        <v>100.93308037726453</v>
      </c>
      <c r="H113" s="142" cm="1">
        <f t="array" aca="1" ref="H113" ca="1">INDEX(C$4:E$7,B113,MATCH(E113,_xlfn.ANCHORARRAY(C$3))) * F113 * (1 + INDEX(E$76:E$78,MATCH(E113,_xlfn.ANCHORARRAY(D$76),0)))</f>
        <v>105.57460007244008</v>
      </c>
      <c r="I113" s="313" cm="1">
        <f t="array" aca="1" ref="I113" ca="1">(1 + INDEX($F$76:$AI$78,MATCH($E113,_xlfn.ANCHORARRAY($D$76)),H$81)) * H113</f>
        <v>109.61609832512332</v>
      </c>
      <c r="J113" s="313" cm="1">
        <f t="array" aca="1" ref="J113" ca="1">(1 + INDEX($F$76:$AI$78,MATCH($E113,_xlfn.ANCHORARRAY($D$76)),I$81)) * I113</f>
        <v>113.6720431069125</v>
      </c>
      <c r="K113" s="313" cm="1">
        <f t="array" aca="1" ref="K113" ca="1">(1 + INDEX($F$76:$AI$78,MATCH($E113,_xlfn.ANCHORARRAY($D$76)),J$81)) * J113</f>
        <v>117.81708476888689</v>
      </c>
      <c r="L113" s="313" cm="1">
        <f t="array" aca="1" ref="L113" ca="1">(1 + INDEX($F$76:$AI$78,MATCH($E113,_xlfn.ANCHORARRAY($D$76)),K$81)) * K113</f>
        <v>122.07631045807616</v>
      </c>
      <c r="M113" s="313" cm="1">
        <f t="array" aca="1" ref="M113" ca="1">(1 + INDEX($F$76:$AI$78,MATCH($E113,_xlfn.ANCHORARRAY($D$76)),L$81)) * L113</f>
        <v>126.4427302044402</v>
      </c>
      <c r="N113" s="313" cm="1">
        <f t="array" aca="1" ref="N113" ca="1">(1 + INDEX($F$76:$AI$78,MATCH($E113,_xlfn.ANCHORARRAY($D$76)),M$81)) * M113</f>
        <v>130.88579297992527</v>
      </c>
      <c r="O113" s="313" cm="1">
        <f t="array" aca="1" ref="O113" ca="1">(1 + INDEX($F$76:$AI$78,MATCH($E113,_xlfn.ANCHORARRAY($D$76)),N$81)) * N113</f>
        <v>135.35614435990257</v>
      </c>
      <c r="P113" s="313" cm="1">
        <f t="array" aca="1" ref="P113" ca="1">(1 + INDEX($F$76:$AI$78,MATCH($E113,_xlfn.ANCHORARRAY($D$76)),O$81)) * O113</f>
        <v>139.8158045068339</v>
      </c>
      <c r="Q113" s="313" cm="1">
        <f t="array" aca="1" ref="Q113" ca="1">(1 + INDEX($F$76:$AI$78,MATCH($E113,_xlfn.ANCHORARRAY($D$76)),P$81)) * P113</f>
        <v>144.23015857931463</v>
      </c>
      <c r="R113" s="313" cm="1">
        <f t="array" aca="1" ref="R113" ca="1">(1 + INDEX($F$76:$AI$78,MATCH($E113,_xlfn.ANCHORARRAY($D$76)),Q$81)) * Q113</f>
        <v>148.56716192843902</v>
      </c>
      <c r="S113" s="313" cm="1">
        <f t="array" aca="1" ref="S113" ca="1">(1 + INDEX($F$76:$AI$78,MATCH($E113,_xlfn.ANCHORARRAY($D$76)),R$81)) * R113</f>
        <v>152.79286987310212</v>
      </c>
      <c r="T113" s="313" cm="1">
        <f t="array" aca="1" ref="T113" ca="1">(1 + INDEX($F$76:$AI$78,MATCH($E113,_xlfn.ANCHORARRAY($D$76)),S$81)) * S113</f>
        <v>156.87433813836526</v>
      </c>
      <c r="U113" s="313" cm="1">
        <f t="array" aca="1" ref="U113" ca="1">(1 + INDEX($F$76:$AI$78,MATCH($E113,_xlfn.ANCHORARRAY($D$76)),T$81)) * T113</f>
        <v>160.78624394126746</v>
      </c>
      <c r="V113" s="313" cm="1">
        <f t="array" aca="1" ref="V113" ca="1">(1 + INDEX($F$76:$AI$78,MATCH($E113,_xlfn.ANCHORARRAY($D$76)),U$81)) * U113</f>
        <v>164.50423116599663</v>
      </c>
      <c r="W113" s="313" cm="1">
        <f t="array" aca="1" ref="W113" ca="1">(1 + INDEX($F$76:$AI$78,MATCH($E113,_xlfn.ANCHORARRAY($D$76)),V$81)) * V113</f>
        <v>168.00363824293873</v>
      </c>
      <c r="X113" s="313" cm="1">
        <f t="array" aca="1" ref="X113" ca="1">(1 + INDEX($F$76:$AI$78,MATCH($E113,_xlfn.ANCHORARRAY($D$76)),W$81)) * W113</f>
        <v>171.26144420926212</v>
      </c>
      <c r="Y113" s="313" cm="1">
        <f t="array" aca="1" ref="Y113" ca="1">(1 + INDEX($F$76:$AI$78,MATCH($E113,_xlfn.ANCHORARRAY($D$76)),X$81)) * X113</f>
        <v>174.26222146651864</v>
      </c>
      <c r="Z113" s="313" cm="1">
        <f t="array" aca="1" ref="Z113" ca="1">(1 + INDEX($F$76:$AI$78,MATCH($E113,_xlfn.ANCHORARRAY($D$76)),Y$81)) * Y113</f>
        <v>176.99343487174895</v>
      </c>
      <c r="AA113" s="313" cm="1">
        <f t="array" aca="1" ref="AA113" ca="1">(1 + INDEX($F$76:$AI$78,MATCH($E113,_xlfn.ANCHORARRAY($D$76)),Z$81)) * Z113</f>
        <v>179.44170556463868</v>
      </c>
      <c r="AB113" s="313" cm="1">
        <f t="array" aca="1" ref="AB113" ca="1">(1 + INDEX($F$76:$AI$78,MATCH($E113,_xlfn.ANCHORARRAY($D$76)),AA$81)) * AA113</f>
        <v>181.59651709619558</v>
      </c>
      <c r="AC113" s="313" cm="1">
        <f t="array" aca="1" ref="AC113" ca="1">(1 + INDEX($F$76:$AI$78,MATCH($E113,_xlfn.ANCHORARRAY($D$76)),AB$81)) * AB113</f>
        <v>183.44657687300682</v>
      </c>
      <c r="AD113" s="313" cm="1">
        <f t="array" aca="1" ref="AD113" ca="1">(1 + INDEX($F$76:$AI$78,MATCH($E113,_xlfn.ANCHORARRAY($D$76)),AC$81)) * AC113</f>
        <v>184.98451530469981</v>
      </c>
      <c r="AE113" s="313" cm="1">
        <f t="array" aca="1" ref="AE113" ca="1">(1 + INDEX($F$76:$AI$78,MATCH($E113,_xlfn.ANCHORARRAY($D$76)),AD$81)) * AD113</f>
        <v>186.20610472385772</v>
      </c>
      <c r="AF113" s="313" cm="1">
        <f t="array" aca="1" ref="AF113" ca="1">(1 + INDEX($F$76:$AI$78,MATCH($E113,_xlfn.ANCHORARRAY($D$76)),AE$81)) * AE113</f>
        <v>187.10584821119076</v>
      </c>
      <c r="AG113" s="313" cm="1">
        <f t="array" aca="1" ref="AG113" ca="1">(1 + INDEX($F$76:$AI$78,MATCH($E113,_xlfn.ANCHORARRAY($D$76)),AF$81)) * AF113</f>
        <v>187.67884431621269</v>
      </c>
      <c r="AH113" s="313" cm="1">
        <f t="array" aca="1" ref="AH113" ca="1">(1 + INDEX($F$76:$AI$78,MATCH($E113,_xlfn.ANCHORARRAY($D$76)),AG$81)) * AG113</f>
        <v>187.92335949347574</v>
      </c>
      <c r="AI113" s="313" cm="1">
        <f t="array" aca="1" ref="AI113" ca="1">(1 + INDEX($F$76:$AI$78,MATCH($E113,_xlfn.ANCHORARRAY($D$76)),AH$81)) * AH113</f>
        <v>187.83924752996538</v>
      </c>
      <c r="AJ113" s="313" cm="1">
        <f t="array" aca="1" ref="AJ113" ca="1">(1 + INDEX($F$76:$AI$78,MATCH($E113,_xlfn.ANCHORARRAY($D$76)),AI$81)) * AI113</f>
        <v>187.42485361081222</v>
      </c>
      <c r="AK113" s="313" cm="1">
        <f t="array" aca="1" ref="AK113" ca="1">(1 + INDEX($F$76:$AI$78,MATCH($E113,_xlfn.ANCHORARRAY($D$76)),AJ$81)) * AJ113</f>
        <v>186.6793412416541</v>
      </c>
      <c r="AL113" s="313" cm="1">
        <f t="array" aca="1" ref="AL113" ca="1">(1 + INDEX($F$76:$AI$78,MATCH($E113,_xlfn.ANCHORARRAY($D$76)),AK$81)) * AK113</f>
        <v>185.60333158207945</v>
      </c>
    </row>
    <row r="114" spans="2:38">
      <c r="B114" s="97">
        <v>3</v>
      </c>
      <c r="C114" s="204">
        <v>8</v>
      </c>
      <c r="D114" s="89" t="str">
        <v>Veículos Comerciais com 7 Eixos Articulado</v>
      </c>
      <c r="E114" s="89" t="str">
        <v>Pesados II</v>
      </c>
      <c r="F114" s="318" cm="1">
        <f t="array" aca="1" ref="F114" ca="1">INDEX('Painel Controle'!F$110:I$121,Tráfego!C114,Tráfego!B114) / SUM(_xlfn._xlws.FILTER(OFFSET('Painel Controle'!F$110:F$121,,Tráfego!B114-1),'Painel Controle'!D$110:D$121=Tráfego!E114))</f>
        <v>0.17123287671232876</v>
      </c>
      <c r="G114" s="356" cm="1">
        <f t="array" aca="1" ref="G114" ca="1">INDEX(C$4:E$7,B114,MATCH(E114,_xlfn.ANCHORARRAY(C$3))) * F114</f>
        <v>26.843904355655457</v>
      </c>
      <c r="H114" s="142" cm="1">
        <f t="array" aca="1" ref="H114" ca="1">INDEX(C$4:E$7,B114,MATCH(E114,_xlfn.ANCHORARRAY(C$3))) * F114 * (1 + INDEX(E$76:E$78,MATCH(E114,_xlfn.ANCHORARRAY(D$76),0)))</f>
        <v>28.078351083095765</v>
      </c>
      <c r="I114" s="313" cm="1">
        <f t="array" aca="1" ref="I114" ca="1">(1 + INDEX($F$76:$AI$78,MATCH($E114,_xlfn.ANCHORARRAY($D$76)),H$81)) * H114</f>
        <v>29.153217639660454</v>
      </c>
      <c r="J114" s="313" cm="1">
        <f t="array" aca="1" ref="J114" ca="1">(1 + INDEX($F$76:$AI$78,MATCH($E114,_xlfn.ANCHORARRAY($D$76)),I$81)) * I114</f>
        <v>30.231926358221404</v>
      </c>
      <c r="K114" s="313" cm="1">
        <f t="array" aca="1" ref="K114" ca="1">(1 + INDEX($F$76:$AI$78,MATCH($E114,_xlfn.ANCHORARRAY($D$76)),J$81)) * J114</f>
        <v>31.334331055555019</v>
      </c>
      <c r="L114" s="313" cm="1">
        <f t="array" aca="1" ref="L114" ca="1">(1 + INDEX($F$76:$AI$78,MATCH($E114,_xlfn.ANCHORARRAY($D$76)),K$81)) * K114</f>
        <v>32.467103845233019</v>
      </c>
      <c r="M114" s="313" cm="1">
        <f t="array" aca="1" ref="M114" ca="1">(1 + INDEX($F$76:$AI$78,MATCH($E114,_xlfn.ANCHORARRAY($D$76)),L$81)) * L114</f>
        <v>33.628385692670264</v>
      </c>
      <c r="N114" s="313" cm="1">
        <f t="array" aca="1" ref="N114" ca="1">(1 + INDEX($F$76:$AI$78,MATCH($E114,_xlfn.ANCHORARRAY($D$76)),M$81)) * M114</f>
        <v>34.81005132444821</v>
      </c>
      <c r="O114" s="313" cm="1">
        <f t="array" aca="1" ref="O114" ca="1">(1 + INDEX($F$76:$AI$78,MATCH($E114,_xlfn.ANCHORARRAY($D$76)),N$81)) * N114</f>
        <v>35.998974563803877</v>
      </c>
      <c r="P114" s="313" cm="1">
        <f t="array" aca="1" ref="P114" ca="1">(1 + INDEX($F$76:$AI$78,MATCH($E114,_xlfn.ANCHORARRAY($D$76)),O$81)) * O114</f>
        <v>37.185054390115397</v>
      </c>
      <c r="Q114" s="313" cm="1">
        <f t="array" aca="1" ref="Q114" ca="1">(1 + INDEX($F$76:$AI$78,MATCH($E114,_xlfn.ANCHORARRAY($D$76)),P$81)) * P114</f>
        <v>38.359084728541127</v>
      </c>
      <c r="R114" s="313" cm="1">
        <f t="array" aca="1" ref="R114" ca="1">(1 + INDEX($F$76:$AI$78,MATCH($E114,_xlfn.ANCHORARRAY($D$76)),Q$81)) * Q114</f>
        <v>39.512543066074208</v>
      </c>
      <c r="S114" s="313" cm="1">
        <f t="array" aca="1" ref="S114" ca="1">(1 + INDEX($F$76:$AI$78,MATCH($E114,_xlfn.ANCHORARRAY($D$76)),R$81)) * R114</f>
        <v>40.63640156199525</v>
      </c>
      <c r="T114" s="313" cm="1">
        <f t="array" aca="1" ref="T114" ca="1">(1 + INDEX($F$76:$AI$78,MATCH($E114,_xlfn.ANCHORARRAY($D$76)),S$81)) * S114</f>
        <v>41.721898441054599</v>
      </c>
      <c r="U114" s="313" cm="1">
        <f t="array" aca="1" ref="U114" ca="1">(1 + INDEX($F$76:$AI$78,MATCH($E114,_xlfn.ANCHORARRAY($D$76)),T$81)) * T114</f>
        <v>42.762298920549867</v>
      </c>
      <c r="V114" s="313" cm="1">
        <f t="array" aca="1" ref="V114" ca="1">(1 + INDEX($F$76:$AI$78,MATCH($E114,_xlfn.ANCHORARRAY($D$76)),U$81)) * U114</f>
        <v>43.751125310105493</v>
      </c>
      <c r="W114" s="313" cm="1">
        <f t="array" aca="1" ref="W114" ca="1">(1 + INDEX($F$76:$AI$78,MATCH($E114,_xlfn.ANCHORARRAY($D$76)),V$81)) * V114</f>
        <v>44.681818681632649</v>
      </c>
      <c r="X114" s="313" cm="1">
        <f t="array" aca="1" ref="X114" ca="1">(1 + INDEX($F$76:$AI$78,MATCH($E114,_xlfn.ANCHORARRAY($D$76)),W$81)) * W114</f>
        <v>45.548256438633544</v>
      </c>
      <c r="Y114" s="313" cm="1">
        <f t="array" aca="1" ref="Y114" ca="1">(1 + INDEX($F$76:$AI$78,MATCH($E114,_xlfn.ANCHORARRAY($D$76)),X$81)) * X114</f>
        <v>46.346335496414532</v>
      </c>
      <c r="Z114" s="313" cm="1">
        <f t="array" aca="1" ref="Z114" ca="1">(1 + INDEX($F$76:$AI$78,MATCH($E114,_xlfn.ANCHORARRAY($D$76)),Y$81)) * Y114</f>
        <v>47.072722040358762</v>
      </c>
      <c r="AA114" s="313" cm="1">
        <f t="array" aca="1" ref="AA114" ca="1">(1 + INDEX($F$76:$AI$78,MATCH($E114,_xlfn.ANCHORARRAY($D$76)),Z$81)) * Z114</f>
        <v>47.723857862935816</v>
      </c>
      <c r="AB114" s="313" cm="1">
        <f t="array" aca="1" ref="AB114" ca="1">(1 + INDEX($F$76:$AI$78,MATCH($E114,_xlfn.ANCHORARRAY($D$76)),AA$81)) * AA114</f>
        <v>48.296946036222231</v>
      </c>
      <c r="AC114" s="313" cm="1">
        <f t="array" aca="1" ref="AC114" ca="1">(1 + INDEX($F$76:$AI$78,MATCH($E114,_xlfn.ANCHORARRAY($D$76)),AB$81)) * AB114</f>
        <v>48.788983210906068</v>
      </c>
      <c r="AD114" s="313" cm="1">
        <f t="array" aca="1" ref="AD114" ca="1">(1 + INDEX($F$76:$AI$78,MATCH($E114,_xlfn.ANCHORARRAY($D$76)),AC$81)) * AC114</f>
        <v>49.198009389547821</v>
      </c>
      <c r="AE114" s="313" cm="1">
        <f t="array" aca="1" ref="AE114" ca="1">(1 + INDEX($F$76:$AI$78,MATCH($E114,_xlfn.ANCHORARRAY($D$76)),AD$81)) * AD114</f>
        <v>49.522900192515344</v>
      </c>
      <c r="AF114" s="313" cm="1">
        <f t="array" aca="1" ref="AF114" ca="1">(1 + INDEX($F$76:$AI$78,MATCH($E114,_xlfn.ANCHORARRAY($D$76)),AE$81)) * AE114</f>
        <v>49.762193673189024</v>
      </c>
      <c r="AG114" s="313" cm="1">
        <f t="array" aca="1" ref="AG114" ca="1">(1 + INDEX($F$76:$AI$78,MATCH($E114,_xlfn.ANCHORARRAY($D$76)),AF$81)) * AF114</f>
        <v>49.914586254311878</v>
      </c>
      <c r="AH114" s="313" cm="1">
        <f t="array" aca="1" ref="AH114" ca="1">(1 + INDEX($F$76:$AI$78,MATCH($E114,_xlfn.ANCHORARRAY($D$76)),AG$81)) * AG114</f>
        <v>49.979616886562695</v>
      </c>
      <c r="AI114" s="313" cm="1">
        <f t="array" aca="1" ref="AI114" ca="1">(1 + INDEX($F$76:$AI$78,MATCH($E114,_xlfn.ANCHORARRAY($D$76)),AH$81)) * AH114</f>
        <v>49.957246683501431</v>
      </c>
      <c r="AJ114" s="313" cm="1">
        <f t="array" aca="1" ref="AJ114" ca="1">(1 + INDEX($F$76:$AI$78,MATCH($E114,_xlfn.ANCHORARRAY($D$76)),AI$81)) * AI114</f>
        <v>49.847035534790479</v>
      </c>
      <c r="AK114" s="313" cm="1">
        <f t="array" aca="1" ref="AK114" ca="1">(1 + INDEX($F$76:$AI$78,MATCH($E114,_xlfn.ANCHORARRAY($D$76)),AJ$81)) * AJ114</f>
        <v>49.648760968525018</v>
      </c>
      <c r="AL114" s="313" cm="1">
        <f t="array" aca="1" ref="AL114" ca="1">(1 + INDEX($F$76:$AI$78,MATCH($E114,_xlfn.ANCHORARRAY($D$76)),AK$81)) * AK114</f>
        <v>49.362588186723244</v>
      </c>
    </row>
    <row r="115" spans="2:38">
      <c r="B115" s="97">
        <v>3</v>
      </c>
      <c r="C115" s="204">
        <v>9</v>
      </c>
      <c r="D115" s="89" t="str">
        <v>Veículos Comerciais com 8 Eixos Articulado</v>
      </c>
      <c r="E115" s="89" t="str">
        <v>Pesados II</v>
      </c>
      <c r="F115" s="318" cm="1">
        <f t="array" aca="1" ref="F115" ca="1">INDEX('Painel Controle'!F$110:I$121,Tráfego!C115,Tráfego!B115) / SUM(_xlfn._xlws.FILTER(OFFSET('Painel Controle'!F$110:F$121,,Tráfego!B115-1),'Painel Controle'!D$110:D$121=Tráfego!E115))</f>
        <v>0</v>
      </c>
      <c r="G115" s="356" cm="1">
        <f t="array" aca="1" ref="G115" ca="1">INDEX(C$4:E$7,B115,MATCH(E115,_xlfn.ANCHORARRAY(C$3))) * F115</f>
        <v>0</v>
      </c>
      <c r="H115" s="142" cm="1">
        <f t="array" aca="1" ref="H115" ca="1">INDEX(C$4:E$7,B115,MATCH(E115,_xlfn.ANCHORARRAY(C$3))) * F115 * (1 + INDEX(E$76:E$78,MATCH(E115,_xlfn.ANCHORARRAY(D$76),0)))</f>
        <v>0</v>
      </c>
      <c r="I115" s="313" cm="1">
        <f t="array" aca="1" ref="I115" ca="1">(1 + INDEX($F$76:$AI$78,MATCH($E115,_xlfn.ANCHORARRAY($D$76)),H$81)) * H115</f>
        <v>0</v>
      </c>
      <c r="J115" s="313" cm="1">
        <f t="array" aca="1" ref="J115" ca="1">(1 + INDEX($F$76:$AI$78,MATCH($E115,_xlfn.ANCHORARRAY($D$76)),I$81)) * I115</f>
        <v>0</v>
      </c>
      <c r="K115" s="313" cm="1">
        <f t="array" aca="1" ref="K115" ca="1">(1 + INDEX($F$76:$AI$78,MATCH($E115,_xlfn.ANCHORARRAY($D$76)),J$81)) * J115</f>
        <v>0</v>
      </c>
      <c r="L115" s="313" cm="1">
        <f t="array" aca="1" ref="L115" ca="1">(1 + INDEX($F$76:$AI$78,MATCH($E115,_xlfn.ANCHORARRAY($D$76)),K$81)) * K115</f>
        <v>0</v>
      </c>
      <c r="M115" s="313" cm="1">
        <f t="array" aca="1" ref="M115" ca="1">(1 + INDEX($F$76:$AI$78,MATCH($E115,_xlfn.ANCHORARRAY($D$76)),L$81)) * L115</f>
        <v>0</v>
      </c>
      <c r="N115" s="313" cm="1">
        <f t="array" aca="1" ref="N115" ca="1">(1 + INDEX($F$76:$AI$78,MATCH($E115,_xlfn.ANCHORARRAY($D$76)),M$81)) * M115</f>
        <v>0</v>
      </c>
      <c r="O115" s="313" cm="1">
        <f t="array" aca="1" ref="O115" ca="1">(1 + INDEX($F$76:$AI$78,MATCH($E115,_xlfn.ANCHORARRAY($D$76)),N$81)) * N115</f>
        <v>0</v>
      </c>
      <c r="P115" s="313" cm="1">
        <f t="array" aca="1" ref="P115" ca="1">(1 + INDEX($F$76:$AI$78,MATCH($E115,_xlfn.ANCHORARRAY($D$76)),O$81)) * O115</f>
        <v>0</v>
      </c>
      <c r="Q115" s="313" cm="1">
        <f t="array" aca="1" ref="Q115" ca="1">(1 + INDEX($F$76:$AI$78,MATCH($E115,_xlfn.ANCHORARRAY($D$76)),P$81)) * P115</f>
        <v>0</v>
      </c>
      <c r="R115" s="313" cm="1">
        <f t="array" aca="1" ref="R115" ca="1">(1 + INDEX($F$76:$AI$78,MATCH($E115,_xlfn.ANCHORARRAY($D$76)),Q$81)) * Q115</f>
        <v>0</v>
      </c>
      <c r="S115" s="313" cm="1">
        <f t="array" aca="1" ref="S115" ca="1">(1 + INDEX($F$76:$AI$78,MATCH($E115,_xlfn.ANCHORARRAY($D$76)),R$81)) * R115</f>
        <v>0</v>
      </c>
      <c r="T115" s="313" cm="1">
        <f t="array" aca="1" ref="T115" ca="1">(1 + INDEX($F$76:$AI$78,MATCH($E115,_xlfn.ANCHORARRAY($D$76)),S$81)) * S115</f>
        <v>0</v>
      </c>
      <c r="U115" s="313" cm="1">
        <f t="array" aca="1" ref="U115" ca="1">(1 + INDEX($F$76:$AI$78,MATCH($E115,_xlfn.ANCHORARRAY($D$76)),T$81)) * T115</f>
        <v>0</v>
      </c>
      <c r="V115" s="313" cm="1">
        <f t="array" aca="1" ref="V115" ca="1">(1 + INDEX($F$76:$AI$78,MATCH($E115,_xlfn.ANCHORARRAY($D$76)),U$81)) * U115</f>
        <v>0</v>
      </c>
      <c r="W115" s="313" cm="1">
        <f t="array" aca="1" ref="W115" ca="1">(1 + INDEX($F$76:$AI$78,MATCH($E115,_xlfn.ANCHORARRAY($D$76)),V$81)) * V115</f>
        <v>0</v>
      </c>
      <c r="X115" s="313" cm="1">
        <f t="array" aca="1" ref="X115" ca="1">(1 + INDEX($F$76:$AI$78,MATCH($E115,_xlfn.ANCHORARRAY($D$76)),W$81)) * W115</f>
        <v>0</v>
      </c>
      <c r="Y115" s="313" cm="1">
        <f t="array" aca="1" ref="Y115" ca="1">(1 + INDEX($F$76:$AI$78,MATCH($E115,_xlfn.ANCHORARRAY($D$76)),X$81)) * X115</f>
        <v>0</v>
      </c>
      <c r="Z115" s="313" cm="1">
        <f t="array" aca="1" ref="Z115" ca="1">(1 + INDEX($F$76:$AI$78,MATCH($E115,_xlfn.ANCHORARRAY($D$76)),Y$81)) * Y115</f>
        <v>0</v>
      </c>
      <c r="AA115" s="313" cm="1">
        <f t="array" aca="1" ref="AA115" ca="1">(1 + INDEX($F$76:$AI$78,MATCH($E115,_xlfn.ANCHORARRAY($D$76)),Z$81)) * Z115</f>
        <v>0</v>
      </c>
      <c r="AB115" s="313" cm="1">
        <f t="array" aca="1" ref="AB115" ca="1">(1 + INDEX($F$76:$AI$78,MATCH($E115,_xlfn.ANCHORARRAY($D$76)),AA$81)) * AA115</f>
        <v>0</v>
      </c>
      <c r="AC115" s="313" cm="1">
        <f t="array" aca="1" ref="AC115" ca="1">(1 + INDEX($F$76:$AI$78,MATCH($E115,_xlfn.ANCHORARRAY($D$76)),AB$81)) * AB115</f>
        <v>0</v>
      </c>
      <c r="AD115" s="313" cm="1">
        <f t="array" aca="1" ref="AD115" ca="1">(1 + INDEX($F$76:$AI$78,MATCH($E115,_xlfn.ANCHORARRAY($D$76)),AC$81)) * AC115</f>
        <v>0</v>
      </c>
      <c r="AE115" s="313" cm="1">
        <f t="array" aca="1" ref="AE115" ca="1">(1 + INDEX($F$76:$AI$78,MATCH($E115,_xlfn.ANCHORARRAY($D$76)),AD$81)) * AD115</f>
        <v>0</v>
      </c>
      <c r="AF115" s="313" cm="1">
        <f t="array" aca="1" ref="AF115" ca="1">(1 + INDEX($F$76:$AI$78,MATCH($E115,_xlfn.ANCHORARRAY($D$76)),AE$81)) * AE115</f>
        <v>0</v>
      </c>
      <c r="AG115" s="313" cm="1">
        <f t="array" aca="1" ref="AG115" ca="1">(1 + INDEX($F$76:$AI$78,MATCH($E115,_xlfn.ANCHORARRAY($D$76)),AF$81)) * AF115</f>
        <v>0</v>
      </c>
      <c r="AH115" s="313" cm="1">
        <f t="array" aca="1" ref="AH115" ca="1">(1 + INDEX($F$76:$AI$78,MATCH($E115,_xlfn.ANCHORARRAY($D$76)),AG$81)) * AG115</f>
        <v>0</v>
      </c>
      <c r="AI115" s="313" cm="1">
        <f t="array" aca="1" ref="AI115" ca="1">(1 + INDEX($F$76:$AI$78,MATCH($E115,_xlfn.ANCHORARRAY($D$76)),AH$81)) * AH115</f>
        <v>0</v>
      </c>
      <c r="AJ115" s="313" cm="1">
        <f t="array" aca="1" ref="AJ115" ca="1">(1 + INDEX($F$76:$AI$78,MATCH($E115,_xlfn.ANCHORARRAY($D$76)),AI$81)) * AI115</f>
        <v>0</v>
      </c>
      <c r="AK115" s="313" cm="1">
        <f t="array" aca="1" ref="AK115" ca="1">(1 + INDEX($F$76:$AI$78,MATCH($E115,_xlfn.ANCHORARRAY($D$76)),AJ$81)) * AJ115</f>
        <v>0</v>
      </c>
      <c r="AL115" s="313" cm="1">
        <f t="array" aca="1" ref="AL115" ca="1">(1 + INDEX($F$76:$AI$78,MATCH($E115,_xlfn.ANCHORARRAY($D$76)),AK$81)) * AK115</f>
        <v>0</v>
      </c>
    </row>
    <row r="116" spans="2:38">
      <c r="B116" s="97">
        <v>3</v>
      </c>
      <c r="C116" s="204">
        <v>10</v>
      </c>
      <c r="D116" s="89" t="str">
        <v>Veículos Comerciais com 9 Eixos Articulado</v>
      </c>
      <c r="E116" s="89" t="str">
        <v>Pesados II</v>
      </c>
      <c r="F116" s="318" cm="1">
        <f t="array" aca="1" ref="F116" ca="1">INDEX('Painel Controle'!F$110:I$121,Tráfego!C116,Tráfego!B116) / SUM(_xlfn._xlws.FILTER(OFFSET('Painel Controle'!F$110:F$121,,Tráfego!B116-1),'Painel Controle'!D$110:D$121=Tráfego!E116))</f>
        <v>0.10273972602739725</v>
      </c>
      <c r="G116" s="356" cm="1">
        <f t="array" aca="1" ref="G116" ca="1">INDEX(C$4:E$7,B116,MATCH(E116,_xlfn.ANCHORARRAY(C$3))) * F116</f>
        <v>16.106342613393274</v>
      </c>
      <c r="H116" s="142" cm="1">
        <f t="array" aca="1" ref="H116" ca="1">INDEX(C$4:E$7,B116,MATCH(E116,_xlfn.ANCHORARRAY(C$3))) * F116 * (1 + INDEX(E$76:E$78,MATCH(E116,_xlfn.ANCHORARRAY(D$76),0)))</f>
        <v>16.847010649857456</v>
      </c>
      <c r="I116" s="313" cm="1">
        <f t="array" aca="1" ref="I116" ca="1">(1 + INDEX($F$76:$AI$78,MATCH($E116,_xlfn.ANCHORARRAY($D$76)),H$81)) * H116</f>
        <v>17.491930583796268</v>
      </c>
      <c r="J116" s="313" cm="1">
        <f t="array" aca="1" ref="J116" ca="1">(1 + INDEX($F$76:$AI$78,MATCH($E116,_xlfn.ANCHORARRAY($D$76)),I$81)) * I116</f>
        <v>18.139155814932838</v>
      </c>
      <c r="K116" s="313" cm="1">
        <f t="array" aca="1" ref="K116" ca="1">(1 + INDEX($F$76:$AI$78,MATCH($E116,_xlfn.ANCHORARRAY($D$76)),J$81)) * J116</f>
        <v>18.800598633333006</v>
      </c>
      <c r="L116" s="313" cm="1">
        <f t="array" aca="1" ref="L116" ca="1">(1 + INDEX($F$76:$AI$78,MATCH($E116,_xlfn.ANCHORARRAY($D$76)),K$81)) * K116</f>
        <v>19.480262307139807</v>
      </c>
      <c r="M116" s="313" cm="1">
        <f t="array" aca="1" ref="M116" ca="1">(1 + INDEX($F$76:$AI$78,MATCH($E116,_xlfn.ANCHORARRAY($D$76)),L$81)) * L116</f>
        <v>20.177031415602151</v>
      </c>
      <c r="N116" s="313" cm="1">
        <f t="array" aca="1" ref="N116" ca="1">(1 + INDEX($F$76:$AI$78,MATCH($E116,_xlfn.ANCHORARRAY($D$76)),M$81)) * M116</f>
        <v>20.886030794668919</v>
      </c>
      <c r="O116" s="313" cm="1">
        <f t="array" aca="1" ref="O116" ca="1">(1 + INDEX($F$76:$AI$78,MATCH($E116,_xlfn.ANCHORARRAY($D$76)),N$81)) * N116</f>
        <v>21.599384738282318</v>
      </c>
      <c r="P116" s="313" cm="1">
        <f t="array" aca="1" ref="P116" ca="1">(1 + INDEX($F$76:$AI$78,MATCH($E116,_xlfn.ANCHORARRAY($D$76)),O$81)) * O116</f>
        <v>22.311032634069228</v>
      </c>
      <c r="Q116" s="313" cm="1">
        <f t="array" aca="1" ref="Q116" ca="1">(1 + INDEX($F$76:$AI$78,MATCH($E116,_xlfn.ANCHORARRAY($D$76)),P$81)) * P116</f>
        <v>23.015450837124668</v>
      </c>
      <c r="R116" s="313" cm="1">
        <f t="array" aca="1" ref="R116" ca="1">(1 + INDEX($F$76:$AI$78,MATCH($E116,_xlfn.ANCHORARRAY($D$76)),Q$81)) * Q116</f>
        <v>23.707525839644514</v>
      </c>
      <c r="S116" s="313" cm="1">
        <f t="array" aca="1" ref="S116" ca="1">(1 + INDEX($F$76:$AI$78,MATCH($E116,_xlfn.ANCHORARRAY($D$76)),R$81)) * R116</f>
        <v>24.381840937197136</v>
      </c>
      <c r="T116" s="313" cm="1">
        <f t="array" aca="1" ref="T116" ca="1">(1 + INDEX($F$76:$AI$78,MATCH($E116,_xlfn.ANCHORARRAY($D$76)),S$81)) * S116</f>
        <v>25.033139064632746</v>
      </c>
      <c r="U116" s="313" cm="1">
        <f t="array" aca="1" ref="U116" ca="1">(1 + INDEX($F$76:$AI$78,MATCH($E116,_xlfn.ANCHORARRAY($D$76)),T$81)) * T116</f>
        <v>25.657379352329905</v>
      </c>
      <c r="V116" s="313" cm="1">
        <f t="array" aca="1" ref="V116" ca="1">(1 + INDEX($F$76:$AI$78,MATCH($E116,_xlfn.ANCHORARRAY($D$76)),U$81)) * U116</f>
        <v>26.25067518606328</v>
      </c>
      <c r="W116" s="313" cm="1">
        <f t="array" aca="1" ref="W116" ca="1">(1 + INDEX($F$76:$AI$78,MATCH($E116,_xlfn.ANCHORARRAY($D$76)),V$81)) * V116</f>
        <v>26.809091208979574</v>
      </c>
      <c r="X116" s="313" cm="1">
        <f t="array" aca="1" ref="X116" ca="1">(1 + INDEX($F$76:$AI$78,MATCH($E116,_xlfn.ANCHORARRAY($D$76)),W$81)) * W116</f>
        <v>27.328953863180111</v>
      </c>
      <c r="Y116" s="313" cm="1">
        <f t="array" aca="1" ref="Y116" ca="1">(1 + INDEX($F$76:$AI$78,MATCH($E116,_xlfn.ANCHORARRAY($D$76)),X$81)) * X116</f>
        <v>27.807801297848702</v>
      </c>
      <c r="Z116" s="313" cm="1">
        <f t="array" aca="1" ref="Z116" ca="1">(1 + INDEX($F$76:$AI$78,MATCH($E116,_xlfn.ANCHORARRAY($D$76)),Y$81)) * Y116</f>
        <v>28.243633224215241</v>
      </c>
      <c r="AA116" s="313" cm="1">
        <f t="array" aca="1" ref="AA116" ca="1">(1 + INDEX($F$76:$AI$78,MATCH($E116,_xlfn.ANCHORARRAY($D$76)),Z$81)) * Z116</f>
        <v>28.634314717761473</v>
      </c>
      <c r="AB116" s="313" cm="1">
        <f t="array" aca="1" ref="AB116" ca="1">(1 + INDEX($F$76:$AI$78,MATCH($E116,_xlfn.ANCHORARRAY($D$76)),AA$81)) * AA116</f>
        <v>28.97816762173332</v>
      </c>
      <c r="AC116" s="313" cm="1">
        <f t="array" aca="1" ref="AC116" ca="1">(1 + INDEX($F$76:$AI$78,MATCH($E116,_xlfn.ANCHORARRAY($D$76)),AB$81)) * AB116</f>
        <v>29.273389926543622</v>
      </c>
      <c r="AD116" s="313" cm="1">
        <f t="array" aca="1" ref="AD116" ca="1">(1 + INDEX($F$76:$AI$78,MATCH($E116,_xlfn.ANCHORARRAY($D$76)),AC$81)) * AC116</f>
        <v>29.518805633728675</v>
      </c>
      <c r="AE116" s="313" cm="1">
        <f t="array" aca="1" ref="AE116" ca="1">(1 + INDEX($F$76:$AI$78,MATCH($E116,_xlfn.ANCHORARRAY($D$76)),AD$81)) * AD116</f>
        <v>29.713740115509189</v>
      </c>
      <c r="AF116" s="313" cm="1">
        <f t="array" aca="1" ref="AF116" ca="1">(1 + INDEX($F$76:$AI$78,MATCH($E116,_xlfn.ANCHORARRAY($D$76)),AE$81)) * AE116</f>
        <v>29.857316203913395</v>
      </c>
      <c r="AG116" s="313" cm="1">
        <f t="array" aca="1" ref="AG116" ca="1">(1 + INDEX($F$76:$AI$78,MATCH($E116,_xlfn.ANCHORARRAY($D$76)),AF$81)) * AF116</f>
        <v>29.948751752587107</v>
      </c>
      <c r="AH116" s="313" cm="1">
        <f t="array" aca="1" ref="AH116" ca="1">(1 + INDEX($F$76:$AI$78,MATCH($E116,_xlfn.ANCHORARRAY($D$76)),AG$81)) * AG116</f>
        <v>29.987770131937594</v>
      </c>
      <c r="AI116" s="313" cm="1">
        <f t="array" aca="1" ref="AI116" ca="1">(1 + INDEX($F$76:$AI$78,MATCH($E116,_xlfn.ANCHORARRAY($D$76)),AH$81)) * AH116</f>
        <v>29.974348010100837</v>
      </c>
      <c r="AJ116" s="313" cm="1">
        <f t="array" aca="1" ref="AJ116" ca="1">(1 + INDEX($F$76:$AI$78,MATCH($E116,_xlfn.ANCHORARRAY($D$76)),AI$81)) * AI116</f>
        <v>29.908221320874269</v>
      </c>
      <c r="AK116" s="313" cm="1">
        <f t="array" aca="1" ref="AK116" ca="1">(1 + INDEX($F$76:$AI$78,MATCH($E116,_xlfn.ANCHORARRAY($D$76)),AJ$81)) * AJ116</f>
        <v>29.789256581114994</v>
      </c>
      <c r="AL116" s="313" cm="1">
        <f t="array" aca="1" ref="AL116" ca="1">(1 + INDEX($F$76:$AI$78,MATCH($E116,_xlfn.ANCHORARRAY($D$76)),AK$81)) * AK116</f>
        <v>29.617552912033933</v>
      </c>
    </row>
    <row r="117" spans="2:38">
      <c r="B117" s="97">
        <v>3</v>
      </c>
      <c r="C117" s="204">
        <v>11</v>
      </c>
      <c r="D117" s="89" t="str">
        <v>Motocicleta</v>
      </c>
      <c r="E117" s="89" t="str">
        <v>Leves</v>
      </c>
      <c r="F117" s="318" cm="1">
        <f t="array" aca="1" ref="F117" ca="1">INDEX('Painel Controle'!F$110:I$121,Tráfego!C117,Tráfego!B117) / SUM(_xlfn._xlws.FILTER(OFFSET('Painel Controle'!F$110:F$121,,Tráfego!B117-1),'Painel Controle'!D$110:D$121=Tráfego!E117))</f>
        <v>0.1081818181818182</v>
      </c>
      <c r="G117" s="356" cm="1">
        <f t="array" aca="1" ref="G117" ca="1">INDEX(C$4:E$7,B117,MATCH(E117,_xlfn.ANCHORARRAY(C$3))) * F117</f>
        <v>383.33095419875997</v>
      </c>
      <c r="H117" s="142" cm="1">
        <f t="array" aca="1" ref="H117" ca="1">INDEX(C$4:E$7,B117,MATCH(E117,_xlfn.ANCHORARRAY(C$3))) * F117 * (1 + INDEX(E$76:E$78,MATCH(E117,_xlfn.ANCHORARRAY(D$76),0)))</f>
        <v>403.27043121363153</v>
      </c>
      <c r="I117" s="313" cm="1">
        <f t="array" aca="1" ref="I117" ca="1">(1 + INDEX($F$76:$AI$78,MATCH($E117,_xlfn.ANCHORARRAY($D$76)),H$81)) * H117</f>
        <v>420.38303985210814</v>
      </c>
      <c r="J117" s="313" cm="1">
        <f t="array" aca="1" ref="J117" ca="1">(1 + INDEX($F$76:$AI$78,MATCH($E117,_xlfn.ANCHORARRAY($D$76)),I$81)) * I117</f>
        <v>437.77094897576899</v>
      </c>
      <c r="K117" s="313" cm="1">
        <f t="array" aca="1" ref="K117" ca="1">(1 + INDEX($F$76:$AI$78,MATCH($E117,_xlfn.ANCHORARRAY($D$76)),J$81)) * J117</f>
        <v>455.84261426348547</v>
      </c>
      <c r="L117" s="313" cm="1">
        <f t="array" aca="1" ref="L117" ca="1">(1 + INDEX($F$76:$AI$78,MATCH($E117,_xlfn.ANCHORARRAY($D$76)),K$81)) * K117</f>
        <v>474.75923697696498</v>
      </c>
      <c r="M117" s="313" cm="1">
        <f t="array" aca="1" ref="M117" ca="1">(1 + INDEX($F$76:$AI$78,MATCH($E117,_xlfn.ANCHORARRAY($D$76)),L$81)) * L117</f>
        <v>494.51911614295216</v>
      </c>
      <c r="N117" s="313" cm="1">
        <f t="array" aca="1" ref="N117" ca="1">(1 + INDEX($F$76:$AI$78,MATCH($E117,_xlfn.ANCHORARRAY($D$76)),M$81)) * M117</f>
        <v>515.00404626672866</v>
      </c>
      <c r="O117" s="313" cm="1">
        <f t="array" aca="1" ref="O117" ca="1">(1 + INDEX($F$76:$AI$78,MATCH($E117,_xlfn.ANCHORARRAY($D$76)),N$81)) * N117</f>
        <v>535.99759177733256</v>
      </c>
      <c r="P117" s="313" cm="1">
        <f t="array" aca="1" ref="P117" ca="1">(1 + INDEX($F$76:$AI$78,MATCH($E117,_xlfn.ANCHORARRAY($D$76)),O$81)) * O117</f>
        <v>557.33110480752157</v>
      </c>
      <c r="Q117" s="313" cm="1">
        <f t="array" aca="1" ref="Q117" ca="1">(1 + INDEX($F$76:$AI$78,MATCH($E117,_xlfn.ANCHORARRAY($D$76)),P$81)) * P117</f>
        <v>578.8494914783023</v>
      </c>
      <c r="R117" s="313" cm="1">
        <f t="array" aca="1" ref="R117" ca="1">(1 + INDEX($F$76:$AI$78,MATCH($E117,_xlfn.ANCHORARRAY($D$76)),Q$81)) * Q117</f>
        <v>600.40558240055975</v>
      </c>
      <c r="S117" s="313" cm="1">
        <f t="array" aca="1" ref="S117" ca="1">(1 + INDEX($F$76:$AI$78,MATCH($E117,_xlfn.ANCHORARRAY($D$76)),R$81)) * R117</f>
        <v>621.84082314151703</v>
      </c>
      <c r="T117" s="313" cm="1">
        <f t="array" aca="1" ref="T117" ca="1">(1 + INDEX($F$76:$AI$78,MATCH($E117,_xlfn.ANCHORARRAY($D$76)),S$81)) * S117</f>
        <v>642.99770585707506</v>
      </c>
      <c r="U117" s="313" cm="1">
        <f t="array" aca="1" ref="U117" ca="1">(1 + INDEX($F$76:$AI$78,MATCH($E117,_xlfn.ANCHORARRAY($D$76)),T$81)) * T117</f>
        <v>663.74844155869778</v>
      </c>
      <c r="V117" s="313" cm="1">
        <f t="array" aca="1" ref="V117" ca="1">(1 + INDEX($F$76:$AI$78,MATCH($E117,_xlfn.ANCHORARRAY($D$76)),U$81)) * U117</f>
        <v>683.96575235799969</v>
      </c>
      <c r="W117" s="313" cm="1">
        <f t="array" aca="1" ref="W117" ca="1">(1 + INDEX($F$76:$AI$78,MATCH($E117,_xlfn.ANCHORARRAY($D$76)),V$81)) * V117</f>
        <v>703.51670967168991</v>
      </c>
      <c r="X117" s="313" cm="1">
        <f t="array" aca="1" ref="X117" ca="1">(1 + INDEX($F$76:$AI$78,MATCH($E117,_xlfn.ANCHORARRAY($D$76)),W$81)) * W117</f>
        <v>722.2730814252476</v>
      </c>
      <c r="Y117" s="313" cm="1">
        <f t="array" aca="1" ref="Y117" ca="1">(1 + INDEX($F$76:$AI$78,MATCH($E117,_xlfn.ANCHORARRAY($D$76)),X$81)) * X117</f>
        <v>740.13832714126829</v>
      </c>
      <c r="Z117" s="313" cm="1">
        <f t="array" aca="1" ref="Z117" ca="1">(1 + INDEX($F$76:$AI$78,MATCH($E117,_xlfn.ANCHORARRAY($D$76)),Y$81)) * Y117</f>
        <v>757.02838481348942</v>
      </c>
      <c r="AA117" s="313" cm="1">
        <f t="array" aca="1" ref="AA117" ca="1">(1 + INDEX($F$76:$AI$78,MATCH($E117,_xlfn.ANCHORARRAY($D$76)),Z$81)) * Z117</f>
        <v>772.85472010703552</v>
      </c>
      <c r="AB117" s="313" cm="1">
        <f t="array" aca="1" ref="AB117" ca="1">(1 + INDEX($F$76:$AI$78,MATCH($E117,_xlfn.ANCHORARRAY($D$76)),AA$81)) * AA117</f>
        <v>787.53996409693491</v>
      </c>
      <c r="AC117" s="313" cm="1">
        <f t="array" aca="1" ref="AC117" ca="1">(1 + INDEX($F$76:$AI$78,MATCH($E117,_xlfn.ANCHORARRAY($D$76)),AB$81)) * AB117</f>
        <v>801.00316104431249</v>
      </c>
      <c r="AD117" s="313" cm="1">
        <f t="array" aca="1" ref="AD117" ca="1">(1 + INDEX($F$76:$AI$78,MATCH($E117,_xlfn.ANCHORARRAY($D$76)),AC$81)) * AC117</f>
        <v>813.18050242600054</v>
      </c>
      <c r="AE117" s="313" cm="1">
        <f t="array" aca="1" ref="AE117" ca="1">(1 + INDEX($F$76:$AI$78,MATCH($E117,_xlfn.ANCHORARRAY($D$76)),AD$81)) * AD117</f>
        <v>824.0225470175269</v>
      </c>
      <c r="AF117" s="313" cm="1">
        <f t="array" aca="1" ref="AF117" ca="1">(1 + INDEX($F$76:$AI$78,MATCH($E117,_xlfn.ANCHORARRAY($D$76)),AE$81)) * AE117</f>
        <v>833.47502272919326</v>
      </c>
      <c r="AG117" s="313" cm="1">
        <f t="array" aca="1" ref="AG117" ca="1">(1 + INDEX($F$76:$AI$78,MATCH($E117,_xlfn.ANCHORARRAY($D$76)),AF$81)) * AF117</f>
        <v>841.48639802246657</v>
      </c>
      <c r="AH117" s="313" cm="1">
        <f t="array" aca="1" ref="AH117" ca="1">(1 + INDEX($F$76:$AI$78,MATCH($E117,_xlfn.ANCHORARRAY($D$76)),AG$81)) * AG117</f>
        <v>848.01932358634065</v>
      </c>
      <c r="AI117" s="313" cm="1">
        <f t="array" aca="1" ref="AI117" ca="1">(1 + INDEX($F$76:$AI$78,MATCH($E117,_xlfn.ANCHORARRAY($D$76)),AH$81)) * AH117</f>
        <v>853.04307924115608</v>
      </c>
      <c r="AJ117" s="313" cm="1">
        <f t="array" aca="1" ref="AJ117" ca="1">(1 + INDEX($F$76:$AI$78,MATCH($E117,_xlfn.ANCHORARRAY($D$76)),AI$81)) * AI117</f>
        <v>856.51974136592139</v>
      </c>
      <c r="AK117" s="313" cm="1">
        <f t="array" aca="1" ref="AK117" ca="1">(1 + INDEX($F$76:$AI$78,MATCH($E117,_xlfn.ANCHORARRAY($D$76)),AJ$81)) * AJ117</f>
        <v>858.4152227595373</v>
      </c>
      <c r="AL117" s="313" cm="1">
        <f t="array" aca="1" ref="AL117" ca="1">(1 + INDEX($F$76:$AI$78,MATCH($E117,_xlfn.ANCHORARRAY($D$76)),AK$81)) * AK117</f>
        <v>858.70275406402152</v>
      </c>
    </row>
    <row r="118" spans="2:38">
      <c r="B118" s="97">
        <v>3</v>
      </c>
      <c r="C118" s="204">
        <v>12</v>
      </c>
      <c r="D118" s="89" t="str">
        <v xml:space="preserve">Veículos do transporte público coletivo intermunicipal e metropolitano </v>
      </c>
      <c r="E118" s="89" t="str">
        <v>Pesados I</v>
      </c>
      <c r="F118" s="318" cm="1">
        <f t="array" aca="1" ref="F118" ca="1">INDEX('Painel Controle'!F$110:I$121,Tráfego!C118,Tráfego!B118) / SUM(_xlfn._xlws.FILTER(OFFSET('Painel Controle'!F$110:F$121,,Tráfego!B118-1),'Painel Controle'!D$110:D$121=Tráfego!E118))</f>
        <v>1.2638664842021578E-2</v>
      </c>
      <c r="G118" s="356" cm="1">
        <f t="array" aca="1" ref="G118" ca="1">INDEX(C$4:E$7,B118,MATCH(E118,_xlfn.ANCHORARRAY(C$3))) * F118</f>
        <v>7.2739726027397245</v>
      </c>
      <c r="H118" s="142" cm="1">
        <f t="array" aca="1" ref="H118" ca="1">INDEX(C$4:E$7,B118,MATCH(E118,_xlfn.ANCHORARRAY(C$3))) * F118 * (1 + INDEX(E$76:E$78,MATCH(E118,_xlfn.ANCHORARRAY(D$76),0)))</f>
        <v>7.4930532403033956</v>
      </c>
      <c r="I118" s="313" cm="1">
        <f t="array" aca="1" ref="I118" ca="1">(1 + INDEX($F$76:$AI$78,MATCH($E118,_xlfn.ANCHORARRAY($D$76)),H$81)) * H118</f>
        <v>7.6869266233024556</v>
      </c>
      <c r="J118" s="313" cm="1">
        <f t="array" aca="1" ref="J118" ca="1">(1 + INDEX($F$76:$AI$78,MATCH($E118,_xlfn.ANCHORARRAY($D$76)),I$81)) * I118</f>
        <v>7.876763451608519</v>
      </c>
      <c r="K118" s="313" cm="1">
        <f t="array" aca="1" ref="K118" ca="1">(1 + INDEX($F$76:$AI$78,MATCH($E118,_xlfn.ANCHORARRAY($D$76)),J$81)) * J118</f>
        <v>8.0647540701269111</v>
      </c>
      <c r="L118" s="313" cm="1">
        <f t="array" aca="1" ref="L118" ca="1">(1 + INDEX($F$76:$AI$78,MATCH($E118,_xlfn.ANCHORARRAY($D$76)),K$81)) * K118</f>
        <v>8.2513790098103517</v>
      </c>
      <c r="M118" s="313" cm="1">
        <f t="array" aca="1" ref="M118" ca="1">(1 + INDEX($F$76:$AI$78,MATCH($E118,_xlfn.ANCHORARRAY($D$76)),L$81)) * L118</f>
        <v>8.4360812462464416</v>
      </c>
      <c r="N118" s="313" cm="1">
        <f t="array" aca="1" ref="N118" ca="1">(1 + INDEX($F$76:$AI$78,MATCH($E118,_xlfn.ANCHORARRAY($D$76)),M$81)) * M118</f>
        <v>8.6175008804272792</v>
      </c>
      <c r="O118" s="313" cm="1">
        <f t="array" aca="1" ref="O118" ca="1">(1 + INDEX($F$76:$AI$78,MATCH($E118,_xlfn.ANCHORARRAY($D$76)),N$81)) * N118</f>
        <v>8.7937210233789944</v>
      </c>
      <c r="P118" s="313" cm="1">
        <f t="array" aca="1" ref="P118" ca="1">(1 + INDEX($F$76:$AI$78,MATCH($E118,_xlfn.ANCHORARRAY($D$76)),O$81)) * O118</f>
        <v>8.9633762372050878</v>
      </c>
      <c r="Q118" s="313" cm="1">
        <f t="array" aca="1" ref="Q118" ca="1">(1 + INDEX($F$76:$AI$78,MATCH($E118,_xlfn.ANCHORARRAY($D$76)),P$81)) * P118</f>
        <v>9.1252721811168289</v>
      </c>
      <c r="R118" s="313" cm="1">
        <f t="array" aca="1" ref="R118" ca="1">(1 + INDEX($F$76:$AI$78,MATCH($E118,_xlfn.ANCHORARRAY($D$76)),Q$81)) * Q118</f>
        <v>9.278374757407132</v>
      </c>
      <c r="S118" s="313" cm="1">
        <f t="array" aca="1" ref="S118" ca="1">(1 + INDEX($F$76:$AI$78,MATCH($E118,_xlfn.ANCHORARRAY($D$76)),R$81)) * R118</f>
        <v>9.4216031722865559</v>
      </c>
      <c r="T118" s="313" cm="1">
        <f t="array" aca="1" ref="T118" ca="1">(1 + INDEX($F$76:$AI$78,MATCH($E118,_xlfn.ANCHORARRAY($D$76)),S$81)) * S118</f>
        <v>9.5539558710788608</v>
      </c>
      <c r="U118" s="313" cm="1">
        <f t="array" aca="1" ref="U118" ca="1">(1 + INDEX($F$76:$AI$78,MATCH($E118,_xlfn.ANCHORARRAY($D$76)),T$81)) * T118</f>
        <v>9.6747969274942207</v>
      </c>
      <c r="V118" s="313" cm="1">
        <f t="array" aca="1" ref="V118" ca="1">(1 + INDEX($F$76:$AI$78,MATCH($E118,_xlfn.ANCHORARRAY($D$76)),U$81)) * U118</f>
        <v>9.7835599454824855</v>
      </c>
      <c r="W118" s="313" cm="1">
        <f t="array" aca="1" ref="W118" ca="1">(1 + INDEX($F$76:$AI$78,MATCH($E118,_xlfn.ANCHORARRAY($D$76)),V$81)) * V118</f>
        <v>9.8796963796864397</v>
      </c>
      <c r="X118" s="313" cm="1">
        <f t="array" aca="1" ref="X118" ca="1">(1 + INDEX($F$76:$AI$78,MATCH($E118,_xlfn.ANCHORARRAY($D$76)),W$81)) * W118</f>
        <v>9.9627322387251418</v>
      </c>
      <c r="Y118" s="313" cm="1">
        <f t="array" aca="1" ref="Y118" ca="1">(1 + INDEX($F$76:$AI$78,MATCH($E118,_xlfn.ANCHORARRAY($D$76)),X$81)) * X118</f>
        <v>10.032511042098118</v>
      </c>
      <c r="Z118" s="313" cm="1">
        <f t="array" aca="1" ref="Z118" ca="1">(1 + INDEX($F$76:$AI$78,MATCH($E118,_xlfn.ANCHORARRAY($D$76)),Y$81)) * Y118</f>
        <v>10.088971786431003</v>
      </c>
      <c r="AA118" s="313" cm="1">
        <f t="array" aca="1" ref="AA118" ca="1">(1 + INDEX($F$76:$AI$78,MATCH($E118,_xlfn.ANCHORARRAY($D$76)),Z$81)) * Z118</f>
        <v>10.131996038335087</v>
      </c>
      <c r="AB118" s="313" cm="1">
        <f t="array" aca="1" ref="AB118" ca="1">(1 + INDEX($F$76:$AI$78,MATCH($E118,_xlfn.ANCHORARRAY($D$76)),AA$81)) * AA118</f>
        <v>10.161575469802969</v>
      </c>
      <c r="AC118" s="313" cm="1">
        <f t="array" aca="1" ref="AC118" ca="1">(1 + INDEX($F$76:$AI$78,MATCH($E118,_xlfn.ANCHORARRAY($D$76)),AB$81)) * AB118</f>
        <v>10.177641101141431</v>
      </c>
      <c r="AD118" s="313" cm="1">
        <f t="array" aca="1" ref="AD118" ca="1">(1 + INDEX($F$76:$AI$78,MATCH($E118,_xlfn.ANCHORARRAY($D$76)),AC$81)) * AC118</f>
        <v>10.180264852230154</v>
      </c>
      <c r="AE118" s="313" cm="1">
        <f t="array" aca="1" ref="AE118" ca="1">(1 + INDEX($F$76:$AI$78,MATCH($E118,_xlfn.ANCHORARRAY($D$76)),AD$81)) * AD118</f>
        <v>10.169619629961819</v>
      </c>
      <c r="AF118" s="313" cm="1">
        <f t="array" aca="1" ref="AF118" ca="1">(1 + INDEX($F$76:$AI$78,MATCH($E118,_xlfn.ANCHORARRAY($D$76)),AE$81)) * AE118</f>
        <v>10.145789861355848</v>
      </c>
      <c r="AG118" s="313" cm="1">
        <f t="array" aca="1" ref="AG118" ca="1">(1 + INDEX($F$76:$AI$78,MATCH($E118,_xlfn.ANCHORARRAY($D$76)),AF$81)) * AF118</f>
        <v>10.108859881019644</v>
      </c>
      <c r="AH118" s="313" cm="1">
        <f t="array" aca="1" ref="AH118" ca="1">(1 + INDEX($F$76:$AI$78,MATCH($E118,_xlfn.ANCHORARRAY($D$76)),AG$81)) * AG118</f>
        <v>10.059023791978689</v>
      </c>
      <c r="AI118" s="313" cm="1">
        <f t="array" aca="1" ref="AI118" ca="1">(1 + INDEX($F$76:$AI$78,MATCH($E118,_xlfn.ANCHORARRAY($D$76)),AH$81)) * AH118</f>
        <v>9.9965255809759626</v>
      </c>
      <c r="AJ118" s="313" cm="1">
        <f t="array" aca="1" ref="AJ118" ca="1">(1 + INDEX($F$76:$AI$78,MATCH($E118,_xlfn.ANCHORARRAY($D$76)),AI$81)) * AI118</f>
        <v>9.921529092076975</v>
      </c>
      <c r="AK118" s="313" cm="1">
        <f t="array" aca="1" ref="AK118" ca="1">(1 + INDEX($F$76:$AI$78,MATCH($E118,_xlfn.ANCHORARRAY($D$76)),AJ$81)) * AJ118</f>
        <v>9.8342095203824531</v>
      </c>
      <c r="AL118" s="313" cm="1">
        <f t="array" aca="1" ref="AL118" ca="1">(1 + INDEX($F$76:$AI$78,MATCH($E118,_xlfn.ANCHORARRAY($D$76)),AK$81)) * AK118</f>
        <v>9.7347748316929348</v>
      </c>
    </row>
    <row r="119" spans="2:38">
      <c r="B119" s="97" cm="1">
        <f t="array" ref="B119:B130">_xlfn.ANCHORARRAY(B107) + 1</f>
        <v>4</v>
      </c>
      <c r="C119" s="204" cm="1">
        <f t="array" ref="C119:C130">'Painel Controle'!B$110:B$121</f>
        <v>1</v>
      </c>
      <c r="D119" s="89" t="str" cm="1">
        <f t="array" ref="D119:D130">'Painel Controle'!C$110:C$121</f>
        <v>Automóvel</v>
      </c>
      <c r="E119" s="89" t="str" cm="1">
        <f t="array" ref="E119:E130">'Painel Controle'!D$110:D$121</f>
        <v>Leves</v>
      </c>
      <c r="F119" s="318" cm="1">
        <f t="array" aca="1" ref="F119" ca="1">INDEX('Painel Controle'!F$110:I$121,Tráfego!C119,Tráfego!B119) / SUM(_xlfn._xlws.FILTER(OFFSET('Painel Controle'!F$110:F$121,,Tráfego!B119-1),'Painel Controle'!D$110:D$121=Tráfego!E119))</f>
        <v>0.86161741284728366</v>
      </c>
      <c r="G119" s="356" cm="1">
        <f t="array" aca="1" ref="G119" ca="1">INDEX(C$4:E$7,B119,MATCH(E119,_xlfn.ANCHORARRAY(C$3))) * F119</f>
        <v>5228.1188123074571</v>
      </c>
      <c r="H119" s="142" cm="1">
        <f t="array" aca="1" ref="H119" ca="1">INDEX(C$4:E$7,B119,MATCH(E119,_xlfn.ANCHORARRAY(C$3))) * F119 * (1 + INDEX(E$76:E$78,MATCH(E119,_xlfn.ANCHORARRAY(D$76),0)))</f>
        <v>5500.0664694094448</v>
      </c>
      <c r="I119" s="313" cm="1">
        <f t="array" aca="1" ref="I119" ca="1">(1 + INDEX($F$76:$AI$78,MATCH($E119,_xlfn.ANCHORARRAY($D$76)),H$81)) * H119</f>
        <v>5733.4594426888361</v>
      </c>
      <c r="J119" s="313" cm="1">
        <f t="array" aca="1" ref="J119" ca="1">(1 + INDEX($F$76:$AI$78,MATCH($E119,_xlfn.ANCHORARRAY($D$76)),I$81)) * I119</f>
        <v>5970.6071444342278</v>
      </c>
      <c r="K119" s="313" cm="1">
        <f t="array" aca="1" ref="K119" ca="1">(1 + INDEX($F$76:$AI$78,MATCH($E119,_xlfn.ANCHORARRAY($D$76)),J$81)) * J119</f>
        <v>6217.080360921319</v>
      </c>
      <c r="L119" s="313" cm="1">
        <f t="array" aca="1" ref="L119" ca="1">(1 + INDEX($F$76:$AI$78,MATCH($E119,_xlfn.ANCHORARRAY($D$76)),K$81)) * K119</f>
        <v>6475.0776606186064</v>
      </c>
      <c r="M119" s="313" cm="1">
        <f t="array" aca="1" ref="M119" ca="1">(1 + INDEX($F$76:$AI$78,MATCH($E119,_xlfn.ANCHORARRAY($D$76)),L$81)) * L119</f>
        <v>6744.5758445379106</v>
      </c>
      <c r="N119" s="313" cm="1">
        <f t="array" aca="1" ref="N119" ca="1">(1 + INDEX($F$76:$AI$78,MATCH($E119,_xlfn.ANCHORARRAY($D$76)),M$81)) * M119</f>
        <v>7023.9627486630307</v>
      </c>
      <c r="O119" s="313" cm="1">
        <f t="array" aca="1" ref="O119" ca="1">(1 + INDEX($F$76:$AI$78,MATCH($E119,_xlfn.ANCHORARRAY($D$76)),N$81)) * N119</f>
        <v>7310.2864828118563</v>
      </c>
      <c r="P119" s="313" cm="1">
        <f t="array" aca="1" ref="P119" ca="1">(1 + INDEX($F$76:$AI$78,MATCH($E119,_xlfn.ANCHORARRAY($D$76)),O$81)) * O119</f>
        <v>7601.2469168286361</v>
      </c>
      <c r="Q119" s="313" cm="1">
        <f t="array" aca="1" ref="Q119" ca="1">(1 + INDEX($F$76:$AI$78,MATCH($E119,_xlfn.ANCHORARRAY($D$76)),P$81)) * P119</f>
        <v>7894.7287787334863</v>
      </c>
      <c r="R119" s="313" cm="1">
        <f t="array" aca="1" ref="R119" ca="1">(1 + INDEX($F$76:$AI$78,MATCH($E119,_xlfn.ANCHORARRAY($D$76)),Q$81)) * Q119</f>
        <v>8188.7248759336871</v>
      </c>
      <c r="S119" s="313" cm="1">
        <f t="array" aca="1" ref="S119" ca="1">(1 + INDEX($F$76:$AI$78,MATCH($E119,_xlfn.ANCHORARRAY($D$76)),R$81)) * R119</f>
        <v>8481.0727391485925</v>
      </c>
      <c r="T119" s="313" cm="1">
        <f t="array" aca="1" ref="T119" ca="1">(1 + INDEX($F$76:$AI$78,MATCH($E119,_xlfn.ANCHORARRAY($D$76)),S$81)) * S119</f>
        <v>8769.6241731599439</v>
      </c>
      <c r="U119" s="313" cm="1">
        <f t="array" aca="1" ref="U119" ca="1">(1 + INDEX($F$76:$AI$78,MATCH($E119,_xlfn.ANCHORARRAY($D$76)),T$81)) * T119</f>
        <v>9052.6363079812363</v>
      </c>
      <c r="V119" s="313" cm="1">
        <f t="array" aca="1" ref="V119" ca="1">(1 + INDEX($F$76:$AI$78,MATCH($E119,_xlfn.ANCHORARRAY($D$76)),U$81)) * U119</f>
        <v>9328.3732443448243</v>
      </c>
      <c r="W119" s="313" cm="1">
        <f t="array" aca="1" ref="W119" ca="1">(1 + INDEX($F$76:$AI$78,MATCH($E119,_xlfn.ANCHORARRAY($D$76)),V$81)) * V119</f>
        <v>9595.0220151021276</v>
      </c>
      <c r="X119" s="313" cm="1">
        <f t="array" aca="1" ref="X119" ca="1">(1 + INDEX($F$76:$AI$78,MATCH($E119,_xlfn.ANCHORARRAY($D$76)),W$81)) * W119</f>
        <v>9850.8337071695569</v>
      </c>
      <c r="Y119" s="313" cm="1">
        <f t="array" aca="1" ref="Y119" ca="1">(1 + INDEX($F$76:$AI$78,MATCH($E119,_xlfn.ANCHORARRAY($D$76)),X$81)) * X119</f>
        <v>10094.491638237638</v>
      </c>
      <c r="Z119" s="313" cm="1">
        <f t="array" aca="1" ref="Z119" ca="1">(1 + INDEX($F$76:$AI$78,MATCH($E119,_xlfn.ANCHORARRAY($D$76)),Y$81)) * Y119</f>
        <v>10324.849315565494</v>
      </c>
      <c r="AA119" s="313" cm="1">
        <f t="array" aca="1" ref="AA119" ca="1">(1 + INDEX($F$76:$AI$78,MATCH($E119,_xlfn.ANCHORARRAY($D$76)),Z$81)) * Z119</f>
        <v>10540.699249863186</v>
      </c>
      <c r="AB119" s="313" cm="1">
        <f t="array" aca="1" ref="AB119" ca="1">(1 + INDEX($F$76:$AI$78,MATCH($E119,_xlfn.ANCHORARRAY($D$76)),AA$81)) * AA119</f>
        <v>10740.986233019545</v>
      </c>
      <c r="AC119" s="313" cm="1">
        <f t="array" aca="1" ref="AC119" ca="1">(1 + INDEX($F$76:$AI$78,MATCH($E119,_xlfn.ANCHORARRAY($D$76)),AB$81)) * AB119</f>
        <v>10924.606137604367</v>
      </c>
      <c r="AD119" s="313" cm="1">
        <f t="array" aca="1" ref="AD119" ca="1">(1 + INDEX($F$76:$AI$78,MATCH($E119,_xlfn.ANCHORARRAY($D$76)),AC$81)) * AC119</f>
        <v>11090.688701154617</v>
      </c>
      <c r="AE119" s="313" cm="1">
        <f t="array" aca="1" ref="AE119" ca="1">(1 + INDEX($F$76:$AI$78,MATCH($E119,_xlfn.ANCHORARRAY($D$76)),AD$81)) * AD119</f>
        <v>11238.55961184409</v>
      </c>
      <c r="AF119" s="313" cm="1">
        <f t="array" aca="1" ref="AF119" ca="1">(1 + INDEX($F$76:$AI$78,MATCH($E119,_xlfn.ANCHORARRAY($D$76)),AE$81)) * AE119</f>
        <v>11367.478671340177</v>
      </c>
      <c r="AG119" s="313" cm="1">
        <f t="array" aca="1" ref="AG119" ca="1">(1 + INDEX($F$76:$AI$78,MATCH($E119,_xlfn.ANCHORARRAY($D$76)),AF$81)) * AF119</f>
        <v>11476.743058743392</v>
      </c>
      <c r="AH119" s="313" cm="1">
        <f t="array" aca="1" ref="AH119" ca="1">(1 + INDEX($F$76:$AI$78,MATCH($E119,_xlfn.ANCHORARRAY($D$76)),AG$81)) * AG119</f>
        <v>11565.84337966917</v>
      </c>
      <c r="AI119" s="313" cm="1">
        <f t="array" aca="1" ref="AI119" ca="1">(1 + INDEX($F$76:$AI$78,MATCH($E119,_xlfn.ANCHORARRAY($D$76)),AH$81)) * AH119</f>
        <v>11634.360652171399</v>
      </c>
      <c r="AJ119" s="313" cm="1">
        <f t="array" aca="1" ref="AJ119" ca="1">(1 + INDEX($F$76:$AI$78,MATCH($E119,_xlfn.ANCHORARRAY($D$76)),AI$81)) * AI119</f>
        <v>11681.777649049502</v>
      </c>
      <c r="AK119" s="313" cm="1">
        <f t="array" aca="1" ref="AK119" ca="1">(1 + INDEX($F$76:$AI$78,MATCH($E119,_xlfn.ANCHORARRAY($D$76)),AJ$81)) * AJ119</f>
        <v>11707.629466712011</v>
      </c>
      <c r="AL119" s="313" cm="1">
        <f t="array" aca="1" ref="AL119" ca="1">(1 + INDEX($F$76:$AI$78,MATCH($E119,_xlfn.ANCHORARRAY($D$76)),AK$81)) * AK119</f>
        <v>11711.551007108465</v>
      </c>
    </row>
    <row r="120" spans="2:38">
      <c r="B120" s="97">
        <v>4</v>
      </c>
      <c r="C120" s="204">
        <v>2</v>
      </c>
      <c r="D120" s="89" t="str">
        <v xml:space="preserve">Automóvel com reboque </v>
      </c>
      <c r="E120" s="89" t="str">
        <v>Leves</v>
      </c>
      <c r="F120" s="318" cm="1">
        <f t="array" aca="1" ref="F120" ca="1">INDEX('Painel Controle'!F$110:I$121,Tráfego!C120,Tráfego!B120) / SUM(_xlfn._xlws.FILTER(OFFSET('Painel Controle'!F$110:F$121,,Tráfego!B120-1),'Painel Controle'!D$110:D$121=Tráfego!E120))</f>
        <v>5.308794903556892E-3</v>
      </c>
      <c r="G120" s="356" cm="1">
        <f t="array" aca="1" ref="G120" ca="1">INDEX(C$4:E$7,B120,MATCH(E120,_xlfn.ANCHORARRAY(C$3))) * F120</f>
        <v>32.212685226786547</v>
      </c>
      <c r="H120" s="142" cm="1">
        <f t="array" aca="1" ref="H120" ca="1">INDEX(C$4:E$7,B120,MATCH(E120,_xlfn.ANCHORARRAY(C$3))) * F120 * (1 + INDEX(E$76:E$78,MATCH(E120,_xlfn.ANCHORARRAY(D$76),0)))</f>
        <v>33.888271530557269</v>
      </c>
      <c r="I120" s="313" cm="1">
        <f t="array" aca="1" ref="I120" ca="1">(1 + INDEX($F$76:$AI$78,MATCH($E120,_xlfn.ANCHORARRAY($D$76)),H$81)) * H120</f>
        <v>35.326305869925051</v>
      </c>
      <c r="J120" s="313" cm="1">
        <f t="array" aca="1" ref="J120" ca="1">(1 + INDEX($F$76:$AI$78,MATCH($E120,_xlfn.ANCHORARRAY($D$76)),I$81)) * I120</f>
        <v>36.787474703846129</v>
      </c>
      <c r="K120" s="313" cm="1">
        <f t="array" aca="1" ref="K120" ca="1">(1 + INDEX($F$76:$AI$78,MATCH($E120,_xlfn.ANCHORARRAY($D$76)),J$81)) * J120</f>
        <v>38.306102038948353</v>
      </c>
      <c r="L120" s="313" cm="1">
        <f t="array" aca="1" ref="L120" ca="1">(1 + INDEX($F$76:$AI$78,MATCH($E120,_xlfn.ANCHORARRAY($D$76)),K$81)) * K120</f>
        <v>39.89573419974495</v>
      </c>
      <c r="M120" s="313" cm="1">
        <f t="array" aca="1" ref="M120" ca="1">(1 + INDEX($F$76:$AI$78,MATCH($E120,_xlfn.ANCHORARRAY($D$76)),L$81)) * L120</f>
        <v>41.556228247306898</v>
      </c>
      <c r="N120" s="313" cm="1">
        <f t="array" aca="1" ref="N120" ca="1">(1 + INDEX($F$76:$AI$78,MATCH($E120,_xlfn.ANCHORARRAY($D$76)),M$81)) * M120</f>
        <v>43.277650946783915</v>
      </c>
      <c r="O120" s="313" cm="1">
        <f t="array" aca="1" ref="O120" ca="1">(1 + INDEX($F$76:$AI$78,MATCH($E120,_xlfn.ANCHORARRAY($D$76)),N$81)) * N120</f>
        <v>45.041814435069959</v>
      </c>
      <c r="P120" s="313" cm="1">
        <f t="array" aca="1" ref="P120" ca="1">(1 + INDEX($F$76:$AI$78,MATCH($E120,_xlfn.ANCHORARRAY($D$76)),O$81)) * O120</f>
        <v>46.834546622480801</v>
      </c>
      <c r="Q120" s="313" cm="1">
        <f t="array" aca="1" ref="Q120" ca="1">(1 + INDEX($F$76:$AI$78,MATCH($E120,_xlfn.ANCHORARRAY($D$76)),P$81)) * P120</f>
        <v>48.642814409941366</v>
      </c>
      <c r="R120" s="313" cm="1">
        <f t="array" aca="1" ref="R120" ca="1">(1 + INDEX($F$76:$AI$78,MATCH($E120,_xlfn.ANCHORARRAY($D$76)),Q$81)) * Q120</f>
        <v>50.454250621895781</v>
      </c>
      <c r="S120" s="313" cm="1">
        <f t="array" aca="1" ref="S120" ca="1">(1 + INDEX($F$76:$AI$78,MATCH($E120,_xlfn.ANCHORARRAY($D$76)),R$81)) * R120</f>
        <v>52.255531356430012</v>
      </c>
      <c r="T120" s="313" cm="1">
        <f t="array" aca="1" ref="T120" ca="1">(1 + INDEX($F$76:$AI$78,MATCH($E120,_xlfn.ANCHORARRAY($D$76)),S$81)) * S120</f>
        <v>54.033420660258422</v>
      </c>
      <c r="U120" s="313" cm="1">
        <f t="array" aca="1" ref="U120" ca="1">(1 + INDEX($F$76:$AI$78,MATCH($E120,_xlfn.ANCHORARRAY($D$76)),T$81)) * T120</f>
        <v>55.777179962915795</v>
      </c>
      <c r="V120" s="313" cm="1">
        <f t="array" aca="1" ref="V120" ca="1">(1 + INDEX($F$76:$AI$78,MATCH($E120,_xlfn.ANCHORARRAY($D$76)),U$81)) * U120</f>
        <v>57.476113643529402</v>
      </c>
      <c r="W120" s="313" cm="1">
        <f t="array" aca="1" ref="W120" ca="1">(1 + INDEX($F$76:$AI$78,MATCH($E120,_xlfn.ANCHORARRAY($D$76)),V$81)) * V120</f>
        <v>59.119051232915133</v>
      </c>
      <c r="X120" s="313" cm="1">
        <f t="array" aca="1" ref="X120" ca="1">(1 + INDEX($F$76:$AI$78,MATCH($E120,_xlfn.ANCHORARRAY($D$76)),W$81)) * W120</f>
        <v>60.695216926491412</v>
      </c>
      <c r="Y120" s="313" cm="1">
        <f t="array" aca="1" ref="Y120" ca="1">(1 + INDEX($F$76:$AI$78,MATCH($E120,_xlfn.ANCHORARRAY($D$76)),X$81)) * X120</f>
        <v>62.196498079098191</v>
      </c>
      <c r="Z120" s="313" cm="1">
        <f t="array" aca="1" ref="Z120" ca="1">(1 + INDEX($F$76:$AI$78,MATCH($E120,_xlfn.ANCHORARRAY($D$76)),Y$81)) * Y120</f>
        <v>63.615830656595769</v>
      </c>
      <c r="AA120" s="313" cm="1">
        <f t="array" aca="1" ref="AA120" ca="1">(1 + INDEX($F$76:$AI$78,MATCH($E120,_xlfn.ANCHORARRAY($D$76)),Z$81)) * Z120</f>
        <v>64.945774798910563</v>
      </c>
      <c r="AB120" s="313" cm="1">
        <f t="array" aca="1" ref="AB120" ca="1">(1 + INDEX($F$76:$AI$78,MATCH($E120,_xlfn.ANCHORARRAY($D$76)),AA$81)) * AA120</f>
        <v>66.179828915708839</v>
      </c>
      <c r="AC120" s="313" cm="1">
        <f t="array" aca="1" ref="AC120" ca="1">(1 + INDEX($F$76:$AI$78,MATCH($E120,_xlfn.ANCHORARRAY($D$76)),AB$81)) * AB120</f>
        <v>67.311190003723766</v>
      </c>
      <c r="AD120" s="313" cm="1">
        <f t="array" aca="1" ref="AD120" ca="1">(1 + INDEX($F$76:$AI$78,MATCH($E120,_xlfn.ANCHORARRAY($D$76)),AC$81)) * AC120</f>
        <v>68.334496002184949</v>
      </c>
      <c r="AE120" s="313" cm="1">
        <f t="array" aca="1" ref="AE120" ca="1">(1 + INDEX($F$76:$AI$78,MATCH($E120,_xlfn.ANCHORARRAY($D$76)),AD$81)) * AD120</f>
        <v>69.245592186346826</v>
      </c>
      <c r="AF120" s="313" cm="1">
        <f t="array" aca="1" ref="AF120" ca="1">(1 + INDEX($F$76:$AI$78,MATCH($E120,_xlfn.ANCHORARRAY($D$76)),AE$81)) * AE120</f>
        <v>70.039917876402825</v>
      </c>
      <c r="AG120" s="313" cm="1">
        <f t="array" aca="1" ref="AG120" ca="1">(1 + INDEX($F$76:$AI$78,MATCH($E120,_xlfn.ANCHORARRAY($D$76)),AF$81)) * AF120</f>
        <v>70.713142690963608</v>
      </c>
      <c r="AH120" s="313" cm="1">
        <f t="array" aca="1" ref="AH120" ca="1">(1 + INDEX($F$76:$AI$78,MATCH($E120,_xlfn.ANCHORARRAY($D$76)),AG$81)) * AG120</f>
        <v>71.262128032465625</v>
      </c>
      <c r="AI120" s="313" cm="1">
        <f t="array" aca="1" ref="AI120" ca="1">(1 + INDEX($F$76:$AI$78,MATCH($E120,_xlfn.ANCHORARRAY($D$76)),AH$81)) * AH120</f>
        <v>71.684292373206418</v>
      </c>
      <c r="AJ120" s="313" cm="1">
        <f t="array" aca="1" ref="AJ120" ca="1">(1 + INDEX($F$76:$AI$78,MATCH($E120,_xlfn.ANCHORARRAY($D$76)),AI$81)) * AI120</f>
        <v>71.976448854279141</v>
      </c>
      <c r="AK120" s="313" cm="1">
        <f t="array" aca="1" ref="AK120" ca="1">(1 + INDEX($F$76:$AI$78,MATCH($E120,_xlfn.ANCHORARRAY($D$76)),AJ$81)) * AJ120</f>
        <v>72.135733005003161</v>
      </c>
      <c r="AL120" s="313" cm="1">
        <f t="array" aca="1" ref="AL120" ca="1">(1 + INDEX($F$76:$AI$78,MATCH($E120,_xlfn.ANCHORARRAY($D$76)),AK$81)) * AK120</f>
        <v>72.159895299497634</v>
      </c>
    </row>
    <row r="121" spans="2:38">
      <c r="B121" s="97">
        <v>4</v>
      </c>
      <c r="C121" s="204">
        <v>3</v>
      </c>
      <c r="D121" s="89" t="str">
        <v>Veículos Comerciais com 2 Eixos</v>
      </c>
      <c r="E121" s="89" t="str">
        <v>Pesados I</v>
      </c>
      <c r="F121" s="318" cm="1">
        <f t="array" aca="1" ref="F121" ca="1">INDEX('Painel Controle'!F$110:I$121,Tráfego!C121,Tráfego!B121) / SUM(_xlfn._xlws.FILTER(OFFSET('Painel Controle'!F$110:F$121,,Tráfego!B121-1),'Painel Controle'!D$110:D$121=Tráfego!E121))</f>
        <v>0.68628400940824985</v>
      </c>
      <c r="G121" s="356" cm="1">
        <f t="array" aca="1" ref="G121" ca="1">INDEX(C$4:E$7,B121,MATCH(E121,_xlfn.ANCHORARRAY(C$3))) * F121</f>
        <v>594.67966574648972</v>
      </c>
      <c r="H121" s="142" cm="1">
        <f t="array" aca="1" ref="H121" ca="1">INDEX(C$4:E$7,B121,MATCH(E121,_xlfn.ANCHORARRAY(C$3))) * F121 * (1 + INDEX(E$76:E$78,MATCH(E121,_xlfn.ANCHORARRAY(D$76),0)))</f>
        <v>612.59048386928839</v>
      </c>
      <c r="I121" s="313" cm="1">
        <f t="array" aca="1" ref="I121" ca="1">(1 + INDEX($F$76:$AI$78,MATCH($E121,_xlfn.ANCHORARRAY($D$76)),H$81)) * H121</f>
        <v>628.44049663337239</v>
      </c>
      <c r="J121" s="313" cm="1">
        <f t="array" aca="1" ref="J121" ca="1">(1 + INDEX($F$76:$AI$78,MATCH($E121,_xlfn.ANCHORARRAY($D$76)),I$81)) * I121</f>
        <v>643.96050306849463</v>
      </c>
      <c r="K121" s="313" cm="1">
        <f t="array" aca="1" ref="K121" ca="1">(1 + INDEX($F$76:$AI$78,MATCH($E121,_xlfn.ANCHORARRAY($D$76)),J$81)) * J121</f>
        <v>659.3295736286293</v>
      </c>
      <c r="L121" s="313" cm="1">
        <f t="array" aca="1" ref="L121" ca="1">(1 + INDEX($F$76:$AI$78,MATCH($E121,_xlfn.ANCHORARRAY($D$76)),K$81)) * K121</f>
        <v>674.58699385992156</v>
      </c>
      <c r="M121" s="313" cm="1">
        <f t="array" aca="1" ref="M121" ca="1">(1 + INDEX($F$76:$AI$78,MATCH($E121,_xlfn.ANCHORARRAY($D$76)),L$81)) * L121</f>
        <v>689.68722453511998</v>
      </c>
      <c r="N121" s="313" cm="1">
        <f t="array" aca="1" ref="N121" ca="1">(1 + INDEX($F$76:$AI$78,MATCH($E121,_xlfn.ANCHORARRAY($D$76)),M$81)) * M121</f>
        <v>704.51908785199248</v>
      </c>
      <c r="O121" s="313" cm="1">
        <f t="array" aca="1" ref="O121" ca="1">(1 + INDEX($F$76:$AI$78,MATCH($E121,_xlfn.ANCHORARRAY($D$76)),N$81)) * N121</f>
        <v>718.92586959720461</v>
      </c>
      <c r="P121" s="313" cm="1">
        <f t="array" aca="1" ref="P121" ca="1">(1 + INDEX($F$76:$AI$78,MATCH($E121,_xlfn.ANCHORARRAY($D$76)),O$81)) * O121</f>
        <v>732.79593913970609</v>
      </c>
      <c r="Q121" s="313" cm="1">
        <f t="array" aca="1" ref="Q121" ca="1">(1 + INDEX($F$76:$AI$78,MATCH($E121,_xlfn.ANCHORARRAY($D$76)),P$81)) * P121</f>
        <v>746.03165379924224</v>
      </c>
      <c r="R121" s="313" cm="1">
        <f t="array" aca="1" ref="R121" ca="1">(1 + INDEX($F$76:$AI$78,MATCH($E121,_xlfn.ANCHORARRAY($D$76)),Q$81)) * Q121</f>
        <v>758.54847148136434</v>
      </c>
      <c r="S121" s="313" cm="1">
        <f t="array" aca="1" ref="S121" ca="1">(1 + INDEX($F$76:$AI$78,MATCH($E121,_xlfn.ANCHORARRAY($D$76)),R$81)) * R121</f>
        <v>770.2580324788604</v>
      </c>
      <c r="T121" s="313" cm="1">
        <f t="array" aca="1" ref="T121" ca="1">(1 + INDEX($F$76:$AI$78,MATCH($E121,_xlfn.ANCHORARRAY($D$76)),S$81)) * S121</f>
        <v>781.07845523503192</v>
      </c>
      <c r="U121" s="313" cm="1">
        <f t="array" aca="1" ref="U121" ca="1">(1 + INDEX($F$76:$AI$78,MATCH($E121,_xlfn.ANCHORARRAY($D$76)),T$81)) * T121</f>
        <v>790.95774994264093</v>
      </c>
      <c r="V121" s="313" cm="1">
        <f t="array" aca="1" ref="V121" ca="1">(1 + INDEX($F$76:$AI$78,MATCH($E121,_xlfn.ANCHORARRAY($D$76)),U$81)) * U121</f>
        <v>799.8496112012989</v>
      </c>
      <c r="W121" s="313" cm="1">
        <f t="array" aca="1" ref="W121" ca="1">(1 + INDEX($F$76:$AI$78,MATCH($E121,_xlfn.ANCHORARRAY($D$76)),V$81)) * V121</f>
        <v>807.70919298428964</v>
      </c>
      <c r="X121" s="313" cm="1">
        <f t="array" aca="1" ref="X121" ca="1">(1 + INDEX($F$76:$AI$78,MATCH($E121,_xlfn.ANCHORARRAY($D$76)),W$81)) * W121</f>
        <v>814.49774438459451</v>
      </c>
      <c r="Y121" s="313" cm="1">
        <f t="array" aca="1" ref="Y121" ca="1">(1 + INDEX($F$76:$AI$78,MATCH($E121,_xlfn.ANCHORARRAY($D$76)),X$81)) * X121</f>
        <v>820.20247242418077</v>
      </c>
      <c r="Z121" s="313" cm="1">
        <f t="array" aca="1" ref="Z121" ca="1">(1 + INDEX($F$76:$AI$78,MATCH($E121,_xlfn.ANCHORARRAY($D$76)),Y$81)) * Y121</f>
        <v>824.81838980542454</v>
      </c>
      <c r="AA121" s="313" cm="1">
        <f t="array" aca="1" ref="AA121" ca="1">(1 + INDEX($F$76:$AI$78,MATCH($E121,_xlfn.ANCHORARRAY($D$76)),Z$81)) * Z121</f>
        <v>828.33581407117947</v>
      </c>
      <c r="AB121" s="313" cm="1">
        <f t="array" aca="1" ref="AB121" ca="1">(1 + INDEX($F$76:$AI$78,MATCH($E121,_xlfn.ANCHORARRAY($D$76)),AA$81)) * AA121</f>
        <v>830.75406436973924</v>
      </c>
      <c r="AC121" s="313" cm="1">
        <f t="array" aca="1" ref="AC121" ca="1">(1 + INDEX($F$76:$AI$78,MATCH($E121,_xlfn.ANCHORARRAY($D$76)),AB$81)) * AB121</f>
        <v>832.06750130387957</v>
      </c>
      <c r="AD121" s="313" cm="1">
        <f t="array" aca="1" ref="AD121" ca="1">(1 + INDEX($F$76:$AI$78,MATCH($E121,_xlfn.ANCHORARRAY($D$76)),AC$81)) * AC121</f>
        <v>832.2820046441667</v>
      </c>
      <c r="AE121" s="313" cm="1">
        <f t="array" aca="1" ref="AE121" ca="1">(1 + INDEX($F$76:$AI$78,MATCH($E121,_xlfn.ANCHORARRAY($D$76)),AD$81)) * AD121</f>
        <v>831.41171029937539</v>
      </c>
      <c r="AF121" s="313" cm="1">
        <f t="array" aca="1" ref="AF121" ca="1">(1 + INDEX($F$76:$AI$78,MATCH($E121,_xlfn.ANCHORARRAY($D$76)),AE$81)) * AE121</f>
        <v>829.46352055446516</v>
      </c>
      <c r="AG121" s="313" cm="1">
        <f t="array" aca="1" ref="AG121" ca="1">(1 + INDEX($F$76:$AI$78,MATCH($E121,_xlfn.ANCHORARRAY($D$76)),AF$81)) * AF121</f>
        <v>826.44433013930097</v>
      </c>
      <c r="AH121" s="313" cm="1">
        <f t="array" aca="1" ref="AH121" ca="1">(1 + INDEX($F$76:$AI$78,MATCH($E121,_xlfn.ANCHORARRAY($D$76)),AG$81)) * AG121</f>
        <v>822.370007840943</v>
      </c>
      <c r="AI121" s="313" cm="1">
        <f t="array" aca="1" ref="AI121" ca="1">(1 + INDEX($F$76:$AI$78,MATCH($E121,_xlfn.ANCHORARRAY($D$76)),AH$81)) * AH121</f>
        <v>817.26050066258824</v>
      </c>
      <c r="AJ121" s="313" cm="1">
        <f t="array" aca="1" ref="AJ121" ca="1">(1 + INDEX($F$76:$AI$78,MATCH($E121,_xlfn.ANCHORARRAY($D$76)),AI$81)) * AI121</f>
        <v>811.1292035865157</v>
      </c>
      <c r="AK121" s="313" cm="1">
        <f t="array" aca="1" ref="AK121" ca="1">(1 + INDEX($F$76:$AI$78,MATCH($E121,_xlfn.ANCHORARRAY($D$76)),AJ$81)) * AJ121</f>
        <v>803.99043959270216</v>
      </c>
      <c r="AL121" s="313" cm="1">
        <f t="array" aca="1" ref="AL121" ca="1">(1 + INDEX($F$76:$AI$78,MATCH($E121,_xlfn.ANCHORARRAY($D$76)),AK$81)) * AK121</f>
        <v>795.86121081182705</v>
      </c>
    </row>
    <row r="122" spans="2:38">
      <c r="B122" s="97">
        <v>4</v>
      </c>
      <c r="C122" s="204">
        <v>4</v>
      </c>
      <c r="D122" s="89" t="str">
        <v>Veículos Comerciais com 3 Eixos</v>
      </c>
      <c r="E122" s="89" t="str">
        <v>Pesados I</v>
      </c>
      <c r="F122" s="318" cm="1">
        <f t="array" aca="1" ref="F122" ca="1">INDEX('Painel Controle'!F$110:I$121,Tráfego!C122,Tráfego!B122) / SUM(_xlfn._xlws.FILTER(OFFSET('Painel Controle'!F$110:F$121,,Tráfego!B122-1),'Painel Controle'!D$110:D$121=Tráfego!E122))</f>
        <v>0.23854083116922403</v>
      </c>
      <c r="G122" s="356" cm="1">
        <f t="array" aca="1" ref="G122" ca="1">INDEX(C$4:E$7,B122,MATCH(E122,_xlfn.ANCHORARRAY(C$3))) * F122</f>
        <v>206.70069505031765</v>
      </c>
      <c r="H122" s="142" cm="1">
        <f t="array" aca="1" ref="H122" ca="1">INDEX(C$4:E$7,B122,MATCH(E122,_xlfn.ANCHORARRAY(C$3))) * F122 * (1 + INDEX(E$76:E$78,MATCH(E122,_xlfn.ANCHORARRAY(D$76),0)))</f>
        <v>212.92619554772418</v>
      </c>
      <c r="I122" s="313" cm="1">
        <f t="array" aca="1" ref="I122" ca="1">(1 + INDEX($F$76:$AI$78,MATCH($E122,_xlfn.ANCHORARRAY($D$76)),H$81)) * H122</f>
        <v>218.43539460664948</v>
      </c>
      <c r="J122" s="313" cm="1">
        <f t="array" aca="1" ref="J122" ca="1">(1 + INDEX($F$76:$AI$78,MATCH($E122,_xlfn.ANCHORARRAY($D$76)),I$81)) * I122</f>
        <v>223.82988899094667</v>
      </c>
      <c r="K122" s="313" cm="1">
        <f t="array" aca="1" ref="K122" ca="1">(1 + INDEX($F$76:$AI$78,MATCH($E122,_xlfn.ANCHORARRAY($D$76)),J$81)) * J122</f>
        <v>229.17192059222808</v>
      </c>
      <c r="L122" s="313" cm="1">
        <f t="array" aca="1" ref="L122" ca="1">(1 + INDEX($F$76:$AI$78,MATCH($E122,_xlfn.ANCHORARRAY($D$76)),K$81)) * K122</f>
        <v>234.47514440857313</v>
      </c>
      <c r="M122" s="313" cm="1">
        <f t="array" aca="1" ref="M122" ca="1">(1 + INDEX($F$76:$AI$78,MATCH($E122,_xlfn.ANCHORARRAY($D$76)),L$81)) * L122</f>
        <v>239.72373176705565</v>
      </c>
      <c r="N122" s="313" cm="1">
        <f t="array" aca="1" ref="N122" ca="1">(1 + INDEX($F$76:$AI$78,MATCH($E122,_xlfn.ANCHORARRAY($D$76)),M$81)) * M122</f>
        <v>244.8790391250775</v>
      </c>
      <c r="O122" s="313" cm="1">
        <f t="array" aca="1" ref="O122" ca="1">(1 + INDEX($F$76:$AI$78,MATCH($E122,_xlfn.ANCHORARRAY($D$76)),N$81)) * N122</f>
        <v>249.88659524596065</v>
      </c>
      <c r="P122" s="313" cm="1">
        <f t="array" aca="1" ref="P122" ca="1">(1 + INDEX($F$76:$AI$78,MATCH($E122,_xlfn.ANCHORARRAY($D$76)),O$81)) * O122</f>
        <v>254.70759919139144</v>
      </c>
      <c r="Q122" s="313" cm="1">
        <f t="array" aca="1" ref="Q122" ca="1">(1 + INDEX($F$76:$AI$78,MATCH($E122,_xlfn.ANCHORARRAY($D$76)),P$81)) * P122</f>
        <v>259.3081120005516</v>
      </c>
      <c r="R122" s="313" cm="1">
        <f t="array" aca="1" ref="R122" ca="1">(1 + INDEX($F$76:$AI$78,MATCH($E122,_xlfn.ANCHORARRAY($D$76)),Q$81)) * Q122</f>
        <v>263.65874825690491</v>
      </c>
      <c r="S122" s="313" cm="1">
        <f t="array" aca="1" ref="S122" ca="1">(1 + INDEX($F$76:$AI$78,MATCH($E122,_xlfn.ANCHORARRAY($D$76)),R$81)) * R122</f>
        <v>267.72879560563723</v>
      </c>
      <c r="T122" s="313" cm="1">
        <f t="array" aca="1" ref="T122" ca="1">(1 + INDEX($F$76:$AI$78,MATCH($E122,_xlfn.ANCHORARRAY($D$76)),S$81)) * S122</f>
        <v>271.48979338858879</v>
      </c>
      <c r="U122" s="313" cm="1">
        <f t="array" aca="1" ref="U122" ca="1">(1 + INDEX($F$76:$AI$78,MATCH($E122,_xlfn.ANCHORARRAY($D$76)),T$81)) * T122</f>
        <v>274.92367081923265</v>
      </c>
      <c r="V122" s="313" cm="1">
        <f t="array" aca="1" ref="V122" ca="1">(1 + INDEX($F$76:$AI$78,MATCH($E122,_xlfn.ANCHORARRAY($D$76)),U$81)) * U122</f>
        <v>278.01433291568833</v>
      </c>
      <c r="W122" s="313" cm="1">
        <f t="array" aca="1" ref="W122" ca="1">(1 + INDEX($F$76:$AI$78,MATCH($E122,_xlfn.ANCHORARRAY($D$76)),V$81)) * V122</f>
        <v>280.74619194992937</v>
      </c>
      <c r="X122" s="313" cm="1">
        <f t="array" aca="1" ref="X122" ca="1">(1 + INDEX($F$76:$AI$78,MATCH($E122,_xlfn.ANCHORARRAY($D$76)),W$81)) * W122</f>
        <v>283.10577875548529</v>
      </c>
      <c r="Y122" s="313" cm="1">
        <f t="array" aca="1" ref="Y122" ca="1">(1 + INDEX($F$76:$AI$78,MATCH($E122,_xlfn.ANCHORARRAY($D$76)),X$81)) * X122</f>
        <v>285.08864670738564</v>
      </c>
      <c r="Z122" s="313" cm="1">
        <f t="array" aca="1" ref="Z122" ca="1">(1 + INDEX($F$76:$AI$78,MATCH($E122,_xlfn.ANCHORARRAY($D$76)),Y$81)) * Y122</f>
        <v>286.69306230447899</v>
      </c>
      <c r="AA122" s="313" cm="1">
        <f t="array" aca="1" ref="AA122" ca="1">(1 + INDEX($F$76:$AI$78,MATCH($E122,_xlfn.ANCHORARRAY($D$76)),Z$81)) * Z122</f>
        <v>287.91566008677535</v>
      </c>
      <c r="AB122" s="313" cm="1">
        <f t="array" aca="1" ref="AB122" ca="1">(1 + INDEX($F$76:$AI$78,MATCH($E122,_xlfn.ANCHORARRAY($D$76)),AA$81)) * AA122</f>
        <v>288.75620340162112</v>
      </c>
      <c r="AC122" s="313" cm="1">
        <f t="array" aca="1" ref="AC122" ca="1">(1 + INDEX($F$76:$AI$78,MATCH($E122,_xlfn.ANCHORARRAY($D$76)),AB$81)) * AB122</f>
        <v>289.21273208896201</v>
      </c>
      <c r="AD122" s="313" cm="1">
        <f t="array" aca="1" ref="AD122" ca="1">(1 + INDEX($F$76:$AI$78,MATCH($E122,_xlfn.ANCHORARRAY($D$76)),AC$81)) * AC122</f>
        <v>289.28728985860141</v>
      </c>
      <c r="AE122" s="313" cm="1">
        <f t="array" aca="1" ref="AE122" ca="1">(1 + INDEX($F$76:$AI$78,MATCH($E122,_xlfn.ANCHORARRAY($D$76)),AD$81)) * AD122</f>
        <v>288.98479011575097</v>
      </c>
      <c r="AF122" s="313" cm="1">
        <f t="array" aca="1" ref="AF122" ca="1">(1 + INDEX($F$76:$AI$78,MATCH($E122,_xlfn.ANCHORARRAY($D$76)),AE$81)) * AE122</f>
        <v>288.3076319790971</v>
      </c>
      <c r="AG122" s="313" cm="1">
        <f t="array" aca="1" ref="AG122" ca="1">(1 + INDEX($F$76:$AI$78,MATCH($E122,_xlfn.ANCHORARRAY($D$76)),AF$81)) * AF122</f>
        <v>287.25821194130197</v>
      </c>
      <c r="AH122" s="313" cm="1">
        <f t="array" aca="1" ref="AH122" ca="1">(1 + INDEX($F$76:$AI$78,MATCH($E122,_xlfn.ANCHORARRAY($D$76)),AG$81)) * AG122</f>
        <v>285.84204572705539</v>
      </c>
      <c r="AI122" s="313" cm="1">
        <f t="array" aca="1" ref="AI122" ca="1">(1 + INDEX($F$76:$AI$78,MATCH($E122,_xlfn.ANCHORARRAY($D$76)),AH$81)) * AH122</f>
        <v>284.06606658069467</v>
      </c>
      <c r="AJ122" s="313" cm="1">
        <f t="array" aca="1" ref="AJ122" ca="1">(1 + INDEX($F$76:$AI$78,MATCH($E122,_xlfn.ANCHORARRAY($D$76)),AI$81)) * AI122</f>
        <v>281.93493037378687</v>
      </c>
      <c r="AK122" s="313" cm="1">
        <f t="array" aca="1" ref="AK122" ca="1">(1 + INDEX($F$76:$AI$78,MATCH($E122,_xlfn.ANCHORARRAY($D$76)),AJ$81)) * AJ122</f>
        <v>279.45361553436123</v>
      </c>
      <c r="AL122" s="313" cm="1">
        <f t="array" aca="1" ref="AL122" ca="1">(1 + INDEX($F$76:$AI$78,MATCH($E122,_xlfn.ANCHORARRAY($D$76)),AK$81)) * AK122</f>
        <v>276.62803171837407</v>
      </c>
    </row>
    <row r="123" spans="2:38">
      <c r="B123" s="97">
        <v>4</v>
      </c>
      <c r="C123" s="204">
        <v>5</v>
      </c>
      <c r="D123" s="89" t="str">
        <v>Veículos Comerciais com 4 Eixos</v>
      </c>
      <c r="E123" s="89" t="str">
        <v>Pesados I</v>
      </c>
      <c r="F123" s="318" cm="1">
        <f t="array" aca="1" ref="F123" ca="1">INDEX('Painel Controle'!F$110:I$121,Tráfego!C123,Tráfego!B123) / SUM(_xlfn._xlws.FILTER(OFFSET('Painel Controle'!F$110:F$121,,Tráfego!B123-1),'Painel Controle'!D$110:D$121=Tráfego!E123))</f>
        <v>7.1871127633209422E-2</v>
      </c>
      <c r="G123" s="356" cm="1">
        <f t="array" aca="1" ref="G123" ca="1">INDEX(C$4:E$7,B123,MATCH(E123,_xlfn.ANCHORARRAY(C$3))) * F123</f>
        <v>62.277858105120664</v>
      </c>
      <c r="H123" s="142" cm="1">
        <f t="array" aca="1" ref="H123" ca="1">INDEX(C$4:E$7,B123,MATCH(E123,_xlfn.ANCHORARRAY(C$3))) * F123 * (1 + INDEX(E$76:E$78,MATCH(E123,_xlfn.ANCHORARRAY(D$76),0)))</f>
        <v>64.153569439891257</v>
      </c>
      <c r="I123" s="313" cm="1">
        <f t="array" aca="1" ref="I123" ca="1">(1 + INDEX($F$76:$AI$78,MATCH($E123,_xlfn.ANCHORARRAY($D$76)),H$81)) * H123</f>
        <v>65.813462829127772</v>
      </c>
      <c r="J123" s="313" cm="1">
        <f t="array" aca="1" ref="J123" ca="1">(1 + INDEX($F$76:$AI$78,MATCH($E123,_xlfn.ANCHORARRAY($D$76)),I$81)) * I123</f>
        <v>67.438796288854888</v>
      </c>
      <c r="K123" s="313" cm="1">
        <f t="array" aca="1" ref="K123" ca="1">(1 + INDEX($F$76:$AI$78,MATCH($E123,_xlfn.ANCHORARRAY($D$76)),J$81)) * J123</f>
        <v>69.048322981431738</v>
      </c>
      <c r="L123" s="313" cm="1">
        <f t="array" aca="1" ref="L123" ca="1">(1 + INDEX($F$76:$AI$78,MATCH($E123,_xlfn.ANCHORARRAY($D$76)),K$81)) * K123</f>
        <v>70.64615708766749</v>
      </c>
      <c r="M123" s="313" cm="1">
        <f t="array" aca="1" ref="M123" ca="1">(1 + INDEX($F$76:$AI$78,MATCH($E123,_xlfn.ANCHORARRAY($D$76)),L$81)) * L123</f>
        <v>72.227529509682483</v>
      </c>
      <c r="N123" s="313" cm="1">
        <f t="array" aca="1" ref="N123" ca="1">(1 + INDEX($F$76:$AI$78,MATCH($E123,_xlfn.ANCHORARRAY($D$76)),M$81)) * M123</f>
        <v>73.780797146508817</v>
      </c>
      <c r="O123" s="313" cm="1">
        <f t="array" aca="1" ref="O123" ca="1">(1 + INDEX($F$76:$AI$78,MATCH($E123,_xlfn.ANCHORARRAY($D$76)),N$81)) * N123</f>
        <v>75.289548094220308</v>
      </c>
      <c r="P123" s="313" cm="1">
        <f t="array" aca="1" ref="P123" ca="1">(1 + INDEX($F$76:$AI$78,MATCH($E123,_xlfn.ANCHORARRAY($D$76)),O$81)) * O123</f>
        <v>76.742091829328103</v>
      </c>
      <c r="Q123" s="313" cm="1">
        <f t="array" aca="1" ref="Q123" ca="1">(1 + INDEX($F$76:$AI$78,MATCH($E123,_xlfn.ANCHORARRAY($D$76)),P$81)) * P123</f>
        <v>78.128202717198704</v>
      </c>
      <c r="R123" s="313" cm="1">
        <f t="array" aca="1" ref="R123" ca="1">(1 + INDEX($F$76:$AI$78,MATCH($E123,_xlfn.ANCHORARRAY($D$76)),Q$81)) * Q123</f>
        <v>79.439027082710425</v>
      </c>
      <c r="S123" s="313" cm="1">
        <f t="array" aca="1" ref="S123" ca="1">(1 + INDEX($F$76:$AI$78,MATCH($E123,_xlfn.ANCHORARRAY($D$76)),R$81)) * R123</f>
        <v>80.665311451051664</v>
      </c>
      <c r="T123" s="313" cm="1">
        <f t="array" aca="1" ref="T123" ca="1">(1 + INDEX($F$76:$AI$78,MATCH($E123,_xlfn.ANCHORARRAY($D$76)),S$81)) * S123</f>
        <v>81.798480772051349</v>
      </c>
      <c r="U123" s="313" cm="1">
        <f t="array" aca="1" ref="U123" ca="1">(1 + INDEX($F$76:$AI$78,MATCH($E123,_xlfn.ANCHORARRAY($D$76)),T$81)) * T123</f>
        <v>82.833090410514131</v>
      </c>
      <c r="V123" s="313" cm="1">
        <f t="array" aca="1" ref="V123" ca="1">(1 + INDEX($F$76:$AI$78,MATCH($E123,_xlfn.ANCHORARRAY($D$76)),U$81)) * U123</f>
        <v>83.764291031039789</v>
      </c>
      <c r="W123" s="313" cm="1">
        <f t="array" aca="1" ref="W123" ca="1">(1 + INDEX($F$76:$AI$78,MATCH($E123,_xlfn.ANCHORARRAY($D$76)),V$81)) * V123</f>
        <v>84.587386131209826</v>
      </c>
      <c r="X123" s="313" cm="1">
        <f t="array" aca="1" ref="X123" ca="1">(1 + INDEX($F$76:$AI$78,MATCH($E123,_xlfn.ANCHORARRAY($D$76)),W$81)) * W123</f>
        <v>85.298317520324673</v>
      </c>
      <c r="Y123" s="313" cm="1">
        <f t="array" aca="1" ref="Y123" ca="1">(1 + INDEX($F$76:$AI$78,MATCH($E123,_xlfn.ANCHORARRAY($D$76)),X$81)) * X123</f>
        <v>85.895745453112127</v>
      </c>
      <c r="Z123" s="313" cm="1">
        <f t="array" aca="1" ref="Z123" ca="1">(1 + INDEX($F$76:$AI$78,MATCH($E123,_xlfn.ANCHORARRAY($D$76)),Y$81)) * Y123</f>
        <v>86.379147634576</v>
      </c>
      <c r="AA123" s="313" cm="1">
        <f t="array" aca="1" ref="AA123" ca="1">(1 + INDEX($F$76:$AI$78,MATCH($E123,_xlfn.ANCHORARRAY($D$76)),Z$81)) * Z123</f>
        <v>86.747510068901406</v>
      </c>
      <c r="AB123" s="313" cm="1">
        <f t="array" aca="1" ref="AB123" ca="1">(1 + INDEX($F$76:$AI$78,MATCH($E123,_xlfn.ANCHORARRAY($D$76)),AA$81)) * AA123</f>
        <v>87.000761453858914</v>
      </c>
      <c r="AC123" s="313" cm="1">
        <f t="array" aca="1" ref="AC123" ca="1">(1 + INDEX($F$76:$AI$78,MATCH($E123,_xlfn.ANCHORARRAY($D$76)),AB$81)) * AB123</f>
        <v>87.138311203288694</v>
      </c>
      <c r="AD123" s="313" cm="1">
        <f t="array" aca="1" ref="AD123" ca="1">(1 + INDEX($F$76:$AI$78,MATCH($E123,_xlfn.ANCHORARRAY($D$76)),AC$81)) * AC123</f>
        <v>87.160775076460993</v>
      </c>
      <c r="AE123" s="313" cm="1">
        <f t="array" aca="1" ref="AE123" ca="1">(1 + INDEX($F$76:$AI$78,MATCH($E123,_xlfn.ANCHORARRAY($D$76)),AD$81)) * AD123</f>
        <v>87.069633457137982</v>
      </c>
      <c r="AF123" s="313" cm="1">
        <f t="array" aca="1" ref="AF123" ca="1">(1 + INDEX($F$76:$AI$78,MATCH($E123,_xlfn.ANCHORARRAY($D$76)),AE$81)) * AE123</f>
        <v>86.865609187461516</v>
      </c>
      <c r="AG123" s="313" cm="1">
        <f t="array" aca="1" ref="AG123" ca="1">(1 + INDEX($F$76:$AI$78,MATCH($E123,_xlfn.ANCHORARRAY($D$76)),AF$81)) * AF123</f>
        <v>86.549424318365809</v>
      </c>
      <c r="AH123" s="313" cm="1">
        <f t="array" aca="1" ref="AH123" ca="1">(1 + INDEX($F$76:$AI$78,MATCH($E123,_xlfn.ANCHORARRAY($D$76)),AG$81)) * AG123</f>
        <v>86.122740709379187</v>
      </c>
      <c r="AI123" s="313" cm="1">
        <f t="array" aca="1" ref="AI123" ca="1">(1 + INDEX($F$76:$AI$78,MATCH($E123,_xlfn.ANCHORARRAY($D$76)),AH$81)) * AH123</f>
        <v>85.587647311421421</v>
      </c>
      <c r="AJ123" s="313" cm="1">
        <f t="array" aca="1" ref="AJ123" ca="1">(1 + INDEX($F$76:$AI$78,MATCH($E123,_xlfn.ANCHORARRAY($D$76)),AI$81)) * AI123</f>
        <v>84.945546914689899</v>
      </c>
      <c r="AK123" s="313" cm="1">
        <f t="array" aca="1" ref="AK123" ca="1">(1 + INDEX($F$76:$AI$78,MATCH($E123,_xlfn.ANCHORARRAY($D$76)),AJ$81)) * AJ123</f>
        <v>84.197939493987889</v>
      </c>
      <c r="AL123" s="313" cm="1">
        <f t="array" aca="1" ref="AL123" ca="1">(1 + INDEX($F$76:$AI$78,MATCH($E123,_xlfn.ANCHORARRAY($D$76)),AK$81)) * AK123</f>
        <v>83.346605598311641</v>
      </c>
    </row>
    <row r="124" spans="2:38">
      <c r="B124" s="97">
        <v>4</v>
      </c>
      <c r="C124" s="204">
        <v>6</v>
      </c>
      <c r="D124" s="89" t="str">
        <v>Veículos Comerciais com 5 Eixos Articulado</v>
      </c>
      <c r="E124" s="89" t="str">
        <v>Pesados II</v>
      </c>
      <c r="F124" s="318" cm="1">
        <f t="array" aca="1" ref="F124" ca="1">INDEX('Painel Controle'!F$110:I$121,Tráfego!C124,Tráfego!B124) / SUM(_xlfn._xlws.FILTER(OFFSET('Painel Controle'!F$110:F$121,,Tráfego!B124-1),'Painel Controle'!D$110:D$121=Tráfego!E124))</f>
        <v>7.0921985815602842E-2</v>
      </c>
      <c r="G124" s="356" cm="1">
        <f t="array" aca="1" ref="G124" ca="1">INDEX(C$4:E$7,B124,MATCH(E124,_xlfn.ANCHORARRAY(C$3))) * F124</f>
        <v>10.737561742262184</v>
      </c>
      <c r="H124" s="142" cm="1">
        <f t="array" aca="1" ref="H124" ca="1">INDEX(C$4:E$7,B124,MATCH(E124,_xlfn.ANCHORARRAY(C$3))) * F124 * (1 + INDEX(E$76:E$78,MATCH(E124,_xlfn.ANCHORARRAY(D$76),0)))</f>
        <v>11.231340433238307</v>
      </c>
      <c r="I124" s="313" cm="1">
        <f t="array" aca="1" ref="I124" ca="1">(1 + INDEX($F$76:$AI$78,MATCH($E124,_xlfn.ANCHORARRAY($D$76)),H$81)) * H124</f>
        <v>11.661287055864182</v>
      </c>
      <c r="J124" s="313" cm="1">
        <f t="array" aca="1" ref="J124" ca="1">(1 + INDEX($F$76:$AI$78,MATCH($E124,_xlfn.ANCHORARRAY($D$76)),I$81)) * I124</f>
        <v>12.092770543288562</v>
      </c>
      <c r="K124" s="313" cm="1">
        <f t="array" aca="1" ref="K124" ca="1">(1 + INDEX($F$76:$AI$78,MATCH($E124,_xlfn.ANCHORARRAY($D$76)),J$81)) * J124</f>
        <v>12.533732422222007</v>
      </c>
      <c r="L124" s="313" cm="1">
        <f t="array" aca="1" ref="L124" ca="1">(1 + INDEX($F$76:$AI$78,MATCH($E124,_xlfn.ANCHORARRAY($D$76)),K$81)) * K124</f>
        <v>12.986841538093207</v>
      </c>
      <c r="M124" s="313" cm="1">
        <f t="array" aca="1" ref="M124" ca="1">(1 + INDEX($F$76:$AI$78,MATCH($E124,_xlfn.ANCHORARRAY($D$76)),L$81)) * L124</f>
        <v>13.451354277068104</v>
      </c>
      <c r="N124" s="313" cm="1">
        <f t="array" aca="1" ref="N124" ca="1">(1 + INDEX($F$76:$AI$78,MATCH($E124,_xlfn.ANCHORARRAY($D$76)),M$81)) * M124</f>
        <v>13.924020529779282</v>
      </c>
      <c r="O124" s="313" cm="1">
        <f t="array" aca="1" ref="O124" ca="1">(1 + INDEX($F$76:$AI$78,MATCH($E124,_xlfn.ANCHORARRAY($D$76)),N$81)) * N124</f>
        <v>14.399589825521549</v>
      </c>
      <c r="P124" s="313" cm="1">
        <f t="array" aca="1" ref="P124" ca="1">(1 + INDEX($F$76:$AI$78,MATCH($E124,_xlfn.ANCHORARRAY($D$76)),O$81)) * O124</f>
        <v>14.874021756046156</v>
      </c>
      <c r="Q124" s="313" cm="1">
        <f t="array" aca="1" ref="Q124" ca="1">(1 + INDEX($F$76:$AI$78,MATCH($E124,_xlfn.ANCHORARRAY($D$76)),P$81)) * P124</f>
        <v>15.343633891416449</v>
      </c>
      <c r="R124" s="313" cm="1">
        <f t="array" aca="1" ref="R124" ca="1">(1 + INDEX($F$76:$AI$78,MATCH($E124,_xlfn.ANCHORARRAY($D$76)),Q$81)) * Q124</f>
        <v>15.80501722642968</v>
      </c>
      <c r="S124" s="313" cm="1">
        <f t="array" aca="1" ref="S124" ca="1">(1 + INDEX($F$76:$AI$78,MATCH($E124,_xlfn.ANCHORARRAY($D$76)),R$81)) * R124</f>
        <v>16.254560624798096</v>
      </c>
      <c r="T124" s="313" cm="1">
        <f t="array" aca="1" ref="T124" ca="1">(1 + INDEX($F$76:$AI$78,MATCH($E124,_xlfn.ANCHORARRAY($D$76)),S$81)) * S124</f>
        <v>16.688759376421835</v>
      </c>
      <c r="U124" s="313" cm="1">
        <f t="array" aca="1" ref="U124" ca="1">(1 + INDEX($F$76:$AI$78,MATCH($E124,_xlfn.ANCHORARRAY($D$76)),T$81)) * T124</f>
        <v>17.104919568219941</v>
      </c>
      <c r="V124" s="313" cm="1">
        <f t="array" aca="1" ref="V124" ca="1">(1 + INDEX($F$76:$AI$78,MATCH($E124,_xlfn.ANCHORARRAY($D$76)),U$81)) * U124</f>
        <v>17.500450124042192</v>
      </c>
      <c r="W124" s="313" cm="1">
        <f t="array" aca="1" ref="W124" ca="1">(1 + INDEX($F$76:$AI$78,MATCH($E124,_xlfn.ANCHORARRAY($D$76)),V$81)) * V124</f>
        <v>17.872727472653054</v>
      </c>
      <c r="X124" s="313" cm="1">
        <f t="array" aca="1" ref="X124" ca="1">(1 + INDEX($F$76:$AI$78,MATCH($E124,_xlfn.ANCHORARRAY($D$76)),W$81)) * W124</f>
        <v>18.219302575453412</v>
      </c>
      <c r="Y124" s="313" cm="1">
        <f t="array" aca="1" ref="Y124" ca="1">(1 + INDEX($F$76:$AI$78,MATCH($E124,_xlfn.ANCHORARRAY($D$76)),X$81)) * X124</f>
        <v>18.538534198565806</v>
      </c>
      <c r="Z124" s="313" cm="1">
        <f t="array" aca="1" ref="Z124" ca="1">(1 + INDEX($F$76:$AI$78,MATCH($E124,_xlfn.ANCHORARRAY($D$76)),Y$81)) * Y124</f>
        <v>18.8290888161435</v>
      </c>
      <c r="AA124" s="313" cm="1">
        <f t="array" aca="1" ref="AA124" ca="1">(1 + INDEX($F$76:$AI$78,MATCH($E124,_xlfn.ANCHORARRAY($D$76)),Z$81)) * Z124</f>
        <v>19.089543145174321</v>
      </c>
      <c r="AB124" s="313" cm="1">
        <f t="array" aca="1" ref="AB124" ca="1">(1 + INDEX($F$76:$AI$78,MATCH($E124,_xlfn.ANCHORARRAY($D$76)),AA$81)) * AA124</f>
        <v>19.318778414488886</v>
      </c>
      <c r="AC124" s="313" cm="1">
        <f t="array" aca="1" ref="AC124" ca="1">(1 + INDEX($F$76:$AI$78,MATCH($E124,_xlfn.ANCHORARRAY($D$76)),AB$81)) * AB124</f>
        <v>19.515593284362421</v>
      </c>
      <c r="AD124" s="313" cm="1">
        <f t="array" aca="1" ref="AD124" ca="1">(1 + INDEX($F$76:$AI$78,MATCH($E124,_xlfn.ANCHORARRAY($D$76)),AC$81)) * AC124</f>
        <v>19.679203755819124</v>
      </c>
      <c r="AE124" s="313" cm="1">
        <f t="array" aca="1" ref="AE124" ca="1">(1 + INDEX($F$76:$AI$78,MATCH($E124,_xlfn.ANCHORARRAY($D$76)),AD$81)) * AD124</f>
        <v>19.809160077006133</v>
      </c>
      <c r="AF124" s="313" cm="1">
        <f t="array" aca="1" ref="AF124" ca="1">(1 + INDEX($F$76:$AI$78,MATCH($E124,_xlfn.ANCHORARRAY($D$76)),AE$81)) * AE124</f>
        <v>19.904877469275604</v>
      </c>
      <c r="AG124" s="313" cm="1">
        <f t="array" aca="1" ref="AG124" ca="1">(1 + INDEX($F$76:$AI$78,MATCH($E124,_xlfn.ANCHORARRAY($D$76)),AF$81)) * AF124</f>
        <v>19.965834501724746</v>
      </c>
      <c r="AH124" s="313" cm="1">
        <f t="array" aca="1" ref="AH124" ca="1">(1 + INDEX($F$76:$AI$78,MATCH($E124,_xlfn.ANCHORARRAY($D$76)),AG$81)) * AG124</f>
        <v>19.991846754625072</v>
      </c>
      <c r="AI124" s="313" cm="1">
        <f t="array" aca="1" ref="AI124" ca="1">(1 + INDEX($F$76:$AI$78,MATCH($E124,_xlfn.ANCHORARRAY($D$76)),AH$81)) * AH124</f>
        <v>19.982898673400566</v>
      </c>
      <c r="AJ124" s="313" cm="1">
        <f t="array" aca="1" ref="AJ124" ca="1">(1 + INDEX($F$76:$AI$78,MATCH($E124,_xlfn.ANCHORARRAY($D$76)),AI$81)) * AI124</f>
        <v>19.938814213916185</v>
      </c>
      <c r="AK124" s="313" cm="1">
        <f t="array" aca="1" ref="AK124" ca="1">(1 + INDEX($F$76:$AI$78,MATCH($E124,_xlfn.ANCHORARRAY($D$76)),AJ$81)) * AJ124</f>
        <v>19.859504387410002</v>
      </c>
      <c r="AL124" s="313" cm="1">
        <f t="array" aca="1" ref="AL124" ca="1">(1 + INDEX($F$76:$AI$78,MATCH($E124,_xlfn.ANCHORARRAY($D$76)),AK$81)) * AK124</f>
        <v>19.745035274689293</v>
      </c>
    </row>
    <row r="125" spans="2:38">
      <c r="B125" s="97">
        <v>4</v>
      </c>
      <c r="C125" s="204">
        <v>7</v>
      </c>
      <c r="D125" s="89" t="str">
        <v>Veículos Comerciais com 6 Eixos Articulado</v>
      </c>
      <c r="E125" s="89" t="str">
        <v>Pesados II</v>
      </c>
      <c r="F125" s="318" cm="1">
        <f t="array" aca="1" ref="F125" ca="1">INDEX('Painel Controle'!F$110:I$121,Tráfego!C125,Tráfego!B125) / SUM(_xlfn._xlws.FILTER(OFFSET('Painel Controle'!F$110:F$121,,Tráfego!B125-1),'Painel Controle'!D$110:D$121=Tráfego!E125))</f>
        <v>0.52482269503546097</v>
      </c>
      <c r="G125" s="356" cm="1">
        <f t="array" aca="1" ref="G125" ca="1">INDEX(C$4:E$7,B125,MATCH(E125,_xlfn.ANCHORARRAY(C$3))) * F125</f>
        <v>79.457956892740157</v>
      </c>
      <c r="H125" s="142" cm="1">
        <f t="array" aca="1" ref="H125" ca="1">INDEX(C$4:E$7,B125,MATCH(E125,_xlfn.ANCHORARRAY(C$3))) * F125 * (1 + INDEX(E$76:E$78,MATCH(E125,_xlfn.ANCHORARRAY(D$76),0)))</f>
        <v>83.11191920596346</v>
      </c>
      <c r="I125" s="313" cm="1">
        <f t="array" aca="1" ref="I125" ca="1">(1 + INDEX($F$76:$AI$78,MATCH($E125,_xlfn.ANCHORARRAY($D$76)),H$81)) * H125</f>
        <v>86.293524213394946</v>
      </c>
      <c r="J125" s="313" cm="1">
        <f t="array" aca="1" ref="J125" ca="1">(1 + INDEX($F$76:$AI$78,MATCH($E125,_xlfn.ANCHORARRAY($D$76)),I$81)) * I125</f>
        <v>89.486502020335365</v>
      </c>
      <c r="K125" s="313" cm="1">
        <f t="array" aca="1" ref="K125" ca="1">(1 + INDEX($F$76:$AI$78,MATCH($E125,_xlfn.ANCHORARRAY($D$76)),J$81)) * J125</f>
        <v>92.749619924442868</v>
      </c>
      <c r="L125" s="313" cm="1">
        <f t="array" aca="1" ref="L125" ca="1">(1 + INDEX($F$76:$AI$78,MATCH($E125,_xlfn.ANCHORARRAY($D$76)),K$81)) * K125</f>
        <v>96.102627381889747</v>
      </c>
      <c r="M125" s="313" cm="1">
        <f t="array" aca="1" ref="M125" ca="1">(1 + INDEX($F$76:$AI$78,MATCH($E125,_xlfn.ANCHORARRAY($D$76)),L$81)) * L125</f>
        <v>99.540021650303984</v>
      </c>
      <c r="N125" s="313" cm="1">
        <f t="array" aca="1" ref="N125" ca="1">(1 + INDEX($F$76:$AI$78,MATCH($E125,_xlfn.ANCHORARRAY($D$76)),M$81)) * M125</f>
        <v>103.03775192036672</v>
      </c>
      <c r="O125" s="313" cm="1">
        <f t="array" aca="1" ref="O125" ca="1">(1 + INDEX($F$76:$AI$78,MATCH($E125,_xlfn.ANCHORARRAY($D$76)),N$81)) * N125</f>
        <v>106.55696470885948</v>
      </c>
      <c r="P125" s="313" cm="1">
        <f t="array" aca="1" ref="P125" ca="1">(1 + INDEX($F$76:$AI$78,MATCH($E125,_xlfn.ANCHORARRAY($D$76)),O$81)) * O125</f>
        <v>110.06776099474158</v>
      </c>
      <c r="Q125" s="313" cm="1">
        <f t="array" aca="1" ref="Q125" ca="1">(1 + INDEX($F$76:$AI$78,MATCH($E125,_xlfn.ANCHORARRAY($D$76)),P$81)) * P125</f>
        <v>113.54289079648174</v>
      </c>
      <c r="R125" s="313" cm="1">
        <f t="array" aca="1" ref="R125" ca="1">(1 + INDEX($F$76:$AI$78,MATCH($E125,_xlfn.ANCHORARRAY($D$76)),Q$81)) * Q125</f>
        <v>116.95712747557965</v>
      </c>
      <c r="S125" s="313" cm="1">
        <f t="array" aca="1" ref="S125" ca="1">(1 + INDEX($F$76:$AI$78,MATCH($E125,_xlfn.ANCHORARRAY($D$76)),R$81)) * R125</f>
        <v>120.28374862350593</v>
      </c>
      <c r="T125" s="313" cm="1">
        <f t="array" aca="1" ref="T125" ca="1">(1 + INDEX($F$76:$AI$78,MATCH($E125,_xlfn.ANCHORARRAY($D$76)),S$81)) * S125</f>
        <v>123.4968193855216</v>
      </c>
      <c r="U125" s="313" cm="1">
        <f t="array" aca="1" ref="U125" ca="1">(1 + INDEX($F$76:$AI$78,MATCH($E125,_xlfn.ANCHORARRAY($D$76)),T$81)) * T125</f>
        <v>126.57640480482759</v>
      </c>
      <c r="V125" s="313" cm="1">
        <f t="array" aca="1" ref="V125" ca="1">(1 + INDEX($F$76:$AI$78,MATCH($E125,_xlfn.ANCHORARRAY($D$76)),U$81)) * U125</f>
        <v>129.50333091791225</v>
      </c>
      <c r="W125" s="313" cm="1">
        <f t="array" aca="1" ref="W125" ca="1">(1 + INDEX($F$76:$AI$78,MATCH($E125,_xlfn.ANCHORARRAY($D$76)),V$81)) * V125</f>
        <v>132.25818329763263</v>
      </c>
      <c r="X125" s="313" cm="1">
        <f t="array" aca="1" ref="X125" ca="1">(1 + INDEX($F$76:$AI$78,MATCH($E125,_xlfn.ANCHORARRAY($D$76)),W$81)) * W125</f>
        <v>134.82283905835527</v>
      </c>
      <c r="Y125" s="313" cm="1">
        <f t="array" aca="1" ref="Y125" ca="1">(1 + INDEX($F$76:$AI$78,MATCH($E125,_xlfn.ANCHORARRAY($D$76)),X$81)) * X125</f>
        <v>137.18515306938698</v>
      </c>
      <c r="Z125" s="313" cm="1">
        <f t="array" aca="1" ref="Z125" ca="1">(1 + INDEX($F$76:$AI$78,MATCH($E125,_xlfn.ANCHORARRAY($D$76)),Y$81)) * Y125</f>
        <v>139.33525723946192</v>
      </c>
      <c r="AA125" s="313" cm="1">
        <f t="array" aca="1" ref="AA125" ca="1">(1 + INDEX($F$76:$AI$78,MATCH($E125,_xlfn.ANCHORARRAY($D$76)),Z$81)) * Z125</f>
        <v>141.26261927429002</v>
      </c>
      <c r="AB125" s="313" cm="1">
        <f t="array" aca="1" ref="AB125" ca="1">(1 + INDEX($F$76:$AI$78,MATCH($E125,_xlfn.ANCHORARRAY($D$76)),AA$81)) * AA125</f>
        <v>142.9589602672178</v>
      </c>
      <c r="AC125" s="313" cm="1">
        <f t="array" aca="1" ref="AC125" ca="1">(1 + INDEX($F$76:$AI$78,MATCH($E125,_xlfn.ANCHORARRAY($D$76)),AB$81)) * AB125</f>
        <v>144.41539030428197</v>
      </c>
      <c r="AD125" s="313" cm="1">
        <f t="array" aca="1" ref="AD125" ca="1">(1 + INDEX($F$76:$AI$78,MATCH($E125,_xlfn.ANCHORARRAY($D$76)),AC$81)) * AC125</f>
        <v>145.62610779306155</v>
      </c>
      <c r="AE125" s="313" cm="1">
        <f t="array" aca="1" ref="AE125" ca="1">(1 + INDEX($F$76:$AI$78,MATCH($E125,_xlfn.ANCHORARRAY($D$76)),AD$81)) * AD125</f>
        <v>146.58778456984544</v>
      </c>
      <c r="AF125" s="313" cm="1">
        <f t="array" aca="1" ref="AF125" ca="1">(1 + INDEX($F$76:$AI$78,MATCH($E125,_xlfn.ANCHORARRAY($D$76)),AE$81)) * AE125</f>
        <v>147.29609327263952</v>
      </c>
      <c r="AG125" s="313" cm="1">
        <f t="array" aca="1" ref="AG125" ca="1">(1 + INDEX($F$76:$AI$78,MATCH($E125,_xlfn.ANCHORARRAY($D$76)),AF$81)) * AF125</f>
        <v>147.74717531276318</v>
      </c>
      <c r="AH125" s="313" cm="1">
        <f t="array" aca="1" ref="AH125" ca="1">(1 + INDEX($F$76:$AI$78,MATCH($E125,_xlfn.ANCHORARRAY($D$76)),AG$81)) * AG125</f>
        <v>147.9396659842256</v>
      </c>
      <c r="AI125" s="313" cm="1">
        <f t="array" aca="1" ref="AI125" ca="1">(1 + INDEX($F$76:$AI$78,MATCH($E125,_xlfn.ANCHORARRAY($D$76)),AH$81)) * AH125</f>
        <v>147.87345018316427</v>
      </c>
      <c r="AJ125" s="313" cm="1">
        <f t="array" aca="1" ref="AJ125" ca="1">(1 + INDEX($F$76:$AI$78,MATCH($E125,_xlfn.ANCHORARRAY($D$76)),AI$81)) * AI125</f>
        <v>147.54722518297984</v>
      </c>
      <c r="AK125" s="313" cm="1">
        <f t="array" aca="1" ref="AK125" ca="1">(1 + INDEX($F$76:$AI$78,MATCH($E125,_xlfn.ANCHORARRAY($D$76)),AJ$81)) * AJ125</f>
        <v>146.96033246683407</v>
      </c>
      <c r="AL125" s="313" cm="1">
        <f t="array" aca="1" ref="AL125" ca="1">(1 + INDEX($F$76:$AI$78,MATCH($E125,_xlfn.ANCHORARRAY($D$76)),AK$81)) * AK125</f>
        <v>146.11326103270082</v>
      </c>
    </row>
    <row r="126" spans="2:38">
      <c r="B126" s="97">
        <v>4</v>
      </c>
      <c r="C126" s="204">
        <v>8</v>
      </c>
      <c r="D126" s="89" t="str">
        <v>Veículos Comerciais com 7 Eixos Articulado</v>
      </c>
      <c r="E126" s="89" t="str">
        <v>Pesados II</v>
      </c>
      <c r="F126" s="318" cm="1">
        <f t="array" aca="1" ref="F126" ca="1">INDEX('Painel Controle'!F$110:I$121,Tráfego!C126,Tráfego!B126) / SUM(_xlfn._xlws.FILTER(OFFSET('Painel Controle'!F$110:F$121,,Tráfego!B126-1),'Painel Controle'!D$110:D$121=Tráfego!E126))</f>
        <v>0.27659574468085107</v>
      </c>
      <c r="G126" s="356" cm="1">
        <f t="array" aca="1" ref="G126" ca="1">INDEX(C$4:E$7,B126,MATCH(E126,_xlfn.ANCHORARRAY(C$3))) * F126</f>
        <v>41.876490794822516</v>
      </c>
      <c r="H126" s="142" cm="1">
        <f t="array" aca="1" ref="H126" ca="1">INDEX(C$4:E$7,B126,MATCH(E126,_xlfn.ANCHORARRAY(C$3))) * F126 * (1 + INDEX(E$76:E$78,MATCH(E126,_xlfn.ANCHORARRAY(D$76),0)))</f>
        <v>43.802227689629397</v>
      </c>
      <c r="I126" s="313" cm="1">
        <f t="array" aca="1" ref="I126" ca="1">(1 + INDEX($F$76:$AI$78,MATCH($E126,_xlfn.ANCHORARRAY($D$76)),H$81)) * H126</f>
        <v>45.479019517870313</v>
      </c>
      <c r="J126" s="313" cm="1">
        <f t="array" aca="1" ref="J126" ca="1">(1 + INDEX($F$76:$AI$78,MATCH($E126,_xlfn.ANCHORARRAY($D$76)),I$81)) * I126</f>
        <v>47.161805118825399</v>
      </c>
      <c r="K126" s="313" cm="1">
        <f t="array" aca="1" ref="K126" ca="1">(1 + INDEX($F$76:$AI$78,MATCH($E126,_xlfn.ANCHORARRAY($D$76)),J$81)) * J126</f>
        <v>48.88155644666584</v>
      </c>
      <c r="L126" s="313" cm="1">
        <f t="array" aca="1" ref="L126" ca="1">(1 + INDEX($F$76:$AI$78,MATCH($E126,_xlfn.ANCHORARRAY($D$76)),K$81)) * K126</f>
        <v>50.648681998563518</v>
      </c>
      <c r="M126" s="313" cm="1">
        <f t="array" aca="1" ref="M126" ca="1">(1 + INDEX($F$76:$AI$78,MATCH($E126,_xlfn.ANCHORARRAY($D$76)),L$81)) * L126</f>
        <v>52.460281680565615</v>
      </c>
      <c r="N126" s="313" cm="1">
        <f t="array" aca="1" ref="N126" ca="1">(1 + INDEX($F$76:$AI$78,MATCH($E126,_xlfn.ANCHORARRAY($D$76)),M$81)) * M126</f>
        <v>54.303680066139215</v>
      </c>
      <c r="O126" s="313" cm="1">
        <f t="array" aca="1" ref="O126" ca="1">(1 + INDEX($F$76:$AI$78,MATCH($E126,_xlfn.ANCHORARRAY($D$76)),N$81)) * N126</f>
        <v>56.158400319534053</v>
      </c>
      <c r="P126" s="313" cm="1">
        <f t="array" aca="1" ref="P126" ca="1">(1 + INDEX($F$76:$AI$78,MATCH($E126,_xlfn.ANCHORARRAY($D$76)),O$81)) * O126</f>
        <v>58.008684848580025</v>
      </c>
      <c r="Q126" s="313" cm="1">
        <f t="array" aca="1" ref="Q126" ca="1">(1 + INDEX($F$76:$AI$78,MATCH($E126,_xlfn.ANCHORARRAY($D$76)),P$81)) * P126</f>
        <v>59.840172176524163</v>
      </c>
      <c r="R126" s="313" cm="1">
        <f t="array" aca="1" ref="R126" ca="1">(1 + INDEX($F$76:$AI$78,MATCH($E126,_xlfn.ANCHORARRAY($D$76)),Q$81)) * Q126</f>
        <v>61.639567183075762</v>
      </c>
      <c r="S126" s="313" cm="1">
        <f t="array" aca="1" ref="S126" ca="1">(1 + INDEX($F$76:$AI$78,MATCH($E126,_xlfn.ANCHORARRAY($D$76)),R$81)) * R126</f>
        <v>63.392786436712584</v>
      </c>
      <c r="T126" s="313" cm="1">
        <f t="array" aca="1" ref="T126" ca="1">(1 + INDEX($F$76:$AI$78,MATCH($E126,_xlfn.ANCHORARRAY($D$76)),S$81)) * S126</f>
        <v>65.086161568045171</v>
      </c>
      <c r="U126" s="313" cm="1">
        <f t="array" aca="1" ref="U126" ca="1">(1 + INDEX($F$76:$AI$78,MATCH($E126,_xlfn.ANCHORARRAY($D$76)),T$81)) * T126</f>
        <v>66.709186316057782</v>
      </c>
      <c r="V126" s="313" cm="1">
        <f t="array" aca="1" ref="V126" ca="1">(1 + INDEX($F$76:$AI$78,MATCH($E126,_xlfn.ANCHORARRAY($D$76)),U$81)) * U126</f>
        <v>68.251755483764555</v>
      </c>
      <c r="W126" s="313" cm="1">
        <f t="array" aca="1" ref="W126" ca="1">(1 + INDEX($F$76:$AI$78,MATCH($E126,_xlfn.ANCHORARRAY($D$76)),V$81)) * V126</f>
        <v>69.703637143346924</v>
      </c>
      <c r="X126" s="313" cm="1">
        <f t="array" aca="1" ref="X126" ca="1">(1 + INDEX($F$76:$AI$78,MATCH($E126,_xlfn.ANCHORARRAY($D$76)),W$81)) * W126</f>
        <v>71.055280044268329</v>
      </c>
      <c r="Y126" s="313" cm="1">
        <f t="array" aca="1" ref="Y126" ca="1">(1 + INDEX($F$76:$AI$78,MATCH($E126,_xlfn.ANCHORARRAY($D$76)),X$81)) * X126</f>
        <v>72.300283374406675</v>
      </c>
      <c r="Z126" s="313" cm="1">
        <f t="array" aca="1" ref="Z126" ca="1">(1 + INDEX($F$76:$AI$78,MATCH($E126,_xlfn.ANCHORARRAY($D$76)),Y$81)) * Y126</f>
        <v>73.433446382959673</v>
      </c>
      <c r="AA126" s="313" cm="1">
        <f t="array" aca="1" ref="AA126" ca="1">(1 + INDEX($F$76:$AI$78,MATCH($E126,_xlfn.ANCHORARRAY($D$76)),Z$81)) * Z126</f>
        <v>74.449218266179884</v>
      </c>
      <c r="AB126" s="313" cm="1">
        <f t="array" aca="1" ref="AB126" ca="1">(1 + INDEX($F$76:$AI$78,MATCH($E126,_xlfn.ANCHORARRAY($D$76)),AA$81)) * AA126</f>
        <v>75.343235816506692</v>
      </c>
      <c r="AC126" s="313" cm="1">
        <f t="array" aca="1" ref="AC126" ca="1">(1 + INDEX($F$76:$AI$78,MATCH($E126,_xlfn.ANCHORARRAY($D$76)),AB$81)) * AB126</f>
        <v>76.110813809013479</v>
      </c>
      <c r="AD126" s="313" cm="1">
        <f t="array" aca="1" ref="AD126" ca="1">(1 + INDEX($F$76:$AI$78,MATCH($E126,_xlfn.ANCHORARRAY($D$76)),AC$81)) * AC126</f>
        <v>76.748894647694613</v>
      </c>
      <c r="AE126" s="313" cm="1">
        <f t="array" aca="1" ref="AE126" ca="1">(1 + INDEX($F$76:$AI$78,MATCH($E126,_xlfn.ANCHORARRAY($D$76)),AD$81)) * AD126</f>
        <v>77.255724300323948</v>
      </c>
      <c r="AF126" s="313" cm="1">
        <f t="array" aca="1" ref="AF126" ca="1">(1 + INDEX($F$76:$AI$78,MATCH($E126,_xlfn.ANCHORARRAY($D$76)),AE$81)) * AE126</f>
        <v>77.629022130174889</v>
      </c>
      <c r="AG126" s="313" cm="1">
        <f t="array" aca="1" ref="AG126" ca="1">(1 + INDEX($F$76:$AI$78,MATCH($E126,_xlfn.ANCHORARRAY($D$76)),AF$81)) * AF126</f>
        <v>77.866754556726548</v>
      </c>
      <c r="AH126" s="313" cm="1">
        <f t="array" aca="1" ref="AH126" ca="1">(1 + INDEX($F$76:$AI$78,MATCH($E126,_xlfn.ANCHORARRAY($D$76)),AG$81)) * AG126</f>
        <v>77.968202343037817</v>
      </c>
      <c r="AI126" s="313" cm="1">
        <f t="array" aca="1" ref="AI126" ca="1">(1 + INDEX($F$76:$AI$78,MATCH($E126,_xlfn.ANCHORARRAY($D$76)),AH$81)) * AH126</f>
        <v>77.933304826262244</v>
      </c>
      <c r="AJ126" s="313" cm="1">
        <f t="array" aca="1" ref="AJ126" ca="1">(1 + INDEX($F$76:$AI$78,MATCH($E126,_xlfn.ANCHORARRAY($D$76)),AI$81)) * AI126</f>
        <v>77.761375434273162</v>
      </c>
      <c r="AK126" s="313" cm="1">
        <f t="array" aca="1" ref="AK126" ca="1">(1 + INDEX($F$76:$AI$78,MATCH($E126,_xlfn.ANCHORARRAY($D$76)),AJ$81)) * AJ126</f>
        <v>77.452067110899051</v>
      </c>
      <c r="AL126" s="313" cm="1">
        <f t="array" aca="1" ref="AL126" ca="1">(1 + INDEX($F$76:$AI$78,MATCH($E126,_xlfn.ANCHORARRAY($D$76)),AK$81)) * AK126</f>
        <v>77.00563757128829</v>
      </c>
    </row>
    <row r="127" spans="2:38">
      <c r="B127" s="97">
        <v>4</v>
      </c>
      <c r="C127" s="204">
        <v>9</v>
      </c>
      <c r="D127" s="89" t="str">
        <v>Veículos Comerciais com 8 Eixos Articulado</v>
      </c>
      <c r="E127" s="89" t="str">
        <v>Pesados II</v>
      </c>
      <c r="F127" s="318" cm="1">
        <f t="array" aca="1" ref="F127" ca="1">INDEX('Painel Controle'!F$110:I$121,Tráfego!C127,Tráfego!B127) / SUM(_xlfn._xlws.FILTER(OFFSET('Painel Controle'!F$110:F$121,,Tráfego!B127-1),'Painel Controle'!D$110:D$121=Tráfego!E127))</f>
        <v>0</v>
      </c>
      <c r="G127" s="356" cm="1">
        <f t="array" aca="1" ref="G127" ca="1">INDEX(C$4:E$7,B127,MATCH(E127,_xlfn.ANCHORARRAY(C$3))) * F127</f>
        <v>0</v>
      </c>
      <c r="H127" s="142" cm="1">
        <f t="array" aca="1" ref="H127" ca="1">INDEX(C$4:E$7,B127,MATCH(E127,_xlfn.ANCHORARRAY(C$3))) * F127 * (1 + INDEX(E$76:E$78,MATCH(E127,_xlfn.ANCHORARRAY(D$76),0)))</f>
        <v>0</v>
      </c>
      <c r="I127" s="313" cm="1">
        <f t="array" aca="1" ref="I127" ca="1">(1 + INDEX($F$76:$AI$78,MATCH($E127,_xlfn.ANCHORARRAY($D$76)),H$81)) * H127</f>
        <v>0</v>
      </c>
      <c r="J127" s="313" cm="1">
        <f t="array" aca="1" ref="J127" ca="1">(1 + INDEX($F$76:$AI$78,MATCH($E127,_xlfn.ANCHORARRAY($D$76)),I$81)) * I127</f>
        <v>0</v>
      </c>
      <c r="K127" s="313" cm="1">
        <f t="array" aca="1" ref="K127" ca="1">(1 + INDEX($F$76:$AI$78,MATCH($E127,_xlfn.ANCHORARRAY($D$76)),J$81)) * J127</f>
        <v>0</v>
      </c>
      <c r="L127" s="313" cm="1">
        <f t="array" aca="1" ref="L127" ca="1">(1 + INDEX($F$76:$AI$78,MATCH($E127,_xlfn.ANCHORARRAY($D$76)),K$81)) * K127</f>
        <v>0</v>
      </c>
      <c r="M127" s="313" cm="1">
        <f t="array" aca="1" ref="M127" ca="1">(1 + INDEX($F$76:$AI$78,MATCH($E127,_xlfn.ANCHORARRAY($D$76)),L$81)) * L127</f>
        <v>0</v>
      </c>
      <c r="N127" s="313" cm="1">
        <f t="array" aca="1" ref="N127" ca="1">(1 + INDEX($F$76:$AI$78,MATCH($E127,_xlfn.ANCHORARRAY($D$76)),M$81)) * M127</f>
        <v>0</v>
      </c>
      <c r="O127" s="313" cm="1">
        <f t="array" aca="1" ref="O127" ca="1">(1 + INDEX($F$76:$AI$78,MATCH($E127,_xlfn.ANCHORARRAY($D$76)),N$81)) * N127</f>
        <v>0</v>
      </c>
      <c r="P127" s="313" cm="1">
        <f t="array" aca="1" ref="P127" ca="1">(1 + INDEX($F$76:$AI$78,MATCH($E127,_xlfn.ANCHORARRAY($D$76)),O$81)) * O127</f>
        <v>0</v>
      </c>
      <c r="Q127" s="313" cm="1">
        <f t="array" aca="1" ref="Q127" ca="1">(1 + INDEX($F$76:$AI$78,MATCH($E127,_xlfn.ANCHORARRAY($D$76)),P$81)) * P127</f>
        <v>0</v>
      </c>
      <c r="R127" s="313" cm="1">
        <f t="array" aca="1" ref="R127" ca="1">(1 + INDEX($F$76:$AI$78,MATCH($E127,_xlfn.ANCHORARRAY($D$76)),Q$81)) * Q127</f>
        <v>0</v>
      </c>
      <c r="S127" s="313" cm="1">
        <f t="array" aca="1" ref="S127" ca="1">(1 + INDEX($F$76:$AI$78,MATCH($E127,_xlfn.ANCHORARRAY($D$76)),R$81)) * R127</f>
        <v>0</v>
      </c>
      <c r="T127" s="313" cm="1">
        <f t="array" aca="1" ref="T127" ca="1">(1 + INDEX($F$76:$AI$78,MATCH($E127,_xlfn.ANCHORARRAY($D$76)),S$81)) * S127</f>
        <v>0</v>
      </c>
      <c r="U127" s="313" cm="1">
        <f t="array" aca="1" ref="U127" ca="1">(1 + INDEX($F$76:$AI$78,MATCH($E127,_xlfn.ANCHORARRAY($D$76)),T$81)) * T127</f>
        <v>0</v>
      </c>
      <c r="V127" s="313" cm="1">
        <f t="array" aca="1" ref="V127" ca="1">(1 + INDEX($F$76:$AI$78,MATCH($E127,_xlfn.ANCHORARRAY($D$76)),U$81)) * U127</f>
        <v>0</v>
      </c>
      <c r="W127" s="313" cm="1">
        <f t="array" aca="1" ref="W127" ca="1">(1 + INDEX($F$76:$AI$78,MATCH($E127,_xlfn.ANCHORARRAY($D$76)),V$81)) * V127</f>
        <v>0</v>
      </c>
      <c r="X127" s="313" cm="1">
        <f t="array" aca="1" ref="X127" ca="1">(1 + INDEX($F$76:$AI$78,MATCH($E127,_xlfn.ANCHORARRAY($D$76)),W$81)) * W127</f>
        <v>0</v>
      </c>
      <c r="Y127" s="313" cm="1">
        <f t="array" aca="1" ref="Y127" ca="1">(1 + INDEX($F$76:$AI$78,MATCH($E127,_xlfn.ANCHORARRAY($D$76)),X$81)) * X127</f>
        <v>0</v>
      </c>
      <c r="Z127" s="313" cm="1">
        <f t="array" aca="1" ref="Z127" ca="1">(1 + INDEX($F$76:$AI$78,MATCH($E127,_xlfn.ANCHORARRAY($D$76)),Y$81)) * Y127</f>
        <v>0</v>
      </c>
      <c r="AA127" s="313" cm="1">
        <f t="array" aca="1" ref="AA127" ca="1">(1 + INDEX($F$76:$AI$78,MATCH($E127,_xlfn.ANCHORARRAY($D$76)),Z$81)) * Z127</f>
        <v>0</v>
      </c>
      <c r="AB127" s="313" cm="1">
        <f t="array" aca="1" ref="AB127" ca="1">(1 + INDEX($F$76:$AI$78,MATCH($E127,_xlfn.ANCHORARRAY($D$76)),AA$81)) * AA127</f>
        <v>0</v>
      </c>
      <c r="AC127" s="313" cm="1">
        <f t="array" aca="1" ref="AC127" ca="1">(1 + INDEX($F$76:$AI$78,MATCH($E127,_xlfn.ANCHORARRAY($D$76)),AB$81)) * AB127</f>
        <v>0</v>
      </c>
      <c r="AD127" s="313" cm="1">
        <f t="array" aca="1" ref="AD127" ca="1">(1 + INDEX($F$76:$AI$78,MATCH($E127,_xlfn.ANCHORARRAY($D$76)),AC$81)) * AC127</f>
        <v>0</v>
      </c>
      <c r="AE127" s="313" cm="1">
        <f t="array" aca="1" ref="AE127" ca="1">(1 + INDEX($F$76:$AI$78,MATCH($E127,_xlfn.ANCHORARRAY($D$76)),AD$81)) * AD127</f>
        <v>0</v>
      </c>
      <c r="AF127" s="313" cm="1">
        <f t="array" aca="1" ref="AF127" ca="1">(1 + INDEX($F$76:$AI$78,MATCH($E127,_xlfn.ANCHORARRAY($D$76)),AE$81)) * AE127</f>
        <v>0</v>
      </c>
      <c r="AG127" s="313" cm="1">
        <f t="array" aca="1" ref="AG127" ca="1">(1 + INDEX($F$76:$AI$78,MATCH($E127,_xlfn.ANCHORARRAY($D$76)),AF$81)) * AF127</f>
        <v>0</v>
      </c>
      <c r="AH127" s="313" cm="1">
        <f t="array" aca="1" ref="AH127" ca="1">(1 + INDEX($F$76:$AI$78,MATCH($E127,_xlfn.ANCHORARRAY($D$76)),AG$81)) * AG127</f>
        <v>0</v>
      </c>
      <c r="AI127" s="313" cm="1">
        <f t="array" aca="1" ref="AI127" ca="1">(1 + INDEX($F$76:$AI$78,MATCH($E127,_xlfn.ANCHORARRAY($D$76)),AH$81)) * AH127</f>
        <v>0</v>
      </c>
      <c r="AJ127" s="313" cm="1">
        <f t="array" aca="1" ref="AJ127" ca="1">(1 + INDEX($F$76:$AI$78,MATCH($E127,_xlfn.ANCHORARRAY($D$76)),AI$81)) * AI127</f>
        <v>0</v>
      </c>
      <c r="AK127" s="313" cm="1">
        <f t="array" aca="1" ref="AK127" ca="1">(1 + INDEX($F$76:$AI$78,MATCH($E127,_xlfn.ANCHORARRAY($D$76)),AJ$81)) * AJ127</f>
        <v>0</v>
      </c>
      <c r="AL127" s="313" cm="1">
        <f t="array" aca="1" ref="AL127" ca="1">(1 + INDEX($F$76:$AI$78,MATCH($E127,_xlfn.ANCHORARRAY($D$76)),AK$81)) * AK127</f>
        <v>0</v>
      </c>
    </row>
    <row r="128" spans="2:38">
      <c r="B128" s="320">
        <v>4</v>
      </c>
      <c r="C128" s="323">
        <v>10</v>
      </c>
      <c r="D128" s="321" t="str">
        <v>Veículos Comerciais com 9 Eixos Articulado</v>
      </c>
      <c r="E128" s="321" t="str">
        <v>Pesados II</v>
      </c>
      <c r="F128" s="318" cm="1">
        <f t="array" aca="1" ref="F128" ca="1">INDEX('Painel Controle'!F$110:I$121,Tráfego!C128,Tráfego!B128) / SUM(_xlfn._xlws.FILTER(OFFSET('Painel Controle'!F$110:F$121,,Tráfego!B128-1),'Painel Controle'!D$110:D$121=Tráfego!E128))</f>
        <v>0.1276595744680851</v>
      </c>
      <c r="G128" s="356" cm="1">
        <f t="array" aca="1" ref="G128" ca="1">INDEX(C$4:E$7,B128,MATCH(E128,_xlfn.ANCHORARRAY(C$3))) * F128</f>
        <v>19.32761113607193</v>
      </c>
      <c r="H128" s="142" cm="1">
        <f t="array" aca="1" ref="H128" ca="1">INDEX(C$4:E$7,B128,MATCH(E128,_xlfn.ANCHORARRAY(C$3))) * F128 * (1 + INDEX(E$76:E$78,MATCH(E128,_xlfn.ANCHORARRAY(D$76),0)))</f>
        <v>20.21641277982895</v>
      </c>
      <c r="I128" s="313" cm="1">
        <f t="array" aca="1" ref="I128" ca="1">(1 + INDEX($F$76:$AI$78,MATCH($E128,_xlfn.ANCHORARRAY($D$76)),H$81)) * H128</f>
        <v>20.990316700555528</v>
      </c>
      <c r="J128" s="313" cm="1">
        <f t="array" aca="1" ref="J128" ca="1">(1 + INDEX($F$76:$AI$78,MATCH($E128,_xlfn.ANCHORARRAY($D$76)),I$81)) * I128</f>
        <v>21.766986977919412</v>
      </c>
      <c r="K128" s="313" cm="1">
        <f t="array" aca="1" ref="K128" ca="1">(1 + INDEX($F$76:$AI$78,MATCH($E128,_xlfn.ANCHORARRAY($D$76)),J$81)) * J128</f>
        <v>22.560718359999616</v>
      </c>
      <c r="L128" s="313" cm="1">
        <f t="array" aca="1" ref="L128" ca="1">(1 + INDEX($F$76:$AI$78,MATCH($E128,_xlfn.ANCHORARRAY($D$76)),K$81)) * K128</f>
        <v>23.376314768567774</v>
      </c>
      <c r="M128" s="313" cm="1">
        <f t="array" aca="1" ref="M128" ca="1">(1 + INDEX($F$76:$AI$78,MATCH($E128,_xlfn.ANCHORARRAY($D$76)),L$81)) * L128</f>
        <v>24.212437698722589</v>
      </c>
      <c r="N128" s="313" cm="1">
        <f t="array" aca="1" ref="N128" ca="1">(1 + INDEX($F$76:$AI$78,MATCH($E128,_xlfn.ANCHORARRAY($D$76)),M$81)) * M128</f>
        <v>25.063236953602711</v>
      </c>
      <c r="O128" s="313" cm="1">
        <f t="array" aca="1" ref="O128" ca="1">(1 + INDEX($F$76:$AI$78,MATCH($E128,_xlfn.ANCHORARRAY($D$76)),N$81)) * N128</f>
        <v>25.919261685938789</v>
      </c>
      <c r="P128" s="313" cm="1">
        <f t="array" aca="1" ref="P128" ca="1">(1 + INDEX($F$76:$AI$78,MATCH($E128,_xlfn.ANCHORARRAY($D$76)),O$81)) * O128</f>
        <v>26.773239160883083</v>
      </c>
      <c r="Q128" s="313" cm="1">
        <f t="array" aca="1" ref="Q128" ca="1">(1 + INDEX($F$76:$AI$78,MATCH($E128,_xlfn.ANCHORARRAY($D$76)),P$81)) * P128</f>
        <v>27.618541004549609</v>
      </c>
      <c r="R128" s="313" cm="1">
        <f t="array" aca="1" ref="R128" ca="1">(1 + INDEX($F$76:$AI$78,MATCH($E128,_xlfn.ANCHORARRAY($D$76)),Q$81)) * Q128</f>
        <v>28.449031007573424</v>
      </c>
      <c r="S128" s="313" cm="1">
        <f t="array" aca="1" ref="S128" ca="1">(1 + INDEX($F$76:$AI$78,MATCH($E128,_xlfn.ANCHORARRAY($D$76)),R$81)) * R128</f>
        <v>29.258209124636572</v>
      </c>
      <c r="T128" s="313" cm="1">
        <f t="array" aca="1" ref="T128" ca="1">(1 + INDEX($F$76:$AI$78,MATCH($E128,_xlfn.ANCHORARRAY($D$76)),S$81)) * S128</f>
        <v>30.039766877559305</v>
      </c>
      <c r="U128" s="313" cm="1">
        <f t="array" aca="1" ref="U128" ca="1">(1 + INDEX($F$76:$AI$78,MATCH($E128,_xlfn.ANCHORARRAY($D$76)),T$81)) * T128</f>
        <v>30.788855222795899</v>
      </c>
      <c r="V128" s="313" cm="1">
        <f t="array" aca="1" ref="V128" ca="1">(1 + INDEX($F$76:$AI$78,MATCH($E128,_xlfn.ANCHORARRAY($D$76)),U$81)) * U128</f>
        <v>31.500810223275952</v>
      </c>
      <c r="W128" s="313" cm="1">
        <f t="array" aca="1" ref="W128" ca="1">(1 + INDEX($F$76:$AI$78,MATCH($E128,_xlfn.ANCHORARRAY($D$76)),V$81)) * V128</f>
        <v>32.170909450775504</v>
      </c>
      <c r="X128" s="313" cm="1">
        <f t="array" aca="1" ref="X128" ca="1">(1 + INDEX($F$76:$AI$78,MATCH($E128,_xlfn.ANCHORARRAY($D$76)),W$81)) * W128</f>
        <v>32.794744635816151</v>
      </c>
      <c r="Y128" s="313" cm="1">
        <f t="array" aca="1" ref="Y128" ca="1">(1 + INDEX($F$76:$AI$78,MATCH($E128,_xlfn.ANCHORARRAY($D$76)),X$81)) * X128</f>
        <v>33.369361557418465</v>
      </c>
      <c r="Z128" s="313" cm="1">
        <f t="array" aca="1" ref="Z128" ca="1">(1 + INDEX($F$76:$AI$78,MATCH($E128,_xlfn.ANCHORARRAY($D$76)),Y$81)) * Y128</f>
        <v>33.892359869058311</v>
      </c>
      <c r="AA128" s="313" cm="1">
        <f t="array" aca="1" ref="AA128" ca="1">(1 + INDEX($F$76:$AI$78,MATCH($E128,_xlfn.ANCHORARRAY($D$76)),Z$81)) * Z128</f>
        <v>34.361177661313789</v>
      </c>
      <c r="AB128" s="313" cm="1">
        <f t="array" aca="1" ref="AB128" ca="1">(1 + INDEX($F$76:$AI$78,MATCH($E128,_xlfn.ANCHORARRAY($D$76)),AA$81)) * AA128</f>
        <v>34.773801146080004</v>
      </c>
      <c r="AC128" s="313" cm="1">
        <f t="array" aca="1" ref="AC128" ca="1">(1 + INDEX($F$76:$AI$78,MATCH($E128,_xlfn.ANCHORARRAY($D$76)),AB$81)) * AB128</f>
        <v>35.128067911852369</v>
      </c>
      <c r="AD128" s="313" cm="1">
        <f t="array" aca="1" ref="AD128" ca="1">(1 + INDEX($F$76:$AI$78,MATCH($E128,_xlfn.ANCHORARRAY($D$76)),AC$81)) * AC128</f>
        <v>35.422566760474432</v>
      </c>
      <c r="AE128" s="313" cm="1">
        <f t="array" aca="1" ref="AE128" ca="1">(1 + INDEX($F$76:$AI$78,MATCH($E128,_xlfn.ANCHORARRAY($D$76)),AD$81)) * AD128</f>
        <v>35.656488138611053</v>
      </c>
      <c r="AF128" s="313" cm="1">
        <f t="array" aca="1" ref="AF128" ca="1">(1 + INDEX($F$76:$AI$78,MATCH($E128,_xlfn.ANCHORARRAY($D$76)),AE$81)) * AE128</f>
        <v>35.828779444696103</v>
      </c>
      <c r="AG128" s="313" cm="1">
        <f t="array" aca="1" ref="AG128" ca="1">(1 + INDEX($F$76:$AI$78,MATCH($E128,_xlfn.ANCHORARRAY($D$76)),AF$81)) * AF128</f>
        <v>35.938502103104561</v>
      </c>
      <c r="AH128" s="313" cm="1">
        <f t="array" aca="1" ref="AH128" ca="1">(1 + INDEX($F$76:$AI$78,MATCH($E128,_xlfn.ANCHORARRAY($D$76)),AG$81)) * AG128</f>
        <v>35.985324158325149</v>
      </c>
      <c r="AI128" s="313" cm="1">
        <f t="array" aca="1" ref="AI128" ca="1">(1 + INDEX($F$76:$AI$78,MATCH($E128,_xlfn.ANCHORARRAY($D$76)),AH$81)) * AH128</f>
        <v>35.969217612121035</v>
      </c>
      <c r="AJ128" s="313" cm="1">
        <f t="array" aca="1" ref="AJ128" ca="1">(1 + INDEX($F$76:$AI$78,MATCH($E128,_xlfn.ANCHORARRAY($D$76)),AI$81)) * AI128</f>
        <v>35.889865585049151</v>
      </c>
      <c r="AK128" s="313" cm="1">
        <f t="array" aca="1" ref="AK128" ca="1">(1 + INDEX($F$76:$AI$78,MATCH($E128,_xlfn.ANCHORARRAY($D$76)),AJ$81)) * AJ128</f>
        <v>35.747107897338019</v>
      </c>
      <c r="AL128" s="313" cm="1">
        <f t="array" aca="1" ref="AL128" ca="1">(1 + INDEX($F$76:$AI$78,MATCH($E128,_xlfn.ANCHORARRAY($D$76)),AK$81)) * AK128</f>
        <v>35.541063494440742</v>
      </c>
    </row>
    <row r="129" spans="1:38">
      <c r="B129" s="97">
        <v>4</v>
      </c>
      <c r="C129" s="324">
        <v>11</v>
      </c>
      <c r="D129" s="322" t="str">
        <v>Motocicleta</v>
      </c>
      <c r="E129" s="322" t="str">
        <v>Leves</v>
      </c>
      <c r="F129" s="318" cm="1">
        <f t="array" aca="1" ref="F129" ca="1">INDEX('Painel Controle'!F$110:I$121,Tráfego!C129,Tráfego!B129) / SUM(_xlfn._xlws.FILTER(OFFSET('Painel Controle'!F$110:F$121,,Tráfego!B129-1),'Painel Controle'!D$110:D$121=Tráfego!E129))</f>
        <v>0.13307379224915944</v>
      </c>
      <c r="G129" s="356" cm="1">
        <f t="array" aca="1" ref="G129" ca="1">INDEX(C$4:E$7,B129,MATCH(E129,_xlfn.ANCHORARRAY(C$3))) * F129</f>
        <v>807.46464301811625</v>
      </c>
      <c r="H129" s="142" cm="1">
        <f t="array" aca="1" ref="H129" ca="1">INDEX(C$4:E$7,B129,MATCH(E129,_xlfn.ANCHORARRAY(C$3))) * F129 * (1 + INDEX(E$76:E$78,MATCH(E129,_xlfn.ANCHORARRAY(D$76),0)))</f>
        <v>849.46600636596895</v>
      </c>
      <c r="I129" s="313" cm="1">
        <f t="array" aca="1" ref="I129" ca="1">(1 + INDEX($F$76:$AI$78,MATCH($E129,_xlfn.ANCHORARRAY($D$76)),H$81)) * H129</f>
        <v>885.51273380612145</v>
      </c>
      <c r="J129" s="313" cm="1">
        <f t="array" aca="1" ref="J129" ca="1">(1 + INDEX($F$76:$AI$78,MATCH($E129,_xlfn.ANCHORARRAY($D$76)),I$81)) * I129</f>
        <v>922.13936590974322</v>
      </c>
      <c r="K129" s="313" cm="1">
        <f t="array" aca="1" ref="K129" ca="1">(1 + INDEX($F$76:$AI$78,MATCH($E129,_xlfn.ANCHORARRAY($D$76)),J$81)) * J129</f>
        <v>960.20629110963898</v>
      </c>
      <c r="L129" s="313" cm="1">
        <f t="array" aca="1" ref="L129" ca="1">(1 + INDEX($F$76:$AI$78,MATCH($E129,_xlfn.ANCHORARRAY($D$76)),K$81)) * K129</f>
        <v>1000.0530706069403</v>
      </c>
      <c r="M129" s="313" cm="1">
        <f t="array" aca="1" ref="M129" ca="1">(1 + INDEX($F$76:$AI$78,MATCH($E129,_xlfn.ANCHORARRAY($D$76)),L$81)) * L129</f>
        <v>1041.6761213991599</v>
      </c>
      <c r="N129" s="313" cm="1">
        <f t="array" aca="1" ref="N129" ca="1">(1 + INDEX($F$76:$AI$78,MATCH($E129,_xlfn.ANCHORARRAY($D$76)),M$81)) * M129</f>
        <v>1084.8264503993839</v>
      </c>
      <c r="O129" s="313" cm="1">
        <f t="array" aca="1" ref="O129" ca="1">(1 + INDEX($F$76:$AI$78,MATCH($E129,_xlfn.ANCHORARRAY($D$76)),N$81)) * N129</f>
        <v>1129.0481485057542</v>
      </c>
      <c r="P129" s="313" cm="1">
        <f t="array" aca="1" ref="P129" ca="1">(1 + INDEX($F$76:$AI$78,MATCH($E129,_xlfn.ANCHORARRAY($D$76)),O$81)) * O129</f>
        <v>1173.9859686701859</v>
      </c>
      <c r="Q129" s="313" cm="1">
        <f t="array" aca="1" ref="Q129" ca="1">(1 + INDEX($F$76:$AI$78,MATCH($E129,_xlfn.ANCHORARRAY($D$76)),P$81)) * P129</f>
        <v>1219.3132145425309</v>
      </c>
      <c r="R129" s="313" cm="1">
        <f t="array" aca="1" ref="R129" ca="1">(1 + INDEX($F$76:$AI$78,MATCH($E129,_xlfn.ANCHORARRAY($D$76)),Q$81)) * Q129</f>
        <v>1264.7198822555215</v>
      </c>
      <c r="S129" s="313" cm="1">
        <f t="array" aca="1" ref="S129" ca="1">(1 + INDEX($F$76:$AI$78,MATCH($E129,_xlfn.ANCHORARRAY($D$76)),R$81)) * R129</f>
        <v>1309.8719860011795</v>
      </c>
      <c r="T129" s="313" cm="1">
        <f t="array" aca="1" ref="T129" ca="1">(1 + INDEX($F$76:$AI$78,MATCH($E129,_xlfn.ANCHORARRAY($D$76)),S$81)) * S129</f>
        <v>1354.4377445504783</v>
      </c>
      <c r="U129" s="313" cm="1">
        <f t="array" aca="1" ref="U129" ca="1">(1 + INDEX($F$76:$AI$78,MATCH($E129,_xlfn.ANCHORARRAY($D$76)),T$81)) * T129</f>
        <v>1398.1479777370898</v>
      </c>
      <c r="V129" s="313" cm="1">
        <f t="array" aca="1" ref="V129" ca="1">(1 + INDEX($F$76:$AI$78,MATCH($E129,_xlfn.ANCHORARRAY($D$76)),U$81)) * U129</f>
        <v>1440.7345819978043</v>
      </c>
      <c r="W129" s="313" cm="1">
        <f t="array" aca="1" ref="W129" ca="1">(1 + INDEX($F$76:$AI$78,MATCH($E129,_xlfn.ANCHORARRAY($D$76)),V$81)) * V129</f>
        <v>1481.9175509050733</v>
      </c>
      <c r="X129" s="313" cm="1">
        <f t="array" aca="1" ref="X129" ca="1">(1 + INDEX($F$76:$AI$78,MATCH($E129,_xlfn.ANCHORARRAY($D$76)),W$81)) * W129</f>
        <v>1521.4267709573853</v>
      </c>
      <c r="Y129" s="313" cm="1">
        <f t="array" aca="1" ref="Y129" ca="1">(1 + INDEX($F$76:$AI$78,MATCH($E129,_xlfn.ANCHORARRAY($D$76)),X$81)) * X129</f>
        <v>1559.0588851827285</v>
      </c>
      <c r="Z129" s="313" cm="1">
        <f t="array" aca="1" ref="Z129" ca="1">(1 + INDEX($F$76:$AI$78,MATCH($E129,_xlfn.ANCHORARRAY($D$76)),Y$81)) * Y129</f>
        <v>1594.6368217920012</v>
      </c>
      <c r="AA129" s="313" cm="1">
        <f t="array" aca="1" ref="AA129" ca="1">(1 + INDEX($F$76:$AI$78,MATCH($E129,_xlfn.ANCHORARRAY($D$76)),Z$81)) * Z129</f>
        <v>1627.9740882926922</v>
      </c>
      <c r="AB129" s="313" cm="1">
        <f t="array" aca="1" ref="AB129" ca="1">(1 + INDEX($F$76:$AI$78,MATCH($E129,_xlfn.ANCHORARRAY($D$76)),AA$81)) * AA129</f>
        <v>1658.9077114871022</v>
      </c>
      <c r="AC129" s="313" cm="1">
        <f t="array" aca="1" ref="AC129" ca="1">(1 + INDEX($F$76:$AI$78,MATCH($E129,_xlfn.ANCHORARRAY($D$76)),AB$81)) * AB129</f>
        <v>1687.2671627600096</v>
      </c>
      <c r="AD129" s="313" cm="1">
        <f t="array" aca="1" ref="AD129" ca="1">(1 + INDEX($F$76:$AI$78,MATCH($E129,_xlfn.ANCHORARRAY($D$76)),AC$81)) * AC129</f>
        <v>1712.9180331214366</v>
      </c>
      <c r="AE129" s="313" cm="1">
        <f t="array" aca="1" ref="AE129" ca="1">(1 + INDEX($F$76:$AI$78,MATCH($E129,_xlfn.ANCHORARRAY($D$76)),AD$81)) * AD129</f>
        <v>1735.7561774710944</v>
      </c>
      <c r="AF129" s="313" cm="1">
        <f t="array" aca="1" ref="AF129" ca="1">(1 + INDEX($F$76:$AI$78,MATCH($E129,_xlfn.ANCHORARRAY($D$76)),AE$81)) * AE129</f>
        <v>1755.6672747684979</v>
      </c>
      <c r="AG129" s="313" cm="1">
        <f t="array" aca="1" ref="AG129" ca="1">(1 + INDEX($F$76:$AI$78,MATCH($E129,_xlfn.ANCHORARRAY($D$76)),AF$81)) * AF129</f>
        <v>1772.5427767868214</v>
      </c>
      <c r="AH129" s="313" cm="1">
        <f t="array" aca="1" ref="AH129" ca="1">(1 + INDEX($F$76:$AI$78,MATCH($E129,_xlfn.ANCHORARRAY($D$76)),AG$81)) * AG129</f>
        <v>1786.3040093471386</v>
      </c>
      <c r="AI129" s="313" cm="1">
        <f t="array" aca="1" ref="AI129" ca="1">(1 + INDEX($F$76:$AI$78,MATCH($E129,_xlfn.ANCHORARRAY($D$76)),AH$81)) * AH129</f>
        <v>1796.8862621550411</v>
      </c>
      <c r="AJ129" s="313" cm="1">
        <f t="array" aca="1" ref="AJ129" ca="1">(1 + INDEX($F$76:$AI$78,MATCH($E129,_xlfn.ANCHORARRAY($D$76)),AI$81)) * AI129</f>
        <v>1804.2096512805972</v>
      </c>
      <c r="AK129" s="313" cm="1">
        <f t="array" aca="1" ref="AK129" ca="1">(1 + INDEX($F$76:$AI$78,MATCH($E129,_xlfn.ANCHORARRAY($D$76)),AJ$81)) * AJ129</f>
        <v>1808.2023739920794</v>
      </c>
      <c r="AL129" s="313" cm="1">
        <f t="array" aca="1" ref="AL129" ca="1">(1 + INDEX($F$76:$AI$78,MATCH($E129,_xlfn.ANCHORARRAY($D$76)),AK$81)) * AK129</f>
        <v>1808.8080421740742</v>
      </c>
    </row>
    <row r="130" spans="1:38">
      <c r="B130" s="46">
        <v>4</v>
      </c>
      <c r="C130" s="180">
        <v>12</v>
      </c>
      <c r="D130" s="250" t="str">
        <v xml:space="preserve">Veículos do transporte público coletivo intermunicipal e metropolitano </v>
      </c>
      <c r="E130" s="250" t="str">
        <v>Pesados I</v>
      </c>
      <c r="F130" s="318" cm="1">
        <f t="array" aca="1" ref="F130" ca="1">INDEX('Painel Controle'!F$110:I$121,Tráfego!C130,Tráfego!B130) / SUM(_xlfn._xlws.FILTER(OFFSET('Painel Controle'!F$110:F$121,,Tráfego!B130-1),'Painel Controle'!D$110:D$121=Tráfego!E130))</f>
        <v>3.3040317893167025E-3</v>
      </c>
      <c r="G130" s="356" cm="1">
        <f t="array" aca="1" ref="G130" ca="1">INDEX(C$4:E$7,B130,MATCH(E130,_xlfn.ANCHORARRAY(C$3))) * F130</f>
        <v>2.8630136986301369</v>
      </c>
      <c r="H130" s="142" cm="1">
        <f t="array" aca="1" ref="H130" ca="1">INDEX(C$4:E$7,B130,MATCH(E130,_xlfn.ANCHORARRAY(C$3))) * F130 * (1 + INDEX(E$76:E$78,MATCH(E130,_xlfn.ANCHORARRAY(D$76),0)))</f>
        <v>2.9492431774452164</v>
      </c>
      <c r="I130" s="313" cm="1">
        <f t="array" aca="1" ref="I130" ca="1">(1 + INDEX($F$76:$AI$78,MATCH($E130,_xlfn.ANCHORARRAY($D$76)),H$81)) * H130</f>
        <v>3.0255511568177278</v>
      </c>
      <c r="J130" s="313" cm="1">
        <f t="array" aca="1" ref="J130" ca="1">(1 + INDEX($F$76:$AI$78,MATCH($E130,_xlfn.ANCHORARRAY($D$76)),I$81)) * I130</f>
        <v>3.1002703604259523</v>
      </c>
      <c r="K130" s="313" cm="1">
        <f t="array" aca="1" ref="K130" ca="1">(1 + INDEX($F$76:$AI$78,MATCH($E130,_xlfn.ANCHORARRAY($D$76)),J$81)) * J130</f>
        <v>3.1742629014247168</v>
      </c>
      <c r="L130" s="313" cm="1">
        <f t="array" aca="1" ref="L130" ca="1">(1 + INDEX($F$76:$AI$78,MATCH($E130,_xlfn.ANCHORARRAY($D$76)),K$81)) * K130</f>
        <v>3.2477179153490838</v>
      </c>
      <c r="M130" s="313" cm="1">
        <f t="array" aca="1" ref="M130" ca="1">(1 + INDEX($F$76:$AI$78,MATCH($E130,_xlfn.ANCHORARRAY($D$76)),L$81)) * L130</f>
        <v>3.3204161590687504</v>
      </c>
      <c r="N130" s="313" cm="1">
        <f t="array" aca="1" ref="N130" ca="1">(1 + INDEX($F$76:$AI$78,MATCH($E130,_xlfn.ANCHORARRAY($D$76)),M$81)) * M130</f>
        <v>3.3918223804318295</v>
      </c>
      <c r="O130" s="313" cm="1">
        <f t="array" aca="1" ref="O130" ca="1">(1 + INDEX($F$76:$AI$78,MATCH($E130,_xlfn.ANCHORARRAY($D$76)),N$81)) * N130</f>
        <v>3.4611820977141425</v>
      </c>
      <c r="P130" s="313" cm="1">
        <f t="array" aca="1" ref="P130" ca="1">(1 + INDEX($F$76:$AI$78,MATCH($E130,_xlfn.ANCHORARRAY($D$76)),O$81)) * O130</f>
        <v>3.5279578786739418</v>
      </c>
      <c r="Q130" s="313" cm="1">
        <f t="array" aca="1" ref="Q130" ca="1">(1 + INDEX($F$76:$AI$78,MATCH($E130,_xlfn.ANCHORARRAY($D$76)),P$81)) * P130</f>
        <v>3.5916796343755499</v>
      </c>
      <c r="R130" s="313" cm="1">
        <f t="array" aca="1" ref="R130" ca="1">(1 + INDEX($F$76:$AI$78,MATCH($E130,_xlfn.ANCHORARRAY($D$76)),Q$81)) * Q130</f>
        <v>3.6519403470773835</v>
      </c>
      <c r="S130" s="313" cm="1">
        <f t="array" aca="1" ref="S130" ca="1">(1 + INDEX($F$76:$AI$78,MATCH($E130,_xlfn.ANCHORARRAY($D$76)),R$81)) * R130</f>
        <v>3.7083146196005465</v>
      </c>
      <c r="T130" s="313" cm="1">
        <f t="array" aca="1" ref="T130" ca="1">(1 + INDEX($F$76:$AI$78,MATCH($E130,_xlfn.ANCHORARRAY($D$76)),S$81)) * S130</f>
        <v>3.7604082430423387</v>
      </c>
      <c r="U130" s="313" cm="1">
        <f t="array" aca="1" ref="U130" ca="1">(1 + INDEX($F$76:$AI$78,MATCH($E130,_xlfn.ANCHORARRAY($D$76)),T$81)) * T130</f>
        <v>3.8079709187312472</v>
      </c>
      <c r="V130" s="313" cm="1">
        <f t="array" aca="1" ref="V130" ca="1">(1 + INDEX($F$76:$AI$78,MATCH($E130,_xlfn.ANCHORARRAY($D$76)),U$81)) * U130</f>
        <v>3.8507797148885867</v>
      </c>
      <c r="W130" s="313" cm="1">
        <f t="array" aca="1" ref="W130" ca="1">(1 + INDEX($F$76:$AI$78,MATCH($E130,_xlfn.ANCHORARRAY($D$76)),V$81)) * V130</f>
        <v>3.888618725714625</v>
      </c>
      <c r="X130" s="313" cm="1">
        <f t="array" aca="1" ref="X130" ca="1">(1 + INDEX($F$76:$AI$78,MATCH($E130,_xlfn.ANCHORARRAY($D$76)),W$81)) * W130</f>
        <v>3.9213013896300462</v>
      </c>
      <c r="Y130" s="313" cm="1">
        <f t="array" aca="1" ref="Y130" ca="1">(1 + INDEX($F$76:$AI$78,MATCH($E130,_xlfn.ANCHORARRAY($D$76)),X$81)) * X130</f>
        <v>3.9487661163813685</v>
      </c>
      <c r="Z130" s="313" cm="1">
        <f t="array" aca="1" ref="Z130" ca="1">(1 + INDEX($F$76:$AI$78,MATCH($E130,_xlfn.ANCHORARRAY($D$76)),Y$81)) * Y130</f>
        <v>3.9709888952242554</v>
      </c>
      <c r="AA130" s="313" cm="1">
        <f t="array" aca="1" ref="AA130" ca="1">(1 + INDEX($F$76:$AI$78,MATCH($E130,_xlfn.ANCHORARRAY($D$76)),Z$81)) * Z130</f>
        <v>3.9879231111337723</v>
      </c>
      <c r="AB130" s="313" cm="1">
        <f t="array" aca="1" ref="AB130" ca="1">(1 + INDEX($F$76:$AI$78,MATCH($E130,_xlfn.ANCHORARRAY($D$76)),AA$81)) * AA130</f>
        <v>3.9995654862312997</v>
      </c>
      <c r="AC130" s="313" cm="1">
        <f t="array" aca="1" ref="AC130" ca="1">(1 + INDEX($F$76:$AI$78,MATCH($E130,_xlfn.ANCHORARRAY($D$76)),AB$81)) * AB130</f>
        <v>4.0058888703174365</v>
      </c>
      <c r="AD130" s="313" cm="1">
        <f t="array" aca="1" ref="AD130" ca="1">(1 + INDEX($F$76:$AI$78,MATCH($E130,_xlfn.ANCHORARRAY($D$76)),AC$81)) * AC130</f>
        <v>4.0069215708401167</v>
      </c>
      <c r="AE130" s="313" cm="1">
        <f t="array" aca="1" ref="AE130" ca="1">(1 + INDEX($F$76:$AI$78,MATCH($E130,_xlfn.ANCHORARRAY($D$76)),AD$81)) * AD130</f>
        <v>4.0027316434312992</v>
      </c>
      <c r="AF130" s="313" cm="1">
        <f t="array" aca="1" ref="AF130" ca="1">(1 + INDEX($F$76:$AI$78,MATCH($E130,_xlfn.ANCHORARRAY($D$76)),AE$81)) * AE130</f>
        <v>3.9933523183114348</v>
      </c>
      <c r="AG130" s="313" cm="1">
        <f t="array" aca="1" ref="AG130" ca="1">(1 + INDEX($F$76:$AI$78,MATCH($E130,_xlfn.ANCHORARRAY($D$76)),AF$81)) * AF130</f>
        <v>3.9788167893278819</v>
      </c>
      <c r="AH130" s="313" cm="1">
        <f t="array" aca="1" ref="AH130" ca="1">(1 + INDEX($F$76:$AI$78,MATCH($E130,_xlfn.ANCHORARRAY($D$76)),AG$81)) * AG130</f>
        <v>3.9592014548466019</v>
      </c>
      <c r="AI130" s="313" cm="1">
        <f t="array" aca="1" ref="AI130" ca="1">(1 + INDEX($F$76:$AI$78,MATCH($E130,_xlfn.ANCHORARRAY($D$76)),AH$81)) * AH130</f>
        <v>3.9346023473144554</v>
      </c>
      <c r="AJ130" s="313" cm="1">
        <f t="array" aca="1" ref="AJ130" ca="1">(1 + INDEX($F$76:$AI$78,MATCH($E130,_xlfn.ANCHORARRAY($D$76)),AI$81)) * AI130</f>
        <v>3.9050839552619352</v>
      </c>
      <c r="AK130" s="313" cm="1">
        <f t="array" aca="1" ref="AK130" ca="1">(1 + INDEX($F$76:$AI$78,MATCH($E130,_xlfn.ANCHORARRAY($D$76)),AJ$81)) * AJ130</f>
        <v>3.870715234952792</v>
      </c>
      <c r="AL130" s="313" cm="1">
        <f t="array" aca="1" ref="AL130" ca="1">(1 + INDEX($F$76:$AI$78,MATCH($E130,_xlfn.ANCHORARRAY($D$76)),AK$81)) * AK130</f>
        <v>3.8315780410994789</v>
      </c>
    </row>
    <row r="131" spans="1:38">
      <c r="A131" s="134"/>
      <c r="B131" s="134"/>
      <c r="C131" s="134"/>
      <c r="D131" s="134"/>
      <c r="E131" s="307"/>
      <c r="F131" s="307"/>
      <c r="G131" s="339"/>
      <c r="H131" s="307"/>
      <c r="I131" s="307"/>
      <c r="J131" s="307"/>
      <c r="K131" s="307"/>
      <c r="L131" s="307"/>
      <c r="M131" s="307"/>
      <c r="N131" s="307"/>
      <c r="O131" s="307"/>
      <c r="P131" s="307"/>
      <c r="Q131" s="307"/>
      <c r="R131" s="307"/>
      <c r="S131" s="307"/>
      <c r="T131" s="307"/>
      <c r="U131" s="307"/>
      <c r="V131" s="307"/>
      <c r="W131" s="307"/>
      <c r="X131" s="307"/>
      <c r="Y131" s="307"/>
      <c r="Z131" s="307"/>
      <c r="AA131" s="307"/>
      <c r="AB131" s="307"/>
      <c r="AC131" s="307"/>
      <c r="AD131" s="307"/>
      <c r="AE131" s="307"/>
      <c r="AF131" s="307"/>
      <c r="AG131" s="307"/>
      <c r="AH131" s="307"/>
      <c r="AI131" s="307"/>
      <c r="AJ131" s="134"/>
    </row>
    <row r="132" spans="1:38">
      <c r="B132" s="2" t="s">
        <v>553</v>
      </c>
    </row>
    <row r="133" spans="1:38">
      <c r="B133" s="46" t="str" cm="1">
        <f t="array" ref="B133:B137">'Painel Controle'!B$68:B$72</f>
        <v>Pórtico</v>
      </c>
      <c r="C133" s="46" t="str" cm="1">
        <f t="array" ref="C133:E133">TRANSPOSE(_xlfn.UNIQUE('Painel Controle'!E93:E103))</f>
        <v>Leves</v>
      </c>
      <c r="D133" s="46" t="str">
        <v>Pesados I</v>
      </c>
      <c r="E133" s="46" t="str">
        <v>Pesados II</v>
      </c>
    </row>
    <row r="134" spans="1:38">
      <c r="B134" s="149">
        <v>1</v>
      </c>
      <c r="C134" s="132">
        <v>4.1398426323319026E-2</v>
      </c>
      <c r="D134" s="132">
        <v>5.379098360655743E-2</v>
      </c>
      <c r="E134" s="132">
        <v>5.5693069306930743E-2</v>
      </c>
    </row>
    <row r="135" spans="1:38">
      <c r="B135" s="149">
        <v>2</v>
      </c>
      <c r="C135" s="132">
        <v>4.0490447676076458E-2</v>
      </c>
      <c r="D135" s="132">
        <v>7.0700203942896001E-2</v>
      </c>
      <c r="E135" s="132">
        <v>7.1202531645569667E-2</v>
      </c>
    </row>
    <row r="136" spans="1:38">
      <c r="B136" s="149">
        <v>3</v>
      </c>
      <c r="C136" s="132">
        <v>0.12642400666851905</v>
      </c>
      <c r="D136" s="132">
        <v>0.20338983050847459</v>
      </c>
      <c r="E136" s="132">
        <v>0.53694581280788178</v>
      </c>
    </row>
    <row r="137" spans="1:38">
      <c r="B137" s="149">
        <v>4</v>
      </c>
      <c r="C137" s="132">
        <v>1.7288599794590853E-2</v>
      </c>
      <c r="D137" s="132">
        <v>1.5247776365946653E-2</v>
      </c>
      <c r="E137" s="132">
        <v>0.375</v>
      </c>
    </row>
    <row r="138" spans="1:38">
      <c r="B138" s="382" t="s">
        <v>214</v>
      </c>
    </row>
    <row r="140" spans="1:38">
      <c r="B140" s="2" t="s">
        <v>554</v>
      </c>
    </row>
    <row r="141" spans="1:38">
      <c r="B141" s="48" t="str" cm="1">
        <f t="array" ref="B141:E189">B$82:E$130</f>
        <v>Pórtico</v>
      </c>
      <c r="C141" s="48" t="str">
        <v>Categoria</v>
      </c>
      <c r="D141" s="48" t="str">
        <v>Categoria de Veículo</v>
      </c>
      <c r="E141" s="48" t="str">
        <v>Grupo</v>
      </c>
      <c r="F141" s="383" t="s">
        <v>555</v>
      </c>
      <c r="G141" s="48" t="str" cm="1">
        <f t="array" ref="G141:AK141">H82:AL82</f>
        <v>Ano 0</v>
      </c>
      <c r="H141" s="48" t="str">
        <v>Ano 1</v>
      </c>
      <c r="I141" s="48" t="str">
        <v>Ano 2</v>
      </c>
      <c r="J141" s="48" t="str">
        <v>Ano 3</v>
      </c>
      <c r="K141" s="48" t="str">
        <v>Ano 4</v>
      </c>
      <c r="L141" s="48" t="str">
        <v>Ano 5</v>
      </c>
      <c r="M141" s="48" t="str">
        <v>Ano 6</v>
      </c>
      <c r="N141" s="48" t="str">
        <v>Ano 7</v>
      </c>
      <c r="O141" s="48" t="str">
        <v>Ano 8</v>
      </c>
      <c r="P141" s="48" t="str">
        <v>Ano 9</v>
      </c>
      <c r="Q141" s="48" t="str">
        <v>Ano 10</v>
      </c>
      <c r="R141" s="48" t="str">
        <v>Ano 11</v>
      </c>
      <c r="S141" s="48" t="str">
        <v>Ano 12</v>
      </c>
      <c r="T141" s="48" t="str">
        <v>Ano 13</v>
      </c>
      <c r="U141" s="48" t="str">
        <v>Ano 14</v>
      </c>
      <c r="V141" s="48" t="str">
        <v>Ano 15</v>
      </c>
      <c r="W141" s="48" t="str">
        <v>Ano 16</v>
      </c>
      <c r="X141" s="48" t="str">
        <v>Ano 17</v>
      </c>
      <c r="Y141" s="48" t="str">
        <v>Ano 18</v>
      </c>
      <c r="Z141" s="48" t="str">
        <v>Ano 19</v>
      </c>
      <c r="AA141" s="48" t="str">
        <v>Ano 20</v>
      </c>
      <c r="AB141" s="48" t="str">
        <v>Ano 21</v>
      </c>
      <c r="AC141" s="48" t="str">
        <v>Ano 22</v>
      </c>
      <c r="AD141" s="48" t="str">
        <v>Ano 23</v>
      </c>
      <c r="AE141" s="48" t="str">
        <v>Ano 24</v>
      </c>
      <c r="AF141" s="48" t="str">
        <v>Ano 25</v>
      </c>
      <c r="AG141" s="48" t="str">
        <v>Ano 26</v>
      </c>
      <c r="AH141" s="48" t="str">
        <v>Ano 27</v>
      </c>
      <c r="AI141" s="48" t="str">
        <v>Ano 28</v>
      </c>
      <c r="AJ141" s="48" t="str">
        <v>Ano 29</v>
      </c>
      <c r="AK141" s="48" t="str">
        <v>Ano 30</v>
      </c>
    </row>
    <row r="142" spans="1:38">
      <c r="B142" s="329">
        <v>1</v>
      </c>
      <c r="C142" s="329">
        <v>1</v>
      </c>
      <c r="D142" s="330" t="str">
        <v>Automóvel</v>
      </c>
      <c r="E142" s="330" t="str">
        <v>Leves</v>
      </c>
      <c r="F142" s="51" cm="1">
        <f t="array" ref="F142">INDEX(C$134:E$137,B142,MATCH(E142,_xlfn.ANCHORARRAY(C$133)))</f>
        <v>4.1398426323319026E-2</v>
      </c>
      <c r="G142" s="373" cm="1">
        <f t="array" aca="1" ref="G142:AK189" ca="1">H83:AL130 * (1 - F142:F189)</f>
        <v>10094.747372789907</v>
      </c>
      <c r="H142" s="373">
        <f ca="1"/>
        <v>10523.113669259908</v>
      </c>
      <c r="I142" s="373">
        <f ca="1"/>
        <v>10958.371343412073</v>
      </c>
      <c r="J142" s="373">
        <f ca="1"/>
        <v>11410.744940792123</v>
      </c>
      <c r="K142" s="373">
        <f ca="1"/>
        <v>11884.269684136856</v>
      </c>
      <c r="L142" s="373">
        <f ca="1"/>
        <v>12378.902994338134</v>
      </c>
      <c r="M142" s="373">
        <f ca="1"/>
        <v>12891.685927434541</v>
      </c>
      <c r="N142" s="373">
        <f ca="1"/>
        <v>13417.200624237212</v>
      </c>
      <c r="O142" s="373">
        <f ca="1"/>
        <v>13951.225457066563</v>
      </c>
      <c r="P142" s="373">
        <f ca="1"/>
        <v>14489.878084430826</v>
      </c>
      <c r="Q142" s="373">
        <f ca="1"/>
        <v>15029.474532279006</v>
      </c>
      <c r="R142" s="373">
        <f ca="1"/>
        <v>15566.04583383389</v>
      </c>
      <c r="S142" s="373">
        <f ca="1"/>
        <v>16095.649220738704</v>
      </c>
      <c r="T142" s="373">
        <f ca="1"/>
        <v>16615.085853067561</v>
      </c>
      <c r="U142" s="373">
        <f ca="1"/>
        <v>17121.169684857385</v>
      </c>
      <c r="V142" s="373">
        <f ca="1"/>
        <v>17610.573220802104</v>
      </c>
      <c r="W142" s="373">
        <f ca="1"/>
        <v>18080.086529557426</v>
      </c>
      <c r="X142" s="373">
        <f ca="1"/>
        <v>18527.292990277347</v>
      </c>
      <c r="Y142" s="373">
        <f ca="1"/>
        <v>18950.088345740944</v>
      </c>
      <c r="Z142" s="373">
        <f ca="1"/>
        <v>19346.256386488723</v>
      </c>
      <c r="AA142" s="373">
        <f ca="1"/>
        <v>19713.860397870565</v>
      </c>
      <c r="AB142" s="373">
        <f ca="1"/>
        <v>20050.873879381921</v>
      </c>
      <c r="AC142" s="373">
        <f ca="1"/>
        <v>20355.699563105907</v>
      </c>
      <c r="AD142" s="373">
        <f ca="1"/>
        <v>20627.099826265796</v>
      </c>
      <c r="AE142" s="373">
        <f ca="1"/>
        <v>20863.716118884964</v>
      </c>
      <c r="AF142" s="373">
        <f ca="1"/>
        <v>21064.258493020403</v>
      </c>
      <c r="AG142" s="373">
        <f ca="1"/>
        <v>21227.792013130173</v>
      </c>
      <c r="AH142" s="373">
        <f ca="1"/>
        <v>21353.547685435147</v>
      </c>
      <c r="AI142" s="373">
        <f ca="1"/>
        <v>21440.576198149141</v>
      </c>
      <c r="AJ142" s="373">
        <f ca="1"/>
        <v>21488.024273528215</v>
      </c>
      <c r="AK142" s="373">
        <f ca="1"/>
        <v>21495.221815564215</v>
      </c>
    </row>
    <row r="143" spans="1:38">
      <c r="B143" s="329">
        <v>1</v>
      </c>
      <c r="C143" s="329">
        <v>2</v>
      </c>
      <c r="D143" s="330" t="str">
        <v xml:space="preserve">Automóvel com reboque </v>
      </c>
      <c r="E143" s="330" t="str">
        <v>Leves</v>
      </c>
      <c r="F143" s="51" cm="1">
        <f t="array" ref="F143">INDEX(C$134:E$137,B143,MATCH(E143,_xlfn.ANCHORARRAY(C$133)))</f>
        <v>4.1398426323319026E-2</v>
      </c>
      <c r="G143" s="373">
        <f ca="1"/>
        <v>26.52523709066417</v>
      </c>
      <c r="H143" s="373">
        <f ca="1"/>
        <v>27.650824206013272</v>
      </c>
      <c r="I143" s="373">
        <f ca="1"/>
        <v>28.794519295752441</v>
      </c>
      <c r="J143" s="373">
        <f ca="1"/>
        <v>29.983188658237555</v>
      </c>
      <c r="K143" s="373">
        <f ca="1"/>
        <v>31.227435356215462</v>
      </c>
      <c r="L143" s="373">
        <f ca="1"/>
        <v>32.527147507645253</v>
      </c>
      <c r="M143" s="373">
        <f ca="1"/>
        <v>33.874550109625297</v>
      </c>
      <c r="N143" s="373">
        <f ca="1"/>
        <v>35.255407045668356</v>
      </c>
      <c r="O143" s="373">
        <f ca="1"/>
        <v>36.658625450249978</v>
      </c>
      <c r="P143" s="373">
        <f ca="1"/>
        <v>38.07400397560653</v>
      </c>
      <c r="Q143" s="373">
        <f ca="1"/>
        <v>39.491862509742134</v>
      </c>
      <c r="R143" s="373">
        <f ca="1"/>
        <v>40.901772085899864</v>
      </c>
      <c r="S143" s="373">
        <f ca="1"/>
        <v>42.293372577016115</v>
      </c>
      <c r="T143" s="373">
        <f ca="1"/>
        <v>43.658258622925274</v>
      </c>
      <c r="U143" s="373">
        <f ca="1"/>
        <v>44.988058481231874</v>
      </c>
      <c r="V143" s="373">
        <f ca="1"/>
        <v>46.274028733338859</v>
      </c>
      <c r="W143" s="373">
        <f ca="1"/>
        <v>47.507734874963205</v>
      </c>
      <c r="X143" s="373">
        <f ca="1"/>
        <v>48.682826926404445</v>
      </c>
      <c r="Y143" s="373">
        <f ca="1"/>
        <v>49.79377568325323</v>
      </c>
      <c r="Z143" s="373">
        <f ca="1"/>
        <v>50.834757772305203</v>
      </c>
      <c r="AA143" s="373">
        <f ca="1"/>
        <v>51.800684228638865</v>
      </c>
      <c r="AB143" s="373">
        <f ca="1"/>
        <v>52.68623016354109</v>
      </c>
      <c r="AC143" s="373">
        <f ca="1"/>
        <v>53.487198551704708</v>
      </c>
      <c r="AD143" s="373">
        <f ca="1"/>
        <v>54.200337381329042</v>
      </c>
      <c r="AE143" s="373">
        <f ca="1"/>
        <v>54.822076888962002</v>
      </c>
      <c r="AF143" s="373">
        <f ca="1"/>
        <v>55.34902757175032</v>
      </c>
      <c r="AG143" s="373">
        <f ca="1"/>
        <v>55.77873276723394</v>
      </c>
      <c r="AH143" s="373">
        <f ca="1"/>
        <v>56.109171846113369</v>
      </c>
      <c r="AI143" s="373">
        <f ca="1"/>
        <v>56.337850370512001</v>
      </c>
      <c r="AJ143" s="373">
        <f ca="1"/>
        <v>56.46252624425582</v>
      </c>
      <c r="AK143" s="373">
        <f ca="1"/>
        <v>56.481438704560631</v>
      </c>
    </row>
    <row r="144" spans="1:38">
      <c r="B144" s="329">
        <v>1</v>
      </c>
      <c r="C144" s="329">
        <v>3</v>
      </c>
      <c r="D144" s="330" t="str">
        <v>Veículos Comerciais com 2 Eixos</v>
      </c>
      <c r="E144" s="330" t="str">
        <v>Pesados I</v>
      </c>
      <c r="F144" s="51" cm="1">
        <f t="array" ref="F144">INDEX(C$134:E$137,B144,MATCH(E144,_xlfn.ANCHORARRAY(C$133)))</f>
        <v>5.379098360655743E-2</v>
      </c>
      <c r="G144" s="373">
        <f ca="1"/>
        <v>1331.2349828735776</v>
      </c>
      <c r="H144" s="373">
        <f ca="1"/>
        <v>1365.6790234294601</v>
      </c>
      <c r="I144" s="373">
        <f ca="1"/>
        <v>1399.4059193654837</v>
      </c>
      <c r="J144" s="373">
        <f ca="1"/>
        <v>1432.8048129536987</v>
      </c>
      <c r="K144" s="373">
        <f ca="1"/>
        <v>1465.9610765508871</v>
      </c>
      <c r="L144" s="373">
        <f ca="1"/>
        <v>1498.7757477767857</v>
      </c>
      <c r="M144" s="373">
        <f ca="1"/>
        <v>1531.0072234992081</v>
      </c>
      <c r="N144" s="373">
        <f ca="1"/>
        <v>1562.3149443255459</v>
      </c>
      <c r="O144" s="373">
        <f ca="1"/>
        <v>1592.4563230705135</v>
      </c>
      <c r="P144" s="373">
        <f ca="1"/>
        <v>1621.2191700981321</v>
      </c>
      <c r="Q144" s="373">
        <f ca="1"/>
        <v>1648.4197649677171</v>
      </c>
      <c r="R144" s="373">
        <f ca="1"/>
        <v>1673.866091093287</v>
      </c>
      <c r="S144" s="373">
        <f ca="1"/>
        <v>1697.3802097121627</v>
      </c>
      <c r="T144" s="373">
        <f ca="1"/>
        <v>1718.8491405349489</v>
      </c>
      <c r="U144" s="373">
        <f ca="1"/>
        <v>1738.1722561922752</v>
      </c>
      <c r="V144" s="373">
        <f ca="1"/>
        <v>1755.2521007144858</v>
      </c>
      <c r="W144" s="373">
        <f ca="1"/>
        <v>1770.0044635818292</v>
      </c>
      <c r="X144" s="373">
        <f ca="1"/>
        <v>1782.4015440687956</v>
      </c>
      <c r="Y144" s="373">
        <f ca="1"/>
        <v>1792.432504160035</v>
      </c>
      <c r="Z144" s="373">
        <f ca="1"/>
        <v>1800.0763026771215</v>
      </c>
      <c r="AA144" s="373">
        <f ca="1"/>
        <v>1805.3314600449824</v>
      </c>
      <c r="AB144" s="373">
        <f ca="1"/>
        <v>1808.185721155083</v>
      </c>
      <c r="AC144" s="373">
        <f ca="1"/>
        <v>1808.6518634769973</v>
      </c>
      <c r="AD144" s="373">
        <f ca="1"/>
        <v>1806.7606060910427</v>
      </c>
      <c r="AE144" s="373">
        <f ca="1"/>
        <v>1802.5269485171955</v>
      </c>
      <c r="AF144" s="373">
        <f ca="1"/>
        <v>1795.9658738572753</v>
      </c>
      <c r="AG144" s="373">
        <f ca="1"/>
        <v>1787.111866950708</v>
      </c>
      <c r="AH144" s="373">
        <f ca="1"/>
        <v>1776.00827510562</v>
      </c>
      <c r="AI144" s="373">
        <f ca="1"/>
        <v>1762.684207277299</v>
      </c>
      <c r="AJ144" s="373">
        <f ca="1"/>
        <v>1747.1707890749512</v>
      </c>
      <c r="AK144" s="373">
        <f ca="1"/>
        <v>1729.5049682340373</v>
      </c>
    </row>
    <row r="145" spans="2:37">
      <c r="B145" s="329">
        <v>1</v>
      </c>
      <c r="C145" s="329">
        <v>4</v>
      </c>
      <c r="D145" s="330" t="str">
        <v>Veículos Comerciais com 3 Eixos</v>
      </c>
      <c r="E145" s="330" t="str">
        <v>Pesados I</v>
      </c>
      <c r="F145" s="51" cm="1">
        <f t="array" ref="F145">INDEX(C$134:E$137,B145,MATCH(E145,_xlfn.ANCHORARRAY(C$133)))</f>
        <v>5.379098360655743E-2</v>
      </c>
      <c r="G145" s="373">
        <f ca="1"/>
        <v>363.93230841474974</v>
      </c>
      <c r="H145" s="373">
        <f ca="1"/>
        <v>373.34860182042263</v>
      </c>
      <c r="I145" s="373">
        <f ca="1"/>
        <v>382.56884261304816</v>
      </c>
      <c r="J145" s="373">
        <f ca="1"/>
        <v>391.69941429906288</v>
      </c>
      <c r="K145" s="373">
        <f ca="1"/>
        <v>400.76365592775414</v>
      </c>
      <c r="L145" s="373">
        <f ca="1"/>
        <v>409.73451321647553</v>
      </c>
      <c r="M145" s="373">
        <f ca="1"/>
        <v>418.54593683002486</v>
      </c>
      <c r="N145" s="373">
        <f ca="1"/>
        <v>427.10482482359231</v>
      </c>
      <c r="O145" s="373">
        <f ca="1"/>
        <v>435.34485884206509</v>
      </c>
      <c r="P145" s="373">
        <f ca="1"/>
        <v>443.20803059612018</v>
      </c>
      <c r="Q145" s="373">
        <f ca="1"/>
        <v>450.64411468983462</v>
      </c>
      <c r="R145" s="373">
        <f ca="1"/>
        <v>457.60061773151642</v>
      </c>
      <c r="S145" s="373">
        <f ca="1"/>
        <v>464.02889491728683</v>
      </c>
      <c r="T145" s="373">
        <f ca="1"/>
        <v>469.89805975599</v>
      </c>
      <c r="U145" s="373">
        <f ca="1"/>
        <v>475.1806027911469</v>
      </c>
      <c r="V145" s="373">
        <f ca="1"/>
        <v>479.84988156183806</v>
      </c>
      <c r="W145" s="373">
        <f ca="1"/>
        <v>483.88287464116297</v>
      </c>
      <c r="X145" s="373">
        <f ca="1"/>
        <v>487.27198188163385</v>
      </c>
      <c r="Y145" s="373">
        <f ca="1"/>
        <v>490.01424039240482</v>
      </c>
      <c r="Z145" s="373">
        <f ca="1"/>
        <v>492.10389794735852</v>
      </c>
      <c r="AA145" s="373">
        <f ca="1"/>
        <v>493.54055006105233</v>
      </c>
      <c r="AB145" s="373">
        <f ca="1"/>
        <v>494.32084643846207</v>
      </c>
      <c r="AC145" s="373">
        <f ca="1"/>
        <v>494.4482801773936</v>
      </c>
      <c r="AD145" s="373">
        <f ca="1"/>
        <v>493.93124924361274</v>
      </c>
      <c r="AE145" s="373">
        <f ca="1"/>
        <v>492.77385419787709</v>
      </c>
      <c r="AF145" s="373">
        <f ca="1"/>
        <v>490.98019111255758</v>
      </c>
      <c r="AG145" s="373">
        <f ca="1"/>
        <v>488.55968743463319</v>
      </c>
      <c r="AH145" s="373">
        <f ca="1"/>
        <v>485.52419342804137</v>
      </c>
      <c r="AI145" s="373">
        <f ca="1"/>
        <v>481.88166688342761</v>
      </c>
      <c r="AJ145" s="373">
        <f ca="1"/>
        <v>477.64061690320779</v>
      </c>
      <c r="AK145" s="373">
        <f ca="1"/>
        <v>472.81114423956325</v>
      </c>
    </row>
    <row r="146" spans="2:37">
      <c r="B146" s="329">
        <v>1</v>
      </c>
      <c r="C146" s="329">
        <v>5</v>
      </c>
      <c r="D146" s="330" t="str">
        <v>Veículos Comerciais com 4 Eixos</v>
      </c>
      <c r="E146" s="330" t="str">
        <v>Pesados I</v>
      </c>
      <c r="F146" s="51" cm="1">
        <f t="array" ref="F146">INDEX(C$134:E$137,B146,MATCH(E146,_xlfn.ANCHORARRAY(C$133)))</f>
        <v>5.379098360655743E-2</v>
      </c>
      <c r="G146" s="373">
        <f ca="1"/>
        <v>190.81964723096254</v>
      </c>
      <c r="H146" s="373">
        <f ca="1"/>
        <v>195.75686699504578</v>
      </c>
      <c r="I146" s="373">
        <f ca="1"/>
        <v>200.59129102048365</v>
      </c>
      <c r="J146" s="373">
        <f ca="1"/>
        <v>205.37869908472391</v>
      </c>
      <c r="K146" s="373">
        <f ca="1"/>
        <v>210.13132848862921</v>
      </c>
      <c r="L146" s="373">
        <f ca="1"/>
        <v>214.83499393303455</v>
      </c>
      <c r="M146" s="373">
        <f ca="1"/>
        <v>219.45506394787887</v>
      </c>
      <c r="N146" s="373">
        <f ca="1"/>
        <v>223.942722641156</v>
      </c>
      <c r="O146" s="373">
        <f ca="1"/>
        <v>228.26319748831958</v>
      </c>
      <c r="P146" s="373">
        <f ca="1"/>
        <v>232.38607315924051</v>
      </c>
      <c r="Q146" s="373">
        <f ca="1"/>
        <v>236.28501510732741</v>
      </c>
      <c r="R146" s="373">
        <f ca="1"/>
        <v>239.93249961387485</v>
      </c>
      <c r="S146" s="373">
        <f ca="1"/>
        <v>243.30302087986161</v>
      </c>
      <c r="T146" s="373">
        <f ca="1"/>
        <v>246.38038427455464</v>
      </c>
      <c r="U146" s="373">
        <f ca="1"/>
        <v>249.15016583871915</v>
      </c>
      <c r="V146" s="373">
        <f ca="1"/>
        <v>251.59839620256724</v>
      </c>
      <c r="W146" s="373">
        <f ca="1"/>
        <v>253.71300460332694</v>
      </c>
      <c r="X146" s="373">
        <f ca="1"/>
        <v>255.49000607613257</v>
      </c>
      <c r="Y146" s="373">
        <f ca="1"/>
        <v>256.92784709640569</v>
      </c>
      <c r="Z146" s="373">
        <f ca="1"/>
        <v>258.02351161491652</v>
      </c>
      <c r="AA146" s="373">
        <f ca="1"/>
        <v>258.77678754890212</v>
      </c>
      <c r="AB146" s="373">
        <f ca="1"/>
        <v>259.18591824719459</v>
      </c>
      <c r="AC146" s="373">
        <f ca="1"/>
        <v>259.25273523635985</v>
      </c>
      <c r="AD146" s="373">
        <f ca="1"/>
        <v>258.98164179917291</v>
      </c>
      <c r="AE146" s="373">
        <f ca="1"/>
        <v>258.3747879716131</v>
      </c>
      <c r="AF146" s="373">
        <f ca="1"/>
        <v>257.43432143627655</v>
      </c>
      <c r="AG146" s="373">
        <f ca="1"/>
        <v>256.16518526105017</v>
      </c>
      <c r="AH146" s="373">
        <f ca="1"/>
        <v>254.5735928629127</v>
      </c>
      <c r="AI146" s="373">
        <f ca="1"/>
        <v>252.66371672880348</v>
      </c>
      <c r="AJ146" s="373">
        <f ca="1"/>
        <v>250.4400184134779</v>
      </c>
      <c r="AK146" s="373">
        <f ca="1"/>
        <v>247.90779401712669</v>
      </c>
    </row>
    <row r="147" spans="2:37">
      <c r="B147" s="329">
        <v>1</v>
      </c>
      <c r="C147" s="329">
        <v>6</v>
      </c>
      <c r="D147" s="330" t="str">
        <v>Veículos Comerciais com 5 Eixos Articulado</v>
      </c>
      <c r="E147" s="330" t="str">
        <v>Pesados II</v>
      </c>
      <c r="F147" s="51" cm="1">
        <f t="array" ref="F147">INDEX(C$134:E$137,B147,MATCH(E147,_xlfn.ANCHORARRAY(C$133)))</f>
        <v>5.5693069306930743E-2</v>
      </c>
      <c r="G147" s="373">
        <f ca="1"/>
        <v>51.703071206495515</v>
      </c>
      <c r="H147" s="373">
        <f ca="1"/>
        <v>53.682314999946136</v>
      </c>
      <c r="I147" s="373">
        <f ca="1"/>
        <v>55.668633695149055</v>
      </c>
      <c r="J147" s="373">
        <f ca="1"/>
        <v>57.698585824315565</v>
      </c>
      <c r="K147" s="373">
        <f ca="1"/>
        <v>59.784457321262629</v>
      </c>
      <c r="L147" s="373">
        <f ca="1"/>
        <v>61.922824986485175</v>
      </c>
      <c r="M147" s="373">
        <f ca="1"/>
        <v>64.098727058557543</v>
      </c>
      <c r="N147" s="373">
        <f ca="1"/>
        <v>66.287993184675301</v>
      </c>
      <c r="O147" s="373">
        <f ca="1"/>
        <v>68.472023490973868</v>
      </c>
      <c r="P147" s="373">
        <f ca="1"/>
        <v>70.633866043856401</v>
      </c>
      <c r="Q147" s="373">
        <f ca="1"/>
        <v>72.757827610641655</v>
      </c>
      <c r="R147" s="373">
        <f ca="1"/>
        <v>74.827284455478008</v>
      </c>
      <c r="S147" s="373">
        <f ca="1"/>
        <v>76.826102771636982</v>
      </c>
      <c r="T147" s="373">
        <f ca="1"/>
        <v>78.741881227267186</v>
      </c>
      <c r="U147" s="373">
        <f ca="1"/>
        <v>80.562691896624344</v>
      </c>
      <c r="V147" s="373">
        <f ca="1"/>
        <v>82.276457264009167</v>
      </c>
      <c r="W147" s="373">
        <f ca="1"/>
        <v>83.871903268428682</v>
      </c>
      <c r="X147" s="373">
        <f ca="1"/>
        <v>85.341474548834299</v>
      </c>
      <c r="Y147" s="373">
        <f ca="1"/>
        <v>86.679032267015231</v>
      </c>
      <c r="Z147" s="373">
        <f ca="1"/>
        <v>87.878024390882132</v>
      </c>
      <c r="AA147" s="373">
        <f ca="1"/>
        <v>88.933300697647397</v>
      </c>
      <c r="AB147" s="373">
        <f ca="1"/>
        <v>89.83933086315227</v>
      </c>
      <c r="AC147" s="373">
        <f ca="1"/>
        <v>90.592505776346059</v>
      </c>
      <c r="AD147" s="373">
        <f ca="1"/>
        <v>91.190755020771192</v>
      </c>
      <c r="AE147" s="373">
        <f ca="1"/>
        <v>91.631386588982096</v>
      </c>
      <c r="AF147" s="373">
        <f ca="1"/>
        <v>91.912000092596287</v>
      </c>
      <c r="AG147" s="373">
        <f ca="1"/>
        <v>92.03174656203521</v>
      </c>
      <c r="AH147" s="373">
        <f ca="1"/>
        <v>91.990554392368367</v>
      </c>
      <c r="AI147" s="373">
        <f ca="1"/>
        <v>91.787613170760011</v>
      </c>
      <c r="AJ147" s="373">
        <f ca="1"/>
        <v>91.422513240649366</v>
      </c>
      <c r="AK147" s="373">
        <f ca="1"/>
        <v>90.895558802652985</v>
      </c>
    </row>
    <row r="148" spans="2:37">
      <c r="B148" s="329">
        <v>1</v>
      </c>
      <c r="C148" s="329">
        <v>7</v>
      </c>
      <c r="D148" s="330" t="str">
        <v>Veículos Comerciais com 6 Eixos Articulado</v>
      </c>
      <c r="E148" s="330" t="str">
        <v>Pesados II</v>
      </c>
      <c r="F148" s="51" cm="1">
        <f t="array" ref="F148">INDEX(C$134:E$137,B148,MATCH(E148,_xlfn.ANCHORARRAY(C$133)))</f>
        <v>5.5693069306930743E-2</v>
      </c>
      <c r="G148" s="373">
        <f ca="1"/>
        <v>1348.4160970654032</v>
      </c>
      <c r="H148" s="373">
        <f ca="1"/>
        <v>1400.0347751985953</v>
      </c>
      <c r="I148" s="373">
        <f ca="1"/>
        <v>1451.8379667694876</v>
      </c>
      <c r="J148" s="373">
        <f ca="1"/>
        <v>1504.77911829815</v>
      </c>
      <c r="K148" s="373">
        <f ca="1"/>
        <v>1559.1786469385295</v>
      </c>
      <c r="L148" s="373">
        <f ca="1"/>
        <v>1614.9472756475334</v>
      </c>
      <c r="M148" s="373">
        <f ca="1"/>
        <v>1671.6948016871809</v>
      </c>
      <c r="N148" s="373">
        <f ca="1"/>
        <v>1728.7908622563318</v>
      </c>
      <c r="O148" s="373">
        <f ca="1"/>
        <v>1785.7503726445984</v>
      </c>
      <c r="P148" s="373">
        <f ca="1"/>
        <v>1842.1312264237749</v>
      </c>
      <c r="Q148" s="373">
        <f ca="1"/>
        <v>1897.5241440855345</v>
      </c>
      <c r="R148" s="373">
        <f ca="1"/>
        <v>1951.4955785988664</v>
      </c>
      <c r="S148" s="373">
        <f ca="1"/>
        <v>2003.6247602842927</v>
      </c>
      <c r="T148" s="373">
        <f ca="1"/>
        <v>2053.5882624071282</v>
      </c>
      <c r="U148" s="373">
        <f ca="1"/>
        <v>2101.0750046639623</v>
      </c>
      <c r="V148" s="373">
        <f ca="1"/>
        <v>2145.7700054453589</v>
      </c>
      <c r="W148" s="373">
        <f ca="1"/>
        <v>2187.3792372406201</v>
      </c>
      <c r="X148" s="373">
        <f ca="1"/>
        <v>2225.7056562335983</v>
      </c>
      <c r="Y148" s="373">
        <f ca="1"/>
        <v>2260.5891615237574</v>
      </c>
      <c r="Z148" s="373">
        <f ca="1"/>
        <v>2291.8588761142059</v>
      </c>
      <c r="AA148" s="373">
        <f ca="1"/>
        <v>2319.3804821946442</v>
      </c>
      <c r="AB148" s="373">
        <f ca="1"/>
        <v>2343.0097489110117</v>
      </c>
      <c r="AC148" s="373">
        <f ca="1"/>
        <v>2362.6525506471057</v>
      </c>
      <c r="AD148" s="373">
        <f ca="1"/>
        <v>2378.2548909417128</v>
      </c>
      <c r="AE148" s="373">
        <f ca="1"/>
        <v>2389.7465622406535</v>
      </c>
      <c r="AF148" s="373">
        <f ca="1"/>
        <v>2397.0649624149114</v>
      </c>
      <c r="AG148" s="373">
        <f ca="1"/>
        <v>2400.1879503378786</v>
      </c>
      <c r="AH148" s="373">
        <f ca="1"/>
        <v>2399.1136585529666</v>
      </c>
      <c r="AI148" s="373">
        <f ca="1"/>
        <v>2393.8209514934206</v>
      </c>
      <c r="AJ148" s="373">
        <f ca="1"/>
        <v>2384.2991453161353</v>
      </c>
      <c r="AK148" s="373">
        <f ca="1"/>
        <v>2370.5561735731899</v>
      </c>
    </row>
    <row r="149" spans="2:37">
      <c r="B149" s="329">
        <v>1</v>
      </c>
      <c r="C149" s="329">
        <v>8</v>
      </c>
      <c r="D149" s="330" t="str">
        <v>Veículos Comerciais com 7 Eixos Articulado</v>
      </c>
      <c r="E149" s="330" t="str">
        <v>Pesados II</v>
      </c>
      <c r="F149" s="51" cm="1">
        <f t="array" ref="F149">INDEX(C$134:E$137,B149,MATCH(E149,_xlfn.ANCHORARRAY(C$133)))</f>
        <v>5.5693069306930743E-2</v>
      </c>
      <c r="G149" s="373">
        <f ca="1"/>
        <v>79.622729658003081</v>
      </c>
      <c r="H149" s="373">
        <f ca="1"/>
        <v>82.670765099917034</v>
      </c>
      <c r="I149" s="373">
        <f ca="1"/>
        <v>85.729695890529541</v>
      </c>
      <c r="J149" s="373">
        <f ca="1"/>
        <v>88.855822169445958</v>
      </c>
      <c r="K149" s="373">
        <f ca="1"/>
        <v>92.068064274744444</v>
      </c>
      <c r="L149" s="373">
        <f ca="1"/>
        <v>95.36115047918716</v>
      </c>
      <c r="M149" s="373">
        <f ca="1"/>
        <v>98.712039670178626</v>
      </c>
      <c r="N149" s="373">
        <f ca="1"/>
        <v>102.08350950439997</v>
      </c>
      <c r="O149" s="373">
        <f ca="1"/>
        <v>105.44691617609976</v>
      </c>
      <c r="P149" s="373">
        <f ca="1"/>
        <v>108.77615370753885</v>
      </c>
      <c r="Q149" s="373">
        <f ca="1"/>
        <v>112.04705452038814</v>
      </c>
      <c r="R149" s="373">
        <f ca="1"/>
        <v>115.2340180614361</v>
      </c>
      <c r="S149" s="373">
        <f ca="1"/>
        <v>118.31219826832094</v>
      </c>
      <c r="T149" s="373">
        <f ca="1"/>
        <v>121.26249708999147</v>
      </c>
      <c r="U149" s="373">
        <f ca="1"/>
        <v>124.06654552080147</v>
      </c>
      <c r="V149" s="373">
        <f ca="1"/>
        <v>126.70574418657411</v>
      </c>
      <c r="W149" s="373">
        <f ca="1"/>
        <v>129.16273103338017</v>
      </c>
      <c r="X149" s="373">
        <f ca="1"/>
        <v>131.4258708052048</v>
      </c>
      <c r="Y149" s="373">
        <f ca="1"/>
        <v>133.48570969120345</v>
      </c>
      <c r="Z149" s="373">
        <f ca="1"/>
        <v>135.3321575619585</v>
      </c>
      <c r="AA149" s="373">
        <f ca="1"/>
        <v>136.95728307437702</v>
      </c>
      <c r="AB149" s="373">
        <f ca="1"/>
        <v>138.35256952925454</v>
      </c>
      <c r="AC149" s="373">
        <f ca="1"/>
        <v>139.51245889557296</v>
      </c>
      <c r="AD149" s="373">
        <f ca="1"/>
        <v>140.43376273198768</v>
      </c>
      <c r="AE149" s="373">
        <f ca="1"/>
        <v>141.11233534703248</v>
      </c>
      <c r="AF149" s="373">
        <f ca="1"/>
        <v>141.54448014259836</v>
      </c>
      <c r="AG149" s="373">
        <f ca="1"/>
        <v>141.7288897055343</v>
      </c>
      <c r="AH149" s="373">
        <f ca="1"/>
        <v>141.66545376424736</v>
      </c>
      <c r="AI149" s="373">
        <f ca="1"/>
        <v>141.35292428297049</v>
      </c>
      <c r="AJ149" s="373">
        <f ca="1"/>
        <v>140.7906703906001</v>
      </c>
      <c r="AK149" s="373">
        <f ca="1"/>
        <v>139.97916055608567</v>
      </c>
    </row>
    <row r="150" spans="2:37">
      <c r="B150" s="329">
        <v>1</v>
      </c>
      <c r="C150" s="329">
        <v>9</v>
      </c>
      <c r="D150" s="330" t="str">
        <v>Veículos Comerciais com 8 Eixos Articulado</v>
      </c>
      <c r="E150" s="330" t="str">
        <v>Pesados II</v>
      </c>
      <c r="F150" s="51" cm="1">
        <f t="array" ref="F150">INDEX(C$134:E$137,B150,MATCH(E150,_xlfn.ANCHORARRAY(C$133)))</f>
        <v>5.5693069306930743E-2</v>
      </c>
      <c r="G150" s="373">
        <f ca="1"/>
        <v>0</v>
      </c>
      <c r="H150" s="373">
        <f ca="1"/>
        <v>0</v>
      </c>
      <c r="I150" s="373">
        <f ca="1"/>
        <v>0</v>
      </c>
      <c r="J150" s="373">
        <f ca="1"/>
        <v>0</v>
      </c>
      <c r="K150" s="373">
        <f ca="1"/>
        <v>0</v>
      </c>
      <c r="L150" s="373">
        <f ca="1"/>
        <v>0</v>
      </c>
      <c r="M150" s="373">
        <f ca="1"/>
        <v>0</v>
      </c>
      <c r="N150" s="373">
        <f ca="1"/>
        <v>0</v>
      </c>
      <c r="O150" s="373">
        <f ca="1"/>
        <v>0</v>
      </c>
      <c r="P150" s="373">
        <f ca="1"/>
        <v>0</v>
      </c>
      <c r="Q150" s="373">
        <f ca="1"/>
        <v>0</v>
      </c>
      <c r="R150" s="373">
        <f ca="1"/>
        <v>0</v>
      </c>
      <c r="S150" s="373">
        <f ca="1"/>
        <v>0</v>
      </c>
      <c r="T150" s="373">
        <f ca="1"/>
        <v>0</v>
      </c>
      <c r="U150" s="373">
        <f ca="1"/>
        <v>0</v>
      </c>
      <c r="V150" s="373">
        <f ca="1"/>
        <v>0</v>
      </c>
      <c r="W150" s="373">
        <f ca="1"/>
        <v>0</v>
      </c>
      <c r="X150" s="373">
        <f ca="1"/>
        <v>0</v>
      </c>
      <c r="Y150" s="373">
        <f ca="1"/>
        <v>0</v>
      </c>
      <c r="Z150" s="373">
        <f ca="1"/>
        <v>0</v>
      </c>
      <c r="AA150" s="373">
        <f ca="1"/>
        <v>0</v>
      </c>
      <c r="AB150" s="373">
        <f ca="1"/>
        <v>0</v>
      </c>
      <c r="AC150" s="373">
        <f ca="1"/>
        <v>0</v>
      </c>
      <c r="AD150" s="373">
        <f ca="1"/>
        <v>0</v>
      </c>
      <c r="AE150" s="373">
        <f ca="1"/>
        <v>0</v>
      </c>
      <c r="AF150" s="373">
        <f ca="1"/>
        <v>0</v>
      </c>
      <c r="AG150" s="373">
        <f ca="1"/>
        <v>0</v>
      </c>
      <c r="AH150" s="373">
        <f ca="1"/>
        <v>0</v>
      </c>
      <c r="AI150" s="373">
        <f ca="1"/>
        <v>0</v>
      </c>
      <c r="AJ150" s="373">
        <f ca="1"/>
        <v>0</v>
      </c>
      <c r="AK150" s="373">
        <f ca="1"/>
        <v>0</v>
      </c>
    </row>
    <row r="151" spans="2:37">
      <c r="B151" s="329">
        <v>1</v>
      </c>
      <c r="C151" s="329">
        <v>10</v>
      </c>
      <c r="D151" s="330" t="str">
        <v>Veículos Comerciais com 9 Eixos Articulado</v>
      </c>
      <c r="E151" s="330" t="str">
        <v>Pesados II</v>
      </c>
      <c r="F151" s="51" cm="1">
        <f t="array" ref="F151">INDEX(C$134:E$137,B151,MATCH(E151,_xlfn.ANCHORARRAY(C$133)))</f>
        <v>5.5693069306930743E-2</v>
      </c>
      <c r="G151" s="373">
        <f ca="1"/>
        <v>19.647167058468298</v>
      </c>
      <c r="H151" s="373">
        <f ca="1"/>
        <v>20.399279699979534</v>
      </c>
      <c r="I151" s="373">
        <f ca="1"/>
        <v>21.154080804156646</v>
      </c>
      <c r="J151" s="373">
        <f ca="1"/>
        <v>21.925462613239922</v>
      </c>
      <c r="K151" s="373">
        <f ca="1"/>
        <v>22.718093782079805</v>
      </c>
      <c r="L151" s="373">
        <f ca="1"/>
        <v>23.53067349486437</v>
      </c>
      <c r="M151" s="373">
        <f ca="1"/>
        <v>24.357516282251872</v>
      </c>
      <c r="N151" s="373">
        <f ca="1"/>
        <v>25.18943741017662</v>
      </c>
      <c r="O151" s="373">
        <f ca="1"/>
        <v>26.019368926570074</v>
      </c>
      <c r="P151" s="373">
        <f ca="1"/>
        <v>26.840869096665433</v>
      </c>
      <c r="Q151" s="373">
        <f ca="1"/>
        <v>27.647974492043833</v>
      </c>
      <c r="R151" s="373">
        <f ca="1"/>
        <v>28.434368093081641</v>
      </c>
      <c r="S151" s="373">
        <f ca="1"/>
        <v>29.193919053222054</v>
      </c>
      <c r="T151" s="373">
        <f ca="1"/>
        <v>29.921914866361529</v>
      </c>
      <c r="U151" s="373">
        <f ca="1"/>
        <v>30.613822920717244</v>
      </c>
      <c r="V151" s="373">
        <f ca="1"/>
        <v>31.265053760323479</v>
      </c>
      <c r="W151" s="373">
        <f ca="1"/>
        <v>31.871323242002898</v>
      </c>
      <c r="X151" s="373">
        <f ca="1"/>
        <v>32.42976032855703</v>
      </c>
      <c r="Y151" s="373">
        <f ca="1"/>
        <v>32.938032261465793</v>
      </c>
      <c r="Z151" s="373">
        <f ca="1"/>
        <v>33.393649268535214</v>
      </c>
      <c r="AA151" s="373">
        <f ca="1"/>
        <v>33.794654265106011</v>
      </c>
      <c r="AB151" s="373">
        <f ca="1"/>
        <v>34.138945727997871</v>
      </c>
      <c r="AC151" s="373">
        <f ca="1"/>
        <v>34.425152195011506</v>
      </c>
      <c r="AD151" s="373">
        <f ca="1"/>
        <v>34.652486907893056</v>
      </c>
      <c r="AE151" s="373">
        <f ca="1"/>
        <v>34.819926903813204</v>
      </c>
      <c r="AF151" s="373">
        <f ca="1"/>
        <v>34.92656003518659</v>
      </c>
      <c r="AG151" s="373">
        <f ca="1"/>
        <v>34.972063693573382</v>
      </c>
      <c r="AH151" s="373">
        <f ca="1"/>
        <v>34.956410669099981</v>
      </c>
      <c r="AI151" s="373">
        <f ca="1"/>
        <v>34.879293004888801</v>
      </c>
      <c r="AJ151" s="373">
        <f ca="1"/>
        <v>34.740555031446767</v>
      </c>
      <c r="AK151" s="373">
        <f ca="1"/>
        <v>34.540312345008132</v>
      </c>
    </row>
    <row r="152" spans="2:37">
      <c r="B152" s="329">
        <v>1</v>
      </c>
      <c r="C152" s="329">
        <v>11</v>
      </c>
      <c r="D152" s="330" t="str">
        <v>Motocicleta</v>
      </c>
      <c r="E152" s="330" t="str">
        <v>Leves</v>
      </c>
      <c r="F152" s="51" cm="1">
        <f t="array" ref="F152">INDEX(C$134:E$137,B152,MATCH(E152,_xlfn.ANCHORARRAY(C$133)))</f>
        <v>4.1398426323319026E-2</v>
      </c>
      <c r="G152" s="373">
        <f ca="1"/>
        <v>452.82369033348124</v>
      </c>
      <c r="H152" s="373">
        <f ca="1"/>
        <v>472.03907037408385</v>
      </c>
      <c r="I152" s="373">
        <f ca="1"/>
        <v>491.56357940605966</v>
      </c>
      <c r="J152" s="373">
        <f ca="1"/>
        <v>511.85586352276988</v>
      </c>
      <c r="K152" s="373">
        <f ca="1"/>
        <v>533.09693215253549</v>
      </c>
      <c r="L152" s="373">
        <f ca="1"/>
        <v>555.28487530908683</v>
      </c>
      <c r="M152" s="373">
        <f ca="1"/>
        <v>578.28696258574621</v>
      </c>
      <c r="N152" s="373">
        <f ca="1"/>
        <v>601.86016313676703</v>
      </c>
      <c r="O152" s="373">
        <f ca="1"/>
        <v>625.81510590069627</v>
      </c>
      <c r="P152" s="373">
        <f ca="1"/>
        <v>649.97763929785435</v>
      </c>
      <c r="Q152" s="373">
        <f ca="1"/>
        <v>674.18250998774079</v>
      </c>
      <c r="R152" s="373">
        <f ca="1"/>
        <v>698.2516806092907</v>
      </c>
      <c r="S152" s="373">
        <f ca="1"/>
        <v>722.00828899334681</v>
      </c>
      <c r="T152" s="373">
        <f ca="1"/>
        <v>745.30884363422444</v>
      </c>
      <c r="U152" s="373">
        <f ca="1"/>
        <v>768.01042692960141</v>
      </c>
      <c r="V152" s="373">
        <f ca="1"/>
        <v>789.96377623342778</v>
      </c>
      <c r="W152" s="373">
        <f ca="1"/>
        <v>811.02490250830056</v>
      </c>
      <c r="X152" s="373">
        <f ca="1"/>
        <v>831.08540252933324</v>
      </c>
      <c r="Y152" s="373">
        <f ca="1"/>
        <v>850.05088487839464</v>
      </c>
      <c r="Z152" s="373">
        <f ca="1"/>
        <v>867.82193625578191</v>
      </c>
      <c r="AA152" s="373">
        <f ca="1"/>
        <v>884.31168076033521</v>
      </c>
      <c r="AB152" s="373">
        <f ca="1"/>
        <v>899.42921493473739</v>
      </c>
      <c r="AC152" s="373">
        <f ca="1"/>
        <v>913.10288956124498</v>
      </c>
      <c r="AD152" s="373">
        <f ca="1"/>
        <v>925.27718815268895</v>
      </c>
      <c r="AE152" s="373">
        <f ca="1"/>
        <v>935.89116974728029</v>
      </c>
      <c r="AF152" s="373">
        <f ca="1"/>
        <v>944.88697068916656</v>
      </c>
      <c r="AG152" s="373">
        <f ca="1"/>
        <v>952.2226522406371</v>
      </c>
      <c r="AH152" s="373">
        <f ca="1"/>
        <v>957.86371937293586</v>
      </c>
      <c r="AI152" s="373">
        <f ca="1"/>
        <v>961.76758846802693</v>
      </c>
      <c r="AJ152" s="373">
        <f ca="1"/>
        <v>963.89598374122477</v>
      </c>
      <c r="AK152" s="373">
        <f ca="1"/>
        <v>964.21884645642842</v>
      </c>
    </row>
    <row r="153" spans="2:37">
      <c r="B153" s="329">
        <v>1</v>
      </c>
      <c r="C153" s="329">
        <v>12</v>
      </c>
      <c r="D153" s="330" t="str">
        <v xml:space="preserve">Veículos do transporte público coletivo intermunicipal e metropolitano </v>
      </c>
      <c r="E153" s="330" t="str">
        <v>Pesados I</v>
      </c>
      <c r="F153" s="51" cm="1">
        <f t="array" ref="F153">INDEX(C$134:E$137,B153,MATCH(E153,_xlfn.ANCHORARRAY(C$133)))</f>
        <v>5.379098360655743E-2</v>
      </c>
      <c r="G153" s="373">
        <f ca="1"/>
        <v>40.577200368717278</v>
      </c>
      <c r="H153" s="373">
        <f ca="1"/>
        <v>41.627084689010104</v>
      </c>
      <c r="I153" s="373">
        <f ca="1"/>
        <v>42.655109817418918</v>
      </c>
      <c r="J153" s="373">
        <f ca="1"/>
        <v>43.673137148925107</v>
      </c>
      <c r="K153" s="373">
        <f ca="1"/>
        <v>44.683768907231965</v>
      </c>
      <c r="L153" s="373">
        <f ca="1"/>
        <v>45.683988632898021</v>
      </c>
      <c r="M153" s="373">
        <f ca="1"/>
        <v>46.6664320522747</v>
      </c>
      <c r="N153" s="373">
        <f ca="1"/>
        <v>47.620718618810059</v>
      </c>
      <c r="O153" s="373">
        <f ca="1"/>
        <v>48.539454064060976</v>
      </c>
      <c r="P153" s="373">
        <f ca="1"/>
        <v>49.416170663331172</v>
      </c>
      <c r="Q153" s="373">
        <f ca="1"/>
        <v>50.245268457763359</v>
      </c>
      <c r="R153" s="373">
        <f ca="1"/>
        <v>51.020894614774463</v>
      </c>
      <c r="S153" s="373">
        <f ca="1"/>
        <v>51.737625406082493</v>
      </c>
      <c r="T153" s="373">
        <f ca="1"/>
        <v>52.392017094180922</v>
      </c>
      <c r="U153" s="373">
        <f ca="1"/>
        <v>52.981002469311861</v>
      </c>
      <c r="V153" s="373">
        <f ca="1"/>
        <v>53.501610988739635</v>
      </c>
      <c r="W153" s="373">
        <f ca="1"/>
        <v>53.951275842564371</v>
      </c>
      <c r="X153" s="373">
        <f ca="1"/>
        <v>54.329149640487628</v>
      </c>
      <c r="Y153" s="373">
        <f ca="1"/>
        <v>54.634902030373169</v>
      </c>
      <c r="Z153" s="373">
        <f ca="1"/>
        <v>54.867891658798051</v>
      </c>
      <c r="AA153" s="373">
        <f ca="1"/>
        <v>55.028073427026932</v>
      </c>
      <c r="AB153" s="373">
        <f ca="1"/>
        <v>55.115073788690495</v>
      </c>
      <c r="AC153" s="373">
        <f ca="1"/>
        <v>55.129282212176946</v>
      </c>
      <c r="AD153" s="373">
        <f ca="1"/>
        <v>55.071635041778045</v>
      </c>
      <c r="AE153" s="373">
        <f ca="1"/>
        <v>54.942589475911291</v>
      </c>
      <c r="AF153" s="373">
        <f ca="1"/>
        <v>54.742602212554509</v>
      </c>
      <c r="AG153" s="373">
        <f ca="1"/>
        <v>54.472724379613048</v>
      </c>
      <c r="AH153" s="373">
        <f ca="1"/>
        <v>54.13427724074802</v>
      </c>
      <c r="AI153" s="373">
        <f ca="1"/>
        <v>53.728148062239576</v>
      </c>
      <c r="AJ153" s="373">
        <f ca="1"/>
        <v>53.255285579733616</v>
      </c>
      <c r="AK153" s="373">
        <f ca="1"/>
        <v>52.716815992349204</v>
      </c>
    </row>
    <row r="154" spans="2:37">
      <c r="B154" s="329">
        <v>2</v>
      </c>
      <c r="C154" s="329">
        <v>1</v>
      </c>
      <c r="D154" s="330" t="str">
        <v>Automóvel</v>
      </c>
      <c r="E154" s="330" t="str">
        <v>Leves</v>
      </c>
      <c r="F154" s="51" cm="1">
        <f t="array" ref="F154">INDEX(C$134:E$137,B154,MATCH(E154,_xlfn.ANCHORARRAY(C$133)))</f>
        <v>4.0490447676076458E-2</v>
      </c>
      <c r="G154" s="373">
        <f ca="1"/>
        <v>10642.90207385871</v>
      </c>
      <c r="H154" s="373">
        <f ca="1"/>
        <v>11094.529081123952</v>
      </c>
      <c r="I154" s="373">
        <f ca="1"/>
        <v>11553.421674650708</v>
      </c>
      <c r="J154" s="373">
        <f ca="1"/>
        <v>12030.359602854101</v>
      </c>
      <c r="K154" s="373">
        <f ca="1"/>
        <v>12529.597205030395</v>
      </c>
      <c r="L154" s="373">
        <f ca="1"/>
        <v>13051.089589984043</v>
      </c>
      <c r="M154" s="373">
        <f ca="1"/>
        <v>13591.717140189174</v>
      </c>
      <c r="N154" s="373">
        <f ca="1"/>
        <v>14145.767801379585</v>
      </c>
      <c r="O154" s="373">
        <f ca="1"/>
        <v>14708.790707344668</v>
      </c>
      <c r="P154" s="373">
        <f ca="1"/>
        <v>15276.692701635006</v>
      </c>
      <c r="Q154" s="373">
        <f ca="1"/>
        <v>15845.589766788904</v>
      </c>
      <c r="R154" s="373">
        <f ca="1"/>
        <v>16411.297417233382</v>
      </c>
      <c r="S154" s="373">
        <f ca="1"/>
        <v>16969.658788415876</v>
      </c>
      <c r="T154" s="373">
        <f ca="1"/>
        <v>17517.301340259459</v>
      </c>
      <c r="U154" s="373">
        <f ca="1"/>
        <v>18050.866021374772</v>
      </c>
      <c r="V154" s="373">
        <f ca="1"/>
        <v>18566.844650191142</v>
      </c>
      <c r="W154" s="373">
        <f ca="1"/>
        <v>19061.852992938333</v>
      </c>
      <c r="X154" s="373">
        <f ca="1"/>
        <v>19533.343203883916</v>
      </c>
      <c r="Y154" s="373">
        <f ca="1"/>
        <v>19979.096762572302</v>
      </c>
      <c r="Z154" s="373">
        <f ca="1"/>
        <v>20396.777117192785</v>
      </c>
      <c r="AA154" s="373">
        <f ca="1"/>
        <v>20784.342387586799</v>
      </c>
      <c r="AB154" s="373">
        <f ca="1"/>
        <v>21139.656032281237</v>
      </c>
      <c r="AC154" s="373">
        <f ca="1"/>
        <v>21461.034050141905</v>
      </c>
      <c r="AD154" s="373">
        <f ca="1"/>
        <v>21747.171614259263</v>
      </c>
      <c r="AE154" s="373">
        <f ca="1"/>
        <v>21996.636404058092</v>
      </c>
      <c r="AF154" s="373">
        <f ca="1"/>
        <v>22208.068426154623</v>
      </c>
      <c r="AG154" s="373">
        <f ca="1"/>
        <v>22380.481977088359</v>
      </c>
      <c r="AH154" s="373">
        <f ca="1"/>
        <v>22513.066305962373</v>
      </c>
      <c r="AI154" s="373">
        <f ca="1"/>
        <v>22604.82055242774</v>
      </c>
      <c r="AJ154" s="373">
        <f ca="1"/>
        <v>22654.845104920627</v>
      </c>
      <c r="AK154" s="373">
        <f ca="1"/>
        <v>22662.433480561223</v>
      </c>
    </row>
    <row r="155" spans="2:37">
      <c r="B155" s="329">
        <v>2</v>
      </c>
      <c r="C155" s="329">
        <v>2</v>
      </c>
      <c r="D155" s="330" t="str">
        <v xml:space="preserve">Automóvel com reboque </v>
      </c>
      <c r="E155" s="330" t="str">
        <v>Leves</v>
      </c>
      <c r="F155" s="51" cm="1">
        <f t="array" ref="F155">INDEX(C$134:E$137,B155,MATCH(E155,_xlfn.ANCHORARRAY(C$133)))</f>
        <v>4.0490447676076458E-2</v>
      </c>
      <c r="G155" s="373">
        <f ca="1"/>
        <v>36.032633535872321</v>
      </c>
      <c r="H155" s="373">
        <f ca="1"/>
        <v>37.561662961752496</v>
      </c>
      <c r="I155" s="373">
        <f ca="1"/>
        <v>39.115290773051214</v>
      </c>
      <c r="J155" s="373">
        <f ca="1"/>
        <v>40.730012910589423</v>
      </c>
      <c r="K155" s="373">
        <f ca="1"/>
        <v>42.420232875191992</v>
      </c>
      <c r="L155" s="373">
        <f ca="1"/>
        <v>44.185798683124865</v>
      </c>
      <c r="M155" s="373">
        <f ca="1"/>
        <v>46.016148550177164</v>
      </c>
      <c r="N155" s="373">
        <f ca="1"/>
        <v>47.891943732397003</v>
      </c>
      <c r="O155" s="373">
        <f ca="1"/>
        <v>49.798115366990125</v>
      </c>
      <c r="P155" s="373">
        <f ca="1"/>
        <v>51.720805654145579</v>
      </c>
      <c r="Q155" s="373">
        <f ca="1"/>
        <v>53.646864855486285</v>
      </c>
      <c r="R155" s="373">
        <f ca="1"/>
        <v>55.56212596711228</v>
      </c>
      <c r="S155" s="373">
        <f ca="1"/>
        <v>57.452515498913307</v>
      </c>
      <c r="T155" s="373">
        <f ca="1"/>
        <v>59.306615371512748</v>
      </c>
      <c r="U155" s="373">
        <f ca="1"/>
        <v>61.113053172865378</v>
      </c>
      <c r="V155" s="373">
        <f ca="1"/>
        <v>62.859951595443967</v>
      </c>
      <c r="W155" s="373">
        <f ca="1"/>
        <v>64.535852969677151</v>
      </c>
      <c r="X155" s="373">
        <f ca="1"/>
        <v>66.132131303242033</v>
      </c>
      <c r="Y155" s="373">
        <f ca="1"/>
        <v>67.641275568224088</v>
      </c>
      <c r="Z155" s="373">
        <f ca="1"/>
        <v>69.055375129483735</v>
      </c>
      <c r="AA155" s="373">
        <f ca="1"/>
        <v>70.36751699289897</v>
      </c>
      <c r="AB155" s="373">
        <f ca="1"/>
        <v>71.570467678785349</v>
      </c>
      <c r="AC155" s="373">
        <f ca="1"/>
        <v>72.658525829062015</v>
      </c>
      <c r="AD155" s="373">
        <f ca="1"/>
        <v>73.627273818767975</v>
      </c>
      <c r="AE155" s="373">
        <f ca="1"/>
        <v>74.471862380096866</v>
      </c>
      <c r="AF155" s="373">
        <f ca="1"/>
        <v>75.187687116346709</v>
      </c>
      <c r="AG155" s="373">
        <f ca="1"/>
        <v>75.771410827633417</v>
      </c>
      <c r="AH155" s="373">
        <f ca="1"/>
        <v>76.220288633871164</v>
      </c>
      <c r="AI155" s="373">
        <f ca="1"/>
        <v>76.530932019979872</v>
      </c>
      <c r="AJ155" s="373">
        <f ca="1"/>
        <v>76.700295258997116</v>
      </c>
      <c r="AK155" s="373">
        <f ca="1"/>
        <v>76.725986480873686</v>
      </c>
    </row>
    <row r="156" spans="2:37">
      <c r="B156" s="329">
        <v>2</v>
      </c>
      <c r="C156" s="329">
        <v>3</v>
      </c>
      <c r="D156" s="330" t="str">
        <v>Veículos Comerciais com 2 Eixos</v>
      </c>
      <c r="E156" s="330" t="str">
        <v>Pesados I</v>
      </c>
      <c r="F156" s="51" cm="1">
        <f t="array" ref="F156">INDEX(C$134:E$137,B156,MATCH(E156,_xlfn.ANCHORARRAY(C$133)))</f>
        <v>7.0700203942896001E-2</v>
      </c>
      <c r="G156" s="373">
        <f ca="1"/>
        <v>1050.2955476989134</v>
      </c>
      <c r="H156" s="373">
        <f ca="1"/>
        <v>1077.4706316668198</v>
      </c>
      <c r="I156" s="373">
        <f ca="1"/>
        <v>1104.0799148474994</v>
      </c>
      <c r="J156" s="373">
        <f ca="1"/>
        <v>1130.4304162128196</v>
      </c>
      <c r="K156" s="373">
        <f ca="1"/>
        <v>1156.5894914192784</v>
      </c>
      <c r="L156" s="373">
        <f ca="1"/>
        <v>1182.4790627805787</v>
      </c>
      <c r="M156" s="373">
        <f ca="1"/>
        <v>1207.9085142918004</v>
      </c>
      <c r="N156" s="373">
        <f ca="1"/>
        <v>1232.6091570900569</v>
      </c>
      <c r="O156" s="373">
        <f ca="1"/>
        <v>1256.3895987886451</v>
      </c>
      <c r="P156" s="373">
        <f ca="1"/>
        <v>1279.0824295517332</v>
      </c>
      <c r="Q156" s="373">
        <f ca="1"/>
        <v>1300.5427006938114</v>
      </c>
      <c r="R156" s="373">
        <f ca="1"/>
        <v>1320.6189181751838</v>
      </c>
      <c r="S156" s="373">
        <f ca="1"/>
        <v>1339.1706948421095</v>
      </c>
      <c r="T156" s="373">
        <f ca="1"/>
        <v>1356.1088933924175</v>
      </c>
      <c r="U156" s="373">
        <f ca="1"/>
        <v>1371.3541225245069</v>
      </c>
      <c r="V156" s="373">
        <f ca="1"/>
        <v>1384.8294930547679</v>
      </c>
      <c r="W156" s="373">
        <f ca="1"/>
        <v>1396.4685659734828</v>
      </c>
      <c r="X156" s="373">
        <f ca="1"/>
        <v>1406.2494075284571</v>
      </c>
      <c r="Y156" s="373">
        <f ca="1"/>
        <v>1414.1634669233151</v>
      </c>
      <c r="Z156" s="373">
        <f ca="1"/>
        <v>1420.1941434404496</v>
      </c>
      <c r="AA156" s="373">
        <f ca="1"/>
        <v>1424.3402697494259</v>
      </c>
      <c r="AB156" s="373">
        <f ca="1"/>
        <v>1426.5921770193488</v>
      </c>
      <c r="AC156" s="373">
        <f ca="1"/>
        <v>1426.9599462048038</v>
      </c>
      <c r="AD156" s="373">
        <f ca="1"/>
        <v>1425.4678135328297</v>
      </c>
      <c r="AE156" s="373">
        <f ca="1"/>
        <v>1422.1276130742335</v>
      </c>
      <c r="AF156" s="373">
        <f ca="1"/>
        <v>1416.9511659464999</v>
      </c>
      <c r="AG156" s="373">
        <f ca="1"/>
        <v>1409.9656794224081</v>
      </c>
      <c r="AH156" s="373">
        <f ca="1"/>
        <v>1401.2053529373061</v>
      </c>
      <c r="AI156" s="373">
        <f ca="1"/>
        <v>1390.6931523886726</v>
      </c>
      <c r="AJ156" s="373">
        <f ca="1"/>
        <v>1378.4536347399205</v>
      </c>
      <c r="AK156" s="373">
        <f ca="1"/>
        <v>1364.5159503984171</v>
      </c>
    </row>
    <row r="157" spans="2:37">
      <c r="B157" s="329">
        <v>2</v>
      </c>
      <c r="C157" s="329">
        <v>4</v>
      </c>
      <c r="D157" s="330" t="str">
        <v>Veículos Comerciais com 3 Eixos</v>
      </c>
      <c r="E157" s="330" t="str">
        <v>Pesados I</v>
      </c>
      <c r="F157" s="51" cm="1">
        <f t="array" ref="F157">INDEX(C$134:E$137,B157,MATCH(E157,_xlfn.ANCHORARRAY(C$133)))</f>
        <v>7.0700203942896001E-2</v>
      </c>
      <c r="G157" s="373">
        <f ca="1"/>
        <v>287.46124690641693</v>
      </c>
      <c r="H157" s="373">
        <f ca="1"/>
        <v>294.8989472178348</v>
      </c>
      <c r="I157" s="373">
        <f ca="1"/>
        <v>302.1817903558092</v>
      </c>
      <c r="J157" s="373">
        <f ca="1"/>
        <v>309.39380605527555</v>
      </c>
      <c r="K157" s="373">
        <f ca="1"/>
        <v>316.5534292615647</v>
      </c>
      <c r="L157" s="373">
        <f ca="1"/>
        <v>323.63929045720363</v>
      </c>
      <c r="M157" s="373">
        <f ca="1"/>
        <v>330.59921888456626</v>
      </c>
      <c r="N157" s="373">
        <f ca="1"/>
        <v>337.35967559004615</v>
      </c>
      <c r="O157" s="373">
        <f ca="1"/>
        <v>343.86827732375662</v>
      </c>
      <c r="P157" s="373">
        <f ca="1"/>
        <v>350.07920475393138</v>
      </c>
      <c r="Q157" s="373">
        <f ca="1"/>
        <v>355.95278606632223</v>
      </c>
      <c r="R157" s="373">
        <f ca="1"/>
        <v>361.44755801218412</v>
      </c>
      <c r="S157" s="373">
        <f ca="1"/>
        <v>366.52509724834266</v>
      </c>
      <c r="T157" s="373">
        <f ca="1"/>
        <v>371.16100728936647</v>
      </c>
      <c r="U157" s="373">
        <f ca="1"/>
        <v>375.33355908708273</v>
      </c>
      <c r="V157" s="373">
        <f ca="1"/>
        <v>379.02170841194811</v>
      </c>
      <c r="W157" s="373">
        <f ca="1"/>
        <v>382.20727120080181</v>
      </c>
      <c r="X157" s="373">
        <f ca="1"/>
        <v>384.88424428266154</v>
      </c>
      <c r="Y157" s="373">
        <f ca="1"/>
        <v>387.05028734237135</v>
      </c>
      <c r="Z157" s="373">
        <f ca="1"/>
        <v>388.70085683693196</v>
      </c>
      <c r="AA157" s="373">
        <f ca="1"/>
        <v>389.83563327316557</v>
      </c>
      <c r="AB157" s="373">
        <f ca="1"/>
        <v>390.45197033481253</v>
      </c>
      <c r="AC157" s="373">
        <f ca="1"/>
        <v>390.55262713456403</v>
      </c>
      <c r="AD157" s="373">
        <f ca="1"/>
        <v>390.14423702058588</v>
      </c>
      <c r="AE157" s="373">
        <f ca="1"/>
        <v>389.23003892572672</v>
      </c>
      <c r="AF157" s="373">
        <f ca="1"/>
        <v>387.81326823756797</v>
      </c>
      <c r="AG157" s="373">
        <f ca="1"/>
        <v>385.90137146635641</v>
      </c>
      <c r="AH157" s="373">
        <f ca="1"/>
        <v>383.50370884631388</v>
      </c>
      <c r="AI157" s="373">
        <f ca="1"/>
        <v>380.62656604202317</v>
      </c>
      <c r="AJ157" s="373">
        <f ca="1"/>
        <v>377.27666418577735</v>
      </c>
      <c r="AK157" s="373">
        <f ca="1"/>
        <v>373.46198161516702</v>
      </c>
    </row>
    <row r="158" spans="2:37">
      <c r="B158" s="329">
        <v>2</v>
      </c>
      <c r="C158" s="329">
        <v>5</v>
      </c>
      <c r="D158" s="330" t="str">
        <v>Veículos Comerciais com 4 Eixos</v>
      </c>
      <c r="E158" s="330" t="str">
        <v>Pesados I</v>
      </c>
      <c r="F158" s="51" cm="1">
        <f t="array" ref="F158">INDEX(C$134:E$137,B158,MATCH(E158,_xlfn.ANCHORARRAY(C$133)))</f>
        <v>7.0700203942896001E-2</v>
      </c>
      <c r="G158" s="373">
        <f ca="1"/>
        <v>111.24313530017112</v>
      </c>
      <c r="H158" s="373">
        <f ca="1"/>
        <v>114.12141232348947</v>
      </c>
      <c r="I158" s="373">
        <f ca="1"/>
        <v>116.93976197335152</v>
      </c>
      <c r="J158" s="373">
        <f ca="1"/>
        <v>119.73070248055625</v>
      </c>
      <c r="K158" s="373">
        <f ca="1"/>
        <v>122.5013678888739</v>
      </c>
      <c r="L158" s="373">
        <f ca="1"/>
        <v>125.24348851969866</v>
      </c>
      <c r="M158" s="373">
        <f ca="1"/>
        <v>127.93687508243303</v>
      </c>
      <c r="N158" s="373">
        <f ca="1"/>
        <v>130.55306911927124</v>
      </c>
      <c r="O158" s="373">
        <f ca="1"/>
        <v>133.07179910833926</v>
      </c>
      <c r="P158" s="373">
        <f ca="1"/>
        <v>135.47533366435337</v>
      </c>
      <c r="Q158" s="373">
        <f ca="1"/>
        <v>137.74832039791318</v>
      </c>
      <c r="R158" s="373">
        <f ca="1"/>
        <v>139.87471366168447</v>
      </c>
      <c r="S158" s="373">
        <f ca="1"/>
        <v>141.83964420560505</v>
      </c>
      <c r="T158" s="373">
        <f ca="1"/>
        <v>143.63367096045636</v>
      </c>
      <c r="U158" s="373">
        <f ca="1"/>
        <v>145.24838511471393</v>
      </c>
      <c r="V158" s="373">
        <f ca="1"/>
        <v>146.67564287125876</v>
      </c>
      <c r="W158" s="373">
        <f ca="1"/>
        <v>147.90840727390889</v>
      </c>
      <c r="X158" s="373">
        <f ca="1"/>
        <v>148.94435518669724</v>
      </c>
      <c r="Y158" s="373">
        <f ca="1"/>
        <v>149.78258094321367</v>
      </c>
      <c r="Z158" s="373">
        <f ca="1"/>
        <v>150.42132626134529</v>
      </c>
      <c r="AA158" s="373">
        <f ca="1"/>
        <v>150.86046750208607</v>
      </c>
      <c r="AB158" s="373">
        <f ca="1"/>
        <v>151.09898058124776</v>
      </c>
      <c r="AC158" s="373">
        <f ca="1"/>
        <v>151.137933233524</v>
      </c>
      <c r="AD158" s="373">
        <f ca="1"/>
        <v>150.97989246387789</v>
      </c>
      <c r="AE158" s="373">
        <f ca="1"/>
        <v>150.62611169011436</v>
      </c>
      <c r="AF158" s="373">
        <f ca="1"/>
        <v>150.07784295807386</v>
      </c>
      <c r="AG158" s="373">
        <f ca="1"/>
        <v>149.33796795409086</v>
      </c>
      <c r="AH158" s="373">
        <f ca="1"/>
        <v>148.41010894660388</v>
      </c>
      <c r="AI158" s="373">
        <f ca="1"/>
        <v>147.29669839231158</v>
      </c>
      <c r="AJ158" s="373">
        <f ca="1"/>
        <v>146.00033726730067</v>
      </c>
      <c r="AK158" s="373">
        <f ca="1"/>
        <v>144.52411306700782</v>
      </c>
    </row>
    <row r="159" spans="2:37">
      <c r="B159" s="329">
        <v>2</v>
      </c>
      <c r="C159" s="329">
        <v>6</v>
      </c>
      <c r="D159" s="330" t="str">
        <v>Veículos Comerciais com 5 Eixos Articulado</v>
      </c>
      <c r="E159" s="330" t="str">
        <v>Pesados II</v>
      </c>
      <c r="F159" s="51" cm="1">
        <f t="array" ref="F159">INDEX(C$134:E$137,B159,MATCH(E159,_xlfn.ANCHORARRAY(C$133)))</f>
        <v>7.1202531645569667E-2</v>
      </c>
      <c r="G159" s="373">
        <f ca="1"/>
        <v>102.72485964615674</v>
      </c>
      <c r="H159" s="373">
        <f ca="1"/>
        <v>106.65726706690198</v>
      </c>
      <c r="I159" s="373">
        <f ca="1"/>
        <v>110.60373106634856</v>
      </c>
      <c r="J159" s="373">
        <f ca="1"/>
        <v>114.63688698322278</v>
      </c>
      <c r="K159" s="373">
        <f ca="1"/>
        <v>118.78114479545283</v>
      </c>
      <c r="L159" s="373">
        <f ca="1"/>
        <v>123.02970321095891</v>
      </c>
      <c r="M159" s="373">
        <f ca="1"/>
        <v>127.35283585553063</v>
      </c>
      <c r="N159" s="373">
        <f ca="1"/>
        <v>131.70252051227649</v>
      </c>
      <c r="O159" s="373">
        <f ca="1"/>
        <v>136.04180252091055</v>
      </c>
      <c r="P159" s="373">
        <f ca="1"/>
        <v>140.33700138704771</v>
      </c>
      <c r="Q159" s="373">
        <f ca="1"/>
        <v>144.55693743244137</v>
      </c>
      <c r="R159" s="373">
        <f ca="1"/>
        <v>148.66858223358977</v>
      </c>
      <c r="S159" s="373">
        <f ca="1"/>
        <v>152.63988076952282</v>
      </c>
      <c r="T159" s="373">
        <f ca="1"/>
        <v>156.44619378682421</v>
      </c>
      <c r="U159" s="373">
        <f ca="1"/>
        <v>160.06382260629826</v>
      </c>
      <c r="V159" s="373">
        <f ca="1"/>
        <v>163.46877133996136</v>
      </c>
      <c r="W159" s="373">
        <f ca="1"/>
        <v>166.63864042225347</v>
      </c>
      <c r="X159" s="373">
        <f ca="1"/>
        <v>169.55841868681281</v>
      </c>
      <c r="Y159" s="373">
        <f ca="1"/>
        <v>172.21590934766758</v>
      </c>
      <c r="Z159" s="373">
        <f ca="1"/>
        <v>174.59809467567575</v>
      </c>
      <c r="AA159" s="373">
        <f ca="1"/>
        <v>176.69474208889088</v>
      </c>
      <c r="AB159" s="373">
        <f ca="1"/>
        <v>178.49486381115676</v>
      </c>
      <c r="AC159" s="373">
        <f ca="1"/>
        <v>179.99128917702785</v>
      </c>
      <c r="AD159" s="373">
        <f ca="1"/>
        <v>181.17990463512214</v>
      </c>
      <c r="AE159" s="373">
        <f ca="1"/>
        <v>182.05536164268278</v>
      </c>
      <c r="AF159" s="373">
        <f ca="1"/>
        <v>182.61289105246303</v>
      </c>
      <c r="AG159" s="373">
        <f ca="1"/>
        <v>182.85080611203674</v>
      </c>
      <c r="AH159" s="373">
        <f ca="1"/>
        <v>182.76896455506909</v>
      </c>
      <c r="AI159" s="373">
        <f ca="1"/>
        <v>182.36575623456375</v>
      </c>
      <c r="AJ159" s="373">
        <f ca="1"/>
        <v>181.64036723537555</v>
      </c>
      <c r="AK159" s="373">
        <f ca="1"/>
        <v>180.59340195033658</v>
      </c>
    </row>
    <row r="160" spans="2:37">
      <c r="B160" s="329">
        <v>2</v>
      </c>
      <c r="C160" s="329">
        <v>7</v>
      </c>
      <c r="D160" s="330" t="str">
        <v>Veículos Comerciais com 6 Eixos Articulado</v>
      </c>
      <c r="E160" s="330" t="str">
        <v>Pesados II</v>
      </c>
      <c r="F160" s="51" cm="1">
        <f t="array" ref="F160">INDEX(C$134:E$137,B160,MATCH(E160,_xlfn.ANCHORARRAY(C$133)))</f>
        <v>7.1202531645569667E-2</v>
      </c>
      <c r="G160" s="373">
        <f ca="1"/>
        <v>949.95068227238028</v>
      </c>
      <c r="H160" s="373">
        <f ca="1"/>
        <v>986.3157172325391</v>
      </c>
      <c r="I160" s="373">
        <f ca="1"/>
        <v>1022.8107407521738</v>
      </c>
      <c r="J160" s="373">
        <f ca="1"/>
        <v>1060.1074499240603</v>
      </c>
      <c r="K160" s="373">
        <f ca="1"/>
        <v>1098.4315766232965</v>
      </c>
      <c r="L160" s="373">
        <f ca="1"/>
        <v>1137.7202257330259</v>
      </c>
      <c r="M160" s="373">
        <f ca="1"/>
        <v>1177.6985018719367</v>
      </c>
      <c r="N160" s="373">
        <f ca="1"/>
        <v>1217.9223184006557</v>
      </c>
      <c r="O160" s="373">
        <f ca="1"/>
        <v>1258.04993618347</v>
      </c>
      <c r="P160" s="373">
        <f ca="1"/>
        <v>1297.7698940148764</v>
      </c>
      <c r="Q160" s="373">
        <f ca="1"/>
        <v>1336.7938570485171</v>
      </c>
      <c r="R160" s="373">
        <f ca="1"/>
        <v>1374.816394120523</v>
      </c>
      <c r="S160" s="373">
        <f ca="1"/>
        <v>1411.5410756310328</v>
      </c>
      <c r="T160" s="373">
        <f ca="1"/>
        <v>1446.740049474196</v>
      </c>
      <c r="U160" s="373">
        <f ca="1"/>
        <v>1480.19416152755</v>
      </c>
      <c r="V160" s="373">
        <f ca="1"/>
        <v>1511.6815092230088</v>
      </c>
      <c r="W160" s="373">
        <f ca="1"/>
        <v>1540.9949520236109</v>
      </c>
      <c r="X160" s="373">
        <f ca="1"/>
        <v>1567.9956737968628</v>
      </c>
      <c r="Y160" s="373">
        <f ca="1"/>
        <v>1592.570884462589</v>
      </c>
      <c r="Z160" s="373">
        <f ca="1"/>
        <v>1614.6002022483278</v>
      </c>
      <c r="AA160" s="373">
        <f ca="1"/>
        <v>1633.9890010992478</v>
      </c>
      <c r="AB160" s="373">
        <f ca="1"/>
        <v>1650.6356712833701</v>
      </c>
      <c r="AC160" s="373">
        <f ca="1"/>
        <v>1664.4739018944947</v>
      </c>
      <c r="AD160" s="373">
        <f ca="1"/>
        <v>1675.4656527643965</v>
      </c>
      <c r="AE160" s="373">
        <f ca="1"/>
        <v>1683.5614631115413</v>
      </c>
      <c r="AF160" s="373">
        <f ca="1"/>
        <v>1688.7172301287171</v>
      </c>
      <c r="AG160" s="373">
        <f ca="1"/>
        <v>1690.9173555311113</v>
      </c>
      <c r="AH160" s="373">
        <f ca="1"/>
        <v>1690.1605237072722</v>
      </c>
      <c r="AI160" s="373">
        <f ca="1"/>
        <v>1686.4318447829951</v>
      </c>
      <c r="AJ160" s="373">
        <f ca="1"/>
        <v>1679.7237920578291</v>
      </c>
      <c r="AK160" s="373">
        <f ca="1"/>
        <v>1670.0419546694491</v>
      </c>
    </row>
    <row r="161" spans="2:37">
      <c r="B161" s="329">
        <v>2</v>
      </c>
      <c r="C161" s="329">
        <v>8</v>
      </c>
      <c r="D161" s="330" t="str">
        <v>Veículos Comerciais com 7 Eixos Articulado</v>
      </c>
      <c r="E161" s="330" t="str">
        <v>Pesados II</v>
      </c>
      <c r="F161" s="51" cm="1">
        <f t="array" ref="F161">INDEX(C$134:E$137,B161,MATCH(E161,_xlfn.ANCHORARRAY(C$133)))</f>
        <v>7.1202531645569667E-2</v>
      </c>
      <c r="G161" s="373">
        <f ca="1"/>
        <v>34.580645821478512</v>
      </c>
      <c r="H161" s="373">
        <f ca="1"/>
        <v>35.904426537372949</v>
      </c>
      <c r="I161" s="373">
        <f ca="1"/>
        <v>37.23293917085001</v>
      </c>
      <c r="J161" s="373">
        <f ca="1"/>
        <v>38.590635222075001</v>
      </c>
      <c r="K161" s="373">
        <f ca="1"/>
        <v>39.985731911340558</v>
      </c>
      <c r="L161" s="373">
        <f ca="1"/>
        <v>41.415939694778245</v>
      </c>
      <c r="M161" s="373">
        <f ca="1"/>
        <v>42.871251674139025</v>
      </c>
      <c r="N161" s="373">
        <f ca="1"/>
        <v>44.335501954627723</v>
      </c>
      <c r="O161" s="373">
        <f ca="1"/>
        <v>45.796250353573853</v>
      </c>
      <c r="P161" s="373">
        <f ca="1"/>
        <v>47.242158882768528</v>
      </c>
      <c r="Q161" s="373">
        <f ca="1"/>
        <v>48.66273141290106</v>
      </c>
      <c r="R161" s="373">
        <f ca="1"/>
        <v>50.046849464772791</v>
      </c>
      <c r="S161" s="373">
        <f ca="1"/>
        <v>51.383722239245309</v>
      </c>
      <c r="T161" s="373">
        <f ca="1"/>
        <v>52.66505533417844</v>
      </c>
      <c r="U161" s="373">
        <f ca="1"/>
        <v>53.882870976377632</v>
      </c>
      <c r="V161" s="373">
        <f ca="1"/>
        <v>55.029091342165216</v>
      </c>
      <c r="W161" s="373">
        <f ca="1"/>
        <v>56.096175983728891</v>
      </c>
      <c r="X161" s="373">
        <f ca="1"/>
        <v>57.079071637144907</v>
      </c>
      <c r="Y161" s="373">
        <f ca="1"/>
        <v>57.973672453670268</v>
      </c>
      <c r="Z161" s="373">
        <f ca="1"/>
        <v>58.775596227455196</v>
      </c>
      <c r="AA161" s="373">
        <f ca="1"/>
        <v>59.481398326953354</v>
      </c>
      <c r="AB161" s="373">
        <f ca="1"/>
        <v>60.087379896825041</v>
      </c>
      <c r="AC161" s="373">
        <f ca="1"/>
        <v>60.591127049692531</v>
      </c>
      <c r="AD161" s="373">
        <f ca="1"/>
        <v>60.991255025684666</v>
      </c>
      <c r="AE161" s="373">
        <f ca="1"/>
        <v>61.28596332525953</v>
      </c>
      <c r="AF161" s="373">
        <f ca="1"/>
        <v>61.47364649290833</v>
      </c>
      <c r="AG161" s="373">
        <f ca="1"/>
        <v>61.553736710982641</v>
      </c>
      <c r="AH161" s="373">
        <f ca="1"/>
        <v>61.526186087845012</v>
      </c>
      <c r="AI161" s="373">
        <f ca="1"/>
        <v>61.390452593813521</v>
      </c>
      <c r="AJ161" s="373">
        <f ca="1"/>
        <v>61.146262237651158</v>
      </c>
      <c r="AK161" s="373">
        <f ca="1"/>
        <v>60.793818478331119</v>
      </c>
    </row>
    <row r="162" spans="2:37">
      <c r="B162" s="329">
        <v>2</v>
      </c>
      <c r="C162" s="329">
        <v>9</v>
      </c>
      <c r="D162" s="330" t="str">
        <v>Veículos Comerciais com 8 Eixos Articulado</v>
      </c>
      <c r="E162" s="330" t="str">
        <v>Pesados II</v>
      </c>
      <c r="F162" s="51" cm="1">
        <f t="array" ref="F162">INDEX(C$134:E$137,B162,MATCH(E162,_xlfn.ANCHORARRAY(C$133)))</f>
        <v>7.1202531645569667E-2</v>
      </c>
      <c r="G162" s="373">
        <f ca="1"/>
        <v>0</v>
      </c>
      <c r="H162" s="373">
        <f ca="1"/>
        <v>0</v>
      </c>
      <c r="I162" s="373">
        <f ca="1"/>
        <v>0</v>
      </c>
      <c r="J162" s="373">
        <f ca="1"/>
        <v>0</v>
      </c>
      <c r="K162" s="373">
        <f ca="1"/>
        <v>0</v>
      </c>
      <c r="L162" s="373">
        <f ca="1"/>
        <v>0</v>
      </c>
      <c r="M162" s="373">
        <f ca="1"/>
        <v>0</v>
      </c>
      <c r="N162" s="373">
        <f ca="1"/>
        <v>0</v>
      </c>
      <c r="O162" s="373">
        <f ca="1"/>
        <v>0</v>
      </c>
      <c r="P162" s="373">
        <f ca="1"/>
        <v>0</v>
      </c>
      <c r="Q162" s="373">
        <f ca="1"/>
        <v>0</v>
      </c>
      <c r="R162" s="373">
        <f ca="1"/>
        <v>0</v>
      </c>
      <c r="S162" s="373">
        <f ca="1"/>
        <v>0</v>
      </c>
      <c r="T162" s="373">
        <f ca="1"/>
        <v>0</v>
      </c>
      <c r="U162" s="373">
        <f ca="1"/>
        <v>0</v>
      </c>
      <c r="V162" s="373">
        <f ca="1"/>
        <v>0</v>
      </c>
      <c r="W162" s="373">
        <f ca="1"/>
        <v>0</v>
      </c>
      <c r="X162" s="373">
        <f ca="1"/>
        <v>0</v>
      </c>
      <c r="Y162" s="373">
        <f ca="1"/>
        <v>0</v>
      </c>
      <c r="Z162" s="373">
        <f ca="1"/>
        <v>0</v>
      </c>
      <c r="AA162" s="373">
        <f ca="1"/>
        <v>0</v>
      </c>
      <c r="AB162" s="373">
        <f ca="1"/>
        <v>0</v>
      </c>
      <c r="AC162" s="373">
        <f ca="1"/>
        <v>0</v>
      </c>
      <c r="AD162" s="373">
        <f ca="1"/>
        <v>0</v>
      </c>
      <c r="AE162" s="373">
        <f ca="1"/>
        <v>0</v>
      </c>
      <c r="AF162" s="373">
        <f ca="1"/>
        <v>0</v>
      </c>
      <c r="AG162" s="373">
        <f ca="1"/>
        <v>0</v>
      </c>
      <c r="AH162" s="373">
        <f ca="1"/>
        <v>0</v>
      </c>
      <c r="AI162" s="373">
        <f ca="1"/>
        <v>0</v>
      </c>
      <c r="AJ162" s="373">
        <f ca="1"/>
        <v>0</v>
      </c>
      <c r="AK162" s="373">
        <f ca="1"/>
        <v>0</v>
      </c>
    </row>
    <row r="163" spans="2:37">
      <c r="B163" s="329">
        <v>2</v>
      </c>
      <c r="C163" s="329">
        <v>10</v>
      </c>
      <c r="D163" s="330" t="str">
        <v>Veículos Comerciais com 9 Eixos Articulado</v>
      </c>
      <c r="E163" s="330" t="str">
        <v>Pesados II</v>
      </c>
      <c r="F163" s="51" cm="1">
        <f t="array" ref="F163">INDEX(C$134:E$137,B163,MATCH(E163,_xlfn.ANCHORARRAY(C$133)))</f>
        <v>7.1202531645569667E-2</v>
      </c>
      <c r="G163" s="373">
        <f ca="1"/>
        <v>19.324478547296817</v>
      </c>
      <c r="H163" s="373">
        <f ca="1"/>
        <v>20.064238359120179</v>
      </c>
      <c r="I163" s="373">
        <f ca="1"/>
        <v>20.806642477827953</v>
      </c>
      <c r="J163" s="373">
        <f ca="1"/>
        <v>21.565354977041917</v>
      </c>
      <c r="K163" s="373">
        <f ca="1"/>
        <v>22.344967832807967</v>
      </c>
      <c r="L163" s="373">
        <f ca="1"/>
        <v>23.144201594140789</v>
      </c>
      <c r="M163" s="373">
        <f ca="1"/>
        <v>23.9574641708424</v>
      </c>
      <c r="N163" s="373">
        <f ca="1"/>
        <v>24.775721680527262</v>
      </c>
      <c r="O163" s="373">
        <f ca="1"/>
        <v>25.592022256408924</v>
      </c>
      <c r="P163" s="373">
        <f ca="1"/>
        <v>26.400029963900064</v>
      </c>
      <c r="Q163" s="373">
        <f ca="1"/>
        <v>27.193879318974126</v>
      </c>
      <c r="R163" s="373">
        <f ca="1"/>
        <v>27.967357053843624</v>
      </c>
      <c r="S163" s="373">
        <f ca="1"/>
        <v>28.714433016048854</v>
      </c>
      <c r="T163" s="373">
        <f ca="1"/>
        <v>29.43047209851149</v>
      </c>
      <c r="U163" s="373">
        <f ca="1"/>
        <v>30.111016133858094</v>
      </c>
      <c r="V163" s="373">
        <f ca="1"/>
        <v>30.751551044151157</v>
      </c>
      <c r="W163" s="373">
        <f ca="1"/>
        <v>31.347863049730861</v>
      </c>
      <c r="X163" s="373">
        <f ca="1"/>
        <v>31.897128267816282</v>
      </c>
      <c r="Y163" s="373">
        <f ca="1"/>
        <v>32.397052253521636</v>
      </c>
      <c r="Z163" s="373">
        <f ca="1"/>
        <v>32.845186127107326</v>
      </c>
      <c r="AA163" s="373">
        <f ca="1"/>
        <v>33.239604947415124</v>
      </c>
      <c r="AB163" s="373">
        <f ca="1"/>
        <v>33.578241707049301</v>
      </c>
      <c r="AC163" s="373">
        <f ca="1"/>
        <v>33.859747468945841</v>
      </c>
      <c r="AD163" s="373">
        <f ca="1"/>
        <v>34.083348396706157</v>
      </c>
      <c r="AE163" s="373">
        <f ca="1"/>
        <v>34.248038328821515</v>
      </c>
      <c r="AF163" s="373">
        <f ca="1"/>
        <v>34.352920098978196</v>
      </c>
      <c r="AG163" s="373">
        <f ca="1"/>
        <v>34.397676397313838</v>
      </c>
      <c r="AH163" s="373">
        <f ca="1"/>
        <v>34.382280460854581</v>
      </c>
      <c r="AI163" s="373">
        <f ca="1"/>
        <v>34.306429390660512</v>
      </c>
      <c r="AJ163" s="373">
        <f ca="1"/>
        <v>34.169970073981546</v>
      </c>
      <c r="AK163" s="373">
        <f ca="1"/>
        <v>33.973016208479166</v>
      </c>
    </row>
    <row r="164" spans="2:37">
      <c r="B164" s="329">
        <v>2</v>
      </c>
      <c r="C164" s="329">
        <v>11</v>
      </c>
      <c r="D164" s="330" t="str">
        <v>Motocicleta</v>
      </c>
      <c r="E164" s="330" t="str">
        <v>Leves</v>
      </c>
      <c r="F164" s="51" cm="1">
        <f t="array" ref="F164">INDEX(C$134:E$137,B164,MATCH(E164,_xlfn.ANCHORARRAY(C$133)))</f>
        <v>4.0490447676076458E-2</v>
      </c>
      <c r="G164" s="373">
        <f ca="1"/>
        <v>836.33638891156295</v>
      </c>
      <c r="H164" s="373">
        <f ca="1"/>
        <v>871.82596663857134</v>
      </c>
      <c r="I164" s="373">
        <f ca="1"/>
        <v>907.88648583766258</v>
      </c>
      <c r="J164" s="373">
        <f ca="1"/>
        <v>945.36503650368115</v>
      </c>
      <c r="K164" s="373">
        <f ca="1"/>
        <v>984.5959314715617</v>
      </c>
      <c r="L164" s="373">
        <f ca="1"/>
        <v>1025.5756431188458</v>
      </c>
      <c r="M164" s="373">
        <f ca="1"/>
        <v>1068.059026875165</v>
      </c>
      <c r="N164" s="373">
        <f ca="1"/>
        <v>1111.59722031511</v>
      </c>
      <c r="O164" s="373">
        <f ca="1"/>
        <v>1155.840467202245</v>
      </c>
      <c r="P164" s="373">
        <f ca="1"/>
        <v>1200.4671207093795</v>
      </c>
      <c r="Q164" s="373">
        <f ca="1"/>
        <v>1245.1719684878665</v>
      </c>
      <c r="R164" s="373">
        <f ca="1"/>
        <v>1289.6261869208699</v>
      </c>
      <c r="S164" s="373">
        <f ca="1"/>
        <v>1333.5031228958305</v>
      </c>
      <c r="T164" s="373">
        <f ca="1"/>
        <v>1376.5377567809016</v>
      </c>
      <c r="U164" s="373">
        <f ca="1"/>
        <v>1418.4661289070339</v>
      </c>
      <c r="V164" s="373">
        <f ca="1"/>
        <v>1459.0125607153054</v>
      </c>
      <c r="W164" s="373">
        <f ca="1"/>
        <v>1497.9111136646122</v>
      </c>
      <c r="X164" s="373">
        <f ca="1"/>
        <v>1534.9615739331446</v>
      </c>
      <c r="Y164" s="373">
        <f ca="1"/>
        <v>1569.9896066098333</v>
      </c>
      <c r="Z164" s="373">
        <f ca="1"/>
        <v>1602.8116016895967</v>
      </c>
      <c r="AA164" s="373">
        <f ca="1"/>
        <v>1633.2671049404451</v>
      </c>
      <c r="AB164" s="373">
        <f ca="1"/>
        <v>1661.1882234918078</v>
      </c>
      <c r="AC164" s="373">
        <f ca="1"/>
        <v>1686.4426258219137</v>
      </c>
      <c r="AD164" s="373">
        <f ca="1"/>
        <v>1708.9277765303516</v>
      </c>
      <c r="AE164" s="373">
        <f ca="1"/>
        <v>1728.5311215590909</v>
      </c>
      <c r="AF164" s="373">
        <f ca="1"/>
        <v>1745.1457904373108</v>
      </c>
      <c r="AG164" s="373">
        <f ca="1"/>
        <v>1758.694324999281</v>
      </c>
      <c r="AH164" s="373">
        <f ca="1"/>
        <v>1769.1130151335362</v>
      </c>
      <c r="AI164" s="373">
        <f ca="1"/>
        <v>1776.3232116216382</v>
      </c>
      <c r="AJ164" s="373">
        <f ca="1"/>
        <v>1780.2542215377755</v>
      </c>
      <c r="AK164" s="373">
        <f ca="1"/>
        <v>1780.8505283192264</v>
      </c>
    </row>
    <row r="165" spans="2:37">
      <c r="B165" s="329">
        <v>2</v>
      </c>
      <c r="C165" s="329">
        <v>12</v>
      </c>
      <c r="D165" s="330" t="str">
        <v xml:space="preserve">Veículos do transporte público coletivo intermunicipal e metropolitano </v>
      </c>
      <c r="E165" s="330" t="str">
        <v>Pesados I</v>
      </c>
      <c r="F165" s="51" cm="1">
        <f t="array" ref="F165">INDEX(C$134:E$137,B165,MATCH(E165,_xlfn.ANCHORARRAY(C$133)))</f>
        <v>7.0700203942896001E-2</v>
      </c>
      <c r="G165" s="373">
        <f ca="1"/>
        <v>43.261587769767495</v>
      </c>
      <c r="H165" s="373">
        <f ca="1"/>
        <v>44.380927257404174</v>
      </c>
      <c r="I165" s="373">
        <f ca="1"/>
        <v>45.476961456857495</v>
      </c>
      <c r="J165" s="373">
        <f ca="1"/>
        <v>46.562336454486228</v>
      </c>
      <c r="K165" s="373">
        <f ca="1"/>
        <v>47.639826624276587</v>
      </c>
      <c r="L165" s="373">
        <f ca="1"/>
        <v>48.70621595271124</v>
      </c>
      <c r="M165" s="373">
        <f ca="1"/>
        <v>49.753652982126447</v>
      </c>
      <c r="N165" s="373">
        <f ca="1"/>
        <v>50.771070440219653</v>
      </c>
      <c r="O165" s="373">
        <f ca="1"/>
        <v>51.750584890224957</v>
      </c>
      <c r="P165" s="373">
        <f ca="1"/>
        <v>52.685300734686713</v>
      </c>
      <c r="Q165" s="373">
        <f ca="1"/>
        <v>53.569247549095351</v>
      </c>
      <c r="R165" s="373">
        <f ca="1"/>
        <v>54.39618530633728</v>
      </c>
      <c r="S165" s="373">
        <f ca="1"/>
        <v>55.160331471023689</v>
      </c>
      <c r="T165" s="373">
        <f ca="1"/>
        <v>55.858014484963263</v>
      </c>
      <c r="U165" s="373">
        <f ca="1"/>
        <v>56.485964226931678</v>
      </c>
      <c r="V165" s="373">
        <f ca="1"/>
        <v>57.041013637740143</v>
      </c>
      <c r="W165" s="373">
        <f ca="1"/>
        <v>57.520426100008379</v>
      </c>
      <c r="X165" s="373">
        <f ca="1"/>
        <v>57.923298164276154</v>
      </c>
      <c r="Y165" s="373">
        <f ca="1"/>
        <v>58.249277623939591</v>
      </c>
      <c r="Z165" s="373">
        <f ca="1"/>
        <v>58.497680696797211</v>
      </c>
      <c r="AA165" s="373">
        <f ca="1"/>
        <v>58.668459300603814</v>
      </c>
      <c r="AB165" s="373">
        <f ca="1"/>
        <v>58.76121517700507</v>
      </c>
      <c r="AC165" s="373">
        <f ca="1"/>
        <v>58.776363559696428</v>
      </c>
      <c r="AD165" s="373">
        <f ca="1"/>
        <v>58.714902736888817</v>
      </c>
      <c r="AE165" s="373">
        <f ca="1"/>
        <v>58.577320152991582</v>
      </c>
      <c r="AF165" s="373">
        <f ca="1"/>
        <v>58.364102718867784</v>
      </c>
      <c r="AG165" s="373">
        <f ca="1"/>
        <v>58.076371099859571</v>
      </c>
      <c r="AH165" s="373">
        <f ca="1"/>
        <v>57.715533967913821</v>
      </c>
      <c r="AI165" s="373">
        <f ca="1"/>
        <v>57.282537286470713</v>
      </c>
      <c r="AJ165" s="373">
        <f ca="1"/>
        <v>56.778392554846185</v>
      </c>
      <c r="AK165" s="373">
        <f ca="1"/>
        <v>56.204300475937245</v>
      </c>
    </row>
    <row r="166" spans="2:37">
      <c r="B166" s="329">
        <v>3</v>
      </c>
      <c r="C166" s="329">
        <v>1</v>
      </c>
      <c r="D166" s="330" t="str">
        <v>Automóvel</v>
      </c>
      <c r="E166" s="330" t="str">
        <v>Leves</v>
      </c>
      <c r="F166" s="51" cm="1">
        <f t="array" ref="F166">INDEX(C$134:E$137,B166,MATCH(E166,_xlfn.ANCHORARRAY(C$133)))</f>
        <v>0.12642400666851905</v>
      </c>
      <c r="G166" s="373">
        <f ca="1"/>
        <v>2882.4408979025884</v>
      </c>
      <c r="H166" s="373">
        <f ca="1"/>
        <v>3004.7560472203813</v>
      </c>
      <c r="I166" s="373">
        <f ca="1"/>
        <v>3129.0389514646126</v>
      </c>
      <c r="J166" s="373">
        <f ca="1"/>
        <v>3258.2091139328986</v>
      </c>
      <c r="K166" s="373">
        <f ca="1"/>
        <v>3393.4187468222517</v>
      </c>
      <c r="L166" s="373">
        <f ca="1"/>
        <v>3534.6556921500933</v>
      </c>
      <c r="M166" s="373">
        <f ca="1"/>
        <v>3681.075056946444</v>
      </c>
      <c r="N166" s="373">
        <f ca="1"/>
        <v>3831.129832818885</v>
      </c>
      <c r="O166" s="373">
        <f ca="1"/>
        <v>3983.6145817480201</v>
      </c>
      <c r="P166" s="373">
        <f ca="1"/>
        <v>4137.4207450466192</v>
      </c>
      <c r="Q166" s="373">
        <f ca="1"/>
        <v>4291.4964056057897</v>
      </c>
      <c r="R166" s="373">
        <f ca="1"/>
        <v>4444.7082698681415</v>
      </c>
      <c r="S166" s="373">
        <f ca="1"/>
        <v>4595.9305249388271</v>
      </c>
      <c r="T166" s="373">
        <f ca="1"/>
        <v>4744.2497782694518</v>
      </c>
      <c r="U166" s="373">
        <f ca="1"/>
        <v>4888.7562904829501</v>
      </c>
      <c r="V166" s="373">
        <f ca="1"/>
        <v>5028.4999329427528</v>
      </c>
      <c r="W166" s="373">
        <f ca="1"/>
        <v>5162.5641460714342</v>
      </c>
      <c r="X166" s="373">
        <f ca="1"/>
        <v>5290.2588911286475</v>
      </c>
      <c r="Y166" s="373">
        <f ca="1"/>
        <v>5410.9833212730264</v>
      </c>
      <c r="Z166" s="373">
        <f ca="1"/>
        <v>5524.1046229681415</v>
      </c>
      <c r="AA166" s="373">
        <f ca="1"/>
        <v>5629.0697892581047</v>
      </c>
      <c r="AB166" s="373">
        <f ca="1"/>
        <v>5725.3001758521586</v>
      </c>
      <c r="AC166" s="373">
        <f ca="1"/>
        <v>5812.3397009685059</v>
      </c>
      <c r="AD166" s="373">
        <f ca="1"/>
        <v>5889.8349754260162</v>
      </c>
      <c r="AE166" s="373">
        <f ca="1"/>
        <v>5957.3980806498266</v>
      </c>
      <c r="AF166" s="373">
        <f ca="1"/>
        <v>6014.66068659959</v>
      </c>
      <c r="AG166" s="373">
        <f ca="1"/>
        <v>6061.3558330093902</v>
      </c>
      <c r="AH166" s="373">
        <f ca="1"/>
        <v>6097.263942406179</v>
      </c>
      <c r="AI166" s="373">
        <f ca="1"/>
        <v>6122.1139495501538</v>
      </c>
      <c r="AJ166" s="373">
        <f ca="1"/>
        <v>6135.6622106357217</v>
      </c>
      <c r="AK166" s="373">
        <f ca="1"/>
        <v>6137.7173873293823</v>
      </c>
    </row>
    <row r="167" spans="2:37">
      <c r="B167" s="329">
        <v>3</v>
      </c>
      <c r="C167" s="329">
        <v>2</v>
      </c>
      <c r="D167" s="330" t="str">
        <v xml:space="preserve">Automóvel com reboque </v>
      </c>
      <c r="E167" s="330" t="str">
        <v>Leves</v>
      </c>
      <c r="F167" s="51" cm="1">
        <f t="array" ref="F167">INDEX(C$134:E$137,B167,MATCH(E167,_xlfn.ANCHORARRAY(C$133)))</f>
        <v>0.12642400666851905</v>
      </c>
      <c r="G167" s="373">
        <f ca="1"/>
        <v>21.709585674035246</v>
      </c>
      <c r="H167" s="373">
        <f ca="1"/>
        <v>22.630822676771107</v>
      </c>
      <c r="I167" s="373">
        <f ca="1"/>
        <v>23.566880154817355</v>
      </c>
      <c r="J167" s="373">
        <f ca="1"/>
        <v>24.539746835509682</v>
      </c>
      <c r="K167" s="373">
        <f ca="1"/>
        <v>25.558100797702689</v>
      </c>
      <c r="L167" s="373">
        <f ca="1"/>
        <v>26.621850471517313</v>
      </c>
      <c r="M167" s="373">
        <f ca="1"/>
        <v>27.724632404252578</v>
      </c>
      <c r="N167" s="373">
        <f ca="1"/>
        <v>28.854795043483559</v>
      </c>
      <c r="O167" s="373">
        <f ca="1"/>
        <v>30.003259431173035</v>
      </c>
      <c r="P167" s="373">
        <f ca="1"/>
        <v>31.161676272175836</v>
      </c>
      <c r="Q167" s="373">
        <f ca="1"/>
        <v>32.322122876866608</v>
      </c>
      <c r="R167" s="373">
        <f ca="1"/>
        <v>33.476063655288982</v>
      </c>
      <c r="S167" s="373">
        <f ca="1"/>
        <v>34.615019359347549</v>
      </c>
      <c r="T167" s="373">
        <f ca="1"/>
        <v>35.732110620310827</v>
      </c>
      <c r="U167" s="373">
        <f ca="1"/>
        <v>36.820485583918142</v>
      </c>
      <c r="V167" s="373">
        <f ca="1"/>
        <v>37.872988197446269</v>
      </c>
      <c r="W167" s="373">
        <f ca="1"/>
        <v>38.882715239154926</v>
      </c>
      <c r="X167" s="373">
        <f ca="1"/>
        <v>39.844469566871012</v>
      </c>
      <c r="Y167" s="373">
        <f ca="1"/>
        <v>40.753725802124812</v>
      </c>
      <c r="Z167" s="373">
        <f ca="1"/>
        <v>41.605717803936699</v>
      </c>
      <c r="AA167" s="373">
        <f ca="1"/>
        <v>42.39628050793506</v>
      </c>
      <c r="AB167" s="373">
        <f ca="1"/>
        <v>43.121055757873158</v>
      </c>
      <c r="AC167" s="373">
        <f ca="1"/>
        <v>43.776608497537545</v>
      </c>
      <c r="AD167" s="373">
        <f ca="1"/>
        <v>44.360277117210678</v>
      </c>
      <c r="AE167" s="373">
        <f ca="1"/>
        <v>44.869139943271556</v>
      </c>
      <c r="AF167" s="373">
        <f ca="1"/>
        <v>45.300422836422804</v>
      </c>
      <c r="AG167" s="373">
        <f ca="1"/>
        <v>45.652115140775976</v>
      </c>
      <c r="AH167" s="373">
        <f ca="1"/>
        <v>45.922563071871267</v>
      </c>
      <c r="AI167" s="373">
        <f ca="1"/>
        <v>46.109725056522912</v>
      </c>
      <c r="AJ167" s="373">
        <f ca="1"/>
        <v>46.21176605066276</v>
      </c>
      <c r="AK167" s="373">
        <f ca="1"/>
        <v>46.227244957633154</v>
      </c>
    </row>
    <row r="168" spans="2:37">
      <c r="B168" s="329">
        <v>3</v>
      </c>
      <c r="C168" s="329">
        <v>3</v>
      </c>
      <c r="D168" s="330" t="str">
        <v>Veículos Comerciais com 2 Eixos</v>
      </c>
      <c r="E168" s="330" t="str">
        <v>Pesados I</v>
      </c>
      <c r="F168" s="51" cm="1">
        <f t="array" ref="F168">INDEX(C$134:E$137,B168,MATCH(E168,_xlfn.ANCHORARRAY(C$133)))</f>
        <v>0.20338983050847459</v>
      </c>
      <c r="G168" s="373">
        <f ca="1"/>
        <v>294.74528953482201</v>
      </c>
      <c r="H168" s="373">
        <f ca="1"/>
        <v>302.37145534101074</v>
      </c>
      <c r="I168" s="373">
        <f ca="1"/>
        <v>309.83884001438821</v>
      </c>
      <c r="J168" s="373">
        <f ca="1"/>
        <v>317.23360253749422</v>
      </c>
      <c r="K168" s="373">
        <f ca="1"/>
        <v>324.5746449827214</v>
      </c>
      <c r="L168" s="373">
        <f ca="1"/>
        <v>331.8400563457775</v>
      </c>
      <c r="M168" s="373">
        <f ca="1"/>
        <v>338.9763439029399</v>
      </c>
      <c r="N168" s="373">
        <f ca="1"/>
        <v>345.90810528117186</v>
      </c>
      <c r="O168" s="373">
        <f ca="1"/>
        <v>352.58162988010281</v>
      </c>
      <c r="P168" s="373">
        <f ca="1"/>
        <v>358.94993734202166</v>
      </c>
      <c r="Q168" s="373">
        <f ca="1"/>
        <v>364.97235060000963</v>
      </c>
      <c r="R168" s="373">
        <f ca="1"/>
        <v>370.6063557591055</v>
      </c>
      <c r="S168" s="373">
        <f ca="1"/>
        <v>375.81255585874248</v>
      </c>
      <c r="T168" s="373">
        <f ca="1"/>
        <v>380.56593622567516</v>
      </c>
      <c r="U168" s="373">
        <f ca="1"/>
        <v>384.8442172146855</v>
      </c>
      <c r="V168" s="373">
        <f ca="1"/>
        <v>388.62582135195203</v>
      </c>
      <c r="W168" s="373">
        <f ca="1"/>
        <v>391.89210380440983</v>
      </c>
      <c r="X168" s="373">
        <f ca="1"/>
        <v>394.63690928543008</v>
      </c>
      <c r="Y168" s="373">
        <f ca="1"/>
        <v>396.85783817810585</v>
      </c>
      <c r="Z168" s="373">
        <f ca="1"/>
        <v>398.5502318096203</v>
      </c>
      <c r="AA168" s="373">
        <f ca="1"/>
        <v>399.71376259108894</v>
      </c>
      <c r="AB168" s="373">
        <f ca="1"/>
        <v>400.3457171506729</v>
      </c>
      <c r="AC168" s="373">
        <f ca="1"/>
        <v>400.44892451481564</v>
      </c>
      <c r="AD168" s="373">
        <f ca="1"/>
        <v>400.03018611552517</v>
      </c>
      <c r="AE168" s="373">
        <f ca="1"/>
        <v>399.092822957669</v>
      </c>
      <c r="AF168" s="373">
        <f ca="1"/>
        <v>397.64015241101362</v>
      </c>
      <c r="AG168" s="373">
        <f ca="1"/>
        <v>395.67980967453718</v>
      </c>
      <c r="AH168" s="373">
        <f ca="1"/>
        <v>393.22139216345852</v>
      </c>
      <c r="AI168" s="373">
        <f ca="1"/>
        <v>390.27134481617287</v>
      </c>
      <c r="AJ168" s="373">
        <f ca="1"/>
        <v>386.83655907319633</v>
      </c>
      <c r="AK168" s="373">
        <f ca="1"/>
        <v>382.9252154369392</v>
      </c>
    </row>
    <row r="169" spans="2:37">
      <c r="B169" s="329">
        <v>3</v>
      </c>
      <c r="C169" s="329">
        <v>4</v>
      </c>
      <c r="D169" s="330" t="str">
        <v>Veículos Comerciais com 3 Eixos</v>
      </c>
      <c r="E169" s="330" t="str">
        <v>Pesados I</v>
      </c>
      <c r="F169" s="51" cm="1">
        <f t="array" ref="F169">INDEX(C$134:E$137,B169,MATCH(E169,_xlfn.ANCHORARRAY(C$133)))</f>
        <v>0.20338983050847459</v>
      </c>
      <c r="G169" s="373">
        <f ca="1"/>
        <v>136.32482959132579</v>
      </c>
      <c r="H169" s="373">
        <f ca="1"/>
        <v>139.85206409133988</v>
      </c>
      <c r="I169" s="373">
        <f ca="1"/>
        <v>143.30585955215182</v>
      </c>
      <c r="J169" s="373">
        <f ca="1"/>
        <v>146.72606600370105</v>
      </c>
      <c r="K169" s="373">
        <f ca="1"/>
        <v>150.12142598366114</v>
      </c>
      <c r="L169" s="373">
        <f ca="1"/>
        <v>153.48180527095246</v>
      </c>
      <c r="M169" s="373">
        <f ca="1"/>
        <v>156.78246254924267</v>
      </c>
      <c r="N169" s="373">
        <f ca="1"/>
        <v>159.98852290782071</v>
      </c>
      <c r="O169" s="373">
        <f ca="1"/>
        <v>163.07514425861009</v>
      </c>
      <c r="P169" s="373">
        <f ca="1"/>
        <v>166.02059736797588</v>
      </c>
      <c r="Q169" s="373">
        <f ca="1"/>
        <v>168.80606838405043</v>
      </c>
      <c r="R169" s="373">
        <f ca="1"/>
        <v>171.41189389000704</v>
      </c>
      <c r="S169" s="373">
        <f ca="1"/>
        <v>173.81985210545972</v>
      </c>
      <c r="T169" s="373">
        <f ca="1"/>
        <v>176.01837330838566</v>
      </c>
      <c r="U169" s="373">
        <f ca="1"/>
        <v>177.99715277485694</v>
      </c>
      <c r="V169" s="373">
        <f ca="1"/>
        <v>179.7462105474454</v>
      </c>
      <c r="W169" s="373">
        <f ca="1"/>
        <v>181.25692306614653</v>
      </c>
      <c r="X169" s="373">
        <f ca="1"/>
        <v>182.52644340369622</v>
      </c>
      <c r="Y169" s="373">
        <f ca="1"/>
        <v>183.55366169548407</v>
      </c>
      <c r="Z169" s="373">
        <f ca="1"/>
        <v>184.33642322419848</v>
      </c>
      <c r="AA169" s="373">
        <f ca="1"/>
        <v>184.87457647427522</v>
      </c>
      <c r="AB169" s="373">
        <f ca="1"/>
        <v>185.16686646398364</v>
      </c>
      <c r="AC169" s="373">
        <f ca="1"/>
        <v>185.21460166732322</v>
      </c>
      <c r="AD169" s="373">
        <f ca="1"/>
        <v>185.020927865049</v>
      </c>
      <c r="AE169" s="373">
        <f ca="1"/>
        <v>184.58738107974975</v>
      </c>
      <c r="AF169" s="373">
        <f ca="1"/>
        <v>183.91549565271652</v>
      </c>
      <c r="AG169" s="373">
        <f ca="1"/>
        <v>183.00880299644876</v>
      </c>
      <c r="AH169" s="373">
        <f ca="1"/>
        <v>181.87174208263033</v>
      </c>
      <c r="AI169" s="373">
        <f ca="1"/>
        <v>180.50729380751196</v>
      </c>
      <c r="AJ169" s="373">
        <f ca="1"/>
        <v>178.91864558235119</v>
      </c>
      <c r="AK169" s="373">
        <f ca="1"/>
        <v>177.10958103198155</v>
      </c>
    </row>
    <row r="170" spans="2:37">
      <c r="B170" s="329">
        <v>3</v>
      </c>
      <c r="C170" s="329">
        <v>5</v>
      </c>
      <c r="D170" s="330" t="str">
        <v>Veículos Comerciais com 4 Eixos</v>
      </c>
      <c r="E170" s="330" t="str">
        <v>Pesados I</v>
      </c>
      <c r="F170" s="51" cm="1">
        <f t="array" ref="F170">INDEX(C$134:E$137,B170,MATCH(E170,_xlfn.ANCHORARRAY(C$133)))</f>
        <v>0.20338983050847459</v>
      </c>
      <c r="G170" s="373">
        <f ca="1"/>
        <v>35.245093672412494</v>
      </c>
      <c r="H170" s="373">
        <f ca="1"/>
        <v>36.157016399403915</v>
      </c>
      <c r="I170" s="373">
        <f ca="1"/>
        <v>37.049952373771816</v>
      </c>
      <c r="J170" s="373">
        <f ca="1"/>
        <v>37.934204326444082</v>
      </c>
      <c r="K170" s="373">
        <f ca="1"/>
        <v>38.812032532090839</v>
      </c>
      <c r="L170" s="373">
        <f ca="1"/>
        <v>39.680816913560214</v>
      </c>
      <c r="M170" s="373">
        <f ca="1"/>
        <v>40.534160910413959</v>
      </c>
      <c r="N170" s="373">
        <f ca="1"/>
        <v>41.363048047087716</v>
      </c>
      <c r="O170" s="373">
        <f ca="1"/>
        <v>42.1610557098588</v>
      </c>
      <c r="P170" s="373">
        <f ca="1"/>
        <v>42.922566074907529</v>
      </c>
      <c r="Q170" s="373">
        <f ca="1"/>
        <v>43.642715054206782</v>
      </c>
      <c r="R170" s="373">
        <f ca="1"/>
        <v>44.31641891524756</v>
      </c>
      <c r="S170" s="373">
        <f ca="1"/>
        <v>44.938966642740084</v>
      </c>
      <c r="T170" s="373">
        <f ca="1"/>
        <v>45.507367028570016</v>
      </c>
      <c r="U170" s="373">
        <f ca="1"/>
        <v>46.018955914189021</v>
      </c>
      <c r="V170" s="373">
        <f ca="1"/>
        <v>46.471153105398741</v>
      </c>
      <c r="W170" s="373">
        <f ca="1"/>
        <v>46.861729087729515</v>
      </c>
      <c r="X170" s="373">
        <f ca="1"/>
        <v>47.189947823451433</v>
      </c>
      <c r="Y170" s="373">
        <f ca="1"/>
        <v>47.455522370836611</v>
      </c>
      <c r="Z170" s="373">
        <f ca="1"/>
        <v>47.65789565445197</v>
      </c>
      <c r="AA170" s="373">
        <f ca="1"/>
        <v>47.79702850182781</v>
      </c>
      <c r="AB170" s="373">
        <f ca="1"/>
        <v>47.872596453004896</v>
      </c>
      <c r="AC170" s="373">
        <f ca="1"/>
        <v>47.884937797705049</v>
      </c>
      <c r="AD170" s="373">
        <f ca="1"/>
        <v>47.834865838521161</v>
      </c>
      <c r="AE170" s="373">
        <f ca="1"/>
        <v>47.722777695040229</v>
      </c>
      <c r="AF170" s="373">
        <f ca="1"/>
        <v>47.549070052170578</v>
      </c>
      <c r="AG170" s="373">
        <f ca="1"/>
        <v>47.314655912809144</v>
      </c>
      <c r="AH170" s="373">
        <f ca="1"/>
        <v>47.020682918022288</v>
      </c>
      <c r="AI170" s="373">
        <f ca="1"/>
        <v>46.667921741559624</v>
      </c>
      <c r="AJ170" s="373">
        <f ca="1"/>
        <v>46.257196449064075</v>
      </c>
      <c r="AK170" s="373">
        <f ca="1"/>
        <v>45.789485249803015</v>
      </c>
    </row>
    <row r="171" spans="2:37">
      <c r="B171" s="329">
        <v>3</v>
      </c>
      <c r="C171" s="329">
        <v>6</v>
      </c>
      <c r="D171" s="330" t="str">
        <v>Veículos Comerciais com 5 Eixos Articulado</v>
      </c>
      <c r="E171" s="330" t="str">
        <v>Pesados II</v>
      </c>
      <c r="F171" s="51" cm="1">
        <f t="array" ref="F171">INDEX(C$134:E$137,B171,MATCH(E171,_xlfn.ANCHORARRAY(C$133)))</f>
        <v>0.53694581280788178</v>
      </c>
      <c r="G171" s="373">
        <f ca="1"/>
        <v>6.2408630584693636</v>
      </c>
      <c r="H171" s="373">
        <f ca="1"/>
        <v>6.4797693591205903</v>
      </c>
      <c r="I171" s="373">
        <f ca="1"/>
        <v>6.71952964178793</v>
      </c>
      <c r="J171" s="373">
        <f ca="1"/>
        <v>6.9645567351066129</v>
      </c>
      <c r="K171" s="373">
        <f ca="1"/>
        <v>7.2163336231375057</v>
      </c>
      <c r="L171" s="373">
        <f ca="1"/>
        <v>7.4744471056811923</v>
      </c>
      <c r="M171" s="373">
        <f ca="1"/>
        <v>7.7370912106359766</v>
      </c>
      <c r="N171" s="373">
        <f ca="1"/>
        <v>8.0013484350681328</v>
      </c>
      <c r="O171" s="373">
        <f ca="1"/>
        <v>8.2649736654286041</v>
      </c>
      <c r="P171" s="373">
        <f ca="1"/>
        <v>8.5259207041959382</v>
      </c>
      <c r="Q171" s="373">
        <f ca="1"/>
        <v>8.7822952864101875</v>
      </c>
      <c r="R171" s="373">
        <f ca="1"/>
        <v>9.0320908299370721</v>
      </c>
      <c r="S171" s="373">
        <f ca="1"/>
        <v>9.2733598899526282</v>
      </c>
      <c r="T171" s="373">
        <f ca="1"/>
        <v>9.504605553178374</v>
      </c>
      <c r="U171" s="373">
        <f ca="1"/>
        <v>9.724388049221476</v>
      </c>
      <c r="V171" s="373">
        <f ca="1"/>
        <v>9.931249551306724</v>
      </c>
      <c r="W171" s="373">
        <f ca="1"/>
        <v>10.123829214340619</v>
      </c>
      <c r="X171" s="373">
        <f ca="1"/>
        <v>10.301215062060216</v>
      </c>
      <c r="Y171" s="373">
        <f ca="1"/>
        <v>10.462666100793044</v>
      </c>
      <c r="Z171" s="373">
        <f ca="1"/>
        <v>10.607391461949085</v>
      </c>
      <c r="AA171" s="373">
        <f ca="1"/>
        <v>10.734769483518953</v>
      </c>
      <c r="AB171" s="373">
        <f ca="1"/>
        <v>10.844132623034888</v>
      </c>
      <c r="AC171" s="373">
        <f ca="1"/>
        <v>10.935045239686689</v>
      </c>
      <c r="AD171" s="373">
        <f ca="1"/>
        <v>11.007257422099963</v>
      </c>
      <c r="AE171" s="373">
        <f ca="1"/>
        <v>11.060444229232951</v>
      </c>
      <c r="AF171" s="373">
        <f ca="1"/>
        <v>11.094315920170207</v>
      </c>
      <c r="AG171" s="373">
        <f ca="1"/>
        <v>11.108770019318762</v>
      </c>
      <c r="AH171" s="373">
        <f ca="1"/>
        <v>11.10379788354475</v>
      </c>
      <c r="AI171" s="373">
        <f ca="1"/>
        <v>11.079301691279538</v>
      </c>
      <c r="AJ171" s="373">
        <f ca="1"/>
        <v>11.035231994580537</v>
      </c>
      <c r="AK171" s="373">
        <f ca="1"/>
        <v>10.971625512241147</v>
      </c>
    </row>
    <row r="172" spans="2:37">
      <c r="B172" s="329">
        <v>3</v>
      </c>
      <c r="C172" s="329">
        <v>7</v>
      </c>
      <c r="D172" s="330" t="str">
        <v>Veículos Comerciais com 6 Eixos Articulado</v>
      </c>
      <c r="E172" s="330" t="str">
        <v>Pesados II</v>
      </c>
      <c r="F172" s="51" cm="1">
        <f t="array" ref="F172">INDEX(C$134:E$137,B172,MATCH(E172,_xlfn.ANCHORARRAY(C$133)))</f>
        <v>0.53694581280788178</v>
      </c>
      <c r="G172" s="373">
        <f ca="1"/>
        <v>48.886760624676683</v>
      </c>
      <c r="H172" s="373">
        <f ca="1"/>
        <v>50.758193313111292</v>
      </c>
      <c r="I172" s="373">
        <f ca="1"/>
        <v>52.636315527338787</v>
      </c>
      <c r="J172" s="373">
        <f ca="1"/>
        <v>54.555694425001811</v>
      </c>
      <c r="K172" s="373">
        <f ca="1"/>
        <v>56.527946714577141</v>
      </c>
      <c r="L172" s="373">
        <f ca="1"/>
        <v>58.549835661169354</v>
      </c>
      <c r="M172" s="373">
        <f ca="1"/>
        <v>60.607214483315147</v>
      </c>
      <c r="N172" s="373">
        <f ca="1"/>
        <v>62.677229408033703</v>
      </c>
      <c r="O172" s="373">
        <f ca="1"/>
        <v>64.742293712524074</v>
      </c>
      <c r="P172" s="373">
        <f ca="1"/>
        <v>66.786378849534856</v>
      </c>
      <c r="Q172" s="373">
        <f ca="1"/>
        <v>68.794646410213147</v>
      </c>
      <c r="R172" s="373">
        <f ca="1"/>
        <v>70.751378167840386</v>
      </c>
      <c r="S172" s="373">
        <f ca="1"/>
        <v>72.641319137962242</v>
      </c>
      <c r="T172" s="373">
        <f ca="1"/>
        <v>74.452743499897238</v>
      </c>
      <c r="U172" s="373">
        <f ca="1"/>
        <v>76.174373052234884</v>
      </c>
      <c r="V172" s="373">
        <f ca="1"/>
        <v>77.794788151902665</v>
      </c>
      <c r="W172" s="373">
        <f ca="1"/>
        <v>79.303328845668176</v>
      </c>
      <c r="X172" s="373">
        <f ca="1"/>
        <v>80.692851319471686</v>
      </c>
      <c r="Y172" s="373">
        <f ca="1"/>
        <v>81.957551122878826</v>
      </c>
      <c r="Z172" s="373">
        <f ca="1"/>
        <v>83.091233118601167</v>
      </c>
      <c r="AA172" s="373">
        <f ca="1"/>
        <v>84.089027620898449</v>
      </c>
      <c r="AB172" s="373">
        <f ca="1"/>
        <v>84.945705547106598</v>
      </c>
      <c r="AC172" s="373">
        <f ca="1"/>
        <v>85.657854377545718</v>
      </c>
      <c r="AD172" s="373">
        <f ca="1"/>
        <v>86.223516473116376</v>
      </c>
      <c r="AE172" s="373">
        <f ca="1"/>
        <v>86.640146462324779</v>
      </c>
      <c r="AF172" s="373">
        <f ca="1"/>
        <v>86.905474707999957</v>
      </c>
      <c r="AG172" s="373">
        <f ca="1"/>
        <v>87.018698484663645</v>
      </c>
      <c r="AH172" s="373">
        <f ca="1"/>
        <v>86.979750087767215</v>
      </c>
      <c r="AI172" s="373">
        <f ca="1"/>
        <v>86.787863248356402</v>
      </c>
      <c r="AJ172" s="373">
        <f ca="1"/>
        <v>86.44265062421421</v>
      </c>
      <c r="AK172" s="373">
        <f ca="1"/>
        <v>85.944399845889009</v>
      </c>
    </row>
    <row r="173" spans="2:37">
      <c r="B173" s="329">
        <v>3</v>
      </c>
      <c r="C173" s="329">
        <v>8</v>
      </c>
      <c r="D173" s="330" t="str">
        <v>Veículos Comerciais com 7 Eixos Articulado</v>
      </c>
      <c r="E173" s="330" t="str">
        <v>Pesados II</v>
      </c>
      <c r="F173" s="51" cm="1">
        <f t="array" ref="F173">INDEX(C$134:E$137,B173,MATCH(E173,_xlfn.ANCHORARRAY(C$133)))</f>
        <v>0.53694581280788178</v>
      </c>
      <c r="G173" s="373">
        <f ca="1"/>
        <v>13.001798038477842</v>
      </c>
      <c r="H173" s="373">
        <f ca="1"/>
        <v>13.499519498167894</v>
      </c>
      <c r="I173" s="373">
        <f ca="1"/>
        <v>13.999020087058186</v>
      </c>
      <c r="J173" s="373">
        <f ca="1"/>
        <v>14.509493198138777</v>
      </c>
      <c r="K173" s="373">
        <f ca="1"/>
        <v>15.034028381536471</v>
      </c>
      <c r="L173" s="373">
        <f ca="1"/>
        <v>15.571764803502486</v>
      </c>
      <c r="M173" s="373">
        <f ca="1"/>
        <v>16.118940022158284</v>
      </c>
      <c r="N173" s="373">
        <f ca="1"/>
        <v>16.669475906391941</v>
      </c>
      <c r="O173" s="373">
        <f ca="1"/>
        <v>17.218695136309591</v>
      </c>
      <c r="P173" s="373">
        <f ca="1"/>
        <v>17.762334800408205</v>
      </c>
      <c r="Q173" s="373">
        <f ca="1"/>
        <v>18.296448513354559</v>
      </c>
      <c r="R173" s="373">
        <f ca="1"/>
        <v>18.816855895702233</v>
      </c>
      <c r="S173" s="373">
        <f ca="1"/>
        <v>19.319499770734641</v>
      </c>
      <c r="T173" s="373">
        <f ca="1"/>
        <v>19.801261569121614</v>
      </c>
      <c r="U173" s="373">
        <f ca="1"/>
        <v>20.259141769211411</v>
      </c>
      <c r="V173" s="373">
        <f ca="1"/>
        <v>20.690103231889008</v>
      </c>
      <c r="W173" s="373">
        <f ca="1"/>
        <v>21.091310863209621</v>
      </c>
      <c r="X173" s="373">
        <f ca="1"/>
        <v>21.460864712625447</v>
      </c>
      <c r="Y173" s="373">
        <f ca="1"/>
        <v>21.797221043318835</v>
      </c>
      <c r="Z173" s="373">
        <f ca="1"/>
        <v>22.098732212393923</v>
      </c>
      <c r="AA173" s="373">
        <f ca="1"/>
        <v>22.364103090664482</v>
      </c>
      <c r="AB173" s="373">
        <f ca="1"/>
        <v>22.59194296465601</v>
      </c>
      <c r="AC173" s="373">
        <f ca="1"/>
        <v>22.781344249347267</v>
      </c>
      <c r="AD173" s="373">
        <f ca="1"/>
        <v>22.931786296041587</v>
      </c>
      <c r="AE173" s="373">
        <f ca="1"/>
        <v>23.042592144235311</v>
      </c>
      <c r="AF173" s="373">
        <f ca="1"/>
        <v>23.113158167021265</v>
      </c>
      <c r="AG173" s="373">
        <f ca="1"/>
        <v>23.143270873580754</v>
      </c>
      <c r="AH173" s="373">
        <f ca="1"/>
        <v>23.132912257384898</v>
      </c>
      <c r="AI173" s="373">
        <f ca="1"/>
        <v>23.081878523499039</v>
      </c>
      <c r="AJ173" s="373">
        <f ca="1"/>
        <v>22.990066655376115</v>
      </c>
      <c r="AK173" s="373">
        <f ca="1"/>
        <v>22.857553150502387</v>
      </c>
    </row>
    <row r="174" spans="2:37">
      <c r="B174" s="329">
        <v>3</v>
      </c>
      <c r="C174" s="329">
        <v>9</v>
      </c>
      <c r="D174" s="330" t="str">
        <v>Veículos Comerciais com 8 Eixos Articulado</v>
      </c>
      <c r="E174" s="330" t="str">
        <v>Pesados II</v>
      </c>
      <c r="F174" s="51" cm="1">
        <f t="array" ref="F174">INDEX(C$134:E$137,B174,MATCH(E174,_xlfn.ANCHORARRAY(C$133)))</f>
        <v>0.53694581280788178</v>
      </c>
      <c r="G174" s="373">
        <f ca="1"/>
        <v>0</v>
      </c>
      <c r="H174" s="373">
        <f ca="1"/>
        <v>0</v>
      </c>
      <c r="I174" s="373">
        <f ca="1"/>
        <v>0</v>
      </c>
      <c r="J174" s="373">
        <f ca="1"/>
        <v>0</v>
      </c>
      <c r="K174" s="373">
        <f ca="1"/>
        <v>0</v>
      </c>
      <c r="L174" s="373">
        <f ca="1"/>
        <v>0</v>
      </c>
      <c r="M174" s="373">
        <f ca="1"/>
        <v>0</v>
      </c>
      <c r="N174" s="373">
        <f ca="1"/>
        <v>0</v>
      </c>
      <c r="O174" s="373">
        <f ca="1"/>
        <v>0</v>
      </c>
      <c r="P174" s="373">
        <f ca="1"/>
        <v>0</v>
      </c>
      <c r="Q174" s="373">
        <f ca="1"/>
        <v>0</v>
      </c>
      <c r="R174" s="373">
        <f ca="1"/>
        <v>0</v>
      </c>
      <c r="S174" s="373">
        <f ca="1"/>
        <v>0</v>
      </c>
      <c r="T174" s="373">
        <f ca="1"/>
        <v>0</v>
      </c>
      <c r="U174" s="373">
        <f ca="1"/>
        <v>0</v>
      </c>
      <c r="V174" s="373">
        <f ca="1"/>
        <v>0</v>
      </c>
      <c r="W174" s="373">
        <f ca="1"/>
        <v>0</v>
      </c>
      <c r="X174" s="373">
        <f ca="1"/>
        <v>0</v>
      </c>
      <c r="Y174" s="373">
        <f ca="1"/>
        <v>0</v>
      </c>
      <c r="Z174" s="373">
        <f ca="1"/>
        <v>0</v>
      </c>
      <c r="AA174" s="373">
        <f ca="1"/>
        <v>0</v>
      </c>
      <c r="AB174" s="373">
        <f ca="1"/>
        <v>0</v>
      </c>
      <c r="AC174" s="373">
        <f ca="1"/>
        <v>0</v>
      </c>
      <c r="AD174" s="373">
        <f ca="1"/>
        <v>0</v>
      </c>
      <c r="AE174" s="373">
        <f ca="1"/>
        <v>0</v>
      </c>
      <c r="AF174" s="373">
        <f ca="1"/>
        <v>0</v>
      </c>
      <c r="AG174" s="373">
        <f ca="1"/>
        <v>0</v>
      </c>
      <c r="AH174" s="373">
        <f ca="1"/>
        <v>0</v>
      </c>
      <c r="AI174" s="373">
        <f ca="1"/>
        <v>0</v>
      </c>
      <c r="AJ174" s="373">
        <f ca="1"/>
        <v>0</v>
      </c>
      <c r="AK174" s="373">
        <f ca="1"/>
        <v>0</v>
      </c>
    </row>
    <row r="175" spans="2:37">
      <c r="B175" s="329">
        <v>3</v>
      </c>
      <c r="C175" s="329">
        <v>10</v>
      </c>
      <c r="D175" s="330" t="str">
        <v>Veículos Comerciais com 9 Eixos Articulado</v>
      </c>
      <c r="E175" s="330" t="str">
        <v>Pesados II</v>
      </c>
      <c r="F175" s="51" cm="1">
        <f t="array" ref="F175">INDEX(C$134:E$137,B175,MATCH(E175,_xlfn.ANCHORARRAY(C$133)))</f>
        <v>0.53694581280788178</v>
      </c>
      <c r="G175" s="373">
        <f ca="1"/>
        <v>7.8010788230867032</v>
      </c>
      <c r="H175" s="373">
        <f ca="1"/>
        <v>8.0997116989007356</v>
      </c>
      <c r="I175" s="373">
        <f ca="1"/>
        <v>8.3994120522349096</v>
      </c>
      <c r="J175" s="373">
        <f ca="1"/>
        <v>8.7056959188832632</v>
      </c>
      <c r="K175" s="373">
        <f ca="1"/>
        <v>9.0204170289218801</v>
      </c>
      <c r="L175" s="373">
        <f ca="1"/>
        <v>9.3430588821014879</v>
      </c>
      <c r="M175" s="373">
        <f ca="1"/>
        <v>9.6713640132949674</v>
      </c>
      <c r="N175" s="373">
        <f ca="1"/>
        <v>10.001685543835162</v>
      </c>
      <c r="O175" s="373">
        <f ca="1"/>
        <v>10.33121708178575</v>
      </c>
      <c r="P175" s="373">
        <f ca="1"/>
        <v>10.65740088024492</v>
      </c>
      <c r="Q175" s="373">
        <f ca="1"/>
        <v>10.977869108012731</v>
      </c>
      <c r="R175" s="373">
        <f ca="1"/>
        <v>11.290113537421334</v>
      </c>
      <c r="S175" s="373">
        <f ca="1"/>
        <v>11.591699862440779</v>
      </c>
      <c r="T175" s="373">
        <f ca="1"/>
        <v>11.88075694147296</v>
      </c>
      <c r="U175" s="373">
        <f ca="1"/>
        <v>12.155485061526839</v>
      </c>
      <c r="V175" s="373">
        <f ca="1"/>
        <v>12.414061939133399</v>
      </c>
      <c r="W175" s="373">
        <f ca="1"/>
        <v>12.654786517925766</v>
      </c>
      <c r="X175" s="373">
        <f ca="1"/>
        <v>12.876518827575261</v>
      </c>
      <c r="Y175" s="373">
        <f ca="1"/>
        <v>13.078332625991294</v>
      </c>
      <c r="Z175" s="373">
        <f ca="1"/>
        <v>13.259239327436347</v>
      </c>
      <c r="AA175" s="373">
        <f ca="1"/>
        <v>13.41846185439868</v>
      </c>
      <c r="AB175" s="373">
        <f ca="1"/>
        <v>13.555165778793597</v>
      </c>
      <c r="AC175" s="373">
        <f ca="1"/>
        <v>13.668806549608352</v>
      </c>
      <c r="AD175" s="373">
        <f ca="1"/>
        <v>13.759071777624944</v>
      </c>
      <c r="AE175" s="373">
        <f ca="1"/>
        <v>13.825555286541178</v>
      </c>
      <c r="AF175" s="373">
        <f ca="1"/>
        <v>13.867894900212749</v>
      </c>
      <c r="AG175" s="373">
        <f ca="1"/>
        <v>13.885962524148443</v>
      </c>
      <c r="AH175" s="373">
        <f ca="1"/>
        <v>13.879747354430929</v>
      </c>
      <c r="AI175" s="373">
        <f ca="1"/>
        <v>13.849127114099415</v>
      </c>
      <c r="AJ175" s="373">
        <f ca="1"/>
        <v>13.794039993225661</v>
      </c>
      <c r="AK175" s="373">
        <f ca="1"/>
        <v>13.714531890301426</v>
      </c>
    </row>
    <row r="176" spans="2:37">
      <c r="B176" s="329">
        <v>3</v>
      </c>
      <c r="C176" s="329">
        <v>11</v>
      </c>
      <c r="D176" s="330" t="str">
        <v>Motocicleta</v>
      </c>
      <c r="E176" s="330" t="str">
        <v>Leves</v>
      </c>
      <c r="F176" s="51" cm="1">
        <f t="array" ref="F176">INDEX(C$134:E$137,B176,MATCH(E176,_xlfn.ANCHORARRAY(C$133)))</f>
        <v>0.12642400666851905</v>
      </c>
      <c r="G176" s="373">
        <f ca="1"/>
        <v>352.2873675286628</v>
      </c>
      <c r="H176" s="373">
        <f ca="1"/>
        <v>367.23653161851291</v>
      </c>
      <c r="I176" s="373">
        <f ca="1"/>
        <v>382.42619160317247</v>
      </c>
      <c r="J176" s="373">
        <f ca="1"/>
        <v>398.21316455804345</v>
      </c>
      <c r="K176" s="373">
        <f ca="1"/>
        <v>414.73827203544812</v>
      </c>
      <c r="L176" s="373">
        <f ca="1"/>
        <v>432.00002810598545</v>
      </c>
      <c r="M176" s="373">
        <f ca="1"/>
        <v>449.89517128718944</v>
      </c>
      <c r="N176" s="373">
        <f ca="1"/>
        <v>468.2346286601649</v>
      </c>
      <c r="O176" s="373">
        <f ca="1"/>
        <v>486.87107349676239</v>
      </c>
      <c r="P176" s="373">
        <f ca="1"/>
        <v>505.66901950758057</v>
      </c>
      <c r="Q176" s="373">
        <f ca="1"/>
        <v>524.49990304733535</v>
      </c>
      <c r="R176" s="373">
        <f ca="1"/>
        <v>543.22521476991653</v>
      </c>
      <c r="S176" s="373">
        <f ca="1"/>
        <v>561.7073596039578</v>
      </c>
      <c r="T176" s="373">
        <f ca="1"/>
        <v>579.83470415686179</v>
      </c>
      <c r="U176" s="373">
        <f ca="1"/>
        <v>597.49606152085323</v>
      </c>
      <c r="V176" s="373">
        <f ca="1"/>
        <v>614.57530847674161</v>
      </c>
      <c r="W176" s="373">
        <f ca="1"/>
        <v>630.96042456265025</v>
      </c>
      <c r="X176" s="373">
        <f ca="1"/>
        <v>646.56707433513407</v>
      </c>
      <c r="Y176" s="373">
        <f ca="1"/>
        <v>661.32182324357063</v>
      </c>
      <c r="Z176" s="373">
        <f ca="1"/>
        <v>675.14732981842724</v>
      </c>
      <c r="AA176" s="373">
        <f ca="1"/>
        <v>687.97600642421878</v>
      </c>
      <c r="AB176" s="373">
        <f ca="1"/>
        <v>699.73713207094147</v>
      </c>
      <c r="AC176" s="373">
        <f ca="1"/>
        <v>710.37496516458623</v>
      </c>
      <c r="AD176" s="373">
        <f ca="1"/>
        <v>719.84631503837306</v>
      </c>
      <c r="AE176" s="373">
        <f ca="1"/>
        <v>728.10377089763369</v>
      </c>
      <c r="AF176" s="373">
        <f ca="1"/>
        <v>735.10231602740623</v>
      </c>
      <c r="AG176" s="373">
        <f ca="1"/>
        <v>740.80932296622814</v>
      </c>
      <c r="AH176" s="373">
        <f ca="1"/>
        <v>745.19795530263809</v>
      </c>
      <c r="AI176" s="373">
        <f ca="1"/>
        <v>748.23508387175798</v>
      </c>
      <c r="AJ176" s="373">
        <f ca="1"/>
        <v>749.89093091302732</v>
      </c>
      <c r="AK176" s="373">
        <f ca="1"/>
        <v>750.14211135795597</v>
      </c>
    </row>
    <row r="177" spans="2:37">
      <c r="B177" s="329">
        <v>3</v>
      </c>
      <c r="C177" s="329">
        <v>12</v>
      </c>
      <c r="D177" s="330" t="str">
        <v xml:space="preserve">Veículos do transporte público coletivo intermunicipal e metropolitano </v>
      </c>
      <c r="E177" s="330" t="str">
        <v>Pesados I</v>
      </c>
      <c r="F177" s="51" cm="1">
        <f t="array" ref="F177">INDEX(C$134:E$137,B177,MATCH(E177,_xlfn.ANCHORARRAY(C$133)))</f>
        <v>0.20338983050847459</v>
      </c>
      <c r="G177" s="373">
        <f ca="1"/>
        <v>5.9690424117671119</v>
      </c>
      <c r="H177" s="373">
        <f ca="1"/>
        <v>6.1234839202578879</v>
      </c>
      <c r="I177" s="373">
        <f ca="1"/>
        <v>6.2747098682305147</v>
      </c>
      <c r="J177" s="373">
        <f ca="1"/>
        <v>6.4244651067112679</v>
      </c>
      <c r="K177" s="373">
        <f ca="1"/>
        <v>6.5731324315438391</v>
      </c>
      <c r="L177" s="373">
        <f ca="1"/>
        <v>6.7202681114166571</v>
      </c>
      <c r="M177" s="373">
        <f ca="1"/>
        <v>6.8647888369505443</v>
      </c>
      <c r="N177" s="373">
        <f ca="1"/>
        <v>7.0051675948951306</v>
      </c>
      <c r="O177" s="373">
        <f ca="1"/>
        <v>7.1403166635362565</v>
      </c>
      <c r="P177" s="373">
        <f ca="1"/>
        <v>7.2692846188557789</v>
      </c>
      <c r="Q177" s="373">
        <f ca="1"/>
        <v>7.3912476881039861</v>
      </c>
      <c r="R177" s="373">
        <f ca="1"/>
        <v>7.5053448999570866</v>
      </c>
      <c r="S177" s="373">
        <f ca="1"/>
        <v>7.6107784057746857</v>
      </c>
      <c r="T177" s="373">
        <f ca="1"/>
        <v>7.70704162020726</v>
      </c>
      <c r="U177" s="373">
        <f ca="1"/>
        <v>7.793683346401302</v>
      </c>
      <c r="V177" s="373">
        <f ca="1"/>
        <v>7.8702666075468244</v>
      </c>
      <c r="W177" s="373">
        <f ca="1"/>
        <v>7.9364138172895196</v>
      </c>
      <c r="X177" s="373">
        <f ca="1"/>
        <v>7.992000321671382</v>
      </c>
      <c r="Y177" s="373">
        <f ca="1"/>
        <v>8.0369775247840192</v>
      </c>
      <c r="Z177" s="373">
        <f ca="1"/>
        <v>8.0712510813855776</v>
      </c>
      <c r="AA177" s="373">
        <f ca="1"/>
        <v>8.0948143573006703</v>
      </c>
      <c r="AB177" s="373">
        <f ca="1"/>
        <v>8.1076124026041896</v>
      </c>
      <c r="AC177" s="373">
        <f ca="1"/>
        <v>8.1097025094036823</v>
      </c>
      <c r="AD177" s="373">
        <f ca="1"/>
        <v>8.1012224170882288</v>
      </c>
      <c r="AE177" s="373">
        <f ca="1"/>
        <v>8.0822393810800826</v>
      </c>
      <c r="AF177" s="373">
        <f ca="1"/>
        <v>8.0528205831851398</v>
      </c>
      <c r="AG177" s="373">
        <f ca="1"/>
        <v>8.0131206478474297</v>
      </c>
      <c r="AH177" s="373">
        <f ca="1"/>
        <v>7.9633339373876311</v>
      </c>
      <c r="AI177" s="373">
        <f ca="1"/>
        <v>7.9035909716545394</v>
      </c>
      <c r="AJ177" s="373">
        <f ca="1"/>
        <v>7.8340313128470385</v>
      </c>
      <c r="AK177" s="373">
        <f ca="1"/>
        <v>7.7548206286367449</v>
      </c>
    </row>
    <row r="178" spans="2:37">
      <c r="B178" s="329">
        <v>4</v>
      </c>
      <c r="C178" s="329">
        <v>1</v>
      </c>
      <c r="D178" s="330" t="str">
        <v>Automóvel</v>
      </c>
      <c r="E178" s="330" t="str">
        <v>Leves</v>
      </c>
      <c r="F178" s="51" cm="1">
        <f t="array" ref="F178">INDEX(C$134:E$137,B178,MATCH(E178,_xlfn.ANCHORARRAY(C$133)))</f>
        <v>1.7288599794590853E-2</v>
      </c>
      <c r="G178" s="373">
        <f ca="1"/>
        <v>5404.9780213761769</v>
      </c>
      <c r="H178" s="373">
        <f ca="1"/>
        <v>5634.3359569456707</v>
      </c>
      <c r="I178" s="373">
        <f ca="1"/>
        <v>5867.3837069833799</v>
      </c>
      <c r="J178" s="373">
        <f ca="1"/>
        <v>6109.5957466705395</v>
      </c>
      <c r="K178" s="373">
        <f ca="1"/>
        <v>6363.132634305276</v>
      </c>
      <c r="L178" s="373">
        <f ca="1"/>
        <v>6627.9715719774304</v>
      </c>
      <c r="M178" s="373">
        <f ca="1"/>
        <v>6902.5282677292807</v>
      </c>
      <c r="N178" s="373">
        <f ca="1"/>
        <v>7183.9018654267147</v>
      </c>
      <c r="O178" s="373">
        <f ca="1"/>
        <v>7469.8320009437184</v>
      </c>
      <c r="P178" s="373">
        <f ca="1"/>
        <v>7758.239972391124</v>
      </c>
      <c r="Q178" s="373">
        <f ca="1"/>
        <v>8047.153288725659</v>
      </c>
      <c r="R178" s="373">
        <f ca="1"/>
        <v>8334.4468667326382</v>
      </c>
      <c r="S178" s="373">
        <f ca="1"/>
        <v>8618.0096504812118</v>
      </c>
      <c r="T178" s="373">
        <f ca="1"/>
        <v>8896.1289017665658</v>
      </c>
      <c r="U178" s="373">
        <f ca="1"/>
        <v>9167.0987325887781</v>
      </c>
      <c r="V178" s="373">
        <f ca="1"/>
        <v>9429.1375194627381</v>
      </c>
      <c r="W178" s="373">
        <f ca="1"/>
        <v>9680.5265855632369</v>
      </c>
      <c r="X178" s="373">
        <f ca="1"/>
        <v>9919.972012174303</v>
      </c>
      <c r="Y178" s="373">
        <f ca="1"/>
        <v>10146.347127809227</v>
      </c>
      <c r="Z178" s="373">
        <f ca="1"/>
        <v>10358.465318977158</v>
      </c>
      <c r="AA178" s="373">
        <f ca="1"/>
        <v>10555.289620637659</v>
      </c>
      <c r="AB178" s="373">
        <f ca="1"/>
        <v>10735.734994177794</v>
      </c>
      <c r="AC178" s="373">
        <f ca="1"/>
        <v>10898.946222753964</v>
      </c>
      <c r="AD178" s="373">
        <f ca="1"/>
        <v>11044.260652447265</v>
      </c>
      <c r="AE178" s="373">
        <f ca="1"/>
        <v>11170.95088191783</v>
      </c>
      <c r="AF178" s="373">
        <f ca="1"/>
        <v>11278.326241055429</v>
      </c>
      <c r="AG178" s="373">
        <f ca="1"/>
        <v>11365.886142191152</v>
      </c>
      <c r="AH178" s="373">
        <f ca="1"/>
        <v>11433.218846990072</v>
      </c>
      <c r="AI178" s="373">
        <f ca="1"/>
        <v>11479.816070385688</v>
      </c>
      <c r="AJ178" s="373">
        <f ca="1"/>
        <v>11505.220946318668</v>
      </c>
      <c r="AK178" s="373">
        <f ca="1"/>
        <v>11509.074688772629</v>
      </c>
    </row>
    <row r="179" spans="2:37">
      <c r="B179" s="329">
        <v>4</v>
      </c>
      <c r="C179" s="329">
        <v>2</v>
      </c>
      <c r="D179" s="330" t="str">
        <v xml:space="preserve">Automóvel com reboque </v>
      </c>
      <c r="E179" s="330" t="str">
        <v>Leves</v>
      </c>
      <c r="F179" s="51" cm="1">
        <f t="array" ref="F179">INDEX(C$134:E$137,B179,MATCH(E179,_xlfn.ANCHORARRAY(C$133)))</f>
        <v>1.7288599794590853E-2</v>
      </c>
      <c r="G179" s="373">
        <f ca="1"/>
        <v>33.302390766335037</v>
      </c>
      <c r="H179" s="373">
        <f ca="1"/>
        <v>34.71556350551861</v>
      </c>
      <c r="I179" s="373">
        <f ca="1"/>
        <v>36.151470776237701</v>
      </c>
      <c r="J179" s="373">
        <f ca="1"/>
        <v>37.643843171106212</v>
      </c>
      <c r="K179" s="373">
        <f ca="1"/>
        <v>39.205992817654192</v>
      </c>
      <c r="L179" s="373">
        <f ca="1"/>
        <v>40.837779248166534</v>
      </c>
      <c r="M179" s="373">
        <f ca="1"/>
        <v>42.529440959514972</v>
      </c>
      <c r="N179" s="373">
        <f ca="1"/>
        <v>44.263104531279808</v>
      </c>
      <c r="O179" s="373">
        <f ca="1"/>
        <v>46.024842889363626</v>
      </c>
      <c r="P179" s="373">
        <f ca="1"/>
        <v>47.801848258725336</v>
      </c>
      <c r="Q179" s="373">
        <f ca="1"/>
        <v>49.58196727495784</v>
      </c>
      <c r="R179" s="373">
        <f ca="1"/>
        <v>51.352106387755001</v>
      </c>
      <c r="S179" s="373">
        <f ca="1"/>
        <v>53.099258474930437</v>
      </c>
      <c r="T179" s="373">
        <f ca="1"/>
        <v>54.812870620866072</v>
      </c>
      <c r="U179" s="373">
        <f ca="1"/>
        <v>56.482432116997998</v>
      </c>
      <c r="V179" s="373">
        <f ca="1"/>
        <v>58.096965615913348</v>
      </c>
      <c r="W179" s="373">
        <f ca="1"/>
        <v>59.645881611603428</v>
      </c>
      <c r="X179" s="373">
        <f ca="1"/>
        <v>61.121207715183623</v>
      </c>
      <c r="Y179" s="373">
        <f ca="1"/>
        <v>62.516002019773424</v>
      </c>
      <c r="Z179" s="373">
        <f ca="1"/>
        <v>63.822953290062571</v>
      </c>
      <c r="AA179" s="373">
        <f ca="1"/>
        <v>65.035672339110661</v>
      </c>
      <c r="AB179" s="373">
        <f ca="1"/>
        <v>66.147473778051719</v>
      </c>
      <c r="AC179" s="373">
        <f ca="1"/>
        <v>67.153088248638099</v>
      </c>
      <c r="AD179" s="373">
        <f ca="1"/>
        <v>68.048432855497623</v>
      </c>
      <c r="AE179" s="373">
        <f ca="1"/>
        <v>68.829025766591684</v>
      </c>
      <c r="AF179" s="373">
        <f ca="1"/>
        <v>69.490611466761735</v>
      </c>
      <c r="AG179" s="373">
        <f ca="1"/>
        <v>70.030105620401429</v>
      </c>
      <c r="AH179" s="373">
        <f ca="1"/>
        <v>70.444971330807604</v>
      </c>
      <c r="AI179" s="373">
        <f ca="1"/>
        <v>70.732076835401671</v>
      </c>
      <c r="AJ179" s="373">
        <f ca="1"/>
        <v>70.8886071861902</v>
      </c>
      <c r="AK179" s="373">
        <f ca="1"/>
        <v>70.912351748445047</v>
      </c>
    </row>
    <row r="180" spans="2:37">
      <c r="B180" s="329">
        <v>4</v>
      </c>
      <c r="C180" s="329">
        <v>3</v>
      </c>
      <c r="D180" s="330" t="str">
        <v>Veículos Comerciais com 2 Eixos</v>
      </c>
      <c r="E180" s="330" t="str">
        <v>Pesados I</v>
      </c>
      <c r="F180" s="51" cm="1">
        <f t="array" ref="F180">INDEX(C$134:E$137,B180,MATCH(E180,_xlfn.ANCHORARRAY(C$133)))</f>
        <v>1.5247776365946653E-2</v>
      </c>
      <c r="G180" s="373">
        <f ca="1"/>
        <v>603.24984116734242</v>
      </c>
      <c r="H180" s="373">
        <f ca="1"/>
        <v>618.85817648140232</v>
      </c>
      <c r="I180" s="373">
        <f ca="1"/>
        <v>634.14153732920374</v>
      </c>
      <c r="J180" s="373">
        <f ca="1"/>
        <v>649.276263738485</v>
      </c>
      <c r="K180" s="373">
        <f ca="1"/>
        <v>664.3010422381692</v>
      </c>
      <c r="L180" s="373">
        <f ca="1"/>
        <v>679.17102797295809</v>
      </c>
      <c r="M180" s="373">
        <f ca="1"/>
        <v>693.77673835488463</v>
      </c>
      <c r="N180" s="373">
        <f ca="1"/>
        <v>707.96384871389273</v>
      </c>
      <c r="O180" s="373">
        <f ca="1"/>
        <v>721.62243053783004</v>
      </c>
      <c r="P180" s="373">
        <f ca="1"/>
        <v>734.65632998019407</v>
      </c>
      <c r="Q180" s="373">
        <f ca="1"/>
        <v>746.98229402548588</v>
      </c>
      <c r="R180" s="373">
        <f ca="1"/>
        <v>758.51331025554862</v>
      </c>
      <c r="S180" s="373">
        <f ca="1"/>
        <v>769.16874562534906</v>
      </c>
      <c r="T180" s="373">
        <f ca="1"/>
        <v>778.89740305660314</v>
      </c>
      <c r="U180" s="373">
        <f ca="1"/>
        <v>787.65368320331208</v>
      </c>
      <c r="V180" s="373">
        <f ca="1"/>
        <v>795.39342384094596</v>
      </c>
      <c r="W180" s="373">
        <f ca="1"/>
        <v>802.0784649276502</v>
      </c>
      <c r="X180" s="373">
        <f ca="1"/>
        <v>807.69620854986033</v>
      </c>
      <c r="Y180" s="373">
        <f ca="1"/>
        <v>812.24174345515121</v>
      </c>
      <c r="Z180" s="373">
        <f ca="1"/>
        <v>815.70553482231776</v>
      </c>
      <c r="AA180" s="373">
        <f ca="1"/>
        <v>818.08691218112824</v>
      </c>
      <c r="AB180" s="373">
        <f ca="1"/>
        <v>819.38032212262601</v>
      </c>
      <c r="AC180" s="373">
        <f ca="1"/>
        <v>819.59155476395063</v>
      </c>
      <c r="AD180" s="373">
        <f ca="1"/>
        <v>818.73453047270129</v>
      </c>
      <c r="AE180" s="373">
        <f ca="1"/>
        <v>816.81604628933985</v>
      </c>
      <c r="AF180" s="373">
        <f ca="1"/>
        <v>813.84289181443228</v>
      </c>
      <c r="AG180" s="373">
        <f ca="1"/>
        <v>809.83069387132252</v>
      </c>
      <c r="AH180" s="373">
        <f ca="1"/>
        <v>804.79909531576345</v>
      </c>
      <c r="AI180" s="373">
        <f ca="1"/>
        <v>798.76128688634014</v>
      </c>
      <c r="AJ180" s="373">
        <f ca="1"/>
        <v>791.73137316943348</v>
      </c>
      <c r="AK180" s="373">
        <f ca="1"/>
        <v>783.72609705103673</v>
      </c>
    </row>
    <row r="181" spans="2:37">
      <c r="B181" s="329">
        <v>4</v>
      </c>
      <c r="C181" s="329">
        <v>4</v>
      </c>
      <c r="D181" s="330" t="str">
        <v>Veículos Comerciais com 3 Eixos</v>
      </c>
      <c r="E181" s="330" t="str">
        <v>Pesados I</v>
      </c>
      <c r="F181" s="51" cm="1">
        <f t="array" ref="F181">INDEX(C$134:E$137,B181,MATCH(E181,_xlfn.ANCHORARRAY(C$133)))</f>
        <v>1.5247776365946653E-2</v>
      </c>
      <c r="G181" s="373">
        <f ca="1"/>
        <v>209.67954453556067</v>
      </c>
      <c r="H181" s="373">
        <f ca="1"/>
        <v>215.10474055927997</v>
      </c>
      <c r="I181" s="373">
        <f ca="1"/>
        <v>220.41698089959806</v>
      </c>
      <c r="J181" s="373">
        <f ca="1"/>
        <v>225.6775583976833</v>
      </c>
      <c r="K181" s="373">
        <f ca="1"/>
        <v>230.89991984325815</v>
      </c>
      <c r="L181" s="373">
        <f ca="1"/>
        <v>236.06847791546141</v>
      </c>
      <c r="M181" s="373">
        <f ca="1"/>
        <v>241.14517829979042</v>
      </c>
      <c r="N181" s="373">
        <f ca="1"/>
        <v>246.07638032480241</v>
      </c>
      <c r="O181" s="373">
        <f ca="1"/>
        <v>250.82387468021392</v>
      </c>
      <c r="P181" s="373">
        <f ca="1"/>
        <v>255.35423989889134</v>
      </c>
      <c r="Q181" s="373">
        <f ca="1"/>
        <v>259.63853862655822</v>
      </c>
      <c r="R181" s="373">
        <f ca="1"/>
        <v>263.64652680351821</v>
      </c>
      <c r="S181" s="373">
        <f ca="1"/>
        <v>267.35017773336256</v>
      </c>
      <c r="T181" s="373">
        <f ca="1"/>
        <v>270.73169616887589</v>
      </c>
      <c r="U181" s="373">
        <f ca="1"/>
        <v>273.77523254086208</v>
      </c>
      <c r="V181" s="373">
        <f ca="1"/>
        <v>276.4654367994857</v>
      </c>
      <c r="W181" s="373">
        <f ca="1"/>
        <v>278.7890451531145</v>
      </c>
      <c r="X181" s="373">
        <f ca="1"/>
        <v>280.74167877792104</v>
      </c>
      <c r="Y181" s="373">
        <f ca="1"/>
        <v>282.32163060479189</v>
      </c>
      <c r="Z181" s="373">
        <f ca="1"/>
        <v>283.52558648951828</v>
      </c>
      <c r="AA181" s="373">
        <f ca="1"/>
        <v>284.35331338787341</v>
      </c>
      <c r="AB181" s="373">
        <f ca="1"/>
        <v>284.80288102788506</v>
      </c>
      <c r="AC181" s="373">
        <f ca="1"/>
        <v>284.87630195732669</v>
      </c>
      <c r="AD181" s="373">
        <f ca="1"/>
        <v>284.57841466290597</v>
      </c>
      <c r="AE181" s="373">
        <f ca="1"/>
        <v>283.91158168208415</v>
      </c>
      <c r="AF181" s="373">
        <f ca="1"/>
        <v>282.87816296633929</v>
      </c>
      <c r="AG181" s="373">
        <f ca="1"/>
        <v>281.48359013782454</v>
      </c>
      <c r="AH181" s="373">
        <f ca="1"/>
        <v>279.73469072431811</v>
      </c>
      <c r="AI181" s="373">
        <f ca="1"/>
        <v>277.63604960569864</v>
      </c>
      <c r="AJ181" s="373">
        <f ca="1"/>
        <v>275.19256930003803</v>
      </c>
      <c r="AK181" s="373">
        <f ca="1"/>
        <v>272.41006935418034</v>
      </c>
    </row>
    <row r="182" spans="2:37">
      <c r="B182" s="329">
        <v>4</v>
      </c>
      <c r="C182" s="329">
        <v>5</v>
      </c>
      <c r="D182" s="330" t="str">
        <v>Veículos Comerciais com 4 Eixos</v>
      </c>
      <c r="E182" s="330" t="str">
        <v>Pesados I</v>
      </c>
      <c r="F182" s="51" cm="1">
        <f t="array" ref="F182">INDEX(C$134:E$137,B182,MATCH(E182,_xlfn.ANCHORARRAY(C$133)))</f>
        <v>1.5247776365946653E-2</v>
      </c>
      <c r="G182" s="373">
        <f ca="1"/>
        <v>63.175370159994564</v>
      </c>
      <c r="H182" s="373">
        <f ca="1"/>
        <v>64.809953866040686</v>
      </c>
      <c r="I182" s="373">
        <f ca="1"/>
        <v>66.410504604653795</v>
      </c>
      <c r="J182" s="373">
        <f ca="1"/>
        <v>67.995489594167211</v>
      </c>
      <c r="K182" s="373">
        <f ca="1"/>
        <v>69.5689602832812</v>
      </c>
      <c r="L182" s="373">
        <f ca="1"/>
        <v>71.126220292254033</v>
      </c>
      <c r="M182" s="373">
        <f ca="1"/>
        <v>72.655804051517578</v>
      </c>
      <c r="N182" s="373">
        <f ca="1"/>
        <v>74.141549902186455</v>
      </c>
      <c r="O182" s="373">
        <f ca="1"/>
        <v>75.571945575259562</v>
      </c>
      <c r="P182" s="373">
        <f ca="1"/>
        <v>76.936921354293517</v>
      </c>
      <c r="Q182" s="373">
        <f ca="1"/>
        <v>78.227758563024878</v>
      </c>
      <c r="R182" s="373">
        <f ca="1"/>
        <v>79.435344821556598</v>
      </c>
      <c r="S182" s="373">
        <f ca="1"/>
        <v>80.551235830164927</v>
      </c>
      <c r="T182" s="373">
        <f ca="1"/>
        <v>81.570069972234378</v>
      </c>
      <c r="U182" s="373">
        <f ca="1"/>
        <v>82.487071853946418</v>
      </c>
      <c r="V182" s="373">
        <f ca="1"/>
        <v>83.297616584101164</v>
      </c>
      <c r="W182" s="373">
        <f ca="1"/>
        <v>83.99770785038325</v>
      </c>
      <c r="X182" s="373">
        <f ca="1"/>
        <v>84.586026335656797</v>
      </c>
      <c r="Y182" s="373">
        <f ca="1"/>
        <v>85.062057708762893</v>
      </c>
      <c r="Z182" s="373">
        <f ca="1"/>
        <v>85.424803435068085</v>
      </c>
      <c r="AA182" s="373">
        <f ca="1"/>
        <v>85.674193299543404</v>
      </c>
      <c r="AB182" s="373">
        <f ca="1"/>
        <v>85.809645721154681</v>
      </c>
      <c r="AC182" s="373">
        <f ca="1"/>
        <v>85.831767070212535</v>
      </c>
      <c r="AD182" s="373">
        <f ca="1"/>
        <v>85.742015157918601</v>
      </c>
      <c r="AE182" s="373">
        <f ca="1"/>
        <v>85.541101804679386</v>
      </c>
      <c r="AF182" s="373">
        <f ca="1"/>
        <v>85.229738051757948</v>
      </c>
      <c r="AG182" s="373">
        <f ca="1"/>
        <v>84.809560419020158</v>
      </c>
      <c r="AH182" s="373">
        <f ca="1"/>
        <v>84.282626005529352</v>
      </c>
      <c r="AI182" s="373">
        <f ca="1"/>
        <v>83.650316212051678</v>
      </c>
      <c r="AJ182" s="373">
        <f ca="1"/>
        <v>82.914108142110052</v>
      </c>
      <c r="AK182" s="373">
        <f ca="1"/>
        <v>82.075755195287826</v>
      </c>
    </row>
    <row r="183" spans="2:37">
      <c r="B183" s="329">
        <v>4</v>
      </c>
      <c r="C183" s="329">
        <v>6</v>
      </c>
      <c r="D183" s="330" t="str">
        <v>Veículos Comerciais com 5 Eixos Articulado</v>
      </c>
      <c r="E183" s="330" t="str">
        <v>Pesados II</v>
      </c>
      <c r="F183" s="51" cm="1">
        <f t="array" ref="F183">INDEX(C$134:E$137,B183,MATCH(E183,_xlfn.ANCHORARRAY(C$133)))</f>
        <v>0.375</v>
      </c>
      <c r="G183" s="373">
        <f ca="1"/>
        <v>7.019587770773942</v>
      </c>
      <c r="H183" s="373">
        <f ca="1"/>
        <v>7.2883044099151135</v>
      </c>
      <c r="I183" s="373">
        <f ca="1"/>
        <v>7.5579815895553519</v>
      </c>
      <c r="J183" s="373">
        <f ca="1"/>
        <v>7.8335827638887547</v>
      </c>
      <c r="K183" s="373">
        <f ca="1"/>
        <v>8.1167759613082548</v>
      </c>
      <c r="L183" s="373">
        <f ca="1"/>
        <v>8.4070964231675642</v>
      </c>
      <c r="M183" s="373">
        <f ca="1"/>
        <v>8.7025128311120508</v>
      </c>
      <c r="N183" s="373">
        <f ca="1"/>
        <v>8.9997436409509675</v>
      </c>
      <c r="O183" s="373">
        <f ca="1"/>
        <v>9.2962635975288475</v>
      </c>
      <c r="P183" s="373">
        <f ca="1"/>
        <v>9.58977118213528</v>
      </c>
      <c r="Q183" s="373">
        <f ca="1"/>
        <v>9.8781357665185503</v>
      </c>
      <c r="R183" s="373">
        <f ca="1"/>
        <v>10.159100390498811</v>
      </c>
      <c r="S183" s="373">
        <f ca="1"/>
        <v>10.430474610263648</v>
      </c>
      <c r="T183" s="373">
        <f ca="1"/>
        <v>10.690574730137463</v>
      </c>
      <c r="U183" s="373">
        <f ca="1"/>
        <v>10.93778132752637</v>
      </c>
      <c r="V183" s="373">
        <f ca="1"/>
        <v>11.170454670408159</v>
      </c>
      <c r="W183" s="373">
        <f ca="1"/>
        <v>11.387064109658382</v>
      </c>
      <c r="X183" s="373">
        <f ca="1"/>
        <v>11.586583874103628</v>
      </c>
      <c r="Y183" s="373">
        <f ca="1"/>
        <v>11.768180510089687</v>
      </c>
      <c r="Z183" s="373">
        <f ca="1"/>
        <v>11.93096446573395</v>
      </c>
      <c r="AA183" s="373">
        <f ca="1"/>
        <v>12.074236509055554</v>
      </c>
      <c r="AB183" s="373">
        <f ca="1"/>
        <v>12.197245802726513</v>
      </c>
      <c r="AC183" s="373">
        <f ca="1"/>
        <v>12.299502347386952</v>
      </c>
      <c r="AD183" s="373">
        <f ca="1"/>
        <v>12.380725048128834</v>
      </c>
      <c r="AE183" s="373">
        <f ca="1"/>
        <v>12.440548418297253</v>
      </c>
      <c r="AF183" s="373">
        <f ca="1"/>
        <v>12.478646563577966</v>
      </c>
      <c r="AG183" s="373">
        <f ca="1"/>
        <v>12.49490422164067</v>
      </c>
      <c r="AH183" s="373">
        <f ca="1"/>
        <v>12.489311670875354</v>
      </c>
      <c r="AI183" s="373">
        <f ca="1"/>
        <v>12.461758883697616</v>
      </c>
      <c r="AJ183" s="373">
        <f ca="1"/>
        <v>12.412190242131251</v>
      </c>
      <c r="AK183" s="373">
        <f ca="1"/>
        <v>12.340647046680807</v>
      </c>
    </row>
    <row r="184" spans="2:37">
      <c r="B184" s="329">
        <v>4</v>
      </c>
      <c r="C184" s="329">
        <v>7</v>
      </c>
      <c r="D184" s="330" t="str">
        <v>Veículos Comerciais com 6 Eixos Articulado</v>
      </c>
      <c r="E184" s="330" t="str">
        <v>Pesados II</v>
      </c>
      <c r="F184" s="51" cm="1">
        <f t="array" ref="F184">INDEX(C$134:E$137,B184,MATCH(E184,_xlfn.ANCHORARRAY(C$133)))</f>
        <v>0.375</v>
      </c>
      <c r="G184" s="373">
        <f ca="1"/>
        <v>51.944949503727159</v>
      </c>
      <c r="H184" s="373">
        <f ca="1"/>
        <v>53.933452633371843</v>
      </c>
      <c r="I184" s="373">
        <f ca="1"/>
        <v>55.929063762709603</v>
      </c>
      <c r="J184" s="373">
        <f ca="1"/>
        <v>57.968512452776793</v>
      </c>
      <c r="K184" s="373">
        <f ca="1"/>
        <v>60.064142113681093</v>
      </c>
      <c r="L184" s="373">
        <f ca="1"/>
        <v>62.212513531439988</v>
      </c>
      <c r="M184" s="373">
        <f ca="1"/>
        <v>64.398594950229196</v>
      </c>
      <c r="N184" s="373">
        <f ca="1"/>
        <v>66.598102943037176</v>
      </c>
      <c r="O184" s="373">
        <f ca="1"/>
        <v>68.792350621713481</v>
      </c>
      <c r="P184" s="373">
        <f ca="1"/>
        <v>70.964306747801089</v>
      </c>
      <c r="Q184" s="373">
        <f ca="1"/>
        <v>73.098204672237287</v>
      </c>
      <c r="R184" s="373">
        <f ca="1"/>
        <v>75.177342889691204</v>
      </c>
      <c r="S184" s="373">
        <f ca="1"/>
        <v>77.185512115950999</v>
      </c>
      <c r="T184" s="373">
        <f ca="1"/>
        <v>79.110253003017249</v>
      </c>
      <c r="U184" s="373">
        <f ca="1"/>
        <v>80.939581823695164</v>
      </c>
      <c r="V184" s="373">
        <f ca="1"/>
        <v>82.661364561020392</v>
      </c>
      <c r="W184" s="373">
        <f ca="1"/>
        <v>84.264274411472044</v>
      </c>
      <c r="X184" s="373">
        <f ca="1"/>
        <v>85.740720668366862</v>
      </c>
      <c r="Y184" s="373">
        <f ca="1"/>
        <v>87.084535774663706</v>
      </c>
      <c r="Z184" s="373">
        <f ca="1"/>
        <v>88.289137046431264</v>
      </c>
      <c r="AA184" s="373">
        <f ca="1"/>
        <v>89.349350167011124</v>
      </c>
      <c r="AB184" s="373">
        <f ca="1"/>
        <v>90.259618940176239</v>
      </c>
      <c r="AC184" s="373">
        <f ca="1"/>
        <v>91.016317370663472</v>
      </c>
      <c r="AD184" s="373">
        <f ca="1"/>
        <v>91.6173653561534</v>
      </c>
      <c r="AE184" s="373">
        <f ca="1"/>
        <v>92.060058295399699</v>
      </c>
      <c r="AF184" s="373">
        <f ca="1"/>
        <v>92.341984570476981</v>
      </c>
      <c r="AG184" s="373">
        <f ca="1"/>
        <v>92.462291240140999</v>
      </c>
      <c r="AH184" s="373">
        <f ca="1"/>
        <v>92.420906364477673</v>
      </c>
      <c r="AI184" s="373">
        <f ca="1"/>
        <v>92.217015739362409</v>
      </c>
      <c r="AJ184" s="373">
        <f ca="1"/>
        <v>91.850207791771297</v>
      </c>
      <c r="AK184" s="373">
        <f ca="1"/>
        <v>91.320788145438016</v>
      </c>
    </row>
    <row r="185" spans="2:37">
      <c r="B185" s="329">
        <v>4</v>
      </c>
      <c r="C185" s="329">
        <v>8</v>
      </c>
      <c r="D185" s="330" t="str">
        <v>Veículos Comerciais com 7 Eixos Articulado</v>
      </c>
      <c r="E185" s="330" t="str">
        <v>Pesados II</v>
      </c>
      <c r="F185" s="51" cm="1">
        <f t="array" ref="F185">INDEX(C$134:E$137,B185,MATCH(E185,_xlfn.ANCHORARRAY(C$133)))</f>
        <v>0.375</v>
      </c>
      <c r="G185" s="373">
        <f ca="1"/>
        <v>27.376392306018374</v>
      </c>
      <c r="H185" s="373">
        <f ca="1"/>
        <v>28.424387198668946</v>
      </c>
      <c r="I185" s="373">
        <f ca="1"/>
        <v>29.476128199265872</v>
      </c>
      <c r="J185" s="373">
        <f ca="1"/>
        <v>30.550972779166152</v>
      </c>
      <c r="K185" s="373">
        <f ca="1"/>
        <v>31.655426249102199</v>
      </c>
      <c r="L185" s="373">
        <f ca="1"/>
        <v>32.787676050353511</v>
      </c>
      <c r="M185" s="373">
        <f ca="1"/>
        <v>33.939800041337008</v>
      </c>
      <c r="N185" s="373">
        <f ca="1"/>
        <v>35.099000199708783</v>
      </c>
      <c r="O185" s="373">
        <f ca="1"/>
        <v>36.255428030362516</v>
      </c>
      <c r="P185" s="373">
        <f ca="1"/>
        <v>37.400107610327602</v>
      </c>
      <c r="Q185" s="373">
        <f ca="1"/>
        <v>38.524729489422349</v>
      </c>
      <c r="R185" s="373">
        <f ca="1"/>
        <v>39.620491522945365</v>
      </c>
      <c r="S185" s="373">
        <f ca="1"/>
        <v>40.67885098002823</v>
      </c>
      <c r="T185" s="373">
        <f ca="1"/>
        <v>41.69324144753611</v>
      </c>
      <c r="U185" s="373">
        <f ca="1"/>
        <v>42.657347177352847</v>
      </c>
      <c r="V185" s="373">
        <f ca="1"/>
        <v>43.564773214591824</v>
      </c>
      <c r="W185" s="373">
        <f ca="1"/>
        <v>44.409550027667706</v>
      </c>
      <c r="X185" s="373">
        <f ca="1"/>
        <v>45.18767710900417</v>
      </c>
      <c r="Y185" s="373">
        <f ca="1"/>
        <v>45.895903989349797</v>
      </c>
      <c r="Z185" s="373">
        <f ca="1"/>
        <v>46.530761416362424</v>
      </c>
      <c r="AA185" s="373">
        <f ca="1"/>
        <v>47.089522385316684</v>
      </c>
      <c r="AB185" s="373">
        <f ca="1"/>
        <v>47.569258630633428</v>
      </c>
      <c r="AC185" s="373">
        <f ca="1"/>
        <v>47.968059154809133</v>
      </c>
      <c r="AD185" s="373">
        <f ca="1"/>
        <v>48.284827687702467</v>
      </c>
      <c r="AE185" s="373">
        <f ca="1"/>
        <v>48.518138831359309</v>
      </c>
      <c r="AF185" s="373">
        <f ca="1"/>
        <v>48.666721597954094</v>
      </c>
      <c r="AG185" s="373">
        <f ca="1"/>
        <v>48.730126464398637</v>
      </c>
      <c r="AH185" s="373">
        <f ca="1"/>
        <v>48.708315516413904</v>
      </c>
      <c r="AI185" s="373">
        <f ca="1"/>
        <v>48.60085964642073</v>
      </c>
      <c r="AJ185" s="373">
        <f ca="1"/>
        <v>48.407541944311909</v>
      </c>
      <c r="AK185" s="373">
        <f ca="1"/>
        <v>48.128523482055179</v>
      </c>
    </row>
    <row r="186" spans="2:37">
      <c r="B186" s="329">
        <v>4</v>
      </c>
      <c r="C186" s="329">
        <v>9</v>
      </c>
      <c r="D186" s="330" t="str">
        <v>Veículos Comerciais com 8 Eixos Articulado</v>
      </c>
      <c r="E186" s="330" t="str">
        <v>Pesados II</v>
      </c>
      <c r="F186" s="51" cm="1">
        <f t="array" ref="F186">INDEX(C$134:E$137,B186,MATCH(E186,_xlfn.ANCHORARRAY(C$133)))</f>
        <v>0.375</v>
      </c>
      <c r="G186" s="373">
        <f ca="1"/>
        <v>0</v>
      </c>
      <c r="H186" s="373">
        <f ca="1"/>
        <v>0</v>
      </c>
      <c r="I186" s="373">
        <f ca="1"/>
        <v>0</v>
      </c>
      <c r="J186" s="373">
        <f ca="1"/>
        <v>0</v>
      </c>
      <c r="K186" s="373">
        <f ca="1"/>
        <v>0</v>
      </c>
      <c r="L186" s="373">
        <f ca="1"/>
        <v>0</v>
      </c>
      <c r="M186" s="373">
        <f ca="1"/>
        <v>0</v>
      </c>
      <c r="N186" s="373">
        <f ca="1"/>
        <v>0</v>
      </c>
      <c r="O186" s="373">
        <f ca="1"/>
        <v>0</v>
      </c>
      <c r="P186" s="373">
        <f ca="1"/>
        <v>0</v>
      </c>
      <c r="Q186" s="373">
        <f ca="1"/>
        <v>0</v>
      </c>
      <c r="R186" s="373">
        <f ca="1"/>
        <v>0</v>
      </c>
      <c r="S186" s="373">
        <f ca="1"/>
        <v>0</v>
      </c>
      <c r="T186" s="373">
        <f ca="1"/>
        <v>0</v>
      </c>
      <c r="U186" s="373">
        <f ca="1"/>
        <v>0</v>
      </c>
      <c r="V186" s="373">
        <f ca="1"/>
        <v>0</v>
      </c>
      <c r="W186" s="373">
        <f ca="1"/>
        <v>0</v>
      </c>
      <c r="X186" s="373">
        <f ca="1"/>
        <v>0</v>
      </c>
      <c r="Y186" s="373">
        <f ca="1"/>
        <v>0</v>
      </c>
      <c r="Z186" s="373">
        <f ca="1"/>
        <v>0</v>
      </c>
      <c r="AA186" s="373">
        <f ca="1"/>
        <v>0</v>
      </c>
      <c r="AB186" s="373">
        <f ca="1"/>
        <v>0</v>
      </c>
      <c r="AC186" s="373">
        <f ca="1"/>
        <v>0</v>
      </c>
      <c r="AD186" s="373">
        <f ca="1"/>
        <v>0</v>
      </c>
      <c r="AE186" s="373">
        <f ca="1"/>
        <v>0</v>
      </c>
      <c r="AF186" s="373">
        <f ca="1"/>
        <v>0</v>
      </c>
      <c r="AG186" s="373">
        <f ca="1"/>
        <v>0</v>
      </c>
      <c r="AH186" s="373">
        <f ca="1"/>
        <v>0</v>
      </c>
      <c r="AI186" s="373">
        <f ca="1"/>
        <v>0</v>
      </c>
      <c r="AJ186" s="373">
        <f ca="1"/>
        <v>0</v>
      </c>
      <c r="AK186" s="373">
        <f ca="1"/>
        <v>0</v>
      </c>
    </row>
    <row r="187" spans="2:37">
      <c r="B187" s="329">
        <v>4</v>
      </c>
      <c r="C187" s="329">
        <v>10</v>
      </c>
      <c r="D187" s="330" t="str">
        <v>Veículos Comerciais com 9 Eixos Articulado</v>
      </c>
      <c r="E187" s="330" t="str">
        <v>Pesados II</v>
      </c>
      <c r="F187" s="51" cm="1">
        <f t="array" ref="F187">INDEX(C$134:E$137,B187,MATCH(E187,_xlfn.ANCHORARRAY(C$133)))</f>
        <v>0.375</v>
      </c>
      <c r="G187" s="373">
        <f ca="1"/>
        <v>12.635257987393093</v>
      </c>
      <c r="H187" s="373">
        <f ca="1"/>
        <v>13.118947937847205</v>
      </c>
      <c r="I187" s="373">
        <f ca="1"/>
        <v>13.604366861199633</v>
      </c>
      <c r="J187" s="373">
        <f ca="1"/>
        <v>14.100448974999759</v>
      </c>
      <c r="K187" s="373">
        <f ca="1"/>
        <v>14.610196730354858</v>
      </c>
      <c r="L187" s="373">
        <f ca="1"/>
        <v>15.132773561701619</v>
      </c>
      <c r="M187" s="373">
        <f ca="1"/>
        <v>15.664523096001695</v>
      </c>
      <c r="N187" s="373">
        <f ca="1"/>
        <v>16.199538553711744</v>
      </c>
      <c r="O187" s="373">
        <f ca="1"/>
        <v>16.733274475551926</v>
      </c>
      <c r="P187" s="373">
        <f ca="1"/>
        <v>17.261588127843506</v>
      </c>
      <c r="Q187" s="373">
        <f ca="1"/>
        <v>17.780644379733388</v>
      </c>
      <c r="R187" s="373">
        <f ca="1"/>
        <v>18.286380702897858</v>
      </c>
      <c r="S187" s="373">
        <f ca="1"/>
        <v>18.774854298474565</v>
      </c>
      <c r="T187" s="373">
        <f ca="1"/>
        <v>19.243034514247437</v>
      </c>
      <c r="U187" s="373">
        <f ca="1"/>
        <v>19.688006389547471</v>
      </c>
      <c r="V187" s="373">
        <f ca="1"/>
        <v>20.106818406734689</v>
      </c>
      <c r="W187" s="373">
        <f ca="1"/>
        <v>20.496715397385096</v>
      </c>
      <c r="X187" s="373">
        <f ca="1"/>
        <v>20.855850973386541</v>
      </c>
      <c r="Y187" s="373">
        <f ca="1"/>
        <v>21.182724918161444</v>
      </c>
      <c r="Z187" s="373">
        <f ca="1"/>
        <v>21.475736038321116</v>
      </c>
      <c r="AA187" s="373">
        <f ca="1"/>
        <v>21.733625716300004</v>
      </c>
      <c r="AB187" s="373">
        <f ca="1"/>
        <v>21.955042444907733</v>
      </c>
      <c r="AC187" s="373">
        <f ca="1"/>
        <v>22.139104225296521</v>
      </c>
      <c r="AD187" s="373">
        <f ca="1"/>
        <v>22.285305086631908</v>
      </c>
      <c r="AE187" s="373">
        <f ca="1"/>
        <v>22.392987152935063</v>
      </c>
      <c r="AF187" s="373">
        <f ca="1"/>
        <v>22.46156381444035</v>
      </c>
      <c r="AG187" s="373">
        <f ca="1"/>
        <v>22.490827598953217</v>
      </c>
      <c r="AH187" s="373">
        <f ca="1"/>
        <v>22.480761007575648</v>
      </c>
      <c r="AI187" s="373">
        <f ca="1"/>
        <v>22.431165990655721</v>
      </c>
      <c r="AJ187" s="373">
        <f ca="1"/>
        <v>22.341942435836263</v>
      </c>
      <c r="AK187" s="373">
        <f ca="1"/>
        <v>22.213164684025465</v>
      </c>
    </row>
    <row r="188" spans="2:37">
      <c r="B188" s="329">
        <v>4</v>
      </c>
      <c r="C188" s="329">
        <v>11</v>
      </c>
      <c r="D188" s="330" t="str">
        <v>Motocicleta</v>
      </c>
      <c r="E188" s="330" t="str">
        <v>Leves</v>
      </c>
      <c r="F188" s="51" cm="1">
        <f t="array" ref="F188">INDEX(C$134:E$137,B188,MATCH(E188,_xlfn.ANCHORARRAY(C$133)))</f>
        <v>1.7288599794590853E-2</v>
      </c>
      <c r="G188" s="373">
        <f ca="1"/>
        <v>834.7799285427983</v>
      </c>
      <c r="H188" s="373">
        <f ca="1"/>
        <v>870.20345853833339</v>
      </c>
      <c r="I188" s="373">
        <f ca="1"/>
        <v>906.19686745769184</v>
      </c>
      <c r="J188" s="373">
        <f ca="1"/>
        <v>943.60566882239607</v>
      </c>
      <c r="K188" s="373">
        <f ca="1"/>
        <v>982.76355329586522</v>
      </c>
      <c r="L188" s="373">
        <f ca="1"/>
        <v>1023.6669998207082</v>
      </c>
      <c r="M188" s="373">
        <f ca="1"/>
        <v>1066.0713200518423</v>
      </c>
      <c r="N188" s="373">
        <f ca="1"/>
        <v>1109.5284869174145</v>
      </c>
      <c r="O188" s="373">
        <f ca="1"/>
        <v>1153.689395093382</v>
      </c>
      <c r="P188" s="373">
        <f ca="1"/>
        <v>1198.232996352049</v>
      </c>
      <c r="Q188" s="373">
        <f ca="1"/>
        <v>1242.8546463589437</v>
      </c>
      <c r="R188" s="373">
        <f ca="1"/>
        <v>1287.2261334530592</v>
      </c>
      <c r="S188" s="373">
        <f ca="1"/>
        <v>1331.0214124382569</v>
      </c>
      <c r="T188" s="373">
        <f ca="1"/>
        <v>1373.9759568963768</v>
      </c>
      <c r="U188" s="373">
        <f ca="1"/>
        <v>1415.8262983994171</v>
      </c>
      <c r="V188" s="373">
        <f ca="1"/>
        <v>1456.2972714388952</v>
      </c>
      <c r="W188" s="373">
        <f ca="1"/>
        <v>1495.1234323975264</v>
      </c>
      <c r="X188" s="373">
        <f ca="1"/>
        <v>1532.1049400606034</v>
      </c>
      <c r="Y188" s="373">
        <f ca="1"/>
        <v>1567.0677839623211</v>
      </c>
      <c r="Z188" s="373">
        <f ca="1"/>
        <v>1599.8286958042358</v>
      </c>
      <c r="AA188" s="373">
        <f ca="1"/>
        <v>1630.2275199670412</v>
      </c>
      <c r="AB188" s="373">
        <f ca="1"/>
        <v>1658.096676036497</v>
      </c>
      <c r="AC188" s="373">
        <f ca="1"/>
        <v>1683.3040787658624</v>
      </c>
      <c r="AD188" s="373">
        <f ca="1"/>
        <v>1705.7473835778078</v>
      </c>
      <c r="AE188" s="373">
        <f ca="1"/>
        <v>1725.3142458825653</v>
      </c>
      <c r="AF188" s="373">
        <f ca="1"/>
        <v>1741.8979941001612</v>
      </c>
      <c r="AG188" s="373">
        <f ca="1"/>
        <v>1755.4213142180629</v>
      </c>
      <c r="AH188" s="373">
        <f ca="1"/>
        <v>1765.8206146922444</v>
      </c>
      <c r="AI188" s="373">
        <f ca="1"/>
        <v>1773.0173926740686</v>
      </c>
      <c r="AJ188" s="373">
        <f ca="1"/>
        <v>1776.9410868005014</v>
      </c>
      <c r="AK188" s="373">
        <f ca="1"/>
        <v>1777.5362838276892</v>
      </c>
    </row>
    <row r="189" spans="2:37">
      <c r="B189" s="371">
        <v>4</v>
      </c>
      <c r="C189" s="371">
        <v>12</v>
      </c>
      <c r="D189" s="372" t="str">
        <v xml:space="preserve">Veículos do transporte público coletivo intermunicipal e metropolitano </v>
      </c>
      <c r="E189" s="372" t="str">
        <v>Pesados I</v>
      </c>
      <c r="F189" s="51" cm="1">
        <f t="array" ref="F189">INDEX(C$134:E$137,B189,MATCH(E189,_xlfn.ANCHORARRAY(C$133)))</f>
        <v>1.5247776365946653E-2</v>
      </c>
      <c r="G189" s="374">
        <f ca="1"/>
        <v>2.9042737770267379</v>
      </c>
      <c r="H189" s="374">
        <f ca="1"/>
        <v>2.9794182293948399</v>
      </c>
      <c r="I189" s="374">
        <f ca="1"/>
        <v>3.0529981312962047</v>
      </c>
      <c r="J189" s="374">
        <f ca="1"/>
        <v>3.1258624505770718</v>
      </c>
      <c r="K189" s="374">
        <f ca="1"/>
        <v>3.1981974388761625</v>
      </c>
      <c r="L189" s="374">
        <f ca="1"/>
        <v>3.2697871960333944</v>
      </c>
      <c r="M189" s="374">
        <f ca="1"/>
        <v>3.3401046313019922</v>
      </c>
      <c r="N189" s="374">
        <f ca="1"/>
        <v>3.4084067671263791</v>
      </c>
      <c r="O189" s="374">
        <f ca="1"/>
        <v>3.4741643659114421</v>
      </c>
      <c r="P189" s="374">
        <f ca="1"/>
        <v>3.5369145065324665</v>
      </c>
      <c r="Q189" s="374">
        <f ca="1"/>
        <v>3.5962563773633698</v>
      </c>
      <c r="R189" s="374">
        <f ca="1"/>
        <v>3.6517710675863069</v>
      </c>
      <c r="S189" s="374">
        <f ca="1"/>
        <v>3.7030703791077668</v>
      </c>
      <c r="T189" s="374">
        <f ca="1"/>
        <v>3.7499078297544046</v>
      </c>
      <c r="U189" s="374">
        <f ca="1"/>
        <v>3.7920638869614418</v>
      </c>
      <c r="V189" s="374">
        <f ca="1"/>
        <v>3.8293259370124959</v>
      </c>
      <c r="W189" s="374">
        <f ca="1"/>
        <v>3.8615102629774913</v>
      </c>
      <c r="X189" s="374">
        <f ca="1"/>
        <v>3.8885562137173579</v>
      </c>
      <c r="Y189" s="374">
        <f ca="1"/>
        <v>3.9104401445982182</v>
      </c>
      <c r="Z189" s="374">
        <f ca="1"/>
        <v>3.9271161513706141</v>
      </c>
      <c r="AA189" s="374">
        <f ca="1"/>
        <v>3.9385810061362863</v>
      </c>
      <c r="AB189" s="374">
        <f ca="1"/>
        <v>3.9448079726760015</v>
      </c>
      <c r="AC189" s="374">
        <f ca="1"/>
        <v>3.9458249268120591</v>
      </c>
      <c r="AD189" s="374">
        <f ca="1"/>
        <v>3.9416988864793607</v>
      </c>
      <c r="AE189" s="374">
        <f ca="1"/>
        <v>3.9324625752113875</v>
      </c>
      <c r="AF189" s="374">
        <f ca="1"/>
        <v>3.9181486807231365</v>
      </c>
      <c r="AG189" s="374">
        <f ca="1"/>
        <v>3.8988324364753701</v>
      </c>
      <c r="AH189" s="374">
        <f ca="1"/>
        <v>3.8746084106336758</v>
      </c>
      <c r="AI189" s="374">
        <f ca="1"/>
        <v>3.8455401084218548</v>
      </c>
      <c r="AJ189" s="374">
        <f ca="1"/>
        <v>3.8116954346739691</v>
      </c>
      <c r="AK189" s="374">
        <f ca="1"/>
        <v>3.7731549960001223</v>
      </c>
    </row>
    <row r="190" spans="2:37">
      <c r="B190" s="618" t="s">
        <v>73</v>
      </c>
      <c r="C190" s="618"/>
      <c r="D190" s="618"/>
      <c r="E190" s="618"/>
      <c r="F190" s="618"/>
      <c r="G190" s="340">
        <f ca="1">SUM(G142:G189)</f>
        <v>39169.860949112626</v>
      </c>
      <c r="H190" s="340">
        <f t="shared" ref="H190:AK190" ca="1" si="36">SUM(H142:H189)</f>
        <v>40741.469529600545</v>
      </c>
      <c r="I190" s="340">
        <f t="shared" ca="1" si="36"/>
        <v>42332.474184386141</v>
      </c>
      <c r="J190" s="340">
        <f t="shared" ca="1" si="36"/>
        <v>43978.261039336314</v>
      </c>
      <c r="K190" s="340">
        <f t="shared" ca="1" si="36"/>
        <v>45692.4359721812</v>
      </c>
      <c r="L190" s="340">
        <f t="shared" ca="1" si="36"/>
        <v>47474.326892862686</v>
      </c>
      <c r="M190" s="340">
        <f t="shared" ca="1" si="36"/>
        <v>49312.995323149</v>
      </c>
      <c r="N190" s="340">
        <f t="shared" ca="1" si="36"/>
        <v>51188.951074966775</v>
      </c>
      <c r="O190" s="340">
        <f t="shared" ca="1" si="36"/>
        <v>53087.101476054871</v>
      </c>
      <c r="P190" s="340">
        <f t="shared" ca="1" si="36"/>
        <v>54993.614126319211</v>
      </c>
      <c r="Q190" s="340">
        <f t="shared" ca="1" si="36"/>
        <v>56895.447665594242</v>
      </c>
      <c r="R190" s="340">
        <f t="shared" ca="1" si="36"/>
        <v>58778.588302157143</v>
      </c>
      <c r="S190" s="340">
        <f t="shared" ca="1" si="36"/>
        <v>60629.181098378533</v>
      </c>
      <c r="T190" s="340">
        <f t="shared" ca="1" si="36"/>
        <v>62436.134770607263</v>
      </c>
      <c r="U190" s="340">
        <f t="shared" ca="1" si="36"/>
        <v>64188.467834292198</v>
      </c>
      <c r="V190" s="340">
        <f t="shared" ca="1" si="36"/>
        <v>65874.759073955021</v>
      </c>
      <c r="W190" s="340">
        <f t="shared" ca="1" si="36"/>
        <v>67484.046184796782</v>
      </c>
      <c r="X190" s="340">
        <f t="shared" ca="1" si="36"/>
        <v>69008.253818226105</v>
      </c>
      <c r="Y190" s="340">
        <f t="shared" ca="1" si="36"/>
        <v>70440.421983703709</v>
      </c>
      <c r="Z190" s="340">
        <f t="shared" ca="1" si="36"/>
        <v>71773.181248693683</v>
      </c>
      <c r="AA190" s="340">
        <f t="shared" ca="1" si="36"/>
        <v>73000.183107741614</v>
      </c>
      <c r="AB190" s="340">
        <f t="shared" ca="1" si="36"/>
        <v>74114.738772123674</v>
      </c>
      <c r="AC190" s="340">
        <f t="shared" ca="1" si="36"/>
        <v>75111.696930472448</v>
      </c>
      <c r="AD190" s="340">
        <f t="shared" ca="1" si="36"/>
        <v>75987.179803788124</v>
      </c>
      <c r="AE190" s="340">
        <f t="shared" ca="1" si="36"/>
        <v>76736.841084355838</v>
      </c>
      <c r="AF190" s="340">
        <f t="shared" ca="1" si="36"/>
        <v>77356.564966467617</v>
      </c>
      <c r="AG190" s="340">
        <f t="shared" ca="1" si="36"/>
        <v>77843.500940741651</v>
      </c>
      <c r="AH190" s="340">
        <f t="shared" ca="1" si="36"/>
        <v>78195.391829403219</v>
      </c>
      <c r="AI190" s="340">
        <f t="shared" ca="1" si="36"/>
        <v>78409.324904432724</v>
      </c>
      <c r="AJ190" s="340">
        <f t="shared" ca="1" si="36"/>
        <v>78482.717017583927</v>
      </c>
      <c r="AK190" s="340">
        <f t="shared" ca="1" si="36"/>
        <v>78413.618041404436</v>
      </c>
    </row>
    <row r="191" spans="2:37">
      <c r="G191" s="339"/>
      <c r="AK191" s="355"/>
    </row>
    <row r="192" spans="2:37">
      <c r="B192" s="2" t="s">
        <v>556</v>
      </c>
      <c r="G192" s="339"/>
      <c r="AK192" s="355"/>
    </row>
    <row r="193" spans="2:37">
      <c r="B193" s="48" t="str" cm="1">
        <f t="array" ref="B193:E241">_xlfn.ANCHORARRAY(B141)</f>
        <v>Pórtico</v>
      </c>
      <c r="C193" s="48" t="str">
        <v>Categoria</v>
      </c>
      <c r="D193" s="48" t="str">
        <v>Categoria de Veículo</v>
      </c>
      <c r="E193" s="48" t="str">
        <v>Grupo</v>
      </c>
      <c r="F193" s="48" t="str">
        <f>'Painel Controle'!E109</f>
        <v>Multiplicador de Tarifa (Eixos Equivalentes)</v>
      </c>
      <c r="G193" s="48" t="str" cm="1">
        <f t="array" ref="G193:AK193">_xlfn.ANCHORARRAY(G141)</f>
        <v>Ano 0</v>
      </c>
      <c r="H193" s="48" t="str">
        <v>Ano 1</v>
      </c>
      <c r="I193" s="48" t="str">
        <v>Ano 2</v>
      </c>
      <c r="J193" s="48" t="str">
        <v>Ano 3</v>
      </c>
      <c r="K193" s="48" t="str">
        <v>Ano 4</v>
      </c>
      <c r="L193" s="48" t="str">
        <v>Ano 5</v>
      </c>
      <c r="M193" s="48" t="str">
        <v>Ano 6</v>
      </c>
      <c r="N193" s="48" t="str">
        <v>Ano 7</v>
      </c>
      <c r="O193" s="48" t="str">
        <v>Ano 8</v>
      </c>
      <c r="P193" s="48" t="str">
        <v>Ano 9</v>
      </c>
      <c r="Q193" s="48" t="str">
        <v>Ano 10</v>
      </c>
      <c r="R193" s="48" t="str">
        <v>Ano 11</v>
      </c>
      <c r="S193" s="48" t="str">
        <v>Ano 12</v>
      </c>
      <c r="T193" s="48" t="str">
        <v>Ano 13</v>
      </c>
      <c r="U193" s="48" t="str">
        <v>Ano 14</v>
      </c>
      <c r="V193" s="48" t="str">
        <v>Ano 15</v>
      </c>
      <c r="W193" s="48" t="str">
        <v>Ano 16</v>
      </c>
      <c r="X193" s="48" t="str">
        <v>Ano 17</v>
      </c>
      <c r="Y193" s="48" t="str">
        <v>Ano 18</v>
      </c>
      <c r="Z193" s="48" t="str">
        <v>Ano 19</v>
      </c>
      <c r="AA193" s="48" t="str">
        <v>Ano 20</v>
      </c>
      <c r="AB193" s="48" t="str">
        <v>Ano 21</v>
      </c>
      <c r="AC193" s="48" t="str">
        <v>Ano 22</v>
      </c>
      <c r="AD193" s="48" t="str">
        <v>Ano 23</v>
      </c>
      <c r="AE193" s="48" t="str">
        <v>Ano 24</v>
      </c>
      <c r="AF193" s="48" t="str">
        <v>Ano 25</v>
      </c>
      <c r="AG193" s="48" t="str">
        <v>Ano 26</v>
      </c>
      <c r="AH193" s="48" t="str">
        <v>Ano 27</v>
      </c>
      <c r="AI193" s="48" t="str">
        <v>Ano 28</v>
      </c>
      <c r="AJ193" s="48" t="str">
        <v>Ano 29</v>
      </c>
      <c r="AK193" s="48" t="str">
        <v>Ano 30</v>
      </c>
    </row>
    <row r="194" spans="2:37">
      <c r="B194" s="329">
        <v>1</v>
      </c>
      <c r="C194" s="329">
        <v>1</v>
      </c>
      <c r="D194" s="330" t="str">
        <v>Automóvel</v>
      </c>
      <c r="E194" s="330" t="str">
        <v>Leves</v>
      </c>
      <c r="F194" s="368">
        <f>INDEX('Painel Controle'!E$110:E$121,MATCH(D194,'Painel Controle'!C$110:C$121,0))</f>
        <v>1</v>
      </c>
      <c r="G194" s="331" cm="1">
        <f t="array" aca="1" ref="G194:AK241" ca="1">_xlfn.ANCHORARRAY(G142) * F194:F241</f>
        <v>10094.747372789907</v>
      </c>
      <c r="H194" s="331">
        <f ca="1"/>
        <v>10523.113669259908</v>
      </c>
      <c r="I194" s="331">
        <f ca="1"/>
        <v>10958.371343412073</v>
      </c>
      <c r="J194" s="331">
        <f ca="1"/>
        <v>11410.744940792123</v>
      </c>
      <c r="K194" s="331">
        <f ca="1"/>
        <v>11884.269684136856</v>
      </c>
      <c r="L194" s="331">
        <f ca="1"/>
        <v>12378.902994338134</v>
      </c>
      <c r="M194" s="331">
        <f ca="1"/>
        <v>12891.685927434541</v>
      </c>
      <c r="N194" s="331">
        <f ca="1"/>
        <v>13417.200624237212</v>
      </c>
      <c r="O194" s="331">
        <f ca="1"/>
        <v>13951.225457066563</v>
      </c>
      <c r="P194" s="331">
        <f ca="1"/>
        <v>14489.878084430826</v>
      </c>
      <c r="Q194" s="331">
        <f ca="1"/>
        <v>15029.474532279006</v>
      </c>
      <c r="R194" s="331">
        <f ca="1"/>
        <v>15566.04583383389</v>
      </c>
      <c r="S194" s="331">
        <f ca="1"/>
        <v>16095.649220738704</v>
      </c>
      <c r="T194" s="331">
        <f ca="1"/>
        <v>16615.085853067561</v>
      </c>
      <c r="U194" s="331">
        <f ca="1"/>
        <v>17121.169684857385</v>
      </c>
      <c r="V194" s="331">
        <f ca="1"/>
        <v>17610.573220802104</v>
      </c>
      <c r="W194" s="331">
        <f ca="1"/>
        <v>18080.086529557426</v>
      </c>
      <c r="X194" s="331">
        <f ca="1"/>
        <v>18527.292990277347</v>
      </c>
      <c r="Y194" s="331">
        <f ca="1"/>
        <v>18950.088345740944</v>
      </c>
      <c r="Z194" s="331">
        <f ca="1"/>
        <v>19346.256386488723</v>
      </c>
      <c r="AA194" s="331">
        <f ca="1"/>
        <v>19713.860397870565</v>
      </c>
      <c r="AB194" s="331">
        <f ca="1"/>
        <v>20050.873879381921</v>
      </c>
      <c r="AC194" s="331">
        <f ca="1"/>
        <v>20355.699563105907</v>
      </c>
      <c r="AD194" s="331">
        <f ca="1"/>
        <v>20627.099826265796</v>
      </c>
      <c r="AE194" s="331">
        <f ca="1"/>
        <v>20863.716118884964</v>
      </c>
      <c r="AF194" s="331">
        <f ca="1"/>
        <v>21064.258493020403</v>
      </c>
      <c r="AG194" s="331">
        <f ca="1"/>
        <v>21227.792013130173</v>
      </c>
      <c r="AH194" s="331">
        <f ca="1"/>
        <v>21353.547685435147</v>
      </c>
      <c r="AI194" s="331">
        <f ca="1"/>
        <v>21440.576198149141</v>
      </c>
      <c r="AJ194" s="331">
        <f ca="1"/>
        <v>21488.024273528215</v>
      </c>
      <c r="AK194" s="331">
        <f ca="1"/>
        <v>21495.221815564215</v>
      </c>
    </row>
    <row r="195" spans="2:37">
      <c r="B195" s="329">
        <v>1</v>
      </c>
      <c r="C195" s="329">
        <v>2</v>
      </c>
      <c r="D195" s="330" t="str">
        <v xml:space="preserve">Automóvel com reboque </v>
      </c>
      <c r="E195" s="330" t="str">
        <v>Leves</v>
      </c>
      <c r="F195" s="368">
        <f>INDEX('Painel Controle'!E$110:E$121,MATCH(D195,'Painel Controle'!C$110:C$121,0))</f>
        <v>1.5</v>
      </c>
      <c r="G195" s="331">
        <f ca="1"/>
        <v>39.787855635996252</v>
      </c>
      <c r="H195" s="331">
        <f ca="1"/>
        <v>41.47623630901991</v>
      </c>
      <c r="I195" s="331">
        <f ca="1"/>
        <v>43.191778943628663</v>
      </c>
      <c r="J195" s="331">
        <f ca="1"/>
        <v>44.974782987356335</v>
      </c>
      <c r="K195" s="331">
        <f ca="1"/>
        <v>46.841153034323192</v>
      </c>
      <c r="L195" s="331">
        <f ca="1"/>
        <v>48.79072126146788</v>
      </c>
      <c r="M195" s="331">
        <f ca="1"/>
        <v>50.811825164437948</v>
      </c>
      <c r="N195" s="331">
        <f ca="1"/>
        <v>52.883110568502531</v>
      </c>
      <c r="O195" s="331">
        <f ca="1"/>
        <v>54.987938175374964</v>
      </c>
      <c r="P195" s="331">
        <f ca="1"/>
        <v>57.111005963409795</v>
      </c>
      <c r="Q195" s="331">
        <f ca="1"/>
        <v>59.237793764613201</v>
      </c>
      <c r="R195" s="331">
        <f ca="1"/>
        <v>61.352658128849797</v>
      </c>
      <c r="S195" s="331">
        <f ca="1"/>
        <v>63.440058865524172</v>
      </c>
      <c r="T195" s="331">
        <f ca="1"/>
        <v>65.487387934387911</v>
      </c>
      <c r="U195" s="331">
        <f ca="1"/>
        <v>67.482087721847819</v>
      </c>
      <c r="V195" s="331">
        <f ca="1"/>
        <v>69.411043100008285</v>
      </c>
      <c r="W195" s="331">
        <f ca="1"/>
        <v>71.261602312444808</v>
      </c>
      <c r="X195" s="331">
        <f ca="1"/>
        <v>73.024240389606661</v>
      </c>
      <c r="Y195" s="331">
        <f ca="1"/>
        <v>74.690663524879852</v>
      </c>
      <c r="Z195" s="331">
        <f ca="1"/>
        <v>76.2521366584578</v>
      </c>
      <c r="AA195" s="331">
        <f ca="1"/>
        <v>77.701026342958301</v>
      </c>
      <c r="AB195" s="331">
        <f ca="1"/>
        <v>79.029345245311632</v>
      </c>
      <c r="AC195" s="331">
        <f ca="1"/>
        <v>80.230797827557069</v>
      </c>
      <c r="AD195" s="331">
        <f ca="1"/>
        <v>81.300506071993567</v>
      </c>
      <c r="AE195" s="331">
        <f ca="1"/>
        <v>82.23311533344301</v>
      </c>
      <c r="AF195" s="331">
        <f ca="1"/>
        <v>83.023541357625476</v>
      </c>
      <c r="AG195" s="331">
        <f ca="1"/>
        <v>83.668099150850907</v>
      </c>
      <c r="AH195" s="331">
        <f ca="1"/>
        <v>84.163757769170047</v>
      </c>
      <c r="AI195" s="331">
        <f ca="1"/>
        <v>84.506775555768002</v>
      </c>
      <c r="AJ195" s="331">
        <f ca="1"/>
        <v>84.693789366383726</v>
      </c>
      <c r="AK195" s="331">
        <f ca="1"/>
        <v>84.722158056840954</v>
      </c>
    </row>
    <row r="196" spans="2:37">
      <c r="B196" s="329">
        <v>1</v>
      </c>
      <c r="C196" s="329">
        <v>3</v>
      </c>
      <c r="D196" s="330" t="str">
        <v>Veículos Comerciais com 2 Eixos</v>
      </c>
      <c r="E196" s="330" t="str">
        <v>Pesados I</v>
      </c>
      <c r="F196" s="368">
        <f>INDEX('Painel Controle'!E$110:E$121,MATCH(D196,'Painel Controle'!C$110:C$121,0))</f>
        <v>2</v>
      </c>
      <c r="G196" s="331">
        <f ca="1"/>
        <v>2662.4699657471551</v>
      </c>
      <c r="H196" s="331">
        <f ca="1"/>
        <v>2731.3580468589203</v>
      </c>
      <c r="I196" s="331">
        <f ca="1"/>
        <v>2798.8118387309673</v>
      </c>
      <c r="J196" s="331">
        <f ca="1"/>
        <v>2865.6096259073975</v>
      </c>
      <c r="K196" s="331">
        <f ca="1"/>
        <v>2931.9221531017743</v>
      </c>
      <c r="L196" s="331">
        <f ca="1"/>
        <v>2997.5514955535714</v>
      </c>
      <c r="M196" s="331">
        <f ca="1"/>
        <v>3062.0144469984161</v>
      </c>
      <c r="N196" s="331">
        <f ca="1"/>
        <v>3124.6298886510917</v>
      </c>
      <c r="O196" s="331">
        <f ca="1"/>
        <v>3184.9126461410269</v>
      </c>
      <c r="P196" s="331">
        <f ca="1"/>
        <v>3242.4383401962641</v>
      </c>
      <c r="Q196" s="331">
        <f ca="1"/>
        <v>3296.8395299354343</v>
      </c>
      <c r="R196" s="331">
        <f ca="1"/>
        <v>3347.7321821865739</v>
      </c>
      <c r="S196" s="331">
        <f ca="1"/>
        <v>3394.7604194243254</v>
      </c>
      <c r="T196" s="331">
        <f ca="1"/>
        <v>3437.6982810698978</v>
      </c>
      <c r="U196" s="331">
        <f ca="1"/>
        <v>3476.3445123845504</v>
      </c>
      <c r="V196" s="331">
        <f ca="1"/>
        <v>3510.5042014289716</v>
      </c>
      <c r="W196" s="331">
        <f ca="1"/>
        <v>3540.0089271636584</v>
      </c>
      <c r="X196" s="331">
        <f ca="1"/>
        <v>3564.8030881375912</v>
      </c>
      <c r="Y196" s="331">
        <f ca="1"/>
        <v>3584.86500832007</v>
      </c>
      <c r="Z196" s="331">
        <f ca="1"/>
        <v>3600.152605354243</v>
      </c>
      <c r="AA196" s="331">
        <f ca="1"/>
        <v>3610.6629200899647</v>
      </c>
      <c r="AB196" s="331">
        <f ca="1"/>
        <v>3616.371442310166</v>
      </c>
      <c r="AC196" s="331">
        <f ca="1"/>
        <v>3617.3037269539946</v>
      </c>
      <c r="AD196" s="331">
        <f ca="1"/>
        <v>3613.5212121820855</v>
      </c>
      <c r="AE196" s="331">
        <f ca="1"/>
        <v>3605.053897034391</v>
      </c>
      <c r="AF196" s="331">
        <f ca="1"/>
        <v>3591.9317477145505</v>
      </c>
      <c r="AG196" s="331">
        <f ca="1"/>
        <v>3574.2237339014159</v>
      </c>
      <c r="AH196" s="331">
        <f ca="1"/>
        <v>3552.01655021124</v>
      </c>
      <c r="AI196" s="331">
        <f ca="1"/>
        <v>3525.3684145545981</v>
      </c>
      <c r="AJ196" s="331">
        <f ca="1"/>
        <v>3494.3415781499025</v>
      </c>
      <c r="AK196" s="331">
        <f ca="1"/>
        <v>3459.0099364680746</v>
      </c>
    </row>
    <row r="197" spans="2:37">
      <c r="B197" s="329">
        <v>1</v>
      </c>
      <c r="C197" s="329">
        <v>4</v>
      </c>
      <c r="D197" s="330" t="str">
        <v>Veículos Comerciais com 3 Eixos</v>
      </c>
      <c r="E197" s="330" t="str">
        <v>Pesados I</v>
      </c>
      <c r="F197" s="368">
        <f>INDEX('Painel Controle'!E$110:E$121,MATCH(D197,'Painel Controle'!C$110:C$121,0))</f>
        <v>3</v>
      </c>
      <c r="G197" s="331">
        <f ca="1"/>
        <v>1091.7969252442492</v>
      </c>
      <c r="H197" s="331">
        <f ca="1"/>
        <v>1120.0458054612679</v>
      </c>
      <c r="I197" s="331">
        <f ca="1"/>
        <v>1147.7065278391444</v>
      </c>
      <c r="J197" s="331">
        <f ca="1"/>
        <v>1175.0982428971886</v>
      </c>
      <c r="K197" s="331">
        <f ca="1"/>
        <v>1202.2909677832624</v>
      </c>
      <c r="L197" s="331">
        <f ca="1"/>
        <v>1229.2035396494266</v>
      </c>
      <c r="M197" s="331">
        <f ca="1"/>
        <v>1255.6378104900746</v>
      </c>
      <c r="N197" s="331">
        <f ca="1"/>
        <v>1281.314474470777</v>
      </c>
      <c r="O197" s="331">
        <f ca="1"/>
        <v>1306.0345765261952</v>
      </c>
      <c r="P197" s="331">
        <f ca="1"/>
        <v>1329.6240917883606</v>
      </c>
      <c r="Q197" s="331">
        <f ca="1"/>
        <v>1351.9323440695039</v>
      </c>
      <c r="R197" s="331">
        <f ca="1"/>
        <v>1372.8018531945493</v>
      </c>
      <c r="S197" s="331">
        <f ca="1"/>
        <v>1392.0866847518605</v>
      </c>
      <c r="T197" s="331">
        <f ca="1"/>
        <v>1409.69417926797</v>
      </c>
      <c r="U197" s="331">
        <f ca="1"/>
        <v>1425.5418083734407</v>
      </c>
      <c r="V197" s="331">
        <f ca="1"/>
        <v>1439.5496446855141</v>
      </c>
      <c r="W197" s="331">
        <f ca="1"/>
        <v>1451.6486239234889</v>
      </c>
      <c r="X197" s="331">
        <f ca="1"/>
        <v>1461.8159456449016</v>
      </c>
      <c r="Y197" s="331">
        <f ca="1"/>
        <v>1470.0427211772144</v>
      </c>
      <c r="Z197" s="331">
        <f ca="1"/>
        <v>1476.3116938420756</v>
      </c>
      <c r="AA197" s="331">
        <f ca="1"/>
        <v>1480.621650183157</v>
      </c>
      <c r="AB197" s="331">
        <f ca="1"/>
        <v>1482.9625393153863</v>
      </c>
      <c r="AC197" s="331">
        <f ca="1"/>
        <v>1483.3448405321808</v>
      </c>
      <c r="AD197" s="331">
        <f ca="1"/>
        <v>1481.7937477308383</v>
      </c>
      <c r="AE197" s="331">
        <f ca="1"/>
        <v>1478.3215625936314</v>
      </c>
      <c r="AF197" s="331">
        <f ca="1"/>
        <v>1472.9405733376727</v>
      </c>
      <c r="AG197" s="331">
        <f ca="1"/>
        <v>1465.6790623038996</v>
      </c>
      <c r="AH197" s="331">
        <f ca="1"/>
        <v>1456.5725802841241</v>
      </c>
      <c r="AI197" s="331">
        <f ca="1"/>
        <v>1445.6450006502828</v>
      </c>
      <c r="AJ197" s="331">
        <f ca="1"/>
        <v>1432.9218507096234</v>
      </c>
      <c r="AK197" s="331">
        <f ca="1"/>
        <v>1418.4334327186898</v>
      </c>
    </row>
    <row r="198" spans="2:37">
      <c r="B198" s="329">
        <v>1</v>
      </c>
      <c r="C198" s="329">
        <v>5</v>
      </c>
      <c r="D198" s="330" t="str">
        <v>Veículos Comerciais com 4 Eixos</v>
      </c>
      <c r="E198" s="330" t="str">
        <v>Pesados I</v>
      </c>
      <c r="F198" s="368">
        <f>INDEX('Painel Controle'!E$110:E$121,MATCH(D198,'Painel Controle'!C$110:C$121,0))</f>
        <v>4</v>
      </c>
      <c r="G198" s="331">
        <f ca="1"/>
        <v>763.27858892385018</v>
      </c>
      <c r="H198" s="331">
        <f ca="1"/>
        <v>783.02746798018313</v>
      </c>
      <c r="I198" s="331">
        <f ca="1"/>
        <v>802.36516408193461</v>
      </c>
      <c r="J198" s="331">
        <f ca="1"/>
        <v>821.51479633889562</v>
      </c>
      <c r="K198" s="331">
        <f ca="1"/>
        <v>840.52531395451683</v>
      </c>
      <c r="L198" s="331">
        <f ca="1"/>
        <v>859.33997573213821</v>
      </c>
      <c r="M198" s="331">
        <f ca="1"/>
        <v>877.82025579151548</v>
      </c>
      <c r="N198" s="331">
        <f ca="1"/>
        <v>895.77089056462398</v>
      </c>
      <c r="O198" s="331">
        <f ca="1"/>
        <v>913.05278995327831</v>
      </c>
      <c r="P198" s="331">
        <f ca="1"/>
        <v>929.54429263696204</v>
      </c>
      <c r="Q198" s="331">
        <f ca="1"/>
        <v>945.14006042930964</v>
      </c>
      <c r="R198" s="331">
        <f ca="1"/>
        <v>959.72999845549941</v>
      </c>
      <c r="S198" s="331">
        <f ca="1"/>
        <v>973.21208351944642</v>
      </c>
      <c r="T198" s="331">
        <f ca="1"/>
        <v>985.52153709821857</v>
      </c>
      <c r="U198" s="331">
        <f ca="1"/>
        <v>996.60066335487659</v>
      </c>
      <c r="V198" s="331">
        <f ca="1"/>
        <v>1006.393584810269</v>
      </c>
      <c r="W198" s="331">
        <f ca="1"/>
        <v>1014.8520184133077</v>
      </c>
      <c r="X198" s="331">
        <f ca="1"/>
        <v>1021.9600243045303</v>
      </c>
      <c r="Y198" s="331">
        <f ca="1"/>
        <v>1027.7113883856227</v>
      </c>
      <c r="Z198" s="331">
        <f ca="1"/>
        <v>1032.0940464596661</v>
      </c>
      <c r="AA198" s="331">
        <f ca="1"/>
        <v>1035.1071501956085</v>
      </c>
      <c r="AB198" s="331">
        <f ca="1"/>
        <v>1036.7436729887784</v>
      </c>
      <c r="AC198" s="331">
        <f ca="1"/>
        <v>1037.0109409454394</v>
      </c>
      <c r="AD198" s="331">
        <f ca="1"/>
        <v>1035.9265671966916</v>
      </c>
      <c r="AE198" s="331">
        <f ca="1"/>
        <v>1033.4991518864524</v>
      </c>
      <c r="AF198" s="331">
        <f ca="1"/>
        <v>1029.7372857451062</v>
      </c>
      <c r="AG198" s="331">
        <f ca="1"/>
        <v>1024.6607410442007</v>
      </c>
      <c r="AH198" s="331">
        <f ca="1"/>
        <v>1018.2943714516508</v>
      </c>
      <c r="AI198" s="331">
        <f ca="1"/>
        <v>1010.6548669152139</v>
      </c>
      <c r="AJ198" s="331">
        <f ca="1"/>
        <v>1001.7600736539116</v>
      </c>
      <c r="AK198" s="331">
        <f ca="1"/>
        <v>991.63117606850676</v>
      </c>
    </row>
    <row r="199" spans="2:37">
      <c r="B199" s="329">
        <v>1</v>
      </c>
      <c r="C199" s="329">
        <v>6</v>
      </c>
      <c r="D199" s="330" t="str">
        <v>Veículos Comerciais com 5 Eixos Articulado</v>
      </c>
      <c r="E199" s="330" t="str">
        <v>Pesados II</v>
      </c>
      <c r="F199" s="368">
        <f>INDEX('Painel Controle'!E$110:E$121,MATCH(D199,'Painel Controle'!C$110:C$121,0))</f>
        <v>5</v>
      </c>
      <c r="G199" s="331">
        <f ca="1"/>
        <v>258.5153560324776</v>
      </c>
      <c r="H199" s="331">
        <f ca="1"/>
        <v>268.4115749997307</v>
      </c>
      <c r="I199" s="331">
        <f ca="1"/>
        <v>278.3431684757453</v>
      </c>
      <c r="J199" s="331">
        <f ca="1"/>
        <v>288.49292912157784</v>
      </c>
      <c r="K199" s="331">
        <f ca="1"/>
        <v>298.92228660631315</v>
      </c>
      <c r="L199" s="331">
        <f ca="1"/>
        <v>309.61412493242585</v>
      </c>
      <c r="M199" s="331">
        <f ca="1"/>
        <v>320.4936352927877</v>
      </c>
      <c r="N199" s="331">
        <f ca="1"/>
        <v>331.43996592337652</v>
      </c>
      <c r="O199" s="331">
        <f ca="1"/>
        <v>342.36011745486934</v>
      </c>
      <c r="P199" s="331">
        <f ca="1"/>
        <v>353.16933021928202</v>
      </c>
      <c r="Q199" s="331">
        <f ca="1"/>
        <v>363.78913805320826</v>
      </c>
      <c r="R199" s="331">
        <f ca="1"/>
        <v>374.13642227739001</v>
      </c>
      <c r="S199" s="331">
        <f ca="1"/>
        <v>384.13051385818494</v>
      </c>
      <c r="T199" s="331">
        <f ca="1"/>
        <v>393.70940613633593</v>
      </c>
      <c r="U199" s="331">
        <f ca="1"/>
        <v>402.81345948312173</v>
      </c>
      <c r="V199" s="331">
        <f ca="1"/>
        <v>411.38228632004586</v>
      </c>
      <c r="W199" s="331">
        <f ca="1"/>
        <v>419.35951634214342</v>
      </c>
      <c r="X199" s="331">
        <f ca="1"/>
        <v>426.70737274417149</v>
      </c>
      <c r="Y199" s="331">
        <f ca="1"/>
        <v>433.39516133507618</v>
      </c>
      <c r="Z199" s="331">
        <f ca="1"/>
        <v>439.39012195441069</v>
      </c>
      <c r="AA199" s="331">
        <f ca="1"/>
        <v>444.66650348823697</v>
      </c>
      <c r="AB199" s="331">
        <f ca="1"/>
        <v>449.19665431576135</v>
      </c>
      <c r="AC199" s="331">
        <f ca="1"/>
        <v>452.96252888173029</v>
      </c>
      <c r="AD199" s="331">
        <f ca="1"/>
        <v>455.95377510385595</v>
      </c>
      <c r="AE199" s="331">
        <f ca="1"/>
        <v>458.15693294491047</v>
      </c>
      <c r="AF199" s="331">
        <f ca="1"/>
        <v>459.56000046298141</v>
      </c>
      <c r="AG199" s="331">
        <f ca="1"/>
        <v>460.15873281017605</v>
      </c>
      <c r="AH199" s="331">
        <f ca="1"/>
        <v>459.95277196184185</v>
      </c>
      <c r="AI199" s="331">
        <f ca="1"/>
        <v>458.93806585380003</v>
      </c>
      <c r="AJ199" s="331">
        <f ca="1"/>
        <v>457.11256620324684</v>
      </c>
      <c r="AK199" s="331">
        <f ca="1"/>
        <v>454.47779401326494</v>
      </c>
    </row>
    <row r="200" spans="2:37">
      <c r="B200" s="329">
        <v>1</v>
      </c>
      <c r="C200" s="329">
        <v>7</v>
      </c>
      <c r="D200" s="330" t="str">
        <v>Veículos Comerciais com 6 Eixos Articulado</v>
      </c>
      <c r="E200" s="330" t="str">
        <v>Pesados II</v>
      </c>
      <c r="F200" s="368">
        <f>INDEX('Painel Controle'!E$110:E$121,MATCH(D200,'Painel Controle'!C$110:C$121,0))</f>
        <v>6</v>
      </c>
      <c r="G200" s="331">
        <f ca="1"/>
        <v>8090.4965823924194</v>
      </c>
      <c r="H200" s="331">
        <f ca="1"/>
        <v>8400.2086511915713</v>
      </c>
      <c r="I200" s="331">
        <f ca="1"/>
        <v>8711.0278006169247</v>
      </c>
      <c r="J200" s="331">
        <f ca="1"/>
        <v>9028.6747097889001</v>
      </c>
      <c r="K200" s="331">
        <f ca="1"/>
        <v>9355.0718816311764</v>
      </c>
      <c r="L200" s="331">
        <f ca="1"/>
        <v>9689.6836538852003</v>
      </c>
      <c r="M200" s="331">
        <f ca="1"/>
        <v>10030.168810123085</v>
      </c>
      <c r="N200" s="331">
        <f ca="1"/>
        <v>10372.745173537991</v>
      </c>
      <c r="O200" s="331">
        <f ca="1"/>
        <v>10714.502235867591</v>
      </c>
      <c r="P200" s="331">
        <f ca="1"/>
        <v>11052.78735854265</v>
      </c>
      <c r="Q200" s="331">
        <f ca="1"/>
        <v>11385.144864513208</v>
      </c>
      <c r="R200" s="331">
        <f ca="1"/>
        <v>11708.973471593199</v>
      </c>
      <c r="S200" s="331">
        <f ca="1"/>
        <v>12021.748561705757</v>
      </c>
      <c r="T200" s="331">
        <f ca="1"/>
        <v>12321.529574442769</v>
      </c>
      <c r="U200" s="331">
        <f ca="1"/>
        <v>12606.450027983774</v>
      </c>
      <c r="V200" s="331">
        <f ca="1"/>
        <v>12874.620032672154</v>
      </c>
      <c r="W200" s="331">
        <f ca="1"/>
        <v>13124.27542344372</v>
      </c>
      <c r="X200" s="331">
        <f ca="1"/>
        <v>13354.23393740159</v>
      </c>
      <c r="Y200" s="331">
        <f ca="1"/>
        <v>13563.534969142544</v>
      </c>
      <c r="Z200" s="331">
        <f ca="1"/>
        <v>13751.153256685237</v>
      </c>
      <c r="AA200" s="331">
        <f ca="1"/>
        <v>13916.282893167865</v>
      </c>
      <c r="AB200" s="331">
        <f ca="1"/>
        <v>14058.058493466069</v>
      </c>
      <c r="AC200" s="331">
        <f ca="1"/>
        <v>14175.915303882633</v>
      </c>
      <c r="AD200" s="331">
        <f ca="1"/>
        <v>14269.529345650277</v>
      </c>
      <c r="AE200" s="331">
        <f ca="1"/>
        <v>14338.479373443921</v>
      </c>
      <c r="AF200" s="331">
        <f ca="1"/>
        <v>14382.389774489468</v>
      </c>
      <c r="AG200" s="331">
        <f ca="1"/>
        <v>14401.127702027272</v>
      </c>
      <c r="AH200" s="331">
        <f ca="1"/>
        <v>14394.6819513178</v>
      </c>
      <c r="AI200" s="331">
        <f ca="1"/>
        <v>14362.925708960523</v>
      </c>
      <c r="AJ200" s="331">
        <f ca="1"/>
        <v>14305.794871896811</v>
      </c>
      <c r="AK200" s="331">
        <f ca="1"/>
        <v>14223.337041439139</v>
      </c>
    </row>
    <row r="201" spans="2:37">
      <c r="B201" s="329">
        <v>1</v>
      </c>
      <c r="C201" s="329">
        <v>8</v>
      </c>
      <c r="D201" s="330" t="str">
        <v>Veículos Comerciais com 7 Eixos Articulado</v>
      </c>
      <c r="E201" s="330" t="str">
        <v>Pesados II</v>
      </c>
      <c r="F201" s="368">
        <f>INDEX('Painel Controle'!E$110:E$121,MATCH(D201,'Painel Controle'!C$110:C$121,0))</f>
        <v>7</v>
      </c>
      <c r="G201" s="331">
        <f ca="1"/>
        <v>557.35910760602155</v>
      </c>
      <c r="H201" s="331">
        <f ca="1"/>
        <v>578.69535569941922</v>
      </c>
      <c r="I201" s="331">
        <f ca="1"/>
        <v>600.10787123370676</v>
      </c>
      <c r="J201" s="331">
        <f ca="1"/>
        <v>621.99075518612176</v>
      </c>
      <c r="K201" s="331">
        <f ca="1"/>
        <v>644.47644992321113</v>
      </c>
      <c r="L201" s="331">
        <f ca="1"/>
        <v>667.52805335431015</v>
      </c>
      <c r="M201" s="331">
        <f ca="1"/>
        <v>690.98427769125033</v>
      </c>
      <c r="N201" s="331">
        <f ca="1"/>
        <v>714.58456653079975</v>
      </c>
      <c r="O201" s="331">
        <f ca="1"/>
        <v>738.12841323269834</v>
      </c>
      <c r="P201" s="331">
        <f ca="1"/>
        <v>761.43307595277201</v>
      </c>
      <c r="Q201" s="331">
        <f ca="1"/>
        <v>784.32938164271695</v>
      </c>
      <c r="R201" s="331">
        <f ca="1"/>
        <v>806.63812643005269</v>
      </c>
      <c r="S201" s="331">
        <f ca="1"/>
        <v>828.18538787824662</v>
      </c>
      <c r="T201" s="331">
        <f ca="1"/>
        <v>848.83747962994028</v>
      </c>
      <c r="U201" s="331">
        <f ca="1"/>
        <v>868.46581864561028</v>
      </c>
      <c r="V201" s="331">
        <f ca="1"/>
        <v>886.9402093060188</v>
      </c>
      <c r="W201" s="331">
        <f ca="1"/>
        <v>904.13911723366118</v>
      </c>
      <c r="X201" s="331">
        <f ca="1"/>
        <v>919.98109563643357</v>
      </c>
      <c r="Y201" s="331">
        <f ca="1"/>
        <v>934.39996783842412</v>
      </c>
      <c r="Z201" s="331">
        <f ca="1"/>
        <v>947.32510293370945</v>
      </c>
      <c r="AA201" s="331">
        <f ca="1"/>
        <v>958.70098152063906</v>
      </c>
      <c r="AB201" s="331">
        <f ca="1"/>
        <v>968.46798670478177</v>
      </c>
      <c r="AC201" s="331">
        <f ca="1"/>
        <v>976.58721226901071</v>
      </c>
      <c r="AD201" s="331">
        <f ca="1"/>
        <v>983.03633912391376</v>
      </c>
      <c r="AE201" s="331">
        <f ca="1"/>
        <v>987.78634742922736</v>
      </c>
      <c r="AF201" s="331">
        <f ca="1"/>
        <v>990.81136099818855</v>
      </c>
      <c r="AG201" s="331">
        <f ca="1"/>
        <v>992.10222793874004</v>
      </c>
      <c r="AH201" s="331">
        <f ca="1"/>
        <v>991.65817634973155</v>
      </c>
      <c r="AI201" s="331">
        <f ca="1"/>
        <v>989.4704699807935</v>
      </c>
      <c r="AJ201" s="331">
        <f ca="1"/>
        <v>985.53469273420069</v>
      </c>
      <c r="AK201" s="331">
        <f ca="1"/>
        <v>979.85412389259977</v>
      </c>
    </row>
    <row r="202" spans="2:37">
      <c r="B202" s="329">
        <v>1</v>
      </c>
      <c r="C202" s="329">
        <v>9</v>
      </c>
      <c r="D202" s="330" t="str">
        <v>Veículos Comerciais com 8 Eixos Articulado</v>
      </c>
      <c r="E202" s="330" t="str">
        <v>Pesados II</v>
      </c>
      <c r="F202" s="368">
        <f>INDEX('Painel Controle'!E$110:E$121,MATCH(D202,'Painel Controle'!C$110:C$121,0))</f>
        <v>8</v>
      </c>
      <c r="G202" s="331">
        <f ca="1"/>
        <v>0</v>
      </c>
      <c r="H202" s="331">
        <f ca="1"/>
        <v>0</v>
      </c>
      <c r="I202" s="331">
        <f ca="1"/>
        <v>0</v>
      </c>
      <c r="J202" s="331">
        <f ca="1"/>
        <v>0</v>
      </c>
      <c r="K202" s="331">
        <f ca="1"/>
        <v>0</v>
      </c>
      <c r="L202" s="331">
        <f ca="1"/>
        <v>0</v>
      </c>
      <c r="M202" s="331">
        <f ca="1"/>
        <v>0</v>
      </c>
      <c r="N202" s="331">
        <f ca="1"/>
        <v>0</v>
      </c>
      <c r="O202" s="331">
        <f ca="1"/>
        <v>0</v>
      </c>
      <c r="P202" s="331">
        <f ca="1"/>
        <v>0</v>
      </c>
      <c r="Q202" s="331">
        <f ca="1"/>
        <v>0</v>
      </c>
      <c r="R202" s="331">
        <f ca="1"/>
        <v>0</v>
      </c>
      <c r="S202" s="331">
        <f ca="1"/>
        <v>0</v>
      </c>
      <c r="T202" s="331">
        <f ca="1"/>
        <v>0</v>
      </c>
      <c r="U202" s="331">
        <f ca="1"/>
        <v>0</v>
      </c>
      <c r="V202" s="331">
        <f ca="1"/>
        <v>0</v>
      </c>
      <c r="W202" s="331">
        <f ca="1"/>
        <v>0</v>
      </c>
      <c r="X202" s="331">
        <f ca="1"/>
        <v>0</v>
      </c>
      <c r="Y202" s="331">
        <f ca="1"/>
        <v>0</v>
      </c>
      <c r="Z202" s="331">
        <f ca="1"/>
        <v>0</v>
      </c>
      <c r="AA202" s="331">
        <f ca="1"/>
        <v>0</v>
      </c>
      <c r="AB202" s="331">
        <f ca="1"/>
        <v>0</v>
      </c>
      <c r="AC202" s="331">
        <f ca="1"/>
        <v>0</v>
      </c>
      <c r="AD202" s="331">
        <f ca="1"/>
        <v>0</v>
      </c>
      <c r="AE202" s="331">
        <f ca="1"/>
        <v>0</v>
      </c>
      <c r="AF202" s="331">
        <f ca="1"/>
        <v>0</v>
      </c>
      <c r="AG202" s="331">
        <f ca="1"/>
        <v>0</v>
      </c>
      <c r="AH202" s="331">
        <f ca="1"/>
        <v>0</v>
      </c>
      <c r="AI202" s="331">
        <f ca="1"/>
        <v>0</v>
      </c>
      <c r="AJ202" s="331">
        <f ca="1"/>
        <v>0</v>
      </c>
      <c r="AK202" s="331">
        <f ca="1"/>
        <v>0</v>
      </c>
    </row>
    <row r="203" spans="2:37">
      <c r="B203" s="329">
        <v>1</v>
      </c>
      <c r="C203" s="329">
        <v>10</v>
      </c>
      <c r="D203" s="330" t="str">
        <v>Veículos Comerciais com 9 Eixos Articulado</v>
      </c>
      <c r="E203" s="330" t="str">
        <v>Pesados II</v>
      </c>
      <c r="F203" s="368">
        <f>INDEX('Painel Controle'!E$110:E$121,MATCH(D203,'Painel Controle'!C$110:C$121,0))</f>
        <v>9</v>
      </c>
      <c r="G203" s="331">
        <f ca="1"/>
        <v>176.8245035262147</v>
      </c>
      <c r="H203" s="331">
        <f ca="1"/>
        <v>183.5935172998158</v>
      </c>
      <c r="I203" s="331">
        <f ca="1"/>
        <v>190.38672723740981</v>
      </c>
      <c r="J203" s="331">
        <f ca="1"/>
        <v>197.32916351915929</v>
      </c>
      <c r="K203" s="331">
        <f ca="1"/>
        <v>204.46284403871823</v>
      </c>
      <c r="L203" s="331">
        <f ca="1"/>
        <v>211.77606145377933</v>
      </c>
      <c r="M203" s="331">
        <f ca="1"/>
        <v>219.21764654026686</v>
      </c>
      <c r="N203" s="331">
        <f ca="1"/>
        <v>226.70493669158958</v>
      </c>
      <c r="O203" s="331">
        <f ca="1"/>
        <v>234.17432033913067</v>
      </c>
      <c r="P203" s="331">
        <f ca="1"/>
        <v>241.5678218699889</v>
      </c>
      <c r="Q203" s="331">
        <f ca="1"/>
        <v>248.83177042839449</v>
      </c>
      <c r="R203" s="331">
        <f ca="1"/>
        <v>255.90931283773477</v>
      </c>
      <c r="S203" s="331">
        <f ca="1"/>
        <v>262.74527147899846</v>
      </c>
      <c r="T203" s="331">
        <f ca="1"/>
        <v>269.29723379725374</v>
      </c>
      <c r="U203" s="331">
        <f ca="1"/>
        <v>275.52440628645519</v>
      </c>
      <c r="V203" s="331">
        <f ca="1"/>
        <v>281.3854838429113</v>
      </c>
      <c r="W203" s="331">
        <f ca="1"/>
        <v>286.84190917802607</v>
      </c>
      <c r="X203" s="331">
        <f ca="1"/>
        <v>291.86784295701329</v>
      </c>
      <c r="Y203" s="331">
        <f ca="1"/>
        <v>296.44229035319211</v>
      </c>
      <c r="Z203" s="331">
        <f ca="1"/>
        <v>300.54284341681694</v>
      </c>
      <c r="AA203" s="331">
        <f ca="1"/>
        <v>304.15188838595412</v>
      </c>
      <c r="AB203" s="331">
        <f ca="1"/>
        <v>307.25051155198082</v>
      </c>
      <c r="AC203" s="331">
        <f ca="1"/>
        <v>309.82636975510354</v>
      </c>
      <c r="AD203" s="331">
        <f ca="1"/>
        <v>311.87238217103749</v>
      </c>
      <c r="AE203" s="331">
        <f ca="1"/>
        <v>313.37934213431885</v>
      </c>
      <c r="AF203" s="331">
        <f ca="1"/>
        <v>314.3390403166793</v>
      </c>
      <c r="AG203" s="331">
        <f ca="1"/>
        <v>314.74857324216043</v>
      </c>
      <c r="AH203" s="331">
        <f ca="1"/>
        <v>314.60769602189981</v>
      </c>
      <c r="AI203" s="331">
        <f ca="1"/>
        <v>313.91363704399919</v>
      </c>
      <c r="AJ203" s="331">
        <f ca="1"/>
        <v>312.66499528302091</v>
      </c>
      <c r="AK203" s="331">
        <f ca="1"/>
        <v>310.86281110507321</v>
      </c>
    </row>
    <row r="204" spans="2:37">
      <c r="B204" s="329">
        <v>1</v>
      </c>
      <c r="C204" s="329">
        <v>11</v>
      </c>
      <c r="D204" s="330" t="str">
        <v>Motocicleta</v>
      </c>
      <c r="E204" s="330" t="str">
        <v>Leves</v>
      </c>
      <c r="F204" s="368">
        <f>INDEX('Painel Controle'!E$110:E$121,MATCH(D204,'Painel Controle'!C$110:C$121,0))</f>
        <v>0.5</v>
      </c>
      <c r="G204" s="331">
        <f ca="1"/>
        <v>226.41184516674062</v>
      </c>
      <c r="H204" s="331">
        <f ca="1"/>
        <v>236.01953518704192</v>
      </c>
      <c r="I204" s="331">
        <f ca="1"/>
        <v>245.78178970302983</v>
      </c>
      <c r="J204" s="331">
        <f ca="1"/>
        <v>255.92793176138494</v>
      </c>
      <c r="K204" s="331">
        <f ca="1"/>
        <v>266.54846607626774</v>
      </c>
      <c r="L204" s="331">
        <f ca="1"/>
        <v>277.64243765454341</v>
      </c>
      <c r="M204" s="331">
        <f ca="1"/>
        <v>289.1434812928731</v>
      </c>
      <c r="N204" s="331">
        <f ca="1"/>
        <v>300.93008156838351</v>
      </c>
      <c r="O204" s="331">
        <f ca="1"/>
        <v>312.90755295034813</v>
      </c>
      <c r="P204" s="331">
        <f ca="1"/>
        <v>324.98881964892718</v>
      </c>
      <c r="Q204" s="331">
        <f ca="1"/>
        <v>337.09125499387039</v>
      </c>
      <c r="R204" s="331">
        <f ca="1"/>
        <v>349.12584030464535</v>
      </c>
      <c r="S204" s="331">
        <f ca="1"/>
        <v>361.0041444966734</v>
      </c>
      <c r="T204" s="331">
        <f ca="1"/>
        <v>372.65442181711222</v>
      </c>
      <c r="U204" s="331">
        <f ca="1"/>
        <v>384.0052134648007</v>
      </c>
      <c r="V204" s="331">
        <f ca="1"/>
        <v>394.98188811671389</v>
      </c>
      <c r="W204" s="331">
        <f ca="1"/>
        <v>405.51245125415028</v>
      </c>
      <c r="X204" s="331">
        <f ca="1"/>
        <v>415.54270126466662</v>
      </c>
      <c r="Y204" s="331">
        <f ca="1"/>
        <v>425.02544243919732</v>
      </c>
      <c r="Z204" s="331">
        <f ca="1"/>
        <v>433.91096812789095</v>
      </c>
      <c r="AA204" s="331">
        <f ca="1"/>
        <v>442.1558403801676</v>
      </c>
      <c r="AB204" s="331">
        <f ca="1"/>
        <v>449.71460746736869</v>
      </c>
      <c r="AC204" s="331">
        <f ca="1"/>
        <v>456.55144478062249</v>
      </c>
      <c r="AD204" s="331">
        <f ca="1"/>
        <v>462.63859407634448</v>
      </c>
      <c r="AE204" s="331">
        <f ca="1"/>
        <v>467.94558487364014</v>
      </c>
      <c r="AF204" s="331">
        <f ca="1"/>
        <v>472.44348534458328</v>
      </c>
      <c r="AG204" s="331">
        <f ca="1"/>
        <v>476.11132612031855</v>
      </c>
      <c r="AH204" s="331">
        <f ca="1"/>
        <v>478.93185968646793</v>
      </c>
      <c r="AI204" s="331">
        <f ca="1"/>
        <v>480.88379423401346</v>
      </c>
      <c r="AJ204" s="331">
        <f ca="1"/>
        <v>481.94799187061238</v>
      </c>
      <c r="AK204" s="331">
        <f ca="1"/>
        <v>482.10942322821421</v>
      </c>
    </row>
    <row r="205" spans="2:37">
      <c r="B205" s="329">
        <v>1</v>
      </c>
      <c r="C205" s="329">
        <v>12</v>
      </c>
      <c r="D205" s="330" t="str">
        <v xml:space="preserve">Veículos do transporte público coletivo intermunicipal e metropolitano </v>
      </c>
      <c r="E205" s="330" t="str">
        <v>Pesados I</v>
      </c>
      <c r="F205" s="368">
        <f>INDEX('Painel Controle'!E$110:E$121,MATCH(D205,'Painel Controle'!C$110:C$121,0))</f>
        <v>0</v>
      </c>
      <c r="G205" s="331">
        <f ca="1"/>
        <v>0</v>
      </c>
      <c r="H205" s="331">
        <f ca="1"/>
        <v>0</v>
      </c>
      <c r="I205" s="331">
        <f ca="1"/>
        <v>0</v>
      </c>
      <c r="J205" s="331">
        <f ca="1"/>
        <v>0</v>
      </c>
      <c r="K205" s="331">
        <f ca="1"/>
        <v>0</v>
      </c>
      <c r="L205" s="331">
        <f ca="1"/>
        <v>0</v>
      </c>
      <c r="M205" s="331">
        <f ca="1"/>
        <v>0</v>
      </c>
      <c r="N205" s="331">
        <f ca="1"/>
        <v>0</v>
      </c>
      <c r="O205" s="331">
        <f ca="1"/>
        <v>0</v>
      </c>
      <c r="P205" s="331">
        <f ca="1"/>
        <v>0</v>
      </c>
      <c r="Q205" s="331">
        <f ca="1"/>
        <v>0</v>
      </c>
      <c r="R205" s="331">
        <f ca="1"/>
        <v>0</v>
      </c>
      <c r="S205" s="331">
        <f ca="1"/>
        <v>0</v>
      </c>
      <c r="T205" s="331">
        <f ca="1"/>
        <v>0</v>
      </c>
      <c r="U205" s="331">
        <f ca="1"/>
        <v>0</v>
      </c>
      <c r="V205" s="331">
        <f ca="1"/>
        <v>0</v>
      </c>
      <c r="W205" s="331">
        <f ca="1"/>
        <v>0</v>
      </c>
      <c r="X205" s="331">
        <f ca="1"/>
        <v>0</v>
      </c>
      <c r="Y205" s="331">
        <f ca="1"/>
        <v>0</v>
      </c>
      <c r="Z205" s="331">
        <f ca="1"/>
        <v>0</v>
      </c>
      <c r="AA205" s="331">
        <f ca="1"/>
        <v>0</v>
      </c>
      <c r="AB205" s="331">
        <f ca="1"/>
        <v>0</v>
      </c>
      <c r="AC205" s="331">
        <f ca="1"/>
        <v>0</v>
      </c>
      <c r="AD205" s="331">
        <f ca="1"/>
        <v>0</v>
      </c>
      <c r="AE205" s="331">
        <f ca="1"/>
        <v>0</v>
      </c>
      <c r="AF205" s="331">
        <f ca="1"/>
        <v>0</v>
      </c>
      <c r="AG205" s="331">
        <f ca="1"/>
        <v>0</v>
      </c>
      <c r="AH205" s="331">
        <f ca="1"/>
        <v>0</v>
      </c>
      <c r="AI205" s="331">
        <f ca="1"/>
        <v>0</v>
      </c>
      <c r="AJ205" s="331">
        <f ca="1"/>
        <v>0</v>
      </c>
      <c r="AK205" s="331">
        <f ca="1"/>
        <v>0</v>
      </c>
    </row>
    <row r="206" spans="2:37">
      <c r="B206" s="329">
        <v>2</v>
      </c>
      <c r="C206" s="329">
        <v>1</v>
      </c>
      <c r="D206" s="330" t="str">
        <v>Automóvel</v>
      </c>
      <c r="E206" s="330" t="str">
        <v>Leves</v>
      </c>
      <c r="F206" s="368">
        <f>INDEX('Painel Controle'!E$110:E$121,MATCH(D206,'Painel Controle'!C$110:C$121,0))</f>
        <v>1</v>
      </c>
      <c r="G206" s="331">
        <f ca="1"/>
        <v>10642.90207385871</v>
      </c>
      <c r="H206" s="331">
        <f ca="1"/>
        <v>11094.529081123952</v>
      </c>
      <c r="I206" s="331">
        <f ca="1"/>
        <v>11553.421674650708</v>
      </c>
      <c r="J206" s="331">
        <f ca="1"/>
        <v>12030.359602854101</v>
      </c>
      <c r="K206" s="331">
        <f ca="1"/>
        <v>12529.597205030395</v>
      </c>
      <c r="L206" s="331">
        <f ca="1"/>
        <v>13051.089589984043</v>
      </c>
      <c r="M206" s="331">
        <f ca="1"/>
        <v>13591.717140189174</v>
      </c>
      <c r="N206" s="331">
        <f ca="1"/>
        <v>14145.767801379585</v>
      </c>
      <c r="O206" s="331">
        <f ca="1"/>
        <v>14708.790707344668</v>
      </c>
      <c r="P206" s="331">
        <f ca="1"/>
        <v>15276.692701635006</v>
      </c>
      <c r="Q206" s="331">
        <f ca="1"/>
        <v>15845.589766788904</v>
      </c>
      <c r="R206" s="331">
        <f ca="1"/>
        <v>16411.297417233382</v>
      </c>
      <c r="S206" s="331">
        <f ca="1"/>
        <v>16969.658788415876</v>
      </c>
      <c r="T206" s="331">
        <f ca="1"/>
        <v>17517.301340259459</v>
      </c>
      <c r="U206" s="331">
        <f ca="1"/>
        <v>18050.866021374772</v>
      </c>
      <c r="V206" s="331">
        <f ca="1"/>
        <v>18566.844650191142</v>
      </c>
      <c r="W206" s="331">
        <f ca="1"/>
        <v>19061.852992938333</v>
      </c>
      <c r="X206" s="331">
        <f ca="1"/>
        <v>19533.343203883916</v>
      </c>
      <c r="Y206" s="331">
        <f ca="1"/>
        <v>19979.096762572302</v>
      </c>
      <c r="Z206" s="331">
        <f ca="1"/>
        <v>20396.777117192785</v>
      </c>
      <c r="AA206" s="331">
        <f ca="1"/>
        <v>20784.342387586799</v>
      </c>
      <c r="AB206" s="331">
        <f ca="1"/>
        <v>21139.656032281237</v>
      </c>
      <c r="AC206" s="331">
        <f ca="1"/>
        <v>21461.034050141905</v>
      </c>
      <c r="AD206" s="331">
        <f ca="1"/>
        <v>21747.171614259263</v>
      </c>
      <c r="AE206" s="331">
        <f ca="1"/>
        <v>21996.636404058092</v>
      </c>
      <c r="AF206" s="331">
        <f ca="1"/>
        <v>22208.068426154623</v>
      </c>
      <c r="AG206" s="331">
        <f ca="1"/>
        <v>22380.481977088359</v>
      </c>
      <c r="AH206" s="331">
        <f ca="1"/>
        <v>22513.066305962373</v>
      </c>
      <c r="AI206" s="331">
        <f ca="1"/>
        <v>22604.82055242774</v>
      </c>
      <c r="AJ206" s="331">
        <f ca="1"/>
        <v>22654.845104920627</v>
      </c>
      <c r="AK206" s="331">
        <f ca="1"/>
        <v>22662.433480561223</v>
      </c>
    </row>
    <row r="207" spans="2:37">
      <c r="B207" s="329">
        <v>2</v>
      </c>
      <c r="C207" s="329">
        <v>2</v>
      </c>
      <c r="D207" s="330" t="str">
        <v xml:space="preserve">Automóvel com reboque </v>
      </c>
      <c r="E207" s="330" t="str">
        <v>Leves</v>
      </c>
      <c r="F207" s="368">
        <f>INDEX('Painel Controle'!E$110:E$121,MATCH(D207,'Painel Controle'!C$110:C$121,0))</f>
        <v>1.5</v>
      </c>
      <c r="G207" s="331">
        <f ca="1"/>
        <v>54.048950303808482</v>
      </c>
      <c r="H207" s="331">
        <f ca="1"/>
        <v>56.342494442628748</v>
      </c>
      <c r="I207" s="331">
        <f ca="1"/>
        <v>58.672936159576821</v>
      </c>
      <c r="J207" s="331">
        <f ca="1"/>
        <v>61.095019365884134</v>
      </c>
      <c r="K207" s="331">
        <f ca="1"/>
        <v>63.630349312787985</v>
      </c>
      <c r="L207" s="331">
        <f ca="1"/>
        <v>66.278698024687301</v>
      </c>
      <c r="M207" s="331">
        <f ca="1"/>
        <v>69.024222825265753</v>
      </c>
      <c r="N207" s="331">
        <f ca="1"/>
        <v>71.837915598595501</v>
      </c>
      <c r="O207" s="331">
        <f ca="1"/>
        <v>74.697173050485191</v>
      </c>
      <c r="P207" s="331">
        <f ca="1"/>
        <v>77.581208481218368</v>
      </c>
      <c r="Q207" s="331">
        <f ca="1"/>
        <v>80.470297283229428</v>
      </c>
      <c r="R207" s="331">
        <f ca="1"/>
        <v>83.34318895066842</v>
      </c>
      <c r="S207" s="331">
        <f ca="1"/>
        <v>86.178773248369964</v>
      </c>
      <c r="T207" s="331">
        <f ca="1"/>
        <v>88.959923057269123</v>
      </c>
      <c r="U207" s="331">
        <f ca="1"/>
        <v>91.669579759298074</v>
      </c>
      <c r="V207" s="331">
        <f ca="1"/>
        <v>94.289927393165954</v>
      </c>
      <c r="W207" s="331">
        <f ca="1"/>
        <v>96.803779454515734</v>
      </c>
      <c r="X207" s="331">
        <f ca="1"/>
        <v>99.19819695486305</v>
      </c>
      <c r="Y207" s="331">
        <f ca="1"/>
        <v>101.46191335233613</v>
      </c>
      <c r="Z207" s="331">
        <f ca="1"/>
        <v>103.5830626942256</v>
      </c>
      <c r="AA207" s="331">
        <f ca="1"/>
        <v>105.55127548934846</v>
      </c>
      <c r="AB207" s="331">
        <f ca="1"/>
        <v>107.35570151817802</v>
      </c>
      <c r="AC207" s="331">
        <f ca="1"/>
        <v>108.98778874359303</v>
      </c>
      <c r="AD207" s="331">
        <f ca="1"/>
        <v>110.44091072815196</v>
      </c>
      <c r="AE207" s="331">
        <f ca="1"/>
        <v>111.7077935701453</v>
      </c>
      <c r="AF207" s="331">
        <f ca="1"/>
        <v>112.78153067452007</v>
      </c>
      <c r="AG207" s="331">
        <f ca="1"/>
        <v>113.65711624145013</v>
      </c>
      <c r="AH207" s="331">
        <f ca="1"/>
        <v>114.33043295080674</v>
      </c>
      <c r="AI207" s="331">
        <f ca="1"/>
        <v>114.79639802996981</v>
      </c>
      <c r="AJ207" s="331">
        <f ca="1"/>
        <v>115.05044288849567</v>
      </c>
      <c r="AK207" s="331">
        <f ca="1"/>
        <v>115.08897972131052</v>
      </c>
    </row>
    <row r="208" spans="2:37">
      <c r="B208" s="329">
        <v>2</v>
      </c>
      <c r="C208" s="329">
        <v>3</v>
      </c>
      <c r="D208" s="330" t="str">
        <v>Veículos Comerciais com 2 Eixos</v>
      </c>
      <c r="E208" s="330" t="str">
        <v>Pesados I</v>
      </c>
      <c r="F208" s="368">
        <f>INDEX('Painel Controle'!E$110:E$121,MATCH(D208,'Painel Controle'!C$110:C$121,0))</f>
        <v>2</v>
      </c>
      <c r="G208" s="331">
        <f ca="1"/>
        <v>2100.5910953978268</v>
      </c>
      <c r="H208" s="331">
        <f ca="1"/>
        <v>2154.9412633336397</v>
      </c>
      <c r="I208" s="331">
        <f ca="1"/>
        <v>2208.1598296949987</v>
      </c>
      <c r="J208" s="331">
        <f ca="1"/>
        <v>2260.8608324256393</v>
      </c>
      <c r="K208" s="331">
        <f ca="1"/>
        <v>2313.1789828385567</v>
      </c>
      <c r="L208" s="331">
        <f ca="1"/>
        <v>2364.9581255611574</v>
      </c>
      <c r="M208" s="331">
        <f ca="1"/>
        <v>2415.8170285836009</v>
      </c>
      <c r="N208" s="331">
        <f ca="1"/>
        <v>2465.2183141801138</v>
      </c>
      <c r="O208" s="331">
        <f ca="1"/>
        <v>2512.7791975772902</v>
      </c>
      <c r="P208" s="331">
        <f ca="1"/>
        <v>2558.1648591034664</v>
      </c>
      <c r="Q208" s="331">
        <f ca="1"/>
        <v>2601.0854013876228</v>
      </c>
      <c r="R208" s="331">
        <f ca="1"/>
        <v>2641.2378363503676</v>
      </c>
      <c r="S208" s="331">
        <f ca="1"/>
        <v>2678.3413896842189</v>
      </c>
      <c r="T208" s="331">
        <f ca="1"/>
        <v>2712.217786784835</v>
      </c>
      <c r="U208" s="331">
        <f ca="1"/>
        <v>2742.7082450490138</v>
      </c>
      <c r="V208" s="331">
        <f ca="1"/>
        <v>2769.6589861095358</v>
      </c>
      <c r="W208" s="331">
        <f ca="1"/>
        <v>2792.9371319469656</v>
      </c>
      <c r="X208" s="331">
        <f ca="1"/>
        <v>2812.4988150569143</v>
      </c>
      <c r="Y208" s="331">
        <f ca="1"/>
        <v>2828.3269338466303</v>
      </c>
      <c r="Z208" s="331">
        <f ca="1"/>
        <v>2840.3882868808992</v>
      </c>
      <c r="AA208" s="331">
        <f ca="1"/>
        <v>2848.6805394988519</v>
      </c>
      <c r="AB208" s="331">
        <f ca="1"/>
        <v>2853.1843540386976</v>
      </c>
      <c r="AC208" s="331">
        <f ca="1"/>
        <v>2853.9198924096077</v>
      </c>
      <c r="AD208" s="331">
        <f ca="1"/>
        <v>2850.9356270656594</v>
      </c>
      <c r="AE208" s="331">
        <f ca="1"/>
        <v>2844.255226148467</v>
      </c>
      <c r="AF208" s="331">
        <f ca="1"/>
        <v>2833.9023318929999</v>
      </c>
      <c r="AG208" s="331">
        <f ca="1"/>
        <v>2819.9313588448163</v>
      </c>
      <c r="AH208" s="331">
        <f ca="1"/>
        <v>2802.4107058746122</v>
      </c>
      <c r="AI208" s="331">
        <f ca="1"/>
        <v>2781.3863047773452</v>
      </c>
      <c r="AJ208" s="331">
        <f ca="1"/>
        <v>2756.907269479841</v>
      </c>
      <c r="AK208" s="331">
        <f ca="1"/>
        <v>2729.0319007968342</v>
      </c>
    </row>
    <row r="209" spans="2:37">
      <c r="B209" s="329">
        <v>2</v>
      </c>
      <c r="C209" s="329">
        <v>4</v>
      </c>
      <c r="D209" s="330" t="str">
        <v>Veículos Comerciais com 3 Eixos</v>
      </c>
      <c r="E209" s="330" t="str">
        <v>Pesados I</v>
      </c>
      <c r="F209" s="368">
        <f>INDEX('Painel Controle'!E$110:E$121,MATCH(D209,'Painel Controle'!C$110:C$121,0))</f>
        <v>3</v>
      </c>
      <c r="G209" s="331">
        <f ca="1"/>
        <v>862.3837407192508</v>
      </c>
      <c r="H209" s="331">
        <f ca="1"/>
        <v>884.69684165350441</v>
      </c>
      <c r="I209" s="331">
        <f ca="1"/>
        <v>906.5453710674276</v>
      </c>
      <c r="J209" s="331">
        <f ca="1"/>
        <v>928.1814181658267</v>
      </c>
      <c r="K209" s="331">
        <f ca="1"/>
        <v>949.66028778469411</v>
      </c>
      <c r="L209" s="331">
        <f ca="1"/>
        <v>970.91787137161089</v>
      </c>
      <c r="M209" s="331">
        <f ca="1"/>
        <v>991.79765665369882</v>
      </c>
      <c r="N209" s="331">
        <f ca="1"/>
        <v>1012.0790267701384</v>
      </c>
      <c r="O209" s="331">
        <f ca="1"/>
        <v>1031.60483197127</v>
      </c>
      <c r="P209" s="331">
        <f ca="1"/>
        <v>1050.2376142617941</v>
      </c>
      <c r="Q209" s="331">
        <f ca="1"/>
        <v>1067.8583581989667</v>
      </c>
      <c r="R209" s="331">
        <f ca="1"/>
        <v>1084.3426740365524</v>
      </c>
      <c r="S209" s="331">
        <f ca="1"/>
        <v>1099.5752917450279</v>
      </c>
      <c r="T209" s="331">
        <f ca="1"/>
        <v>1113.4830218680995</v>
      </c>
      <c r="U209" s="331">
        <f ca="1"/>
        <v>1126.0006772612483</v>
      </c>
      <c r="V209" s="331">
        <f ca="1"/>
        <v>1137.0651252358443</v>
      </c>
      <c r="W209" s="331">
        <f ca="1"/>
        <v>1146.6218136024054</v>
      </c>
      <c r="X209" s="331">
        <f ca="1"/>
        <v>1154.6527328479847</v>
      </c>
      <c r="Y209" s="331">
        <f ca="1"/>
        <v>1161.150862027114</v>
      </c>
      <c r="Z209" s="331">
        <f ca="1"/>
        <v>1166.1025705107959</v>
      </c>
      <c r="AA209" s="331">
        <f ca="1"/>
        <v>1169.5068998194968</v>
      </c>
      <c r="AB209" s="331">
        <f ca="1"/>
        <v>1171.3559110044375</v>
      </c>
      <c r="AC209" s="331">
        <f ca="1"/>
        <v>1171.657881403692</v>
      </c>
      <c r="AD209" s="331">
        <f ca="1"/>
        <v>1170.4327110617576</v>
      </c>
      <c r="AE209" s="331">
        <f ca="1"/>
        <v>1167.6901167771803</v>
      </c>
      <c r="AF209" s="331">
        <f ca="1"/>
        <v>1163.4398047127038</v>
      </c>
      <c r="AG209" s="331">
        <f ca="1"/>
        <v>1157.7041143990691</v>
      </c>
      <c r="AH209" s="331">
        <f ca="1"/>
        <v>1150.5111265389417</v>
      </c>
      <c r="AI209" s="331">
        <f ca="1"/>
        <v>1141.8796981260696</v>
      </c>
      <c r="AJ209" s="331">
        <f ca="1"/>
        <v>1131.8299925573319</v>
      </c>
      <c r="AK209" s="331">
        <f ca="1"/>
        <v>1120.3859448455009</v>
      </c>
    </row>
    <row r="210" spans="2:37">
      <c r="B210" s="329">
        <v>2</v>
      </c>
      <c r="C210" s="329">
        <v>5</v>
      </c>
      <c r="D210" s="330" t="str">
        <v>Veículos Comerciais com 4 Eixos</v>
      </c>
      <c r="E210" s="330" t="str">
        <v>Pesados I</v>
      </c>
      <c r="F210" s="368">
        <f>INDEX('Painel Controle'!E$110:E$121,MATCH(D210,'Painel Controle'!C$110:C$121,0))</f>
        <v>4</v>
      </c>
      <c r="G210" s="331">
        <f ca="1"/>
        <v>444.97254120068447</v>
      </c>
      <c r="H210" s="331">
        <f ca="1"/>
        <v>456.48564929395786</v>
      </c>
      <c r="I210" s="331">
        <f ca="1"/>
        <v>467.75904789340609</v>
      </c>
      <c r="J210" s="331">
        <f ca="1"/>
        <v>478.92280992222499</v>
      </c>
      <c r="K210" s="331">
        <f ca="1"/>
        <v>490.0054715554956</v>
      </c>
      <c r="L210" s="331">
        <f ca="1"/>
        <v>500.97395407879463</v>
      </c>
      <c r="M210" s="331">
        <f ca="1"/>
        <v>511.74750032973213</v>
      </c>
      <c r="N210" s="331">
        <f ca="1"/>
        <v>522.21227647708497</v>
      </c>
      <c r="O210" s="331">
        <f ca="1"/>
        <v>532.28719643335705</v>
      </c>
      <c r="P210" s="331">
        <f ca="1"/>
        <v>541.90133465741349</v>
      </c>
      <c r="Q210" s="331">
        <f ca="1"/>
        <v>550.9932815916527</v>
      </c>
      <c r="R210" s="331">
        <f ca="1"/>
        <v>559.49885464673787</v>
      </c>
      <c r="S210" s="331">
        <f ca="1"/>
        <v>567.35857682242022</v>
      </c>
      <c r="T210" s="331">
        <f ca="1"/>
        <v>574.53468384182543</v>
      </c>
      <c r="U210" s="331">
        <f ca="1"/>
        <v>580.9935404588557</v>
      </c>
      <c r="V210" s="331">
        <f ca="1"/>
        <v>586.70257148503504</v>
      </c>
      <c r="W210" s="331">
        <f ca="1"/>
        <v>591.63362909563557</v>
      </c>
      <c r="X210" s="331">
        <f ca="1"/>
        <v>595.77742074678895</v>
      </c>
      <c r="Y210" s="331">
        <f ca="1"/>
        <v>599.13032377285469</v>
      </c>
      <c r="Z210" s="331">
        <f ca="1"/>
        <v>601.68530504538114</v>
      </c>
      <c r="AA210" s="331">
        <f ca="1"/>
        <v>603.44187000834427</v>
      </c>
      <c r="AB210" s="331">
        <f ca="1"/>
        <v>604.39592232499103</v>
      </c>
      <c r="AC210" s="331">
        <f ca="1"/>
        <v>604.55173293409598</v>
      </c>
      <c r="AD210" s="331">
        <f ca="1"/>
        <v>603.91956985551155</v>
      </c>
      <c r="AE210" s="331">
        <f ca="1"/>
        <v>602.50444676045743</v>
      </c>
      <c r="AF210" s="331">
        <f ca="1"/>
        <v>600.31137183229544</v>
      </c>
      <c r="AG210" s="331">
        <f ca="1"/>
        <v>597.35187181636343</v>
      </c>
      <c r="AH210" s="331">
        <f ca="1"/>
        <v>593.64043578641554</v>
      </c>
      <c r="AI210" s="331">
        <f ca="1"/>
        <v>589.18679356924633</v>
      </c>
      <c r="AJ210" s="331">
        <f ca="1"/>
        <v>584.00134906920266</v>
      </c>
      <c r="AK210" s="331">
        <f ca="1"/>
        <v>578.09645226803127</v>
      </c>
    </row>
    <row r="211" spans="2:37">
      <c r="B211" s="329">
        <v>2</v>
      </c>
      <c r="C211" s="329">
        <v>6</v>
      </c>
      <c r="D211" s="330" t="str">
        <v>Veículos Comerciais com 5 Eixos Articulado</v>
      </c>
      <c r="E211" s="330" t="str">
        <v>Pesados II</v>
      </c>
      <c r="F211" s="368">
        <f>INDEX('Painel Controle'!E$110:E$121,MATCH(D211,'Painel Controle'!C$110:C$121,0))</f>
        <v>5</v>
      </c>
      <c r="G211" s="331">
        <f ca="1"/>
        <v>513.62429823078378</v>
      </c>
      <c r="H211" s="331">
        <f ca="1"/>
        <v>533.28633533450989</v>
      </c>
      <c r="I211" s="331">
        <f ca="1"/>
        <v>553.01865533174282</v>
      </c>
      <c r="J211" s="331">
        <f ca="1"/>
        <v>573.1844349161139</v>
      </c>
      <c r="K211" s="331">
        <f ca="1"/>
        <v>593.90572397726419</v>
      </c>
      <c r="L211" s="331">
        <f ca="1"/>
        <v>615.14851605479453</v>
      </c>
      <c r="M211" s="331">
        <f ca="1"/>
        <v>636.76417927765317</v>
      </c>
      <c r="N211" s="331">
        <f ca="1"/>
        <v>658.51260256138244</v>
      </c>
      <c r="O211" s="331">
        <f ca="1"/>
        <v>680.20901260455275</v>
      </c>
      <c r="P211" s="331">
        <f ca="1"/>
        <v>701.68500693523856</v>
      </c>
      <c r="Q211" s="331">
        <f ca="1"/>
        <v>722.78468716220686</v>
      </c>
      <c r="R211" s="331">
        <f ca="1"/>
        <v>743.34291116794884</v>
      </c>
      <c r="S211" s="331">
        <f ca="1"/>
        <v>763.19940384761412</v>
      </c>
      <c r="T211" s="331">
        <f ca="1"/>
        <v>782.23096893412105</v>
      </c>
      <c r="U211" s="331">
        <f ca="1"/>
        <v>800.31911303149127</v>
      </c>
      <c r="V211" s="331">
        <f ca="1"/>
        <v>817.34385669980679</v>
      </c>
      <c r="W211" s="331">
        <f ca="1"/>
        <v>833.1932021112674</v>
      </c>
      <c r="X211" s="331">
        <f ca="1"/>
        <v>847.7920934340641</v>
      </c>
      <c r="Y211" s="331">
        <f ca="1"/>
        <v>861.07954673833785</v>
      </c>
      <c r="Z211" s="331">
        <f ca="1"/>
        <v>872.99047337837874</v>
      </c>
      <c r="AA211" s="331">
        <f ca="1"/>
        <v>883.47371044445435</v>
      </c>
      <c r="AB211" s="331">
        <f ca="1"/>
        <v>892.47431905578378</v>
      </c>
      <c r="AC211" s="331">
        <f ca="1"/>
        <v>899.95644588513926</v>
      </c>
      <c r="AD211" s="331">
        <f ca="1"/>
        <v>905.89952317561074</v>
      </c>
      <c r="AE211" s="331">
        <f ca="1"/>
        <v>910.27680821341391</v>
      </c>
      <c r="AF211" s="331">
        <f ca="1"/>
        <v>913.06445526231516</v>
      </c>
      <c r="AG211" s="331">
        <f ca="1"/>
        <v>914.25403056018365</v>
      </c>
      <c r="AH211" s="331">
        <f ca="1"/>
        <v>913.84482277534539</v>
      </c>
      <c r="AI211" s="331">
        <f ca="1"/>
        <v>911.82878117281871</v>
      </c>
      <c r="AJ211" s="331">
        <f ca="1"/>
        <v>908.2018361768778</v>
      </c>
      <c r="AK211" s="331">
        <f ca="1"/>
        <v>902.96700975168289</v>
      </c>
    </row>
    <row r="212" spans="2:37">
      <c r="B212" s="329">
        <v>2</v>
      </c>
      <c r="C212" s="329">
        <v>7</v>
      </c>
      <c r="D212" s="330" t="str">
        <v>Veículos Comerciais com 6 Eixos Articulado</v>
      </c>
      <c r="E212" s="330" t="str">
        <v>Pesados II</v>
      </c>
      <c r="F212" s="368">
        <f>INDEX('Painel Controle'!E$110:E$121,MATCH(D212,'Painel Controle'!C$110:C$121,0))</f>
        <v>6</v>
      </c>
      <c r="G212" s="331">
        <f ca="1"/>
        <v>5699.7040936342819</v>
      </c>
      <c r="H212" s="331">
        <f ca="1"/>
        <v>5917.8943033952346</v>
      </c>
      <c r="I212" s="331">
        <f ca="1"/>
        <v>6136.8644445130431</v>
      </c>
      <c r="J212" s="331">
        <f ca="1"/>
        <v>6360.6446995443621</v>
      </c>
      <c r="K212" s="331">
        <f ca="1"/>
        <v>6590.5894597397782</v>
      </c>
      <c r="L212" s="331">
        <f ca="1"/>
        <v>6826.3213543981556</v>
      </c>
      <c r="M212" s="331">
        <f ca="1"/>
        <v>7066.19101123162</v>
      </c>
      <c r="N212" s="331">
        <f ca="1"/>
        <v>7307.533910403934</v>
      </c>
      <c r="O212" s="331">
        <f ca="1"/>
        <v>7548.2996171008199</v>
      </c>
      <c r="P212" s="331">
        <f ca="1"/>
        <v>7786.6193640892579</v>
      </c>
      <c r="Q212" s="331">
        <f ca="1"/>
        <v>8020.7631422911027</v>
      </c>
      <c r="R212" s="331">
        <f ca="1"/>
        <v>8248.898364723138</v>
      </c>
      <c r="S212" s="331">
        <f ca="1"/>
        <v>8469.2464537861961</v>
      </c>
      <c r="T212" s="331">
        <f ca="1"/>
        <v>8680.4402968451759</v>
      </c>
      <c r="U212" s="331">
        <f ca="1"/>
        <v>8881.1649691653001</v>
      </c>
      <c r="V212" s="331">
        <f ca="1"/>
        <v>9070.0890553380523</v>
      </c>
      <c r="W212" s="331">
        <f ca="1"/>
        <v>9245.9697121416648</v>
      </c>
      <c r="X212" s="331">
        <f ca="1"/>
        <v>9407.9740427811776</v>
      </c>
      <c r="Y212" s="331">
        <f ca="1"/>
        <v>9555.4253067755344</v>
      </c>
      <c r="Z212" s="331">
        <f ca="1"/>
        <v>9687.6012134899665</v>
      </c>
      <c r="AA212" s="331">
        <f ca="1"/>
        <v>9803.9340065954875</v>
      </c>
      <c r="AB212" s="331">
        <f ca="1"/>
        <v>9903.8140277002203</v>
      </c>
      <c r="AC212" s="331">
        <f ca="1"/>
        <v>9986.8434113669682</v>
      </c>
      <c r="AD212" s="331">
        <f ca="1"/>
        <v>10052.793916586379</v>
      </c>
      <c r="AE212" s="331">
        <f ca="1"/>
        <v>10101.368778669248</v>
      </c>
      <c r="AF212" s="331">
        <f ca="1"/>
        <v>10132.303380772302</v>
      </c>
      <c r="AG212" s="331">
        <f ca="1"/>
        <v>10145.504133186667</v>
      </c>
      <c r="AH212" s="331">
        <f ca="1"/>
        <v>10140.963142243632</v>
      </c>
      <c r="AI212" s="331">
        <f ca="1"/>
        <v>10118.59106869797</v>
      </c>
      <c r="AJ212" s="331">
        <f ca="1"/>
        <v>10078.342752346975</v>
      </c>
      <c r="AK212" s="331">
        <f ca="1"/>
        <v>10020.251728016694</v>
      </c>
    </row>
    <row r="213" spans="2:37">
      <c r="B213" s="329">
        <v>2</v>
      </c>
      <c r="C213" s="329">
        <v>8</v>
      </c>
      <c r="D213" s="330" t="str">
        <v>Veículos Comerciais com 7 Eixos Articulado</v>
      </c>
      <c r="E213" s="330" t="str">
        <v>Pesados II</v>
      </c>
      <c r="F213" s="368">
        <f>INDEX('Painel Controle'!E$110:E$121,MATCH(D213,'Painel Controle'!C$110:C$121,0))</f>
        <v>7</v>
      </c>
      <c r="G213" s="331">
        <f ca="1"/>
        <v>242.06452075034957</v>
      </c>
      <c r="H213" s="331">
        <f ca="1"/>
        <v>251.33098576161063</v>
      </c>
      <c r="I213" s="331">
        <f ca="1"/>
        <v>260.63057419595009</v>
      </c>
      <c r="J213" s="331">
        <f ca="1"/>
        <v>270.13444655452503</v>
      </c>
      <c r="K213" s="331">
        <f ca="1"/>
        <v>279.9001233793839</v>
      </c>
      <c r="L213" s="331">
        <f ca="1"/>
        <v>289.91157786344775</v>
      </c>
      <c r="M213" s="331">
        <f ca="1"/>
        <v>300.09876171897315</v>
      </c>
      <c r="N213" s="331">
        <f ca="1"/>
        <v>310.34851368239407</v>
      </c>
      <c r="O213" s="331">
        <f ca="1"/>
        <v>320.57375247501699</v>
      </c>
      <c r="P213" s="331">
        <f ca="1"/>
        <v>330.69511217937969</v>
      </c>
      <c r="Q213" s="331">
        <f ca="1"/>
        <v>340.63911989030743</v>
      </c>
      <c r="R213" s="331">
        <f ca="1"/>
        <v>350.32794625340955</v>
      </c>
      <c r="S213" s="331">
        <f ca="1"/>
        <v>359.68605567471718</v>
      </c>
      <c r="T213" s="331">
        <f ca="1"/>
        <v>368.6553873392491</v>
      </c>
      <c r="U213" s="331">
        <f ca="1"/>
        <v>377.18009683464345</v>
      </c>
      <c r="V213" s="331">
        <f ca="1"/>
        <v>385.20363939515653</v>
      </c>
      <c r="W213" s="331">
        <f ca="1"/>
        <v>392.67323188610226</v>
      </c>
      <c r="X213" s="331">
        <f ca="1"/>
        <v>399.55350146001433</v>
      </c>
      <c r="Y213" s="331">
        <f ca="1"/>
        <v>405.8157071756919</v>
      </c>
      <c r="Z213" s="331">
        <f ca="1"/>
        <v>411.42917359218637</v>
      </c>
      <c r="AA213" s="331">
        <f ca="1"/>
        <v>416.36978828867348</v>
      </c>
      <c r="AB213" s="331">
        <f ca="1"/>
        <v>420.61165927777529</v>
      </c>
      <c r="AC213" s="331">
        <f ca="1"/>
        <v>424.1378893478477</v>
      </c>
      <c r="AD213" s="331">
        <f ca="1"/>
        <v>426.93878517979266</v>
      </c>
      <c r="AE213" s="331">
        <f ca="1"/>
        <v>429.00174327681668</v>
      </c>
      <c r="AF213" s="331">
        <f ca="1"/>
        <v>430.31552545035834</v>
      </c>
      <c r="AG213" s="331">
        <f ca="1"/>
        <v>430.87615697687846</v>
      </c>
      <c r="AH213" s="331">
        <f ca="1"/>
        <v>430.68330261491508</v>
      </c>
      <c r="AI213" s="331">
        <f ca="1"/>
        <v>429.73316815669466</v>
      </c>
      <c r="AJ213" s="331">
        <f ca="1"/>
        <v>428.02383566355809</v>
      </c>
      <c r="AK213" s="331">
        <f ca="1"/>
        <v>425.55672934831784</v>
      </c>
    </row>
    <row r="214" spans="2:37">
      <c r="B214" s="329">
        <v>2</v>
      </c>
      <c r="C214" s="329">
        <v>9</v>
      </c>
      <c r="D214" s="330" t="str">
        <v>Veículos Comerciais com 8 Eixos Articulado</v>
      </c>
      <c r="E214" s="330" t="str">
        <v>Pesados II</v>
      </c>
      <c r="F214" s="368">
        <f>INDEX('Painel Controle'!E$110:E$121,MATCH(D214,'Painel Controle'!C$110:C$121,0))</f>
        <v>8</v>
      </c>
      <c r="G214" s="331">
        <f ca="1"/>
        <v>0</v>
      </c>
      <c r="H214" s="331">
        <f ca="1"/>
        <v>0</v>
      </c>
      <c r="I214" s="331">
        <f ca="1"/>
        <v>0</v>
      </c>
      <c r="J214" s="331">
        <f ca="1"/>
        <v>0</v>
      </c>
      <c r="K214" s="331">
        <f ca="1"/>
        <v>0</v>
      </c>
      <c r="L214" s="331">
        <f ca="1"/>
        <v>0</v>
      </c>
      <c r="M214" s="331">
        <f ca="1"/>
        <v>0</v>
      </c>
      <c r="N214" s="331">
        <f ca="1"/>
        <v>0</v>
      </c>
      <c r="O214" s="331">
        <f ca="1"/>
        <v>0</v>
      </c>
      <c r="P214" s="331">
        <f ca="1"/>
        <v>0</v>
      </c>
      <c r="Q214" s="331">
        <f ca="1"/>
        <v>0</v>
      </c>
      <c r="R214" s="331">
        <f ca="1"/>
        <v>0</v>
      </c>
      <c r="S214" s="331">
        <f ca="1"/>
        <v>0</v>
      </c>
      <c r="T214" s="331">
        <f ca="1"/>
        <v>0</v>
      </c>
      <c r="U214" s="331">
        <f ca="1"/>
        <v>0</v>
      </c>
      <c r="V214" s="331">
        <f ca="1"/>
        <v>0</v>
      </c>
      <c r="W214" s="331">
        <f ca="1"/>
        <v>0</v>
      </c>
      <c r="X214" s="331">
        <f ca="1"/>
        <v>0</v>
      </c>
      <c r="Y214" s="331">
        <f ca="1"/>
        <v>0</v>
      </c>
      <c r="Z214" s="331">
        <f ca="1"/>
        <v>0</v>
      </c>
      <c r="AA214" s="331">
        <f ca="1"/>
        <v>0</v>
      </c>
      <c r="AB214" s="331">
        <f ca="1"/>
        <v>0</v>
      </c>
      <c r="AC214" s="331">
        <f ca="1"/>
        <v>0</v>
      </c>
      <c r="AD214" s="331">
        <f ca="1"/>
        <v>0</v>
      </c>
      <c r="AE214" s="331">
        <f ca="1"/>
        <v>0</v>
      </c>
      <c r="AF214" s="331">
        <f ca="1"/>
        <v>0</v>
      </c>
      <c r="AG214" s="331">
        <f ca="1"/>
        <v>0</v>
      </c>
      <c r="AH214" s="331">
        <f ca="1"/>
        <v>0</v>
      </c>
      <c r="AI214" s="331">
        <f ca="1"/>
        <v>0</v>
      </c>
      <c r="AJ214" s="331">
        <f ca="1"/>
        <v>0</v>
      </c>
      <c r="AK214" s="331">
        <f ca="1"/>
        <v>0</v>
      </c>
    </row>
    <row r="215" spans="2:37">
      <c r="B215" s="329">
        <v>2</v>
      </c>
      <c r="C215" s="329">
        <v>10</v>
      </c>
      <c r="D215" s="330" t="str">
        <v>Veículos Comerciais com 9 Eixos Articulado</v>
      </c>
      <c r="E215" s="330" t="str">
        <v>Pesados II</v>
      </c>
      <c r="F215" s="368">
        <f>INDEX('Painel Controle'!E$110:E$121,MATCH(D215,'Painel Controle'!C$110:C$121,0))</f>
        <v>9</v>
      </c>
      <c r="G215" s="331">
        <f ca="1"/>
        <v>173.92030692567135</v>
      </c>
      <c r="H215" s="331">
        <f ca="1"/>
        <v>180.5781452320816</v>
      </c>
      <c r="I215" s="331">
        <f ca="1"/>
        <v>187.25978230045158</v>
      </c>
      <c r="J215" s="331">
        <f ca="1"/>
        <v>194.08819479337726</v>
      </c>
      <c r="K215" s="331">
        <f ca="1"/>
        <v>201.10471049527172</v>
      </c>
      <c r="L215" s="331">
        <f ca="1"/>
        <v>208.29781434726709</v>
      </c>
      <c r="M215" s="331">
        <f ca="1"/>
        <v>215.6171775375816</v>
      </c>
      <c r="N215" s="331">
        <f ca="1"/>
        <v>222.98149512474535</v>
      </c>
      <c r="O215" s="331">
        <f ca="1"/>
        <v>230.32820030768033</v>
      </c>
      <c r="P215" s="331">
        <f ca="1"/>
        <v>237.60026967510058</v>
      </c>
      <c r="Q215" s="331">
        <f ca="1"/>
        <v>244.74491387076714</v>
      </c>
      <c r="R215" s="331">
        <f ca="1"/>
        <v>251.70621348459261</v>
      </c>
      <c r="S215" s="331">
        <f ca="1"/>
        <v>258.42989714443968</v>
      </c>
      <c r="T215" s="331">
        <f ca="1"/>
        <v>264.87424888660343</v>
      </c>
      <c r="U215" s="331">
        <f ca="1"/>
        <v>270.99914520472282</v>
      </c>
      <c r="V215" s="331">
        <f ca="1"/>
        <v>276.7639593973604</v>
      </c>
      <c r="W215" s="331">
        <f ca="1"/>
        <v>282.13076744757774</v>
      </c>
      <c r="X215" s="331">
        <f ca="1"/>
        <v>287.07415441034652</v>
      </c>
      <c r="Y215" s="331">
        <f ca="1"/>
        <v>291.57347028169471</v>
      </c>
      <c r="Z215" s="331">
        <f ca="1"/>
        <v>295.60667514396596</v>
      </c>
      <c r="AA215" s="331">
        <f ca="1"/>
        <v>299.1564445267361</v>
      </c>
      <c r="AB215" s="331">
        <f ca="1"/>
        <v>302.20417536344371</v>
      </c>
      <c r="AC215" s="331">
        <f ca="1"/>
        <v>304.73772722051257</v>
      </c>
      <c r="AD215" s="331">
        <f ca="1"/>
        <v>306.75013557035538</v>
      </c>
      <c r="AE215" s="331">
        <f ca="1"/>
        <v>308.23234495939363</v>
      </c>
      <c r="AF215" s="331">
        <f ca="1"/>
        <v>309.17628089080375</v>
      </c>
      <c r="AG215" s="331">
        <f ca="1"/>
        <v>309.57908757582453</v>
      </c>
      <c r="AH215" s="331">
        <f ca="1"/>
        <v>309.44052414769124</v>
      </c>
      <c r="AI215" s="331">
        <f ca="1"/>
        <v>308.75786451594462</v>
      </c>
      <c r="AJ215" s="331">
        <f ca="1"/>
        <v>307.52973066583388</v>
      </c>
      <c r="AK215" s="331">
        <f ca="1"/>
        <v>305.75714587631251</v>
      </c>
    </row>
    <row r="216" spans="2:37">
      <c r="B216" s="329">
        <v>2</v>
      </c>
      <c r="C216" s="329">
        <v>11</v>
      </c>
      <c r="D216" s="330" t="str">
        <v>Motocicleta</v>
      </c>
      <c r="E216" s="330" t="str">
        <v>Leves</v>
      </c>
      <c r="F216" s="368">
        <f>INDEX('Painel Controle'!E$110:E$121,MATCH(D216,'Painel Controle'!C$110:C$121,0))</f>
        <v>0.5</v>
      </c>
      <c r="G216" s="331">
        <f ca="1"/>
        <v>418.16819445578147</v>
      </c>
      <c r="H216" s="331">
        <f ca="1"/>
        <v>435.91298331928567</v>
      </c>
      <c r="I216" s="331">
        <f ca="1"/>
        <v>453.94324291883129</v>
      </c>
      <c r="J216" s="331">
        <f ca="1"/>
        <v>472.68251825184058</v>
      </c>
      <c r="K216" s="331">
        <f ca="1"/>
        <v>492.29796573578085</v>
      </c>
      <c r="L216" s="331">
        <f ca="1"/>
        <v>512.78782155942292</v>
      </c>
      <c r="M216" s="331">
        <f ca="1"/>
        <v>534.02951343758252</v>
      </c>
      <c r="N216" s="331">
        <f ca="1"/>
        <v>555.798610157555</v>
      </c>
      <c r="O216" s="331">
        <f ca="1"/>
        <v>577.9202336011225</v>
      </c>
      <c r="P216" s="331">
        <f ca="1"/>
        <v>600.23356035468976</v>
      </c>
      <c r="Q216" s="331">
        <f ca="1"/>
        <v>622.58598424393324</v>
      </c>
      <c r="R216" s="331">
        <f ca="1"/>
        <v>644.81309346043497</v>
      </c>
      <c r="S216" s="331">
        <f ca="1"/>
        <v>666.75156144791526</v>
      </c>
      <c r="T216" s="331">
        <f ca="1"/>
        <v>688.26887839045082</v>
      </c>
      <c r="U216" s="331">
        <f ca="1"/>
        <v>709.23306445351693</v>
      </c>
      <c r="V216" s="331">
        <f ca="1"/>
        <v>729.50628035765271</v>
      </c>
      <c r="W216" s="331">
        <f ca="1"/>
        <v>748.95555683230612</v>
      </c>
      <c r="X216" s="331">
        <f ca="1"/>
        <v>767.48078696657228</v>
      </c>
      <c r="Y216" s="331">
        <f ca="1"/>
        <v>784.99480330491667</v>
      </c>
      <c r="Z216" s="331">
        <f ca="1"/>
        <v>801.40580084479836</v>
      </c>
      <c r="AA216" s="331">
        <f ca="1"/>
        <v>816.63355247022253</v>
      </c>
      <c r="AB216" s="331">
        <f ca="1"/>
        <v>830.59411174590389</v>
      </c>
      <c r="AC216" s="331">
        <f ca="1"/>
        <v>843.22131291095684</v>
      </c>
      <c r="AD216" s="331">
        <f ca="1"/>
        <v>854.4638882651758</v>
      </c>
      <c r="AE216" s="331">
        <f ca="1"/>
        <v>864.26556077954547</v>
      </c>
      <c r="AF216" s="331">
        <f ca="1"/>
        <v>872.57289521865539</v>
      </c>
      <c r="AG216" s="331">
        <f ca="1"/>
        <v>879.34716249964049</v>
      </c>
      <c r="AH216" s="331">
        <f ca="1"/>
        <v>884.55650756676812</v>
      </c>
      <c r="AI216" s="331">
        <f ca="1"/>
        <v>888.16160581081908</v>
      </c>
      <c r="AJ216" s="331">
        <f ca="1"/>
        <v>890.12711076888775</v>
      </c>
      <c r="AK216" s="331">
        <f ca="1"/>
        <v>890.42526415961322</v>
      </c>
    </row>
    <row r="217" spans="2:37">
      <c r="B217" s="329">
        <v>2</v>
      </c>
      <c r="C217" s="329">
        <v>12</v>
      </c>
      <c r="D217" s="330" t="str">
        <v xml:space="preserve">Veículos do transporte público coletivo intermunicipal e metropolitano </v>
      </c>
      <c r="E217" s="330" t="str">
        <v>Pesados I</v>
      </c>
      <c r="F217" s="368">
        <f>INDEX('Painel Controle'!E$110:E$121,MATCH(D217,'Painel Controle'!C$110:C$121,0))</f>
        <v>0</v>
      </c>
      <c r="G217" s="331">
        <f ca="1"/>
        <v>0</v>
      </c>
      <c r="H217" s="331">
        <f ca="1"/>
        <v>0</v>
      </c>
      <c r="I217" s="331">
        <f ca="1"/>
        <v>0</v>
      </c>
      <c r="J217" s="331">
        <f ca="1"/>
        <v>0</v>
      </c>
      <c r="K217" s="331">
        <f ca="1"/>
        <v>0</v>
      </c>
      <c r="L217" s="331">
        <f ca="1"/>
        <v>0</v>
      </c>
      <c r="M217" s="331">
        <f ca="1"/>
        <v>0</v>
      </c>
      <c r="N217" s="331">
        <f ca="1"/>
        <v>0</v>
      </c>
      <c r="O217" s="331">
        <f ca="1"/>
        <v>0</v>
      </c>
      <c r="P217" s="331">
        <f ca="1"/>
        <v>0</v>
      </c>
      <c r="Q217" s="331">
        <f ca="1"/>
        <v>0</v>
      </c>
      <c r="R217" s="331">
        <f ca="1"/>
        <v>0</v>
      </c>
      <c r="S217" s="331">
        <f ca="1"/>
        <v>0</v>
      </c>
      <c r="T217" s="331">
        <f ca="1"/>
        <v>0</v>
      </c>
      <c r="U217" s="331">
        <f ca="1"/>
        <v>0</v>
      </c>
      <c r="V217" s="331">
        <f ca="1"/>
        <v>0</v>
      </c>
      <c r="W217" s="331">
        <f ca="1"/>
        <v>0</v>
      </c>
      <c r="X217" s="331">
        <f ca="1"/>
        <v>0</v>
      </c>
      <c r="Y217" s="331">
        <f ca="1"/>
        <v>0</v>
      </c>
      <c r="Z217" s="331">
        <f ca="1"/>
        <v>0</v>
      </c>
      <c r="AA217" s="331">
        <f ca="1"/>
        <v>0</v>
      </c>
      <c r="AB217" s="331">
        <f ca="1"/>
        <v>0</v>
      </c>
      <c r="AC217" s="331">
        <f ca="1"/>
        <v>0</v>
      </c>
      <c r="AD217" s="331">
        <f ca="1"/>
        <v>0</v>
      </c>
      <c r="AE217" s="331">
        <f ca="1"/>
        <v>0</v>
      </c>
      <c r="AF217" s="331">
        <f ca="1"/>
        <v>0</v>
      </c>
      <c r="AG217" s="331">
        <f ca="1"/>
        <v>0</v>
      </c>
      <c r="AH217" s="331">
        <f ca="1"/>
        <v>0</v>
      </c>
      <c r="AI217" s="331">
        <f ca="1"/>
        <v>0</v>
      </c>
      <c r="AJ217" s="331">
        <f ca="1"/>
        <v>0</v>
      </c>
      <c r="AK217" s="331">
        <f ca="1"/>
        <v>0</v>
      </c>
    </row>
    <row r="218" spans="2:37">
      <c r="B218" s="329">
        <v>3</v>
      </c>
      <c r="C218" s="329">
        <v>1</v>
      </c>
      <c r="D218" s="330" t="str">
        <v>Automóvel</v>
      </c>
      <c r="E218" s="330" t="str">
        <v>Leves</v>
      </c>
      <c r="F218" s="368">
        <f>INDEX('Painel Controle'!E$110:E$121,MATCH(D218,'Painel Controle'!C$110:C$121,0))</f>
        <v>1</v>
      </c>
      <c r="G218" s="331">
        <f ca="1"/>
        <v>2882.4408979025884</v>
      </c>
      <c r="H218" s="331">
        <f ca="1"/>
        <v>3004.7560472203813</v>
      </c>
      <c r="I218" s="331">
        <f ca="1"/>
        <v>3129.0389514646126</v>
      </c>
      <c r="J218" s="331">
        <f ca="1"/>
        <v>3258.2091139328986</v>
      </c>
      <c r="K218" s="331">
        <f ca="1"/>
        <v>3393.4187468222517</v>
      </c>
      <c r="L218" s="331">
        <f ca="1"/>
        <v>3534.6556921500933</v>
      </c>
      <c r="M218" s="331">
        <f ca="1"/>
        <v>3681.075056946444</v>
      </c>
      <c r="N218" s="331">
        <f ca="1"/>
        <v>3831.129832818885</v>
      </c>
      <c r="O218" s="331">
        <f ca="1"/>
        <v>3983.6145817480201</v>
      </c>
      <c r="P218" s="331">
        <f ca="1"/>
        <v>4137.4207450466192</v>
      </c>
      <c r="Q218" s="331">
        <f ca="1"/>
        <v>4291.4964056057897</v>
      </c>
      <c r="R218" s="331">
        <f ca="1"/>
        <v>4444.7082698681415</v>
      </c>
      <c r="S218" s="331">
        <f ca="1"/>
        <v>4595.9305249388271</v>
      </c>
      <c r="T218" s="331">
        <f ca="1"/>
        <v>4744.2497782694518</v>
      </c>
      <c r="U218" s="331">
        <f ca="1"/>
        <v>4888.7562904829501</v>
      </c>
      <c r="V218" s="331">
        <f ca="1"/>
        <v>5028.4999329427528</v>
      </c>
      <c r="W218" s="331">
        <f ca="1"/>
        <v>5162.5641460714342</v>
      </c>
      <c r="X218" s="331">
        <f ca="1"/>
        <v>5290.2588911286475</v>
      </c>
      <c r="Y218" s="331">
        <f ca="1"/>
        <v>5410.9833212730264</v>
      </c>
      <c r="Z218" s="331">
        <f ca="1"/>
        <v>5524.1046229681415</v>
      </c>
      <c r="AA218" s="331">
        <f ca="1"/>
        <v>5629.0697892581047</v>
      </c>
      <c r="AB218" s="331">
        <f ca="1"/>
        <v>5725.3001758521586</v>
      </c>
      <c r="AC218" s="331">
        <f ca="1"/>
        <v>5812.3397009685059</v>
      </c>
      <c r="AD218" s="331">
        <f ca="1"/>
        <v>5889.8349754260162</v>
      </c>
      <c r="AE218" s="331">
        <f ca="1"/>
        <v>5957.3980806498266</v>
      </c>
      <c r="AF218" s="331">
        <f ca="1"/>
        <v>6014.66068659959</v>
      </c>
      <c r="AG218" s="331">
        <f ca="1"/>
        <v>6061.3558330093902</v>
      </c>
      <c r="AH218" s="331">
        <f ca="1"/>
        <v>6097.263942406179</v>
      </c>
      <c r="AI218" s="331">
        <f ca="1"/>
        <v>6122.1139495501538</v>
      </c>
      <c r="AJ218" s="331">
        <f ca="1"/>
        <v>6135.6622106357217</v>
      </c>
      <c r="AK218" s="331">
        <f ca="1"/>
        <v>6137.7173873293823</v>
      </c>
    </row>
    <row r="219" spans="2:37">
      <c r="B219" s="329">
        <v>3</v>
      </c>
      <c r="C219" s="329">
        <v>2</v>
      </c>
      <c r="D219" s="330" t="str">
        <v xml:space="preserve">Automóvel com reboque </v>
      </c>
      <c r="E219" s="330" t="str">
        <v>Leves</v>
      </c>
      <c r="F219" s="368">
        <f>INDEX('Painel Controle'!E$110:E$121,MATCH(D219,'Painel Controle'!C$110:C$121,0))</f>
        <v>1.5</v>
      </c>
      <c r="G219" s="331">
        <f ca="1"/>
        <v>32.564378511052865</v>
      </c>
      <c r="H219" s="331">
        <f ca="1"/>
        <v>33.946234015156662</v>
      </c>
      <c r="I219" s="331">
        <f ca="1"/>
        <v>35.350320232226032</v>
      </c>
      <c r="J219" s="331">
        <f ca="1"/>
        <v>36.809620253264526</v>
      </c>
      <c r="K219" s="331">
        <f ca="1"/>
        <v>38.337151196554032</v>
      </c>
      <c r="L219" s="331">
        <f ca="1"/>
        <v>39.932775707275965</v>
      </c>
      <c r="M219" s="331">
        <f ca="1"/>
        <v>41.586948606378868</v>
      </c>
      <c r="N219" s="331">
        <f ca="1"/>
        <v>43.282192565225337</v>
      </c>
      <c r="O219" s="331">
        <f ca="1"/>
        <v>45.004889146759552</v>
      </c>
      <c r="P219" s="331">
        <f ca="1"/>
        <v>46.742514408263752</v>
      </c>
      <c r="Q219" s="331">
        <f ca="1"/>
        <v>48.483184315299908</v>
      </c>
      <c r="R219" s="331">
        <f ca="1"/>
        <v>50.214095482933473</v>
      </c>
      <c r="S219" s="331">
        <f ca="1"/>
        <v>51.922529039021327</v>
      </c>
      <c r="T219" s="331">
        <f ca="1"/>
        <v>53.598165930466237</v>
      </c>
      <c r="U219" s="331">
        <f ca="1"/>
        <v>55.230728375877213</v>
      </c>
      <c r="V219" s="331">
        <f ca="1"/>
        <v>56.809482296169406</v>
      </c>
      <c r="W219" s="331">
        <f ca="1"/>
        <v>58.324072858732393</v>
      </c>
      <c r="X219" s="331">
        <f ca="1"/>
        <v>59.766704350306519</v>
      </c>
      <c r="Y219" s="331">
        <f ca="1"/>
        <v>61.130588703187215</v>
      </c>
      <c r="Z219" s="331">
        <f ca="1"/>
        <v>62.408576705905048</v>
      </c>
      <c r="AA219" s="331">
        <f ca="1"/>
        <v>63.59442076190259</v>
      </c>
      <c r="AB219" s="331">
        <f ca="1"/>
        <v>64.681583636809734</v>
      </c>
      <c r="AC219" s="331">
        <f ca="1"/>
        <v>65.664912746306314</v>
      </c>
      <c r="AD219" s="331">
        <f ca="1"/>
        <v>66.540415675816021</v>
      </c>
      <c r="AE219" s="331">
        <f ca="1"/>
        <v>67.30370991490733</v>
      </c>
      <c r="AF219" s="331">
        <f ca="1"/>
        <v>67.95063425463421</v>
      </c>
      <c r="AG219" s="331">
        <f ca="1"/>
        <v>68.478172711163964</v>
      </c>
      <c r="AH219" s="331">
        <f ca="1"/>
        <v>68.883844607806907</v>
      </c>
      <c r="AI219" s="331">
        <f ca="1"/>
        <v>69.164587584784371</v>
      </c>
      <c r="AJ219" s="331">
        <f ca="1"/>
        <v>69.31764907599414</v>
      </c>
      <c r="AK219" s="331">
        <f ca="1"/>
        <v>69.340867436449727</v>
      </c>
    </row>
    <row r="220" spans="2:37">
      <c r="B220" s="329">
        <v>3</v>
      </c>
      <c r="C220" s="329">
        <v>3</v>
      </c>
      <c r="D220" s="330" t="str">
        <v>Veículos Comerciais com 2 Eixos</v>
      </c>
      <c r="E220" s="330" t="str">
        <v>Pesados I</v>
      </c>
      <c r="F220" s="368">
        <f>INDEX('Painel Controle'!E$110:E$121,MATCH(D220,'Painel Controle'!C$110:C$121,0))</f>
        <v>2</v>
      </c>
      <c r="G220" s="331">
        <f ca="1"/>
        <v>589.49057906964401</v>
      </c>
      <c r="H220" s="331">
        <f ca="1"/>
        <v>604.74291068202149</v>
      </c>
      <c r="I220" s="331">
        <f ca="1"/>
        <v>619.67768002877642</v>
      </c>
      <c r="J220" s="331">
        <f ca="1"/>
        <v>634.46720507498844</v>
      </c>
      <c r="K220" s="331">
        <f ca="1"/>
        <v>649.14928996544279</v>
      </c>
      <c r="L220" s="331">
        <f ca="1"/>
        <v>663.680112691555</v>
      </c>
      <c r="M220" s="331">
        <f ca="1"/>
        <v>677.9526878058798</v>
      </c>
      <c r="N220" s="331">
        <f ca="1"/>
        <v>691.81621056234371</v>
      </c>
      <c r="O220" s="331">
        <f ca="1"/>
        <v>705.16325976020562</v>
      </c>
      <c r="P220" s="331">
        <f ca="1"/>
        <v>717.89987468404331</v>
      </c>
      <c r="Q220" s="331">
        <f ca="1"/>
        <v>729.94470120001927</v>
      </c>
      <c r="R220" s="331">
        <f ca="1"/>
        <v>741.21271151821099</v>
      </c>
      <c r="S220" s="331">
        <f ca="1"/>
        <v>751.62511171748497</v>
      </c>
      <c r="T220" s="331">
        <f ca="1"/>
        <v>761.13187245135032</v>
      </c>
      <c r="U220" s="331">
        <f ca="1"/>
        <v>769.688434429371</v>
      </c>
      <c r="V220" s="331">
        <f ca="1"/>
        <v>777.25164270390405</v>
      </c>
      <c r="W220" s="331">
        <f ca="1"/>
        <v>783.78420760881966</v>
      </c>
      <c r="X220" s="331">
        <f ca="1"/>
        <v>789.27381857086016</v>
      </c>
      <c r="Y220" s="331">
        <f ca="1"/>
        <v>793.7156763562117</v>
      </c>
      <c r="Z220" s="331">
        <f ca="1"/>
        <v>797.1004636192406</v>
      </c>
      <c r="AA220" s="331">
        <f ca="1"/>
        <v>799.42752518217787</v>
      </c>
      <c r="AB220" s="331">
        <f ca="1"/>
        <v>800.69143430134579</v>
      </c>
      <c r="AC220" s="331">
        <f ca="1"/>
        <v>800.89784902963129</v>
      </c>
      <c r="AD220" s="331">
        <f ca="1"/>
        <v>800.06037223105034</v>
      </c>
      <c r="AE220" s="331">
        <f ca="1"/>
        <v>798.185645915338</v>
      </c>
      <c r="AF220" s="331">
        <f ca="1"/>
        <v>795.28030482202723</v>
      </c>
      <c r="AG220" s="331">
        <f ca="1"/>
        <v>791.35961934907436</v>
      </c>
      <c r="AH220" s="331">
        <f ca="1"/>
        <v>786.44278432691704</v>
      </c>
      <c r="AI220" s="331">
        <f ca="1"/>
        <v>780.54268963234574</v>
      </c>
      <c r="AJ220" s="331">
        <f ca="1"/>
        <v>773.67311814639265</v>
      </c>
      <c r="AK220" s="331">
        <f ca="1"/>
        <v>765.85043087387839</v>
      </c>
    </row>
    <row r="221" spans="2:37">
      <c r="B221" s="329">
        <v>3</v>
      </c>
      <c r="C221" s="329">
        <v>4</v>
      </c>
      <c r="D221" s="330" t="str">
        <v>Veículos Comerciais com 3 Eixos</v>
      </c>
      <c r="E221" s="330" t="str">
        <v>Pesados I</v>
      </c>
      <c r="F221" s="368">
        <f>INDEX('Painel Controle'!E$110:E$121,MATCH(D221,'Painel Controle'!C$110:C$121,0))</f>
        <v>3</v>
      </c>
      <c r="G221" s="331">
        <f ca="1"/>
        <v>408.97448877397738</v>
      </c>
      <c r="H221" s="331">
        <f ca="1"/>
        <v>419.55619227401962</v>
      </c>
      <c r="I221" s="331">
        <f ca="1"/>
        <v>429.91757865645548</v>
      </c>
      <c r="J221" s="331">
        <f ca="1"/>
        <v>440.17819801110318</v>
      </c>
      <c r="K221" s="331">
        <f ca="1"/>
        <v>450.36427795098342</v>
      </c>
      <c r="L221" s="331">
        <f ca="1"/>
        <v>460.44541581285739</v>
      </c>
      <c r="M221" s="331">
        <f ca="1"/>
        <v>470.347387647728</v>
      </c>
      <c r="N221" s="331">
        <f ca="1"/>
        <v>479.96556872346213</v>
      </c>
      <c r="O221" s="331">
        <f ca="1"/>
        <v>489.22543277583031</v>
      </c>
      <c r="P221" s="331">
        <f ca="1"/>
        <v>498.06179210392764</v>
      </c>
      <c r="Q221" s="331">
        <f ca="1"/>
        <v>506.4182051521513</v>
      </c>
      <c r="R221" s="331">
        <f ca="1"/>
        <v>514.23568167002111</v>
      </c>
      <c r="S221" s="331">
        <f ca="1"/>
        <v>521.45955631637912</v>
      </c>
      <c r="T221" s="331">
        <f ca="1"/>
        <v>528.05511992515699</v>
      </c>
      <c r="U221" s="331">
        <f ca="1"/>
        <v>533.99145832457089</v>
      </c>
      <c r="V221" s="331">
        <f ca="1"/>
        <v>539.23863164233626</v>
      </c>
      <c r="W221" s="331">
        <f ca="1"/>
        <v>543.77076919843955</v>
      </c>
      <c r="X221" s="331">
        <f ca="1"/>
        <v>547.57933021108863</v>
      </c>
      <c r="Y221" s="331">
        <f ca="1"/>
        <v>550.66098508645223</v>
      </c>
      <c r="Z221" s="331">
        <f ca="1"/>
        <v>553.00926967259545</v>
      </c>
      <c r="AA221" s="331">
        <f ca="1"/>
        <v>554.62372942282559</v>
      </c>
      <c r="AB221" s="331">
        <f ca="1"/>
        <v>555.50059939195091</v>
      </c>
      <c r="AC221" s="331">
        <f ca="1"/>
        <v>555.64380500196967</v>
      </c>
      <c r="AD221" s="331">
        <f ca="1"/>
        <v>555.06278359514704</v>
      </c>
      <c r="AE221" s="331">
        <f ca="1"/>
        <v>553.76214323924921</v>
      </c>
      <c r="AF221" s="331">
        <f ca="1"/>
        <v>551.74648695814949</v>
      </c>
      <c r="AG221" s="331">
        <f ca="1"/>
        <v>549.02640898934624</v>
      </c>
      <c r="AH221" s="331">
        <f ca="1"/>
        <v>545.61522624789097</v>
      </c>
      <c r="AI221" s="331">
        <f ca="1"/>
        <v>541.5218814225359</v>
      </c>
      <c r="AJ221" s="331">
        <f ca="1"/>
        <v>536.75593674705351</v>
      </c>
      <c r="AK221" s="331">
        <f ca="1"/>
        <v>531.32874309594467</v>
      </c>
    </row>
    <row r="222" spans="2:37">
      <c r="B222" s="329">
        <v>3</v>
      </c>
      <c r="C222" s="329">
        <v>5</v>
      </c>
      <c r="D222" s="330" t="str">
        <v>Veículos Comerciais com 4 Eixos</v>
      </c>
      <c r="E222" s="330" t="str">
        <v>Pesados I</v>
      </c>
      <c r="F222" s="368">
        <f>INDEX('Painel Controle'!E$110:E$121,MATCH(D222,'Painel Controle'!C$110:C$121,0))</f>
        <v>4</v>
      </c>
      <c r="G222" s="331">
        <f ca="1"/>
        <v>140.98037468964998</v>
      </c>
      <c r="H222" s="331">
        <f ca="1"/>
        <v>144.62806559761566</v>
      </c>
      <c r="I222" s="331">
        <f ca="1"/>
        <v>148.19980949508727</v>
      </c>
      <c r="J222" s="331">
        <f ca="1"/>
        <v>151.73681730577633</v>
      </c>
      <c r="K222" s="331">
        <f ca="1"/>
        <v>155.24813012836336</v>
      </c>
      <c r="L222" s="331">
        <f ca="1"/>
        <v>158.72326765424086</v>
      </c>
      <c r="M222" s="331">
        <f ca="1"/>
        <v>162.13664364165584</v>
      </c>
      <c r="N222" s="331">
        <f ca="1"/>
        <v>165.45219218835086</v>
      </c>
      <c r="O222" s="331">
        <f ca="1"/>
        <v>168.6442228394352</v>
      </c>
      <c r="P222" s="331">
        <f ca="1"/>
        <v>171.69026429963012</v>
      </c>
      <c r="Q222" s="331">
        <f ca="1"/>
        <v>174.57086021682713</v>
      </c>
      <c r="R222" s="331">
        <f ca="1"/>
        <v>177.26567566099024</v>
      </c>
      <c r="S222" s="331">
        <f ca="1"/>
        <v>179.75586657096034</v>
      </c>
      <c r="T222" s="331">
        <f ca="1"/>
        <v>182.02946811428006</v>
      </c>
      <c r="U222" s="331">
        <f ca="1"/>
        <v>184.07582365675609</v>
      </c>
      <c r="V222" s="331">
        <f ca="1"/>
        <v>185.88461242159497</v>
      </c>
      <c r="W222" s="331">
        <f ca="1"/>
        <v>187.44691635091806</v>
      </c>
      <c r="X222" s="331">
        <f ca="1"/>
        <v>188.75979129380573</v>
      </c>
      <c r="Y222" s="331">
        <f ca="1"/>
        <v>189.82208948334645</v>
      </c>
      <c r="Z222" s="331">
        <f ca="1"/>
        <v>190.63158261780788</v>
      </c>
      <c r="AA222" s="331">
        <f ca="1"/>
        <v>191.18811400731124</v>
      </c>
      <c r="AB222" s="331">
        <f ca="1"/>
        <v>191.49038581201958</v>
      </c>
      <c r="AC222" s="331">
        <f ca="1"/>
        <v>191.5397511908202</v>
      </c>
      <c r="AD222" s="331">
        <f ca="1"/>
        <v>191.33946335408464</v>
      </c>
      <c r="AE222" s="331">
        <f ca="1"/>
        <v>190.89111078016091</v>
      </c>
      <c r="AF222" s="331">
        <f ca="1"/>
        <v>190.19628020868231</v>
      </c>
      <c r="AG222" s="331">
        <f ca="1"/>
        <v>189.25862365123658</v>
      </c>
      <c r="AH222" s="331">
        <f ca="1"/>
        <v>188.08273167208915</v>
      </c>
      <c r="AI222" s="331">
        <f ca="1"/>
        <v>186.6716869662385</v>
      </c>
      <c r="AJ222" s="331">
        <f ca="1"/>
        <v>185.0287857962563</v>
      </c>
      <c r="AK222" s="331">
        <f ca="1"/>
        <v>183.15794099921206</v>
      </c>
    </row>
    <row r="223" spans="2:37">
      <c r="B223" s="329">
        <v>3</v>
      </c>
      <c r="C223" s="329">
        <v>6</v>
      </c>
      <c r="D223" s="330" t="str">
        <v>Veículos Comerciais com 5 Eixos Articulado</v>
      </c>
      <c r="E223" s="330" t="str">
        <v>Pesados II</v>
      </c>
      <c r="F223" s="368">
        <f>INDEX('Painel Controle'!E$110:E$121,MATCH(D223,'Painel Controle'!C$110:C$121,0))</f>
        <v>5</v>
      </c>
      <c r="G223" s="331">
        <f ca="1"/>
        <v>31.20431529234682</v>
      </c>
      <c r="H223" s="331">
        <f ca="1"/>
        <v>32.39884679560295</v>
      </c>
      <c r="I223" s="331">
        <f ca="1"/>
        <v>33.597648208939653</v>
      </c>
      <c r="J223" s="331">
        <f ca="1"/>
        <v>34.822783675533067</v>
      </c>
      <c r="K223" s="331">
        <f ca="1"/>
        <v>36.081668115687528</v>
      </c>
      <c r="L223" s="331">
        <f ca="1"/>
        <v>37.372235528405959</v>
      </c>
      <c r="M223" s="331">
        <f ca="1"/>
        <v>38.685456053179884</v>
      </c>
      <c r="N223" s="331">
        <f ca="1"/>
        <v>40.006742175340662</v>
      </c>
      <c r="O223" s="331">
        <f ca="1"/>
        <v>41.324868327143022</v>
      </c>
      <c r="P223" s="331">
        <f ca="1"/>
        <v>42.629603520979693</v>
      </c>
      <c r="Q223" s="331">
        <f ca="1"/>
        <v>43.911476432050939</v>
      </c>
      <c r="R223" s="331">
        <f ca="1"/>
        <v>45.160454149685364</v>
      </c>
      <c r="S223" s="331">
        <f ca="1"/>
        <v>46.366799449763143</v>
      </c>
      <c r="T223" s="331">
        <f ca="1"/>
        <v>47.523027765891868</v>
      </c>
      <c r="U223" s="331">
        <f ca="1"/>
        <v>48.621940246107378</v>
      </c>
      <c r="V223" s="331">
        <f ca="1"/>
        <v>49.656247756533617</v>
      </c>
      <c r="W223" s="331">
        <f ca="1"/>
        <v>50.619146071703092</v>
      </c>
      <c r="X223" s="331">
        <f ca="1"/>
        <v>51.506075310301078</v>
      </c>
      <c r="Y223" s="331">
        <f ca="1"/>
        <v>52.313330503965219</v>
      </c>
      <c r="Z223" s="331">
        <f ca="1"/>
        <v>53.036957309745425</v>
      </c>
      <c r="AA223" s="331">
        <f ca="1"/>
        <v>53.673847417594764</v>
      </c>
      <c r="AB223" s="331">
        <f ca="1"/>
        <v>54.220663115174439</v>
      </c>
      <c r="AC223" s="331">
        <f ca="1"/>
        <v>54.675226198433442</v>
      </c>
      <c r="AD223" s="331">
        <f ca="1"/>
        <v>55.036287110499813</v>
      </c>
      <c r="AE223" s="331">
        <f ca="1"/>
        <v>55.302221146164754</v>
      </c>
      <c r="AF223" s="331">
        <f ca="1"/>
        <v>55.47157960085103</v>
      </c>
      <c r="AG223" s="331">
        <f ca="1"/>
        <v>55.543850096593808</v>
      </c>
      <c r="AH223" s="331">
        <f ca="1"/>
        <v>55.518989417723752</v>
      </c>
      <c r="AI223" s="331">
        <f ca="1"/>
        <v>55.39650845639769</v>
      </c>
      <c r="AJ223" s="331">
        <f ca="1"/>
        <v>55.176159972902681</v>
      </c>
      <c r="AK223" s="331">
        <f ca="1"/>
        <v>54.858127561205734</v>
      </c>
    </row>
    <row r="224" spans="2:37">
      <c r="B224" s="329">
        <v>3</v>
      </c>
      <c r="C224" s="329">
        <v>7</v>
      </c>
      <c r="D224" s="330" t="str">
        <v>Veículos Comerciais com 6 Eixos Articulado</v>
      </c>
      <c r="E224" s="330" t="str">
        <v>Pesados II</v>
      </c>
      <c r="F224" s="368">
        <f>INDEX('Painel Controle'!E$110:E$121,MATCH(D224,'Painel Controle'!C$110:C$121,0))</f>
        <v>6</v>
      </c>
      <c r="G224" s="331">
        <f ca="1"/>
        <v>293.32056374806007</v>
      </c>
      <c r="H224" s="331">
        <f ca="1"/>
        <v>304.54915987866775</v>
      </c>
      <c r="I224" s="331">
        <f ca="1"/>
        <v>315.81789316403274</v>
      </c>
      <c r="J224" s="331">
        <f ca="1"/>
        <v>327.33416655001088</v>
      </c>
      <c r="K224" s="331">
        <f ca="1"/>
        <v>339.16768028746287</v>
      </c>
      <c r="L224" s="331">
        <f ca="1"/>
        <v>351.29901396701609</v>
      </c>
      <c r="M224" s="331">
        <f ca="1"/>
        <v>363.64328689989088</v>
      </c>
      <c r="N224" s="331">
        <f ca="1"/>
        <v>376.06337644820223</v>
      </c>
      <c r="O224" s="331">
        <f ca="1"/>
        <v>388.45376227514441</v>
      </c>
      <c r="P224" s="331">
        <f ca="1"/>
        <v>400.71827309720913</v>
      </c>
      <c r="Q224" s="331">
        <f ca="1"/>
        <v>412.76787846127888</v>
      </c>
      <c r="R224" s="331">
        <f ca="1"/>
        <v>424.50826900704232</v>
      </c>
      <c r="S224" s="331">
        <f ca="1"/>
        <v>435.84791482777348</v>
      </c>
      <c r="T224" s="331">
        <f ca="1"/>
        <v>446.71646099938346</v>
      </c>
      <c r="U224" s="331">
        <f ca="1"/>
        <v>457.04623831340928</v>
      </c>
      <c r="V224" s="331">
        <f ca="1"/>
        <v>466.76872891141602</v>
      </c>
      <c r="W224" s="331">
        <f ca="1"/>
        <v>475.81997307400906</v>
      </c>
      <c r="X224" s="331">
        <f ca="1"/>
        <v>484.15710791683011</v>
      </c>
      <c r="Y224" s="331">
        <f ca="1"/>
        <v>491.74530673727293</v>
      </c>
      <c r="Z224" s="331">
        <f ca="1"/>
        <v>498.547398711607</v>
      </c>
      <c r="AA224" s="331">
        <f ca="1"/>
        <v>504.53416572539072</v>
      </c>
      <c r="AB224" s="331">
        <f ca="1"/>
        <v>509.67423328263959</v>
      </c>
      <c r="AC224" s="331">
        <f ca="1"/>
        <v>513.94712626527428</v>
      </c>
      <c r="AD224" s="331">
        <f ca="1"/>
        <v>517.34109883869826</v>
      </c>
      <c r="AE224" s="331">
        <f ca="1"/>
        <v>519.8408787739487</v>
      </c>
      <c r="AF224" s="331">
        <f ca="1"/>
        <v>521.4328482479998</v>
      </c>
      <c r="AG224" s="331">
        <f ca="1"/>
        <v>522.11219090798181</v>
      </c>
      <c r="AH224" s="331">
        <f ca="1"/>
        <v>521.87850052660326</v>
      </c>
      <c r="AI224" s="331">
        <f ca="1"/>
        <v>520.72717949013838</v>
      </c>
      <c r="AJ224" s="331">
        <f ca="1"/>
        <v>518.65590374528529</v>
      </c>
      <c r="AK224" s="331">
        <f ca="1"/>
        <v>515.66639907533408</v>
      </c>
    </row>
    <row r="225" spans="2:37">
      <c r="B225" s="329">
        <v>3</v>
      </c>
      <c r="C225" s="329">
        <v>8</v>
      </c>
      <c r="D225" s="330" t="str">
        <v>Veículos Comerciais com 7 Eixos Articulado</v>
      </c>
      <c r="E225" s="330" t="str">
        <v>Pesados II</v>
      </c>
      <c r="F225" s="368">
        <f>INDEX('Painel Controle'!E$110:E$121,MATCH(D225,'Painel Controle'!C$110:C$121,0))</f>
        <v>7</v>
      </c>
      <c r="G225" s="331">
        <f ca="1"/>
        <v>91.012586269344894</v>
      </c>
      <c r="H225" s="331">
        <f ca="1"/>
        <v>94.496636487175252</v>
      </c>
      <c r="I225" s="331">
        <f ca="1"/>
        <v>97.993140609407305</v>
      </c>
      <c r="J225" s="331">
        <f ca="1"/>
        <v>101.56645238697143</v>
      </c>
      <c r="K225" s="331">
        <f ca="1"/>
        <v>105.2381986707553</v>
      </c>
      <c r="L225" s="331">
        <f ca="1"/>
        <v>109.0023536245174</v>
      </c>
      <c r="M225" s="331">
        <f ca="1"/>
        <v>112.83258015510799</v>
      </c>
      <c r="N225" s="331">
        <f ca="1"/>
        <v>116.68633134474359</v>
      </c>
      <c r="O225" s="331">
        <f ca="1"/>
        <v>120.53086595416714</v>
      </c>
      <c r="P225" s="331">
        <f ca="1"/>
        <v>124.33634360285743</v>
      </c>
      <c r="Q225" s="331">
        <f ca="1"/>
        <v>128.07513959348191</v>
      </c>
      <c r="R225" s="331">
        <f ca="1"/>
        <v>131.71799126991561</v>
      </c>
      <c r="S225" s="331">
        <f ca="1"/>
        <v>135.23649839514249</v>
      </c>
      <c r="T225" s="331">
        <f ca="1"/>
        <v>138.60883098385131</v>
      </c>
      <c r="U225" s="331">
        <f ca="1"/>
        <v>141.81399238447989</v>
      </c>
      <c r="V225" s="331">
        <f ca="1"/>
        <v>144.83072262322307</v>
      </c>
      <c r="W225" s="331">
        <f ca="1"/>
        <v>147.63917604246734</v>
      </c>
      <c r="X225" s="331">
        <f ca="1"/>
        <v>150.22605298837814</v>
      </c>
      <c r="Y225" s="331">
        <f ca="1"/>
        <v>152.58054730323184</v>
      </c>
      <c r="Z225" s="331">
        <f ca="1"/>
        <v>154.69112548675747</v>
      </c>
      <c r="AA225" s="331">
        <f ca="1"/>
        <v>156.54872163465137</v>
      </c>
      <c r="AB225" s="331">
        <f ca="1"/>
        <v>158.14360075259208</v>
      </c>
      <c r="AC225" s="331">
        <f ca="1"/>
        <v>159.46940974543088</v>
      </c>
      <c r="AD225" s="331">
        <f ca="1"/>
        <v>160.5225040722911</v>
      </c>
      <c r="AE225" s="331">
        <f ca="1"/>
        <v>161.29814500964719</v>
      </c>
      <c r="AF225" s="331">
        <f ca="1"/>
        <v>161.79210716914886</v>
      </c>
      <c r="AG225" s="331">
        <f ca="1"/>
        <v>162.00289611506528</v>
      </c>
      <c r="AH225" s="331">
        <f ca="1"/>
        <v>161.93038580169429</v>
      </c>
      <c r="AI225" s="331">
        <f ca="1"/>
        <v>161.57314966449329</v>
      </c>
      <c r="AJ225" s="331">
        <f ca="1"/>
        <v>160.93046658763279</v>
      </c>
      <c r="AK225" s="331">
        <f ca="1"/>
        <v>160.00287205351671</v>
      </c>
    </row>
    <row r="226" spans="2:37">
      <c r="B226" s="329">
        <v>3</v>
      </c>
      <c r="C226" s="329">
        <v>9</v>
      </c>
      <c r="D226" s="330" t="str">
        <v>Veículos Comerciais com 8 Eixos Articulado</v>
      </c>
      <c r="E226" s="330" t="str">
        <v>Pesados II</v>
      </c>
      <c r="F226" s="368">
        <f>INDEX('Painel Controle'!E$110:E$121,MATCH(D226,'Painel Controle'!C$110:C$121,0))</f>
        <v>8</v>
      </c>
      <c r="G226" s="331">
        <f ca="1"/>
        <v>0</v>
      </c>
      <c r="H226" s="331">
        <f ca="1"/>
        <v>0</v>
      </c>
      <c r="I226" s="331">
        <f ca="1"/>
        <v>0</v>
      </c>
      <c r="J226" s="331">
        <f ca="1"/>
        <v>0</v>
      </c>
      <c r="K226" s="331">
        <f ca="1"/>
        <v>0</v>
      </c>
      <c r="L226" s="331">
        <f ca="1"/>
        <v>0</v>
      </c>
      <c r="M226" s="331">
        <f ca="1"/>
        <v>0</v>
      </c>
      <c r="N226" s="331">
        <f ca="1"/>
        <v>0</v>
      </c>
      <c r="O226" s="331">
        <f ca="1"/>
        <v>0</v>
      </c>
      <c r="P226" s="331">
        <f ca="1"/>
        <v>0</v>
      </c>
      <c r="Q226" s="331">
        <f ca="1"/>
        <v>0</v>
      </c>
      <c r="R226" s="331">
        <f ca="1"/>
        <v>0</v>
      </c>
      <c r="S226" s="331">
        <f ca="1"/>
        <v>0</v>
      </c>
      <c r="T226" s="331">
        <f ca="1"/>
        <v>0</v>
      </c>
      <c r="U226" s="331">
        <f ca="1"/>
        <v>0</v>
      </c>
      <c r="V226" s="331">
        <f ca="1"/>
        <v>0</v>
      </c>
      <c r="W226" s="331">
        <f ca="1"/>
        <v>0</v>
      </c>
      <c r="X226" s="331">
        <f ca="1"/>
        <v>0</v>
      </c>
      <c r="Y226" s="331">
        <f ca="1"/>
        <v>0</v>
      </c>
      <c r="Z226" s="331">
        <f ca="1"/>
        <v>0</v>
      </c>
      <c r="AA226" s="331">
        <f ca="1"/>
        <v>0</v>
      </c>
      <c r="AB226" s="331">
        <f ca="1"/>
        <v>0</v>
      </c>
      <c r="AC226" s="331">
        <f ca="1"/>
        <v>0</v>
      </c>
      <c r="AD226" s="331">
        <f ca="1"/>
        <v>0</v>
      </c>
      <c r="AE226" s="331">
        <f ca="1"/>
        <v>0</v>
      </c>
      <c r="AF226" s="331">
        <f ca="1"/>
        <v>0</v>
      </c>
      <c r="AG226" s="331">
        <f ca="1"/>
        <v>0</v>
      </c>
      <c r="AH226" s="331">
        <f ca="1"/>
        <v>0</v>
      </c>
      <c r="AI226" s="331">
        <f ca="1"/>
        <v>0</v>
      </c>
      <c r="AJ226" s="331">
        <f ca="1"/>
        <v>0</v>
      </c>
      <c r="AK226" s="331">
        <f ca="1"/>
        <v>0</v>
      </c>
    </row>
    <row r="227" spans="2:37">
      <c r="B227" s="329">
        <v>3</v>
      </c>
      <c r="C227" s="329">
        <v>10</v>
      </c>
      <c r="D227" s="330" t="str">
        <v>Veículos Comerciais com 9 Eixos Articulado</v>
      </c>
      <c r="E227" s="330" t="str">
        <v>Pesados II</v>
      </c>
      <c r="F227" s="368">
        <f>INDEX('Painel Controle'!E$110:E$121,MATCH(D227,'Painel Controle'!C$110:C$121,0))</f>
        <v>9</v>
      </c>
      <c r="G227" s="331">
        <f ca="1"/>
        <v>70.209709407780323</v>
      </c>
      <c r="H227" s="331">
        <f ca="1"/>
        <v>72.897405290106619</v>
      </c>
      <c r="I227" s="331">
        <f ca="1"/>
        <v>75.594708470114185</v>
      </c>
      <c r="J227" s="331">
        <f ca="1"/>
        <v>78.351263269949371</v>
      </c>
      <c r="K227" s="331">
        <f ca="1"/>
        <v>81.183753260296925</v>
      </c>
      <c r="L227" s="331">
        <f ca="1"/>
        <v>84.087529938913391</v>
      </c>
      <c r="M227" s="331">
        <f ca="1"/>
        <v>87.042276119654701</v>
      </c>
      <c r="N227" s="331">
        <f ca="1"/>
        <v>90.015169894516461</v>
      </c>
      <c r="O227" s="331">
        <f ca="1"/>
        <v>92.980953736071754</v>
      </c>
      <c r="P227" s="331">
        <f ca="1"/>
        <v>95.916607922204278</v>
      </c>
      <c r="Q227" s="331">
        <f ca="1"/>
        <v>98.800821972114576</v>
      </c>
      <c r="R227" s="331">
        <f ca="1"/>
        <v>101.61102183679201</v>
      </c>
      <c r="S227" s="331">
        <f ca="1"/>
        <v>104.32529876196701</v>
      </c>
      <c r="T227" s="331">
        <f ca="1"/>
        <v>106.92681247325663</v>
      </c>
      <c r="U227" s="331">
        <f ca="1"/>
        <v>109.39936555374155</v>
      </c>
      <c r="V227" s="331">
        <f ca="1"/>
        <v>111.72655745220059</v>
      </c>
      <c r="W227" s="331">
        <f ca="1"/>
        <v>113.8930786613319</v>
      </c>
      <c r="X227" s="331">
        <f ca="1"/>
        <v>115.88866944817735</v>
      </c>
      <c r="Y227" s="331">
        <f ca="1"/>
        <v>117.70499363392165</v>
      </c>
      <c r="Z227" s="331">
        <f ca="1"/>
        <v>119.33315394692713</v>
      </c>
      <c r="AA227" s="331">
        <f ca="1"/>
        <v>120.76615668958813</v>
      </c>
      <c r="AB227" s="331">
        <f ca="1"/>
        <v>121.99649200914237</v>
      </c>
      <c r="AC227" s="331">
        <f ca="1"/>
        <v>123.01925894647516</v>
      </c>
      <c r="AD227" s="331">
        <f ca="1"/>
        <v>123.8316459986245</v>
      </c>
      <c r="AE227" s="331">
        <f ca="1"/>
        <v>124.4299975788706</v>
      </c>
      <c r="AF227" s="331">
        <f ca="1"/>
        <v>124.81105410191473</v>
      </c>
      <c r="AG227" s="331">
        <f ca="1"/>
        <v>124.97366271733598</v>
      </c>
      <c r="AH227" s="331">
        <f ca="1"/>
        <v>124.91772618987837</v>
      </c>
      <c r="AI227" s="331">
        <f ca="1"/>
        <v>124.64214402689474</v>
      </c>
      <c r="AJ227" s="331">
        <f ca="1"/>
        <v>124.14635993903096</v>
      </c>
      <c r="AK227" s="331">
        <f ca="1"/>
        <v>123.43078701271284</v>
      </c>
    </row>
    <row r="228" spans="2:37">
      <c r="B228" s="329">
        <v>3</v>
      </c>
      <c r="C228" s="329">
        <v>11</v>
      </c>
      <c r="D228" s="330" t="str">
        <v>Motocicleta</v>
      </c>
      <c r="E228" s="330" t="str">
        <v>Leves</v>
      </c>
      <c r="F228" s="368">
        <f>INDEX('Painel Controle'!E$110:E$121,MATCH(D228,'Painel Controle'!C$110:C$121,0))</f>
        <v>0.5</v>
      </c>
      <c r="G228" s="331">
        <f ca="1"/>
        <v>176.1436837643314</v>
      </c>
      <c r="H228" s="331">
        <f ca="1"/>
        <v>183.61826580925646</v>
      </c>
      <c r="I228" s="331">
        <f ca="1"/>
        <v>191.21309580158623</v>
      </c>
      <c r="J228" s="331">
        <f ca="1"/>
        <v>199.10658227902172</v>
      </c>
      <c r="K228" s="331">
        <f ca="1"/>
        <v>207.36913601772406</v>
      </c>
      <c r="L228" s="331">
        <f ca="1"/>
        <v>216.00001405299273</v>
      </c>
      <c r="M228" s="331">
        <f ca="1"/>
        <v>224.94758564359472</v>
      </c>
      <c r="N228" s="331">
        <f ca="1"/>
        <v>234.11731433008245</v>
      </c>
      <c r="O228" s="331">
        <f ca="1"/>
        <v>243.4355367483812</v>
      </c>
      <c r="P228" s="331">
        <f ca="1"/>
        <v>252.83450975379029</v>
      </c>
      <c r="Q228" s="331">
        <f ca="1"/>
        <v>262.24995152366768</v>
      </c>
      <c r="R228" s="331">
        <f ca="1"/>
        <v>271.61260738495827</v>
      </c>
      <c r="S228" s="331">
        <f ca="1"/>
        <v>280.8536798019789</v>
      </c>
      <c r="T228" s="331">
        <f ca="1"/>
        <v>289.91735207843089</v>
      </c>
      <c r="U228" s="331">
        <f ca="1"/>
        <v>298.74803076042662</v>
      </c>
      <c r="V228" s="331">
        <f ca="1"/>
        <v>307.28765423837081</v>
      </c>
      <c r="W228" s="331">
        <f ca="1"/>
        <v>315.48021228132512</v>
      </c>
      <c r="X228" s="331">
        <f ca="1"/>
        <v>323.28353716756703</v>
      </c>
      <c r="Y228" s="331">
        <f ca="1"/>
        <v>330.66091162178532</v>
      </c>
      <c r="Z228" s="331">
        <f ca="1"/>
        <v>337.57366490921362</v>
      </c>
      <c r="AA228" s="331">
        <f ca="1"/>
        <v>343.98800321210939</v>
      </c>
      <c r="AB228" s="331">
        <f ca="1"/>
        <v>349.86856603547074</v>
      </c>
      <c r="AC228" s="331">
        <f ca="1"/>
        <v>355.18748258229311</v>
      </c>
      <c r="AD228" s="331">
        <f ca="1"/>
        <v>359.92315751918653</v>
      </c>
      <c r="AE228" s="331">
        <f ca="1"/>
        <v>364.05188544881685</v>
      </c>
      <c r="AF228" s="331">
        <f ca="1"/>
        <v>367.55115801370312</v>
      </c>
      <c r="AG228" s="331">
        <f ca="1"/>
        <v>370.40466148311407</v>
      </c>
      <c r="AH228" s="331">
        <f ca="1"/>
        <v>372.59897765131905</v>
      </c>
      <c r="AI228" s="331">
        <f ca="1"/>
        <v>374.11754193587899</v>
      </c>
      <c r="AJ228" s="331">
        <f ca="1"/>
        <v>374.94546545651366</v>
      </c>
      <c r="AK228" s="331">
        <f ca="1"/>
        <v>375.07105567897798</v>
      </c>
    </row>
    <row r="229" spans="2:37">
      <c r="B229" s="329">
        <v>3</v>
      </c>
      <c r="C229" s="329">
        <v>12</v>
      </c>
      <c r="D229" s="330" t="str">
        <v xml:space="preserve">Veículos do transporte público coletivo intermunicipal e metropolitano </v>
      </c>
      <c r="E229" s="330" t="str">
        <v>Pesados I</v>
      </c>
      <c r="F229" s="368">
        <f>INDEX('Painel Controle'!E$110:E$121,MATCH(D229,'Painel Controle'!C$110:C$121,0))</f>
        <v>0</v>
      </c>
      <c r="G229" s="331">
        <f ca="1"/>
        <v>0</v>
      </c>
      <c r="H229" s="331">
        <f ca="1"/>
        <v>0</v>
      </c>
      <c r="I229" s="331">
        <f ca="1"/>
        <v>0</v>
      </c>
      <c r="J229" s="331">
        <f ca="1"/>
        <v>0</v>
      </c>
      <c r="K229" s="331">
        <f ca="1"/>
        <v>0</v>
      </c>
      <c r="L229" s="331">
        <f ca="1"/>
        <v>0</v>
      </c>
      <c r="M229" s="331">
        <f ca="1"/>
        <v>0</v>
      </c>
      <c r="N229" s="331">
        <f ca="1"/>
        <v>0</v>
      </c>
      <c r="O229" s="331">
        <f ca="1"/>
        <v>0</v>
      </c>
      <c r="P229" s="331">
        <f ca="1"/>
        <v>0</v>
      </c>
      <c r="Q229" s="331">
        <f ca="1"/>
        <v>0</v>
      </c>
      <c r="R229" s="331">
        <f ca="1"/>
        <v>0</v>
      </c>
      <c r="S229" s="331">
        <f ca="1"/>
        <v>0</v>
      </c>
      <c r="T229" s="331">
        <f ca="1"/>
        <v>0</v>
      </c>
      <c r="U229" s="331">
        <f ca="1"/>
        <v>0</v>
      </c>
      <c r="V229" s="331">
        <f ca="1"/>
        <v>0</v>
      </c>
      <c r="W229" s="331">
        <f ca="1"/>
        <v>0</v>
      </c>
      <c r="X229" s="331">
        <f ca="1"/>
        <v>0</v>
      </c>
      <c r="Y229" s="331">
        <f ca="1"/>
        <v>0</v>
      </c>
      <c r="Z229" s="331">
        <f ca="1"/>
        <v>0</v>
      </c>
      <c r="AA229" s="331">
        <f ca="1"/>
        <v>0</v>
      </c>
      <c r="AB229" s="331">
        <f ca="1"/>
        <v>0</v>
      </c>
      <c r="AC229" s="331">
        <f ca="1"/>
        <v>0</v>
      </c>
      <c r="AD229" s="331">
        <f ca="1"/>
        <v>0</v>
      </c>
      <c r="AE229" s="331">
        <f ca="1"/>
        <v>0</v>
      </c>
      <c r="AF229" s="331">
        <f ca="1"/>
        <v>0</v>
      </c>
      <c r="AG229" s="331">
        <f ca="1"/>
        <v>0</v>
      </c>
      <c r="AH229" s="331">
        <f ca="1"/>
        <v>0</v>
      </c>
      <c r="AI229" s="331">
        <f ca="1"/>
        <v>0</v>
      </c>
      <c r="AJ229" s="331">
        <f ca="1"/>
        <v>0</v>
      </c>
      <c r="AK229" s="331">
        <f ca="1"/>
        <v>0</v>
      </c>
    </row>
    <row r="230" spans="2:37">
      <c r="B230" s="329">
        <v>4</v>
      </c>
      <c r="C230" s="329">
        <v>1</v>
      </c>
      <c r="D230" s="330" t="str">
        <v>Automóvel</v>
      </c>
      <c r="E230" s="330" t="str">
        <v>Leves</v>
      </c>
      <c r="F230" s="368">
        <f>INDEX('Painel Controle'!E$110:E$121,MATCH(D230,'Painel Controle'!C$110:C$121,0))</f>
        <v>1</v>
      </c>
      <c r="G230" s="331">
        <f ca="1"/>
        <v>5404.9780213761769</v>
      </c>
      <c r="H230" s="331">
        <f ca="1"/>
        <v>5634.3359569456707</v>
      </c>
      <c r="I230" s="331">
        <f ca="1"/>
        <v>5867.3837069833799</v>
      </c>
      <c r="J230" s="331">
        <f ca="1"/>
        <v>6109.5957466705395</v>
      </c>
      <c r="K230" s="331">
        <f ca="1"/>
        <v>6363.132634305276</v>
      </c>
      <c r="L230" s="331">
        <f ca="1"/>
        <v>6627.9715719774304</v>
      </c>
      <c r="M230" s="331">
        <f ca="1"/>
        <v>6902.5282677292807</v>
      </c>
      <c r="N230" s="331">
        <f ca="1"/>
        <v>7183.9018654267147</v>
      </c>
      <c r="O230" s="331">
        <f ca="1"/>
        <v>7469.8320009437184</v>
      </c>
      <c r="P230" s="331">
        <f ca="1"/>
        <v>7758.239972391124</v>
      </c>
      <c r="Q230" s="331">
        <f ca="1"/>
        <v>8047.153288725659</v>
      </c>
      <c r="R230" s="331">
        <f ca="1"/>
        <v>8334.4468667326382</v>
      </c>
      <c r="S230" s="331">
        <f ca="1"/>
        <v>8618.0096504812118</v>
      </c>
      <c r="T230" s="331">
        <f ca="1"/>
        <v>8896.1289017665658</v>
      </c>
      <c r="U230" s="331">
        <f ca="1"/>
        <v>9167.0987325887781</v>
      </c>
      <c r="V230" s="331">
        <f ca="1"/>
        <v>9429.1375194627381</v>
      </c>
      <c r="W230" s="331">
        <f ca="1"/>
        <v>9680.5265855632369</v>
      </c>
      <c r="X230" s="331">
        <f ca="1"/>
        <v>9919.972012174303</v>
      </c>
      <c r="Y230" s="331">
        <f ca="1"/>
        <v>10146.347127809227</v>
      </c>
      <c r="Z230" s="331">
        <f ca="1"/>
        <v>10358.465318977158</v>
      </c>
      <c r="AA230" s="331">
        <f ca="1"/>
        <v>10555.289620637659</v>
      </c>
      <c r="AB230" s="331">
        <f ca="1"/>
        <v>10735.734994177794</v>
      </c>
      <c r="AC230" s="331">
        <f ca="1"/>
        <v>10898.946222753964</v>
      </c>
      <c r="AD230" s="331">
        <f ca="1"/>
        <v>11044.260652447265</v>
      </c>
      <c r="AE230" s="331">
        <f ca="1"/>
        <v>11170.95088191783</v>
      </c>
      <c r="AF230" s="331">
        <f ca="1"/>
        <v>11278.326241055429</v>
      </c>
      <c r="AG230" s="331">
        <f ca="1"/>
        <v>11365.886142191152</v>
      </c>
      <c r="AH230" s="331">
        <f ca="1"/>
        <v>11433.218846990072</v>
      </c>
      <c r="AI230" s="331">
        <f ca="1"/>
        <v>11479.816070385688</v>
      </c>
      <c r="AJ230" s="331">
        <f ca="1"/>
        <v>11505.220946318668</v>
      </c>
      <c r="AK230" s="331">
        <f ca="1"/>
        <v>11509.074688772629</v>
      </c>
    </row>
    <row r="231" spans="2:37">
      <c r="B231" s="329">
        <v>4</v>
      </c>
      <c r="C231" s="329">
        <v>2</v>
      </c>
      <c r="D231" s="330" t="str">
        <v xml:space="preserve">Automóvel com reboque </v>
      </c>
      <c r="E231" s="330" t="str">
        <v>Leves</v>
      </c>
      <c r="F231" s="368">
        <f>INDEX('Painel Controle'!E$110:E$121,MATCH(D231,'Painel Controle'!C$110:C$121,0))</f>
        <v>1.5</v>
      </c>
      <c r="G231" s="331">
        <f ca="1"/>
        <v>49.953586149502556</v>
      </c>
      <c r="H231" s="331">
        <f ca="1"/>
        <v>52.073345258277911</v>
      </c>
      <c r="I231" s="331">
        <f ca="1"/>
        <v>54.227206164356552</v>
      </c>
      <c r="J231" s="331">
        <f ca="1"/>
        <v>56.465764756659318</v>
      </c>
      <c r="K231" s="331">
        <f ca="1"/>
        <v>58.808989226481287</v>
      </c>
      <c r="L231" s="331">
        <f ca="1"/>
        <v>61.256668872249804</v>
      </c>
      <c r="M231" s="331">
        <f ca="1"/>
        <v>63.794161439272457</v>
      </c>
      <c r="N231" s="331">
        <f ca="1"/>
        <v>66.394656796919719</v>
      </c>
      <c r="O231" s="331">
        <f ca="1"/>
        <v>69.037264334045432</v>
      </c>
      <c r="P231" s="331">
        <f ca="1"/>
        <v>71.702772388088007</v>
      </c>
      <c r="Q231" s="331">
        <f ca="1"/>
        <v>74.372950912436764</v>
      </c>
      <c r="R231" s="331">
        <f ca="1"/>
        <v>77.028159581632508</v>
      </c>
      <c r="S231" s="331">
        <f ca="1"/>
        <v>79.648887712395663</v>
      </c>
      <c r="T231" s="331">
        <f ca="1"/>
        <v>82.219305931299104</v>
      </c>
      <c r="U231" s="331">
        <f ca="1"/>
        <v>84.723648175497004</v>
      </c>
      <c r="V231" s="331">
        <f ca="1"/>
        <v>87.145448423870022</v>
      </c>
      <c r="W231" s="331">
        <f ca="1"/>
        <v>89.468822417405136</v>
      </c>
      <c r="X231" s="331">
        <f ca="1"/>
        <v>91.68181157277543</v>
      </c>
      <c r="Y231" s="331">
        <f ca="1"/>
        <v>93.774003029660136</v>
      </c>
      <c r="Z231" s="331">
        <f ca="1"/>
        <v>95.734429935093857</v>
      </c>
      <c r="AA231" s="331">
        <f ca="1"/>
        <v>97.553508508665999</v>
      </c>
      <c r="AB231" s="331">
        <f ca="1"/>
        <v>99.221210667077571</v>
      </c>
      <c r="AC231" s="331">
        <f ca="1"/>
        <v>100.72963237295716</v>
      </c>
      <c r="AD231" s="331">
        <f ca="1"/>
        <v>102.07264928324643</v>
      </c>
      <c r="AE231" s="331">
        <f ca="1"/>
        <v>103.24353864988753</v>
      </c>
      <c r="AF231" s="331">
        <f ca="1"/>
        <v>104.23591720014261</v>
      </c>
      <c r="AG231" s="331">
        <f ca="1"/>
        <v>105.04515843060214</v>
      </c>
      <c r="AH231" s="331">
        <f ca="1"/>
        <v>105.6674569962114</v>
      </c>
      <c r="AI231" s="331">
        <f ca="1"/>
        <v>106.09811525310251</v>
      </c>
      <c r="AJ231" s="331">
        <f ca="1"/>
        <v>106.3329107792853</v>
      </c>
      <c r="AK231" s="331">
        <f ca="1"/>
        <v>106.36852762266757</v>
      </c>
    </row>
    <row r="232" spans="2:37">
      <c r="B232" s="329">
        <v>4</v>
      </c>
      <c r="C232" s="329">
        <v>3</v>
      </c>
      <c r="D232" s="330" t="str">
        <v>Veículos Comerciais com 2 Eixos</v>
      </c>
      <c r="E232" s="330" t="str">
        <v>Pesados I</v>
      </c>
      <c r="F232" s="368">
        <f>INDEX('Painel Controle'!E$110:E$121,MATCH(D232,'Painel Controle'!C$110:C$121,0))</f>
        <v>2</v>
      </c>
      <c r="G232" s="331">
        <f ca="1"/>
        <v>1206.4996823346848</v>
      </c>
      <c r="H232" s="331">
        <f ca="1"/>
        <v>1237.7163529628046</v>
      </c>
      <c r="I232" s="331">
        <f ca="1"/>
        <v>1268.2830746584075</v>
      </c>
      <c r="J232" s="331">
        <f ca="1"/>
        <v>1298.55252747697</v>
      </c>
      <c r="K232" s="331">
        <f ca="1"/>
        <v>1328.6020844763384</v>
      </c>
      <c r="L232" s="331">
        <f ca="1"/>
        <v>1358.3420559459162</v>
      </c>
      <c r="M232" s="331">
        <f ca="1"/>
        <v>1387.5534767097693</v>
      </c>
      <c r="N232" s="331">
        <f ca="1"/>
        <v>1415.9276974277855</v>
      </c>
      <c r="O232" s="331">
        <f ca="1"/>
        <v>1443.2448610756601</v>
      </c>
      <c r="P232" s="331">
        <f ca="1"/>
        <v>1469.3126599603881</v>
      </c>
      <c r="Q232" s="331">
        <f ca="1"/>
        <v>1493.9645880509718</v>
      </c>
      <c r="R232" s="331">
        <f ca="1"/>
        <v>1517.0266205110972</v>
      </c>
      <c r="S232" s="331">
        <f ca="1"/>
        <v>1538.3374912506981</v>
      </c>
      <c r="T232" s="331">
        <f ca="1"/>
        <v>1557.7948061132063</v>
      </c>
      <c r="U232" s="331">
        <f ca="1"/>
        <v>1575.3073664066242</v>
      </c>
      <c r="V232" s="331">
        <f ca="1"/>
        <v>1590.7868476818919</v>
      </c>
      <c r="W232" s="331">
        <f ca="1"/>
        <v>1604.1569298553004</v>
      </c>
      <c r="X232" s="331">
        <f ca="1"/>
        <v>1615.3924170997207</v>
      </c>
      <c r="Y232" s="331">
        <f ca="1"/>
        <v>1624.4834869103024</v>
      </c>
      <c r="Z232" s="331">
        <f ca="1"/>
        <v>1631.4110696446355</v>
      </c>
      <c r="AA232" s="331">
        <f ca="1"/>
        <v>1636.1738243622565</v>
      </c>
      <c r="AB232" s="331">
        <f ca="1"/>
        <v>1638.760644245252</v>
      </c>
      <c r="AC232" s="331">
        <f ca="1"/>
        <v>1639.1831095279013</v>
      </c>
      <c r="AD232" s="331">
        <f ca="1"/>
        <v>1637.4690609454026</v>
      </c>
      <c r="AE232" s="331">
        <f ca="1"/>
        <v>1633.6320925786797</v>
      </c>
      <c r="AF232" s="331">
        <f ca="1"/>
        <v>1627.6857836288646</v>
      </c>
      <c r="AG232" s="331">
        <f ca="1"/>
        <v>1619.661387742645</v>
      </c>
      <c r="AH232" s="331">
        <f ca="1"/>
        <v>1609.5981906315269</v>
      </c>
      <c r="AI232" s="331">
        <f ca="1"/>
        <v>1597.5225737726803</v>
      </c>
      <c r="AJ232" s="331">
        <f ca="1"/>
        <v>1583.462746338867</v>
      </c>
      <c r="AK232" s="331">
        <f ca="1"/>
        <v>1567.4521941020735</v>
      </c>
    </row>
    <row r="233" spans="2:37">
      <c r="B233" s="329">
        <v>4</v>
      </c>
      <c r="C233" s="329">
        <v>4</v>
      </c>
      <c r="D233" s="330" t="str">
        <v>Veículos Comerciais com 3 Eixos</v>
      </c>
      <c r="E233" s="330" t="str">
        <v>Pesados I</v>
      </c>
      <c r="F233" s="368">
        <f>INDEX('Painel Controle'!E$110:E$121,MATCH(D233,'Painel Controle'!C$110:C$121,0))</f>
        <v>3</v>
      </c>
      <c r="G233" s="331">
        <f ca="1"/>
        <v>629.03863360668197</v>
      </c>
      <c r="H233" s="331">
        <f ca="1"/>
        <v>645.3142216778399</v>
      </c>
      <c r="I233" s="331">
        <f ca="1"/>
        <v>661.25094269879423</v>
      </c>
      <c r="J233" s="331">
        <f ca="1"/>
        <v>677.03267519304995</v>
      </c>
      <c r="K233" s="331">
        <f ca="1"/>
        <v>692.69975952977438</v>
      </c>
      <c r="L233" s="331">
        <f ca="1"/>
        <v>708.20543374638419</v>
      </c>
      <c r="M233" s="331">
        <f ca="1"/>
        <v>723.43553489937131</v>
      </c>
      <c r="N233" s="331">
        <f ca="1"/>
        <v>738.2291409744073</v>
      </c>
      <c r="O233" s="331">
        <f ca="1"/>
        <v>752.4716240406417</v>
      </c>
      <c r="P233" s="331">
        <f ca="1"/>
        <v>766.06271969667398</v>
      </c>
      <c r="Q233" s="331">
        <f ca="1"/>
        <v>778.91561587967465</v>
      </c>
      <c r="R233" s="331">
        <f ca="1"/>
        <v>790.93958041055464</v>
      </c>
      <c r="S233" s="331">
        <f ca="1"/>
        <v>802.05053320008767</v>
      </c>
      <c r="T233" s="331">
        <f ca="1"/>
        <v>812.1950885066276</v>
      </c>
      <c r="U233" s="331">
        <f ca="1"/>
        <v>821.32569762258618</v>
      </c>
      <c r="V233" s="331">
        <f ca="1"/>
        <v>829.3963103984571</v>
      </c>
      <c r="W233" s="331">
        <f ca="1"/>
        <v>836.36713545934344</v>
      </c>
      <c r="X233" s="331">
        <f ca="1"/>
        <v>842.22503633376311</v>
      </c>
      <c r="Y233" s="331">
        <f ca="1"/>
        <v>846.96489181437573</v>
      </c>
      <c r="Z233" s="331">
        <f ca="1"/>
        <v>850.57675946855488</v>
      </c>
      <c r="AA233" s="331">
        <f ca="1"/>
        <v>853.05994016362024</v>
      </c>
      <c r="AB233" s="331">
        <f ca="1"/>
        <v>854.40864308365519</v>
      </c>
      <c r="AC233" s="331">
        <f ca="1"/>
        <v>854.62890587198012</v>
      </c>
      <c r="AD233" s="331">
        <f ca="1"/>
        <v>853.73524398871791</v>
      </c>
      <c r="AE233" s="331">
        <f ca="1"/>
        <v>851.73474504625244</v>
      </c>
      <c r="AF233" s="331">
        <f ca="1"/>
        <v>848.63448889901792</v>
      </c>
      <c r="AG233" s="331">
        <f ca="1"/>
        <v>844.45077041347361</v>
      </c>
      <c r="AH233" s="331">
        <f ca="1"/>
        <v>839.20407217295428</v>
      </c>
      <c r="AI233" s="331">
        <f ca="1"/>
        <v>832.90814881709593</v>
      </c>
      <c r="AJ233" s="331">
        <f ca="1"/>
        <v>825.57770790011409</v>
      </c>
      <c r="AK233" s="331">
        <f ca="1"/>
        <v>817.23020806254101</v>
      </c>
    </row>
    <row r="234" spans="2:37">
      <c r="B234" s="329">
        <v>4</v>
      </c>
      <c r="C234" s="329">
        <v>5</v>
      </c>
      <c r="D234" s="330" t="str">
        <v>Veículos Comerciais com 4 Eixos</v>
      </c>
      <c r="E234" s="330" t="str">
        <v>Pesados I</v>
      </c>
      <c r="F234" s="368">
        <f>INDEX('Painel Controle'!E$110:E$121,MATCH(D234,'Painel Controle'!C$110:C$121,0))</f>
        <v>4</v>
      </c>
      <c r="G234" s="331">
        <f ca="1"/>
        <v>252.70148063997826</v>
      </c>
      <c r="H234" s="331">
        <f ca="1"/>
        <v>259.23981546416275</v>
      </c>
      <c r="I234" s="331">
        <f ca="1"/>
        <v>265.64201841861518</v>
      </c>
      <c r="J234" s="331">
        <f ca="1"/>
        <v>271.98195837666884</v>
      </c>
      <c r="K234" s="331">
        <f ca="1"/>
        <v>278.2758411331248</v>
      </c>
      <c r="L234" s="331">
        <f ca="1"/>
        <v>284.50488116901613</v>
      </c>
      <c r="M234" s="331">
        <f ca="1"/>
        <v>290.62321620607031</v>
      </c>
      <c r="N234" s="331">
        <f ca="1"/>
        <v>296.56619960874582</v>
      </c>
      <c r="O234" s="331">
        <f ca="1"/>
        <v>302.28778230103825</v>
      </c>
      <c r="P234" s="331">
        <f ca="1"/>
        <v>307.74768541717407</v>
      </c>
      <c r="Q234" s="331">
        <f ca="1"/>
        <v>312.91103425209951</v>
      </c>
      <c r="R234" s="331">
        <f ca="1"/>
        <v>317.74137928622639</v>
      </c>
      <c r="S234" s="331">
        <f ca="1"/>
        <v>322.20494332065971</v>
      </c>
      <c r="T234" s="331">
        <f ca="1"/>
        <v>326.28027988893751</v>
      </c>
      <c r="U234" s="331">
        <f ca="1"/>
        <v>329.94828741578567</v>
      </c>
      <c r="V234" s="331">
        <f ca="1"/>
        <v>333.19046633640465</v>
      </c>
      <c r="W234" s="331">
        <f ca="1"/>
        <v>335.990831401533</v>
      </c>
      <c r="X234" s="331">
        <f ca="1"/>
        <v>338.34410534262719</v>
      </c>
      <c r="Y234" s="331">
        <f ca="1"/>
        <v>340.24823083505157</v>
      </c>
      <c r="Z234" s="331">
        <f ca="1"/>
        <v>341.69921374027234</v>
      </c>
      <c r="AA234" s="331">
        <f ca="1"/>
        <v>342.69677319817362</v>
      </c>
      <c r="AB234" s="331">
        <f ca="1"/>
        <v>343.23858288461872</v>
      </c>
      <c r="AC234" s="331">
        <f ca="1"/>
        <v>343.32706828085014</v>
      </c>
      <c r="AD234" s="331">
        <f ca="1"/>
        <v>342.9680606316744</v>
      </c>
      <c r="AE234" s="331">
        <f ca="1"/>
        <v>342.16440721871754</v>
      </c>
      <c r="AF234" s="331">
        <f ca="1"/>
        <v>340.91895220703179</v>
      </c>
      <c r="AG234" s="331">
        <f ca="1"/>
        <v>339.23824167608063</v>
      </c>
      <c r="AH234" s="331">
        <f ca="1"/>
        <v>337.13050402211741</v>
      </c>
      <c r="AI234" s="331">
        <f ca="1"/>
        <v>334.60126484820671</v>
      </c>
      <c r="AJ234" s="331">
        <f ca="1"/>
        <v>331.65643256844021</v>
      </c>
      <c r="AK234" s="331">
        <f ca="1"/>
        <v>328.3030207811513</v>
      </c>
    </row>
    <row r="235" spans="2:37">
      <c r="B235" s="329">
        <v>4</v>
      </c>
      <c r="C235" s="329">
        <v>6</v>
      </c>
      <c r="D235" s="330" t="str">
        <v>Veículos Comerciais com 5 Eixos Articulado</v>
      </c>
      <c r="E235" s="330" t="str">
        <v>Pesados II</v>
      </c>
      <c r="F235" s="368">
        <f>INDEX('Painel Controle'!E$110:E$121,MATCH(D235,'Painel Controle'!C$110:C$121,0))</f>
        <v>5</v>
      </c>
      <c r="G235" s="331">
        <f ca="1"/>
        <v>35.097938853869707</v>
      </c>
      <c r="H235" s="331">
        <f ca="1"/>
        <v>36.441522049575568</v>
      </c>
      <c r="I235" s="331">
        <f ca="1"/>
        <v>37.789907947776761</v>
      </c>
      <c r="J235" s="331">
        <f ca="1"/>
        <v>39.167913819443775</v>
      </c>
      <c r="K235" s="331">
        <f ca="1"/>
        <v>40.583879806541276</v>
      </c>
      <c r="L235" s="331">
        <f ca="1"/>
        <v>42.035482115837823</v>
      </c>
      <c r="M235" s="331">
        <f ca="1"/>
        <v>43.512564155560256</v>
      </c>
      <c r="N235" s="331">
        <f ca="1"/>
        <v>44.998718204754837</v>
      </c>
      <c r="O235" s="331">
        <f ca="1"/>
        <v>46.481317987644239</v>
      </c>
      <c r="P235" s="331">
        <f ca="1"/>
        <v>47.9488559106764</v>
      </c>
      <c r="Q235" s="331">
        <f ca="1"/>
        <v>49.390678832592755</v>
      </c>
      <c r="R235" s="331">
        <f ca="1"/>
        <v>50.79550195249405</v>
      </c>
      <c r="S235" s="331">
        <f ca="1"/>
        <v>52.152373051318236</v>
      </c>
      <c r="T235" s="331">
        <f ca="1"/>
        <v>53.452873650687316</v>
      </c>
      <c r="U235" s="331">
        <f ca="1"/>
        <v>54.688906637631845</v>
      </c>
      <c r="V235" s="331">
        <f ca="1"/>
        <v>55.852273352040797</v>
      </c>
      <c r="W235" s="331">
        <f ca="1"/>
        <v>56.935320548291912</v>
      </c>
      <c r="X235" s="331">
        <f ca="1"/>
        <v>57.932919370518135</v>
      </c>
      <c r="Y235" s="331">
        <f ca="1"/>
        <v>58.840902550448433</v>
      </c>
      <c r="Z235" s="331">
        <f ca="1"/>
        <v>59.654822328669752</v>
      </c>
      <c r="AA235" s="331">
        <f ca="1"/>
        <v>60.371182545277769</v>
      </c>
      <c r="AB235" s="331">
        <f ca="1"/>
        <v>60.986229013632567</v>
      </c>
      <c r="AC235" s="331">
        <f ca="1"/>
        <v>61.497511736934754</v>
      </c>
      <c r="AD235" s="331">
        <f ca="1"/>
        <v>61.903625240644175</v>
      </c>
      <c r="AE235" s="331">
        <f ca="1"/>
        <v>62.202742091486265</v>
      </c>
      <c r="AF235" s="331">
        <f ca="1"/>
        <v>62.393232817889832</v>
      </c>
      <c r="AG235" s="331">
        <f ca="1"/>
        <v>62.474521108203348</v>
      </c>
      <c r="AH235" s="331">
        <f ca="1"/>
        <v>62.446558354376769</v>
      </c>
      <c r="AI235" s="331">
        <f ca="1"/>
        <v>62.308794418488077</v>
      </c>
      <c r="AJ235" s="331">
        <f ca="1"/>
        <v>62.060951210656256</v>
      </c>
      <c r="AK235" s="331">
        <f ca="1"/>
        <v>61.703235233404037</v>
      </c>
    </row>
    <row r="236" spans="2:37">
      <c r="B236" s="329">
        <v>4</v>
      </c>
      <c r="C236" s="329">
        <v>7</v>
      </c>
      <c r="D236" s="330" t="str">
        <v>Veículos Comerciais com 6 Eixos Articulado</v>
      </c>
      <c r="E236" s="330" t="str">
        <v>Pesados II</v>
      </c>
      <c r="F236" s="368">
        <f>INDEX('Painel Controle'!E$110:E$121,MATCH(D236,'Painel Controle'!C$110:C$121,0))</f>
        <v>6</v>
      </c>
      <c r="G236" s="331">
        <f ca="1"/>
        <v>311.66969702236293</v>
      </c>
      <c r="H236" s="331">
        <f ca="1"/>
        <v>323.60071580023106</v>
      </c>
      <c r="I236" s="331">
        <f ca="1"/>
        <v>335.57438257625762</v>
      </c>
      <c r="J236" s="331">
        <f ca="1"/>
        <v>347.81107471666076</v>
      </c>
      <c r="K236" s="331">
        <f ca="1"/>
        <v>360.38485268208655</v>
      </c>
      <c r="L236" s="331">
        <f ca="1"/>
        <v>373.27508118863994</v>
      </c>
      <c r="M236" s="331">
        <f ca="1"/>
        <v>386.39156970137515</v>
      </c>
      <c r="N236" s="331">
        <f ca="1"/>
        <v>399.58861765822303</v>
      </c>
      <c r="O236" s="331">
        <f ca="1"/>
        <v>412.75410373028092</v>
      </c>
      <c r="P236" s="331">
        <f ca="1"/>
        <v>425.78584048680653</v>
      </c>
      <c r="Q236" s="331">
        <f ca="1"/>
        <v>438.58922803342375</v>
      </c>
      <c r="R236" s="331">
        <f ca="1"/>
        <v>451.06405733814722</v>
      </c>
      <c r="S236" s="331">
        <f ca="1"/>
        <v>463.11307269570602</v>
      </c>
      <c r="T236" s="331">
        <f ca="1"/>
        <v>474.66151801810349</v>
      </c>
      <c r="U236" s="331">
        <f ca="1"/>
        <v>485.63749094217098</v>
      </c>
      <c r="V236" s="331">
        <f ca="1"/>
        <v>495.96818736612238</v>
      </c>
      <c r="W236" s="331">
        <f ca="1"/>
        <v>505.58564646883224</v>
      </c>
      <c r="X236" s="331">
        <f ca="1"/>
        <v>514.44432401020117</v>
      </c>
      <c r="Y236" s="331">
        <f ca="1"/>
        <v>522.50721464798221</v>
      </c>
      <c r="Z236" s="331">
        <f ca="1"/>
        <v>529.73482227858756</v>
      </c>
      <c r="AA236" s="331">
        <f ca="1"/>
        <v>536.09610100206669</v>
      </c>
      <c r="AB236" s="331">
        <f ca="1"/>
        <v>541.55771364105749</v>
      </c>
      <c r="AC236" s="331">
        <f ca="1"/>
        <v>546.09790422398078</v>
      </c>
      <c r="AD236" s="331">
        <f ca="1"/>
        <v>549.70419213692037</v>
      </c>
      <c r="AE236" s="331">
        <f ca="1"/>
        <v>552.36034977239819</v>
      </c>
      <c r="AF236" s="331">
        <f ca="1"/>
        <v>554.05190742286186</v>
      </c>
      <c r="AG236" s="331">
        <f ca="1"/>
        <v>554.77374744084602</v>
      </c>
      <c r="AH236" s="331">
        <f ca="1"/>
        <v>554.52543818686604</v>
      </c>
      <c r="AI236" s="331">
        <f ca="1"/>
        <v>553.30209443617446</v>
      </c>
      <c r="AJ236" s="331">
        <f ca="1"/>
        <v>551.10124675062775</v>
      </c>
      <c r="AK236" s="331">
        <f ca="1"/>
        <v>547.92472887262807</v>
      </c>
    </row>
    <row r="237" spans="2:37">
      <c r="B237" s="329">
        <v>4</v>
      </c>
      <c r="C237" s="329">
        <v>8</v>
      </c>
      <c r="D237" s="330" t="str">
        <v>Veículos Comerciais com 7 Eixos Articulado</v>
      </c>
      <c r="E237" s="330" t="str">
        <v>Pesados II</v>
      </c>
      <c r="F237" s="368">
        <f>INDEX('Painel Controle'!E$110:E$121,MATCH(D237,'Painel Controle'!C$110:C$121,0))</f>
        <v>7</v>
      </c>
      <c r="G237" s="331">
        <f ca="1"/>
        <v>191.63474614212862</v>
      </c>
      <c r="H237" s="331">
        <f ca="1"/>
        <v>198.97071039068263</v>
      </c>
      <c r="I237" s="331">
        <f ca="1"/>
        <v>206.33289739486111</v>
      </c>
      <c r="J237" s="331">
        <f ca="1"/>
        <v>213.85680945416306</v>
      </c>
      <c r="K237" s="331">
        <f ca="1"/>
        <v>221.5879837437154</v>
      </c>
      <c r="L237" s="331">
        <f ca="1"/>
        <v>229.51373235247456</v>
      </c>
      <c r="M237" s="331">
        <f ca="1"/>
        <v>237.57860028935906</v>
      </c>
      <c r="N237" s="331">
        <f ca="1"/>
        <v>245.6930013979615</v>
      </c>
      <c r="O237" s="331">
        <f ca="1"/>
        <v>253.78799621253762</v>
      </c>
      <c r="P237" s="331">
        <f ca="1"/>
        <v>261.80075327229321</v>
      </c>
      <c r="Q237" s="331">
        <f ca="1"/>
        <v>269.67310642595646</v>
      </c>
      <c r="R237" s="331">
        <f ca="1"/>
        <v>277.34344066061755</v>
      </c>
      <c r="S237" s="331">
        <f ca="1"/>
        <v>284.75195686019759</v>
      </c>
      <c r="T237" s="331">
        <f ca="1"/>
        <v>291.85269013275274</v>
      </c>
      <c r="U237" s="331">
        <f ca="1"/>
        <v>298.60143024146993</v>
      </c>
      <c r="V237" s="331">
        <f ca="1"/>
        <v>304.95341250214278</v>
      </c>
      <c r="W237" s="331">
        <f ca="1"/>
        <v>310.86685019367394</v>
      </c>
      <c r="X237" s="331">
        <f ca="1"/>
        <v>316.31373976302916</v>
      </c>
      <c r="Y237" s="331">
        <f ca="1"/>
        <v>321.27132792544859</v>
      </c>
      <c r="Z237" s="331">
        <f ca="1"/>
        <v>325.71532991453694</v>
      </c>
      <c r="AA237" s="331">
        <f ca="1"/>
        <v>329.62665669721679</v>
      </c>
      <c r="AB237" s="331">
        <f ca="1"/>
        <v>332.98481041443398</v>
      </c>
      <c r="AC237" s="331">
        <f ca="1"/>
        <v>335.77641408366395</v>
      </c>
      <c r="AD237" s="331">
        <f ca="1"/>
        <v>337.99379381391725</v>
      </c>
      <c r="AE237" s="331">
        <f ca="1"/>
        <v>339.62697181951518</v>
      </c>
      <c r="AF237" s="331">
        <f ca="1"/>
        <v>340.66705118567864</v>
      </c>
      <c r="AG237" s="331">
        <f ca="1"/>
        <v>341.11088525079049</v>
      </c>
      <c r="AH237" s="331">
        <f ca="1"/>
        <v>340.95820861489733</v>
      </c>
      <c r="AI237" s="331">
        <f ca="1"/>
        <v>340.20601752494508</v>
      </c>
      <c r="AJ237" s="331">
        <f ca="1"/>
        <v>338.85279361018337</v>
      </c>
      <c r="AK237" s="331">
        <f ca="1"/>
        <v>336.89966437438625</v>
      </c>
    </row>
    <row r="238" spans="2:37">
      <c r="B238" s="329">
        <v>4</v>
      </c>
      <c r="C238" s="329">
        <v>9</v>
      </c>
      <c r="D238" s="330" t="str">
        <v>Veículos Comerciais com 8 Eixos Articulado</v>
      </c>
      <c r="E238" s="330" t="str">
        <v>Pesados II</v>
      </c>
      <c r="F238" s="368">
        <f>INDEX('Painel Controle'!E$110:E$121,MATCH(D238,'Painel Controle'!C$110:C$121,0))</f>
        <v>8</v>
      </c>
      <c r="G238" s="331">
        <f ca="1"/>
        <v>0</v>
      </c>
      <c r="H238" s="331">
        <f ca="1"/>
        <v>0</v>
      </c>
      <c r="I238" s="331">
        <f ca="1"/>
        <v>0</v>
      </c>
      <c r="J238" s="331">
        <f ca="1"/>
        <v>0</v>
      </c>
      <c r="K238" s="331">
        <f ca="1"/>
        <v>0</v>
      </c>
      <c r="L238" s="331">
        <f ca="1"/>
        <v>0</v>
      </c>
      <c r="M238" s="331">
        <f ca="1"/>
        <v>0</v>
      </c>
      <c r="N238" s="331">
        <f ca="1"/>
        <v>0</v>
      </c>
      <c r="O238" s="331">
        <f ca="1"/>
        <v>0</v>
      </c>
      <c r="P238" s="331">
        <f ca="1"/>
        <v>0</v>
      </c>
      <c r="Q238" s="331">
        <f ca="1"/>
        <v>0</v>
      </c>
      <c r="R238" s="331">
        <f ca="1"/>
        <v>0</v>
      </c>
      <c r="S238" s="331">
        <f ca="1"/>
        <v>0</v>
      </c>
      <c r="T238" s="331">
        <f ca="1"/>
        <v>0</v>
      </c>
      <c r="U238" s="331">
        <f ca="1"/>
        <v>0</v>
      </c>
      <c r="V238" s="331">
        <f ca="1"/>
        <v>0</v>
      </c>
      <c r="W238" s="331">
        <f ca="1"/>
        <v>0</v>
      </c>
      <c r="X238" s="331">
        <f ca="1"/>
        <v>0</v>
      </c>
      <c r="Y238" s="331">
        <f ca="1"/>
        <v>0</v>
      </c>
      <c r="Z238" s="331">
        <f ca="1"/>
        <v>0</v>
      </c>
      <c r="AA238" s="331">
        <f ca="1"/>
        <v>0</v>
      </c>
      <c r="AB238" s="331">
        <f ca="1"/>
        <v>0</v>
      </c>
      <c r="AC238" s="331">
        <f ca="1"/>
        <v>0</v>
      </c>
      <c r="AD238" s="331">
        <f ca="1"/>
        <v>0</v>
      </c>
      <c r="AE238" s="331">
        <f ca="1"/>
        <v>0</v>
      </c>
      <c r="AF238" s="331">
        <f ca="1"/>
        <v>0</v>
      </c>
      <c r="AG238" s="331">
        <f ca="1"/>
        <v>0</v>
      </c>
      <c r="AH238" s="331">
        <f ca="1"/>
        <v>0</v>
      </c>
      <c r="AI238" s="331">
        <f ca="1"/>
        <v>0</v>
      </c>
      <c r="AJ238" s="331">
        <f ca="1"/>
        <v>0</v>
      </c>
      <c r="AK238" s="331">
        <f ca="1"/>
        <v>0</v>
      </c>
    </row>
    <row r="239" spans="2:37">
      <c r="B239" s="329">
        <v>4</v>
      </c>
      <c r="C239" s="329">
        <v>10</v>
      </c>
      <c r="D239" s="330" t="str">
        <v>Veículos Comerciais com 9 Eixos Articulado</v>
      </c>
      <c r="E239" s="330" t="str">
        <v>Pesados II</v>
      </c>
      <c r="F239" s="368">
        <f>INDEX('Painel Controle'!E$110:E$121,MATCH(D239,'Painel Controle'!C$110:C$121,0))</f>
        <v>9</v>
      </c>
      <c r="G239" s="331">
        <f ca="1"/>
        <v>113.71732188653783</v>
      </c>
      <c r="H239" s="331">
        <f ca="1"/>
        <v>118.07053144062485</v>
      </c>
      <c r="I239" s="331">
        <f ca="1"/>
        <v>122.4393017507967</v>
      </c>
      <c r="J239" s="331">
        <f ca="1"/>
        <v>126.90404077499784</v>
      </c>
      <c r="K239" s="331">
        <f ca="1"/>
        <v>131.49177057319372</v>
      </c>
      <c r="L239" s="331">
        <f ca="1"/>
        <v>136.19496205531456</v>
      </c>
      <c r="M239" s="331">
        <f ca="1"/>
        <v>140.98070786401524</v>
      </c>
      <c r="N239" s="331">
        <f ca="1"/>
        <v>145.79584698340568</v>
      </c>
      <c r="O239" s="331">
        <f ca="1"/>
        <v>150.59947027996733</v>
      </c>
      <c r="P239" s="331">
        <f ca="1"/>
        <v>155.35429315059156</v>
      </c>
      <c r="Q239" s="331">
        <f ca="1"/>
        <v>160.0257994176005</v>
      </c>
      <c r="R239" s="331">
        <f ca="1"/>
        <v>164.57742632608074</v>
      </c>
      <c r="S239" s="331">
        <f ca="1"/>
        <v>168.97368868627109</v>
      </c>
      <c r="T239" s="331">
        <f ca="1"/>
        <v>173.18731062822692</v>
      </c>
      <c r="U239" s="331">
        <f ca="1"/>
        <v>177.19205750592724</v>
      </c>
      <c r="V239" s="331">
        <f ca="1"/>
        <v>180.96136566061222</v>
      </c>
      <c r="W239" s="331">
        <f ca="1"/>
        <v>184.47043857646585</v>
      </c>
      <c r="X239" s="331">
        <f ca="1"/>
        <v>187.70265876047887</v>
      </c>
      <c r="Y239" s="331">
        <f ca="1"/>
        <v>190.64452426345301</v>
      </c>
      <c r="Z239" s="331">
        <f ca="1"/>
        <v>193.28162434489005</v>
      </c>
      <c r="AA239" s="331">
        <f ca="1"/>
        <v>195.60263144670003</v>
      </c>
      <c r="AB239" s="331">
        <f ca="1"/>
        <v>197.59538200416961</v>
      </c>
      <c r="AC239" s="331">
        <f ca="1"/>
        <v>199.2519380276687</v>
      </c>
      <c r="AD239" s="331">
        <f ca="1"/>
        <v>200.56774577968719</v>
      </c>
      <c r="AE239" s="331">
        <f ca="1"/>
        <v>201.53688437641557</v>
      </c>
      <c r="AF239" s="331">
        <f ca="1"/>
        <v>202.15407432996315</v>
      </c>
      <c r="AG239" s="331">
        <f ca="1"/>
        <v>202.41744839057895</v>
      </c>
      <c r="AH239" s="331">
        <f ca="1"/>
        <v>202.32684906818082</v>
      </c>
      <c r="AI239" s="331">
        <f ca="1"/>
        <v>201.8804939159015</v>
      </c>
      <c r="AJ239" s="331">
        <f ca="1"/>
        <v>201.07748192252637</v>
      </c>
      <c r="AK239" s="331">
        <f ca="1"/>
        <v>199.91848215622917</v>
      </c>
    </row>
    <row r="240" spans="2:37">
      <c r="B240" s="329">
        <v>4</v>
      </c>
      <c r="C240" s="329">
        <v>11</v>
      </c>
      <c r="D240" s="330" t="str">
        <v>Motocicleta</v>
      </c>
      <c r="E240" s="330" t="str">
        <v>Leves</v>
      </c>
      <c r="F240" s="368">
        <f>INDEX('Painel Controle'!E$110:E$121,MATCH(D240,'Painel Controle'!C$110:C$121,0))</f>
        <v>0.5</v>
      </c>
      <c r="G240" s="331">
        <f ca="1"/>
        <v>417.38996427139915</v>
      </c>
      <c r="H240" s="331">
        <f ca="1"/>
        <v>435.1017292691667</v>
      </c>
      <c r="I240" s="331">
        <f ca="1"/>
        <v>453.09843372884592</v>
      </c>
      <c r="J240" s="331">
        <f ca="1"/>
        <v>471.80283441119803</v>
      </c>
      <c r="K240" s="331">
        <f ca="1"/>
        <v>491.38177664793261</v>
      </c>
      <c r="L240" s="331">
        <f ca="1"/>
        <v>511.83349991035408</v>
      </c>
      <c r="M240" s="331">
        <f ca="1"/>
        <v>533.03566002592117</v>
      </c>
      <c r="N240" s="331">
        <f ca="1"/>
        <v>554.76424345870726</v>
      </c>
      <c r="O240" s="331">
        <f ca="1"/>
        <v>576.84469754669101</v>
      </c>
      <c r="P240" s="331">
        <f ca="1"/>
        <v>599.11649817602449</v>
      </c>
      <c r="Q240" s="331">
        <f ca="1"/>
        <v>621.42732317947184</v>
      </c>
      <c r="R240" s="331">
        <f ca="1"/>
        <v>643.61306672652961</v>
      </c>
      <c r="S240" s="331">
        <f ca="1"/>
        <v>665.51070621912845</v>
      </c>
      <c r="T240" s="331">
        <f ca="1"/>
        <v>686.98797844818841</v>
      </c>
      <c r="U240" s="331">
        <f ca="1"/>
        <v>707.91314919970853</v>
      </c>
      <c r="V240" s="331">
        <f ca="1"/>
        <v>728.14863571944761</v>
      </c>
      <c r="W240" s="331">
        <f ca="1"/>
        <v>747.56171619876318</v>
      </c>
      <c r="X240" s="331">
        <f ca="1"/>
        <v>766.05247003030172</v>
      </c>
      <c r="Y240" s="331">
        <f ca="1"/>
        <v>783.53389198116054</v>
      </c>
      <c r="Z240" s="331">
        <f ca="1"/>
        <v>799.91434790211792</v>
      </c>
      <c r="AA240" s="331">
        <f ca="1"/>
        <v>815.11375998352059</v>
      </c>
      <c r="AB240" s="331">
        <f ca="1"/>
        <v>829.0483380182485</v>
      </c>
      <c r="AC240" s="331">
        <f ca="1"/>
        <v>841.65203938293121</v>
      </c>
      <c r="AD240" s="331">
        <f ca="1"/>
        <v>852.8736917889039</v>
      </c>
      <c r="AE240" s="331">
        <f ca="1"/>
        <v>862.65712294128264</v>
      </c>
      <c r="AF240" s="331">
        <f ca="1"/>
        <v>870.94899705008061</v>
      </c>
      <c r="AG240" s="331">
        <f ca="1"/>
        <v>877.71065710903144</v>
      </c>
      <c r="AH240" s="331">
        <f ca="1"/>
        <v>882.91030734612218</v>
      </c>
      <c r="AI240" s="331">
        <f ca="1"/>
        <v>886.50869633703428</v>
      </c>
      <c r="AJ240" s="331">
        <f ca="1"/>
        <v>888.47054340025068</v>
      </c>
      <c r="AK240" s="331">
        <f ca="1"/>
        <v>888.7681419138446</v>
      </c>
    </row>
    <row r="241" spans="2:37">
      <c r="B241" s="329">
        <v>4</v>
      </c>
      <c r="C241" s="329">
        <v>12</v>
      </c>
      <c r="D241" s="330" t="str">
        <v xml:space="preserve">Veículos do transporte público coletivo intermunicipal e metropolitano </v>
      </c>
      <c r="E241" s="330" t="str">
        <v>Pesados I</v>
      </c>
      <c r="F241" s="368">
        <f>INDEX('Painel Controle'!E$110:E$121,MATCH(D241,'Painel Controle'!C$110:C$121,0))</f>
        <v>0</v>
      </c>
      <c r="G241" s="331">
        <f ca="1"/>
        <v>0</v>
      </c>
      <c r="H241" s="331">
        <f ca="1"/>
        <v>0</v>
      </c>
      <c r="I241" s="331">
        <f ca="1"/>
        <v>0</v>
      </c>
      <c r="J241" s="331">
        <f ca="1"/>
        <v>0</v>
      </c>
      <c r="K241" s="331">
        <f ca="1"/>
        <v>0</v>
      </c>
      <c r="L241" s="331">
        <f ca="1"/>
        <v>0</v>
      </c>
      <c r="M241" s="331">
        <f ca="1"/>
        <v>0</v>
      </c>
      <c r="N241" s="331">
        <f ca="1"/>
        <v>0</v>
      </c>
      <c r="O241" s="331">
        <f ca="1"/>
        <v>0</v>
      </c>
      <c r="P241" s="331">
        <f ca="1"/>
        <v>0</v>
      </c>
      <c r="Q241" s="331">
        <f ca="1"/>
        <v>0</v>
      </c>
      <c r="R241" s="331">
        <f ca="1"/>
        <v>0</v>
      </c>
      <c r="S241" s="331">
        <f ca="1"/>
        <v>0</v>
      </c>
      <c r="T241" s="331">
        <f ca="1"/>
        <v>0</v>
      </c>
      <c r="U241" s="331">
        <f ca="1"/>
        <v>0</v>
      </c>
      <c r="V241" s="331">
        <f ca="1"/>
        <v>0</v>
      </c>
      <c r="W241" s="331">
        <f ca="1"/>
        <v>0</v>
      </c>
      <c r="X241" s="331">
        <f ca="1"/>
        <v>0</v>
      </c>
      <c r="Y241" s="331">
        <f ca="1"/>
        <v>0</v>
      </c>
      <c r="Z241" s="331">
        <f ca="1"/>
        <v>0</v>
      </c>
      <c r="AA241" s="331">
        <f ca="1"/>
        <v>0</v>
      </c>
      <c r="AB241" s="331">
        <f ca="1"/>
        <v>0</v>
      </c>
      <c r="AC241" s="331">
        <f ca="1"/>
        <v>0</v>
      </c>
      <c r="AD241" s="331">
        <f ca="1"/>
        <v>0</v>
      </c>
      <c r="AE241" s="331">
        <f ca="1"/>
        <v>0</v>
      </c>
      <c r="AF241" s="331">
        <f ca="1"/>
        <v>0</v>
      </c>
      <c r="AG241" s="331">
        <f ca="1"/>
        <v>0</v>
      </c>
      <c r="AH241" s="331">
        <f ca="1"/>
        <v>0</v>
      </c>
      <c r="AI241" s="331">
        <f ca="1"/>
        <v>0</v>
      </c>
      <c r="AJ241" s="331">
        <f ca="1"/>
        <v>0</v>
      </c>
      <c r="AK241" s="331">
        <f ca="1"/>
        <v>0</v>
      </c>
    </row>
    <row r="242" spans="2:37">
      <c r="B242" s="618" t="s">
        <v>73</v>
      </c>
      <c r="C242" s="618"/>
      <c r="D242" s="618"/>
      <c r="E242" s="618"/>
      <c r="F242" s="618"/>
      <c r="G242" s="340">
        <f ca="1">SUM(G194:G241)</f>
        <v>58443.090568254265</v>
      </c>
      <c r="H242" s="340">
        <f t="shared" ref="H242" ca="1" si="37">SUM(H194:H241)</f>
        <v>60668.402608446311</v>
      </c>
      <c r="I242" s="340">
        <f t="shared" ref="I242" ca="1" si="38">SUM(I194:I241)</f>
        <v>62910.792267454024</v>
      </c>
      <c r="J242" s="340">
        <f t="shared" ref="J242" ca="1" si="39">SUM(J194:J241)</f>
        <v>65216.265403483849</v>
      </c>
      <c r="K242" s="340">
        <f t="shared" ref="K242" ca="1" si="40">SUM(K194:K241)</f>
        <v>67601.709084675807</v>
      </c>
      <c r="L242" s="340">
        <f t="shared" ref="L242" ca="1" si="41">SUM(L194:L241)</f>
        <v>70065.050161519859</v>
      </c>
      <c r="M242" s="340">
        <f t="shared" ref="M242" ca="1" si="42">SUM(M194:M241)</f>
        <v>72590.465977143671</v>
      </c>
      <c r="N242" s="340">
        <f t="shared" ref="N242" ca="1" si="43">SUM(N194:N241)</f>
        <v>75150.889098068656</v>
      </c>
      <c r="O242" s="340">
        <f t="shared" ref="O242" ca="1" si="44">SUM(O194:O241)</f>
        <v>77725.495461936735</v>
      </c>
      <c r="P242" s="340">
        <f t="shared" ref="P242" ca="1" si="45">SUM(P194:P241)</f>
        <v>80295.275831911378</v>
      </c>
      <c r="Q242" s="340">
        <f t="shared" ref="Q242" ca="1" si="46">SUM(Q194:Q241)</f>
        <v>82842.467861000521</v>
      </c>
      <c r="R242" s="340">
        <f t="shared" ref="R242" ca="1" si="47">SUM(R194:R241)</f>
        <v>85348.077076924354</v>
      </c>
      <c r="S242" s="340">
        <f t="shared" ref="S242" ca="1" si="48">SUM(S194:S241)</f>
        <v>87793.465621831463</v>
      </c>
      <c r="T242" s="340">
        <f t="shared" ref="T242" ca="1" si="49">SUM(T194:T241)</f>
        <v>90163.99953254468</v>
      </c>
      <c r="U242" s="340">
        <f t="shared" ref="U242" ca="1" si="50">SUM(U194:U241)</f>
        <v>92445.341204412587</v>
      </c>
      <c r="V242" s="340">
        <f t="shared" ref="V242" ca="1" si="51">SUM(V194:V241)</f>
        <v>94622.704326579696</v>
      </c>
      <c r="W242" s="340">
        <f t="shared" ref="W242" ca="1" si="52">SUM(W194:W241)</f>
        <v>96682.029911180827</v>
      </c>
      <c r="X242" s="340">
        <f t="shared" ref="X242" ca="1" si="53">SUM(X194:X241)</f>
        <v>98613.335660144177</v>
      </c>
      <c r="Y242" s="340">
        <f t="shared" ref="Y242" ca="1" si="54">SUM(Y194:Y241)</f>
        <v>100408.18494057409</v>
      </c>
      <c r="Z242" s="340">
        <f t="shared" ref="Z242" ca="1" si="55">SUM(Z194:Z241)</f>
        <v>102057.58339517705</v>
      </c>
      <c r="AA242" s="340">
        <f t="shared" ref="AA242" ca="1" si="56">SUM(AA194:AA241)</f>
        <v>103554.00019821034</v>
      </c>
      <c r="AB242" s="340">
        <f t="shared" ref="AB242" ca="1" si="57">SUM(AB194:AB241)</f>
        <v>104889.41962939742</v>
      </c>
      <c r="AC242" s="340">
        <f t="shared" ref="AC242" ca="1" si="58">SUM(AC194:AC241)</f>
        <v>106057.95613023646</v>
      </c>
      <c r="AD242" s="340">
        <f t="shared" ref="AD242" ca="1" si="59">SUM(AD194:AD241)</f>
        <v>107055.46039719829</v>
      </c>
      <c r="AE242" s="340">
        <f t="shared" ref="AE242" ca="1" si="60">SUM(AE194:AE241)</f>
        <v>107877.08420464104</v>
      </c>
      <c r="AF242" s="340">
        <f t="shared" ref="AF242" ca="1" si="61">SUM(AF194:AF241)</f>
        <v>108518.28109142254</v>
      </c>
      <c r="AG242" s="340">
        <f t="shared" ref="AG242" ca="1" si="62">SUM(AG194:AG241)</f>
        <v>108976.24409964222</v>
      </c>
      <c r="AH242" s="340">
        <f t="shared" ref="AH242" ca="1" si="63">SUM(AH194:AH241)</f>
        <v>109248.99424818196</v>
      </c>
      <c r="AI242" s="340">
        <f t="shared" ref="AI242" ca="1" si="64">SUM(AI194:AI241)</f>
        <v>109333.64875562192</v>
      </c>
      <c r="AJ242" s="340">
        <f t="shared" ref="AJ242" ca="1" si="65">SUM(AJ194:AJ241)</f>
        <v>109227.76192483596</v>
      </c>
      <c r="AK242" s="340">
        <f t="shared" ref="AK242" ca="1" si="66">SUM(AK194:AK241)</f>
        <v>108929.72185090829</v>
      </c>
    </row>
    <row r="243" spans="2:37">
      <c r="G243" s="339"/>
      <c r="AK243" s="355"/>
    </row>
    <row r="244" spans="2:37">
      <c r="B244" s="2" t="s">
        <v>557</v>
      </c>
    </row>
    <row r="245" spans="2:37" hidden="1">
      <c r="B245" s="2"/>
      <c r="D245" s="218">
        <v>0</v>
      </c>
      <c r="E245" s="218">
        <v>1</v>
      </c>
      <c r="F245" s="218">
        <v>2</v>
      </c>
      <c r="G245" s="218">
        <v>3</v>
      </c>
      <c r="H245" s="218">
        <v>4</v>
      </c>
      <c r="I245" s="218">
        <v>5</v>
      </c>
      <c r="J245" s="218">
        <v>6</v>
      </c>
      <c r="K245" s="218">
        <v>7</v>
      </c>
      <c r="L245" s="218">
        <v>8</v>
      </c>
      <c r="M245" s="218">
        <v>9</v>
      </c>
      <c r="N245" s="218">
        <v>10</v>
      </c>
      <c r="O245" s="218">
        <v>11</v>
      </c>
      <c r="P245" s="218">
        <v>12</v>
      </c>
      <c r="Q245" s="218">
        <v>13</v>
      </c>
      <c r="R245" s="218">
        <v>14</v>
      </c>
      <c r="S245" s="218">
        <v>15</v>
      </c>
      <c r="T245" s="218">
        <v>16</v>
      </c>
      <c r="U245" s="218">
        <v>17</v>
      </c>
      <c r="V245" s="218">
        <v>18</v>
      </c>
      <c r="W245" s="218">
        <v>19</v>
      </c>
      <c r="X245" s="218">
        <v>20</v>
      </c>
      <c r="Y245" s="218">
        <v>21</v>
      </c>
      <c r="Z245" s="218">
        <v>22</v>
      </c>
      <c r="AA245" s="218">
        <v>23</v>
      </c>
      <c r="AB245" s="218">
        <v>24</v>
      </c>
      <c r="AC245" s="218">
        <v>25</v>
      </c>
      <c r="AD245" s="218">
        <v>26</v>
      </c>
      <c r="AE245" s="218">
        <v>27</v>
      </c>
      <c r="AF245" s="218">
        <v>28</v>
      </c>
      <c r="AG245" s="218">
        <v>29</v>
      </c>
      <c r="AH245" s="218">
        <v>30</v>
      </c>
    </row>
    <row r="246" spans="2:37">
      <c r="B246" s="48" t="str" cm="1">
        <f t="array" ref="B246:B294">B141:B189</f>
        <v>Pórtico</v>
      </c>
      <c r="C246" s="48" t="str" cm="1">
        <f t="array" ref="C246:C294">D141:D189</f>
        <v>Categoria de Veículo</v>
      </c>
      <c r="D246" s="48" t="str">
        <f>"Ano "&amp;D245</f>
        <v>Ano 0</v>
      </c>
      <c r="E246" s="48" t="str">
        <f t="shared" ref="E246:AH246" si="67">"Ano "&amp;E245</f>
        <v>Ano 1</v>
      </c>
      <c r="F246" s="48" t="str">
        <f t="shared" si="67"/>
        <v>Ano 2</v>
      </c>
      <c r="G246" s="48" t="str">
        <f t="shared" si="67"/>
        <v>Ano 3</v>
      </c>
      <c r="H246" s="48" t="str">
        <f t="shared" si="67"/>
        <v>Ano 4</v>
      </c>
      <c r="I246" s="48" t="str">
        <f t="shared" si="67"/>
        <v>Ano 5</v>
      </c>
      <c r="J246" s="48" t="str">
        <f t="shared" si="67"/>
        <v>Ano 6</v>
      </c>
      <c r="K246" s="48" t="str">
        <f t="shared" si="67"/>
        <v>Ano 7</v>
      </c>
      <c r="L246" s="48" t="str">
        <f t="shared" si="67"/>
        <v>Ano 8</v>
      </c>
      <c r="M246" s="48" t="str">
        <f t="shared" si="67"/>
        <v>Ano 9</v>
      </c>
      <c r="N246" s="48" t="str">
        <f t="shared" si="67"/>
        <v>Ano 10</v>
      </c>
      <c r="O246" s="48" t="str">
        <f t="shared" si="67"/>
        <v>Ano 11</v>
      </c>
      <c r="P246" s="48" t="str">
        <f t="shared" si="67"/>
        <v>Ano 12</v>
      </c>
      <c r="Q246" s="48" t="str">
        <f t="shared" si="67"/>
        <v>Ano 13</v>
      </c>
      <c r="R246" s="48" t="str">
        <f t="shared" si="67"/>
        <v>Ano 14</v>
      </c>
      <c r="S246" s="48" t="str">
        <f t="shared" si="67"/>
        <v>Ano 15</v>
      </c>
      <c r="T246" s="48" t="str">
        <f t="shared" si="67"/>
        <v>Ano 16</v>
      </c>
      <c r="U246" s="48" t="str">
        <f t="shared" si="67"/>
        <v>Ano 17</v>
      </c>
      <c r="V246" s="48" t="str">
        <f t="shared" si="67"/>
        <v>Ano 18</v>
      </c>
      <c r="W246" s="48" t="str">
        <f t="shared" si="67"/>
        <v>Ano 19</v>
      </c>
      <c r="X246" s="48" t="str">
        <f t="shared" si="67"/>
        <v>Ano 20</v>
      </c>
      <c r="Y246" s="48" t="str">
        <f t="shared" si="67"/>
        <v>Ano 21</v>
      </c>
      <c r="Z246" s="48" t="str">
        <f t="shared" si="67"/>
        <v>Ano 22</v>
      </c>
      <c r="AA246" s="48" t="str">
        <f t="shared" si="67"/>
        <v>Ano 23</v>
      </c>
      <c r="AB246" s="48" t="str">
        <f t="shared" si="67"/>
        <v>Ano 24</v>
      </c>
      <c r="AC246" s="48" t="str">
        <f t="shared" si="67"/>
        <v>Ano 25</v>
      </c>
      <c r="AD246" s="48" t="str">
        <f t="shared" si="67"/>
        <v>Ano 26</v>
      </c>
      <c r="AE246" s="48" t="str">
        <f t="shared" si="67"/>
        <v>Ano 27</v>
      </c>
      <c r="AF246" s="48" t="str">
        <f t="shared" si="67"/>
        <v>Ano 28</v>
      </c>
      <c r="AG246" s="333" t="str">
        <f t="shared" si="67"/>
        <v>Ano 29</v>
      </c>
      <c r="AH246" s="48" t="str">
        <f t="shared" si="67"/>
        <v>Ano 30</v>
      </c>
    </row>
    <row r="247" spans="2:37">
      <c r="B247" s="329">
        <v>1</v>
      </c>
      <c r="C247" s="332" t="str">
        <v>Automóvel</v>
      </c>
      <c r="D247" s="331" cm="1">
        <f t="array" aca="1" ref="D247:AH294" ca="1">_xlfn.ANCHORARRAY(G142) * 365</f>
        <v>3684582.791068316</v>
      </c>
      <c r="E247" s="331">
        <f ca="1"/>
        <v>3840936.4892798667</v>
      </c>
      <c r="F247" s="335">
        <f ca="1"/>
        <v>3999805.5403454066</v>
      </c>
      <c r="G247" s="331">
        <f ca="1"/>
        <v>4164921.9033891251</v>
      </c>
      <c r="H247" s="331">
        <f ca="1"/>
        <v>4337758.4347099522</v>
      </c>
      <c r="I247" s="331">
        <f ca="1"/>
        <v>4518299.5929334192</v>
      </c>
      <c r="J247" s="331">
        <f ca="1"/>
        <v>4705465.3635136075</v>
      </c>
      <c r="K247" s="331">
        <f ca="1"/>
        <v>4897278.2278465824</v>
      </c>
      <c r="L247" s="331">
        <f ca="1"/>
        <v>5092197.2918292955</v>
      </c>
      <c r="M247" s="331">
        <f ca="1"/>
        <v>5288805.5008172514</v>
      </c>
      <c r="N247" s="331">
        <f ca="1"/>
        <v>5485758.2042818367</v>
      </c>
      <c r="O247" s="331">
        <f ca="1"/>
        <v>5681606.7293493701</v>
      </c>
      <c r="P247" s="331">
        <f ca="1"/>
        <v>5874911.9655696265</v>
      </c>
      <c r="Q247" s="331">
        <f ca="1"/>
        <v>6064506.3363696598</v>
      </c>
      <c r="R247" s="331">
        <f ca="1"/>
        <v>6249226.9349729456</v>
      </c>
      <c r="S247" s="331">
        <f ca="1"/>
        <v>6427859.2255927678</v>
      </c>
      <c r="T247" s="331">
        <f ca="1"/>
        <v>6599231.58328846</v>
      </c>
      <c r="U247" s="331">
        <f ca="1"/>
        <v>6762461.9414512319</v>
      </c>
      <c r="V247" s="331">
        <f ca="1"/>
        <v>6916782.2461954448</v>
      </c>
      <c r="W247" s="331">
        <f ca="1"/>
        <v>7061383.5810683845</v>
      </c>
      <c r="X247" s="331">
        <f ca="1"/>
        <v>7195559.0452227565</v>
      </c>
      <c r="Y247" s="331">
        <f ca="1"/>
        <v>7318568.9659744017</v>
      </c>
      <c r="Z247" s="331">
        <f ca="1"/>
        <v>7429830.3405336561</v>
      </c>
      <c r="AA247" s="331">
        <f ca="1"/>
        <v>7528891.4365870152</v>
      </c>
      <c r="AB247" s="331">
        <f ca="1"/>
        <v>7615256.383393012</v>
      </c>
      <c r="AC247" s="331">
        <f ca="1"/>
        <v>7688454.3499524472</v>
      </c>
      <c r="AD247" s="331">
        <f ca="1"/>
        <v>7748144.0847925134</v>
      </c>
      <c r="AE247" s="331">
        <f ca="1"/>
        <v>7794044.9051838284</v>
      </c>
      <c r="AF247" s="331">
        <f ca="1"/>
        <v>7825810.3123244364</v>
      </c>
      <c r="AG247" s="334">
        <f ca="1"/>
        <v>7843128.8598377984</v>
      </c>
      <c r="AH247" s="313">
        <f ca="1"/>
        <v>7845755.9626809387</v>
      </c>
    </row>
    <row r="248" spans="2:37">
      <c r="B248" s="329">
        <v>1</v>
      </c>
      <c r="C248" s="332" t="str">
        <v xml:space="preserve">Automóvel com reboque </v>
      </c>
      <c r="D248" s="331">
        <f ca="1"/>
        <v>9681.7115380924224</v>
      </c>
      <c r="E248" s="331">
        <f ca="1"/>
        <v>10092.550835194845</v>
      </c>
      <c r="F248" s="335">
        <f ca="1"/>
        <v>10509.999542949641</v>
      </c>
      <c r="G248" s="331">
        <f ca="1"/>
        <v>10943.863860256708</v>
      </c>
      <c r="H248" s="331">
        <f ca="1"/>
        <v>11398.013905018644</v>
      </c>
      <c r="I248" s="331">
        <f ca="1"/>
        <v>11872.408840290518</v>
      </c>
      <c r="J248" s="331">
        <f ca="1"/>
        <v>12364.210790013234</v>
      </c>
      <c r="K248" s="331">
        <f ca="1"/>
        <v>12868.22357166895</v>
      </c>
      <c r="L248" s="331">
        <f ca="1"/>
        <v>13380.398289341241</v>
      </c>
      <c r="M248" s="331">
        <f ca="1"/>
        <v>13897.011451096383</v>
      </c>
      <c r="N248" s="331">
        <f ca="1"/>
        <v>14414.52981605588</v>
      </c>
      <c r="O248" s="331">
        <f ca="1"/>
        <v>14929.14681135345</v>
      </c>
      <c r="P248" s="331">
        <f ca="1"/>
        <v>15437.080990610883</v>
      </c>
      <c r="Q248" s="331">
        <f ca="1"/>
        <v>15935.264397367726</v>
      </c>
      <c r="R248" s="331">
        <f ca="1"/>
        <v>16420.641345649634</v>
      </c>
      <c r="S248" s="331">
        <f ca="1"/>
        <v>16890.020487668684</v>
      </c>
      <c r="T248" s="331">
        <f ca="1"/>
        <v>17340.323229361569</v>
      </c>
      <c r="U248" s="331">
        <f ca="1"/>
        <v>17769.231828137621</v>
      </c>
      <c r="V248" s="331">
        <f ca="1"/>
        <v>18174.728124387428</v>
      </c>
      <c r="W248" s="331">
        <f ca="1"/>
        <v>18554.686586891399</v>
      </c>
      <c r="X248" s="331">
        <f ca="1"/>
        <v>18907.249743453187</v>
      </c>
      <c r="Y248" s="331">
        <f ca="1"/>
        <v>19230.474009692498</v>
      </c>
      <c r="Z248" s="331">
        <f ca="1"/>
        <v>19522.827471372217</v>
      </c>
      <c r="AA248" s="331">
        <f ca="1"/>
        <v>19783.123144185101</v>
      </c>
      <c r="AB248" s="331">
        <f ca="1"/>
        <v>20010.05806447113</v>
      </c>
      <c r="AC248" s="331">
        <f ca="1"/>
        <v>20202.395063688866</v>
      </c>
      <c r="AD248" s="331">
        <f ca="1"/>
        <v>20359.237460040389</v>
      </c>
      <c r="AE248" s="331">
        <f ca="1"/>
        <v>20479.847723831379</v>
      </c>
      <c r="AF248" s="331">
        <f ca="1"/>
        <v>20563.315385236881</v>
      </c>
      <c r="AG248" s="334">
        <f ca="1"/>
        <v>20608.822079153375</v>
      </c>
      <c r="AH248" s="313">
        <f ca="1"/>
        <v>20615.725127164631</v>
      </c>
    </row>
    <row r="249" spans="2:37">
      <c r="B249" s="329">
        <v>1</v>
      </c>
      <c r="C249" s="332" t="str">
        <v>Veículos Comerciais com 2 Eixos</v>
      </c>
      <c r="D249" s="331">
        <f ca="1"/>
        <v>485900.7687488558</v>
      </c>
      <c r="E249" s="331">
        <f ca="1"/>
        <v>498472.84355175297</v>
      </c>
      <c r="F249" s="335">
        <f ca="1"/>
        <v>510783.16056840157</v>
      </c>
      <c r="G249" s="331">
        <f ca="1"/>
        <v>522973.75672810001</v>
      </c>
      <c r="H249" s="331">
        <f ca="1"/>
        <v>535075.79294107377</v>
      </c>
      <c r="I249" s="331">
        <f ca="1"/>
        <v>547053.14793852682</v>
      </c>
      <c r="J249" s="331">
        <f ca="1"/>
        <v>558817.63657721097</v>
      </c>
      <c r="K249" s="331">
        <f ca="1"/>
        <v>570244.95467882429</v>
      </c>
      <c r="L249" s="331">
        <f ca="1"/>
        <v>581246.55792073742</v>
      </c>
      <c r="M249" s="331">
        <f ca="1"/>
        <v>591744.99708581821</v>
      </c>
      <c r="N249" s="331">
        <f ca="1"/>
        <v>601673.21421321679</v>
      </c>
      <c r="O249" s="331">
        <f ca="1"/>
        <v>610961.12324904976</v>
      </c>
      <c r="P249" s="331">
        <f ca="1"/>
        <v>619543.77654493938</v>
      </c>
      <c r="Q249" s="331">
        <f ca="1"/>
        <v>627379.93629525637</v>
      </c>
      <c r="R249" s="331">
        <f ca="1"/>
        <v>634432.87351018039</v>
      </c>
      <c r="S249" s="331">
        <f ca="1"/>
        <v>640667.01676078734</v>
      </c>
      <c r="T249" s="331">
        <f ca="1"/>
        <v>646051.62920736766</v>
      </c>
      <c r="U249" s="331">
        <f ca="1"/>
        <v>650576.56358511036</v>
      </c>
      <c r="V249" s="331">
        <f ca="1"/>
        <v>654237.86401841277</v>
      </c>
      <c r="W249" s="331">
        <f ca="1"/>
        <v>657027.85047714936</v>
      </c>
      <c r="X249" s="331">
        <f ca="1"/>
        <v>658945.98291641858</v>
      </c>
      <c r="Y249" s="331">
        <f ca="1"/>
        <v>659987.78822160524</v>
      </c>
      <c r="Z249" s="331">
        <f ca="1"/>
        <v>660157.93016910402</v>
      </c>
      <c r="AA249" s="331">
        <f ca="1"/>
        <v>659467.62122323061</v>
      </c>
      <c r="AB249" s="331">
        <f ca="1"/>
        <v>657922.33620877634</v>
      </c>
      <c r="AC249" s="331">
        <f ca="1"/>
        <v>655527.54395790549</v>
      </c>
      <c r="AD249" s="331">
        <f ca="1"/>
        <v>652295.83143700846</v>
      </c>
      <c r="AE249" s="331">
        <f ca="1"/>
        <v>648243.02041355125</v>
      </c>
      <c r="AF249" s="331">
        <f ca="1"/>
        <v>643379.73565621418</v>
      </c>
      <c r="AG249" s="334">
        <f ca="1"/>
        <v>637717.33801235724</v>
      </c>
      <c r="AH249" s="313">
        <f ca="1"/>
        <v>631269.31340542366</v>
      </c>
    </row>
    <row r="250" spans="2:37">
      <c r="B250" s="329">
        <v>1</v>
      </c>
      <c r="C250" s="332" t="str">
        <v>Veículos Comerciais com 3 Eixos</v>
      </c>
      <c r="D250" s="331">
        <f ca="1"/>
        <v>132835.29257138364</v>
      </c>
      <c r="E250" s="331">
        <f ca="1"/>
        <v>136272.23966445425</v>
      </c>
      <c r="F250" s="335">
        <f ca="1"/>
        <v>139637.62755376258</v>
      </c>
      <c r="G250" s="331">
        <f ca="1"/>
        <v>142970.28621915795</v>
      </c>
      <c r="H250" s="331">
        <f ca="1"/>
        <v>146278.73441363027</v>
      </c>
      <c r="I250" s="331">
        <f ca="1"/>
        <v>149553.09732401356</v>
      </c>
      <c r="J250" s="331">
        <f ca="1"/>
        <v>152769.26694295908</v>
      </c>
      <c r="K250" s="331">
        <f ca="1"/>
        <v>155893.2610606112</v>
      </c>
      <c r="L250" s="331">
        <f ca="1"/>
        <v>158900.87347735377</v>
      </c>
      <c r="M250" s="331">
        <f ca="1"/>
        <v>161770.93116758385</v>
      </c>
      <c r="N250" s="331">
        <f ca="1"/>
        <v>164485.10186178965</v>
      </c>
      <c r="O250" s="331">
        <f ca="1"/>
        <v>167024.22547200348</v>
      </c>
      <c r="P250" s="331">
        <f ca="1"/>
        <v>169370.54664480968</v>
      </c>
      <c r="Q250" s="331">
        <f ca="1"/>
        <v>171512.79181093635</v>
      </c>
      <c r="R250" s="331">
        <f ca="1"/>
        <v>173440.92001876861</v>
      </c>
      <c r="S250" s="331">
        <f ca="1"/>
        <v>175145.20677007089</v>
      </c>
      <c r="T250" s="331">
        <f ca="1"/>
        <v>176617.24924402448</v>
      </c>
      <c r="U250" s="331">
        <f ca="1"/>
        <v>177854.27338679635</v>
      </c>
      <c r="V250" s="331">
        <f ca="1"/>
        <v>178855.19774322776</v>
      </c>
      <c r="W250" s="331">
        <f ca="1"/>
        <v>179617.92275078586</v>
      </c>
      <c r="X250" s="331">
        <f ca="1"/>
        <v>180142.3007722841</v>
      </c>
      <c r="Y250" s="331">
        <f ca="1"/>
        <v>180427.10895003864</v>
      </c>
      <c r="Z250" s="331">
        <f ca="1"/>
        <v>180473.62226474867</v>
      </c>
      <c r="AA250" s="331">
        <f ca="1"/>
        <v>180284.90597391865</v>
      </c>
      <c r="AB250" s="331">
        <f ca="1"/>
        <v>179862.45678222514</v>
      </c>
      <c r="AC250" s="331">
        <f ca="1"/>
        <v>179207.76975608352</v>
      </c>
      <c r="AD250" s="331">
        <f ca="1"/>
        <v>178324.28591364113</v>
      </c>
      <c r="AE250" s="331">
        <f ca="1"/>
        <v>177216.33060123509</v>
      </c>
      <c r="AF250" s="331">
        <f ca="1"/>
        <v>175886.80841245106</v>
      </c>
      <c r="AG250" s="334">
        <f ca="1"/>
        <v>174338.82516967083</v>
      </c>
      <c r="AH250" s="313">
        <f ca="1"/>
        <v>172576.06764744059</v>
      </c>
    </row>
    <row r="251" spans="2:37">
      <c r="B251" s="329">
        <v>1</v>
      </c>
      <c r="C251" s="332" t="str">
        <v>Veículos Comerciais com 4 Eixos</v>
      </c>
      <c r="D251" s="331">
        <f ca="1"/>
        <v>69649.171239301329</v>
      </c>
      <c r="E251" s="331">
        <f ca="1"/>
        <v>71451.256453191716</v>
      </c>
      <c r="F251" s="335">
        <f ca="1"/>
        <v>73215.82122247653</v>
      </c>
      <c r="G251" s="331">
        <f ca="1"/>
        <v>74963.225165924232</v>
      </c>
      <c r="H251" s="331">
        <f ca="1"/>
        <v>76697.93489834966</v>
      </c>
      <c r="I251" s="331">
        <f ca="1"/>
        <v>78414.772785557609</v>
      </c>
      <c r="J251" s="331">
        <f ca="1"/>
        <v>80101.09834097579</v>
      </c>
      <c r="K251" s="331">
        <f ca="1"/>
        <v>81739.093764021934</v>
      </c>
      <c r="L251" s="331">
        <f ca="1"/>
        <v>83316.067083236645</v>
      </c>
      <c r="M251" s="331">
        <f ca="1"/>
        <v>84820.916703122784</v>
      </c>
      <c r="N251" s="331">
        <f ca="1"/>
        <v>86244.030514174505</v>
      </c>
      <c r="O251" s="331">
        <f ca="1"/>
        <v>87575.362359064326</v>
      </c>
      <c r="P251" s="331">
        <f ca="1"/>
        <v>88805.60262114949</v>
      </c>
      <c r="Q251" s="331">
        <f ca="1"/>
        <v>89928.840260212441</v>
      </c>
      <c r="R251" s="331">
        <f ca="1"/>
        <v>90939.810531132491</v>
      </c>
      <c r="S251" s="331">
        <f ca="1"/>
        <v>91833.414613937042</v>
      </c>
      <c r="T251" s="331">
        <f ca="1"/>
        <v>92605.246680214332</v>
      </c>
      <c r="U251" s="331">
        <f ca="1"/>
        <v>93253.852217788386</v>
      </c>
      <c r="V251" s="331">
        <f ca="1"/>
        <v>93778.664190188079</v>
      </c>
      <c r="W251" s="331">
        <f ca="1"/>
        <v>94178.581739444533</v>
      </c>
      <c r="X251" s="331">
        <f ca="1"/>
        <v>94453.527455349278</v>
      </c>
      <c r="Y251" s="331">
        <f ca="1"/>
        <v>94602.860160226031</v>
      </c>
      <c r="Z251" s="331">
        <f ca="1"/>
        <v>94627.24836127134</v>
      </c>
      <c r="AA251" s="331">
        <f ca="1"/>
        <v>94528.299256698112</v>
      </c>
      <c r="AB251" s="331">
        <f ca="1"/>
        <v>94306.797609638787</v>
      </c>
      <c r="AC251" s="331">
        <f ca="1"/>
        <v>93963.527324240946</v>
      </c>
      <c r="AD251" s="331">
        <f ca="1"/>
        <v>93500.292620283319</v>
      </c>
      <c r="AE251" s="331">
        <f ca="1"/>
        <v>92919.36139496314</v>
      </c>
      <c r="AF251" s="331">
        <f ca="1"/>
        <v>92222.256606013267</v>
      </c>
      <c r="AG251" s="334">
        <f ca="1"/>
        <v>91410.60672091943</v>
      </c>
      <c r="AH251" s="313">
        <f ca="1"/>
        <v>90486.344816251236</v>
      </c>
    </row>
    <row r="252" spans="2:37">
      <c r="B252" s="329">
        <v>1</v>
      </c>
      <c r="C252" s="332" t="str">
        <v>Veículos Comerciais com 5 Eixos Articulado</v>
      </c>
      <c r="D252" s="331">
        <f ca="1"/>
        <v>18871.620990370862</v>
      </c>
      <c r="E252" s="331">
        <f ca="1"/>
        <v>19594.044974980341</v>
      </c>
      <c r="F252" s="335">
        <f ca="1"/>
        <v>20319.051298729406</v>
      </c>
      <c r="G252" s="331">
        <f ca="1"/>
        <v>21059.983825875181</v>
      </c>
      <c r="H252" s="331">
        <f ca="1"/>
        <v>21821.326922260858</v>
      </c>
      <c r="I252" s="331">
        <f ca="1"/>
        <v>22601.831120067091</v>
      </c>
      <c r="J252" s="331">
        <f ca="1"/>
        <v>23396.035376373504</v>
      </c>
      <c r="K252" s="331">
        <f ca="1"/>
        <v>24195.117512406487</v>
      </c>
      <c r="L252" s="331">
        <f ca="1"/>
        <v>24992.28857420546</v>
      </c>
      <c r="M252" s="331">
        <f ca="1"/>
        <v>25781.361106007585</v>
      </c>
      <c r="N252" s="331">
        <f ca="1"/>
        <v>26556.607077884204</v>
      </c>
      <c r="O252" s="331">
        <f ca="1"/>
        <v>27311.958826249473</v>
      </c>
      <c r="P252" s="331">
        <f ca="1"/>
        <v>28041.527511647499</v>
      </c>
      <c r="Q252" s="331">
        <f ca="1"/>
        <v>28740.786647952522</v>
      </c>
      <c r="R252" s="331">
        <f ca="1"/>
        <v>29405.382542267886</v>
      </c>
      <c r="S252" s="331">
        <f ca="1"/>
        <v>30030.906901363345</v>
      </c>
      <c r="T252" s="331">
        <f ca="1"/>
        <v>30613.24469297647</v>
      </c>
      <c r="U252" s="331">
        <f ca="1"/>
        <v>31149.63821032452</v>
      </c>
      <c r="V252" s="331">
        <f ca="1"/>
        <v>31637.84677746056</v>
      </c>
      <c r="W252" s="331">
        <f ca="1"/>
        <v>32075.478902671977</v>
      </c>
      <c r="X252" s="331">
        <f ca="1"/>
        <v>32460.654754641298</v>
      </c>
      <c r="Y252" s="331">
        <f ca="1"/>
        <v>32791.355765050575</v>
      </c>
      <c r="Z252" s="331">
        <f ca="1"/>
        <v>33066.264608366313</v>
      </c>
      <c r="AA252" s="331">
        <f ca="1"/>
        <v>33284.625582581488</v>
      </c>
      <c r="AB252" s="331">
        <f ca="1"/>
        <v>33445.456104978468</v>
      </c>
      <c r="AC252" s="331">
        <f ca="1"/>
        <v>33547.880033797643</v>
      </c>
      <c r="AD252" s="331">
        <f ca="1"/>
        <v>33591.587495142849</v>
      </c>
      <c r="AE252" s="331">
        <f ca="1"/>
        <v>33576.552353214451</v>
      </c>
      <c r="AF252" s="331">
        <f ca="1"/>
        <v>33502.478807327403</v>
      </c>
      <c r="AG252" s="334">
        <f ca="1"/>
        <v>33369.217332837019</v>
      </c>
      <c r="AH252" s="313">
        <f ca="1"/>
        <v>33176.878962968338</v>
      </c>
    </row>
    <row r="253" spans="2:37">
      <c r="B253" s="329">
        <v>1</v>
      </c>
      <c r="C253" s="332" t="str">
        <v>Veículos Comerciais com 6 Eixos Articulado</v>
      </c>
      <c r="D253" s="331">
        <f ca="1"/>
        <v>492171.87542887218</v>
      </c>
      <c r="E253" s="331">
        <f ca="1"/>
        <v>511012.69294748729</v>
      </c>
      <c r="F253" s="335">
        <f ca="1"/>
        <v>529920.85787086294</v>
      </c>
      <c r="G253" s="331">
        <f ca="1"/>
        <v>549244.37817882479</v>
      </c>
      <c r="H253" s="331">
        <f ca="1"/>
        <v>569100.2061325633</v>
      </c>
      <c r="I253" s="331">
        <f ca="1"/>
        <v>589455.75561134971</v>
      </c>
      <c r="J253" s="331">
        <f ca="1"/>
        <v>610168.60261582106</v>
      </c>
      <c r="K253" s="331">
        <f ca="1"/>
        <v>631008.66472356115</v>
      </c>
      <c r="L253" s="331">
        <f ca="1"/>
        <v>651798.8860152784</v>
      </c>
      <c r="M253" s="331">
        <f ca="1"/>
        <v>672377.8976446779</v>
      </c>
      <c r="N253" s="331">
        <f ca="1"/>
        <v>692596.31259122014</v>
      </c>
      <c r="O253" s="331">
        <f ca="1"/>
        <v>712295.88618858624</v>
      </c>
      <c r="P253" s="331">
        <f ca="1"/>
        <v>731323.03750376683</v>
      </c>
      <c r="Q253" s="331">
        <f ca="1"/>
        <v>749559.71577860182</v>
      </c>
      <c r="R253" s="331">
        <f ca="1"/>
        <v>766892.37670234626</v>
      </c>
      <c r="S253" s="331">
        <f ca="1"/>
        <v>783206.05198755604</v>
      </c>
      <c r="T253" s="331">
        <f ca="1"/>
        <v>798393.42159282637</v>
      </c>
      <c r="U253" s="331">
        <f ca="1"/>
        <v>812382.56452526338</v>
      </c>
      <c r="V253" s="331">
        <f ca="1"/>
        <v>825115.04395617149</v>
      </c>
      <c r="W253" s="331">
        <f ca="1"/>
        <v>836528.48978168517</v>
      </c>
      <c r="X253" s="331">
        <f ca="1"/>
        <v>846573.87600104511</v>
      </c>
      <c r="Y253" s="331">
        <f ca="1"/>
        <v>855198.55835251929</v>
      </c>
      <c r="Z253" s="331">
        <f ca="1"/>
        <v>862368.18098619359</v>
      </c>
      <c r="AA253" s="331">
        <f ca="1"/>
        <v>868063.03519372514</v>
      </c>
      <c r="AB253" s="331">
        <f ca="1"/>
        <v>872257.49521783856</v>
      </c>
      <c r="AC253" s="331">
        <f ca="1"/>
        <v>874928.71128144267</v>
      </c>
      <c r="AD253" s="331">
        <f ca="1"/>
        <v>876068.60187332565</v>
      </c>
      <c r="AE253" s="331">
        <f ca="1"/>
        <v>875676.48537183285</v>
      </c>
      <c r="AF253" s="331">
        <f ca="1"/>
        <v>873744.64729509852</v>
      </c>
      <c r="AG253" s="334">
        <f ca="1"/>
        <v>870269.18804038933</v>
      </c>
      <c r="AH253" s="313">
        <f ca="1"/>
        <v>865253.00335421436</v>
      </c>
    </row>
    <row r="254" spans="2:37">
      <c r="B254" s="329">
        <v>1</v>
      </c>
      <c r="C254" s="332" t="str">
        <v>Veículos Comerciais com 7 Eixos Articulado</v>
      </c>
      <c r="D254" s="331">
        <f ca="1"/>
        <v>29062.296325171126</v>
      </c>
      <c r="E254" s="331">
        <f ca="1"/>
        <v>30174.829261469717</v>
      </c>
      <c r="F254" s="335">
        <f ca="1"/>
        <v>31291.339000043281</v>
      </c>
      <c r="G254" s="331">
        <f ca="1"/>
        <v>32432.375091847774</v>
      </c>
      <c r="H254" s="331">
        <f ca="1"/>
        <v>33604.843460281721</v>
      </c>
      <c r="I254" s="331">
        <f ca="1"/>
        <v>34806.819924903313</v>
      </c>
      <c r="J254" s="331">
        <f ca="1"/>
        <v>36029.894479615199</v>
      </c>
      <c r="K254" s="331">
        <f ca="1"/>
        <v>37260.480969105993</v>
      </c>
      <c r="L254" s="331">
        <f ca="1"/>
        <v>38488.124404276416</v>
      </c>
      <c r="M254" s="331">
        <f ca="1"/>
        <v>39703.296103251683</v>
      </c>
      <c r="N254" s="331">
        <f ca="1"/>
        <v>40897.174899941674</v>
      </c>
      <c r="O254" s="331">
        <f ca="1"/>
        <v>42060.416592424175</v>
      </c>
      <c r="P254" s="331">
        <f ca="1"/>
        <v>43183.952367937141</v>
      </c>
      <c r="Q254" s="331">
        <f ca="1"/>
        <v>44260.811437846889</v>
      </c>
      <c r="R254" s="331">
        <f ca="1"/>
        <v>45284.289115092535</v>
      </c>
      <c r="S254" s="331">
        <f ca="1"/>
        <v>46247.596628099549</v>
      </c>
      <c r="T254" s="331">
        <f ca="1"/>
        <v>47144.396827183758</v>
      </c>
      <c r="U254" s="331">
        <f ca="1"/>
        <v>47970.442843899749</v>
      </c>
      <c r="V254" s="331">
        <f ca="1"/>
        <v>48722.284037289261</v>
      </c>
      <c r="W254" s="331">
        <f ca="1"/>
        <v>49396.23751011485</v>
      </c>
      <c r="X254" s="331">
        <f ca="1"/>
        <v>49989.40832214761</v>
      </c>
      <c r="Y254" s="331">
        <f ca="1"/>
        <v>50498.687878177909</v>
      </c>
      <c r="Z254" s="331">
        <f ca="1"/>
        <v>50922.04749688413</v>
      </c>
      <c r="AA254" s="331">
        <f ca="1"/>
        <v>51258.323397175503</v>
      </c>
      <c r="AB254" s="331">
        <f ca="1"/>
        <v>51506.002401666854</v>
      </c>
      <c r="AC254" s="331">
        <f ca="1"/>
        <v>51663.735252048398</v>
      </c>
      <c r="AD254" s="331">
        <f ca="1"/>
        <v>51731.044742520018</v>
      </c>
      <c r="AE254" s="331">
        <f ca="1"/>
        <v>51707.890623950283</v>
      </c>
      <c r="AF254" s="331">
        <f ca="1"/>
        <v>51593.81736328423</v>
      </c>
      <c r="AG254" s="334">
        <f ca="1"/>
        <v>51388.594692569037</v>
      </c>
      <c r="AH254" s="313">
        <f ca="1"/>
        <v>51092.393602971271</v>
      </c>
    </row>
    <row r="255" spans="2:37">
      <c r="B255" s="329">
        <v>1</v>
      </c>
      <c r="C255" s="332" t="str">
        <v>Veículos Comerciais com 8 Eixos Articulado</v>
      </c>
      <c r="D255" s="331">
        <f ca="1"/>
        <v>0</v>
      </c>
      <c r="E255" s="331">
        <f ca="1"/>
        <v>0</v>
      </c>
      <c r="F255" s="335">
        <f ca="1"/>
        <v>0</v>
      </c>
      <c r="G255" s="331">
        <f ca="1"/>
        <v>0</v>
      </c>
      <c r="H255" s="331">
        <f ca="1"/>
        <v>0</v>
      </c>
      <c r="I255" s="331">
        <f ca="1"/>
        <v>0</v>
      </c>
      <c r="J255" s="331">
        <f ca="1"/>
        <v>0</v>
      </c>
      <c r="K255" s="331">
        <f ca="1"/>
        <v>0</v>
      </c>
      <c r="L255" s="331">
        <f ca="1"/>
        <v>0</v>
      </c>
      <c r="M255" s="331">
        <f ca="1"/>
        <v>0</v>
      </c>
      <c r="N255" s="331">
        <f ca="1"/>
        <v>0</v>
      </c>
      <c r="O255" s="331">
        <f ca="1"/>
        <v>0</v>
      </c>
      <c r="P255" s="331">
        <f ca="1"/>
        <v>0</v>
      </c>
      <c r="Q255" s="331">
        <f ca="1"/>
        <v>0</v>
      </c>
      <c r="R255" s="331">
        <f ca="1"/>
        <v>0</v>
      </c>
      <c r="S255" s="331">
        <f ca="1"/>
        <v>0</v>
      </c>
      <c r="T255" s="331">
        <f ca="1"/>
        <v>0</v>
      </c>
      <c r="U255" s="331">
        <f ca="1"/>
        <v>0</v>
      </c>
      <c r="V255" s="331">
        <f ca="1"/>
        <v>0</v>
      </c>
      <c r="W255" s="331">
        <f ca="1"/>
        <v>0</v>
      </c>
      <c r="X255" s="331">
        <f ca="1"/>
        <v>0</v>
      </c>
      <c r="Y255" s="331">
        <f ca="1"/>
        <v>0</v>
      </c>
      <c r="Z255" s="331">
        <f ca="1"/>
        <v>0</v>
      </c>
      <c r="AA255" s="331">
        <f ca="1"/>
        <v>0</v>
      </c>
      <c r="AB255" s="331">
        <f ca="1"/>
        <v>0</v>
      </c>
      <c r="AC255" s="331">
        <f ca="1"/>
        <v>0</v>
      </c>
      <c r="AD255" s="331">
        <f ca="1"/>
        <v>0</v>
      </c>
      <c r="AE255" s="331">
        <f ca="1"/>
        <v>0</v>
      </c>
      <c r="AF255" s="331">
        <f ca="1"/>
        <v>0</v>
      </c>
      <c r="AG255" s="334">
        <f ca="1"/>
        <v>0</v>
      </c>
      <c r="AH255" s="313">
        <f ca="1"/>
        <v>0</v>
      </c>
    </row>
    <row r="256" spans="2:37">
      <c r="B256" s="329">
        <v>1</v>
      </c>
      <c r="C256" s="332" t="str">
        <v>Veículos Comerciais com 9 Eixos Articulado</v>
      </c>
      <c r="D256" s="331">
        <f ca="1"/>
        <v>7171.215976340929</v>
      </c>
      <c r="E256" s="331">
        <f ca="1"/>
        <v>7445.7370904925301</v>
      </c>
      <c r="F256" s="335">
        <f ca="1"/>
        <v>7721.239493517176</v>
      </c>
      <c r="G256" s="331">
        <f ca="1"/>
        <v>8002.7938538325716</v>
      </c>
      <c r="H256" s="331">
        <f ca="1"/>
        <v>8292.1042304591283</v>
      </c>
      <c r="I256" s="331">
        <f ca="1"/>
        <v>8588.6958256254948</v>
      </c>
      <c r="J256" s="331">
        <f ca="1"/>
        <v>8890.4934430219328</v>
      </c>
      <c r="K256" s="331">
        <f ca="1"/>
        <v>9194.144654714466</v>
      </c>
      <c r="L256" s="331">
        <f ca="1"/>
        <v>9497.0696581980774</v>
      </c>
      <c r="M256" s="331">
        <f ca="1"/>
        <v>9796.9172202828831</v>
      </c>
      <c r="N256" s="331">
        <f ca="1"/>
        <v>10091.510689596</v>
      </c>
      <c r="O256" s="331">
        <f ca="1"/>
        <v>10378.544353974799</v>
      </c>
      <c r="P256" s="331">
        <f ca="1"/>
        <v>10655.780454426049</v>
      </c>
      <c r="Q256" s="331">
        <f ca="1"/>
        <v>10921.498926221959</v>
      </c>
      <c r="R256" s="331">
        <f ca="1"/>
        <v>11174.045366061793</v>
      </c>
      <c r="S256" s="331">
        <f ca="1"/>
        <v>11411.74462251807</v>
      </c>
      <c r="T256" s="331">
        <f ca="1"/>
        <v>11633.032983331057</v>
      </c>
      <c r="U256" s="331">
        <f ca="1"/>
        <v>11836.862519923316</v>
      </c>
      <c r="V256" s="331">
        <f ca="1"/>
        <v>12022.381775435015</v>
      </c>
      <c r="W256" s="331">
        <f ca="1"/>
        <v>12188.681983015353</v>
      </c>
      <c r="X256" s="331">
        <f ca="1"/>
        <v>12335.048806763694</v>
      </c>
      <c r="Y256" s="331">
        <f ca="1"/>
        <v>12460.715190719224</v>
      </c>
      <c r="Z256" s="331">
        <f ca="1"/>
        <v>12565.180551179199</v>
      </c>
      <c r="AA256" s="331">
        <f ca="1"/>
        <v>12648.157721380965</v>
      </c>
      <c r="AB256" s="331">
        <f ca="1"/>
        <v>12709.273319891819</v>
      </c>
      <c r="AC256" s="331">
        <f ca="1"/>
        <v>12748.194412843106</v>
      </c>
      <c r="AD256" s="331">
        <f ca="1"/>
        <v>12764.803248154285</v>
      </c>
      <c r="AE256" s="331">
        <f ca="1"/>
        <v>12759.089894221494</v>
      </c>
      <c r="AF256" s="331">
        <f ca="1"/>
        <v>12730.941946784413</v>
      </c>
      <c r="AG256" s="334">
        <f ca="1"/>
        <v>12680.30258647807</v>
      </c>
      <c r="AH256" s="313">
        <f ca="1"/>
        <v>12607.214005927968</v>
      </c>
    </row>
    <row r="257" spans="2:34">
      <c r="B257" s="329">
        <v>1</v>
      </c>
      <c r="C257" s="332" t="str">
        <v>Motocicleta</v>
      </c>
      <c r="D257" s="331">
        <f ca="1"/>
        <v>165280.64697172065</v>
      </c>
      <c r="E257" s="331">
        <f ca="1"/>
        <v>172294.2606865406</v>
      </c>
      <c r="F257" s="335">
        <f ca="1"/>
        <v>179420.70648321178</v>
      </c>
      <c r="G257" s="331">
        <f ca="1"/>
        <v>186827.390185811</v>
      </c>
      <c r="H257" s="331">
        <f ca="1"/>
        <v>194580.38023567546</v>
      </c>
      <c r="I257" s="331">
        <f ca="1"/>
        <v>202678.97948781669</v>
      </c>
      <c r="J257" s="331">
        <f ca="1"/>
        <v>211074.74134379736</v>
      </c>
      <c r="K257" s="331">
        <f ca="1"/>
        <v>219678.95954491996</v>
      </c>
      <c r="L257" s="331">
        <f ca="1"/>
        <v>228422.51365375414</v>
      </c>
      <c r="M257" s="331">
        <f ca="1"/>
        <v>237241.83834371684</v>
      </c>
      <c r="N257" s="331">
        <f ca="1"/>
        <v>246076.61614552539</v>
      </c>
      <c r="O257" s="331">
        <f ca="1"/>
        <v>254861.86342239109</v>
      </c>
      <c r="P257" s="331">
        <f ca="1"/>
        <v>263533.02548257157</v>
      </c>
      <c r="Q257" s="331">
        <f ca="1"/>
        <v>272037.72792649193</v>
      </c>
      <c r="R257" s="331">
        <f ca="1"/>
        <v>280323.8058293045</v>
      </c>
      <c r="S257" s="331">
        <f ca="1"/>
        <v>288336.77832520113</v>
      </c>
      <c r="T257" s="331">
        <f ca="1"/>
        <v>296024.08941552968</v>
      </c>
      <c r="U257" s="331">
        <f ca="1"/>
        <v>303346.17192320665</v>
      </c>
      <c r="V257" s="331">
        <f ca="1"/>
        <v>310268.57298061403</v>
      </c>
      <c r="W257" s="331">
        <f ca="1"/>
        <v>316755.00673336041</v>
      </c>
      <c r="X257" s="331">
        <f ca="1"/>
        <v>322773.76347752236</v>
      </c>
      <c r="Y257" s="331">
        <f ca="1"/>
        <v>328291.66345117916</v>
      </c>
      <c r="Z257" s="331">
        <f ca="1"/>
        <v>333282.55468985444</v>
      </c>
      <c r="AA257" s="331">
        <f ca="1"/>
        <v>337726.17367573146</v>
      </c>
      <c r="AB257" s="331">
        <f ca="1"/>
        <v>341600.27695775731</v>
      </c>
      <c r="AC257" s="331">
        <f ca="1"/>
        <v>344883.74430154578</v>
      </c>
      <c r="AD257" s="331">
        <f ca="1"/>
        <v>347561.26806783257</v>
      </c>
      <c r="AE257" s="331">
        <f ca="1"/>
        <v>349620.25757112156</v>
      </c>
      <c r="AF257" s="331">
        <f ca="1"/>
        <v>351045.16979082982</v>
      </c>
      <c r="AG257" s="334">
        <f ca="1"/>
        <v>351822.03406554705</v>
      </c>
      <c r="AH257" s="313">
        <f ca="1"/>
        <v>351939.87895659637</v>
      </c>
    </row>
    <row r="258" spans="2:34">
      <c r="B258" s="329">
        <v>1</v>
      </c>
      <c r="C258" s="332" t="str">
        <v xml:space="preserve">Veículos do transporte público coletivo intermunicipal e metropolitano </v>
      </c>
      <c r="D258" s="331">
        <f ca="1"/>
        <v>14810.678134581807</v>
      </c>
      <c r="E258" s="331">
        <f ca="1"/>
        <v>15193.885911488687</v>
      </c>
      <c r="F258" s="335">
        <f ca="1"/>
        <v>15569.115083357905</v>
      </c>
      <c r="G258" s="331">
        <f ca="1"/>
        <v>15940.695059357664</v>
      </c>
      <c r="H258" s="331">
        <f ca="1"/>
        <v>16309.575651139667</v>
      </c>
      <c r="I258" s="331">
        <f ca="1"/>
        <v>16674.655851007778</v>
      </c>
      <c r="J258" s="331">
        <f ca="1"/>
        <v>17033.247699080264</v>
      </c>
      <c r="K258" s="331">
        <f ca="1"/>
        <v>17381.562295865671</v>
      </c>
      <c r="L258" s="331">
        <f ca="1"/>
        <v>17716.900733382256</v>
      </c>
      <c r="M258" s="331">
        <f ca="1"/>
        <v>18036.902292115879</v>
      </c>
      <c r="N258" s="331">
        <f ca="1"/>
        <v>18339.522987083627</v>
      </c>
      <c r="O258" s="331">
        <f ca="1"/>
        <v>18622.626534392679</v>
      </c>
      <c r="P258" s="331">
        <f ca="1"/>
        <v>18884.23327322011</v>
      </c>
      <c r="Q258" s="331">
        <f ca="1"/>
        <v>19123.086239376036</v>
      </c>
      <c r="R258" s="331">
        <f ca="1"/>
        <v>19338.065901298829</v>
      </c>
      <c r="S258" s="331">
        <f ca="1"/>
        <v>19528.088010889966</v>
      </c>
      <c r="T258" s="331">
        <f ca="1"/>
        <v>19692.215682535996</v>
      </c>
      <c r="U258" s="331">
        <f ca="1"/>
        <v>19830.139618777983</v>
      </c>
      <c r="V258" s="331">
        <f ca="1"/>
        <v>19941.739241086208</v>
      </c>
      <c r="W258" s="331">
        <f ca="1"/>
        <v>20026.780455461289</v>
      </c>
      <c r="X258" s="331">
        <f ca="1"/>
        <v>20085.246800864828</v>
      </c>
      <c r="Y258" s="331">
        <f ca="1"/>
        <v>20117.00193287203</v>
      </c>
      <c r="Z258" s="331">
        <f ca="1"/>
        <v>20122.188007444587</v>
      </c>
      <c r="AA258" s="331">
        <f ca="1"/>
        <v>20101.146790248986</v>
      </c>
      <c r="AB258" s="331">
        <f ca="1"/>
        <v>20054.04515870762</v>
      </c>
      <c r="AC258" s="331">
        <f ca="1"/>
        <v>19981.049807582396</v>
      </c>
      <c r="AD258" s="331">
        <f ca="1"/>
        <v>19882.544398558763</v>
      </c>
      <c r="AE258" s="331">
        <f ca="1"/>
        <v>19759.011192873026</v>
      </c>
      <c r="AF258" s="331">
        <f ca="1"/>
        <v>19610.774042717447</v>
      </c>
      <c r="AG258" s="334">
        <f ca="1"/>
        <v>19438.179236602769</v>
      </c>
      <c r="AH258" s="313">
        <f ca="1"/>
        <v>19241.637837207458</v>
      </c>
    </row>
    <row r="259" spans="2:34">
      <c r="B259" s="329">
        <v>2</v>
      </c>
      <c r="C259" s="332" t="str">
        <v>Automóvel</v>
      </c>
      <c r="D259" s="331">
        <f ca="1"/>
        <v>3884659.2569584292</v>
      </c>
      <c r="E259" s="331">
        <f ca="1"/>
        <v>4049503.1146102427</v>
      </c>
      <c r="F259" s="335">
        <f ca="1"/>
        <v>4216998.9112475086</v>
      </c>
      <c r="G259" s="331">
        <f ca="1"/>
        <v>4391081.2550417474</v>
      </c>
      <c r="H259" s="331">
        <f ca="1"/>
        <v>4573302.9798360942</v>
      </c>
      <c r="I259" s="331">
        <f ca="1"/>
        <v>4763647.700344176</v>
      </c>
      <c r="J259" s="331">
        <f ca="1"/>
        <v>4960976.7561690481</v>
      </c>
      <c r="K259" s="331">
        <f ca="1"/>
        <v>5163205.2475035489</v>
      </c>
      <c r="L259" s="331">
        <f ca="1"/>
        <v>5368708.6081808032</v>
      </c>
      <c r="M259" s="331">
        <f ca="1"/>
        <v>5575992.8360967766</v>
      </c>
      <c r="N259" s="331">
        <f ca="1"/>
        <v>5783640.2648779498</v>
      </c>
      <c r="O259" s="331">
        <f ca="1"/>
        <v>5990123.5572901843</v>
      </c>
      <c r="P259" s="331">
        <f ca="1"/>
        <v>6193925.4577717949</v>
      </c>
      <c r="Q259" s="331">
        <f ca="1"/>
        <v>6393814.9891947024</v>
      </c>
      <c r="R259" s="331">
        <f ca="1"/>
        <v>6588566.0978017915</v>
      </c>
      <c r="S259" s="331">
        <f ca="1"/>
        <v>6776898.2973197671</v>
      </c>
      <c r="T259" s="331">
        <f ca="1"/>
        <v>6957576.3424224919</v>
      </c>
      <c r="U259" s="331">
        <f ca="1"/>
        <v>7129670.2694176296</v>
      </c>
      <c r="V259" s="331">
        <f ca="1"/>
        <v>7292370.3183388906</v>
      </c>
      <c r="W259" s="331">
        <f ca="1"/>
        <v>7444823.6477753669</v>
      </c>
      <c r="X259" s="331">
        <f ca="1"/>
        <v>7586284.9714691816</v>
      </c>
      <c r="Y259" s="331">
        <f ca="1"/>
        <v>7715974.4517826512</v>
      </c>
      <c r="Z259" s="331">
        <f ca="1"/>
        <v>7833277.4283017954</v>
      </c>
      <c r="AA259" s="331">
        <f ca="1"/>
        <v>7937717.6392046306</v>
      </c>
      <c r="AB259" s="331">
        <f ca="1"/>
        <v>8028772.2874812037</v>
      </c>
      <c r="AC259" s="331">
        <f ca="1"/>
        <v>8105944.9755464373</v>
      </c>
      <c r="AD259" s="331">
        <f ca="1"/>
        <v>8168875.921637251</v>
      </c>
      <c r="AE259" s="331">
        <f ca="1"/>
        <v>8217269.2016762663</v>
      </c>
      <c r="AF259" s="331">
        <f ca="1"/>
        <v>8250759.5016361251</v>
      </c>
      <c r="AG259" s="334">
        <f ca="1"/>
        <v>8269018.4632960288</v>
      </c>
      <c r="AH259" s="313">
        <f ca="1"/>
        <v>8271788.2204048466</v>
      </c>
    </row>
    <row r="260" spans="2:34">
      <c r="B260" s="329">
        <v>2</v>
      </c>
      <c r="C260" s="332" t="str">
        <v xml:space="preserve">Automóvel com reboque </v>
      </c>
      <c r="D260" s="331">
        <f ca="1"/>
        <v>13151.911240593397</v>
      </c>
      <c r="E260" s="331">
        <f ca="1"/>
        <v>13710.006981039662</v>
      </c>
      <c r="F260" s="335">
        <f ca="1"/>
        <v>14277.081132163694</v>
      </c>
      <c r="G260" s="331">
        <f ca="1"/>
        <v>14866.454712365139</v>
      </c>
      <c r="H260" s="331">
        <f ca="1"/>
        <v>15483.384999445077</v>
      </c>
      <c r="I260" s="331">
        <f ca="1"/>
        <v>16127.816519340577</v>
      </c>
      <c r="J260" s="331">
        <f ca="1"/>
        <v>16795.894220814665</v>
      </c>
      <c r="K260" s="331">
        <f ca="1"/>
        <v>17480.559462324905</v>
      </c>
      <c r="L260" s="331">
        <f ca="1"/>
        <v>18176.312108951395</v>
      </c>
      <c r="M260" s="331">
        <f ca="1"/>
        <v>18878.094063763136</v>
      </c>
      <c r="N260" s="331">
        <f ca="1"/>
        <v>19581.105672252495</v>
      </c>
      <c r="O260" s="331">
        <f ca="1"/>
        <v>20280.175977995983</v>
      </c>
      <c r="P260" s="331">
        <f ca="1"/>
        <v>20970.168157103359</v>
      </c>
      <c r="Q260" s="331">
        <f ca="1"/>
        <v>21646.914610602154</v>
      </c>
      <c r="R260" s="331">
        <f ca="1"/>
        <v>22306.264408095863</v>
      </c>
      <c r="S260" s="331">
        <f ca="1"/>
        <v>22943.882332337049</v>
      </c>
      <c r="T260" s="331">
        <f ca="1"/>
        <v>23555.586333932159</v>
      </c>
      <c r="U260" s="331">
        <f ca="1"/>
        <v>24138.227925683343</v>
      </c>
      <c r="V260" s="331">
        <f ca="1"/>
        <v>24689.065582401792</v>
      </c>
      <c r="W260" s="331">
        <f ca="1"/>
        <v>25205.211922261562</v>
      </c>
      <c r="X260" s="331">
        <f ca="1"/>
        <v>25684.143702408124</v>
      </c>
      <c r="Y260" s="331">
        <f ca="1"/>
        <v>26123.220702756651</v>
      </c>
      <c r="Z260" s="331">
        <f ca="1"/>
        <v>26520.361927607635</v>
      </c>
      <c r="AA260" s="331">
        <f ca="1"/>
        <v>26873.954943850309</v>
      </c>
      <c r="AB260" s="331">
        <f ca="1"/>
        <v>27182.229768735357</v>
      </c>
      <c r="AC260" s="331">
        <f ca="1"/>
        <v>27443.505797466547</v>
      </c>
      <c r="AD260" s="331">
        <f ca="1"/>
        <v>27656.564952086199</v>
      </c>
      <c r="AE260" s="331">
        <f ca="1"/>
        <v>27820.405351362973</v>
      </c>
      <c r="AF260" s="331">
        <f ca="1"/>
        <v>27933.790187292652</v>
      </c>
      <c r="AG260" s="334">
        <f ca="1"/>
        <v>27995.607769533948</v>
      </c>
      <c r="AH260" s="313">
        <f ca="1"/>
        <v>28004.985065518897</v>
      </c>
    </row>
    <row r="261" spans="2:34">
      <c r="B261" s="329">
        <v>2</v>
      </c>
      <c r="C261" s="332" t="str">
        <v>Veículos Comerciais com 2 Eixos</v>
      </c>
      <c r="D261" s="331">
        <f ca="1"/>
        <v>383357.87491010339</v>
      </c>
      <c r="E261" s="331">
        <f ca="1"/>
        <v>393276.78055838926</v>
      </c>
      <c r="F261" s="335">
        <f ca="1"/>
        <v>402989.16891933727</v>
      </c>
      <c r="G261" s="331">
        <f ca="1"/>
        <v>412607.10191767919</v>
      </c>
      <c r="H261" s="331">
        <f ca="1"/>
        <v>422155.16436803661</v>
      </c>
      <c r="I261" s="331">
        <f ca="1"/>
        <v>431604.85791491123</v>
      </c>
      <c r="J261" s="331">
        <f ca="1"/>
        <v>440886.60771650716</v>
      </c>
      <c r="K261" s="331">
        <f ca="1"/>
        <v>449902.3423378708</v>
      </c>
      <c r="L261" s="331">
        <f ca="1"/>
        <v>458582.20355785545</v>
      </c>
      <c r="M261" s="331">
        <f ca="1"/>
        <v>466865.0867863826</v>
      </c>
      <c r="N261" s="331">
        <f ca="1"/>
        <v>474698.08575324115</v>
      </c>
      <c r="O261" s="331">
        <f ca="1"/>
        <v>482025.90513394208</v>
      </c>
      <c r="P261" s="331">
        <f ca="1"/>
        <v>488797.30361736997</v>
      </c>
      <c r="Q261" s="331">
        <f ca="1"/>
        <v>494979.74608823238</v>
      </c>
      <c r="R261" s="331">
        <f ca="1"/>
        <v>500544.25472144503</v>
      </c>
      <c r="S261" s="331">
        <f ca="1"/>
        <v>505462.76496499026</v>
      </c>
      <c r="T261" s="331">
        <f ca="1"/>
        <v>509711.0265803212</v>
      </c>
      <c r="U261" s="331">
        <f ca="1"/>
        <v>513281.03374788683</v>
      </c>
      <c r="V261" s="331">
        <f ca="1"/>
        <v>516169.66542701004</v>
      </c>
      <c r="W261" s="331">
        <f ca="1"/>
        <v>518370.86235576408</v>
      </c>
      <c r="X261" s="331">
        <f ca="1"/>
        <v>519884.19845854049</v>
      </c>
      <c r="Y261" s="331">
        <f ca="1"/>
        <v>520706.14461206231</v>
      </c>
      <c r="Z261" s="331">
        <f ca="1"/>
        <v>520840.38036475342</v>
      </c>
      <c r="AA261" s="331">
        <f ca="1"/>
        <v>520295.75193948287</v>
      </c>
      <c r="AB261" s="331">
        <f ca="1"/>
        <v>519076.57877209526</v>
      </c>
      <c r="AC261" s="331">
        <f ca="1"/>
        <v>517187.17557047249</v>
      </c>
      <c r="AD261" s="331">
        <f ca="1"/>
        <v>514637.47298917896</v>
      </c>
      <c r="AE261" s="331">
        <f ca="1"/>
        <v>511439.95382211672</v>
      </c>
      <c r="AF261" s="331">
        <f ca="1"/>
        <v>507603.0006218655</v>
      </c>
      <c r="AG261" s="334">
        <f ca="1"/>
        <v>503135.57668007101</v>
      </c>
      <c r="AH261" s="313">
        <f ca="1"/>
        <v>498048.32189542224</v>
      </c>
    </row>
    <row r="262" spans="2:34">
      <c r="B262" s="329">
        <v>2</v>
      </c>
      <c r="C262" s="332" t="str">
        <v>Veículos Comerciais com 3 Eixos</v>
      </c>
      <c r="D262" s="331">
        <f ca="1"/>
        <v>104923.35512084218</v>
      </c>
      <c r="E262" s="331">
        <f ca="1"/>
        <v>107638.1157345097</v>
      </c>
      <c r="F262" s="335">
        <f ca="1"/>
        <v>110296.35347987036</v>
      </c>
      <c r="G262" s="331">
        <f ca="1"/>
        <v>112928.73921017557</v>
      </c>
      <c r="H262" s="331">
        <f ca="1"/>
        <v>115542.00168047112</v>
      </c>
      <c r="I262" s="331">
        <f ca="1"/>
        <v>118128.34101687932</v>
      </c>
      <c r="J262" s="331">
        <f ca="1"/>
        <v>120668.71489286669</v>
      </c>
      <c r="K262" s="331">
        <f ca="1"/>
        <v>123136.28159036685</v>
      </c>
      <c r="L262" s="331">
        <f ca="1"/>
        <v>125511.92122317117</v>
      </c>
      <c r="M262" s="331">
        <f ca="1"/>
        <v>127778.90973518495</v>
      </c>
      <c r="N262" s="331">
        <f ca="1"/>
        <v>129922.76691420762</v>
      </c>
      <c r="O262" s="331">
        <f ca="1"/>
        <v>131928.3586744472</v>
      </c>
      <c r="P262" s="331">
        <f ca="1"/>
        <v>133781.66049564508</v>
      </c>
      <c r="Q262" s="331">
        <f ca="1"/>
        <v>135473.76766061876</v>
      </c>
      <c r="R262" s="331">
        <f ca="1"/>
        <v>136996.74906678521</v>
      </c>
      <c r="S262" s="331">
        <f ca="1"/>
        <v>138342.92357036105</v>
      </c>
      <c r="T262" s="331">
        <f ca="1"/>
        <v>139505.65398829267</v>
      </c>
      <c r="U262" s="331">
        <f ca="1"/>
        <v>140482.74916317145</v>
      </c>
      <c r="V262" s="331">
        <f ca="1"/>
        <v>141273.35487996554</v>
      </c>
      <c r="W262" s="331">
        <f ca="1"/>
        <v>141875.81274548016</v>
      </c>
      <c r="X262" s="331">
        <f ca="1"/>
        <v>142290.00614470543</v>
      </c>
      <c r="Y262" s="331">
        <f ca="1"/>
        <v>142514.96917220656</v>
      </c>
      <c r="Z262" s="331">
        <f ca="1"/>
        <v>142551.70890411586</v>
      </c>
      <c r="AA262" s="331">
        <f ca="1"/>
        <v>142402.64651251383</v>
      </c>
      <c r="AB262" s="331">
        <f ca="1"/>
        <v>142068.96420789024</v>
      </c>
      <c r="AC262" s="331">
        <f ca="1"/>
        <v>141551.84290671232</v>
      </c>
      <c r="AD262" s="331">
        <f ca="1"/>
        <v>140854.00058522008</v>
      </c>
      <c r="AE262" s="331">
        <f ca="1"/>
        <v>139978.85372890456</v>
      </c>
      <c r="AF262" s="331">
        <f ca="1"/>
        <v>138928.69660533845</v>
      </c>
      <c r="AG262" s="334">
        <f ca="1"/>
        <v>137705.98242780872</v>
      </c>
      <c r="AH262" s="313">
        <f ca="1"/>
        <v>136313.62328953596</v>
      </c>
    </row>
    <row r="263" spans="2:34">
      <c r="B263" s="329">
        <v>2</v>
      </c>
      <c r="C263" s="332" t="str">
        <v>Veículos Comerciais com 4 Eixos</v>
      </c>
      <c r="D263" s="331">
        <f ca="1"/>
        <v>40603.744384562458</v>
      </c>
      <c r="E263" s="331">
        <f ca="1"/>
        <v>41654.315498073658</v>
      </c>
      <c r="F263" s="335">
        <f ca="1"/>
        <v>42683.013120273303</v>
      </c>
      <c r="G263" s="331">
        <f ca="1"/>
        <v>43701.706405403027</v>
      </c>
      <c r="H263" s="331">
        <f ca="1"/>
        <v>44712.999279438976</v>
      </c>
      <c r="I263" s="331">
        <f ca="1"/>
        <v>45713.873309690011</v>
      </c>
      <c r="J263" s="331">
        <f ca="1"/>
        <v>46696.959405088055</v>
      </c>
      <c r="K263" s="331">
        <f ca="1"/>
        <v>47651.870228534004</v>
      </c>
      <c r="L263" s="331">
        <f ca="1"/>
        <v>48571.206674543828</v>
      </c>
      <c r="M263" s="331">
        <f ca="1"/>
        <v>49448.496787488977</v>
      </c>
      <c r="N263" s="331">
        <f ca="1"/>
        <v>50278.136945238308</v>
      </c>
      <c r="O263" s="331">
        <f ca="1"/>
        <v>51054.270486514833</v>
      </c>
      <c r="P263" s="331">
        <f ca="1"/>
        <v>51771.470135045842</v>
      </c>
      <c r="Q263" s="331">
        <f ca="1"/>
        <v>52426.289900566568</v>
      </c>
      <c r="R263" s="331">
        <f ca="1"/>
        <v>53015.660566870582</v>
      </c>
      <c r="S263" s="331">
        <f ca="1"/>
        <v>53536.609648009449</v>
      </c>
      <c r="T263" s="331">
        <f ca="1"/>
        <v>53986.568654976749</v>
      </c>
      <c r="U263" s="331">
        <f ca="1"/>
        <v>54364.689643144491</v>
      </c>
      <c r="V263" s="331">
        <f ca="1"/>
        <v>54670.642044272994</v>
      </c>
      <c r="W263" s="331">
        <f ca="1"/>
        <v>54903.784085391031</v>
      </c>
      <c r="X263" s="331">
        <f ca="1"/>
        <v>55064.070638261415</v>
      </c>
      <c r="Y263" s="331">
        <f ca="1"/>
        <v>55151.127912155433</v>
      </c>
      <c r="Z263" s="331">
        <f ca="1"/>
        <v>55165.345630236261</v>
      </c>
      <c r="AA263" s="331">
        <f ca="1"/>
        <v>55107.66074931543</v>
      </c>
      <c r="AB263" s="331">
        <f ca="1"/>
        <v>54978.530766891738</v>
      </c>
      <c r="AC263" s="331">
        <f ca="1"/>
        <v>54778.412679696958</v>
      </c>
      <c r="AD263" s="331">
        <f ca="1"/>
        <v>54508.358303243163</v>
      </c>
      <c r="AE263" s="331">
        <f ca="1"/>
        <v>54169.689765510419</v>
      </c>
      <c r="AF263" s="331">
        <f ca="1"/>
        <v>53763.294913193728</v>
      </c>
      <c r="AG263" s="334">
        <f ca="1"/>
        <v>53290.123102564743</v>
      </c>
      <c r="AH263" s="313">
        <f ca="1"/>
        <v>52751.30126945785</v>
      </c>
    </row>
    <row r="264" spans="2:34">
      <c r="B264" s="329">
        <v>2</v>
      </c>
      <c r="C264" s="332" t="str">
        <v>Veículos Comerciais com 5 Eixos Articulado</v>
      </c>
      <c r="D264" s="331">
        <f ca="1"/>
        <v>37494.573770847215</v>
      </c>
      <c r="E264" s="331">
        <f ca="1"/>
        <v>38929.902479419223</v>
      </c>
      <c r="F264" s="335">
        <f ca="1"/>
        <v>40370.361839217221</v>
      </c>
      <c r="G264" s="331">
        <f ca="1"/>
        <v>41842.463748876318</v>
      </c>
      <c r="H264" s="331">
        <f ca="1"/>
        <v>43355.117850340284</v>
      </c>
      <c r="I264" s="331">
        <f ca="1"/>
        <v>44905.841672000002</v>
      </c>
      <c r="J264" s="331">
        <f ca="1"/>
        <v>46483.785087268676</v>
      </c>
      <c r="K264" s="331">
        <f ca="1"/>
        <v>48071.419986980924</v>
      </c>
      <c r="L264" s="331">
        <f ca="1"/>
        <v>49655.257920132353</v>
      </c>
      <c r="M264" s="331">
        <f ca="1"/>
        <v>51223.005506272413</v>
      </c>
      <c r="N264" s="331">
        <f ca="1"/>
        <v>52763.282162841104</v>
      </c>
      <c r="O264" s="331">
        <f ca="1"/>
        <v>54264.032515260267</v>
      </c>
      <c r="P264" s="331">
        <f ca="1"/>
        <v>55713.556480875828</v>
      </c>
      <c r="Q264" s="331">
        <f ca="1"/>
        <v>57102.860732190835</v>
      </c>
      <c r="R264" s="331">
        <f ca="1"/>
        <v>58423.295251298863</v>
      </c>
      <c r="S264" s="331">
        <f ca="1"/>
        <v>59666.101539085896</v>
      </c>
      <c r="T264" s="331">
        <f ca="1"/>
        <v>60823.103754122516</v>
      </c>
      <c r="U264" s="331">
        <f ca="1"/>
        <v>61888.822820686677</v>
      </c>
      <c r="V264" s="331">
        <f ca="1"/>
        <v>62858.806911898668</v>
      </c>
      <c r="W264" s="331">
        <f ca="1"/>
        <v>63728.304556621653</v>
      </c>
      <c r="X264" s="331">
        <f ca="1"/>
        <v>64493.580862445167</v>
      </c>
      <c r="Y264" s="331">
        <f ca="1"/>
        <v>65150.625291072218</v>
      </c>
      <c r="Z264" s="331">
        <f ca="1"/>
        <v>65696.820549615164</v>
      </c>
      <c r="AA264" s="331">
        <f ca="1"/>
        <v>66130.665191819586</v>
      </c>
      <c r="AB264" s="331">
        <f ca="1"/>
        <v>66450.206999579212</v>
      </c>
      <c r="AC264" s="331">
        <f ca="1"/>
        <v>66653.705234149005</v>
      </c>
      <c r="AD264" s="331">
        <f ca="1"/>
        <v>66740.544230893414</v>
      </c>
      <c r="AE264" s="331">
        <f ca="1"/>
        <v>66710.672062600221</v>
      </c>
      <c r="AF264" s="331">
        <f ca="1"/>
        <v>66563.501025615769</v>
      </c>
      <c r="AG264" s="334">
        <f ca="1"/>
        <v>66298.734040912081</v>
      </c>
      <c r="AH264" s="313">
        <f ca="1"/>
        <v>65916.591711872854</v>
      </c>
    </row>
    <row r="265" spans="2:34">
      <c r="B265" s="329">
        <v>2</v>
      </c>
      <c r="C265" s="332" t="str">
        <v>Veículos Comerciais com 6 Eixos Articulado</v>
      </c>
      <c r="D265" s="331">
        <f ca="1"/>
        <v>346731.9990294188</v>
      </c>
      <c r="E265" s="331">
        <f ca="1"/>
        <v>360005.23678987677</v>
      </c>
      <c r="F265" s="335">
        <f ca="1"/>
        <v>373325.92037454346</v>
      </c>
      <c r="G265" s="331">
        <f ca="1"/>
        <v>386939.219222282</v>
      </c>
      <c r="H265" s="331">
        <f ca="1"/>
        <v>400927.52546750318</v>
      </c>
      <c r="I265" s="331">
        <f ca="1"/>
        <v>415267.88239255449</v>
      </c>
      <c r="J265" s="331">
        <f ca="1"/>
        <v>429859.9531832569</v>
      </c>
      <c r="K265" s="331">
        <f ca="1"/>
        <v>444541.64621623937</v>
      </c>
      <c r="L265" s="331">
        <f ca="1"/>
        <v>459188.22670696652</v>
      </c>
      <c r="M265" s="331">
        <f ca="1"/>
        <v>473686.01131542987</v>
      </c>
      <c r="N265" s="331">
        <f ca="1"/>
        <v>487929.75782270875</v>
      </c>
      <c r="O265" s="331">
        <f ca="1"/>
        <v>501807.98385399091</v>
      </c>
      <c r="P265" s="331">
        <f ca="1"/>
        <v>515212.49260532693</v>
      </c>
      <c r="Q265" s="331">
        <f ca="1"/>
        <v>528060.11805808148</v>
      </c>
      <c r="R265" s="331">
        <f ca="1"/>
        <v>540270.86895755574</v>
      </c>
      <c r="S265" s="331">
        <f ca="1"/>
        <v>551763.75086639822</v>
      </c>
      <c r="T265" s="331">
        <f ca="1"/>
        <v>562463.15748861805</v>
      </c>
      <c r="U265" s="331">
        <f ca="1"/>
        <v>572318.4209358549</v>
      </c>
      <c r="V265" s="331">
        <f ca="1"/>
        <v>581288.37282884493</v>
      </c>
      <c r="W265" s="331">
        <f ca="1"/>
        <v>589329.07382063963</v>
      </c>
      <c r="X265" s="331">
        <f ca="1"/>
        <v>596405.98540122551</v>
      </c>
      <c r="Y265" s="331">
        <f ca="1"/>
        <v>602482.02001843008</v>
      </c>
      <c r="Z265" s="331">
        <f ca="1"/>
        <v>607532.97419149056</v>
      </c>
      <c r="AA265" s="331">
        <f ca="1"/>
        <v>611544.96325900475</v>
      </c>
      <c r="AB265" s="331">
        <f ca="1"/>
        <v>614499.93403571262</v>
      </c>
      <c r="AC265" s="331">
        <f ca="1"/>
        <v>616381.78899698181</v>
      </c>
      <c r="AD265" s="331">
        <f ca="1"/>
        <v>617184.8347688556</v>
      </c>
      <c r="AE265" s="331">
        <f ca="1"/>
        <v>616908.59115315438</v>
      </c>
      <c r="AF265" s="331">
        <f ca="1"/>
        <v>615547.62334579322</v>
      </c>
      <c r="AG265" s="334">
        <f ca="1"/>
        <v>613099.18410110765</v>
      </c>
      <c r="AH265" s="313">
        <f ca="1"/>
        <v>609565.31345434894</v>
      </c>
    </row>
    <row r="266" spans="2:34">
      <c r="B266" s="329">
        <v>2</v>
      </c>
      <c r="C266" s="332" t="str">
        <v>Veículos Comerciais com 7 Eixos Articulado</v>
      </c>
      <c r="D266" s="331">
        <f ca="1"/>
        <v>12621.935724839657</v>
      </c>
      <c r="E266" s="331">
        <f ca="1"/>
        <v>13105.115686141125</v>
      </c>
      <c r="F266" s="335">
        <f ca="1"/>
        <v>13590.022797360254</v>
      </c>
      <c r="G266" s="331">
        <f ca="1"/>
        <v>14085.581856057375</v>
      </c>
      <c r="H266" s="331">
        <f ca="1"/>
        <v>14594.792147639304</v>
      </c>
      <c r="I266" s="331">
        <f ca="1"/>
        <v>15116.817988594059</v>
      </c>
      <c r="J266" s="331">
        <f ca="1"/>
        <v>15648.006861060743</v>
      </c>
      <c r="K266" s="331">
        <f ca="1"/>
        <v>16182.458213439118</v>
      </c>
      <c r="L266" s="331">
        <f ca="1"/>
        <v>16715.631379054455</v>
      </c>
      <c r="M266" s="331">
        <f ca="1"/>
        <v>17243.387992210512</v>
      </c>
      <c r="N266" s="331">
        <f ca="1"/>
        <v>17761.896965708886</v>
      </c>
      <c r="O266" s="331">
        <f ca="1"/>
        <v>18267.100054642069</v>
      </c>
      <c r="P266" s="331">
        <f ca="1"/>
        <v>18755.058617324539</v>
      </c>
      <c r="Q266" s="331">
        <f ca="1"/>
        <v>19222.745196975131</v>
      </c>
      <c r="R266" s="331">
        <f ca="1"/>
        <v>19667.247906377837</v>
      </c>
      <c r="S266" s="331">
        <f ca="1"/>
        <v>20085.618339890305</v>
      </c>
      <c r="T266" s="331">
        <f ca="1"/>
        <v>20475.104234061044</v>
      </c>
      <c r="U266" s="331">
        <f ca="1"/>
        <v>20833.861147557891</v>
      </c>
      <c r="V266" s="331">
        <f ca="1"/>
        <v>21160.390445589648</v>
      </c>
      <c r="W266" s="331">
        <f ca="1"/>
        <v>21453.092623021148</v>
      </c>
      <c r="X266" s="331">
        <f ca="1"/>
        <v>21710.710389337975</v>
      </c>
      <c r="Y266" s="331">
        <f ca="1"/>
        <v>21931.893662341139</v>
      </c>
      <c r="Z266" s="331">
        <f ca="1"/>
        <v>22115.761373137775</v>
      </c>
      <c r="AA266" s="331">
        <f ca="1"/>
        <v>22261.808084374901</v>
      </c>
      <c r="AB266" s="331">
        <f ca="1"/>
        <v>22369.376613719727</v>
      </c>
      <c r="AC266" s="331">
        <f ca="1"/>
        <v>22437.880969911541</v>
      </c>
      <c r="AD266" s="331">
        <f ca="1"/>
        <v>22467.113899508662</v>
      </c>
      <c r="AE266" s="331">
        <f ca="1"/>
        <v>22457.057922063428</v>
      </c>
      <c r="AF266" s="331">
        <f ca="1"/>
        <v>22407.515196741933</v>
      </c>
      <c r="AG266" s="334">
        <f ca="1"/>
        <v>22318.385716742672</v>
      </c>
      <c r="AH266" s="313">
        <f ca="1"/>
        <v>22189.743744590858</v>
      </c>
    </row>
    <row r="267" spans="2:34">
      <c r="B267" s="329">
        <v>2</v>
      </c>
      <c r="C267" s="332" t="str">
        <v>Veículos Comerciais com 8 Eixos Articulado</v>
      </c>
      <c r="D267" s="331">
        <f ca="1"/>
        <v>0</v>
      </c>
      <c r="E267" s="331">
        <f ca="1"/>
        <v>0</v>
      </c>
      <c r="F267" s="335">
        <f ca="1"/>
        <v>0</v>
      </c>
      <c r="G267" s="331">
        <f ca="1"/>
        <v>0</v>
      </c>
      <c r="H267" s="331">
        <f ca="1"/>
        <v>0</v>
      </c>
      <c r="I267" s="331">
        <f ca="1"/>
        <v>0</v>
      </c>
      <c r="J267" s="331">
        <f ca="1"/>
        <v>0</v>
      </c>
      <c r="K267" s="331">
        <f ca="1"/>
        <v>0</v>
      </c>
      <c r="L267" s="331">
        <f ca="1"/>
        <v>0</v>
      </c>
      <c r="M267" s="331">
        <f ca="1"/>
        <v>0</v>
      </c>
      <c r="N267" s="331">
        <f ca="1"/>
        <v>0</v>
      </c>
      <c r="O267" s="331">
        <f ca="1"/>
        <v>0</v>
      </c>
      <c r="P267" s="331">
        <f ca="1"/>
        <v>0</v>
      </c>
      <c r="Q267" s="331">
        <f ca="1"/>
        <v>0</v>
      </c>
      <c r="R267" s="331">
        <f ca="1"/>
        <v>0</v>
      </c>
      <c r="S267" s="331">
        <f ca="1"/>
        <v>0</v>
      </c>
      <c r="T267" s="331">
        <f ca="1"/>
        <v>0</v>
      </c>
      <c r="U267" s="331">
        <f ca="1"/>
        <v>0</v>
      </c>
      <c r="V267" s="331">
        <f ca="1"/>
        <v>0</v>
      </c>
      <c r="W267" s="331">
        <f ca="1"/>
        <v>0</v>
      </c>
      <c r="X267" s="331">
        <f ca="1"/>
        <v>0</v>
      </c>
      <c r="Y267" s="331">
        <f ca="1"/>
        <v>0</v>
      </c>
      <c r="Z267" s="331">
        <f ca="1"/>
        <v>0</v>
      </c>
      <c r="AA267" s="331">
        <f ca="1"/>
        <v>0</v>
      </c>
      <c r="AB267" s="331">
        <f ca="1"/>
        <v>0</v>
      </c>
      <c r="AC267" s="331">
        <f ca="1"/>
        <v>0</v>
      </c>
      <c r="AD267" s="331">
        <f ca="1"/>
        <v>0</v>
      </c>
      <c r="AE267" s="331">
        <f ca="1"/>
        <v>0</v>
      </c>
      <c r="AF267" s="331">
        <f ca="1"/>
        <v>0</v>
      </c>
      <c r="AG267" s="334">
        <f ca="1"/>
        <v>0</v>
      </c>
      <c r="AH267" s="313">
        <f ca="1"/>
        <v>0</v>
      </c>
    </row>
    <row r="268" spans="2:34">
      <c r="B268" s="329">
        <v>2</v>
      </c>
      <c r="C268" s="332" t="str">
        <v>Veículos Comerciais com 9 Eixos Articulado</v>
      </c>
      <c r="D268" s="331">
        <f ca="1"/>
        <v>7053.4346697633382</v>
      </c>
      <c r="E268" s="331">
        <f ca="1"/>
        <v>7323.4470010788655</v>
      </c>
      <c r="F268" s="335">
        <f ca="1"/>
        <v>7594.4245044072031</v>
      </c>
      <c r="G268" s="331">
        <f ca="1"/>
        <v>7871.3545666202999</v>
      </c>
      <c r="H268" s="331">
        <f ca="1"/>
        <v>8155.9132589749079</v>
      </c>
      <c r="I268" s="331">
        <f ca="1"/>
        <v>8447.6335818613879</v>
      </c>
      <c r="J268" s="331">
        <f ca="1"/>
        <v>8744.4744223574762</v>
      </c>
      <c r="K268" s="331">
        <f ca="1"/>
        <v>9043.1384133924512</v>
      </c>
      <c r="L268" s="331">
        <f ca="1"/>
        <v>9341.0881235892575</v>
      </c>
      <c r="M268" s="331">
        <f ca="1"/>
        <v>9636.0109368235226</v>
      </c>
      <c r="N268" s="331">
        <f ca="1"/>
        <v>9925.7659514255556</v>
      </c>
      <c r="O268" s="331">
        <f ca="1"/>
        <v>10208.085324652922</v>
      </c>
      <c r="P268" s="331">
        <f ca="1"/>
        <v>10480.768050857832</v>
      </c>
      <c r="Q268" s="331">
        <f ca="1"/>
        <v>10742.122315956694</v>
      </c>
      <c r="R268" s="331">
        <f ca="1"/>
        <v>10990.520888858204</v>
      </c>
      <c r="S268" s="331">
        <f ca="1"/>
        <v>11224.316131115173</v>
      </c>
      <c r="T268" s="331">
        <f ca="1"/>
        <v>11441.970013151764</v>
      </c>
      <c r="U268" s="331">
        <f ca="1"/>
        <v>11642.451817752943</v>
      </c>
      <c r="V268" s="331">
        <f ca="1"/>
        <v>11824.924072535397</v>
      </c>
      <c r="W268" s="331">
        <f ca="1"/>
        <v>11988.492936394174</v>
      </c>
      <c r="X268" s="331">
        <f ca="1"/>
        <v>12132.455805806519</v>
      </c>
      <c r="Y268" s="331">
        <f ca="1"/>
        <v>12256.058223072994</v>
      </c>
      <c r="Z268" s="331">
        <f ca="1"/>
        <v>12358.807826165232</v>
      </c>
      <c r="AA268" s="331">
        <f ca="1"/>
        <v>12440.422164797747</v>
      </c>
      <c r="AB268" s="331">
        <f ca="1"/>
        <v>12500.533990019852</v>
      </c>
      <c r="AC268" s="331">
        <f ca="1"/>
        <v>12538.815836127042</v>
      </c>
      <c r="AD268" s="331">
        <f ca="1"/>
        <v>12555.15188501955</v>
      </c>
      <c r="AE268" s="331">
        <f ca="1"/>
        <v>12549.532368211921</v>
      </c>
      <c r="AF268" s="331">
        <f ca="1"/>
        <v>12521.846727591086</v>
      </c>
      <c r="AG268" s="334">
        <f ca="1"/>
        <v>12472.039077003265</v>
      </c>
      <c r="AH268" s="313">
        <f ca="1"/>
        <v>12400.150916094895</v>
      </c>
    </row>
    <row r="269" spans="2:34">
      <c r="B269" s="329">
        <v>2</v>
      </c>
      <c r="C269" s="332" t="str">
        <v>Motocicleta</v>
      </c>
      <c r="D269" s="331">
        <f ca="1"/>
        <v>305262.78195272048</v>
      </c>
      <c r="E269" s="331">
        <f ca="1"/>
        <v>318216.47782307852</v>
      </c>
      <c r="F269" s="335">
        <f ca="1"/>
        <v>331378.56733074685</v>
      </c>
      <c r="G269" s="331">
        <f ca="1"/>
        <v>345058.23832384363</v>
      </c>
      <c r="H269" s="331">
        <f ca="1"/>
        <v>359377.51498712</v>
      </c>
      <c r="I269" s="331">
        <f ca="1"/>
        <v>374335.10973837873</v>
      </c>
      <c r="J269" s="331">
        <f ca="1"/>
        <v>389841.54480943526</v>
      </c>
      <c r="K269" s="331">
        <f ca="1"/>
        <v>405732.98541501514</v>
      </c>
      <c r="L269" s="331">
        <f ca="1"/>
        <v>421881.77052881941</v>
      </c>
      <c r="M269" s="331">
        <f ca="1"/>
        <v>438170.49905892351</v>
      </c>
      <c r="N269" s="331">
        <f ca="1"/>
        <v>454487.76849807124</v>
      </c>
      <c r="O269" s="331">
        <f ca="1"/>
        <v>470713.55822611752</v>
      </c>
      <c r="P269" s="331">
        <f ca="1"/>
        <v>486728.63985697814</v>
      </c>
      <c r="Q269" s="331">
        <f ca="1"/>
        <v>502436.28122502909</v>
      </c>
      <c r="R269" s="331">
        <f ca="1"/>
        <v>517740.13705106737</v>
      </c>
      <c r="S269" s="331">
        <f ca="1"/>
        <v>532539.58466108644</v>
      </c>
      <c r="T269" s="331">
        <f ca="1"/>
        <v>546737.55648758344</v>
      </c>
      <c r="U269" s="331">
        <f ca="1"/>
        <v>560260.97448559781</v>
      </c>
      <c r="V269" s="331">
        <f ca="1"/>
        <v>573046.20641258918</v>
      </c>
      <c r="W269" s="331">
        <f ca="1"/>
        <v>585026.23461670277</v>
      </c>
      <c r="X269" s="331">
        <f ca="1"/>
        <v>596142.4933032624</v>
      </c>
      <c r="Y269" s="331">
        <f ca="1"/>
        <v>606333.70157450985</v>
      </c>
      <c r="Z269" s="331">
        <f ca="1"/>
        <v>615551.55842499854</v>
      </c>
      <c r="AA269" s="331">
        <f ca="1"/>
        <v>623758.63843357831</v>
      </c>
      <c r="AB269" s="331">
        <f ca="1"/>
        <v>630913.85936906817</v>
      </c>
      <c r="AC269" s="331">
        <f ca="1"/>
        <v>636978.21350961842</v>
      </c>
      <c r="AD269" s="331">
        <f ca="1"/>
        <v>641923.42862473754</v>
      </c>
      <c r="AE269" s="331">
        <f ca="1"/>
        <v>645726.25052374077</v>
      </c>
      <c r="AF269" s="331">
        <f ca="1"/>
        <v>648357.97224189795</v>
      </c>
      <c r="AG269" s="334">
        <f ca="1"/>
        <v>649792.79086128809</v>
      </c>
      <c r="AH269" s="313">
        <f ca="1"/>
        <v>650010.4428365177</v>
      </c>
    </row>
    <row r="270" spans="2:34">
      <c r="B270" s="329">
        <v>2</v>
      </c>
      <c r="C270" s="332" t="str">
        <v xml:space="preserve">Veículos do transporte público coletivo intermunicipal e metropolitano </v>
      </c>
      <c r="D270" s="331">
        <f ca="1"/>
        <v>15790.479535965136</v>
      </c>
      <c r="E270" s="331">
        <f ca="1"/>
        <v>16199.038448952524</v>
      </c>
      <c r="F270" s="335">
        <f ca="1"/>
        <v>16599.090931752984</v>
      </c>
      <c r="G270" s="331">
        <f ca="1"/>
        <v>16995.252805887474</v>
      </c>
      <c r="H270" s="331">
        <f ca="1"/>
        <v>17388.536717860956</v>
      </c>
      <c r="I270" s="331">
        <f ca="1"/>
        <v>17777.768822739603</v>
      </c>
      <c r="J270" s="331">
        <f ca="1"/>
        <v>18160.083338476154</v>
      </c>
      <c r="K270" s="331">
        <f ca="1"/>
        <v>18531.440710680174</v>
      </c>
      <c r="L270" s="331">
        <f ca="1"/>
        <v>18888.963484932108</v>
      </c>
      <c r="M270" s="331">
        <f ca="1"/>
        <v>19230.134768160649</v>
      </c>
      <c r="N270" s="331">
        <f ca="1"/>
        <v>19552.775355419803</v>
      </c>
      <c r="O270" s="331">
        <f ca="1"/>
        <v>19854.607636813107</v>
      </c>
      <c r="P270" s="331">
        <f ca="1"/>
        <v>20133.520986923646</v>
      </c>
      <c r="Q270" s="331">
        <f ca="1"/>
        <v>20388.175287011592</v>
      </c>
      <c r="R270" s="331">
        <f ca="1"/>
        <v>20617.376942830062</v>
      </c>
      <c r="S270" s="331">
        <f ca="1"/>
        <v>20819.969977775152</v>
      </c>
      <c r="T270" s="331">
        <f ca="1"/>
        <v>20994.955526503058</v>
      </c>
      <c r="U270" s="331">
        <f ca="1"/>
        <v>21142.003829960795</v>
      </c>
      <c r="V270" s="331">
        <f ca="1"/>
        <v>21260.98633273795</v>
      </c>
      <c r="W270" s="331">
        <f ca="1"/>
        <v>21351.653454330983</v>
      </c>
      <c r="X270" s="331">
        <f ca="1"/>
        <v>21413.987644720393</v>
      </c>
      <c r="Y270" s="331">
        <f ca="1"/>
        <v>21447.843539606849</v>
      </c>
      <c r="Z270" s="331">
        <f ca="1"/>
        <v>21453.372699289197</v>
      </c>
      <c r="AA270" s="331">
        <f ca="1"/>
        <v>21430.939498964417</v>
      </c>
      <c r="AB270" s="331">
        <f ca="1"/>
        <v>21380.721855841926</v>
      </c>
      <c r="AC270" s="331">
        <f ca="1"/>
        <v>21302.897492386743</v>
      </c>
      <c r="AD270" s="331">
        <f ca="1"/>
        <v>21197.875451448745</v>
      </c>
      <c r="AE270" s="331">
        <f ca="1"/>
        <v>21066.169898288546</v>
      </c>
      <c r="AF270" s="331">
        <f ca="1"/>
        <v>20908.12610956181</v>
      </c>
      <c r="AG270" s="334">
        <f ca="1"/>
        <v>20724.113282518858</v>
      </c>
      <c r="AH270" s="313">
        <f ca="1"/>
        <v>20514.569673717095</v>
      </c>
    </row>
    <row r="271" spans="2:34">
      <c r="B271" s="329">
        <v>3</v>
      </c>
      <c r="C271" s="332" t="str">
        <v>Automóvel</v>
      </c>
      <c r="D271" s="331">
        <f ca="1"/>
        <v>1052090.9277344448</v>
      </c>
      <c r="E271" s="331">
        <f ca="1"/>
        <v>1096735.9572354392</v>
      </c>
      <c r="F271" s="335">
        <f ca="1"/>
        <v>1142099.2172845837</v>
      </c>
      <c r="G271" s="331">
        <f ca="1"/>
        <v>1189246.326585508</v>
      </c>
      <c r="H271" s="331">
        <f ca="1"/>
        <v>1238597.8425901218</v>
      </c>
      <c r="I271" s="331">
        <f ca="1"/>
        <v>1290149.3276347842</v>
      </c>
      <c r="J271" s="331">
        <f ca="1"/>
        <v>1343592.3957854521</v>
      </c>
      <c r="K271" s="331">
        <f ca="1"/>
        <v>1398362.3889788929</v>
      </c>
      <c r="L271" s="331">
        <f ca="1"/>
        <v>1454019.3223380274</v>
      </c>
      <c r="M271" s="331">
        <f ca="1"/>
        <v>1510158.571942016</v>
      </c>
      <c r="N271" s="331">
        <f ca="1"/>
        <v>1566396.1880461134</v>
      </c>
      <c r="O271" s="331">
        <f ca="1"/>
        <v>1622318.5185018717</v>
      </c>
      <c r="P271" s="331">
        <f ca="1"/>
        <v>1677514.6416026719</v>
      </c>
      <c r="Q271" s="331">
        <f ca="1"/>
        <v>1731651.16906835</v>
      </c>
      <c r="R271" s="331">
        <f ca="1"/>
        <v>1784396.0460262769</v>
      </c>
      <c r="S271" s="331">
        <f ca="1"/>
        <v>1835402.4755241047</v>
      </c>
      <c r="T271" s="331">
        <f ca="1"/>
        <v>1884335.9133160734</v>
      </c>
      <c r="U271" s="331">
        <f ca="1"/>
        <v>1930944.4952619562</v>
      </c>
      <c r="V271" s="331">
        <f ca="1"/>
        <v>1975008.9122646546</v>
      </c>
      <c r="W271" s="331">
        <f ca="1"/>
        <v>2016298.1873833716</v>
      </c>
      <c r="X271" s="331">
        <f ca="1"/>
        <v>2054610.4730792083</v>
      </c>
      <c r="Y271" s="331">
        <f ca="1"/>
        <v>2089734.564186038</v>
      </c>
      <c r="Z271" s="331">
        <f ca="1"/>
        <v>2121503.9908535047</v>
      </c>
      <c r="AA271" s="331">
        <f ca="1"/>
        <v>2149789.766030496</v>
      </c>
      <c r="AB271" s="331">
        <f ca="1"/>
        <v>2174450.2994371867</v>
      </c>
      <c r="AC271" s="331">
        <f ca="1"/>
        <v>2195351.1506088502</v>
      </c>
      <c r="AD271" s="331">
        <f ca="1"/>
        <v>2212394.8790484276</v>
      </c>
      <c r="AE271" s="331">
        <f ca="1"/>
        <v>2225501.3389782552</v>
      </c>
      <c r="AF271" s="331">
        <f ca="1"/>
        <v>2234571.5915858061</v>
      </c>
      <c r="AG271" s="334">
        <f ca="1"/>
        <v>2239516.7068820386</v>
      </c>
      <c r="AH271" s="313">
        <f ca="1"/>
        <v>2240266.8463752246</v>
      </c>
    </row>
    <row r="272" spans="2:34">
      <c r="B272" s="329">
        <v>3</v>
      </c>
      <c r="C272" s="332" t="str">
        <v xml:space="preserve">Automóvel com reboque </v>
      </c>
      <c r="D272" s="331">
        <f ca="1"/>
        <v>7923.9987710228652</v>
      </c>
      <c r="E272" s="331">
        <f ca="1"/>
        <v>8260.2502770214542</v>
      </c>
      <c r="F272" s="335">
        <f ca="1"/>
        <v>8601.9112565083342</v>
      </c>
      <c r="G272" s="331">
        <f ca="1"/>
        <v>8957.0075949610346</v>
      </c>
      <c r="H272" s="331">
        <f ca="1"/>
        <v>9328.7067911614813</v>
      </c>
      <c r="I272" s="331">
        <f ca="1"/>
        <v>9716.9754221038183</v>
      </c>
      <c r="J272" s="331">
        <f ca="1"/>
        <v>10119.49082755219</v>
      </c>
      <c r="K272" s="331">
        <f ca="1"/>
        <v>10532.000190871498</v>
      </c>
      <c r="L272" s="331">
        <f ca="1"/>
        <v>10951.189692378157</v>
      </c>
      <c r="M272" s="331">
        <f ca="1"/>
        <v>11374.011839344181</v>
      </c>
      <c r="N272" s="331">
        <f ca="1"/>
        <v>11797.574850056311</v>
      </c>
      <c r="O272" s="331">
        <f ca="1"/>
        <v>12218.763234180478</v>
      </c>
      <c r="P272" s="331">
        <f ca="1"/>
        <v>12634.482066161856</v>
      </c>
      <c r="Q272" s="331">
        <f ca="1"/>
        <v>13042.220376413452</v>
      </c>
      <c r="R272" s="331">
        <f ca="1"/>
        <v>13439.477238130123</v>
      </c>
      <c r="S272" s="331">
        <f ca="1"/>
        <v>13823.640692067887</v>
      </c>
      <c r="T272" s="331">
        <f ca="1"/>
        <v>14192.191062291547</v>
      </c>
      <c r="U272" s="331">
        <f ca="1"/>
        <v>14543.231391907919</v>
      </c>
      <c r="V272" s="331">
        <f ca="1"/>
        <v>14875.109917775557</v>
      </c>
      <c r="W272" s="331">
        <f ca="1"/>
        <v>15186.086998436895</v>
      </c>
      <c r="X272" s="331">
        <f ca="1"/>
        <v>15474.642385396297</v>
      </c>
      <c r="Y272" s="331">
        <f ca="1"/>
        <v>15739.185351623702</v>
      </c>
      <c r="Z272" s="331">
        <f ca="1"/>
        <v>15978.462101601204</v>
      </c>
      <c r="AA272" s="331">
        <f ca="1"/>
        <v>16191.501147781897</v>
      </c>
      <c r="AB272" s="331">
        <f ca="1"/>
        <v>16377.236079294118</v>
      </c>
      <c r="AC272" s="331">
        <f ca="1"/>
        <v>16534.654335294323</v>
      </c>
      <c r="AD272" s="331">
        <f ca="1"/>
        <v>16663.022026383231</v>
      </c>
      <c r="AE272" s="331">
        <f ca="1"/>
        <v>16761.735521233011</v>
      </c>
      <c r="AF272" s="331">
        <f ca="1"/>
        <v>16830.049645630861</v>
      </c>
      <c r="AG272" s="334">
        <f ca="1"/>
        <v>16867.294608491906</v>
      </c>
      <c r="AH272" s="313">
        <f ca="1"/>
        <v>16872.9444095361</v>
      </c>
    </row>
    <row r="273" spans="2:34">
      <c r="B273" s="329">
        <v>3</v>
      </c>
      <c r="C273" s="332" t="str">
        <v>Veículos Comerciais com 2 Eixos</v>
      </c>
      <c r="D273" s="331">
        <f ca="1"/>
        <v>107582.03068021004</v>
      </c>
      <c r="E273" s="331">
        <f ca="1"/>
        <v>110365.58119946893</v>
      </c>
      <c r="F273" s="335">
        <f ca="1"/>
        <v>113091.17660525169</v>
      </c>
      <c r="G273" s="331">
        <f ca="1"/>
        <v>115790.26492618539</v>
      </c>
      <c r="H273" s="331">
        <f ca="1"/>
        <v>118469.7454186933</v>
      </c>
      <c r="I273" s="331">
        <f ca="1"/>
        <v>121121.62056620879</v>
      </c>
      <c r="J273" s="331">
        <f ca="1"/>
        <v>123726.36552457306</v>
      </c>
      <c r="K273" s="331">
        <f ca="1"/>
        <v>126256.45842762773</v>
      </c>
      <c r="L273" s="331">
        <f ca="1"/>
        <v>128692.29490623753</v>
      </c>
      <c r="M273" s="331">
        <f ca="1"/>
        <v>131016.72712983791</v>
      </c>
      <c r="N273" s="331">
        <f ca="1"/>
        <v>133214.90796900351</v>
      </c>
      <c r="O273" s="331">
        <f ca="1"/>
        <v>135271.3198520735</v>
      </c>
      <c r="P273" s="331">
        <f ca="1"/>
        <v>137171.58288844101</v>
      </c>
      <c r="Q273" s="331">
        <f ca="1"/>
        <v>138906.56672237144</v>
      </c>
      <c r="R273" s="331">
        <f ca="1"/>
        <v>140468.13928336021</v>
      </c>
      <c r="S273" s="331">
        <f ca="1"/>
        <v>141848.4247934625</v>
      </c>
      <c r="T273" s="331">
        <f ca="1"/>
        <v>143040.61788860959</v>
      </c>
      <c r="U273" s="331">
        <f ca="1"/>
        <v>144042.47188918196</v>
      </c>
      <c r="V273" s="331">
        <f ca="1"/>
        <v>144853.11093500865</v>
      </c>
      <c r="W273" s="331">
        <f ca="1"/>
        <v>145470.8346105114</v>
      </c>
      <c r="X273" s="331">
        <f ca="1"/>
        <v>145895.52334574747</v>
      </c>
      <c r="Y273" s="331">
        <f ca="1"/>
        <v>146126.18675999562</v>
      </c>
      <c r="Z273" s="331">
        <f ca="1"/>
        <v>146163.85744790771</v>
      </c>
      <c r="AA273" s="331">
        <f ca="1"/>
        <v>146011.01793216669</v>
      </c>
      <c r="AB273" s="331">
        <f ca="1"/>
        <v>145668.8803795492</v>
      </c>
      <c r="AC273" s="331">
        <f ca="1"/>
        <v>145138.65563001996</v>
      </c>
      <c r="AD273" s="331">
        <f ca="1"/>
        <v>144423.13053120606</v>
      </c>
      <c r="AE273" s="331">
        <f ca="1"/>
        <v>143525.80813966235</v>
      </c>
      <c r="AF273" s="331">
        <f ca="1"/>
        <v>142449.04085790311</v>
      </c>
      <c r="AG273" s="334">
        <f ca="1"/>
        <v>141195.34406171666</v>
      </c>
      <c r="AH273" s="313">
        <f ca="1"/>
        <v>139767.70363448281</v>
      </c>
    </row>
    <row r="274" spans="2:34">
      <c r="B274" s="329">
        <v>3</v>
      </c>
      <c r="C274" s="332" t="str">
        <v>Veículos Comerciais com 3 Eixos</v>
      </c>
      <c r="D274" s="331">
        <f ca="1"/>
        <v>49758.562800833912</v>
      </c>
      <c r="E274" s="331">
        <f ca="1"/>
        <v>51046.003393339059</v>
      </c>
      <c r="F274" s="335">
        <f ca="1"/>
        <v>52306.638736535409</v>
      </c>
      <c r="G274" s="331">
        <f ca="1"/>
        <v>53555.01409135088</v>
      </c>
      <c r="H274" s="331">
        <f ca="1"/>
        <v>54794.320484036318</v>
      </c>
      <c r="I274" s="331">
        <f ca="1"/>
        <v>56020.858923897649</v>
      </c>
      <c r="J274" s="331">
        <f ca="1"/>
        <v>57225.598830473573</v>
      </c>
      <c r="K274" s="331">
        <f ca="1"/>
        <v>58395.810861354556</v>
      </c>
      <c r="L274" s="331">
        <f ca="1"/>
        <v>59522.427654392683</v>
      </c>
      <c r="M274" s="331">
        <f ca="1"/>
        <v>60597.518039311195</v>
      </c>
      <c r="N274" s="331">
        <f ca="1"/>
        <v>61614.214960178411</v>
      </c>
      <c r="O274" s="331">
        <f ca="1"/>
        <v>62565.341269852572</v>
      </c>
      <c r="P274" s="331">
        <f ca="1"/>
        <v>63444.246018492799</v>
      </c>
      <c r="Q274" s="331">
        <f ca="1"/>
        <v>64246.706257560763</v>
      </c>
      <c r="R274" s="331">
        <f ca="1"/>
        <v>64968.960762822782</v>
      </c>
      <c r="S274" s="331">
        <f ca="1"/>
        <v>65607.366849817568</v>
      </c>
      <c r="T274" s="331">
        <f ca="1"/>
        <v>66158.776919143478</v>
      </c>
      <c r="U274" s="331">
        <f ca="1"/>
        <v>66622.151842349122</v>
      </c>
      <c r="V274" s="331">
        <f ca="1"/>
        <v>66997.086518851691</v>
      </c>
      <c r="W274" s="331">
        <f ca="1"/>
        <v>67282.794476832452</v>
      </c>
      <c r="X274" s="331">
        <f ca="1"/>
        <v>67479.220413110452</v>
      </c>
      <c r="Y274" s="331">
        <f ca="1"/>
        <v>67585.906259354029</v>
      </c>
      <c r="Z274" s="331">
        <f ca="1"/>
        <v>67603.329608572982</v>
      </c>
      <c r="AA274" s="331">
        <f ca="1"/>
        <v>67532.63867074289</v>
      </c>
      <c r="AB274" s="331">
        <f ca="1"/>
        <v>67374.394094108662</v>
      </c>
      <c r="AC274" s="331">
        <f ca="1"/>
        <v>67129.155913241528</v>
      </c>
      <c r="AD274" s="331">
        <f ca="1"/>
        <v>66798.213093703802</v>
      </c>
      <c r="AE274" s="331">
        <f ca="1"/>
        <v>66383.185860160069</v>
      </c>
      <c r="AF274" s="331">
        <f ca="1"/>
        <v>65885.162239741869</v>
      </c>
      <c r="AG274" s="334">
        <f ca="1"/>
        <v>65305.305637558187</v>
      </c>
      <c r="AH274" s="313">
        <f ca="1"/>
        <v>64644.997076673266</v>
      </c>
    </row>
    <row r="275" spans="2:34">
      <c r="B275" s="329">
        <v>3</v>
      </c>
      <c r="C275" s="332" t="str">
        <v>Veículos Comerciais com 4 Eixos</v>
      </c>
      <c r="D275" s="331">
        <f ca="1"/>
        <v>12864.45919043056</v>
      </c>
      <c r="E275" s="331">
        <f ca="1"/>
        <v>13197.310985782429</v>
      </c>
      <c r="F275" s="335">
        <f ca="1"/>
        <v>13523.232616426712</v>
      </c>
      <c r="G275" s="331">
        <f ca="1"/>
        <v>13845.984579152089</v>
      </c>
      <c r="H275" s="331">
        <f ca="1"/>
        <v>14166.391874213155</v>
      </c>
      <c r="I275" s="331">
        <f ca="1"/>
        <v>14483.498173449478</v>
      </c>
      <c r="J275" s="331">
        <f ca="1"/>
        <v>14794.968732301095</v>
      </c>
      <c r="K275" s="331">
        <f ca="1"/>
        <v>15097.512537187016</v>
      </c>
      <c r="L275" s="331">
        <f ca="1"/>
        <v>15388.785334098462</v>
      </c>
      <c r="M275" s="331">
        <f ca="1"/>
        <v>15666.736617341248</v>
      </c>
      <c r="N275" s="331">
        <f ca="1"/>
        <v>15929.590994785476</v>
      </c>
      <c r="O275" s="331">
        <f ca="1"/>
        <v>16175.492904065359</v>
      </c>
      <c r="P275" s="331">
        <f ca="1"/>
        <v>16402.722824600132</v>
      </c>
      <c r="Q275" s="331">
        <f ca="1"/>
        <v>16610.188965428057</v>
      </c>
      <c r="R275" s="331">
        <f ca="1"/>
        <v>16796.918908678992</v>
      </c>
      <c r="S275" s="331">
        <f ca="1"/>
        <v>16961.970883470542</v>
      </c>
      <c r="T275" s="331">
        <f ca="1"/>
        <v>17104.531117021274</v>
      </c>
      <c r="U275" s="331">
        <f ca="1"/>
        <v>17224.330955559773</v>
      </c>
      <c r="V275" s="331">
        <f ca="1"/>
        <v>17321.265665355364</v>
      </c>
      <c r="W275" s="331">
        <f ca="1"/>
        <v>17395.131913874968</v>
      </c>
      <c r="X275" s="331">
        <f ca="1"/>
        <v>17445.91540316715</v>
      </c>
      <c r="Y275" s="331">
        <f ca="1"/>
        <v>17473.497705346788</v>
      </c>
      <c r="Z275" s="331">
        <f ca="1"/>
        <v>17478.002296162344</v>
      </c>
      <c r="AA275" s="331">
        <f ca="1"/>
        <v>17459.726031060225</v>
      </c>
      <c r="AB275" s="331">
        <f ca="1"/>
        <v>17418.813858689682</v>
      </c>
      <c r="AC275" s="331">
        <f ca="1"/>
        <v>17355.410569042262</v>
      </c>
      <c r="AD275" s="331">
        <f ca="1"/>
        <v>17269.849408175338</v>
      </c>
      <c r="AE275" s="331">
        <f ca="1"/>
        <v>17162.549265078134</v>
      </c>
      <c r="AF275" s="331">
        <f ca="1"/>
        <v>17033.791435669264</v>
      </c>
      <c r="AG275" s="334">
        <f ca="1"/>
        <v>16883.876703908387</v>
      </c>
      <c r="AH275" s="313">
        <f ca="1"/>
        <v>16713.1621161781</v>
      </c>
    </row>
    <row r="276" spans="2:34">
      <c r="B276" s="329">
        <v>3</v>
      </c>
      <c r="C276" s="332" t="str">
        <v>Veículos Comerciais com 5 Eixos Articulado</v>
      </c>
      <c r="D276" s="331">
        <f ca="1"/>
        <v>2277.9150163413178</v>
      </c>
      <c r="E276" s="331">
        <f ca="1"/>
        <v>2365.1158160790155</v>
      </c>
      <c r="F276" s="335">
        <f ca="1"/>
        <v>2452.6283192525943</v>
      </c>
      <c r="G276" s="331">
        <f ca="1"/>
        <v>2542.0632083139135</v>
      </c>
      <c r="H276" s="331">
        <f ca="1"/>
        <v>2633.9617724451896</v>
      </c>
      <c r="I276" s="331">
        <f ca="1"/>
        <v>2728.1731935736352</v>
      </c>
      <c r="J276" s="331">
        <f ca="1"/>
        <v>2824.0382918821315</v>
      </c>
      <c r="K276" s="331">
        <f ca="1"/>
        <v>2920.4921787998683</v>
      </c>
      <c r="L276" s="331">
        <f ca="1"/>
        <v>3016.7153878814406</v>
      </c>
      <c r="M276" s="331">
        <f ca="1"/>
        <v>3111.9610570315176</v>
      </c>
      <c r="N276" s="331">
        <f ca="1"/>
        <v>3205.5377795397185</v>
      </c>
      <c r="O276" s="331">
        <f ca="1"/>
        <v>3296.7131529270314</v>
      </c>
      <c r="P276" s="331">
        <f ca="1"/>
        <v>3384.7763598327092</v>
      </c>
      <c r="Q276" s="331">
        <f ca="1"/>
        <v>3469.1810269101065</v>
      </c>
      <c r="R276" s="331">
        <f ca="1"/>
        <v>3549.4016379658387</v>
      </c>
      <c r="S276" s="331">
        <f ca="1"/>
        <v>3624.9060862269544</v>
      </c>
      <c r="T276" s="331">
        <f ca="1"/>
        <v>3695.1976632343258</v>
      </c>
      <c r="U276" s="331">
        <f ca="1"/>
        <v>3759.9434976519788</v>
      </c>
      <c r="V276" s="331">
        <f ca="1"/>
        <v>3818.8731267894609</v>
      </c>
      <c r="W276" s="331">
        <f ca="1"/>
        <v>3871.6978836114158</v>
      </c>
      <c r="X276" s="331">
        <f ca="1"/>
        <v>3918.1908614844178</v>
      </c>
      <c r="Y276" s="331">
        <f ca="1"/>
        <v>3958.1084074077339</v>
      </c>
      <c r="Z276" s="331">
        <f ca="1"/>
        <v>3991.2915124856413</v>
      </c>
      <c r="AA276" s="331">
        <f ca="1"/>
        <v>4017.6489590664864</v>
      </c>
      <c r="AB276" s="331">
        <f ca="1"/>
        <v>4037.0621436700271</v>
      </c>
      <c r="AC276" s="331">
        <f ca="1"/>
        <v>4049.4253108621256</v>
      </c>
      <c r="AD276" s="331">
        <f ca="1"/>
        <v>4054.701057051348</v>
      </c>
      <c r="AE276" s="331">
        <f ca="1"/>
        <v>4052.8862274938338</v>
      </c>
      <c r="AF276" s="331">
        <f ca="1"/>
        <v>4043.9451173170314</v>
      </c>
      <c r="AG276" s="334">
        <f ca="1"/>
        <v>4027.8596780218959</v>
      </c>
      <c r="AH276" s="313">
        <f ca="1"/>
        <v>4004.6433119680187</v>
      </c>
    </row>
    <row r="277" spans="2:34">
      <c r="B277" s="329">
        <v>3</v>
      </c>
      <c r="C277" s="332" t="str">
        <v>Veículos Comerciais com 6 Eixos Articulado</v>
      </c>
      <c r="D277" s="331">
        <f ca="1"/>
        <v>17843.667628006988</v>
      </c>
      <c r="E277" s="331">
        <f ca="1"/>
        <v>18526.740559285623</v>
      </c>
      <c r="F277" s="335">
        <f ca="1"/>
        <v>19212.255167478659</v>
      </c>
      <c r="G277" s="331">
        <f ca="1"/>
        <v>19912.828465125662</v>
      </c>
      <c r="H277" s="331">
        <f ca="1"/>
        <v>20632.700550820657</v>
      </c>
      <c r="I277" s="331">
        <f ca="1"/>
        <v>21370.690016326815</v>
      </c>
      <c r="J277" s="331">
        <f ca="1"/>
        <v>22121.63328641003</v>
      </c>
      <c r="K277" s="331">
        <f ca="1"/>
        <v>22877.1887339323</v>
      </c>
      <c r="L277" s="331">
        <f ca="1"/>
        <v>23630.937205071288</v>
      </c>
      <c r="M277" s="331">
        <f ca="1"/>
        <v>24377.028280080223</v>
      </c>
      <c r="N277" s="331">
        <f ca="1"/>
        <v>25110.045939727799</v>
      </c>
      <c r="O277" s="331">
        <f ca="1"/>
        <v>25824.253031261742</v>
      </c>
      <c r="P277" s="331">
        <f ca="1"/>
        <v>26514.081485356219</v>
      </c>
      <c r="Q277" s="331">
        <f ca="1"/>
        <v>27175.251377462493</v>
      </c>
      <c r="R277" s="331">
        <f ca="1"/>
        <v>27803.646164065733</v>
      </c>
      <c r="S277" s="331">
        <f ca="1"/>
        <v>28395.097675444475</v>
      </c>
      <c r="T277" s="331">
        <f ca="1"/>
        <v>28945.715028668885</v>
      </c>
      <c r="U277" s="331">
        <f ca="1"/>
        <v>29452.890731607164</v>
      </c>
      <c r="V277" s="331">
        <f ca="1"/>
        <v>29914.506159850771</v>
      </c>
      <c r="W277" s="331">
        <f ca="1"/>
        <v>30328.300088289427</v>
      </c>
      <c r="X277" s="331">
        <f ca="1"/>
        <v>30692.495081627934</v>
      </c>
      <c r="Y277" s="331">
        <f ca="1"/>
        <v>31005.182524693908</v>
      </c>
      <c r="Z277" s="331">
        <f ca="1"/>
        <v>31265.116847804187</v>
      </c>
      <c r="AA277" s="331">
        <f ca="1"/>
        <v>31471.583512687477</v>
      </c>
      <c r="AB277" s="331">
        <f ca="1"/>
        <v>31623.653458748544</v>
      </c>
      <c r="AC277" s="331">
        <f ca="1"/>
        <v>31720.498268419986</v>
      </c>
      <c r="AD277" s="331">
        <f ca="1"/>
        <v>31761.82494690223</v>
      </c>
      <c r="AE277" s="331">
        <f ca="1"/>
        <v>31747.608782035033</v>
      </c>
      <c r="AF277" s="331">
        <f ca="1"/>
        <v>31677.570085650088</v>
      </c>
      <c r="AG277" s="334">
        <f ca="1"/>
        <v>31551.567477838187</v>
      </c>
      <c r="AH277" s="313">
        <f ca="1"/>
        <v>31369.70594374949</v>
      </c>
    </row>
    <row r="278" spans="2:34">
      <c r="B278" s="329">
        <v>3</v>
      </c>
      <c r="C278" s="332" t="str">
        <v>Veículos Comerciais com 7 Eixos Articulado</v>
      </c>
      <c r="D278" s="331">
        <f ca="1"/>
        <v>4745.6562840444121</v>
      </c>
      <c r="E278" s="331">
        <f ca="1"/>
        <v>4927.3246168312817</v>
      </c>
      <c r="F278" s="335">
        <f ca="1"/>
        <v>5109.6423317762383</v>
      </c>
      <c r="G278" s="331">
        <f ca="1"/>
        <v>5295.9650173206537</v>
      </c>
      <c r="H278" s="331">
        <f ca="1"/>
        <v>5487.4203592608119</v>
      </c>
      <c r="I278" s="331">
        <f ca="1"/>
        <v>5683.6941532784076</v>
      </c>
      <c r="J278" s="331">
        <f ca="1"/>
        <v>5883.4131080877742</v>
      </c>
      <c r="K278" s="331">
        <f ca="1"/>
        <v>6084.3587058330586</v>
      </c>
      <c r="L278" s="331">
        <f ca="1"/>
        <v>6284.8237247530005</v>
      </c>
      <c r="M278" s="331">
        <f ca="1"/>
        <v>6483.2522021489949</v>
      </c>
      <c r="N278" s="331">
        <f ca="1"/>
        <v>6678.2037073744141</v>
      </c>
      <c r="O278" s="331">
        <f ca="1"/>
        <v>6868.1524019313147</v>
      </c>
      <c r="P278" s="331">
        <f ca="1"/>
        <v>7051.617416318144</v>
      </c>
      <c r="Q278" s="331">
        <f ca="1"/>
        <v>7227.460472729389</v>
      </c>
      <c r="R278" s="331">
        <f ca="1"/>
        <v>7394.5867457621653</v>
      </c>
      <c r="S278" s="331">
        <f ca="1"/>
        <v>7551.8876796394879</v>
      </c>
      <c r="T278" s="331">
        <f ca="1"/>
        <v>7698.3284650715113</v>
      </c>
      <c r="U278" s="331">
        <f ca="1"/>
        <v>7833.215620108288</v>
      </c>
      <c r="V278" s="331">
        <f ca="1"/>
        <v>7955.9856808113746</v>
      </c>
      <c r="W278" s="331">
        <f ca="1"/>
        <v>8066.0372575237816</v>
      </c>
      <c r="X278" s="331">
        <f ca="1"/>
        <v>8162.8976280925363</v>
      </c>
      <c r="Y278" s="331">
        <f ca="1"/>
        <v>8246.0591820994432</v>
      </c>
      <c r="Z278" s="331">
        <f ca="1"/>
        <v>8315.1906510117533</v>
      </c>
      <c r="AA278" s="331">
        <f ca="1"/>
        <v>8370.1019980551791</v>
      </c>
      <c r="AB278" s="331">
        <f ca="1"/>
        <v>8410.5461326458881</v>
      </c>
      <c r="AC278" s="331">
        <f ca="1"/>
        <v>8436.3027309627614</v>
      </c>
      <c r="AD278" s="331">
        <f ca="1"/>
        <v>8447.2938688569757</v>
      </c>
      <c r="AE278" s="331">
        <f ca="1"/>
        <v>8443.5129739454878</v>
      </c>
      <c r="AF278" s="331">
        <f ca="1"/>
        <v>8424.8856610771491</v>
      </c>
      <c r="AG278" s="334">
        <f ca="1"/>
        <v>8391.3743292122817</v>
      </c>
      <c r="AH278" s="313">
        <f ca="1"/>
        <v>8343.0068999333707</v>
      </c>
    </row>
    <row r="279" spans="2:34">
      <c r="B279" s="329">
        <v>3</v>
      </c>
      <c r="C279" s="332" t="str">
        <v>Veículos Comerciais com 8 Eixos Articulado</v>
      </c>
      <c r="D279" s="331">
        <f ca="1"/>
        <v>0</v>
      </c>
      <c r="E279" s="331">
        <f ca="1"/>
        <v>0</v>
      </c>
      <c r="F279" s="335">
        <f ca="1"/>
        <v>0</v>
      </c>
      <c r="G279" s="331">
        <f ca="1"/>
        <v>0</v>
      </c>
      <c r="H279" s="331">
        <f ca="1"/>
        <v>0</v>
      </c>
      <c r="I279" s="331">
        <f ca="1"/>
        <v>0</v>
      </c>
      <c r="J279" s="331">
        <f ca="1"/>
        <v>0</v>
      </c>
      <c r="K279" s="331">
        <f ca="1"/>
        <v>0</v>
      </c>
      <c r="L279" s="331">
        <f ca="1"/>
        <v>0</v>
      </c>
      <c r="M279" s="331">
        <f ca="1"/>
        <v>0</v>
      </c>
      <c r="N279" s="331">
        <f ca="1"/>
        <v>0</v>
      </c>
      <c r="O279" s="331">
        <f ca="1"/>
        <v>0</v>
      </c>
      <c r="P279" s="331">
        <f ca="1"/>
        <v>0</v>
      </c>
      <c r="Q279" s="331">
        <f ca="1"/>
        <v>0</v>
      </c>
      <c r="R279" s="331">
        <f ca="1"/>
        <v>0</v>
      </c>
      <c r="S279" s="331">
        <f ca="1"/>
        <v>0</v>
      </c>
      <c r="T279" s="331">
        <f ca="1"/>
        <v>0</v>
      </c>
      <c r="U279" s="331">
        <f ca="1"/>
        <v>0</v>
      </c>
      <c r="V279" s="331">
        <f ca="1"/>
        <v>0</v>
      </c>
      <c r="W279" s="331">
        <f ca="1"/>
        <v>0</v>
      </c>
      <c r="X279" s="331">
        <f ca="1"/>
        <v>0</v>
      </c>
      <c r="Y279" s="331">
        <f ca="1"/>
        <v>0</v>
      </c>
      <c r="Z279" s="331">
        <f ca="1"/>
        <v>0</v>
      </c>
      <c r="AA279" s="331">
        <f ca="1"/>
        <v>0</v>
      </c>
      <c r="AB279" s="331">
        <f ca="1"/>
        <v>0</v>
      </c>
      <c r="AC279" s="331">
        <f ca="1"/>
        <v>0</v>
      </c>
      <c r="AD279" s="331">
        <f ca="1"/>
        <v>0</v>
      </c>
      <c r="AE279" s="331">
        <f ca="1"/>
        <v>0</v>
      </c>
      <c r="AF279" s="331">
        <f ca="1"/>
        <v>0</v>
      </c>
      <c r="AG279" s="334">
        <f ca="1"/>
        <v>0</v>
      </c>
      <c r="AH279" s="313">
        <f ca="1"/>
        <v>0</v>
      </c>
    </row>
    <row r="280" spans="2:34">
      <c r="B280" s="329">
        <v>3</v>
      </c>
      <c r="C280" s="332" t="str">
        <v>Veículos Comerciais com 9 Eixos Articulado</v>
      </c>
      <c r="D280" s="331">
        <f ca="1"/>
        <v>2847.3937704266468</v>
      </c>
      <c r="E280" s="331">
        <f ca="1"/>
        <v>2956.3947700987683</v>
      </c>
      <c r="F280" s="335">
        <f ca="1"/>
        <v>3065.7853990657418</v>
      </c>
      <c r="G280" s="331">
        <f ca="1"/>
        <v>3177.579010392391</v>
      </c>
      <c r="H280" s="331">
        <f ca="1"/>
        <v>3292.4522155564864</v>
      </c>
      <c r="I280" s="331">
        <f ca="1"/>
        <v>3410.2164919670431</v>
      </c>
      <c r="J280" s="331">
        <f ca="1"/>
        <v>3530.0478648526632</v>
      </c>
      <c r="K280" s="331">
        <f ca="1"/>
        <v>3650.615223499834</v>
      </c>
      <c r="L280" s="331">
        <f ca="1"/>
        <v>3770.894234851799</v>
      </c>
      <c r="M280" s="331">
        <f ca="1"/>
        <v>3889.9513212893958</v>
      </c>
      <c r="N280" s="331">
        <f ca="1"/>
        <v>4006.9222244246471</v>
      </c>
      <c r="O280" s="331">
        <f ca="1"/>
        <v>4120.8914411587866</v>
      </c>
      <c r="P280" s="331">
        <f ca="1"/>
        <v>4230.9704497908842</v>
      </c>
      <c r="Q280" s="331">
        <f ca="1"/>
        <v>4336.4762836376303</v>
      </c>
      <c r="R280" s="331">
        <f ca="1"/>
        <v>4436.7520474572966</v>
      </c>
      <c r="S280" s="331">
        <f ca="1"/>
        <v>4531.1326077836902</v>
      </c>
      <c r="T280" s="331">
        <f ca="1"/>
        <v>4618.9970790429043</v>
      </c>
      <c r="U280" s="331">
        <f ca="1"/>
        <v>4699.9293720649703</v>
      </c>
      <c r="V280" s="331">
        <f ca="1"/>
        <v>4773.5914084868227</v>
      </c>
      <c r="W280" s="331">
        <f ca="1"/>
        <v>4839.6223545142666</v>
      </c>
      <c r="X280" s="331">
        <f ca="1"/>
        <v>4897.7385768555187</v>
      </c>
      <c r="Y280" s="331">
        <f ca="1"/>
        <v>4947.6355092596632</v>
      </c>
      <c r="Z280" s="331">
        <f ca="1"/>
        <v>4989.1143906070483</v>
      </c>
      <c r="AA280" s="331">
        <f ca="1"/>
        <v>5022.0611988331048</v>
      </c>
      <c r="AB280" s="331">
        <f ca="1"/>
        <v>5046.3276795875299</v>
      </c>
      <c r="AC280" s="331">
        <f ca="1"/>
        <v>5061.7816385776532</v>
      </c>
      <c r="AD280" s="331">
        <f ca="1"/>
        <v>5068.376321314182</v>
      </c>
      <c r="AE280" s="331">
        <f ca="1"/>
        <v>5066.1077843672892</v>
      </c>
      <c r="AF280" s="331">
        <f ca="1"/>
        <v>5054.9313966462869</v>
      </c>
      <c r="AG280" s="334">
        <f ca="1"/>
        <v>5034.8245975273667</v>
      </c>
      <c r="AH280" s="313">
        <f ca="1"/>
        <v>5005.8041399600206</v>
      </c>
    </row>
    <row r="281" spans="2:34">
      <c r="B281" s="329">
        <v>3</v>
      </c>
      <c r="C281" s="332" t="str">
        <v>Motocicleta</v>
      </c>
      <c r="D281" s="331">
        <f ca="1"/>
        <v>128584.88914796192</v>
      </c>
      <c r="E281" s="331">
        <f ca="1"/>
        <v>134041.33404075721</v>
      </c>
      <c r="F281" s="335">
        <f ca="1"/>
        <v>139585.55993515794</v>
      </c>
      <c r="G281" s="331">
        <f ca="1"/>
        <v>145347.80506368587</v>
      </c>
      <c r="H281" s="331">
        <f ca="1"/>
        <v>151379.46929293856</v>
      </c>
      <c r="I281" s="331">
        <f ca="1"/>
        <v>157680.01025868469</v>
      </c>
      <c r="J281" s="331">
        <f ca="1"/>
        <v>164211.73751982415</v>
      </c>
      <c r="K281" s="331">
        <f ca="1"/>
        <v>170905.6394609602</v>
      </c>
      <c r="L281" s="331">
        <f ca="1"/>
        <v>177707.94182631827</v>
      </c>
      <c r="M281" s="331">
        <f ca="1"/>
        <v>184569.1921202669</v>
      </c>
      <c r="N281" s="331">
        <f ca="1"/>
        <v>191442.4646122774</v>
      </c>
      <c r="O281" s="331">
        <f ca="1"/>
        <v>198277.20339101955</v>
      </c>
      <c r="P281" s="331">
        <f ca="1"/>
        <v>205023.1862554446</v>
      </c>
      <c r="Q281" s="331">
        <f ca="1"/>
        <v>211639.66701725454</v>
      </c>
      <c r="R281" s="331">
        <f ca="1"/>
        <v>218086.06245511142</v>
      </c>
      <c r="S281" s="331">
        <f ca="1"/>
        <v>224319.98759401069</v>
      </c>
      <c r="T281" s="331">
        <f ca="1"/>
        <v>230300.55496536734</v>
      </c>
      <c r="U281" s="331">
        <f ca="1"/>
        <v>235996.98213232393</v>
      </c>
      <c r="V281" s="331">
        <f ca="1"/>
        <v>241382.46548390327</v>
      </c>
      <c r="W281" s="331">
        <f ca="1"/>
        <v>246428.77538372594</v>
      </c>
      <c r="X281" s="331">
        <f ca="1"/>
        <v>251111.24234483985</v>
      </c>
      <c r="Y281" s="331">
        <f ca="1"/>
        <v>255404.05320589364</v>
      </c>
      <c r="Z281" s="331">
        <f ca="1"/>
        <v>259286.86228507396</v>
      </c>
      <c r="AA281" s="331">
        <f ca="1"/>
        <v>262743.90498900617</v>
      </c>
      <c r="AB281" s="331">
        <f ca="1"/>
        <v>265757.87637763628</v>
      </c>
      <c r="AC281" s="331">
        <f ca="1"/>
        <v>268312.34535000328</v>
      </c>
      <c r="AD281" s="331">
        <f ca="1"/>
        <v>270395.40288267325</v>
      </c>
      <c r="AE281" s="331">
        <f ca="1"/>
        <v>271997.25368546293</v>
      </c>
      <c r="AF281" s="331">
        <f ca="1"/>
        <v>273105.80561319168</v>
      </c>
      <c r="AG281" s="334">
        <f ca="1"/>
        <v>273710.18978325499</v>
      </c>
      <c r="AH281" s="313">
        <f ca="1"/>
        <v>273801.87064565392</v>
      </c>
    </row>
    <row r="282" spans="2:34">
      <c r="B282" s="329">
        <v>3</v>
      </c>
      <c r="C282" s="332" t="str">
        <v xml:space="preserve">Veículos do transporte público coletivo intermunicipal e metropolitano </v>
      </c>
      <c r="D282" s="331">
        <f ca="1"/>
        <v>2178.7004802949959</v>
      </c>
      <c r="E282" s="331">
        <f ca="1"/>
        <v>2235.0716308941292</v>
      </c>
      <c r="F282" s="335">
        <f ca="1"/>
        <v>2290.2691019041376</v>
      </c>
      <c r="G282" s="331">
        <f ca="1"/>
        <v>2344.9297639496126</v>
      </c>
      <c r="H282" s="331">
        <f ca="1"/>
        <v>2399.1933375135013</v>
      </c>
      <c r="I282" s="331">
        <f ca="1"/>
        <v>2452.8978606670798</v>
      </c>
      <c r="J282" s="331">
        <f ca="1"/>
        <v>2505.6479254869487</v>
      </c>
      <c r="K282" s="331">
        <f ca="1"/>
        <v>2556.8861721367225</v>
      </c>
      <c r="L282" s="331">
        <f ca="1"/>
        <v>2606.2155821907336</v>
      </c>
      <c r="M282" s="331">
        <f ca="1"/>
        <v>2653.2888858823594</v>
      </c>
      <c r="N282" s="331">
        <f ca="1"/>
        <v>2697.8054061579551</v>
      </c>
      <c r="O282" s="331">
        <f ca="1"/>
        <v>2739.4508884843367</v>
      </c>
      <c r="P282" s="331">
        <f ca="1"/>
        <v>2777.9341181077602</v>
      </c>
      <c r="Q282" s="331">
        <f ca="1"/>
        <v>2813.0701913756498</v>
      </c>
      <c r="R282" s="331">
        <f ca="1"/>
        <v>2844.6944214364753</v>
      </c>
      <c r="S282" s="331">
        <f ca="1"/>
        <v>2872.6473117545911</v>
      </c>
      <c r="T282" s="331">
        <f ca="1"/>
        <v>2896.7910433106745</v>
      </c>
      <c r="U282" s="331">
        <f ca="1"/>
        <v>2917.0801174100543</v>
      </c>
      <c r="V282" s="331">
        <f ca="1"/>
        <v>2933.4967965461669</v>
      </c>
      <c r="W282" s="331">
        <f ca="1"/>
        <v>2946.0066447057357</v>
      </c>
      <c r="X282" s="331">
        <f ca="1"/>
        <v>2954.6072404147449</v>
      </c>
      <c r="Y282" s="331">
        <f ca="1"/>
        <v>2959.2785269505293</v>
      </c>
      <c r="Z282" s="331">
        <f ca="1"/>
        <v>2960.0414159323441</v>
      </c>
      <c r="AA282" s="331">
        <f ca="1"/>
        <v>2956.9461822372036</v>
      </c>
      <c r="AB282" s="331">
        <f ca="1"/>
        <v>2950.01737409423</v>
      </c>
      <c r="AC282" s="331">
        <f ca="1"/>
        <v>2939.2795128625762</v>
      </c>
      <c r="AD282" s="331">
        <f ca="1"/>
        <v>2924.7890364643117</v>
      </c>
      <c r="AE282" s="331">
        <f ca="1"/>
        <v>2906.6168871464852</v>
      </c>
      <c r="AF282" s="331">
        <f ca="1"/>
        <v>2884.8107046539067</v>
      </c>
      <c r="AG282" s="334">
        <f ca="1"/>
        <v>2859.421429189169</v>
      </c>
      <c r="AH282" s="313">
        <f ca="1"/>
        <v>2830.5095294524117</v>
      </c>
    </row>
    <row r="283" spans="2:34">
      <c r="B283" s="329">
        <v>4</v>
      </c>
      <c r="C283" s="332" t="str">
        <v>Automóvel</v>
      </c>
      <c r="D283" s="331">
        <f ca="1"/>
        <v>1972816.9778023046</v>
      </c>
      <c r="E283" s="331">
        <f ca="1"/>
        <v>2056532.6242851699</v>
      </c>
      <c r="F283" s="335">
        <f ca="1"/>
        <v>2141595.0530489339</v>
      </c>
      <c r="G283" s="331">
        <f ca="1"/>
        <v>2230002.447534747</v>
      </c>
      <c r="H283" s="331">
        <f ca="1"/>
        <v>2322543.4115214259</v>
      </c>
      <c r="I283" s="331">
        <f ca="1"/>
        <v>2419209.623771762</v>
      </c>
      <c r="J283" s="331">
        <f ca="1"/>
        <v>2519422.8177211876</v>
      </c>
      <c r="K283" s="331">
        <f ca="1"/>
        <v>2622124.180880751</v>
      </c>
      <c r="L283" s="331">
        <f ca="1"/>
        <v>2726488.6803444573</v>
      </c>
      <c r="M283" s="331">
        <f ca="1"/>
        <v>2831757.5899227601</v>
      </c>
      <c r="N283" s="331">
        <f ca="1"/>
        <v>2937210.9503848655</v>
      </c>
      <c r="O283" s="331">
        <f ca="1"/>
        <v>3042073.1063574129</v>
      </c>
      <c r="P283" s="331">
        <f ca="1"/>
        <v>3145573.5224256422</v>
      </c>
      <c r="Q283" s="331">
        <f ca="1"/>
        <v>3247087.0491447966</v>
      </c>
      <c r="R283" s="331">
        <f ca="1"/>
        <v>3345991.0373949041</v>
      </c>
      <c r="S283" s="331">
        <f ca="1"/>
        <v>3441635.1946038995</v>
      </c>
      <c r="T283" s="331">
        <f ca="1"/>
        <v>3533392.2037305813</v>
      </c>
      <c r="U283" s="331">
        <f ca="1"/>
        <v>3620789.7844436206</v>
      </c>
      <c r="V283" s="331">
        <f ca="1"/>
        <v>3703416.701650368</v>
      </c>
      <c r="W283" s="331">
        <f ca="1"/>
        <v>3780839.8414266626</v>
      </c>
      <c r="X283" s="331">
        <f ca="1"/>
        <v>3852680.7115327455</v>
      </c>
      <c r="Y283" s="331">
        <f ca="1"/>
        <v>3918543.2728748946</v>
      </c>
      <c r="Z283" s="331">
        <f ca="1"/>
        <v>3978115.371305197</v>
      </c>
      <c r="AA283" s="331">
        <f ca="1"/>
        <v>4031155.1381432517</v>
      </c>
      <c r="AB283" s="331">
        <f ca="1"/>
        <v>4077397.0719000078</v>
      </c>
      <c r="AC283" s="331">
        <f ca="1"/>
        <v>4116589.0779852318</v>
      </c>
      <c r="AD283" s="331">
        <f ca="1"/>
        <v>4148548.4418997704</v>
      </c>
      <c r="AE283" s="331">
        <f ca="1"/>
        <v>4173124.8791513764</v>
      </c>
      <c r="AF283" s="331">
        <f ca="1"/>
        <v>4190132.8656907761</v>
      </c>
      <c r="AG283" s="334">
        <f ca="1"/>
        <v>4199405.6454063142</v>
      </c>
      <c r="AH283" s="313">
        <f ca="1"/>
        <v>4200812.26140201</v>
      </c>
    </row>
    <row r="284" spans="2:34">
      <c r="B284" s="329">
        <v>4</v>
      </c>
      <c r="C284" s="332" t="str">
        <v xml:space="preserve">Automóvel com reboque </v>
      </c>
      <c r="D284" s="331">
        <f ca="1"/>
        <v>12155.372629712288</v>
      </c>
      <c r="E284" s="331">
        <f ca="1"/>
        <v>12671.180679514293</v>
      </c>
      <c r="F284" s="335">
        <f ca="1"/>
        <v>13195.286833326762</v>
      </c>
      <c r="G284" s="331">
        <f ca="1"/>
        <v>13740.002757453767</v>
      </c>
      <c r="H284" s="331">
        <f ca="1"/>
        <v>14310.187378443779</v>
      </c>
      <c r="I284" s="331">
        <f ca="1"/>
        <v>14905.789425580784</v>
      </c>
      <c r="J284" s="331">
        <f ca="1"/>
        <v>15523.245950222965</v>
      </c>
      <c r="K284" s="331">
        <f ca="1"/>
        <v>16156.033153917129</v>
      </c>
      <c r="L284" s="331">
        <f ca="1"/>
        <v>16799.067654617724</v>
      </c>
      <c r="M284" s="331">
        <f ca="1"/>
        <v>17447.674614434749</v>
      </c>
      <c r="N284" s="331">
        <f ca="1"/>
        <v>18097.418055359612</v>
      </c>
      <c r="O284" s="331">
        <f ca="1"/>
        <v>18743.518831530575</v>
      </c>
      <c r="P284" s="331">
        <f ca="1"/>
        <v>19381.229343349609</v>
      </c>
      <c r="Q284" s="331">
        <f ca="1"/>
        <v>20006.697776616114</v>
      </c>
      <c r="R284" s="331">
        <f ca="1"/>
        <v>20616.087722704269</v>
      </c>
      <c r="S284" s="331">
        <f ca="1"/>
        <v>21205.392449808372</v>
      </c>
      <c r="T284" s="331">
        <f ca="1"/>
        <v>21770.74678823525</v>
      </c>
      <c r="U284" s="331">
        <f ca="1"/>
        <v>22309.240816042024</v>
      </c>
      <c r="V284" s="331">
        <f ca="1"/>
        <v>22818.340737217299</v>
      </c>
      <c r="W284" s="331">
        <f ca="1"/>
        <v>23295.37795087284</v>
      </c>
      <c r="X284" s="331">
        <f ca="1"/>
        <v>23738.02040377539</v>
      </c>
      <c r="Y284" s="331">
        <f ca="1"/>
        <v>24143.827928988878</v>
      </c>
      <c r="Z284" s="331">
        <f ca="1"/>
        <v>24510.877210752908</v>
      </c>
      <c r="AA284" s="331">
        <f ca="1"/>
        <v>24837.677992256631</v>
      </c>
      <c r="AB284" s="331">
        <f ca="1"/>
        <v>25122.594404805965</v>
      </c>
      <c r="AC284" s="331">
        <f ca="1"/>
        <v>25364.073185368034</v>
      </c>
      <c r="AD284" s="331">
        <f ca="1"/>
        <v>25560.98855144652</v>
      </c>
      <c r="AE284" s="331">
        <f ca="1"/>
        <v>25712.414535744774</v>
      </c>
      <c r="AF284" s="331">
        <f ca="1"/>
        <v>25817.208044921608</v>
      </c>
      <c r="AG284" s="334">
        <f ca="1"/>
        <v>25874.341622959422</v>
      </c>
      <c r="AH284" s="313">
        <f ca="1"/>
        <v>25883.008388182443</v>
      </c>
    </row>
    <row r="285" spans="2:34">
      <c r="B285" s="329">
        <v>4</v>
      </c>
      <c r="C285" s="332" t="str">
        <v>Veículos Comerciais com 2 Eixos</v>
      </c>
      <c r="D285" s="331">
        <f ca="1"/>
        <v>220186.19202607998</v>
      </c>
      <c r="E285" s="331">
        <f ca="1"/>
        <v>225883.23441571184</v>
      </c>
      <c r="F285" s="335">
        <f ca="1"/>
        <v>231461.66112515936</v>
      </c>
      <c r="G285" s="331">
        <f ca="1"/>
        <v>236985.83626454702</v>
      </c>
      <c r="H285" s="331">
        <f ca="1"/>
        <v>242469.88041693176</v>
      </c>
      <c r="I285" s="331">
        <f ca="1"/>
        <v>247897.4252101297</v>
      </c>
      <c r="J285" s="331">
        <f ca="1"/>
        <v>253228.5094995329</v>
      </c>
      <c r="K285" s="331">
        <f ca="1"/>
        <v>258406.80478057085</v>
      </c>
      <c r="L285" s="331">
        <f ca="1"/>
        <v>263392.18714630796</v>
      </c>
      <c r="M285" s="331">
        <f ca="1"/>
        <v>268149.56044277083</v>
      </c>
      <c r="N285" s="331">
        <f ca="1"/>
        <v>272648.53731930233</v>
      </c>
      <c r="O285" s="331">
        <f ca="1"/>
        <v>276857.35824327526</v>
      </c>
      <c r="P285" s="331">
        <f ca="1"/>
        <v>280746.59215325239</v>
      </c>
      <c r="Q285" s="331">
        <f ca="1"/>
        <v>284297.55211566016</v>
      </c>
      <c r="R285" s="331">
        <f ca="1"/>
        <v>287493.59436920891</v>
      </c>
      <c r="S285" s="331">
        <f ca="1"/>
        <v>290318.59970194526</v>
      </c>
      <c r="T285" s="331">
        <f ca="1"/>
        <v>292758.63969859231</v>
      </c>
      <c r="U285" s="331">
        <f ca="1"/>
        <v>294809.11612069904</v>
      </c>
      <c r="V285" s="331">
        <f ca="1"/>
        <v>296468.2363611302</v>
      </c>
      <c r="W285" s="331">
        <f ca="1"/>
        <v>297732.52021014597</v>
      </c>
      <c r="X285" s="331">
        <f ca="1"/>
        <v>298601.72294611181</v>
      </c>
      <c r="Y285" s="331">
        <f ca="1"/>
        <v>299073.81757475849</v>
      </c>
      <c r="Z285" s="331">
        <f ca="1"/>
        <v>299150.91748884198</v>
      </c>
      <c r="AA285" s="331">
        <f ca="1"/>
        <v>298838.103622536</v>
      </c>
      <c r="AB285" s="331">
        <f ca="1"/>
        <v>298137.85689560906</v>
      </c>
      <c r="AC285" s="331">
        <f ca="1"/>
        <v>297052.65551226778</v>
      </c>
      <c r="AD285" s="331">
        <f ca="1"/>
        <v>295588.20326303272</v>
      </c>
      <c r="AE285" s="331">
        <f ca="1"/>
        <v>293751.66979025368</v>
      </c>
      <c r="AF285" s="331">
        <f ca="1"/>
        <v>291547.86971351417</v>
      </c>
      <c r="AG285" s="334">
        <f ca="1"/>
        <v>288981.95120684319</v>
      </c>
      <c r="AH285" s="313">
        <f ca="1"/>
        <v>286060.02542362839</v>
      </c>
    </row>
    <row r="286" spans="2:34">
      <c r="B286" s="329">
        <v>4</v>
      </c>
      <c r="C286" s="332" t="str">
        <v>Veículos Comerciais com 3 Eixos</v>
      </c>
      <c r="D286" s="331">
        <f ca="1"/>
        <v>76533.033755479642</v>
      </c>
      <c r="E286" s="331">
        <f ca="1"/>
        <v>78513.230304137192</v>
      </c>
      <c r="F286" s="335">
        <f ca="1"/>
        <v>80452.19802835329</v>
      </c>
      <c r="G286" s="331">
        <f ca="1"/>
        <v>82372.308815154407</v>
      </c>
      <c r="H286" s="331">
        <f ca="1"/>
        <v>84278.470742789228</v>
      </c>
      <c r="I286" s="331">
        <f ca="1"/>
        <v>86164.994439143411</v>
      </c>
      <c r="J286" s="331">
        <f ca="1"/>
        <v>88017.9900794235</v>
      </c>
      <c r="K286" s="331">
        <f ca="1"/>
        <v>89817.878818552883</v>
      </c>
      <c r="L286" s="331">
        <f ca="1"/>
        <v>91550.71425827808</v>
      </c>
      <c r="M286" s="331">
        <f ca="1"/>
        <v>93204.297563095344</v>
      </c>
      <c r="N286" s="331">
        <f ca="1"/>
        <v>94768.066598693753</v>
      </c>
      <c r="O286" s="331">
        <f ca="1"/>
        <v>96230.982283284146</v>
      </c>
      <c r="P286" s="331">
        <f ca="1"/>
        <v>97582.814872677336</v>
      </c>
      <c r="Q286" s="331">
        <f ca="1"/>
        <v>98817.069101639703</v>
      </c>
      <c r="R286" s="331">
        <f ca="1"/>
        <v>99927.959877414658</v>
      </c>
      <c r="S286" s="331">
        <f ca="1"/>
        <v>100909.88443181229</v>
      </c>
      <c r="T286" s="331">
        <f ca="1"/>
        <v>101758.00148088679</v>
      </c>
      <c r="U286" s="331">
        <f ca="1"/>
        <v>102470.71275394117</v>
      </c>
      <c r="V286" s="331">
        <f ca="1"/>
        <v>103047.39517074903</v>
      </c>
      <c r="W286" s="331">
        <f ca="1"/>
        <v>103486.83906867418</v>
      </c>
      <c r="X286" s="331">
        <f ca="1"/>
        <v>103788.9593865738</v>
      </c>
      <c r="Y286" s="331">
        <f ca="1"/>
        <v>103953.05157517805</v>
      </c>
      <c r="Z286" s="331">
        <f ca="1"/>
        <v>103979.85021442424</v>
      </c>
      <c r="AA286" s="331">
        <f ca="1"/>
        <v>103871.12135196068</v>
      </c>
      <c r="AB286" s="331">
        <f ca="1"/>
        <v>103627.72731396071</v>
      </c>
      <c r="AC286" s="331">
        <f ca="1"/>
        <v>103250.52948271384</v>
      </c>
      <c r="AD286" s="331">
        <f ca="1"/>
        <v>102741.51040030595</v>
      </c>
      <c r="AE286" s="331">
        <f ca="1"/>
        <v>102103.16211437611</v>
      </c>
      <c r="AF286" s="331">
        <f ca="1"/>
        <v>101337.15810608001</v>
      </c>
      <c r="AG286" s="334">
        <f ca="1"/>
        <v>100445.28779451388</v>
      </c>
      <c r="AH286" s="313">
        <f ca="1"/>
        <v>99429.675314275824</v>
      </c>
    </row>
    <row r="287" spans="2:34">
      <c r="B287" s="329">
        <v>4</v>
      </c>
      <c r="C287" s="332" t="str">
        <v>Veículos Comerciais com 4 Eixos</v>
      </c>
      <c r="D287" s="331">
        <f ca="1"/>
        <v>23059.010108398015</v>
      </c>
      <c r="E287" s="331">
        <f ca="1"/>
        <v>23655.633161104852</v>
      </c>
      <c r="F287" s="335">
        <f ca="1"/>
        <v>24239.834180698635</v>
      </c>
      <c r="G287" s="331">
        <f ca="1"/>
        <v>24818.35370187103</v>
      </c>
      <c r="H287" s="331">
        <f ca="1"/>
        <v>25392.67050339764</v>
      </c>
      <c r="I287" s="331">
        <f ca="1"/>
        <v>25961.070406672723</v>
      </c>
      <c r="J287" s="331">
        <f ca="1"/>
        <v>26519.368478803917</v>
      </c>
      <c r="K287" s="331">
        <f ca="1"/>
        <v>27061.665714298055</v>
      </c>
      <c r="L287" s="331">
        <f ca="1"/>
        <v>27583.76013496974</v>
      </c>
      <c r="M287" s="331">
        <f ca="1"/>
        <v>28081.976294317134</v>
      </c>
      <c r="N287" s="331">
        <f ca="1"/>
        <v>28553.131875504081</v>
      </c>
      <c r="O287" s="331">
        <f ca="1"/>
        <v>28993.900859868158</v>
      </c>
      <c r="P287" s="331">
        <f ca="1"/>
        <v>29401.201078010199</v>
      </c>
      <c r="Q287" s="331">
        <f ca="1"/>
        <v>29773.075539865549</v>
      </c>
      <c r="R287" s="331">
        <f ca="1"/>
        <v>30107.781226690444</v>
      </c>
      <c r="S287" s="331">
        <f ca="1"/>
        <v>30403.630053196925</v>
      </c>
      <c r="T287" s="331">
        <f ca="1"/>
        <v>30659.163365389886</v>
      </c>
      <c r="U287" s="331">
        <f ca="1"/>
        <v>30873.899612514731</v>
      </c>
      <c r="V287" s="331">
        <f ca="1"/>
        <v>31047.651063698457</v>
      </c>
      <c r="W287" s="331">
        <f ca="1"/>
        <v>31180.053253799852</v>
      </c>
      <c r="X287" s="331">
        <f ca="1"/>
        <v>31271.080554333341</v>
      </c>
      <c r="Y287" s="331">
        <f ca="1"/>
        <v>31320.520688221459</v>
      </c>
      <c r="Z287" s="331">
        <f ca="1"/>
        <v>31328.594980627575</v>
      </c>
      <c r="AA287" s="331">
        <f ca="1"/>
        <v>31295.835532640289</v>
      </c>
      <c r="AB287" s="331">
        <f ca="1"/>
        <v>31222.502158707975</v>
      </c>
      <c r="AC287" s="331">
        <f ca="1"/>
        <v>31108.85438889165</v>
      </c>
      <c r="AD287" s="331">
        <f ca="1"/>
        <v>30955.489552942359</v>
      </c>
      <c r="AE287" s="331">
        <f ca="1"/>
        <v>30763.158492018214</v>
      </c>
      <c r="AF287" s="331">
        <f ca="1"/>
        <v>30532.365417398862</v>
      </c>
      <c r="AG287" s="334">
        <f ca="1"/>
        <v>30263.649471870169</v>
      </c>
      <c r="AH287" s="313">
        <f ca="1"/>
        <v>29957.650646280057</v>
      </c>
    </row>
    <row r="288" spans="2:34">
      <c r="B288" s="329">
        <v>4</v>
      </c>
      <c r="C288" s="332" t="str">
        <v>Veículos Comerciais com 5 Eixos Articulado</v>
      </c>
      <c r="D288" s="331">
        <f ca="1"/>
        <v>2562.1495363324889</v>
      </c>
      <c r="E288" s="331">
        <f ca="1"/>
        <v>2660.2311096190165</v>
      </c>
      <c r="F288" s="335">
        <f ca="1"/>
        <v>2758.6632801877035</v>
      </c>
      <c r="G288" s="331">
        <f ca="1"/>
        <v>2859.2577088193957</v>
      </c>
      <c r="H288" s="331">
        <f ca="1"/>
        <v>2962.6232258775131</v>
      </c>
      <c r="I288" s="331">
        <f ca="1"/>
        <v>3068.590194456161</v>
      </c>
      <c r="J288" s="331">
        <f ca="1"/>
        <v>3176.4171833558985</v>
      </c>
      <c r="K288" s="331">
        <f ca="1"/>
        <v>3284.906428947103</v>
      </c>
      <c r="L288" s="331">
        <f ca="1"/>
        <v>3393.1362130980292</v>
      </c>
      <c r="M288" s="331">
        <f ca="1"/>
        <v>3500.266481479377</v>
      </c>
      <c r="N288" s="331">
        <f ca="1"/>
        <v>3605.5195547792709</v>
      </c>
      <c r="O288" s="331">
        <f ca="1"/>
        <v>3708.0716425320661</v>
      </c>
      <c r="P288" s="331">
        <f ca="1"/>
        <v>3807.1232327462317</v>
      </c>
      <c r="Q288" s="331">
        <f ca="1"/>
        <v>3902.0597765001739</v>
      </c>
      <c r="R288" s="331">
        <f ca="1"/>
        <v>3992.2901845471251</v>
      </c>
      <c r="S288" s="331">
        <f ca="1"/>
        <v>4077.2159546989778</v>
      </c>
      <c r="T288" s="331">
        <f ca="1"/>
        <v>4156.2784000253096</v>
      </c>
      <c r="U288" s="331">
        <f ca="1"/>
        <v>4229.1031140478244</v>
      </c>
      <c r="V288" s="331">
        <f ca="1"/>
        <v>4295.3858861827357</v>
      </c>
      <c r="W288" s="331">
        <f ca="1"/>
        <v>4354.8020299928921</v>
      </c>
      <c r="X288" s="331">
        <f ca="1"/>
        <v>4407.096325805277</v>
      </c>
      <c r="Y288" s="331">
        <f ca="1"/>
        <v>4451.9947179951778</v>
      </c>
      <c r="Z288" s="331">
        <f ca="1"/>
        <v>4489.3183567962369</v>
      </c>
      <c r="AA288" s="331">
        <f ca="1"/>
        <v>4518.9646425670244</v>
      </c>
      <c r="AB288" s="331">
        <f ca="1"/>
        <v>4540.8001726784969</v>
      </c>
      <c r="AC288" s="331">
        <f ca="1"/>
        <v>4554.7059957059573</v>
      </c>
      <c r="AD288" s="331">
        <f ca="1"/>
        <v>4560.6400408988447</v>
      </c>
      <c r="AE288" s="331">
        <f ca="1"/>
        <v>4558.5987598695046</v>
      </c>
      <c r="AF288" s="331">
        <f ca="1"/>
        <v>4548.5419925496299</v>
      </c>
      <c r="AG288" s="334">
        <f ca="1"/>
        <v>4530.4494383779065</v>
      </c>
      <c r="AH288" s="313">
        <f ca="1"/>
        <v>4504.3361720384946</v>
      </c>
    </row>
    <row r="289" spans="2:34">
      <c r="B289" s="329">
        <v>4</v>
      </c>
      <c r="C289" s="332" t="str">
        <v>Veículos Comerciais com 6 Eixos Articulado</v>
      </c>
      <c r="D289" s="331">
        <f ca="1"/>
        <v>18959.906568860413</v>
      </c>
      <c r="E289" s="331">
        <f ca="1"/>
        <v>19685.710211180722</v>
      </c>
      <c r="F289" s="335">
        <f ca="1"/>
        <v>20414.108273389003</v>
      </c>
      <c r="G289" s="331">
        <f ca="1"/>
        <v>21158.50704526353</v>
      </c>
      <c r="H289" s="331">
        <f ca="1"/>
        <v>21923.411871493598</v>
      </c>
      <c r="I289" s="331">
        <f ca="1"/>
        <v>22707.567438975595</v>
      </c>
      <c r="J289" s="331">
        <f ca="1"/>
        <v>23505.487156833657</v>
      </c>
      <c r="K289" s="331">
        <f ca="1"/>
        <v>24308.307574208568</v>
      </c>
      <c r="L289" s="331">
        <f ca="1"/>
        <v>25109.20797692542</v>
      </c>
      <c r="M289" s="331">
        <f ca="1"/>
        <v>25901.971962947398</v>
      </c>
      <c r="N289" s="331">
        <f ca="1"/>
        <v>26680.84470536661</v>
      </c>
      <c r="O289" s="331">
        <f ca="1"/>
        <v>27439.730154737288</v>
      </c>
      <c r="P289" s="331">
        <f ca="1"/>
        <v>28172.711922322116</v>
      </c>
      <c r="Q289" s="331">
        <f ca="1"/>
        <v>28875.242346101295</v>
      </c>
      <c r="R289" s="331">
        <f ca="1"/>
        <v>29542.947365648735</v>
      </c>
      <c r="S289" s="331">
        <f ca="1"/>
        <v>30171.398064772442</v>
      </c>
      <c r="T289" s="331">
        <f ca="1"/>
        <v>30756.460160187296</v>
      </c>
      <c r="U289" s="331">
        <f ca="1"/>
        <v>31295.363043953905</v>
      </c>
      <c r="V289" s="331">
        <f ca="1"/>
        <v>31785.855557752253</v>
      </c>
      <c r="W289" s="331">
        <f ca="1"/>
        <v>32225.535021947413</v>
      </c>
      <c r="X289" s="331">
        <f ca="1"/>
        <v>32612.512810959059</v>
      </c>
      <c r="Y289" s="331">
        <f ca="1"/>
        <v>32944.760913164326</v>
      </c>
      <c r="Z289" s="331">
        <f ca="1"/>
        <v>33220.955840292168</v>
      </c>
      <c r="AA289" s="331">
        <f ca="1"/>
        <v>33440.338354995991</v>
      </c>
      <c r="AB289" s="331">
        <f ca="1"/>
        <v>33601.921277820889</v>
      </c>
      <c r="AC289" s="331">
        <f ca="1"/>
        <v>33704.824368224101</v>
      </c>
      <c r="AD289" s="331">
        <f ca="1"/>
        <v>33748.736302651465</v>
      </c>
      <c r="AE289" s="331">
        <f ca="1"/>
        <v>33733.630823034349</v>
      </c>
      <c r="AF289" s="331">
        <f ca="1"/>
        <v>33659.210744867276</v>
      </c>
      <c r="AG289" s="334">
        <f ca="1"/>
        <v>33525.325843996521</v>
      </c>
      <c r="AH289" s="313">
        <f ca="1"/>
        <v>33332.087673084876</v>
      </c>
    </row>
    <row r="290" spans="2:34">
      <c r="B290" s="329">
        <v>4</v>
      </c>
      <c r="C290" s="332" t="str">
        <v>Veículos Comerciais com 7 Eixos Articulado</v>
      </c>
      <c r="D290" s="331">
        <f ca="1"/>
        <v>9992.3831916967065</v>
      </c>
      <c r="E290" s="331">
        <f ca="1"/>
        <v>10374.901327514166</v>
      </c>
      <c r="F290" s="335">
        <f ca="1"/>
        <v>10758.786792732044</v>
      </c>
      <c r="G290" s="331">
        <f ca="1"/>
        <v>11151.105064395646</v>
      </c>
      <c r="H290" s="331">
        <f ca="1"/>
        <v>11554.230580922302</v>
      </c>
      <c r="I290" s="331">
        <f ca="1"/>
        <v>11967.501758379032</v>
      </c>
      <c r="J290" s="331">
        <f ca="1"/>
        <v>12388.027015088008</v>
      </c>
      <c r="K290" s="331">
        <f ca="1"/>
        <v>12811.135072893705</v>
      </c>
      <c r="L290" s="331">
        <f ca="1"/>
        <v>13233.231231082318</v>
      </c>
      <c r="M290" s="331">
        <f ca="1"/>
        <v>13651.039277769574</v>
      </c>
      <c r="N290" s="331">
        <f ca="1"/>
        <v>14061.526263639158</v>
      </c>
      <c r="O290" s="331">
        <f ca="1"/>
        <v>14461.479405875058</v>
      </c>
      <c r="P290" s="331">
        <f ca="1"/>
        <v>14847.780607710303</v>
      </c>
      <c r="Q290" s="331">
        <f ca="1"/>
        <v>15218.03312835068</v>
      </c>
      <c r="R290" s="331">
        <f ca="1"/>
        <v>15569.93171973379</v>
      </c>
      <c r="S290" s="331">
        <f ca="1"/>
        <v>15901.142223326016</v>
      </c>
      <c r="T290" s="331">
        <f ca="1"/>
        <v>16209.485760098712</v>
      </c>
      <c r="U290" s="331">
        <f ca="1"/>
        <v>16493.502144786522</v>
      </c>
      <c r="V290" s="331">
        <f ca="1"/>
        <v>16752.004956112676</v>
      </c>
      <c r="W290" s="331">
        <f ca="1"/>
        <v>16983.727916972286</v>
      </c>
      <c r="X290" s="331">
        <f ca="1"/>
        <v>17187.67567064059</v>
      </c>
      <c r="Y290" s="331">
        <f ca="1"/>
        <v>17362.7794001812</v>
      </c>
      <c r="Z290" s="331">
        <f ca="1"/>
        <v>17508.341591505334</v>
      </c>
      <c r="AA290" s="331">
        <f ca="1"/>
        <v>17623.9621060114</v>
      </c>
      <c r="AB290" s="331">
        <f ca="1"/>
        <v>17709.120673446148</v>
      </c>
      <c r="AC290" s="331">
        <f ca="1"/>
        <v>17763.353383253245</v>
      </c>
      <c r="AD290" s="331">
        <f ca="1"/>
        <v>17786.496159505503</v>
      </c>
      <c r="AE290" s="331">
        <f ca="1"/>
        <v>17778.535163491077</v>
      </c>
      <c r="AF290" s="331">
        <f ca="1"/>
        <v>17739.313770943565</v>
      </c>
      <c r="AG290" s="334">
        <f ca="1"/>
        <v>17668.752809673846</v>
      </c>
      <c r="AH290" s="313">
        <f ca="1"/>
        <v>17566.91107095014</v>
      </c>
    </row>
    <row r="291" spans="2:34">
      <c r="B291" s="329">
        <v>4</v>
      </c>
      <c r="C291" s="332" t="str">
        <v>Veículos Comerciais com 8 Eixos Articulado</v>
      </c>
      <c r="D291" s="331">
        <f ca="1"/>
        <v>0</v>
      </c>
      <c r="E291" s="331">
        <f ca="1"/>
        <v>0</v>
      </c>
      <c r="F291" s="335">
        <f ca="1"/>
        <v>0</v>
      </c>
      <c r="G291" s="331">
        <f ca="1"/>
        <v>0</v>
      </c>
      <c r="H291" s="331">
        <f ca="1"/>
        <v>0</v>
      </c>
      <c r="I291" s="331">
        <f ca="1"/>
        <v>0</v>
      </c>
      <c r="J291" s="331">
        <f ca="1"/>
        <v>0</v>
      </c>
      <c r="K291" s="331">
        <f ca="1"/>
        <v>0</v>
      </c>
      <c r="L291" s="331">
        <f ca="1"/>
        <v>0</v>
      </c>
      <c r="M291" s="331">
        <f ca="1"/>
        <v>0</v>
      </c>
      <c r="N291" s="331">
        <f ca="1"/>
        <v>0</v>
      </c>
      <c r="O291" s="331">
        <f ca="1"/>
        <v>0</v>
      </c>
      <c r="P291" s="331">
        <f ca="1"/>
        <v>0</v>
      </c>
      <c r="Q291" s="331">
        <f ca="1"/>
        <v>0</v>
      </c>
      <c r="R291" s="331">
        <f ca="1"/>
        <v>0</v>
      </c>
      <c r="S291" s="331">
        <f ca="1"/>
        <v>0</v>
      </c>
      <c r="T291" s="331">
        <f ca="1"/>
        <v>0</v>
      </c>
      <c r="U291" s="331">
        <f ca="1"/>
        <v>0</v>
      </c>
      <c r="V291" s="331">
        <f ca="1"/>
        <v>0</v>
      </c>
      <c r="W291" s="331">
        <f ca="1"/>
        <v>0</v>
      </c>
      <c r="X291" s="331">
        <f ca="1"/>
        <v>0</v>
      </c>
      <c r="Y291" s="331">
        <f ca="1"/>
        <v>0</v>
      </c>
      <c r="Z291" s="331">
        <f ca="1"/>
        <v>0</v>
      </c>
      <c r="AA291" s="331">
        <f ca="1"/>
        <v>0</v>
      </c>
      <c r="AB291" s="331">
        <f ca="1"/>
        <v>0</v>
      </c>
      <c r="AC291" s="331">
        <f ca="1"/>
        <v>0</v>
      </c>
      <c r="AD291" s="331">
        <f ca="1"/>
        <v>0</v>
      </c>
      <c r="AE291" s="331">
        <f ca="1"/>
        <v>0</v>
      </c>
      <c r="AF291" s="331">
        <f ca="1"/>
        <v>0</v>
      </c>
      <c r="AG291" s="334">
        <f ca="1"/>
        <v>0</v>
      </c>
      <c r="AH291" s="313">
        <f ca="1"/>
        <v>0</v>
      </c>
    </row>
    <row r="292" spans="2:34">
      <c r="B292" s="329">
        <v>4</v>
      </c>
      <c r="C292" s="332" t="str">
        <v>Veículos Comerciais com 9 Eixos Articulado</v>
      </c>
      <c r="D292" s="331">
        <f ca="1"/>
        <v>4611.8691653984788</v>
      </c>
      <c r="E292" s="331">
        <f ca="1"/>
        <v>4788.4159973142296</v>
      </c>
      <c r="F292" s="335">
        <f ca="1"/>
        <v>4965.5939043378658</v>
      </c>
      <c r="G292" s="331">
        <f ca="1"/>
        <v>5146.6638758749123</v>
      </c>
      <c r="H292" s="331">
        <f ca="1"/>
        <v>5332.7218065795232</v>
      </c>
      <c r="I292" s="331">
        <f ca="1"/>
        <v>5523.462350021091</v>
      </c>
      <c r="J292" s="331">
        <f ca="1"/>
        <v>5717.5509300406184</v>
      </c>
      <c r="K292" s="331">
        <f ca="1"/>
        <v>5912.8315721047866</v>
      </c>
      <c r="L292" s="331">
        <f ca="1"/>
        <v>6107.6451835764528</v>
      </c>
      <c r="M292" s="331">
        <f ca="1"/>
        <v>6300.4796666628799</v>
      </c>
      <c r="N292" s="331">
        <f ca="1"/>
        <v>6489.9351986026868</v>
      </c>
      <c r="O292" s="331">
        <f ca="1"/>
        <v>6674.5289565577186</v>
      </c>
      <c r="P292" s="331">
        <f ca="1"/>
        <v>6852.8218189432164</v>
      </c>
      <c r="Q292" s="331">
        <f ca="1"/>
        <v>7023.7075977003142</v>
      </c>
      <c r="R292" s="331">
        <f ca="1"/>
        <v>7186.1223321848274</v>
      </c>
      <c r="S292" s="331">
        <f ca="1"/>
        <v>7338.9887184581612</v>
      </c>
      <c r="T292" s="331">
        <f ca="1"/>
        <v>7481.3011200455603</v>
      </c>
      <c r="U292" s="331">
        <f ca="1"/>
        <v>7612.3856052860874</v>
      </c>
      <c r="V292" s="331">
        <f ca="1"/>
        <v>7731.6945951289272</v>
      </c>
      <c r="W292" s="331">
        <f ca="1"/>
        <v>7838.6436539872075</v>
      </c>
      <c r="X292" s="331">
        <f ca="1"/>
        <v>7932.7733864495012</v>
      </c>
      <c r="Y292" s="331">
        <f ca="1"/>
        <v>8013.5904923913222</v>
      </c>
      <c r="Z292" s="331">
        <f ca="1"/>
        <v>8080.7730422332297</v>
      </c>
      <c r="AA292" s="331">
        <f ca="1"/>
        <v>8134.1363566206464</v>
      </c>
      <c r="AB292" s="331">
        <f ca="1"/>
        <v>8173.4403108212982</v>
      </c>
      <c r="AC292" s="331">
        <f ca="1"/>
        <v>8198.4707922707275</v>
      </c>
      <c r="AD292" s="331">
        <f ca="1"/>
        <v>8209.1520736179245</v>
      </c>
      <c r="AE292" s="331">
        <f ca="1"/>
        <v>8205.4777677651109</v>
      </c>
      <c r="AF292" s="331">
        <f ca="1"/>
        <v>8187.3755865893381</v>
      </c>
      <c r="AG292" s="334">
        <f ca="1"/>
        <v>8154.8089890802357</v>
      </c>
      <c r="AH292" s="313">
        <f ca="1"/>
        <v>8107.8051096692943</v>
      </c>
    </row>
    <row r="293" spans="2:34">
      <c r="B293" s="329">
        <v>4</v>
      </c>
      <c r="C293" s="332" t="str">
        <v>Motocicleta</v>
      </c>
      <c r="D293" s="331">
        <f ca="1"/>
        <v>304694.67391812138</v>
      </c>
      <c r="E293" s="331">
        <f ca="1"/>
        <v>317624.26236649166</v>
      </c>
      <c r="F293" s="335">
        <f ca="1"/>
        <v>330761.8566220575</v>
      </c>
      <c r="G293" s="331">
        <f ca="1"/>
        <v>344416.06912017456</v>
      </c>
      <c r="H293" s="331">
        <f ca="1"/>
        <v>358708.69695299078</v>
      </c>
      <c r="I293" s="331">
        <f ca="1"/>
        <v>373638.45493455848</v>
      </c>
      <c r="J293" s="331">
        <f ca="1"/>
        <v>389116.03181892243</v>
      </c>
      <c r="K293" s="331">
        <f ca="1"/>
        <v>404977.89772485627</v>
      </c>
      <c r="L293" s="331">
        <f ca="1"/>
        <v>421096.62920908444</v>
      </c>
      <c r="M293" s="331">
        <f ca="1"/>
        <v>437355.04366849788</v>
      </c>
      <c r="N293" s="331">
        <f ca="1"/>
        <v>453641.94592101447</v>
      </c>
      <c r="O293" s="331">
        <f ca="1"/>
        <v>469837.53871036664</v>
      </c>
      <c r="P293" s="331">
        <f ca="1"/>
        <v>485822.81553996378</v>
      </c>
      <c r="Q293" s="331">
        <f ca="1"/>
        <v>501501.22426717752</v>
      </c>
      <c r="R293" s="331">
        <f ca="1"/>
        <v>516776.59891578724</v>
      </c>
      <c r="S293" s="331">
        <f ca="1"/>
        <v>531548.5040751968</v>
      </c>
      <c r="T293" s="331">
        <f ca="1"/>
        <v>545720.05282509711</v>
      </c>
      <c r="U293" s="331">
        <f ca="1"/>
        <v>559218.30312212021</v>
      </c>
      <c r="V293" s="331">
        <f ca="1"/>
        <v>571979.74114624714</v>
      </c>
      <c r="W293" s="331">
        <f ca="1"/>
        <v>583937.47396854614</v>
      </c>
      <c r="X293" s="331">
        <f ca="1"/>
        <v>595033.04478797002</v>
      </c>
      <c r="Y293" s="331">
        <f ca="1"/>
        <v>605205.28675332142</v>
      </c>
      <c r="Z293" s="331">
        <f ca="1"/>
        <v>614405.98874953983</v>
      </c>
      <c r="AA293" s="331">
        <f ca="1"/>
        <v>622597.79500589985</v>
      </c>
      <c r="AB293" s="331">
        <f ca="1"/>
        <v>629739.69974713633</v>
      </c>
      <c r="AC293" s="331">
        <f ca="1"/>
        <v>635792.76784655883</v>
      </c>
      <c r="AD293" s="331">
        <f ca="1"/>
        <v>640728.77968959301</v>
      </c>
      <c r="AE293" s="331">
        <f ca="1"/>
        <v>644524.52436266921</v>
      </c>
      <c r="AF293" s="331">
        <f ca="1"/>
        <v>647151.34832603508</v>
      </c>
      <c r="AG293" s="334">
        <f ca="1"/>
        <v>648583.496682183</v>
      </c>
      <c r="AH293" s="313">
        <f ca="1"/>
        <v>648800.74359710654</v>
      </c>
    </row>
    <row r="294" spans="2:34">
      <c r="B294" s="329">
        <v>4</v>
      </c>
      <c r="C294" s="332" t="str">
        <v xml:space="preserve">Veículos do transporte público coletivo intermunicipal e metropolitano </v>
      </c>
      <c r="D294" s="331">
        <f ca="1"/>
        <v>1060.0599286147594</v>
      </c>
      <c r="E294" s="331">
        <f ca="1"/>
        <v>1087.4876537291166</v>
      </c>
      <c r="F294" s="335">
        <f ca="1"/>
        <v>1114.3443179231147</v>
      </c>
      <c r="G294" s="331">
        <f ca="1"/>
        <v>1140.9397944606312</v>
      </c>
      <c r="H294" s="331">
        <f ca="1"/>
        <v>1167.3420651897993</v>
      </c>
      <c r="I294" s="331">
        <f ca="1"/>
        <v>1193.4723265521889</v>
      </c>
      <c r="J294" s="331">
        <f ca="1"/>
        <v>1219.1381904252271</v>
      </c>
      <c r="K294" s="331">
        <f ca="1"/>
        <v>1244.0684700011284</v>
      </c>
      <c r="L294" s="331">
        <f ca="1"/>
        <v>1268.0699935576763</v>
      </c>
      <c r="M294" s="331">
        <f ca="1"/>
        <v>1290.9737948843504</v>
      </c>
      <c r="N294" s="331">
        <f ca="1"/>
        <v>1312.63357773763</v>
      </c>
      <c r="O294" s="331">
        <f ca="1"/>
        <v>1332.8964396690021</v>
      </c>
      <c r="P294" s="331">
        <f ca="1"/>
        <v>1351.6206883743348</v>
      </c>
      <c r="Q294" s="331">
        <f ca="1"/>
        <v>1368.7163578603577</v>
      </c>
      <c r="R294" s="331">
        <f ca="1"/>
        <v>1384.1033187409262</v>
      </c>
      <c r="S294" s="331">
        <f ca="1"/>
        <v>1397.703967009561</v>
      </c>
      <c r="T294" s="331">
        <f ca="1"/>
        <v>1409.4512459867844</v>
      </c>
      <c r="U294" s="331">
        <f ca="1"/>
        <v>1419.3230180068356</v>
      </c>
      <c r="V294" s="331">
        <f ca="1"/>
        <v>1427.3106527783495</v>
      </c>
      <c r="W294" s="331">
        <f ca="1"/>
        <v>1433.3973952502743</v>
      </c>
      <c r="X294" s="331">
        <f ca="1"/>
        <v>1437.5820672397444</v>
      </c>
      <c r="Y294" s="331">
        <f ca="1"/>
        <v>1439.8549100267405</v>
      </c>
      <c r="Z294" s="331">
        <f ca="1"/>
        <v>1440.2260982864016</v>
      </c>
      <c r="AA294" s="331">
        <f ca="1"/>
        <v>1438.7200935649666</v>
      </c>
      <c r="AB294" s="331">
        <f ca="1"/>
        <v>1435.3488399521564</v>
      </c>
      <c r="AC294" s="331">
        <f ca="1"/>
        <v>1430.1242684639449</v>
      </c>
      <c r="AD294" s="331">
        <f ca="1"/>
        <v>1423.07383931351</v>
      </c>
      <c r="AE294" s="331">
        <f ca="1"/>
        <v>1414.2320698812916</v>
      </c>
      <c r="AF294" s="331">
        <f ca="1"/>
        <v>1403.6221395739769</v>
      </c>
      <c r="AG294" s="334">
        <f ca="1"/>
        <v>1391.2688336559988</v>
      </c>
      <c r="AH294" s="313">
        <f ca="1"/>
        <v>1377.2015735400446</v>
      </c>
    </row>
    <row r="296" spans="2:34">
      <c r="B296" s="2" t="s">
        <v>558</v>
      </c>
    </row>
    <row r="297" spans="2:34">
      <c r="B297" s="46" t="str" cm="1">
        <f t="array" ref="B297:B301">'Painel Controle'!B68:B72</f>
        <v>Pórtico</v>
      </c>
      <c r="C297" s="46" t="str" cm="1">
        <f t="array" ref="C297:AG297">D246:AH246</f>
        <v>Ano 0</v>
      </c>
      <c r="D297" s="46" t="str">
        <v>Ano 1</v>
      </c>
      <c r="E297" s="46" t="str">
        <v>Ano 2</v>
      </c>
      <c r="F297" s="46" t="str">
        <v>Ano 3</v>
      </c>
      <c r="G297" s="46" t="str">
        <v>Ano 4</v>
      </c>
      <c r="H297" s="46" t="str">
        <v>Ano 5</v>
      </c>
      <c r="I297" s="46" t="str">
        <v>Ano 6</v>
      </c>
      <c r="J297" s="46" t="str">
        <v>Ano 7</v>
      </c>
      <c r="K297" s="46" t="str">
        <v>Ano 8</v>
      </c>
      <c r="L297" s="46" t="str">
        <v>Ano 9</v>
      </c>
      <c r="M297" s="46" t="str">
        <v>Ano 10</v>
      </c>
      <c r="N297" s="46" t="str">
        <v>Ano 11</v>
      </c>
      <c r="O297" s="46" t="str">
        <v>Ano 12</v>
      </c>
      <c r="P297" s="46" t="str">
        <v>Ano 13</v>
      </c>
      <c r="Q297" s="46" t="str">
        <v>Ano 14</v>
      </c>
      <c r="R297" s="46" t="str">
        <v>Ano 15</v>
      </c>
      <c r="S297" s="46" t="str">
        <v>Ano 16</v>
      </c>
      <c r="T297" s="46" t="str">
        <v>Ano 17</v>
      </c>
      <c r="U297" s="46" t="str">
        <v>Ano 18</v>
      </c>
      <c r="V297" s="46" t="str">
        <v>Ano 19</v>
      </c>
      <c r="W297" s="46" t="str">
        <v>Ano 20</v>
      </c>
      <c r="X297" s="46" t="str">
        <v>Ano 21</v>
      </c>
      <c r="Y297" s="46" t="str">
        <v>Ano 22</v>
      </c>
      <c r="Z297" s="46" t="str">
        <v>Ano 23</v>
      </c>
      <c r="AA297" s="46" t="str">
        <v>Ano 24</v>
      </c>
      <c r="AB297" s="46" t="str">
        <v>Ano 25</v>
      </c>
      <c r="AC297" s="46" t="str">
        <v>Ano 26</v>
      </c>
      <c r="AD297" s="46" t="str">
        <v>Ano 27</v>
      </c>
      <c r="AE297" s="46" t="str">
        <v>Ano 28</v>
      </c>
      <c r="AF297" s="46" t="str">
        <v>Ano 29</v>
      </c>
      <c r="AG297" s="46" t="str">
        <v>Ano 30</v>
      </c>
    </row>
    <row r="298" spans="2:34">
      <c r="B298" s="149">
        <v>1</v>
      </c>
      <c r="C298" s="369">
        <f t="shared" ref="C298:L301" ca="1" si="68">SUMIF($B$142:$B$189,$B298,G$142:G$189)</f>
        <v>14000.04950409043</v>
      </c>
      <c r="D298" s="369">
        <f t="shared" ca="1" si="68"/>
        <v>14556.00227577238</v>
      </c>
      <c r="E298" s="369">
        <f t="shared" ca="1" si="68"/>
        <v>15118.340982089643</v>
      </c>
      <c r="F298" s="369">
        <f t="shared" ca="1" si="68"/>
        <v>15699.399045364693</v>
      </c>
      <c r="G298" s="369">
        <f t="shared" ca="1" si="68"/>
        <v>16303.883143836727</v>
      </c>
      <c r="H298" s="369">
        <f t="shared" ca="1" si="68"/>
        <v>16931.50618532213</v>
      </c>
      <c r="I298" s="369">
        <f t="shared" ca="1" si="68"/>
        <v>17578.385181157468</v>
      </c>
      <c r="J298" s="369">
        <f t="shared" ca="1" si="68"/>
        <v>18237.651207184332</v>
      </c>
      <c r="K298" s="369">
        <f t="shared" ca="1" si="68"/>
        <v>18903.991703120711</v>
      </c>
      <c r="L298" s="369">
        <f t="shared" ca="1" si="68"/>
        <v>19572.541287492943</v>
      </c>
      <c r="M298" s="369">
        <f t="shared" ref="M298:V301" ca="1" si="69">SUMIF($B$142:$B$189,$B298,Q$142:Q$189)</f>
        <v>20238.720068707746</v>
      </c>
      <c r="N298" s="369">
        <f t="shared" ca="1" si="69"/>
        <v>20897.610638791401</v>
      </c>
      <c r="O298" s="369">
        <f t="shared" ca="1" si="69"/>
        <v>21544.357613601936</v>
      </c>
      <c r="P298" s="369">
        <f t="shared" ca="1" si="69"/>
        <v>22175.087112575136</v>
      </c>
      <c r="Q298" s="369">
        <f t="shared" ca="1" si="69"/>
        <v>22785.970262561776</v>
      </c>
      <c r="R298" s="369">
        <f t="shared" ca="1" si="69"/>
        <v>23373.030275892765</v>
      </c>
      <c r="S298" s="369">
        <f t="shared" ca="1" si="69"/>
        <v>23932.455980393999</v>
      </c>
      <c r="T298" s="369">
        <f t="shared" ca="1" si="69"/>
        <v>24461.456663316327</v>
      </c>
      <c r="U298" s="369">
        <f t="shared" ca="1" si="69"/>
        <v>24957.634435725249</v>
      </c>
      <c r="V298" s="369">
        <f t="shared" ca="1" si="69"/>
        <v>25418.447391750586</v>
      </c>
      <c r="W298" s="369">
        <f t="shared" ref="W298:AF301" ca="1" si="70">SUMIF($B$142:$B$189,$B298,AA$142:AA$189)</f>
        <v>25841.715354173277</v>
      </c>
      <c r="X298" s="369">
        <f t="shared" ca="1" si="70"/>
        <v>26225.137479141049</v>
      </c>
      <c r="Y298" s="369">
        <f t="shared" ca="1" si="70"/>
        <v>26566.954479835815</v>
      </c>
      <c r="Z298" s="369">
        <f t="shared" ca="1" si="70"/>
        <v>26865.854379577784</v>
      </c>
      <c r="AA298" s="369">
        <f t="shared" ca="1" si="70"/>
        <v>27120.357756764282</v>
      </c>
      <c r="AB298" s="369">
        <f t="shared" ca="1" si="70"/>
        <v>27329.06548258528</v>
      </c>
      <c r="AC298" s="369">
        <f t="shared" ca="1" si="70"/>
        <v>27491.023512463071</v>
      </c>
      <c r="AD298" s="369">
        <f t="shared" ca="1" si="70"/>
        <v>27605.486992670201</v>
      </c>
      <c r="AE298" s="369">
        <f t="shared" ca="1" si="70"/>
        <v>27671.480157891492</v>
      </c>
      <c r="AF298" s="369">
        <f t="shared" ca="1" si="70"/>
        <v>27688.142377463904</v>
      </c>
      <c r="AG298" s="369">
        <f t="shared" ref="AG298:AG301" ca="1" si="71">SUMIF($B$142:$B$189,$B298,AK$142:AK$189)</f>
        <v>27654.834028485217</v>
      </c>
    </row>
    <row r="299" spans="2:34">
      <c r="B299" s="149">
        <v>2</v>
      </c>
      <c r="C299" s="369">
        <f t="shared" ca="1" si="68"/>
        <v>14114.113280268726</v>
      </c>
      <c r="D299" s="369">
        <f t="shared" ca="1" si="68"/>
        <v>14683.730278385756</v>
      </c>
      <c r="E299" s="369">
        <f t="shared" ca="1" si="68"/>
        <v>15260.555933362142</v>
      </c>
      <c r="F299" s="369">
        <f t="shared" ca="1" si="68"/>
        <v>15857.472240577908</v>
      </c>
      <c r="G299" s="369">
        <f t="shared" ca="1" si="68"/>
        <v>16479.440905734038</v>
      </c>
      <c r="H299" s="369">
        <f t="shared" ca="1" si="68"/>
        <v>17126.229159729115</v>
      </c>
      <c r="I299" s="369">
        <f t="shared" ca="1" si="68"/>
        <v>17793.870630427893</v>
      </c>
      <c r="J299" s="369">
        <f t="shared" ca="1" si="68"/>
        <v>18475.286000214772</v>
      </c>
      <c r="K299" s="369">
        <f t="shared" ca="1" si="68"/>
        <v>19164.989561339233</v>
      </c>
      <c r="L299" s="369">
        <f t="shared" ca="1" si="68"/>
        <v>19857.951980951828</v>
      </c>
      <c r="M299" s="369">
        <f t="shared" ca="1" si="69"/>
        <v>20549.429060052225</v>
      </c>
      <c r="N299" s="369">
        <f t="shared" ca="1" si="69"/>
        <v>21234.32228814948</v>
      </c>
      <c r="O299" s="369">
        <f t="shared" ca="1" si="69"/>
        <v>21907.589306233545</v>
      </c>
      <c r="P299" s="369">
        <f t="shared" ca="1" si="69"/>
        <v>22565.189069232787</v>
      </c>
      <c r="Q299" s="369">
        <f t="shared" ca="1" si="69"/>
        <v>23203.119105651993</v>
      </c>
      <c r="R299" s="369">
        <f t="shared" ca="1" si="69"/>
        <v>23817.215943426894</v>
      </c>
      <c r="S299" s="369">
        <f t="shared" ca="1" si="69"/>
        <v>24403.482261600151</v>
      </c>
      <c r="T299" s="369">
        <f t="shared" ca="1" si="69"/>
        <v>24958.968506671034</v>
      </c>
      <c r="U299" s="369">
        <f t="shared" ca="1" si="69"/>
        <v>25481.130776100646</v>
      </c>
      <c r="V299" s="369">
        <f t="shared" ca="1" si="69"/>
        <v>25967.277180525954</v>
      </c>
      <c r="W299" s="369">
        <f t="shared" ca="1" si="70"/>
        <v>26415.086585807934</v>
      </c>
      <c r="X299" s="369">
        <f t="shared" ca="1" si="70"/>
        <v>26822.115223262641</v>
      </c>
      <c r="Y299" s="369">
        <f t="shared" ca="1" si="70"/>
        <v>27186.478137515627</v>
      </c>
      <c r="Z299" s="369">
        <f t="shared" ca="1" si="70"/>
        <v>27506.753671184477</v>
      </c>
      <c r="AA299" s="369">
        <f t="shared" ca="1" si="70"/>
        <v>27781.351298248654</v>
      </c>
      <c r="AB299" s="369">
        <f t="shared" ca="1" si="70"/>
        <v>28008.76497134236</v>
      </c>
      <c r="AC299" s="369">
        <f t="shared" ca="1" si="70"/>
        <v>28187.948677609431</v>
      </c>
      <c r="AD299" s="369">
        <f t="shared" ca="1" si="70"/>
        <v>28318.072269238954</v>
      </c>
      <c r="AE299" s="369">
        <f t="shared" ca="1" si="70"/>
        <v>28398.068133180874</v>
      </c>
      <c r="AF299" s="369">
        <f t="shared" ca="1" si="70"/>
        <v>28426.989042070083</v>
      </c>
      <c r="AG299" s="369">
        <f t="shared" ca="1" si="71"/>
        <v>28404.118532224449</v>
      </c>
    </row>
    <row r="300" spans="2:34">
      <c r="B300" s="149">
        <v>3</v>
      </c>
      <c r="C300" s="369">
        <f t="shared" ca="1" si="68"/>
        <v>3804.6526068603248</v>
      </c>
      <c r="D300" s="369">
        <f t="shared" ca="1" si="68"/>
        <v>3957.964615136978</v>
      </c>
      <c r="E300" s="369">
        <f t="shared" ca="1" si="68"/>
        <v>4113.2556623395649</v>
      </c>
      <c r="F300" s="369">
        <f t="shared" ca="1" si="68"/>
        <v>4274.0158035779332</v>
      </c>
      <c r="G300" s="369">
        <f t="shared" ca="1" si="68"/>
        <v>4441.5950813335921</v>
      </c>
      <c r="H300" s="369">
        <f t="shared" ca="1" si="68"/>
        <v>4615.9396238217578</v>
      </c>
      <c r="I300" s="369">
        <f t="shared" ca="1" si="68"/>
        <v>4795.9872265668382</v>
      </c>
      <c r="J300" s="369">
        <f t="shared" ca="1" si="68"/>
        <v>4979.8338396468389</v>
      </c>
      <c r="K300" s="369">
        <f t="shared" ca="1" si="68"/>
        <v>5166.0042407841092</v>
      </c>
      <c r="L300" s="369">
        <f t="shared" ca="1" si="68"/>
        <v>5353.1458614645198</v>
      </c>
      <c r="M300" s="369">
        <f t="shared" ca="1" si="69"/>
        <v>5539.982072574353</v>
      </c>
      <c r="N300" s="369">
        <f t="shared" ca="1" si="69"/>
        <v>5725.1400001885659</v>
      </c>
      <c r="O300" s="369">
        <f t="shared" ca="1" si="69"/>
        <v>5907.2609355759414</v>
      </c>
      <c r="P300" s="369">
        <f t="shared" ca="1" si="69"/>
        <v>6085.2546787931324</v>
      </c>
      <c r="Q300" s="369">
        <f t="shared" ca="1" si="69"/>
        <v>6258.0402347700474</v>
      </c>
      <c r="R300" s="369">
        <f t="shared" ca="1" si="69"/>
        <v>6424.4918841035169</v>
      </c>
      <c r="S300" s="369">
        <f t="shared" ca="1" si="69"/>
        <v>6583.5277110899588</v>
      </c>
      <c r="T300" s="369">
        <f t="shared" ca="1" si="69"/>
        <v>6734.3471857866343</v>
      </c>
      <c r="U300" s="369">
        <f t="shared" ca="1" si="69"/>
        <v>6876.2586409809155</v>
      </c>
      <c r="V300" s="369">
        <f t="shared" ca="1" si="69"/>
        <v>7008.5300684805416</v>
      </c>
      <c r="W300" s="369">
        <f t="shared" ca="1" si="70"/>
        <v>7130.528620164233</v>
      </c>
      <c r="X300" s="369">
        <f t="shared" ca="1" si="70"/>
        <v>7241.5881030648297</v>
      </c>
      <c r="Y300" s="369">
        <f t="shared" ca="1" si="70"/>
        <v>7341.1924915360651</v>
      </c>
      <c r="Z300" s="369">
        <f t="shared" ca="1" si="70"/>
        <v>7428.9504017866666</v>
      </c>
      <c r="AA300" s="369">
        <f t="shared" ca="1" si="70"/>
        <v>7504.4249507266068</v>
      </c>
      <c r="AB300" s="369">
        <f t="shared" ca="1" si="70"/>
        <v>7567.2018078579085</v>
      </c>
      <c r="AC300" s="369">
        <f t="shared" ca="1" si="70"/>
        <v>7616.9903622497477</v>
      </c>
      <c r="AD300" s="369">
        <f t="shared" ca="1" si="70"/>
        <v>7653.5578194653162</v>
      </c>
      <c r="AE300" s="369">
        <f t="shared" ca="1" si="70"/>
        <v>7676.6070803925668</v>
      </c>
      <c r="AF300" s="369">
        <f t="shared" ca="1" si="70"/>
        <v>7685.873329284268</v>
      </c>
      <c r="AG300" s="369">
        <f t="shared" ca="1" si="71"/>
        <v>7681.1539563912647</v>
      </c>
    </row>
    <row r="301" spans="2:34">
      <c r="B301" s="182">
        <v>4</v>
      </c>
      <c r="C301" s="369">
        <f t="shared" ca="1" si="68"/>
        <v>7251.0455578931469</v>
      </c>
      <c r="D301" s="369">
        <f t="shared" ca="1" si="68"/>
        <v>7543.7723603054437</v>
      </c>
      <c r="E301" s="369">
        <f t="shared" ca="1" si="68"/>
        <v>7840.3216065947927</v>
      </c>
      <c r="F301" s="369">
        <f t="shared" ca="1" si="68"/>
        <v>8147.3739498157847</v>
      </c>
      <c r="G301" s="369">
        <f t="shared" ca="1" si="68"/>
        <v>8467.5168412768253</v>
      </c>
      <c r="H301" s="369">
        <f t="shared" ca="1" si="68"/>
        <v>8800.6519239896752</v>
      </c>
      <c r="I301" s="369">
        <f t="shared" ca="1" si="68"/>
        <v>9144.7522849968136</v>
      </c>
      <c r="J301" s="369">
        <f t="shared" ca="1" si="68"/>
        <v>9496.1800279208255</v>
      </c>
      <c r="K301" s="369">
        <f t="shared" ca="1" si="68"/>
        <v>9852.1159708108353</v>
      </c>
      <c r="L301" s="369">
        <f t="shared" ca="1" si="68"/>
        <v>10209.974996409917</v>
      </c>
      <c r="M301" s="369">
        <f t="shared" ca="1" si="69"/>
        <v>10567.316464259902</v>
      </c>
      <c r="N301" s="369">
        <f t="shared" ca="1" si="69"/>
        <v>10921.515375027695</v>
      </c>
      <c r="O301" s="369">
        <f t="shared" ca="1" si="69"/>
        <v>11269.973242967102</v>
      </c>
      <c r="P301" s="369">
        <f t="shared" ca="1" si="69"/>
        <v>11610.603910006213</v>
      </c>
      <c r="Q301" s="369">
        <f t="shared" ca="1" si="69"/>
        <v>11941.338231308398</v>
      </c>
      <c r="R301" s="369">
        <f t="shared" ca="1" si="69"/>
        <v>12260.020970531847</v>
      </c>
      <c r="S301" s="369">
        <f t="shared" ca="1" si="69"/>
        <v>12564.580231712675</v>
      </c>
      <c r="T301" s="369">
        <f t="shared" ca="1" si="69"/>
        <v>12853.481462452104</v>
      </c>
      <c r="U301" s="369">
        <f t="shared" ca="1" si="69"/>
        <v>13125.398130896891</v>
      </c>
      <c r="V301" s="369">
        <f t="shared" ca="1" si="69"/>
        <v>13378.926607936579</v>
      </c>
      <c r="W301" s="369">
        <f t="shared" ca="1" si="70"/>
        <v>13612.852547596176</v>
      </c>
      <c r="X301" s="369">
        <f t="shared" ca="1" si="70"/>
        <v>13825.897966655128</v>
      </c>
      <c r="Y301" s="369">
        <f t="shared" ca="1" si="70"/>
        <v>14017.071821584925</v>
      </c>
      <c r="Z301" s="369">
        <f t="shared" ca="1" si="70"/>
        <v>14185.621351239193</v>
      </c>
      <c r="AA301" s="369">
        <f t="shared" ca="1" si="70"/>
        <v>14330.707078616293</v>
      </c>
      <c r="AB301" s="369">
        <f t="shared" ca="1" si="70"/>
        <v>14451.532704682053</v>
      </c>
      <c r="AC301" s="369">
        <f t="shared" ca="1" si="70"/>
        <v>14547.538388419393</v>
      </c>
      <c r="AD301" s="369">
        <f t="shared" ca="1" si="70"/>
        <v>14618.274748028711</v>
      </c>
      <c r="AE301" s="369">
        <f t="shared" ca="1" si="70"/>
        <v>14663.169532967806</v>
      </c>
      <c r="AF301" s="369">
        <f t="shared" ca="1" si="70"/>
        <v>14681.712268765667</v>
      </c>
      <c r="AG301" s="369">
        <f t="shared" ca="1" si="71"/>
        <v>14673.511524303471</v>
      </c>
    </row>
    <row r="302" spans="2:34">
      <c r="B302" s="10" t="s">
        <v>73</v>
      </c>
      <c r="C302" s="370">
        <f ca="1">SUM(C298:C301)</f>
        <v>39169.860949112626</v>
      </c>
      <c r="D302" s="370">
        <f t="shared" ref="D302:AG302" ca="1" si="72">SUM(D298:D301)</f>
        <v>40741.469529600567</v>
      </c>
      <c r="E302" s="370">
        <f t="shared" ca="1" si="72"/>
        <v>42332.474184386141</v>
      </c>
      <c r="F302" s="370">
        <f t="shared" ca="1" si="72"/>
        <v>43978.261039336314</v>
      </c>
      <c r="G302" s="370">
        <f t="shared" ca="1" si="72"/>
        <v>45692.435972181185</v>
      </c>
      <c r="H302" s="370">
        <f t="shared" ca="1" si="72"/>
        <v>47474.326892862679</v>
      </c>
      <c r="I302" s="370">
        <f t="shared" ca="1" si="72"/>
        <v>49312.995323149014</v>
      </c>
      <c r="J302" s="370">
        <f t="shared" ca="1" si="72"/>
        <v>51188.951074966768</v>
      </c>
      <c r="K302" s="370">
        <f t="shared" ca="1" si="72"/>
        <v>53087.101476054886</v>
      </c>
      <c r="L302" s="370">
        <f t="shared" ca="1" si="72"/>
        <v>54993.614126319211</v>
      </c>
      <c r="M302" s="370">
        <f t="shared" ca="1" si="72"/>
        <v>56895.447665594227</v>
      </c>
      <c r="N302" s="370">
        <f t="shared" ca="1" si="72"/>
        <v>58778.588302157135</v>
      </c>
      <c r="O302" s="370">
        <f t="shared" ca="1" si="72"/>
        <v>60629.181098378525</v>
      </c>
      <c r="P302" s="370">
        <f t="shared" ca="1" si="72"/>
        <v>62436.13477060727</v>
      </c>
      <c r="Q302" s="370">
        <f t="shared" ca="1" si="72"/>
        <v>64188.467834292213</v>
      </c>
      <c r="R302" s="370">
        <f t="shared" ca="1" si="72"/>
        <v>65874.759073955021</v>
      </c>
      <c r="S302" s="370">
        <f t="shared" ca="1" si="72"/>
        <v>67484.046184796796</v>
      </c>
      <c r="T302" s="370">
        <f t="shared" ca="1" si="72"/>
        <v>69008.253818226091</v>
      </c>
      <c r="U302" s="370">
        <f t="shared" ca="1" si="72"/>
        <v>70440.421983703709</v>
      </c>
      <c r="V302" s="370">
        <f t="shared" ca="1" si="72"/>
        <v>71773.181248693654</v>
      </c>
      <c r="W302" s="370">
        <f t="shared" ca="1" si="72"/>
        <v>73000.183107741614</v>
      </c>
      <c r="X302" s="370">
        <f t="shared" ca="1" si="72"/>
        <v>74114.738772123645</v>
      </c>
      <c r="Y302" s="370">
        <f t="shared" ca="1" si="72"/>
        <v>75111.696930472433</v>
      </c>
      <c r="Z302" s="370">
        <f t="shared" ca="1" si="72"/>
        <v>75987.179803788124</v>
      </c>
      <c r="AA302" s="370">
        <f t="shared" ca="1" si="72"/>
        <v>76736.841084355838</v>
      </c>
      <c r="AB302" s="370">
        <f t="shared" ca="1" si="72"/>
        <v>77356.564966467602</v>
      </c>
      <c r="AC302" s="370">
        <f t="shared" ca="1" si="72"/>
        <v>77843.500940741636</v>
      </c>
      <c r="AD302" s="370">
        <f t="shared" ca="1" si="72"/>
        <v>78195.391829403176</v>
      </c>
      <c r="AE302" s="370">
        <f t="shared" ca="1" si="72"/>
        <v>78409.324904432739</v>
      </c>
      <c r="AF302" s="370">
        <f t="shared" ca="1" si="72"/>
        <v>78482.717017583927</v>
      </c>
      <c r="AG302" s="370">
        <f t="shared" ca="1" si="72"/>
        <v>78413.618041404407</v>
      </c>
    </row>
    <row r="303" spans="2:34">
      <c r="D303" s="261"/>
      <c r="E303" s="525"/>
    </row>
    <row r="304" spans="2:34">
      <c r="B304" s="2" t="s">
        <v>559</v>
      </c>
    </row>
    <row r="305" spans="2:34">
      <c r="B305" s="46" t="str" cm="1">
        <f t="array" ref="B305:C317">'Painel Controle'!B109:C121</f>
        <v>Categoria (MEF)</v>
      </c>
      <c r="C305" s="46" t="str">
        <v>Categoria de Veículo</v>
      </c>
      <c r="D305" s="46" t="str" cm="1">
        <f t="array" ref="D305:AH305">_xlfn.ANCHORARRAY($C$297)</f>
        <v>Ano 0</v>
      </c>
      <c r="E305" s="46" t="str">
        <v>Ano 1</v>
      </c>
      <c r="F305" s="46" t="str">
        <v>Ano 2</v>
      </c>
      <c r="G305" s="46" t="str">
        <v>Ano 3</v>
      </c>
      <c r="H305" s="46" t="str">
        <v>Ano 4</v>
      </c>
      <c r="I305" s="46" t="str">
        <v>Ano 5</v>
      </c>
      <c r="J305" s="46" t="str">
        <v>Ano 6</v>
      </c>
      <c r="K305" s="46" t="str">
        <v>Ano 7</v>
      </c>
      <c r="L305" s="46" t="str">
        <v>Ano 8</v>
      </c>
      <c r="M305" s="46" t="str">
        <v>Ano 9</v>
      </c>
      <c r="N305" s="46" t="str">
        <v>Ano 10</v>
      </c>
      <c r="O305" s="46" t="str">
        <v>Ano 11</v>
      </c>
      <c r="P305" s="46" t="str">
        <v>Ano 12</v>
      </c>
      <c r="Q305" s="46" t="str">
        <v>Ano 13</v>
      </c>
      <c r="R305" s="46" t="str">
        <v>Ano 14</v>
      </c>
      <c r="S305" s="46" t="str">
        <v>Ano 15</v>
      </c>
      <c r="T305" s="46" t="str">
        <v>Ano 16</v>
      </c>
      <c r="U305" s="46" t="str">
        <v>Ano 17</v>
      </c>
      <c r="V305" s="46" t="str">
        <v>Ano 18</v>
      </c>
      <c r="W305" s="46" t="str">
        <v>Ano 19</v>
      </c>
      <c r="X305" s="46" t="str">
        <v>Ano 20</v>
      </c>
      <c r="Y305" s="46" t="str">
        <v>Ano 21</v>
      </c>
      <c r="Z305" s="46" t="str">
        <v>Ano 22</v>
      </c>
      <c r="AA305" s="46" t="str">
        <v>Ano 23</v>
      </c>
      <c r="AB305" s="46" t="str">
        <v>Ano 24</v>
      </c>
      <c r="AC305" s="46" t="str">
        <v>Ano 25</v>
      </c>
      <c r="AD305" s="46" t="str">
        <v>Ano 26</v>
      </c>
      <c r="AE305" s="46" t="str">
        <v>Ano 27</v>
      </c>
      <c r="AF305" s="46" t="str">
        <v>Ano 28</v>
      </c>
      <c r="AG305" s="46" t="str">
        <v>Ano 29</v>
      </c>
      <c r="AH305" s="46" t="str">
        <v>Ano 30</v>
      </c>
    </row>
    <row r="306" spans="2:34">
      <c r="B306" s="149">
        <v>1</v>
      </c>
      <c r="C306" s="122" t="str">
        <v>Automóvel</v>
      </c>
      <c r="D306" s="369">
        <f ca="1">SUMIF($C$142:$C$189,$B306,G$142:G$189)</f>
        <v>29025.068365927385</v>
      </c>
      <c r="E306" s="369">
        <f t="shared" ref="E306:E317" ca="1" si="73">SUMIF($C$142:$C$189,$B306,H$142:H$189)</f>
        <v>30256.734754549911</v>
      </c>
      <c r="F306" s="369">
        <f t="shared" ref="F306:F317" ca="1" si="74">SUMIF($C$142:$C$189,$B306,I$142:I$189)</f>
        <v>31508.215676510772</v>
      </c>
      <c r="G306" s="369">
        <f t="shared" ref="G306:G317" ca="1" si="75">SUMIF($C$142:$C$189,$B306,J$142:J$189)</f>
        <v>32808.909404249658</v>
      </c>
      <c r="H306" s="369">
        <f t="shared" ref="H306:H317" ca="1" si="76">SUMIF($C$142:$C$189,$B306,K$142:K$189)</f>
        <v>34170.41827029478</v>
      </c>
      <c r="I306" s="369">
        <f t="shared" ref="I306:I317" ca="1" si="77">SUMIF($C$142:$C$189,$B306,L$142:L$189)</f>
        <v>35592.6198484497</v>
      </c>
      <c r="J306" s="369">
        <f t="shared" ref="J306:J317" ca="1" si="78">SUMIF($C$142:$C$189,$B306,M$142:M$189)</f>
        <v>37067.006392299438</v>
      </c>
      <c r="K306" s="369">
        <f t="shared" ref="K306:K317" ca="1" si="79">SUMIF($C$142:$C$189,$B306,N$142:N$189)</f>
        <v>38578.000123862395</v>
      </c>
      <c r="L306" s="369">
        <f t="shared" ref="L306:L317" ca="1" si="80">SUMIF($C$142:$C$189,$B306,O$142:O$189)</f>
        <v>40113.462747102967</v>
      </c>
      <c r="M306" s="369">
        <f t="shared" ref="M306:M317" ca="1" si="81">SUMIF($C$142:$C$189,$B306,P$142:P$189)</f>
        <v>41662.231503503572</v>
      </c>
      <c r="N306" s="369">
        <f t="shared" ref="N306:N317" ca="1" si="82">SUMIF($C$142:$C$189,$B306,Q$142:Q$189)</f>
        <v>43213.71399339936</v>
      </c>
      <c r="O306" s="369">
        <f t="shared" ref="O306:O317" ca="1" si="83">SUMIF($C$142:$C$189,$B306,R$142:R$189)</f>
        <v>44756.498387668049</v>
      </c>
      <c r="P306" s="369">
        <f t="shared" ref="P306:P317" ca="1" si="84">SUMIF($C$142:$C$189,$B306,S$142:S$189)</f>
        <v>46279.248184574615</v>
      </c>
      <c r="Q306" s="369">
        <f t="shared" ref="Q306:Q317" ca="1" si="85">SUMIF($C$142:$C$189,$B306,T$142:T$189)</f>
        <v>47772.765873363038</v>
      </c>
      <c r="R306" s="369">
        <f t="shared" ref="R306:R317" ca="1" si="86">SUMIF($C$142:$C$189,$B306,U$142:U$189)</f>
        <v>49227.890729303886</v>
      </c>
      <c r="S306" s="369">
        <f t="shared" ref="S306:S317" ca="1" si="87">SUMIF($C$142:$C$189,$B306,V$142:V$189)</f>
        <v>50635.055323398738</v>
      </c>
      <c r="T306" s="369">
        <f t="shared" ref="T306:T317" ca="1" si="88">SUMIF($C$142:$C$189,$B306,W$142:W$189)</f>
        <v>51985.030254130426</v>
      </c>
      <c r="U306" s="369">
        <f t="shared" ref="U306:U317" ca="1" si="89">SUMIF($C$142:$C$189,$B306,X$142:X$189)</f>
        <v>53270.867097464215</v>
      </c>
      <c r="V306" s="369">
        <f t="shared" ref="V306:V317" ca="1" si="90">SUMIF($C$142:$C$189,$B306,Y$142:Y$189)</f>
        <v>54486.515557395505</v>
      </c>
      <c r="W306" s="369">
        <f t="shared" ref="W306:W317" ca="1" si="91">SUMIF($C$142:$C$189,$B306,Z$142:Z$189)</f>
        <v>55625.603445626803</v>
      </c>
      <c r="X306" s="369">
        <f t="shared" ref="X306:X317" ca="1" si="92">SUMIF($C$142:$C$189,$B306,AA$142:AA$189)</f>
        <v>56682.562195353137</v>
      </c>
      <c r="Y306" s="369">
        <f t="shared" ref="Y306:Y317" ca="1" si="93">SUMIF($C$142:$C$189,$B306,AB$142:AB$189)</f>
        <v>57651.565081693108</v>
      </c>
      <c r="Z306" s="369">
        <f t="shared" ref="Z306:Z317" ca="1" si="94">SUMIF($C$142:$C$189,$B306,AC$142:AC$189)</f>
        <v>58528.019536970278</v>
      </c>
      <c r="AA306" s="369">
        <f t="shared" ref="AA306:AA317" ca="1" si="95">SUMIF($C$142:$C$189,$B306,AD$142:AD$189)</f>
        <v>59308.367068398336</v>
      </c>
      <c r="AB306" s="369">
        <f t="shared" ref="AB306:AB317" ca="1" si="96">SUMIF($C$142:$C$189,$B306,AE$142:AE$189)</f>
        <v>59988.701485510712</v>
      </c>
      <c r="AC306" s="369">
        <f t="shared" ref="AC306:AC317" ca="1" si="97">SUMIF($C$142:$C$189,$B306,AF$142:AF$189)</f>
        <v>60565.313846830053</v>
      </c>
      <c r="AD306" s="369">
        <f t="shared" ref="AD306:AD317" ca="1" si="98">SUMIF($C$142:$C$189,$B306,AG$142:AG$189)</f>
        <v>61035.515965419065</v>
      </c>
      <c r="AE306" s="369">
        <f t="shared" ref="AE306:AE317" ca="1" si="99">SUMIF($C$142:$C$189,$B306,AH$142:AH$189)</f>
        <v>61397.09678079377</v>
      </c>
      <c r="AF306" s="369">
        <f t="shared" ref="AF306:AF317" ca="1" si="100">SUMIF($C$142:$C$189,$B306,AI$142:AI$189)</f>
        <v>61647.326770512722</v>
      </c>
      <c r="AG306" s="369">
        <f t="shared" ref="AG306:AG317" ca="1" si="101">SUMIF($C$142:$C$189,$B306,AJ$142:AJ$189)</f>
        <v>61783.752535403233</v>
      </c>
      <c r="AH306" s="369">
        <f t="shared" ref="AH306:AH317" ca="1" si="102">SUMIF($C$142:$C$189,$B306,AK$142:AK$189)</f>
        <v>61804.447372227442</v>
      </c>
    </row>
    <row r="307" spans="2:34">
      <c r="B307" s="149">
        <v>2</v>
      </c>
      <c r="C307" s="122" t="str">
        <v xml:space="preserve">Automóvel com reboque </v>
      </c>
      <c r="D307" s="369">
        <f t="shared" ref="D307:D317" ca="1" si="103">SUMIF($C$142:$C$189,$B307,G$142:G$189)</f>
        <v>117.56984706690677</v>
      </c>
      <c r="E307" s="369">
        <f t="shared" ca="1" si="73"/>
        <v>122.55887335005548</v>
      </c>
      <c r="F307" s="369">
        <f t="shared" ca="1" si="74"/>
        <v>127.62816099985871</v>
      </c>
      <c r="G307" s="369">
        <f t="shared" ca="1" si="75"/>
        <v>132.89679157544288</v>
      </c>
      <c r="H307" s="369">
        <f t="shared" ca="1" si="76"/>
        <v>138.41176184676434</v>
      </c>
      <c r="I307" s="369">
        <f t="shared" ca="1" si="77"/>
        <v>144.17257591045396</v>
      </c>
      <c r="J307" s="369">
        <f t="shared" ca="1" si="78"/>
        <v>150.14477202357</v>
      </c>
      <c r="K307" s="369">
        <f t="shared" ca="1" si="79"/>
        <v>156.26525035282873</v>
      </c>
      <c r="L307" s="369">
        <f t="shared" ca="1" si="80"/>
        <v>162.48484313777675</v>
      </c>
      <c r="M307" s="369">
        <f t="shared" ca="1" si="81"/>
        <v>168.75833416065328</v>
      </c>
      <c r="N307" s="369">
        <f t="shared" ca="1" si="82"/>
        <v>175.04281751705287</v>
      </c>
      <c r="O307" s="369">
        <f t="shared" ca="1" si="83"/>
        <v>181.29206809605614</v>
      </c>
      <c r="P307" s="369">
        <f t="shared" ca="1" si="84"/>
        <v>187.46016591020742</v>
      </c>
      <c r="Q307" s="369">
        <f t="shared" ca="1" si="85"/>
        <v>193.50985523561494</v>
      </c>
      <c r="R307" s="369">
        <f t="shared" ca="1" si="86"/>
        <v>199.40402935501339</v>
      </c>
      <c r="S307" s="369">
        <f t="shared" ca="1" si="87"/>
        <v>205.10393414214244</v>
      </c>
      <c r="T307" s="369">
        <f t="shared" ca="1" si="88"/>
        <v>210.57218469539873</v>
      </c>
      <c r="U307" s="369">
        <f t="shared" ca="1" si="89"/>
        <v>215.78063551170112</v>
      </c>
      <c r="V307" s="369">
        <f t="shared" ca="1" si="90"/>
        <v>220.70477907337556</v>
      </c>
      <c r="W307" s="369">
        <f t="shared" ca="1" si="91"/>
        <v>225.31880399578822</v>
      </c>
      <c r="X307" s="369">
        <f t="shared" ca="1" si="92"/>
        <v>229.60015406858355</v>
      </c>
      <c r="Y307" s="369">
        <f t="shared" ca="1" si="93"/>
        <v>233.52522737825132</v>
      </c>
      <c r="Z307" s="369">
        <f t="shared" ca="1" si="94"/>
        <v>237.07542112694239</v>
      </c>
      <c r="AA307" s="369">
        <f t="shared" ca="1" si="95"/>
        <v>240.2363211728053</v>
      </c>
      <c r="AB307" s="369">
        <f t="shared" ca="1" si="96"/>
        <v>242.9921049789221</v>
      </c>
      <c r="AC307" s="369">
        <f t="shared" ca="1" si="97"/>
        <v>245.32774899128157</v>
      </c>
      <c r="AD307" s="369">
        <f t="shared" ca="1" si="98"/>
        <v>247.23236435604477</v>
      </c>
      <c r="AE307" s="369">
        <f t="shared" ca="1" si="99"/>
        <v>248.69699488266343</v>
      </c>
      <c r="AF307" s="369">
        <f t="shared" ca="1" si="100"/>
        <v>249.71058428241645</v>
      </c>
      <c r="AG307" s="369">
        <f t="shared" ca="1" si="101"/>
        <v>250.26319474010589</v>
      </c>
      <c r="AH307" s="369">
        <f t="shared" ca="1" si="102"/>
        <v>250.34702189151253</v>
      </c>
    </row>
    <row r="308" spans="2:34">
      <c r="B308" s="149">
        <v>3</v>
      </c>
      <c r="C308" s="122" t="str">
        <v>Veículos Comerciais com 2 Eixos</v>
      </c>
      <c r="D308" s="369">
        <f t="shared" ca="1" si="103"/>
        <v>3279.5256612746552</v>
      </c>
      <c r="E308" s="369">
        <f t="shared" ca="1" si="73"/>
        <v>3364.3792869186937</v>
      </c>
      <c r="F308" s="369">
        <f t="shared" ca="1" si="74"/>
        <v>3447.4662115565748</v>
      </c>
      <c r="G308" s="369">
        <f t="shared" ca="1" si="75"/>
        <v>3529.7450954424976</v>
      </c>
      <c r="H308" s="369">
        <f t="shared" ca="1" si="76"/>
        <v>3611.426255191056</v>
      </c>
      <c r="I308" s="369">
        <f t="shared" ca="1" si="77"/>
        <v>3692.2658948761</v>
      </c>
      <c r="J308" s="369">
        <f t="shared" ca="1" si="78"/>
        <v>3771.6688200488334</v>
      </c>
      <c r="K308" s="369">
        <f t="shared" ca="1" si="79"/>
        <v>3848.7960554106676</v>
      </c>
      <c r="L308" s="369">
        <f t="shared" ca="1" si="80"/>
        <v>3923.0499822770917</v>
      </c>
      <c r="M308" s="369">
        <f t="shared" ca="1" si="81"/>
        <v>3993.9078669720811</v>
      </c>
      <c r="N308" s="369">
        <f t="shared" ca="1" si="82"/>
        <v>4060.9171102870241</v>
      </c>
      <c r="O308" s="369">
        <f t="shared" ca="1" si="83"/>
        <v>4123.6046752831253</v>
      </c>
      <c r="P308" s="369">
        <f t="shared" ca="1" si="84"/>
        <v>4181.5322060383642</v>
      </c>
      <c r="Q308" s="369">
        <f t="shared" ca="1" si="85"/>
        <v>4234.4213732096441</v>
      </c>
      <c r="R308" s="369">
        <f t="shared" ca="1" si="86"/>
        <v>4282.02427913478</v>
      </c>
      <c r="S308" s="369">
        <f t="shared" ca="1" si="87"/>
        <v>4324.1008389621511</v>
      </c>
      <c r="T308" s="369">
        <f t="shared" ca="1" si="88"/>
        <v>4360.443598287372</v>
      </c>
      <c r="U308" s="369">
        <f t="shared" ca="1" si="89"/>
        <v>4390.984069432543</v>
      </c>
      <c r="V308" s="369">
        <f t="shared" ca="1" si="90"/>
        <v>4415.6955527166074</v>
      </c>
      <c r="W308" s="369">
        <f t="shared" ca="1" si="91"/>
        <v>4434.5262127495089</v>
      </c>
      <c r="X308" s="369">
        <f t="shared" ca="1" si="92"/>
        <v>4447.4724045666253</v>
      </c>
      <c r="Y308" s="369">
        <f t="shared" ca="1" si="93"/>
        <v>4454.503937447731</v>
      </c>
      <c r="Z308" s="369">
        <f t="shared" ca="1" si="94"/>
        <v>4455.6522889605676</v>
      </c>
      <c r="AA308" s="369">
        <f t="shared" ca="1" si="95"/>
        <v>4450.9931362120988</v>
      </c>
      <c r="AB308" s="369">
        <f t="shared" ca="1" si="96"/>
        <v>4440.5634308384379</v>
      </c>
      <c r="AC308" s="369">
        <f t="shared" ca="1" si="97"/>
        <v>4424.400084029221</v>
      </c>
      <c r="AD308" s="369">
        <f t="shared" ca="1" si="98"/>
        <v>4402.5880499189752</v>
      </c>
      <c r="AE308" s="369">
        <f t="shared" ca="1" si="99"/>
        <v>4375.2341155221475</v>
      </c>
      <c r="AF308" s="369">
        <f t="shared" ca="1" si="100"/>
        <v>4342.409991368485</v>
      </c>
      <c r="AG308" s="369">
        <f t="shared" ca="1" si="101"/>
        <v>4304.1923560575015</v>
      </c>
      <c r="AH308" s="369">
        <f t="shared" ca="1" si="102"/>
        <v>4260.6722311204303</v>
      </c>
    </row>
    <row r="309" spans="2:34">
      <c r="B309" s="149">
        <v>4</v>
      </c>
      <c r="C309" s="122" t="str">
        <v>Veículos Comerciais com 3 Eixos</v>
      </c>
      <c r="D309" s="369">
        <f t="shared" ca="1" si="103"/>
        <v>997.39792944805311</v>
      </c>
      <c r="E309" s="369">
        <f t="shared" ca="1" si="73"/>
        <v>1023.2043536888773</v>
      </c>
      <c r="F309" s="369">
        <f t="shared" ca="1" si="74"/>
        <v>1048.4734734206072</v>
      </c>
      <c r="G309" s="369">
        <f t="shared" ca="1" si="75"/>
        <v>1073.4968447557228</v>
      </c>
      <c r="H309" s="369">
        <f t="shared" ca="1" si="76"/>
        <v>1098.3384310162382</v>
      </c>
      <c r="I309" s="369">
        <f t="shared" ca="1" si="77"/>
        <v>1122.924086860093</v>
      </c>
      <c r="J309" s="369">
        <f t="shared" ca="1" si="78"/>
        <v>1147.072796563624</v>
      </c>
      <c r="K309" s="369">
        <f t="shared" ca="1" si="79"/>
        <v>1170.5294036462615</v>
      </c>
      <c r="L309" s="369">
        <f t="shared" ca="1" si="80"/>
        <v>1193.1121551046456</v>
      </c>
      <c r="M309" s="369">
        <f t="shared" ca="1" si="81"/>
        <v>1214.6620726169187</v>
      </c>
      <c r="N309" s="369">
        <f t="shared" ca="1" si="82"/>
        <v>1235.0415077667653</v>
      </c>
      <c r="O309" s="369">
        <f t="shared" ca="1" si="83"/>
        <v>1254.1065964372258</v>
      </c>
      <c r="P309" s="369">
        <f t="shared" ca="1" si="84"/>
        <v>1271.7240220044519</v>
      </c>
      <c r="Q309" s="369">
        <f t="shared" ca="1" si="85"/>
        <v>1287.809136522618</v>
      </c>
      <c r="R309" s="369">
        <f t="shared" ca="1" si="86"/>
        <v>1302.2865471939488</v>
      </c>
      <c r="S309" s="369">
        <f t="shared" ca="1" si="87"/>
        <v>1315.0832373207172</v>
      </c>
      <c r="T309" s="369">
        <f t="shared" ca="1" si="88"/>
        <v>1326.136114061226</v>
      </c>
      <c r="U309" s="369">
        <f t="shared" ca="1" si="89"/>
        <v>1335.4243483459127</v>
      </c>
      <c r="V309" s="369">
        <f t="shared" ca="1" si="90"/>
        <v>1342.9398200350522</v>
      </c>
      <c r="W309" s="369">
        <f t="shared" ca="1" si="91"/>
        <v>1348.6667644980073</v>
      </c>
      <c r="X309" s="369">
        <f t="shared" ca="1" si="92"/>
        <v>1352.6040731963665</v>
      </c>
      <c r="Y309" s="369">
        <f t="shared" ca="1" si="93"/>
        <v>1354.7425642651433</v>
      </c>
      <c r="Z309" s="369">
        <f t="shared" ca="1" si="94"/>
        <v>1355.0918109366075</v>
      </c>
      <c r="AA309" s="369">
        <f t="shared" ca="1" si="95"/>
        <v>1353.6748287921537</v>
      </c>
      <c r="AB309" s="369">
        <f t="shared" ca="1" si="96"/>
        <v>1350.5028558854378</v>
      </c>
      <c r="AC309" s="369">
        <f t="shared" ca="1" si="97"/>
        <v>1345.5871179691812</v>
      </c>
      <c r="AD309" s="369">
        <f t="shared" ca="1" si="98"/>
        <v>1338.9534520352631</v>
      </c>
      <c r="AE309" s="369">
        <f t="shared" ca="1" si="99"/>
        <v>1330.6343350813038</v>
      </c>
      <c r="AF309" s="369">
        <f t="shared" ca="1" si="100"/>
        <v>1320.6515763386615</v>
      </c>
      <c r="AG309" s="369">
        <f t="shared" ca="1" si="101"/>
        <v>1309.0284959713745</v>
      </c>
      <c r="AH309" s="369">
        <f t="shared" ca="1" si="102"/>
        <v>1295.7927762408922</v>
      </c>
    </row>
    <row r="310" spans="2:34">
      <c r="B310" s="149">
        <v>5</v>
      </c>
      <c r="C310" s="122" t="str">
        <v>Veículos Comerciais com 4 Eixos</v>
      </c>
      <c r="D310" s="369">
        <f t="shared" ca="1" si="103"/>
        <v>400.48324636354073</v>
      </c>
      <c r="E310" s="369">
        <f t="shared" ca="1" si="73"/>
        <v>410.84524958397986</v>
      </c>
      <c r="F310" s="369">
        <f t="shared" ca="1" si="74"/>
        <v>420.99150997226076</v>
      </c>
      <c r="G310" s="369">
        <f t="shared" ca="1" si="75"/>
        <v>431.03909548589149</v>
      </c>
      <c r="H310" s="369">
        <f t="shared" ca="1" si="76"/>
        <v>441.01368919287518</v>
      </c>
      <c r="I310" s="369">
        <f t="shared" ca="1" si="77"/>
        <v>450.88551965854742</v>
      </c>
      <c r="J310" s="369">
        <f t="shared" ca="1" si="78"/>
        <v>460.58190399224344</v>
      </c>
      <c r="K310" s="369">
        <f t="shared" ca="1" si="79"/>
        <v>470.00038970970138</v>
      </c>
      <c r="L310" s="369">
        <f t="shared" ca="1" si="80"/>
        <v>479.06799788177722</v>
      </c>
      <c r="M310" s="369">
        <f t="shared" ca="1" si="81"/>
        <v>487.72089425279495</v>
      </c>
      <c r="N310" s="369">
        <f t="shared" ca="1" si="82"/>
        <v>495.90380912247224</v>
      </c>
      <c r="O310" s="369">
        <f t="shared" ca="1" si="83"/>
        <v>503.55897701236347</v>
      </c>
      <c r="P310" s="369">
        <f t="shared" ca="1" si="84"/>
        <v>510.63286755837169</v>
      </c>
      <c r="Q310" s="369">
        <f t="shared" ca="1" si="85"/>
        <v>517.09149223581539</v>
      </c>
      <c r="R310" s="369">
        <f t="shared" ca="1" si="86"/>
        <v>522.90457872156844</v>
      </c>
      <c r="S310" s="369">
        <f t="shared" ca="1" si="87"/>
        <v>528.04280876332587</v>
      </c>
      <c r="T310" s="369">
        <f t="shared" ca="1" si="88"/>
        <v>532.48084881534851</v>
      </c>
      <c r="U310" s="369">
        <f t="shared" ca="1" si="89"/>
        <v>536.21033542193811</v>
      </c>
      <c r="V310" s="369">
        <f t="shared" ca="1" si="90"/>
        <v>539.22800811921888</v>
      </c>
      <c r="W310" s="369">
        <f t="shared" ca="1" si="91"/>
        <v>541.52753696578179</v>
      </c>
      <c r="X310" s="369">
        <f t="shared" ca="1" si="92"/>
        <v>543.10847685235944</v>
      </c>
      <c r="Y310" s="369">
        <f t="shared" ca="1" si="93"/>
        <v>543.96714100260192</v>
      </c>
      <c r="Z310" s="369">
        <f t="shared" ca="1" si="94"/>
        <v>544.10737333780139</v>
      </c>
      <c r="AA310" s="369">
        <f t="shared" ca="1" si="95"/>
        <v>543.53841525949053</v>
      </c>
      <c r="AB310" s="369">
        <f t="shared" ca="1" si="96"/>
        <v>542.264779161447</v>
      </c>
      <c r="AC310" s="369">
        <f t="shared" ca="1" si="97"/>
        <v>540.29097249827896</v>
      </c>
      <c r="AD310" s="369">
        <f t="shared" ca="1" si="98"/>
        <v>537.62736954697039</v>
      </c>
      <c r="AE310" s="369">
        <f t="shared" ca="1" si="99"/>
        <v>534.2870107330682</v>
      </c>
      <c r="AF310" s="369">
        <f t="shared" ca="1" si="100"/>
        <v>530.27865307472632</v>
      </c>
      <c r="AG310" s="369">
        <f t="shared" ca="1" si="101"/>
        <v>525.6116602719527</v>
      </c>
      <c r="AH310" s="369">
        <f t="shared" ca="1" si="102"/>
        <v>520.29714752922541</v>
      </c>
    </row>
    <row r="311" spans="2:34">
      <c r="B311" s="149">
        <v>6</v>
      </c>
      <c r="C311" s="122" t="str">
        <v>Veículos Comerciais com 5 Eixos Articulado</v>
      </c>
      <c r="D311" s="369">
        <f t="shared" ca="1" si="103"/>
        <v>167.68838168189555</v>
      </c>
      <c r="E311" s="369">
        <f t="shared" ca="1" si="73"/>
        <v>174.1076558358838</v>
      </c>
      <c r="F311" s="369">
        <f t="shared" ca="1" si="74"/>
        <v>180.5498759928409</v>
      </c>
      <c r="G311" s="369">
        <f t="shared" ca="1" si="75"/>
        <v>187.13361230653371</v>
      </c>
      <c r="H311" s="369">
        <f t="shared" ca="1" si="76"/>
        <v>193.89871170116123</v>
      </c>
      <c r="I311" s="369">
        <f t="shared" ca="1" si="77"/>
        <v>200.83407172629282</v>
      </c>
      <c r="J311" s="369">
        <f t="shared" ca="1" si="78"/>
        <v>207.89116695583621</v>
      </c>
      <c r="K311" s="369">
        <f t="shared" ca="1" si="79"/>
        <v>214.9916057729709</v>
      </c>
      <c r="L311" s="369">
        <f t="shared" ca="1" si="80"/>
        <v>222.07506327484188</v>
      </c>
      <c r="M311" s="369">
        <f t="shared" ca="1" si="81"/>
        <v>229.0865593172353</v>
      </c>
      <c r="N311" s="369">
        <f t="shared" ca="1" si="82"/>
        <v>235.97519609601173</v>
      </c>
      <c r="O311" s="369">
        <f t="shared" ca="1" si="83"/>
        <v>242.68705790950366</v>
      </c>
      <c r="P311" s="369">
        <f t="shared" ca="1" si="84"/>
        <v>249.16981804137606</v>
      </c>
      <c r="Q311" s="369">
        <f t="shared" ca="1" si="85"/>
        <v>255.38325529740723</v>
      </c>
      <c r="R311" s="369">
        <f t="shared" ca="1" si="86"/>
        <v>261.28868387967043</v>
      </c>
      <c r="S311" s="369">
        <f t="shared" ca="1" si="87"/>
        <v>266.84693282568543</v>
      </c>
      <c r="T311" s="369">
        <f t="shared" ca="1" si="88"/>
        <v>272.02143701468117</v>
      </c>
      <c r="U311" s="369">
        <f t="shared" ca="1" si="89"/>
        <v>276.78769217181093</v>
      </c>
      <c r="V311" s="369">
        <f t="shared" ca="1" si="90"/>
        <v>281.12578822556554</v>
      </c>
      <c r="W311" s="369">
        <f t="shared" ca="1" si="91"/>
        <v>285.01447499424091</v>
      </c>
      <c r="X311" s="369">
        <f t="shared" ca="1" si="92"/>
        <v>288.43704877911279</v>
      </c>
      <c r="Y311" s="369">
        <f t="shared" ca="1" si="93"/>
        <v>291.37557310007048</v>
      </c>
      <c r="Z311" s="369">
        <f t="shared" ca="1" si="94"/>
        <v>293.81834254044759</v>
      </c>
      <c r="AA311" s="369">
        <f t="shared" ca="1" si="95"/>
        <v>295.75864212612214</v>
      </c>
      <c r="AB311" s="369">
        <f t="shared" ca="1" si="96"/>
        <v>297.18774087919502</v>
      </c>
      <c r="AC311" s="369">
        <f t="shared" ca="1" si="97"/>
        <v>298.09785362880751</v>
      </c>
      <c r="AD311" s="369">
        <f t="shared" ca="1" si="98"/>
        <v>298.48622691503135</v>
      </c>
      <c r="AE311" s="369">
        <f t="shared" ca="1" si="99"/>
        <v>298.35262850185757</v>
      </c>
      <c r="AF311" s="369">
        <f t="shared" ca="1" si="100"/>
        <v>297.69442998030087</v>
      </c>
      <c r="AG311" s="369">
        <f t="shared" ca="1" si="101"/>
        <v>296.51030271273675</v>
      </c>
      <c r="AH311" s="369">
        <f t="shared" ca="1" si="102"/>
        <v>294.80123331191152</v>
      </c>
    </row>
    <row r="312" spans="2:34">
      <c r="B312" s="149">
        <v>7</v>
      </c>
      <c r="C312" s="122" t="str">
        <v>Veículos Comerciais com 6 Eixos Articulado</v>
      </c>
      <c r="D312" s="369">
        <f t="shared" ca="1" si="103"/>
        <v>2399.1984894661873</v>
      </c>
      <c r="E312" s="369">
        <f t="shared" ca="1" si="73"/>
        <v>2491.0421383776179</v>
      </c>
      <c r="F312" s="369">
        <f t="shared" ca="1" si="74"/>
        <v>2583.2140868117099</v>
      </c>
      <c r="G312" s="369">
        <f t="shared" ca="1" si="75"/>
        <v>2677.4107750999892</v>
      </c>
      <c r="H312" s="369">
        <f t="shared" ca="1" si="76"/>
        <v>2774.202312390084</v>
      </c>
      <c r="I312" s="369">
        <f t="shared" ca="1" si="77"/>
        <v>2873.4298505731686</v>
      </c>
      <c r="J312" s="369">
        <f t="shared" ca="1" si="78"/>
        <v>2974.3991129926621</v>
      </c>
      <c r="K312" s="369">
        <f t="shared" ca="1" si="79"/>
        <v>3075.9885130080588</v>
      </c>
      <c r="L312" s="369">
        <f t="shared" ca="1" si="80"/>
        <v>3177.3349531623057</v>
      </c>
      <c r="M312" s="369">
        <f t="shared" ca="1" si="81"/>
        <v>3277.6518060359872</v>
      </c>
      <c r="N312" s="369">
        <f t="shared" ca="1" si="82"/>
        <v>3376.2108522165026</v>
      </c>
      <c r="O312" s="369">
        <f t="shared" ca="1" si="83"/>
        <v>3472.240693776921</v>
      </c>
      <c r="P312" s="369">
        <f t="shared" ca="1" si="84"/>
        <v>3564.9926671692388</v>
      </c>
      <c r="Q312" s="369">
        <f t="shared" ca="1" si="85"/>
        <v>3653.8913083842385</v>
      </c>
      <c r="R312" s="369">
        <f t="shared" ca="1" si="86"/>
        <v>3738.3831210674425</v>
      </c>
      <c r="S312" s="369">
        <f t="shared" ca="1" si="87"/>
        <v>3817.907667381291</v>
      </c>
      <c r="T312" s="369">
        <f t="shared" ca="1" si="88"/>
        <v>3891.9417925213711</v>
      </c>
      <c r="U312" s="369">
        <f t="shared" ca="1" si="89"/>
        <v>3960.1349020182997</v>
      </c>
      <c r="V312" s="369">
        <f t="shared" ca="1" si="90"/>
        <v>4022.2021328838891</v>
      </c>
      <c r="W312" s="369">
        <f t="shared" ca="1" si="91"/>
        <v>4077.8394485275658</v>
      </c>
      <c r="X312" s="369">
        <f t="shared" ca="1" si="92"/>
        <v>4126.8078610818011</v>
      </c>
      <c r="Y312" s="369">
        <f t="shared" ca="1" si="93"/>
        <v>4168.8507446816648</v>
      </c>
      <c r="Z312" s="369">
        <f t="shared" ca="1" si="94"/>
        <v>4203.8006242898091</v>
      </c>
      <c r="AA312" s="369">
        <f t="shared" ca="1" si="95"/>
        <v>4231.5614255353794</v>
      </c>
      <c r="AB312" s="369">
        <f t="shared" ca="1" si="96"/>
        <v>4252.0082301099192</v>
      </c>
      <c r="AC312" s="369">
        <f t="shared" ca="1" si="97"/>
        <v>4265.0296518221048</v>
      </c>
      <c r="AD312" s="369">
        <f t="shared" ca="1" si="98"/>
        <v>4270.5862955937946</v>
      </c>
      <c r="AE312" s="369">
        <f t="shared" ca="1" si="99"/>
        <v>4268.6748387124835</v>
      </c>
      <c r="AF312" s="369">
        <f t="shared" ca="1" si="100"/>
        <v>4259.2576752641344</v>
      </c>
      <c r="AG312" s="369">
        <f t="shared" ca="1" si="101"/>
        <v>4242.3157957899493</v>
      </c>
      <c r="AH312" s="369">
        <f t="shared" ca="1" si="102"/>
        <v>4217.8633162339665</v>
      </c>
    </row>
    <row r="313" spans="2:34">
      <c r="B313" s="149">
        <v>8</v>
      </c>
      <c r="C313" s="122" t="str">
        <v>Veículos Comerciais com 7 Eixos Articulado</v>
      </c>
      <c r="D313" s="369">
        <f t="shared" ca="1" si="103"/>
        <v>154.58156582397783</v>
      </c>
      <c r="E313" s="369">
        <f t="shared" ca="1" si="73"/>
        <v>160.49909833412681</v>
      </c>
      <c r="F313" s="369">
        <f t="shared" ca="1" si="74"/>
        <v>166.43778334770363</v>
      </c>
      <c r="G313" s="369">
        <f t="shared" ca="1" si="75"/>
        <v>172.50692336882591</v>
      </c>
      <c r="H313" s="369">
        <f t="shared" ca="1" si="76"/>
        <v>178.74325081672367</v>
      </c>
      <c r="I313" s="369">
        <f t="shared" ca="1" si="77"/>
        <v>185.13653102782138</v>
      </c>
      <c r="J313" s="369">
        <f t="shared" ca="1" si="78"/>
        <v>191.64203140781294</v>
      </c>
      <c r="K313" s="369">
        <f t="shared" ca="1" si="79"/>
        <v>198.18748756512844</v>
      </c>
      <c r="L313" s="369">
        <f t="shared" ca="1" si="80"/>
        <v>204.71728969634569</v>
      </c>
      <c r="M313" s="369">
        <f t="shared" ca="1" si="81"/>
        <v>211.1807550010432</v>
      </c>
      <c r="N313" s="369">
        <f t="shared" ca="1" si="82"/>
        <v>217.53096393606612</v>
      </c>
      <c r="O313" s="369">
        <f t="shared" ca="1" si="83"/>
        <v>223.71821494485653</v>
      </c>
      <c r="P313" s="369">
        <f t="shared" ca="1" si="84"/>
        <v>229.69427125832914</v>
      </c>
      <c r="Q313" s="369">
        <f t="shared" ca="1" si="85"/>
        <v>235.42205544082762</v>
      </c>
      <c r="R313" s="369">
        <f t="shared" ca="1" si="86"/>
        <v>240.86590544374337</v>
      </c>
      <c r="S313" s="369">
        <f t="shared" ca="1" si="87"/>
        <v>245.98971197522013</v>
      </c>
      <c r="T313" s="369">
        <f t="shared" ca="1" si="88"/>
        <v>250.7597679079864</v>
      </c>
      <c r="U313" s="369">
        <f t="shared" ca="1" si="89"/>
        <v>255.15348426397932</v>
      </c>
      <c r="V313" s="369">
        <f t="shared" ca="1" si="90"/>
        <v>259.15250717754236</v>
      </c>
      <c r="W313" s="369">
        <f t="shared" ca="1" si="91"/>
        <v>262.73724741817</v>
      </c>
      <c r="X313" s="369">
        <f t="shared" ca="1" si="92"/>
        <v>265.89230687731151</v>
      </c>
      <c r="Y313" s="369">
        <f t="shared" ca="1" si="93"/>
        <v>268.60115102136899</v>
      </c>
      <c r="Z313" s="369">
        <f t="shared" ca="1" si="94"/>
        <v>270.85298934942188</v>
      </c>
      <c r="AA313" s="369">
        <f t="shared" ca="1" si="95"/>
        <v>272.6416317414164</v>
      </c>
      <c r="AB313" s="369">
        <f t="shared" ca="1" si="96"/>
        <v>273.95902964788661</v>
      </c>
      <c r="AC313" s="369">
        <f t="shared" ca="1" si="97"/>
        <v>274.79800640048205</v>
      </c>
      <c r="AD313" s="369">
        <f t="shared" ca="1" si="98"/>
        <v>275.15602375449635</v>
      </c>
      <c r="AE313" s="369">
        <f t="shared" ca="1" si="99"/>
        <v>275.03286762589119</v>
      </c>
      <c r="AF313" s="369">
        <f t="shared" ca="1" si="100"/>
        <v>274.42611504670379</v>
      </c>
      <c r="AG313" s="369">
        <f t="shared" ca="1" si="101"/>
        <v>273.33454122793933</v>
      </c>
      <c r="AH313" s="369">
        <f t="shared" ca="1" si="102"/>
        <v>271.75905566697435</v>
      </c>
    </row>
    <row r="314" spans="2:34">
      <c r="B314" s="149">
        <v>9</v>
      </c>
      <c r="C314" s="122" t="str">
        <v>Veículos Comerciais com 8 Eixos Articulado</v>
      </c>
      <c r="D314" s="369">
        <f t="shared" ca="1" si="103"/>
        <v>0</v>
      </c>
      <c r="E314" s="369">
        <f t="shared" ca="1" si="73"/>
        <v>0</v>
      </c>
      <c r="F314" s="369">
        <f t="shared" ca="1" si="74"/>
        <v>0</v>
      </c>
      <c r="G314" s="369">
        <f t="shared" ca="1" si="75"/>
        <v>0</v>
      </c>
      <c r="H314" s="369">
        <f t="shared" ca="1" si="76"/>
        <v>0</v>
      </c>
      <c r="I314" s="369">
        <f t="shared" ca="1" si="77"/>
        <v>0</v>
      </c>
      <c r="J314" s="369">
        <f t="shared" ca="1" si="78"/>
        <v>0</v>
      </c>
      <c r="K314" s="369">
        <f t="shared" ca="1" si="79"/>
        <v>0</v>
      </c>
      <c r="L314" s="369">
        <f t="shared" ca="1" si="80"/>
        <v>0</v>
      </c>
      <c r="M314" s="369">
        <f t="shared" ca="1" si="81"/>
        <v>0</v>
      </c>
      <c r="N314" s="369">
        <f t="shared" ca="1" si="82"/>
        <v>0</v>
      </c>
      <c r="O314" s="369">
        <f t="shared" ca="1" si="83"/>
        <v>0</v>
      </c>
      <c r="P314" s="369">
        <f t="shared" ca="1" si="84"/>
        <v>0</v>
      </c>
      <c r="Q314" s="369">
        <f t="shared" ca="1" si="85"/>
        <v>0</v>
      </c>
      <c r="R314" s="369">
        <f t="shared" ca="1" si="86"/>
        <v>0</v>
      </c>
      <c r="S314" s="369">
        <f t="shared" ca="1" si="87"/>
        <v>0</v>
      </c>
      <c r="T314" s="369">
        <f t="shared" ca="1" si="88"/>
        <v>0</v>
      </c>
      <c r="U314" s="369">
        <f t="shared" ca="1" si="89"/>
        <v>0</v>
      </c>
      <c r="V314" s="369">
        <f t="shared" ca="1" si="90"/>
        <v>0</v>
      </c>
      <c r="W314" s="369">
        <f t="shared" ca="1" si="91"/>
        <v>0</v>
      </c>
      <c r="X314" s="369">
        <f t="shared" ca="1" si="92"/>
        <v>0</v>
      </c>
      <c r="Y314" s="369">
        <f t="shared" ca="1" si="93"/>
        <v>0</v>
      </c>
      <c r="Z314" s="369">
        <f t="shared" ca="1" si="94"/>
        <v>0</v>
      </c>
      <c r="AA314" s="369">
        <f t="shared" ca="1" si="95"/>
        <v>0</v>
      </c>
      <c r="AB314" s="369">
        <f t="shared" ca="1" si="96"/>
        <v>0</v>
      </c>
      <c r="AC314" s="369">
        <f t="shared" ca="1" si="97"/>
        <v>0</v>
      </c>
      <c r="AD314" s="369">
        <f t="shared" ca="1" si="98"/>
        <v>0</v>
      </c>
      <c r="AE314" s="369">
        <f t="shared" ca="1" si="99"/>
        <v>0</v>
      </c>
      <c r="AF314" s="369">
        <f t="shared" ca="1" si="100"/>
        <v>0</v>
      </c>
      <c r="AG314" s="369">
        <f t="shared" ca="1" si="101"/>
        <v>0</v>
      </c>
      <c r="AH314" s="369">
        <f t="shared" ca="1" si="102"/>
        <v>0</v>
      </c>
    </row>
    <row r="315" spans="2:34">
      <c r="B315" s="149">
        <v>10</v>
      </c>
      <c r="C315" s="122" t="str">
        <v>Veículos Comerciais com 9 Eixos Articulado</v>
      </c>
      <c r="D315" s="369">
        <f t="shared" ca="1" si="103"/>
        <v>59.40798241624492</v>
      </c>
      <c r="E315" s="369">
        <f t="shared" ca="1" si="73"/>
        <v>61.682177695847649</v>
      </c>
      <c r="F315" s="369">
        <f t="shared" ca="1" si="74"/>
        <v>63.964502195419144</v>
      </c>
      <c r="G315" s="369">
        <f t="shared" ca="1" si="75"/>
        <v>66.296962484164865</v>
      </c>
      <c r="H315" s="369">
        <f t="shared" ca="1" si="76"/>
        <v>68.693675374164513</v>
      </c>
      <c r="I315" s="369">
        <f t="shared" ca="1" si="77"/>
        <v>71.150707532808269</v>
      </c>
      <c r="J315" s="369">
        <f t="shared" ca="1" si="78"/>
        <v>73.650867562390943</v>
      </c>
      <c r="K315" s="369">
        <f t="shared" ca="1" si="79"/>
        <v>76.166383188250791</v>
      </c>
      <c r="L315" s="369">
        <f t="shared" ca="1" si="80"/>
        <v>78.67588274031668</v>
      </c>
      <c r="M315" s="369">
        <f t="shared" ca="1" si="81"/>
        <v>81.159888068653927</v>
      </c>
      <c r="N315" s="369">
        <f t="shared" ca="1" si="82"/>
        <v>83.60036729876407</v>
      </c>
      <c r="O315" s="369">
        <f t="shared" ca="1" si="83"/>
        <v>85.978219387244465</v>
      </c>
      <c r="P315" s="369">
        <f t="shared" ca="1" si="84"/>
        <v>88.274906230186247</v>
      </c>
      <c r="Q315" s="369">
        <f t="shared" ca="1" si="85"/>
        <v>90.476178420593428</v>
      </c>
      <c r="R315" s="369">
        <f t="shared" ca="1" si="86"/>
        <v>92.568330505649641</v>
      </c>
      <c r="S315" s="369">
        <f t="shared" ca="1" si="87"/>
        <v>94.537485150342732</v>
      </c>
      <c r="T315" s="369">
        <f t="shared" ca="1" si="88"/>
        <v>96.370688207044623</v>
      </c>
      <c r="U315" s="369">
        <f t="shared" ca="1" si="89"/>
        <v>98.0592583973351</v>
      </c>
      <c r="V315" s="369">
        <f t="shared" ca="1" si="90"/>
        <v>99.596142059140163</v>
      </c>
      <c r="W315" s="369">
        <f t="shared" ca="1" si="91"/>
        <v>100.9738107614</v>
      </c>
      <c r="X315" s="369">
        <f t="shared" ca="1" si="92"/>
        <v>102.18634678321982</v>
      </c>
      <c r="Y315" s="369">
        <f t="shared" ca="1" si="93"/>
        <v>103.22739565874851</v>
      </c>
      <c r="Z315" s="369">
        <f t="shared" ca="1" si="94"/>
        <v>104.09281043886222</v>
      </c>
      <c r="AA315" s="369">
        <f t="shared" ca="1" si="95"/>
        <v>104.78021216885607</v>
      </c>
      <c r="AB315" s="369">
        <f t="shared" ca="1" si="96"/>
        <v>105.28650767211096</v>
      </c>
      <c r="AC315" s="369">
        <f t="shared" ca="1" si="97"/>
        <v>105.60893884881789</v>
      </c>
      <c r="AD315" s="369">
        <f t="shared" ca="1" si="98"/>
        <v>105.74653021398888</v>
      </c>
      <c r="AE315" s="369">
        <f t="shared" ca="1" si="99"/>
        <v>105.69919949196114</v>
      </c>
      <c r="AF315" s="369">
        <f t="shared" ca="1" si="100"/>
        <v>105.46601550030445</v>
      </c>
      <c r="AG315" s="369">
        <f t="shared" ca="1" si="101"/>
        <v>105.04650753449025</v>
      </c>
      <c r="AH315" s="369">
        <f t="shared" ca="1" si="102"/>
        <v>104.44102512781419</v>
      </c>
    </row>
    <row r="316" spans="2:34">
      <c r="B316" s="149">
        <v>11</v>
      </c>
      <c r="C316" s="122" t="str">
        <v>Motocicleta</v>
      </c>
      <c r="D316" s="369">
        <f t="shared" ca="1" si="103"/>
        <v>2476.2273753165055</v>
      </c>
      <c r="E316" s="369">
        <f t="shared" ca="1" si="73"/>
        <v>2581.3050271695015</v>
      </c>
      <c r="F316" s="369">
        <f t="shared" ca="1" si="74"/>
        <v>2688.0731243045866</v>
      </c>
      <c r="G316" s="369">
        <f t="shared" ca="1" si="75"/>
        <v>2799.0397334068907</v>
      </c>
      <c r="H316" s="369">
        <f t="shared" ca="1" si="76"/>
        <v>2915.1946889554106</v>
      </c>
      <c r="I316" s="369">
        <f t="shared" ca="1" si="77"/>
        <v>3036.5275463546263</v>
      </c>
      <c r="J316" s="369">
        <f t="shared" ca="1" si="78"/>
        <v>3162.3124807999429</v>
      </c>
      <c r="K316" s="369">
        <f t="shared" ca="1" si="79"/>
        <v>3291.2204990294567</v>
      </c>
      <c r="L316" s="369">
        <f t="shared" ca="1" si="80"/>
        <v>3422.2160416930856</v>
      </c>
      <c r="M316" s="369">
        <f t="shared" ca="1" si="81"/>
        <v>3554.3467758668639</v>
      </c>
      <c r="N316" s="369">
        <f t="shared" ca="1" si="82"/>
        <v>3686.7090278818864</v>
      </c>
      <c r="O316" s="369">
        <f t="shared" ca="1" si="83"/>
        <v>3818.3292157531359</v>
      </c>
      <c r="P316" s="369">
        <f t="shared" ca="1" si="84"/>
        <v>3948.240183931392</v>
      </c>
      <c r="Q316" s="369">
        <f t="shared" ca="1" si="85"/>
        <v>4075.6572614683646</v>
      </c>
      <c r="R316" s="369">
        <f t="shared" ca="1" si="86"/>
        <v>4199.7989157569054</v>
      </c>
      <c r="S316" s="369">
        <f t="shared" ca="1" si="87"/>
        <v>4319.84891686437</v>
      </c>
      <c r="T316" s="369">
        <f t="shared" ca="1" si="88"/>
        <v>4435.0198731330893</v>
      </c>
      <c r="U316" s="369">
        <f t="shared" ca="1" si="89"/>
        <v>4544.718990858215</v>
      </c>
      <c r="V316" s="369">
        <f t="shared" ca="1" si="90"/>
        <v>4648.4300986941198</v>
      </c>
      <c r="W316" s="369">
        <f t="shared" ca="1" si="91"/>
        <v>4745.6095635680413</v>
      </c>
      <c r="X316" s="369">
        <f t="shared" ca="1" si="92"/>
        <v>4835.7823120920402</v>
      </c>
      <c r="Y316" s="369">
        <f t="shared" ca="1" si="93"/>
        <v>4918.451246533984</v>
      </c>
      <c r="Z316" s="369">
        <f t="shared" ca="1" si="94"/>
        <v>4993.2245593136067</v>
      </c>
      <c r="AA316" s="369">
        <f t="shared" ca="1" si="95"/>
        <v>5059.7986632992215</v>
      </c>
      <c r="AB316" s="369">
        <f t="shared" ca="1" si="96"/>
        <v>5117.8403080865701</v>
      </c>
      <c r="AC316" s="369">
        <f t="shared" ca="1" si="97"/>
        <v>5167.0330712540454</v>
      </c>
      <c r="AD316" s="369">
        <f t="shared" ca="1" si="98"/>
        <v>5207.1476144242097</v>
      </c>
      <c r="AE316" s="369">
        <f t="shared" ca="1" si="99"/>
        <v>5237.9953045013544</v>
      </c>
      <c r="AF316" s="369">
        <f t="shared" ca="1" si="100"/>
        <v>5259.3432766354917</v>
      </c>
      <c r="AG316" s="369">
        <f t="shared" ca="1" si="101"/>
        <v>5270.9822229925285</v>
      </c>
      <c r="AH316" s="369">
        <f t="shared" ca="1" si="102"/>
        <v>5272.7477699613</v>
      </c>
    </row>
    <row r="317" spans="2:34">
      <c r="B317" s="182">
        <v>12</v>
      </c>
      <c r="C317" s="183" t="str">
        <v xml:space="preserve">Veículos do transporte público coletivo intermunicipal e metropolitano </v>
      </c>
      <c r="D317" s="369">
        <f t="shared" ca="1" si="103"/>
        <v>92.71210432727861</v>
      </c>
      <c r="E317" s="369">
        <f t="shared" ca="1" si="73"/>
        <v>95.110914096067006</v>
      </c>
      <c r="F317" s="369">
        <f t="shared" ca="1" si="74"/>
        <v>97.459779273803136</v>
      </c>
      <c r="G317" s="369">
        <f t="shared" ca="1" si="75"/>
        <v>99.785801160699677</v>
      </c>
      <c r="H317" s="369">
        <f t="shared" ca="1" si="76"/>
        <v>102.09492540192855</v>
      </c>
      <c r="I317" s="369">
        <f t="shared" ca="1" si="77"/>
        <v>104.38025989305932</v>
      </c>
      <c r="J317" s="369">
        <f t="shared" ca="1" si="78"/>
        <v>106.62497850265369</v>
      </c>
      <c r="K317" s="369">
        <f t="shared" ca="1" si="79"/>
        <v>108.80536342105123</v>
      </c>
      <c r="L317" s="369">
        <f t="shared" ca="1" si="80"/>
        <v>110.90451998373364</v>
      </c>
      <c r="M317" s="369">
        <f t="shared" ca="1" si="81"/>
        <v>112.90767052340613</v>
      </c>
      <c r="N317" s="369">
        <f t="shared" ca="1" si="82"/>
        <v>114.80202007232607</v>
      </c>
      <c r="O317" s="369">
        <f t="shared" ca="1" si="83"/>
        <v>116.57419588865513</v>
      </c>
      <c r="P317" s="369">
        <f t="shared" ca="1" si="84"/>
        <v>118.21180566198863</v>
      </c>
      <c r="Q317" s="369">
        <f t="shared" ca="1" si="85"/>
        <v>119.70698102910585</v>
      </c>
      <c r="R317" s="369">
        <f t="shared" ca="1" si="86"/>
        <v>121.05271392960628</v>
      </c>
      <c r="S317" s="369">
        <f t="shared" ca="1" si="87"/>
        <v>122.2422171710391</v>
      </c>
      <c r="T317" s="369">
        <f t="shared" ca="1" si="88"/>
        <v>123.26962602283976</v>
      </c>
      <c r="U317" s="369">
        <f t="shared" ca="1" si="89"/>
        <v>124.13300434015252</v>
      </c>
      <c r="V317" s="369">
        <f t="shared" ca="1" si="90"/>
        <v>124.83159732369499</v>
      </c>
      <c r="W317" s="369">
        <f t="shared" ca="1" si="91"/>
        <v>125.36393958835146</v>
      </c>
      <c r="X317" s="369">
        <f t="shared" ca="1" si="92"/>
        <v>125.72992809106769</v>
      </c>
      <c r="Y317" s="369">
        <f t="shared" ca="1" si="93"/>
        <v>125.92870934097576</v>
      </c>
      <c r="Z317" s="369">
        <f t="shared" ca="1" si="94"/>
        <v>125.96117320808912</v>
      </c>
      <c r="AA317" s="369">
        <f t="shared" ca="1" si="95"/>
        <v>125.82945908223444</v>
      </c>
      <c r="AB317" s="369">
        <f t="shared" ca="1" si="96"/>
        <v>125.53461158519434</v>
      </c>
      <c r="AC317" s="369">
        <f t="shared" ca="1" si="97"/>
        <v>125.07767419533056</v>
      </c>
      <c r="AD317" s="369">
        <f t="shared" ca="1" si="98"/>
        <v>124.46104856379542</v>
      </c>
      <c r="AE317" s="369">
        <f t="shared" ca="1" si="99"/>
        <v>123.68775355668313</v>
      </c>
      <c r="AF317" s="369">
        <f t="shared" ca="1" si="100"/>
        <v>122.75981642878669</v>
      </c>
      <c r="AG317" s="369">
        <f t="shared" ca="1" si="101"/>
        <v>121.67940488210081</v>
      </c>
      <c r="AH317" s="369">
        <f t="shared" ca="1" si="102"/>
        <v>120.44909209292331</v>
      </c>
    </row>
    <row r="318" spans="2:34">
      <c r="B318" s="616" t="s">
        <v>73</v>
      </c>
      <c r="C318" s="617"/>
      <c r="D318" s="370">
        <f ca="1">SUM(D306:D317)</f>
        <v>39169.860949112641</v>
      </c>
      <c r="E318" s="370">
        <f t="shared" ref="E318:AH318" ca="1" si="104">SUM(E306:E317)</f>
        <v>40741.469529600559</v>
      </c>
      <c r="F318" s="370">
        <f t="shared" ca="1" si="104"/>
        <v>42332.474184386148</v>
      </c>
      <c r="G318" s="370">
        <f t="shared" ca="1" si="104"/>
        <v>43978.261039336321</v>
      </c>
      <c r="H318" s="370">
        <f t="shared" ca="1" si="104"/>
        <v>45692.435972181192</v>
      </c>
      <c r="I318" s="370">
        <f t="shared" ca="1" si="104"/>
        <v>47474.326892862671</v>
      </c>
      <c r="J318" s="370">
        <f t="shared" ca="1" si="104"/>
        <v>49312.995323149007</v>
      </c>
      <c r="K318" s="370">
        <f t="shared" ca="1" si="104"/>
        <v>51188.951074966775</v>
      </c>
      <c r="L318" s="370">
        <f t="shared" ca="1" si="104"/>
        <v>53087.101476054886</v>
      </c>
      <c r="M318" s="370">
        <f t="shared" ca="1" si="104"/>
        <v>54993.614126319204</v>
      </c>
      <c r="N318" s="370">
        <f t="shared" ca="1" si="104"/>
        <v>56895.447665594227</v>
      </c>
      <c r="O318" s="370">
        <f t="shared" ca="1" si="104"/>
        <v>58778.588302157143</v>
      </c>
      <c r="P318" s="370">
        <f t="shared" ca="1" si="104"/>
        <v>60629.181098378511</v>
      </c>
      <c r="Q318" s="370">
        <f t="shared" ca="1" si="104"/>
        <v>62436.134770607277</v>
      </c>
      <c r="R318" s="370">
        <f t="shared" ca="1" si="104"/>
        <v>64188.467834292205</v>
      </c>
      <c r="S318" s="370">
        <f t="shared" ca="1" si="104"/>
        <v>65874.759073955007</v>
      </c>
      <c r="T318" s="370">
        <f t="shared" ca="1" si="104"/>
        <v>67484.046184796782</v>
      </c>
      <c r="U318" s="370">
        <f t="shared" ca="1" si="104"/>
        <v>69008.253818226105</v>
      </c>
      <c r="V318" s="370">
        <f t="shared" ca="1" si="104"/>
        <v>70440.421983703709</v>
      </c>
      <c r="W318" s="370">
        <f t="shared" ca="1" si="104"/>
        <v>71773.181248693654</v>
      </c>
      <c r="X318" s="370">
        <f t="shared" ca="1" si="104"/>
        <v>73000.183107741614</v>
      </c>
      <c r="Y318" s="370">
        <f t="shared" ca="1" si="104"/>
        <v>74114.738772123645</v>
      </c>
      <c r="Z318" s="370">
        <f t="shared" ca="1" si="104"/>
        <v>75111.696930472448</v>
      </c>
      <c r="AA318" s="370">
        <f t="shared" ca="1" si="104"/>
        <v>75987.179803788109</v>
      </c>
      <c r="AB318" s="370">
        <f t="shared" ca="1" si="104"/>
        <v>76736.841084355823</v>
      </c>
      <c r="AC318" s="370">
        <f t="shared" ca="1" si="104"/>
        <v>77356.564966467588</v>
      </c>
      <c r="AD318" s="370">
        <f t="shared" ca="1" si="104"/>
        <v>77843.500940741622</v>
      </c>
      <c r="AE318" s="370">
        <f t="shared" ca="1" si="104"/>
        <v>78195.39182940319</v>
      </c>
      <c r="AF318" s="370">
        <f t="shared" ca="1" si="104"/>
        <v>78409.324904432739</v>
      </c>
      <c r="AG318" s="370">
        <f t="shared" ca="1" si="104"/>
        <v>78482.717017583927</v>
      </c>
      <c r="AH318" s="370">
        <f t="shared" ca="1" si="104"/>
        <v>78413.618041404392</v>
      </c>
    </row>
    <row r="320" spans="2:34">
      <c r="B320" s="2" t="s">
        <v>560</v>
      </c>
    </row>
    <row r="321" spans="2:35">
      <c r="B321" s="46" t="str" cm="1">
        <f t="array" ref="B321:C333">B305:C317</f>
        <v>Categoria (MEF)</v>
      </c>
      <c r="C321" s="46" t="str">
        <v>Categoria de Veículo</v>
      </c>
      <c r="D321" s="46" t="str" cm="1">
        <f t="array" ref="D321:AH321">_xlfn.ANCHORARRAY($C$297)</f>
        <v>Ano 0</v>
      </c>
      <c r="E321" s="46" t="str">
        <v>Ano 1</v>
      </c>
      <c r="F321" s="46" t="str">
        <v>Ano 2</v>
      </c>
      <c r="G321" s="46" t="str">
        <v>Ano 3</v>
      </c>
      <c r="H321" s="46" t="str">
        <v>Ano 4</v>
      </c>
      <c r="I321" s="46" t="str">
        <v>Ano 5</v>
      </c>
      <c r="J321" s="46" t="str">
        <v>Ano 6</v>
      </c>
      <c r="K321" s="46" t="str">
        <v>Ano 7</v>
      </c>
      <c r="L321" s="46" t="str">
        <v>Ano 8</v>
      </c>
      <c r="M321" s="46" t="str">
        <v>Ano 9</v>
      </c>
      <c r="N321" s="46" t="str">
        <v>Ano 10</v>
      </c>
      <c r="O321" s="46" t="str">
        <v>Ano 11</v>
      </c>
      <c r="P321" s="46" t="str">
        <v>Ano 12</v>
      </c>
      <c r="Q321" s="46" t="str">
        <v>Ano 13</v>
      </c>
      <c r="R321" s="46" t="str">
        <v>Ano 14</v>
      </c>
      <c r="S321" s="46" t="str">
        <v>Ano 15</v>
      </c>
      <c r="T321" s="46" t="str">
        <v>Ano 16</v>
      </c>
      <c r="U321" s="46" t="str">
        <v>Ano 17</v>
      </c>
      <c r="V321" s="46" t="str">
        <v>Ano 18</v>
      </c>
      <c r="W321" s="46" t="str">
        <v>Ano 19</v>
      </c>
      <c r="X321" s="46" t="str">
        <v>Ano 20</v>
      </c>
      <c r="Y321" s="46" t="str">
        <v>Ano 21</v>
      </c>
      <c r="Z321" s="46" t="str">
        <v>Ano 22</v>
      </c>
      <c r="AA321" s="46" t="str">
        <v>Ano 23</v>
      </c>
      <c r="AB321" s="46" t="str">
        <v>Ano 24</v>
      </c>
      <c r="AC321" s="46" t="str">
        <v>Ano 25</v>
      </c>
      <c r="AD321" s="46" t="str">
        <v>Ano 26</v>
      </c>
      <c r="AE321" s="46" t="str">
        <v>Ano 27</v>
      </c>
      <c r="AF321" s="46" t="str">
        <v>Ano 28</v>
      </c>
      <c r="AG321" s="46" t="str">
        <v>Ano 29</v>
      </c>
      <c r="AH321" s="46" t="str">
        <v>Ano 30</v>
      </c>
    </row>
    <row r="322" spans="2:35">
      <c r="B322" s="149">
        <v>1</v>
      </c>
      <c r="C322" s="122" t="str">
        <v>Automóvel</v>
      </c>
      <c r="D322" s="369">
        <f ca="1">SUMIF($C$194:$C$241,$B322,G$194:G$241)</f>
        <v>29025.068365927385</v>
      </c>
      <c r="E322" s="369">
        <f t="shared" ref="E322:E333" ca="1" si="105">SUMIF($C$194:$C$241,$B322,H$194:H$241)</f>
        <v>30256.734754549911</v>
      </c>
      <c r="F322" s="369">
        <f t="shared" ref="F322:F333" ca="1" si="106">SUMIF($C$194:$C$241,$B322,I$194:I$241)</f>
        <v>31508.215676510772</v>
      </c>
      <c r="G322" s="369">
        <f t="shared" ref="G322:G333" ca="1" si="107">SUMIF($C$194:$C$241,$B322,J$194:J$241)</f>
        <v>32808.909404249658</v>
      </c>
      <c r="H322" s="369">
        <f t="shared" ref="H322:H333" ca="1" si="108">SUMIF($C$194:$C$241,$B322,K$194:K$241)</f>
        <v>34170.41827029478</v>
      </c>
      <c r="I322" s="369">
        <f t="shared" ref="I322:I333" ca="1" si="109">SUMIF($C$194:$C$241,$B322,L$194:L$241)</f>
        <v>35592.6198484497</v>
      </c>
      <c r="J322" s="369">
        <f t="shared" ref="J322:J333" ca="1" si="110">SUMIF($C$194:$C$241,$B322,M$194:M$241)</f>
        <v>37067.006392299438</v>
      </c>
      <c r="K322" s="369">
        <f t="shared" ref="K322:K333" ca="1" si="111">SUMIF($C$194:$C$241,$B322,N$194:N$241)</f>
        <v>38578.000123862395</v>
      </c>
      <c r="L322" s="369">
        <f t="shared" ref="L322:L333" ca="1" si="112">SUMIF($C$194:$C$241,$B322,O$194:O$241)</f>
        <v>40113.462747102967</v>
      </c>
      <c r="M322" s="369">
        <f t="shared" ref="M322:M333" ca="1" si="113">SUMIF($C$194:$C$241,$B322,P$194:P$241)</f>
        <v>41662.231503503572</v>
      </c>
      <c r="N322" s="369">
        <f t="shared" ref="N322:N333" ca="1" si="114">SUMIF($C$194:$C$241,$B322,Q$194:Q$241)</f>
        <v>43213.71399339936</v>
      </c>
      <c r="O322" s="369">
        <f t="shared" ref="O322:O333" ca="1" si="115">SUMIF($C$194:$C$241,$B322,R$194:R$241)</f>
        <v>44756.498387668049</v>
      </c>
      <c r="P322" s="369">
        <f t="shared" ref="P322:P333" ca="1" si="116">SUMIF($C$194:$C$241,$B322,S$194:S$241)</f>
        <v>46279.248184574615</v>
      </c>
      <c r="Q322" s="369">
        <f t="shared" ref="Q322:Q333" ca="1" si="117">SUMIF($C$194:$C$241,$B322,T$194:T$241)</f>
        <v>47772.765873363038</v>
      </c>
      <c r="R322" s="369">
        <f t="shared" ref="R322:R333" ca="1" si="118">SUMIF($C$194:$C$241,$B322,U$194:U$241)</f>
        <v>49227.890729303886</v>
      </c>
      <c r="S322" s="369">
        <f t="shared" ref="S322:S333" ca="1" si="119">SUMIF($C$194:$C$241,$B322,V$194:V$241)</f>
        <v>50635.055323398738</v>
      </c>
      <c r="T322" s="369">
        <f t="shared" ref="T322:T333" ca="1" si="120">SUMIF($C$194:$C$241,$B322,W$194:W$241)</f>
        <v>51985.030254130426</v>
      </c>
      <c r="U322" s="369">
        <f t="shared" ref="U322:U333" ca="1" si="121">SUMIF($C$194:$C$241,$B322,X$194:X$241)</f>
        <v>53270.867097464215</v>
      </c>
      <c r="V322" s="369">
        <f t="shared" ref="V322:V333" ca="1" si="122">SUMIF($C$194:$C$241,$B322,Y$194:Y$241)</f>
        <v>54486.515557395505</v>
      </c>
      <c r="W322" s="369">
        <f t="shared" ref="W322:W333" ca="1" si="123">SUMIF($C$194:$C$241,$B322,Z$194:Z$241)</f>
        <v>55625.603445626803</v>
      </c>
      <c r="X322" s="369">
        <f t="shared" ref="X322:X333" ca="1" si="124">SUMIF($C$194:$C$241,$B322,AA$194:AA$241)</f>
        <v>56682.562195353137</v>
      </c>
      <c r="Y322" s="369">
        <f t="shared" ref="Y322:Y333" ca="1" si="125">SUMIF($C$194:$C$241,$B322,AB$194:AB$241)</f>
        <v>57651.565081693108</v>
      </c>
      <c r="Z322" s="369">
        <f t="shared" ref="Z322:Z333" ca="1" si="126">SUMIF($C$194:$C$241,$B322,AC$194:AC$241)</f>
        <v>58528.019536970278</v>
      </c>
      <c r="AA322" s="369">
        <f t="shared" ref="AA322:AA333" ca="1" si="127">SUMIF($C$194:$C$241,$B322,AD$194:AD$241)</f>
        <v>59308.367068398336</v>
      </c>
      <c r="AB322" s="369">
        <f t="shared" ref="AB322:AB333" ca="1" si="128">SUMIF($C$194:$C$241,$B322,AE$194:AE$241)</f>
        <v>59988.701485510712</v>
      </c>
      <c r="AC322" s="369">
        <f t="shared" ref="AC322:AC333" ca="1" si="129">SUMIF($C$194:$C$241,$B322,AF$194:AF$241)</f>
        <v>60565.313846830053</v>
      </c>
      <c r="AD322" s="369">
        <f t="shared" ref="AD322:AD333" ca="1" si="130">SUMIF($C$194:$C$241,$B322,AG$194:AG$241)</f>
        <v>61035.515965419065</v>
      </c>
      <c r="AE322" s="369">
        <f t="shared" ref="AE322:AE333" ca="1" si="131">SUMIF($C$194:$C$241,$B322,AH$194:AH$241)</f>
        <v>61397.09678079377</v>
      </c>
      <c r="AF322" s="369">
        <f t="shared" ref="AF322:AF333" ca="1" si="132">SUMIF($C$194:$C$241,$B322,AI$194:AI$241)</f>
        <v>61647.326770512722</v>
      </c>
      <c r="AG322" s="369">
        <f t="shared" ref="AG322:AG333" ca="1" si="133">SUMIF($C$194:$C$241,$B322,AJ$194:AJ$241)</f>
        <v>61783.752535403233</v>
      </c>
      <c r="AH322" s="369">
        <f t="shared" ref="AH322:AH333" ca="1" si="134">SUMIF($C$194:$C$241,$B322,AK$194:AK$241)</f>
        <v>61804.447372227442</v>
      </c>
      <c r="AI322" s="339"/>
    </row>
    <row r="323" spans="2:35">
      <c r="B323" s="149">
        <v>2</v>
      </c>
      <c r="C323" s="122" t="str">
        <v xml:space="preserve">Automóvel com reboque </v>
      </c>
      <c r="D323" s="369">
        <f t="shared" ref="D323:D333" ca="1" si="135">SUMIF($C$194:$C$241,$B323,G$194:G$241)</f>
        <v>176.35477060036015</v>
      </c>
      <c r="E323" s="369">
        <f t="shared" ca="1" si="105"/>
        <v>183.83831002508322</v>
      </c>
      <c r="F323" s="369">
        <f t="shared" ca="1" si="106"/>
        <v>191.44224149978805</v>
      </c>
      <c r="G323" s="369">
        <f t="shared" ca="1" si="107"/>
        <v>199.34518736316431</v>
      </c>
      <c r="H323" s="369">
        <f t="shared" ca="1" si="108"/>
        <v>207.61764277014649</v>
      </c>
      <c r="I323" s="369">
        <f t="shared" ca="1" si="109"/>
        <v>216.25886386568095</v>
      </c>
      <c r="J323" s="369">
        <f t="shared" ca="1" si="110"/>
        <v>225.217158035355</v>
      </c>
      <c r="K323" s="369">
        <f t="shared" ca="1" si="111"/>
        <v>234.39787552924309</v>
      </c>
      <c r="L323" s="369">
        <f t="shared" ca="1" si="112"/>
        <v>243.72726470666515</v>
      </c>
      <c r="M323" s="369">
        <f t="shared" ca="1" si="113"/>
        <v>253.13750124097993</v>
      </c>
      <c r="N323" s="369">
        <f t="shared" ca="1" si="114"/>
        <v>262.5642262755793</v>
      </c>
      <c r="O323" s="369">
        <f t="shared" ca="1" si="115"/>
        <v>271.93810214408421</v>
      </c>
      <c r="P323" s="369">
        <f t="shared" ca="1" si="116"/>
        <v>281.1902488653111</v>
      </c>
      <c r="Q323" s="369">
        <f t="shared" ca="1" si="117"/>
        <v>290.26478285342239</v>
      </c>
      <c r="R323" s="369">
        <f t="shared" ca="1" si="118"/>
        <v>299.10604403252012</v>
      </c>
      <c r="S323" s="369">
        <f t="shared" ca="1" si="119"/>
        <v>307.65590121321361</v>
      </c>
      <c r="T323" s="369">
        <f t="shared" ca="1" si="120"/>
        <v>315.85827704309804</v>
      </c>
      <c r="U323" s="369">
        <f t="shared" ca="1" si="121"/>
        <v>323.67095326755168</v>
      </c>
      <c r="V323" s="369">
        <f t="shared" ca="1" si="122"/>
        <v>331.05716861006334</v>
      </c>
      <c r="W323" s="369">
        <f t="shared" ca="1" si="123"/>
        <v>337.97820599368231</v>
      </c>
      <c r="X323" s="369">
        <f t="shared" ca="1" si="124"/>
        <v>344.40023110287535</v>
      </c>
      <c r="Y323" s="369">
        <f t="shared" ca="1" si="125"/>
        <v>350.28784106737692</v>
      </c>
      <c r="Z323" s="369">
        <f t="shared" ca="1" si="126"/>
        <v>355.61313169041358</v>
      </c>
      <c r="AA323" s="369">
        <f t="shared" ca="1" si="127"/>
        <v>360.354481759208</v>
      </c>
      <c r="AB323" s="369">
        <f t="shared" ca="1" si="128"/>
        <v>364.48815746838312</v>
      </c>
      <c r="AC323" s="369">
        <f t="shared" ca="1" si="129"/>
        <v>367.99162348692232</v>
      </c>
      <c r="AD323" s="369">
        <f t="shared" ca="1" si="130"/>
        <v>370.84854653406717</v>
      </c>
      <c r="AE323" s="369">
        <f t="shared" ca="1" si="131"/>
        <v>373.04549232399506</v>
      </c>
      <c r="AF323" s="369">
        <f t="shared" ca="1" si="132"/>
        <v>374.56587642362467</v>
      </c>
      <c r="AG323" s="369">
        <f t="shared" ca="1" si="133"/>
        <v>375.39479211015885</v>
      </c>
      <c r="AH323" s="369">
        <f t="shared" ca="1" si="134"/>
        <v>375.52053283726877</v>
      </c>
      <c r="AI323" s="339"/>
    </row>
    <row r="324" spans="2:35">
      <c r="B324" s="149">
        <v>3</v>
      </c>
      <c r="C324" s="122" t="str">
        <v>Veículos Comerciais com 2 Eixos</v>
      </c>
      <c r="D324" s="369">
        <f t="shared" ca="1" si="135"/>
        <v>6559.0513225493105</v>
      </c>
      <c r="E324" s="369">
        <f t="shared" ca="1" si="105"/>
        <v>6728.7585738373873</v>
      </c>
      <c r="F324" s="369">
        <f t="shared" ca="1" si="106"/>
        <v>6894.9324231131495</v>
      </c>
      <c r="G324" s="369">
        <f t="shared" ca="1" si="107"/>
        <v>7059.4901908849952</v>
      </c>
      <c r="H324" s="369">
        <f t="shared" ca="1" si="108"/>
        <v>7222.8525103821121</v>
      </c>
      <c r="I324" s="369">
        <f t="shared" ca="1" si="109"/>
        <v>7384.5317897522</v>
      </c>
      <c r="J324" s="369">
        <f t="shared" ca="1" si="110"/>
        <v>7543.3376400976667</v>
      </c>
      <c r="K324" s="369">
        <f t="shared" ca="1" si="111"/>
        <v>7697.5921108213352</v>
      </c>
      <c r="L324" s="369">
        <f t="shared" ca="1" si="112"/>
        <v>7846.0999645541833</v>
      </c>
      <c r="M324" s="369">
        <f t="shared" ca="1" si="113"/>
        <v>7987.8157339441623</v>
      </c>
      <c r="N324" s="369">
        <f t="shared" ca="1" si="114"/>
        <v>8121.8342205740482</v>
      </c>
      <c r="O324" s="369">
        <f t="shared" ca="1" si="115"/>
        <v>8247.2093505662506</v>
      </c>
      <c r="P324" s="369">
        <f t="shared" ca="1" si="116"/>
        <v>8363.0644120767283</v>
      </c>
      <c r="Q324" s="369">
        <f t="shared" ca="1" si="117"/>
        <v>8468.8427464192882</v>
      </c>
      <c r="R324" s="369">
        <f t="shared" ca="1" si="118"/>
        <v>8564.0485582695601</v>
      </c>
      <c r="S324" s="369">
        <f t="shared" ca="1" si="119"/>
        <v>8648.2016779243022</v>
      </c>
      <c r="T324" s="369">
        <f t="shared" ca="1" si="120"/>
        <v>8720.8871965747439</v>
      </c>
      <c r="U324" s="369">
        <f t="shared" ca="1" si="121"/>
        <v>8781.9681388650861</v>
      </c>
      <c r="V324" s="369">
        <f t="shared" ca="1" si="122"/>
        <v>8831.3911054332148</v>
      </c>
      <c r="W324" s="369">
        <f t="shared" ca="1" si="123"/>
        <v>8869.0524254990178</v>
      </c>
      <c r="X324" s="369">
        <f t="shared" ca="1" si="124"/>
        <v>8894.9448091332506</v>
      </c>
      <c r="Y324" s="369">
        <f t="shared" ca="1" si="125"/>
        <v>8909.007874895462</v>
      </c>
      <c r="Z324" s="369">
        <f t="shared" ca="1" si="126"/>
        <v>8911.3045779211352</v>
      </c>
      <c r="AA324" s="369">
        <f t="shared" ca="1" si="127"/>
        <v>8901.9862724241975</v>
      </c>
      <c r="AB324" s="369">
        <f t="shared" ca="1" si="128"/>
        <v>8881.1268616768757</v>
      </c>
      <c r="AC324" s="369">
        <f t="shared" ca="1" si="129"/>
        <v>8848.8001680584421</v>
      </c>
      <c r="AD324" s="369">
        <f t="shared" ca="1" si="130"/>
        <v>8805.1760998379505</v>
      </c>
      <c r="AE324" s="369">
        <f t="shared" ca="1" si="131"/>
        <v>8750.468231044295</v>
      </c>
      <c r="AF324" s="369">
        <f t="shared" ca="1" si="132"/>
        <v>8684.8199827369699</v>
      </c>
      <c r="AG324" s="369">
        <f t="shared" ca="1" si="133"/>
        <v>8608.3847121150029</v>
      </c>
      <c r="AH324" s="369">
        <f t="shared" ca="1" si="134"/>
        <v>8521.3444622408606</v>
      </c>
      <c r="AI324" s="339"/>
    </row>
    <row r="325" spans="2:35">
      <c r="B325" s="149">
        <v>4</v>
      </c>
      <c r="C325" s="122" t="str">
        <v>Veículos Comerciais com 3 Eixos</v>
      </c>
      <c r="D325" s="369">
        <f t="shared" ca="1" si="135"/>
        <v>2992.1937883441597</v>
      </c>
      <c r="E325" s="369">
        <f t="shared" ca="1" si="105"/>
        <v>3069.6130610666314</v>
      </c>
      <c r="F325" s="369">
        <f t="shared" ca="1" si="106"/>
        <v>3145.4204202618221</v>
      </c>
      <c r="G325" s="369">
        <f t="shared" ca="1" si="107"/>
        <v>3220.4905342671682</v>
      </c>
      <c r="H325" s="369">
        <f t="shared" ca="1" si="108"/>
        <v>3295.0152930487143</v>
      </c>
      <c r="I325" s="369">
        <f t="shared" ca="1" si="109"/>
        <v>3368.7722605802792</v>
      </c>
      <c r="J325" s="369">
        <f t="shared" ca="1" si="110"/>
        <v>3441.2183896908723</v>
      </c>
      <c r="K325" s="369">
        <f t="shared" ca="1" si="111"/>
        <v>3511.5882109387849</v>
      </c>
      <c r="L325" s="369">
        <f t="shared" ca="1" si="112"/>
        <v>3579.336465313937</v>
      </c>
      <c r="M325" s="369">
        <f t="shared" ca="1" si="113"/>
        <v>3643.986217850756</v>
      </c>
      <c r="N325" s="369">
        <f t="shared" ca="1" si="114"/>
        <v>3705.124523300296</v>
      </c>
      <c r="O325" s="369">
        <f t="shared" ca="1" si="115"/>
        <v>3762.3197893116776</v>
      </c>
      <c r="P325" s="369">
        <f t="shared" ca="1" si="116"/>
        <v>3815.1720660133551</v>
      </c>
      <c r="Q325" s="369">
        <f t="shared" ca="1" si="117"/>
        <v>3863.4274095678543</v>
      </c>
      <c r="R325" s="369">
        <f t="shared" ca="1" si="118"/>
        <v>3906.8596415818461</v>
      </c>
      <c r="S325" s="369">
        <f t="shared" ca="1" si="119"/>
        <v>3945.2497119621517</v>
      </c>
      <c r="T325" s="369">
        <f t="shared" ca="1" si="120"/>
        <v>3978.4083421836776</v>
      </c>
      <c r="U325" s="369">
        <f t="shared" ca="1" si="121"/>
        <v>4006.273045037738</v>
      </c>
      <c r="V325" s="369">
        <f t="shared" ca="1" si="122"/>
        <v>4028.8194601051564</v>
      </c>
      <c r="W325" s="369">
        <f t="shared" ca="1" si="123"/>
        <v>4046.0002934940217</v>
      </c>
      <c r="X325" s="369">
        <f t="shared" ca="1" si="124"/>
        <v>4057.8122195890992</v>
      </c>
      <c r="Y325" s="369">
        <f t="shared" ca="1" si="125"/>
        <v>4064.2276927954294</v>
      </c>
      <c r="Z325" s="369">
        <f t="shared" ca="1" si="126"/>
        <v>4065.2754328098226</v>
      </c>
      <c r="AA325" s="369">
        <f t="shared" ca="1" si="127"/>
        <v>4061.024486376461</v>
      </c>
      <c r="AB325" s="369">
        <f t="shared" ca="1" si="128"/>
        <v>4051.5085676563135</v>
      </c>
      <c r="AC325" s="369">
        <f t="shared" ca="1" si="129"/>
        <v>4036.7613539075442</v>
      </c>
      <c r="AD325" s="369">
        <f t="shared" ca="1" si="130"/>
        <v>4016.8603561057885</v>
      </c>
      <c r="AE325" s="369">
        <f t="shared" ca="1" si="131"/>
        <v>3991.9030052439111</v>
      </c>
      <c r="AF325" s="369">
        <f t="shared" ca="1" si="132"/>
        <v>3961.954729015984</v>
      </c>
      <c r="AG325" s="369">
        <f t="shared" ca="1" si="133"/>
        <v>3927.085487914123</v>
      </c>
      <c r="AH325" s="369">
        <f t="shared" ca="1" si="134"/>
        <v>3887.3783287226765</v>
      </c>
      <c r="AI325" s="339"/>
    </row>
    <row r="326" spans="2:35">
      <c r="B326" s="149">
        <v>5</v>
      </c>
      <c r="C326" s="122" t="str">
        <v>Veículos Comerciais com 4 Eixos</v>
      </c>
      <c r="D326" s="369">
        <f t="shared" ca="1" si="135"/>
        <v>1601.9329854541629</v>
      </c>
      <c r="E326" s="369">
        <f t="shared" ca="1" si="105"/>
        <v>1643.3809983359195</v>
      </c>
      <c r="F326" s="369">
        <f t="shared" ca="1" si="106"/>
        <v>1683.966039889043</v>
      </c>
      <c r="G326" s="369">
        <f t="shared" ca="1" si="107"/>
        <v>1724.156381943566</v>
      </c>
      <c r="H326" s="369">
        <f t="shared" ca="1" si="108"/>
        <v>1764.0547567715007</v>
      </c>
      <c r="I326" s="369">
        <f t="shared" ca="1" si="109"/>
        <v>1803.5420786341897</v>
      </c>
      <c r="J326" s="369">
        <f t="shared" ca="1" si="110"/>
        <v>1842.3276159689738</v>
      </c>
      <c r="K326" s="369">
        <f t="shared" ca="1" si="111"/>
        <v>1880.0015588388055</v>
      </c>
      <c r="L326" s="369">
        <f t="shared" ca="1" si="112"/>
        <v>1916.2719915271089</v>
      </c>
      <c r="M326" s="369">
        <f t="shared" ca="1" si="113"/>
        <v>1950.8835770111798</v>
      </c>
      <c r="N326" s="369">
        <f t="shared" ca="1" si="114"/>
        <v>1983.615236489889</v>
      </c>
      <c r="O326" s="369">
        <f t="shared" ca="1" si="115"/>
        <v>2014.2359080494539</v>
      </c>
      <c r="P326" s="369">
        <f t="shared" ca="1" si="116"/>
        <v>2042.5314702334867</v>
      </c>
      <c r="Q326" s="369">
        <f t="shared" ca="1" si="117"/>
        <v>2068.3659689432616</v>
      </c>
      <c r="R326" s="369">
        <f t="shared" ca="1" si="118"/>
        <v>2091.6183148862738</v>
      </c>
      <c r="S326" s="369">
        <f t="shared" ca="1" si="119"/>
        <v>2112.1712350533035</v>
      </c>
      <c r="T326" s="369">
        <f t="shared" ca="1" si="120"/>
        <v>2129.923395261394</v>
      </c>
      <c r="U326" s="369">
        <f t="shared" ca="1" si="121"/>
        <v>2144.8413416877524</v>
      </c>
      <c r="V326" s="369">
        <f t="shared" ca="1" si="122"/>
        <v>2156.9120324768755</v>
      </c>
      <c r="W326" s="369">
        <f t="shared" ca="1" si="123"/>
        <v>2166.1101478631272</v>
      </c>
      <c r="X326" s="369">
        <f t="shared" ca="1" si="124"/>
        <v>2172.4339074094378</v>
      </c>
      <c r="Y326" s="369">
        <f t="shared" ca="1" si="125"/>
        <v>2175.8685640104077</v>
      </c>
      <c r="Z326" s="369">
        <f t="shared" ca="1" si="126"/>
        <v>2176.4294933512056</v>
      </c>
      <c r="AA326" s="369">
        <f t="shared" ca="1" si="127"/>
        <v>2174.1536610379621</v>
      </c>
      <c r="AB326" s="369">
        <f t="shared" ca="1" si="128"/>
        <v>2169.059116645788</v>
      </c>
      <c r="AC326" s="369">
        <f t="shared" ca="1" si="129"/>
        <v>2161.1638899931158</v>
      </c>
      <c r="AD326" s="369">
        <f t="shared" ca="1" si="130"/>
        <v>2150.5094781878815</v>
      </c>
      <c r="AE326" s="369">
        <f t="shared" ca="1" si="131"/>
        <v>2137.1480429322728</v>
      </c>
      <c r="AF326" s="369">
        <f t="shared" ca="1" si="132"/>
        <v>2121.1146122989053</v>
      </c>
      <c r="AG326" s="369">
        <f t="shared" ca="1" si="133"/>
        <v>2102.4466410878108</v>
      </c>
      <c r="AH326" s="369">
        <f t="shared" ca="1" si="134"/>
        <v>2081.1885901169017</v>
      </c>
      <c r="AI326" s="339"/>
    </row>
    <row r="327" spans="2:35">
      <c r="B327" s="149">
        <v>6</v>
      </c>
      <c r="C327" s="122" t="str">
        <v>Veículos Comerciais com 5 Eixos Articulado</v>
      </c>
      <c r="D327" s="369">
        <f t="shared" ca="1" si="135"/>
        <v>838.44190840947783</v>
      </c>
      <c r="E327" s="369">
        <f t="shared" ca="1" si="105"/>
        <v>870.53827917941908</v>
      </c>
      <c r="F327" s="369">
        <f t="shared" ca="1" si="106"/>
        <v>902.74937996420454</v>
      </c>
      <c r="G327" s="369">
        <f t="shared" ca="1" si="107"/>
        <v>935.66806153266862</v>
      </c>
      <c r="H327" s="369">
        <f t="shared" ca="1" si="108"/>
        <v>969.49355850580616</v>
      </c>
      <c r="I327" s="369">
        <f t="shared" ca="1" si="109"/>
        <v>1004.1703586314642</v>
      </c>
      <c r="J327" s="369">
        <f t="shared" ca="1" si="110"/>
        <v>1039.455834779181</v>
      </c>
      <c r="K327" s="369">
        <f t="shared" ca="1" si="111"/>
        <v>1074.9580288648544</v>
      </c>
      <c r="L327" s="369">
        <f t="shared" ca="1" si="112"/>
        <v>1110.3753163742094</v>
      </c>
      <c r="M327" s="369">
        <f t="shared" ca="1" si="113"/>
        <v>1145.4327965861769</v>
      </c>
      <c r="N327" s="369">
        <f t="shared" ca="1" si="114"/>
        <v>1179.8759804800588</v>
      </c>
      <c r="O327" s="369">
        <f t="shared" ca="1" si="115"/>
        <v>1213.4352895475183</v>
      </c>
      <c r="P327" s="369">
        <f t="shared" ca="1" si="116"/>
        <v>1245.8490902068804</v>
      </c>
      <c r="Q327" s="369">
        <f t="shared" ca="1" si="117"/>
        <v>1276.9162764870359</v>
      </c>
      <c r="R327" s="369">
        <f t="shared" ca="1" si="118"/>
        <v>1306.4434193983523</v>
      </c>
      <c r="S327" s="369">
        <f t="shared" ca="1" si="119"/>
        <v>1334.2346641284271</v>
      </c>
      <c r="T327" s="369">
        <f t="shared" ca="1" si="120"/>
        <v>1360.1071850734058</v>
      </c>
      <c r="U327" s="369">
        <f t="shared" ca="1" si="121"/>
        <v>1383.9384608590551</v>
      </c>
      <c r="V327" s="369">
        <f t="shared" ca="1" si="122"/>
        <v>1405.6289411278278</v>
      </c>
      <c r="W327" s="369">
        <f t="shared" ca="1" si="123"/>
        <v>1425.0723749712047</v>
      </c>
      <c r="X327" s="369">
        <f t="shared" ca="1" si="124"/>
        <v>1442.1852438955639</v>
      </c>
      <c r="Y327" s="369">
        <f t="shared" ca="1" si="125"/>
        <v>1456.8778655003521</v>
      </c>
      <c r="Z327" s="369">
        <f t="shared" ca="1" si="126"/>
        <v>1469.0917127022376</v>
      </c>
      <c r="AA327" s="369">
        <f t="shared" ca="1" si="127"/>
        <v>1478.7932106306109</v>
      </c>
      <c r="AB327" s="369">
        <f t="shared" ca="1" si="128"/>
        <v>1485.9387043959755</v>
      </c>
      <c r="AC327" s="369">
        <f t="shared" ca="1" si="129"/>
        <v>1490.4892681440376</v>
      </c>
      <c r="AD327" s="369">
        <f t="shared" ca="1" si="130"/>
        <v>1492.4311345751569</v>
      </c>
      <c r="AE327" s="369">
        <f t="shared" ca="1" si="131"/>
        <v>1491.7631425092877</v>
      </c>
      <c r="AF327" s="369">
        <f t="shared" ca="1" si="132"/>
        <v>1488.4721499015045</v>
      </c>
      <c r="AG327" s="369">
        <f t="shared" ca="1" si="133"/>
        <v>1482.5515135636836</v>
      </c>
      <c r="AH327" s="369">
        <f t="shared" ca="1" si="134"/>
        <v>1474.0061665595576</v>
      </c>
      <c r="AI327" s="339"/>
    </row>
    <row r="328" spans="2:35">
      <c r="B328" s="149">
        <v>7</v>
      </c>
      <c r="C328" s="122" t="str">
        <v>Veículos Comerciais com 6 Eixos Articulado</v>
      </c>
      <c r="D328" s="369">
        <f t="shared" ca="1" si="135"/>
        <v>14395.190936797124</v>
      </c>
      <c r="E328" s="369">
        <f t="shared" ca="1" si="105"/>
        <v>14946.252830265705</v>
      </c>
      <c r="F328" s="369">
        <f t="shared" ca="1" si="106"/>
        <v>15499.284520870258</v>
      </c>
      <c r="G328" s="369">
        <f t="shared" ca="1" si="107"/>
        <v>16064.464650599934</v>
      </c>
      <c r="H328" s="369">
        <f t="shared" ca="1" si="108"/>
        <v>16645.213874340505</v>
      </c>
      <c r="I328" s="369">
        <f t="shared" ca="1" si="109"/>
        <v>17240.579103439009</v>
      </c>
      <c r="J328" s="369">
        <f t="shared" ca="1" si="110"/>
        <v>17846.394677955974</v>
      </c>
      <c r="K328" s="369">
        <f t="shared" ca="1" si="111"/>
        <v>18455.93107804835</v>
      </c>
      <c r="L328" s="369">
        <f t="shared" ca="1" si="112"/>
        <v>19064.009718973837</v>
      </c>
      <c r="M328" s="369">
        <f t="shared" ca="1" si="113"/>
        <v>19665.910836215924</v>
      </c>
      <c r="N328" s="369">
        <f t="shared" ca="1" si="114"/>
        <v>20257.265113299014</v>
      </c>
      <c r="O328" s="369">
        <f t="shared" ca="1" si="115"/>
        <v>20833.444162661523</v>
      </c>
      <c r="P328" s="369">
        <f t="shared" ca="1" si="116"/>
        <v>21389.956003015432</v>
      </c>
      <c r="Q328" s="369">
        <f t="shared" ca="1" si="117"/>
        <v>21923.347850305436</v>
      </c>
      <c r="R328" s="369">
        <f t="shared" ca="1" si="118"/>
        <v>22430.298726404657</v>
      </c>
      <c r="S328" s="369">
        <f t="shared" ca="1" si="119"/>
        <v>22907.44600428774</v>
      </c>
      <c r="T328" s="369">
        <f t="shared" ca="1" si="120"/>
        <v>23351.650755128227</v>
      </c>
      <c r="U328" s="369">
        <f t="shared" ca="1" si="121"/>
        <v>23760.8094121098</v>
      </c>
      <c r="V328" s="369">
        <f t="shared" ca="1" si="122"/>
        <v>24133.212797303335</v>
      </c>
      <c r="W328" s="369">
        <f t="shared" ca="1" si="123"/>
        <v>24467.036691165398</v>
      </c>
      <c r="X328" s="369">
        <f t="shared" ca="1" si="124"/>
        <v>24760.84716649081</v>
      </c>
      <c r="Y328" s="369">
        <f t="shared" ca="1" si="125"/>
        <v>25013.104468089987</v>
      </c>
      <c r="Z328" s="369">
        <f t="shared" ca="1" si="126"/>
        <v>25222.803745738856</v>
      </c>
      <c r="AA328" s="369">
        <f t="shared" ca="1" si="127"/>
        <v>25389.368553212273</v>
      </c>
      <c r="AB328" s="369">
        <f t="shared" ca="1" si="128"/>
        <v>25512.049380659519</v>
      </c>
      <c r="AC328" s="369">
        <f t="shared" ca="1" si="129"/>
        <v>25590.177910932631</v>
      </c>
      <c r="AD328" s="369">
        <f t="shared" ca="1" si="130"/>
        <v>25623.517773562766</v>
      </c>
      <c r="AE328" s="369">
        <f t="shared" ca="1" si="131"/>
        <v>25612.049032274903</v>
      </c>
      <c r="AF328" s="369">
        <f t="shared" ca="1" si="132"/>
        <v>25555.546051584806</v>
      </c>
      <c r="AG328" s="369">
        <f t="shared" ca="1" si="133"/>
        <v>25453.894774739696</v>
      </c>
      <c r="AH328" s="369">
        <f t="shared" ca="1" si="134"/>
        <v>25307.179897403796</v>
      </c>
      <c r="AI328" s="339"/>
    </row>
    <row r="329" spans="2:35">
      <c r="B329" s="149">
        <v>8</v>
      </c>
      <c r="C329" s="122" t="str">
        <v>Veículos Comerciais com 7 Eixos Articulado</v>
      </c>
      <c r="D329" s="369">
        <f t="shared" ca="1" si="135"/>
        <v>1082.0709607678446</v>
      </c>
      <c r="E329" s="369">
        <f t="shared" ca="1" si="105"/>
        <v>1123.4936883388878</v>
      </c>
      <c r="F329" s="369">
        <f t="shared" ca="1" si="106"/>
        <v>1165.0644834339253</v>
      </c>
      <c r="G329" s="369">
        <f t="shared" ca="1" si="107"/>
        <v>1207.5484635817813</v>
      </c>
      <c r="H329" s="369">
        <f t="shared" ca="1" si="108"/>
        <v>1251.2027557170657</v>
      </c>
      <c r="I329" s="369">
        <f t="shared" ca="1" si="109"/>
        <v>1295.9557171947499</v>
      </c>
      <c r="J329" s="369">
        <f t="shared" ca="1" si="110"/>
        <v>1341.4942198546905</v>
      </c>
      <c r="K329" s="369">
        <f t="shared" ca="1" si="111"/>
        <v>1387.3124129558989</v>
      </c>
      <c r="L329" s="369">
        <f t="shared" ca="1" si="112"/>
        <v>1433.02102787442</v>
      </c>
      <c r="M329" s="369">
        <f t="shared" ca="1" si="113"/>
        <v>1478.2652850073023</v>
      </c>
      <c r="N329" s="369">
        <f t="shared" ca="1" si="114"/>
        <v>1522.7167475524629</v>
      </c>
      <c r="O329" s="369">
        <f t="shared" ca="1" si="115"/>
        <v>1566.0275046139955</v>
      </c>
      <c r="P329" s="369">
        <f t="shared" ca="1" si="116"/>
        <v>1607.8598988083038</v>
      </c>
      <c r="Q329" s="369">
        <f t="shared" ca="1" si="117"/>
        <v>1647.9543880857934</v>
      </c>
      <c r="R329" s="369">
        <f t="shared" ca="1" si="118"/>
        <v>1686.0613381062035</v>
      </c>
      <c r="S329" s="369">
        <f t="shared" ca="1" si="119"/>
        <v>1721.9279838265411</v>
      </c>
      <c r="T329" s="369">
        <f t="shared" ca="1" si="120"/>
        <v>1755.3183753559047</v>
      </c>
      <c r="U329" s="369">
        <f t="shared" ca="1" si="121"/>
        <v>1786.0743898478552</v>
      </c>
      <c r="V329" s="369">
        <f t="shared" ca="1" si="122"/>
        <v>1814.0675502427964</v>
      </c>
      <c r="W329" s="369">
        <f t="shared" ca="1" si="123"/>
        <v>1839.1607319271902</v>
      </c>
      <c r="X329" s="369">
        <f t="shared" ca="1" si="124"/>
        <v>1861.2461481411806</v>
      </c>
      <c r="Y329" s="369">
        <f t="shared" ca="1" si="125"/>
        <v>1880.2080571495831</v>
      </c>
      <c r="Z329" s="369">
        <f t="shared" ca="1" si="126"/>
        <v>1895.9709254459531</v>
      </c>
      <c r="AA329" s="369">
        <f t="shared" ca="1" si="127"/>
        <v>1908.4914221899148</v>
      </c>
      <c r="AB329" s="369">
        <f t="shared" ca="1" si="128"/>
        <v>1917.7132075352063</v>
      </c>
      <c r="AC329" s="369">
        <f t="shared" ca="1" si="129"/>
        <v>1923.5860448033745</v>
      </c>
      <c r="AD329" s="369">
        <f t="shared" ca="1" si="130"/>
        <v>1926.0921662814744</v>
      </c>
      <c r="AE329" s="369">
        <f t="shared" ca="1" si="131"/>
        <v>1925.2300733812383</v>
      </c>
      <c r="AF329" s="369">
        <f t="shared" ca="1" si="132"/>
        <v>1920.9828053269266</v>
      </c>
      <c r="AG329" s="369">
        <f t="shared" ca="1" si="133"/>
        <v>1913.3417885955751</v>
      </c>
      <c r="AH329" s="369">
        <f t="shared" ca="1" si="134"/>
        <v>1902.3133896688207</v>
      </c>
      <c r="AI329" s="339"/>
    </row>
    <row r="330" spans="2:35">
      <c r="B330" s="149">
        <v>9</v>
      </c>
      <c r="C330" s="122" t="str">
        <v>Veículos Comerciais com 8 Eixos Articulado</v>
      </c>
      <c r="D330" s="369">
        <f t="shared" ca="1" si="135"/>
        <v>0</v>
      </c>
      <c r="E330" s="369">
        <f t="shared" ca="1" si="105"/>
        <v>0</v>
      </c>
      <c r="F330" s="369">
        <f t="shared" ca="1" si="106"/>
        <v>0</v>
      </c>
      <c r="G330" s="369">
        <f t="shared" ca="1" si="107"/>
        <v>0</v>
      </c>
      <c r="H330" s="369">
        <f t="shared" ca="1" si="108"/>
        <v>0</v>
      </c>
      <c r="I330" s="369">
        <f t="shared" ca="1" si="109"/>
        <v>0</v>
      </c>
      <c r="J330" s="369">
        <f t="shared" ca="1" si="110"/>
        <v>0</v>
      </c>
      <c r="K330" s="369">
        <f t="shared" ca="1" si="111"/>
        <v>0</v>
      </c>
      <c r="L330" s="369">
        <f t="shared" ca="1" si="112"/>
        <v>0</v>
      </c>
      <c r="M330" s="369">
        <f t="shared" ca="1" si="113"/>
        <v>0</v>
      </c>
      <c r="N330" s="369">
        <f t="shared" ca="1" si="114"/>
        <v>0</v>
      </c>
      <c r="O330" s="369">
        <f t="shared" ca="1" si="115"/>
        <v>0</v>
      </c>
      <c r="P330" s="369">
        <f t="shared" ca="1" si="116"/>
        <v>0</v>
      </c>
      <c r="Q330" s="369">
        <f t="shared" ca="1" si="117"/>
        <v>0</v>
      </c>
      <c r="R330" s="369">
        <f t="shared" ca="1" si="118"/>
        <v>0</v>
      </c>
      <c r="S330" s="369">
        <f t="shared" ca="1" si="119"/>
        <v>0</v>
      </c>
      <c r="T330" s="369">
        <f t="shared" ca="1" si="120"/>
        <v>0</v>
      </c>
      <c r="U330" s="369">
        <f t="shared" ca="1" si="121"/>
        <v>0</v>
      </c>
      <c r="V330" s="369">
        <f t="shared" ca="1" si="122"/>
        <v>0</v>
      </c>
      <c r="W330" s="369">
        <f t="shared" ca="1" si="123"/>
        <v>0</v>
      </c>
      <c r="X330" s="369">
        <f t="shared" ca="1" si="124"/>
        <v>0</v>
      </c>
      <c r="Y330" s="369">
        <f t="shared" ca="1" si="125"/>
        <v>0</v>
      </c>
      <c r="Z330" s="369">
        <f t="shared" ca="1" si="126"/>
        <v>0</v>
      </c>
      <c r="AA330" s="369">
        <f t="shared" ca="1" si="127"/>
        <v>0</v>
      </c>
      <c r="AB330" s="369">
        <f t="shared" ca="1" si="128"/>
        <v>0</v>
      </c>
      <c r="AC330" s="369">
        <f t="shared" ca="1" si="129"/>
        <v>0</v>
      </c>
      <c r="AD330" s="369">
        <f t="shared" ca="1" si="130"/>
        <v>0</v>
      </c>
      <c r="AE330" s="369">
        <f t="shared" ca="1" si="131"/>
        <v>0</v>
      </c>
      <c r="AF330" s="369">
        <f t="shared" ca="1" si="132"/>
        <v>0</v>
      </c>
      <c r="AG330" s="369">
        <f t="shared" ca="1" si="133"/>
        <v>0</v>
      </c>
      <c r="AH330" s="369">
        <f t="shared" ca="1" si="134"/>
        <v>0</v>
      </c>
      <c r="AI330" s="339"/>
    </row>
    <row r="331" spans="2:35">
      <c r="B331" s="149">
        <v>10</v>
      </c>
      <c r="C331" s="122" t="str">
        <v>Veículos Comerciais com 9 Eixos Articulado</v>
      </c>
      <c r="D331" s="369">
        <f t="shared" ca="1" si="135"/>
        <v>534.67184174620422</v>
      </c>
      <c r="E331" s="369">
        <f t="shared" ca="1" si="105"/>
        <v>555.13959926262885</v>
      </c>
      <c r="F331" s="369">
        <f t="shared" ca="1" si="106"/>
        <v>575.68051975877233</v>
      </c>
      <c r="G331" s="369">
        <f t="shared" ca="1" si="107"/>
        <v>596.67266235748366</v>
      </c>
      <c r="H331" s="369">
        <f t="shared" ca="1" si="108"/>
        <v>618.24307836748062</v>
      </c>
      <c r="I331" s="369">
        <f t="shared" ca="1" si="109"/>
        <v>640.35636779527442</v>
      </c>
      <c r="J331" s="369">
        <f t="shared" ca="1" si="110"/>
        <v>662.85780806151843</v>
      </c>
      <c r="K331" s="369">
        <f t="shared" ca="1" si="111"/>
        <v>685.49744869425706</v>
      </c>
      <c r="L331" s="369">
        <f t="shared" ca="1" si="112"/>
        <v>708.0829446628502</v>
      </c>
      <c r="M331" s="369">
        <f t="shared" ca="1" si="113"/>
        <v>730.43899261788533</v>
      </c>
      <c r="N331" s="369">
        <f t="shared" ca="1" si="114"/>
        <v>752.40330568887669</v>
      </c>
      <c r="O331" s="369">
        <f t="shared" ca="1" si="115"/>
        <v>773.80397448520011</v>
      </c>
      <c r="P331" s="369">
        <f t="shared" ca="1" si="116"/>
        <v>794.47415607167625</v>
      </c>
      <c r="Q331" s="369">
        <f t="shared" ca="1" si="117"/>
        <v>814.28560578534075</v>
      </c>
      <c r="R331" s="369">
        <f t="shared" ca="1" si="118"/>
        <v>833.1149745508468</v>
      </c>
      <c r="S331" s="369">
        <f t="shared" ca="1" si="119"/>
        <v>850.83736635308446</v>
      </c>
      <c r="T331" s="369">
        <f t="shared" ca="1" si="120"/>
        <v>867.33619386340149</v>
      </c>
      <c r="U331" s="369">
        <f t="shared" ca="1" si="121"/>
        <v>882.53332557601607</v>
      </c>
      <c r="V331" s="369">
        <f t="shared" ca="1" si="122"/>
        <v>896.36527853226153</v>
      </c>
      <c r="W331" s="369">
        <f t="shared" ca="1" si="123"/>
        <v>908.76429685260007</v>
      </c>
      <c r="X331" s="369">
        <f t="shared" ca="1" si="124"/>
        <v>919.67712104897839</v>
      </c>
      <c r="Y331" s="369">
        <f t="shared" ca="1" si="125"/>
        <v>929.04656092873643</v>
      </c>
      <c r="Z331" s="369">
        <f t="shared" ca="1" si="126"/>
        <v>936.83529394975994</v>
      </c>
      <c r="AA331" s="369">
        <f t="shared" ca="1" si="127"/>
        <v>943.02190951970442</v>
      </c>
      <c r="AB331" s="369">
        <f t="shared" ca="1" si="128"/>
        <v>947.57856904899859</v>
      </c>
      <c r="AC331" s="369">
        <f t="shared" ca="1" si="129"/>
        <v>950.48044963936093</v>
      </c>
      <c r="AD331" s="369">
        <f t="shared" ca="1" si="130"/>
        <v>951.71877192589977</v>
      </c>
      <c r="AE331" s="369">
        <f t="shared" ca="1" si="131"/>
        <v>951.29279542765039</v>
      </c>
      <c r="AF331" s="369">
        <f t="shared" ca="1" si="132"/>
        <v>949.19413950274009</v>
      </c>
      <c r="AG331" s="369">
        <f t="shared" ca="1" si="133"/>
        <v>945.41856781041201</v>
      </c>
      <c r="AH331" s="369">
        <f t="shared" ca="1" si="134"/>
        <v>939.9692261503277</v>
      </c>
      <c r="AI331" s="339"/>
    </row>
    <row r="332" spans="2:35">
      <c r="B332" s="149">
        <v>11</v>
      </c>
      <c r="C332" s="122" t="str">
        <v>Motocicleta</v>
      </c>
      <c r="D332" s="369">
        <f t="shared" ca="1" si="135"/>
        <v>1238.1136876582527</v>
      </c>
      <c r="E332" s="369">
        <f t="shared" ca="1" si="105"/>
        <v>1290.6525135847507</v>
      </c>
      <c r="F332" s="369">
        <f t="shared" ca="1" si="106"/>
        <v>1344.0365621522933</v>
      </c>
      <c r="G332" s="369">
        <f t="shared" ca="1" si="107"/>
        <v>1399.5198667034454</v>
      </c>
      <c r="H332" s="369">
        <f t="shared" ca="1" si="108"/>
        <v>1457.5973444777053</v>
      </c>
      <c r="I332" s="369">
        <f t="shared" ca="1" si="109"/>
        <v>1518.2637731773132</v>
      </c>
      <c r="J332" s="369">
        <f t="shared" ca="1" si="110"/>
        <v>1581.1562403999715</v>
      </c>
      <c r="K332" s="369">
        <f t="shared" ca="1" si="111"/>
        <v>1645.6102495147284</v>
      </c>
      <c r="L332" s="369">
        <f t="shared" ca="1" si="112"/>
        <v>1711.1080208465428</v>
      </c>
      <c r="M332" s="369">
        <f t="shared" ca="1" si="113"/>
        <v>1777.173387933432</v>
      </c>
      <c r="N332" s="369">
        <f t="shared" ca="1" si="114"/>
        <v>1843.3545139409432</v>
      </c>
      <c r="O332" s="369">
        <f t="shared" ca="1" si="115"/>
        <v>1909.164607876568</v>
      </c>
      <c r="P332" s="369">
        <f t="shared" ca="1" si="116"/>
        <v>1974.120091965696</v>
      </c>
      <c r="Q332" s="369">
        <f t="shared" ca="1" si="117"/>
        <v>2037.8286307341823</v>
      </c>
      <c r="R332" s="369">
        <f t="shared" ca="1" si="118"/>
        <v>2099.8994578784527</v>
      </c>
      <c r="S332" s="369">
        <f t="shared" ca="1" si="119"/>
        <v>2159.924458432185</v>
      </c>
      <c r="T332" s="369">
        <f t="shared" ca="1" si="120"/>
        <v>2217.5099365665446</v>
      </c>
      <c r="U332" s="369">
        <f t="shared" ca="1" si="121"/>
        <v>2272.3594954291075</v>
      </c>
      <c r="V332" s="369">
        <f t="shared" ca="1" si="122"/>
        <v>2324.2150493470599</v>
      </c>
      <c r="W332" s="369">
        <f t="shared" ca="1" si="123"/>
        <v>2372.8047817840206</v>
      </c>
      <c r="X332" s="369">
        <f t="shared" ca="1" si="124"/>
        <v>2417.8911560460201</v>
      </c>
      <c r="Y332" s="369">
        <f t="shared" ca="1" si="125"/>
        <v>2459.225623266992</v>
      </c>
      <c r="Z332" s="369">
        <f t="shared" ca="1" si="126"/>
        <v>2496.6122796568034</v>
      </c>
      <c r="AA332" s="369">
        <f t="shared" ca="1" si="127"/>
        <v>2529.8993316496108</v>
      </c>
      <c r="AB332" s="369">
        <f t="shared" ca="1" si="128"/>
        <v>2558.920154043285</v>
      </c>
      <c r="AC332" s="369">
        <f t="shared" ca="1" si="129"/>
        <v>2583.5165356270227</v>
      </c>
      <c r="AD332" s="369">
        <f t="shared" ca="1" si="130"/>
        <v>2603.5738072121048</v>
      </c>
      <c r="AE332" s="369">
        <f t="shared" ca="1" si="131"/>
        <v>2618.9976522506772</v>
      </c>
      <c r="AF332" s="369">
        <f t="shared" ca="1" si="132"/>
        <v>2629.6716383177459</v>
      </c>
      <c r="AG332" s="369">
        <f t="shared" ca="1" si="133"/>
        <v>2635.4911114962642</v>
      </c>
      <c r="AH332" s="369">
        <f t="shared" ca="1" si="134"/>
        <v>2636.37388498065</v>
      </c>
      <c r="AI332" s="339"/>
    </row>
    <row r="333" spans="2:35">
      <c r="B333" s="182">
        <v>12</v>
      </c>
      <c r="C333" s="183" t="str">
        <v xml:space="preserve">Veículos do transporte público coletivo intermunicipal e metropolitano </v>
      </c>
      <c r="D333" s="369">
        <f t="shared" ca="1" si="135"/>
        <v>0</v>
      </c>
      <c r="E333" s="369">
        <f t="shared" ca="1" si="105"/>
        <v>0</v>
      </c>
      <c r="F333" s="369">
        <f t="shared" ca="1" si="106"/>
        <v>0</v>
      </c>
      <c r="G333" s="369">
        <f t="shared" ca="1" si="107"/>
        <v>0</v>
      </c>
      <c r="H333" s="369">
        <f t="shared" ca="1" si="108"/>
        <v>0</v>
      </c>
      <c r="I333" s="369">
        <f t="shared" ca="1" si="109"/>
        <v>0</v>
      </c>
      <c r="J333" s="369">
        <f t="shared" ca="1" si="110"/>
        <v>0</v>
      </c>
      <c r="K333" s="369">
        <f t="shared" ca="1" si="111"/>
        <v>0</v>
      </c>
      <c r="L333" s="369">
        <f t="shared" ca="1" si="112"/>
        <v>0</v>
      </c>
      <c r="M333" s="369">
        <f t="shared" ca="1" si="113"/>
        <v>0</v>
      </c>
      <c r="N333" s="369">
        <f t="shared" ca="1" si="114"/>
        <v>0</v>
      </c>
      <c r="O333" s="369">
        <f t="shared" ca="1" si="115"/>
        <v>0</v>
      </c>
      <c r="P333" s="369">
        <f t="shared" ca="1" si="116"/>
        <v>0</v>
      </c>
      <c r="Q333" s="369">
        <f t="shared" ca="1" si="117"/>
        <v>0</v>
      </c>
      <c r="R333" s="369">
        <f t="shared" ca="1" si="118"/>
        <v>0</v>
      </c>
      <c r="S333" s="369">
        <f t="shared" ca="1" si="119"/>
        <v>0</v>
      </c>
      <c r="T333" s="369">
        <f t="shared" ca="1" si="120"/>
        <v>0</v>
      </c>
      <c r="U333" s="369">
        <f t="shared" ca="1" si="121"/>
        <v>0</v>
      </c>
      <c r="V333" s="369">
        <f t="shared" ca="1" si="122"/>
        <v>0</v>
      </c>
      <c r="W333" s="369">
        <f t="shared" ca="1" si="123"/>
        <v>0</v>
      </c>
      <c r="X333" s="369">
        <f t="shared" ca="1" si="124"/>
        <v>0</v>
      </c>
      <c r="Y333" s="369">
        <f t="shared" ca="1" si="125"/>
        <v>0</v>
      </c>
      <c r="Z333" s="369">
        <f t="shared" ca="1" si="126"/>
        <v>0</v>
      </c>
      <c r="AA333" s="369">
        <f t="shared" ca="1" si="127"/>
        <v>0</v>
      </c>
      <c r="AB333" s="369">
        <f t="shared" ca="1" si="128"/>
        <v>0</v>
      </c>
      <c r="AC333" s="369">
        <f t="shared" ca="1" si="129"/>
        <v>0</v>
      </c>
      <c r="AD333" s="369">
        <f t="shared" ca="1" si="130"/>
        <v>0</v>
      </c>
      <c r="AE333" s="369">
        <f t="shared" ca="1" si="131"/>
        <v>0</v>
      </c>
      <c r="AF333" s="369">
        <f t="shared" ca="1" si="132"/>
        <v>0</v>
      </c>
      <c r="AG333" s="369">
        <f t="shared" ca="1" si="133"/>
        <v>0</v>
      </c>
      <c r="AH333" s="369">
        <f t="shared" ca="1" si="134"/>
        <v>0</v>
      </c>
      <c r="AI333" s="339"/>
    </row>
    <row r="334" spans="2:35">
      <c r="B334" s="618" t="s">
        <v>73</v>
      </c>
      <c r="C334" s="618"/>
      <c r="D334" s="370">
        <f ca="1">SUM(D322:D333)</f>
        <v>58443.09056825428</v>
      </c>
      <c r="E334" s="370">
        <f t="shared" ref="E334" ca="1" si="136">SUM(E322:E333)</f>
        <v>60668.402608446318</v>
      </c>
      <c r="F334" s="370">
        <f t="shared" ref="F334" ca="1" si="137">SUM(F322:F333)</f>
        <v>62910.792267454024</v>
      </c>
      <c r="G334" s="370">
        <f t="shared" ref="G334" ca="1" si="138">SUM(G322:G333)</f>
        <v>65216.265403483871</v>
      </c>
      <c r="H334" s="370">
        <f t="shared" ref="H334" ca="1" si="139">SUM(H322:H333)</f>
        <v>67601.709084675807</v>
      </c>
      <c r="I334" s="370">
        <f t="shared" ref="I334" ca="1" si="140">SUM(I322:I333)</f>
        <v>70065.050161519859</v>
      </c>
      <c r="J334" s="370">
        <f t="shared" ref="J334" ca="1" si="141">SUM(J322:J333)</f>
        <v>72590.465977143642</v>
      </c>
      <c r="K334" s="370">
        <f t="shared" ref="K334" ca="1" si="142">SUM(K322:K333)</f>
        <v>75150.889098068656</v>
      </c>
      <c r="L334" s="370">
        <f t="shared" ref="L334" ca="1" si="143">SUM(L322:L333)</f>
        <v>77725.495461936705</v>
      </c>
      <c r="M334" s="370">
        <f t="shared" ref="M334" ca="1" si="144">SUM(M322:M333)</f>
        <v>80295.275831911364</v>
      </c>
      <c r="N334" s="370">
        <f t="shared" ref="N334" ca="1" si="145">SUM(N322:N333)</f>
        <v>82842.467861000521</v>
      </c>
      <c r="O334" s="370">
        <f t="shared" ref="O334" ca="1" si="146">SUM(O322:O333)</f>
        <v>85348.077076924325</v>
      </c>
      <c r="P334" s="370">
        <f t="shared" ref="P334" ca="1" si="147">SUM(P322:P333)</f>
        <v>87793.465621831507</v>
      </c>
      <c r="Q334" s="370">
        <f t="shared" ref="Q334" ca="1" si="148">SUM(Q322:Q333)</f>
        <v>90163.999532544636</v>
      </c>
      <c r="R334" s="370">
        <f t="shared" ref="R334" ca="1" si="149">SUM(R322:R333)</f>
        <v>92445.341204412602</v>
      </c>
      <c r="S334" s="370">
        <f t="shared" ref="S334" ca="1" si="150">SUM(S322:S333)</f>
        <v>94622.704326579682</v>
      </c>
      <c r="T334" s="370">
        <f t="shared" ref="T334" ca="1" si="151">SUM(T322:T333)</f>
        <v>96682.029911180813</v>
      </c>
      <c r="U334" s="370">
        <f t="shared" ref="U334" ca="1" si="152">SUM(U322:U333)</f>
        <v>98613.335660144177</v>
      </c>
      <c r="V334" s="370">
        <f t="shared" ref="V334" ca="1" si="153">SUM(V322:V333)</f>
        <v>100408.18494057408</v>
      </c>
      <c r="W334" s="370">
        <f t="shared" ref="W334" ca="1" si="154">SUM(W322:W333)</f>
        <v>102057.58339517708</v>
      </c>
      <c r="X334" s="370">
        <f t="shared" ref="X334" ca="1" si="155">SUM(X322:X333)</f>
        <v>103554.00019821036</v>
      </c>
      <c r="Y334" s="370">
        <f t="shared" ref="Y334" ca="1" si="156">SUM(Y322:Y333)</f>
        <v>104889.41962939744</v>
      </c>
      <c r="Z334" s="370">
        <f t="shared" ref="Z334" ca="1" si="157">SUM(Z322:Z333)</f>
        <v>106057.95613023647</v>
      </c>
      <c r="AA334" s="370">
        <f t="shared" ref="AA334" ca="1" si="158">SUM(AA322:AA333)</f>
        <v>107055.46039719827</v>
      </c>
      <c r="AB334" s="370">
        <f t="shared" ref="AB334" ca="1" si="159">SUM(AB322:AB333)</f>
        <v>107877.08420464107</v>
      </c>
      <c r="AC334" s="370">
        <f t="shared" ref="AC334" ca="1" si="160">SUM(AC322:AC333)</f>
        <v>108518.28109142251</v>
      </c>
      <c r="AD334" s="370">
        <f t="shared" ref="AD334" ca="1" si="161">SUM(AD322:AD333)</f>
        <v>108976.24409964215</v>
      </c>
      <c r="AE334" s="370">
        <f t="shared" ref="AE334" ca="1" si="162">SUM(AE322:AE333)</f>
        <v>109248.99424818199</v>
      </c>
      <c r="AF334" s="370">
        <f t="shared" ref="AF334" ca="1" si="163">SUM(AF322:AF333)</f>
        <v>109333.64875562192</v>
      </c>
      <c r="AG334" s="370">
        <f t="shared" ref="AG334" ca="1" si="164">SUM(AG322:AG333)</f>
        <v>109227.76192483594</v>
      </c>
      <c r="AH334" s="370">
        <f t="shared" ref="AH334" ca="1" si="165">SUM(AH322:AH333)</f>
        <v>108929.7218509083</v>
      </c>
      <c r="AI334" s="339"/>
    </row>
    <row r="335" spans="2:35">
      <c r="B335" t="s">
        <v>561</v>
      </c>
    </row>
    <row r="337" spans="2:33">
      <c r="B337" s="2" t="s">
        <v>562</v>
      </c>
    </row>
    <row r="338" spans="2:33">
      <c r="B338" s="46" t="str" cm="1">
        <f t="array" ref="B338:B343">B297:B302</f>
        <v>Pórtico</v>
      </c>
      <c r="C338" s="46" t="str" cm="1">
        <f t="array" ref="C338:AG338">_xlfn.ANCHORARRAY($C$297)</f>
        <v>Ano 0</v>
      </c>
      <c r="D338" s="46" t="str">
        <v>Ano 1</v>
      </c>
      <c r="E338" s="46" t="str">
        <v>Ano 2</v>
      </c>
      <c r="F338" s="46" t="str">
        <v>Ano 3</v>
      </c>
      <c r="G338" s="46" t="str">
        <v>Ano 4</v>
      </c>
      <c r="H338" s="46" t="str">
        <v>Ano 5</v>
      </c>
      <c r="I338" s="46" t="str">
        <v>Ano 6</v>
      </c>
      <c r="J338" s="46" t="str">
        <v>Ano 7</v>
      </c>
      <c r="K338" s="46" t="str">
        <v>Ano 8</v>
      </c>
      <c r="L338" s="46" t="str">
        <v>Ano 9</v>
      </c>
      <c r="M338" s="46" t="str">
        <v>Ano 10</v>
      </c>
      <c r="N338" s="46" t="str">
        <v>Ano 11</v>
      </c>
      <c r="O338" s="46" t="str">
        <v>Ano 12</v>
      </c>
      <c r="P338" s="46" t="str">
        <v>Ano 13</v>
      </c>
      <c r="Q338" s="46" t="str">
        <v>Ano 14</v>
      </c>
      <c r="R338" s="46" t="str">
        <v>Ano 15</v>
      </c>
      <c r="S338" s="46" t="str">
        <v>Ano 16</v>
      </c>
      <c r="T338" s="46" t="str">
        <v>Ano 17</v>
      </c>
      <c r="U338" s="46" t="str">
        <v>Ano 18</v>
      </c>
      <c r="V338" s="46" t="str">
        <v>Ano 19</v>
      </c>
      <c r="W338" s="46" t="str">
        <v>Ano 20</v>
      </c>
      <c r="X338" s="46" t="str">
        <v>Ano 21</v>
      </c>
      <c r="Y338" s="46" t="str">
        <v>Ano 22</v>
      </c>
      <c r="Z338" s="46" t="str">
        <v>Ano 23</v>
      </c>
      <c r="AA338" s="46" t="str">
        <v>Ano 24</v>
      </c>
      <c r="AB338" s="46" t="str">
        <v>Ano 25</v>
      </c>
      <c r="AC338" s="46" t="str">
        <v>Ano 26</v>
      </c>
      <c r="AD338" s="46" t="str">
        <v>Ano 27</v>
      </c>
      <c r="AE338" s="46" t="str">
        <v>Ano 28</v>
      </c>
      <c r="AF338" s="46" t="str">
        <v>Ano 29</v>
      </c>
      <c r="AG338" s="46" t="str">
        <v>Ano 30</v>
      </c>
    </row>
    <row r="339" spans="2:33">
      <c r="B339" s="149">
        <v>1</v>
      </c>
      <c r="C339" s="369">
        <f ca="1">SUMIF($B$194:$B$241,$B339,G$194:G$241)</f>
        <v>23961.688103065033</v>
      </c>
      <c r="D339" s="369">
        <f t="shared" ref="D339:D342" ca="1" si="166">SUMIF($B$194:$B$241,$B339,H$194:H$241)</f>
        <v>24865.949860246878</v>
      </c>
      <c r="E339" s="369">
        <f t="shared" ref="E339:E342" ca="1" si="167">SUMIF($B$194:$B$241,$B339,I$194:I$241)</f>
        <v>25776.094010274563</v>
      </c>
      <c r="F339" s="369">
        <f t="shared" ref="F339:F342" ca="1" si="168">SUMIF($B$194:$B$241,$B339,J$194:J$241)</f>
        <v>26710.357878300107</v>
      </c>
      <c r="G339" s="369">
        <f t="shared" ref="G339:G342" ca="1" si="169">SUMIF($B$194:$B$241,$B339,K$194:K$241)</f>
        <v>27675.331200286419</v>
      </c>
      <c r="H339" s="369">
        <f t="shared" ref="H339:H342" ca="1" si="170">SUMIF($B$194:$B$241,$B339,L$194:L$241)</f>
        <v>28670.033057814999</v>
      </c>
      <c r="I339" s="369">
        <f t="shared" ref="I339:I342" ca="1" si="171">SUMIF($B$194:$B$241,$B339,M$194:M$241)</f>
        <v>29687.978116819249</v>
      </c>
      <c r="J339" s="369">
        <f t="shared" ref="J339:J342" ca="1" si="172">SUMIF($B$194:$B$241,$B339,N$194:N$241)</f>
        <v>30718.203712744347</v>
      </c>
      <c r="K339" s="369">
        <f t="shared" ref="K339:K342" ca="1" si="173">SUMIF($B$194:$B$241,$B339,O$194:O$241)</f>
        <v>31752.286047707075</v>
      </c>
      <c r="L339" s="369">
        <f t="shared" ref="L339:L342" ca="1" si="174">SUMIF($B$194:$B$241,$B339,P$194:P$241)</f>
        <v>32782.542221249445</v>
      </c>
      <c r="M339" s="369">
        <f t="shared" ref="M339:M342" ca="1" si="175">SUMIF($B$194:$B$241,$B339,Q$194:Q$241)</f>
        <v>33801.810670109262</v>
      </c>
      <c r="N339" s="369">
        <f t="shared" ref="N339:N342" ca="1" si="176">SUMIF($B$194:$B$241,$B339,R$194:R$241)</f>
        <v>34802.44569924238</v>
      </c>
      <c r="O339" s="369">
        <f t="shared" ref="O339:O342" ca="1" si="177">SUMIF($B$194:$B$241,$B339,S$194:S$241)</f>
        <v>35776.962346717715</v>
      </c>
      <c r="P339" s="369">
        <f t="shared" ref="P339:P342" ca="1" si="178">SUMIF($B$194:$B$241,$B339,T$194:T$241)</f>
        <v>36719.515354261443</v>
      </c>
      <c r="Q339" s="369">
        <f t="shared" ref="Q339:Q342" ca="1" si="179">SUMIF($B$194:$B$241,$B339,U$194:U$241)</f>
        <v>37624.397682555857</v>
      </c>
      <c r="R339" s="369">
        <f t="shared" ref="R339:R342" ca="1" si="180">SUMIF($B$194:$B$241,$B339,V$194:V$241)</f>
        <v>38485.741595084713</v>
      </c>
      <c r="S339" s="369">
        <f t="shared" ref="S339:S342" ca="1" si="181">SUMIF($B$194:$B$241,$B339,W$194:W$241)</f>
        <v>39297.986118822024</v>
      </c>
      <c r="T339" s="369">
        <f t="shared" ref="T339:T342" ca="1" si="182">SUMIF($B$194:$B$241,$B339,X$194:X$241)</f>
        <v>40057.229238757856</v>
      </c>
      <c r="U339" s="369">
        <f t="shared" ref="U339:U342" ca="1" si="183">SUMIF($B$194:$B$241,$B339,Y$194:Y$241)</f>
        <v>40760.195958257158</v>
      </c>
      <c r="V339" s="369">
        <f t="shared" ref="V339:V342" ca="1" si="184">SUMIF($B$194:$B$241,$B339,Z$194:Z$241)</f>
        <v>41403.38916192123</v>
      </c>
      <c r="W339" s="369">
        <f t="shared" ref="W339:W342" ca="1" si="185">SUMIF($B$194:$B$241,$B339,AA$194:AA$241)</f>
        <v>41983.911251625119</v>
      </c>
      <c r="X339" s="369">
        <f t="shared" ref="X339:X342" ca="1" si="186">SUMIF($B$194:$B$241,$B339,AB$194:AB$241)</f>
        <v>42498.66913274752</v>
      </c>
      <c r="Y339" s="369">
        <f t="shared" ref="Y339:Y342" ca="1" si="187">SUMIF($B$194:$B$241,$B339,AC$194:AC$241)</f>
        <v>42945.432728934175</v>
      </c>
      <c r="Z339" s="369">
        <f t="shared" ref="Z339:Z342" ca="1" si="188">SUMIF($B$194:$B$241,$B339,AD$194:AD$241)</f>
        <v>43322.672295572833</v>
      </c>
      <c r="AA339" s="369">
        <f t="shared" ref="AA339:AA342" ca="1" si="189">SUMIF($B$194:$B$241,$B339,AE$194:AE$241)</f>
        <v>43628.571426558898</v>
      </c>
      <c r="AB339" s="369">
        <f t="shared" ref="AB339:AB342" ca="1" si="190">SUMIF($B$194:$B$241,$B339,AF$194:AF$241)</f>
        <v>43861.435302787257</v>
      </c>
      <c r="AC339" s="369">
        <f t="shared" ref="AC339:AC342" ca="1" si="191">SUMIF($B$194:$B$241,$B339,AG$194:AG$241)</f>
        <v>44020.272211669217</v>
      </c>
      <c r="AD339" s="369">
        <f t="shared" ref="AD339:AD342" ca="1" si="192">SUMIF($B$194:$B$241,$B339,AH$194:AH$241)</f>
        <v>44104.427400489069</v>
      </c>
      <c r="AE339" s="369">
        <f t="shared" ref="AE339:AE342" ca="1" si="193">SUMIF($B$194:$B$241,$B339,AI$194:AI$241)</f>
        <v>44112.882931898122</v>
      </c>
      <c r="AF339" s="369">
        <f t="shared" ref="AF339:AF342" ca="1" si="194">SUMIF($B$194:$B$241,$B339,AJ$194:AJ$241)</f>
        <v>44044.796683395929</v>
      </c>
      <c r="AG339" s="369">
        <f t="shared" ref="AG339:AG342" ca="1" si="195">SUMIF($B$194:$B$241,$B339,AK$194:AK$241)</f>
        <v>43899.65971255461</v>
      </c>
    </row>
    <row r="340" spans="2:33">
      <c r="B340" s="149">
        <v>2</v>
      </c>
      <c r="C340" s="369">
        <f t="shared" ref="C340:C342" ca="1" si="196">SUMIF($B$194:$B$241,$B340,G$194:G$241)</f>
        <v>21152.379815477154</v>
      </c>
      <c r="D340" s="369">
        <f t="shared" ca="1" si="166"/>
        <v>21965.998082890401</v>
      </c>
      <c r="E340" s="369">
        <f t="shared" ca="1" si="167"/>
        <v>22786.275558726138</v>
      </c>
      <c r="F340" s="369">
        <f t="shared" ca="1" si="168"/>
        <v>23630.153976793896</v>
      </c>
      <c r="G340" s="369">
        <f t="shared" ca="1" si="169"/>
        <v>24503.870279849405</v>
      </c>
      <c r="H340" s="369">
        <f t="shared" ca="1" si="170"/>
        <v>25406.685323243386</v>
      </c>
      <c r="I340" s="369">
        <f t="shared" ca="1" si="171"/>
        <v>26332.804191784882</v>
      </c>
      <c r="J340" s="369">
        <f t="shared" ca="1" si="172"/>
        <v>27272.290466335529</v>
      </c>
      <c r="K340" s="369">
        <f t="shared" ca="1" si="173"/>
        <v>28217.489922466266</v>
      </c>
      <c r="L340" s="369">
        <f t="shared" ca="1" si="174"/>
        <v>29161.411031372565</v>
      </c>
      <c r="M340" s="369">
        <f t="shared" ca="1" si="175"/>
        <v>30097.514952708694</v>
      </c>
      <c r="N340" s="369">
        <f t="shared" ca="1" si="176"/>
        <v>31018.80850030723</v>
      </c>
      <c r="O340" s="369">
        <f t="shared" ca="1" si="177"/>
        <v>31918.426191816798</v>
      </c>
      <c r="P340" s="369">
        <f t="shared" ca="1" si="178"/>
        <v>32790.966536207081</v>
      </c>
      <c r="Q340" s="369">
        <f t="shared" ca="1" si="179"/>
        <v>33631.134452592858</v>
      </c>
      <c r="R340" s="369">
        <f t="shared" ca="1" si="180"/>
        <v>34433.468051602751</v>
      </c>
      <c r="S340" s="369">
        <f t="shared" ca="1" si="181"/>
        <v>35192.771817456771</v>
      </c>
      <c r="T340" s="369">
        <f t="shared" ca="1" si="182"/>
        <v>35905.344948542646</v>
      </c>
      <c r="U340" s="369">
        <f t="shared" ca="1" si="183"/>
        <v>36568.055629847411</v>
      </c>
      <c r="V340" s="369">
        <f t="shared" ca="1" si="184"/>
        <v>37177.569678773383</v>
      </c>
      <c r="W340" s="369">
        <f t="shared" ca="1" si="185"/>
        <v>37731.090474728415</v>
      </c>
      <c r="X340" s="369">
        <f t="shared" ca="1" si="186"/>
        <v>38225.646214310669</v>
      </c>
      <c r="Y340" s="369">
        <f t="shared" ca="1" si="187"/>
        <v>38659.048132364318</v>
      </c>
      <c r="Z340" s="369">
        <f t="shared" ca="1" si="188"/>
        <v>39029.746681747667</v>
      </c>
      <c r="AA340" s="369">
        <f t="shared" ca="1" si="189"/>
        <v>39335.939223212757</v>
      </c>
      <c r="AB340" s="369">
        <f t="shared" ca="1" si="190"/>
        <v>39575.936002861577</v>
      </c>
      <c r="AC340" s="369">
        <f t="shared" ca="1" si="191"/>
        <v>39748.687009189249</v>
      </c>
      <c r="AD340" s="369">
        <f t="shared" ca="1" si="192"/>
        <v>39853.447306461509</v>
      </c>
      <c r="AE340" s="369">
        <f t="shared" ca="1" si="193"/>
        <v>39889.142235284613</v>
      </c>
      <c r="AF340" s="369">
        <f t="shared" ca="1" si="194"/>
        <v>39854.859424537637</v>
      </c>
      <c r="AG340" s="369">
        <f t="shared" ca="1" si="195"/>
        <v>39749.994635345516</v>
      </c>
    </row>
    <row r="341" spans="2:33">
      <c r="B341" s="149">
        <v>3</v>
      </c>
      <c r="C341" s="369">
        <f t="shared" ca="1" si="196"/>
        <v>4716.341577428776</v>
      </c>
      <c r="D341" s="369">
        <f t="shared" ca="1" si="166"/>
        <v>4895.5897640500034</v>
      </c>
      <c r="E341" s="369">
        <f t="shared" ca="1" si="167"/>
        <v>5076.4008261312383</v>
      </c>
      <c r="F341" s="369">
        <f t="shared" ca="1" si="168"/>
        <v>5262.5822027395188</v>
      </c>
      <c r="G341" s="369">
        <f t="shared" ca="1" si="169"/>
        <v>5455.5580324155217</v>
      </c>
      <c r="H341" s="369">
        <f t="shared" ca="1" si="170"/>
        <v>5655.1984111278689</v>
      </c>
      <c r="I341" s="369">
        <f t="shared" ca="1" si="171"/>
        <v>5860.2499095195153</v>
      </c>
      <c r="J341" s="369">
        <f t="shared" ca="1" si="172"/>
        <v>6068.5349310511519</v>
      </c>
      <c r="K341" s="369">
        <f t="shared" ca="1" si="173"/>
        <v>6278.3783733111577</v>
      </c>
      <c r="L341" s="369">
        <f t="shared" ca="1" si="174"/>
        <v>6488.2505284395247</v>
      </c>
      <c r="M341" s="369">
        <f t="shared" ca="1" si="175"/>
        <v>6696.7186244726809</v>
      </c>
      <c r="N341" s="369">
        <f t="shared" ca="1" si="176"/>
        <v>6902.2467778486916</v>
      </c>
      <c r="O341" s="369">
        <f t="shared" ca="1" si="177"/>
        <v>7103.3237798192986</v>
      </c>
      <c r="P341" s="369">
        <f t="shared" ca="1" si="178"/>
        <v>7298.7568889915192</v>
      </c>
      <c r="Q341" s="369">
        <f t="shared" ca="1" si="179"/>
        <v>7487.3723025276904</v>
      </c>
      <c r="R341" s="369">
        <f t="shared" ca="1" si="180"/>
        <v>7667.9542129885031</v>
      </c>
      <c r="S341" s="369">
        <f t="shared" ca="1" si="181"/>
        <v>7839.3416982191811</v>
      </c>
      <c r="T341" s="369">
        <f t="shared" ca="1" si="182"/>
        <v>8000.699978385961</v>
      </c>
      <c r="U341" s="369">
        <f t="shared" ca="1" si="183"/>
        <v>8151.3177507024011</v>
      </c>
      <c r="V341" s="369">
        <f t="shared" ca="1" si="184"/>
        <v>8290.43681594794</v>
      </c>
      <c r="W341" s="369">
        <f t="shared" ca="1" si="185"/>
        <v>8417.4144733116555</v>
      </c>
      <c r="X341" s="369">
        <f t="shared" ca="1" si="186"/>
        <v>8531.5677341893042</v>
      </c>
      <c r="Y341" s="369">
        <f t="shared" ca="1" si="187"/>
        <v>8632.38452267514</v>
      </c>
      <c r="Z341" s="369">
        <f t="shared" ca="1" si="188"/>
        <v>8719.4927038214155</v>
      </c>
      <c r="AA341" s="369">
        <f t="shared" ca="1" si="189"/>
        <v>8792.4638184569285</v>
      </c>
      <c r="AB341" s="369">
        <f t="shared" ca="1" si="190"/>
        <v>8850.8931399766989</v>
      </c>
      <c r="AC341" s="369">
        <f t="shared" ca="1" si="191"/>
        <v>8894.515919030302</v>
      </c>
      <c r="AD341" s="369">
        <f t="shared" ca="1" si="192"/>
        <v>8923.133108848102</v>
      </c>
      <c r="AE341" s="369">
        <f t="shared" ca="1" si="193"/>
        <v>8936.4713187298621</v>
      </c>
      <c r="AF341" s="369">
        <f t="shared" ca="1" si="194"/>
        <v>8934.2920561027859</v>
      </c>
      <c r="AG341" s="369">
        <f t="shared" ca="1" si="195"/>
        <v>8916.4246111166158</v>
      </c>
    </row>
    <row r="342" spans="2:33">
      <c r="B342" s="182">
        <v>4</v>
      </c>
      <c r="C342" s="369">
        <f t="shared" ca="1" si="196"/>
        <v>8612.6810722833216</v>
      </c>
      <c r="D342" s="369">
        <f t="shared" ca="1" si="166"/>
        <v>8940.8649012590358</v>
      </c>
      <c r="E342" s="369">
        <f t="shared" ca="1" si="167"/>
        <v>9272.0218723220933</v>
      </c>
      <c r="F342" s="369">
        <f t="shared" ca="1" si="168"/>
        <v>9613.1713456503494</v>
      </c>
      <c r="G342" s="369">
        <f t="shared" ca="1" si="169"/>
        <v>9966.9495721244639</v>
      </c>
      <c r="H342" s="369">
        <f t="shared" ca="1" si="170"/>
        <v>10333.133369333616</v>
      </c>
      <c r="I342" s="369">
        <f t="shared" ca="1" si="171"/>
        <v>10709.433759019992</v>
      </c>
      <c r="J342" s="369">
        <f t="shared" ca="1" si="172"/>
        <v>11091.859987937623</v>
      </c>
      <c r="K342" s="369">
        <f t="shared" ca="1" si="173"/>
        <v>11477.341118452223</v>
      </c>
      <c r="L342" s="369">
        <f t="shared" ca="1" si="174"/>
        <v>11863.07205084984</v>
      </c>
      <c r="M342" s="369">
        <f t="shared" ca="1" si="175"/>
        <v>12246.423613709889</v>
      </c>
      <c r="N342" s="369">
        <f t="shared" ca="1" si="176"/>
        <v>12624.576099526019</v>
      </c>
      <c r="O342" s="369">
        <f t="shared" ca="1" si="177"/>
        <v>12994.753303477677</v>
      </c>
      <c r="P342" s="369">
        <f t="shared" ca="1" si="178"/>
        <v>13354.760753084596</v>
      </c>
      <c r="Q342" s="369">
        <f t="shared" ca="1" si="179"/>
        <v>13702.436766736178</v>
      </c>
      <c r="R342" s="369">
        <f t="shared" ca="1" si="180"/>
        <v>14035.540466903727</v>
      </c>
      <c r="S342" s="369">
        <f t="shared" ca="1" si="181"/>
        <v>14351.930276682844</v>
      </c>
      <c r="T342" s="369">
        <f t="shared" ca="1" si="182"/>
        <v>14650.061494457716</v>
      </c>
      <c r="U342" s="369">
        <f t="shared" ca="1" si="183"/>
        <v>14928.615601767111</v>
      </c>
      <c r="V342" s="369">
        <f t="shared" ca="1" si="184"/>
        <v>15186.187738534518</v>
      </c>
      <c r="W342" s="369">
        <f t="shared" ca="1" si="185"/>
        <v>15421.583998545158</v>
      </c>
      <c r="X342" s="369">
        <f t="shared" ca="1" si="186"/>
        <v>15633.536548149943</v>
      </c>
      <c r="Y342" s="369">
        <f t="shared" ca="1" si="187"/>
        <v>15821.090746262831</v>
      </c>
      <c r="Z342" s="369">
        <f t="shared" ca="1" si="188"/>
        <v>15983.548716056379</v>
      </c>
      <c r="AA342" s="369">
        <f t="shared" ca="1" si="189"/>
        <v>16120.109736412463</v>
      </c>
      <c r="AB342" s="369">
        <f t="shared" ca="1" si="190"/>
        <v>16230.016645796959</v>
      </c>
      <c r="AC342" s="369">
        <f t="shared" ca="1" si="191"/>
        <v>16312.768959753404</v>
      </c>
      <c r="AD342" s="369">
        <f t="shared" ca="1" si="192"/>
        <v>16367.986432383323</v>
      </c>
      <c r="AE342" s="369">
        <f t="shared" ca="1" si="193"/>
        <v>16395.152269709317</v>
      </c>
      <c r="AF342" s="369">
        <f t="shared" ca="1" si="194"/>
        <v>16393.813760799618</v>
      </c>
      <c r="AG342" s="369">
        <f t="shared" ca="1" si="195"/>
        <v>16363.642891891555</v>
      </c>
    </row>
    <row r="343" spans="2:33">
      <c r="B343" s="46" t="str">
        <v>Total</v>
      </c>
      <c r="C343" s="370">
        <f ca="1">SUM(C339:C342)</f>
        <v>58443.090568254294</v>
      </c>
      <c r="D343" s="370">
        <f t="shared" ref="D343:AG343" ca="1" si="197">SUM(D339:D342)</f>
        <v>60668.402608446311</v>
      </c>
      <c r="E343" s="370">
        <f t="shared" ca="1" si="197"/>
        <v>62910.792267454031</v>
      </c>
      <c r="F343" s="370">
        <f t="shared" ca="1" si="197"/>
        <v>65216.265403483871</v>
      </c>
      <c r="G343" s="370">
        <f t="shared" ca="1" si="197"/>
        <v>67601.709084675807</v>
      </c>
      <c r="H343" s="370">
        <f t="shared" ca="1" si="197"/>
        <v>70065.050161519874</v>
      </c>
      <c r="I343" s="370">
        <f t="shared" ca="1" si="197"/>
        <v>72590.465977143642</v>
      </c>
      <c r="J343" s="370">
        <f t="shared" ca="1" si="197"/>
        <v>75150.889098068656</v>
      </c>
      <c r="K343" s="370">
        <f t="shared" ca="1" si="197"/>
        <v>77725.495461936735</v>
      </c>
      <c r="L343" s="370">
        <f t="shared" ca="1" si="197"/>
        <v>80295.275831911378</v>
      </c>
      <c r="M343" s="370">
        <f t="shared" ca="1" si="197"/>
        <v>82842.467861000521</v>
      </c>
      <c r="N343" s="370">
        <f t="shared" ca="1" si="197"/>
        <v>85348.077076924325</v>
      </c>
      <c r="O343" s="370">
        <f t="shared" ca="1" si="197"/>
        <v>87793.465621831492</v>
      </c>
      <c r="P343" s="370">
        <f t="shared" ca="1" si="197"/>
        <v>90163.999532544636</v>
      </c>
      <c r="Q343" s="370">
        <f t="shared" ca="1" si="197"/>
        <v>92445.341204412573</v>
      </c>
      <c r="R343" s="370">
        <f t="shared" ca="1" si="197"/>
        <v>94622.704326579696</v>
      </c>
      <c r="S343" s="370">
        <f t="shared" ca="1" si="197"/>
        <v>96682.029911180827</v>
      </c>
      <c r="T343" s="370">
        <f t="shared" ca="1" si="197"/>
        <v>98613.335660144177</v>
      </c>
      <c r="U343" s="370">
        <f t="shared" ca="1" si="197"/>
        <v>100408.18494057408</v>
      </c>
      <c r="V343" s="370">
        <f t="shared" ca="1" si="197"/>
        <v>102057.58339517706</v>
      </c>
      <c r="W343" s="370">
        <f t="shared" ca="1" si="197"/>
        <v>103554.00019821036</v>
      </c>
      <c r="X343" s="370">
        <f t="shared" ca="1" si="197"/>
        <v>104889.41962939744</v>
      </c>
      <c r="Y343" s="370">
        <f t="shared" ca="1" si="197"/>
        <v>106057.95613023647</v>
      </c>
      <c r="Z343" s="370">
        <f t="shared" ca="1" si="197"/>
        <v>107055.46039719829</v>
      </c>
      <c r="AA343" s="370">
        <f t="shared" ca="1" si="197"/>
        <v>107877.08420464105</v>
      </c>
      <c r="AB343" s="370">
        <f t="shared" ca="1" si="197"/>
        <v>108518.2810914225</v>
      </c>
      <c r="AC343" s="370">
        <f t="shared" ca="1" si="197"/>
        <v>108976.24409964216</v>
      </c>
      <c r="AD343" s="370">
        <f t="shared" ca="1" si="197"/>
        <v>109248.994248182</v>
      </c>
      <c r="AE343" s="370">
        <f t="shared" ca="1" si="197"/>
        <v>109333.64875562191</v>
      </c>
      <c r="AF343" s="370">
        <f t="shared" ca="1" si="197"/>
        <v>109227.76192483597</v>
      </c>
      <c r="AG343" s="370">
        <f t="shared" ca="1" si="197"/>
        <v>108929.7218509083</v>
      </c>
    </row>
    <row r="345" spans="2:33">
      <c r="B345" s="2" t="s">
        <v>563</v>
      </c>
    </row>
    <row r="346" spans="2:33">
      <c r="B346" s="255">
        <f ca="1">SUM(E334:AH334)</f>
        <v>2746870.1079553058</v>
      </c>
      <c r="C346" s="339"/>
    </row>
  </sheetData>
  <mergeCells count="4">
    <mergeCell ref="B318:C318"/>
    <mergeCell ref="B334:C334"/>
    <mergeCell ref="B190:F190"/>
    <mergeCell ref="B242:F242"/>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2:AH150"/>
  <sheetViews>
    <sheetView showGridLines="0" zoomScale="90" zoomScaleNormal="90" workbookViewId="0">
      <selection activeCell="B37" sqref="B37"/>
    </sheetView>
  </sheetViews>
  <sheetFormatPr defaultColWidth="11.7109375" defaultRowHeight="12.75"/>
  <cols>
    <col min="1" max="1" width="2.42578125" customWidth="1"/>
    <col min="2" max="2" width="17.28515625" customWidth="1"/>
    <col min="3" max="3" width="38.28515625" bestFit="1" customWidth="1"/>
    <col min="4" max="4" width="45.140625" bestFit="1" customWidth="1"/>
    <col min="5" max="5" width="40.5703125" bestFit="1" customWidth="1"/>
  </cols>
  <sheetData>
    <row r="2" spans="2:34">
      <c r="B2" s="2" t="s">
        <v>564</v>
      </c>
    </row>
    <row r="3" spans="2:34" hidden="1">
      <c r="B3" s="2"/>
      <c r="E3" s="218">
        <v>1</v>
      </c>
      <c r="F3" s="218">
        <v>2</v>
      </c>
      <c r="G3" s="218">
        <v>3</v>
      </c>
      <c r="H3" s="218">
        <v>4</v>
      </c>
      <c r="I3" s="218">
        <v>5</v>
      </c>
      <c r="J3" s="218">
        <v>6</v>
      </c>
      <c r="K3" s="218">
        <v>7</v>
      </c>
      <c r="L3" s="218">
        <v>8</v>
      </c>
      <c r="M3" s="218">
        <v>9</v>
      </c>
      <c r="N3" s="218">
        <v>10</v>
      </c>
      <c r="O3" s="218">
        <v>11</v>
      </c>
      <c r="P3" s="218">
        <v>12</v>
      </c>
      <c r="Q3" s="218">
        <v>13</v>
      </c>
      <c r="R3" s="218">
        <v>14</v>
      </c>
      <c r="S3" s="218">
        <v>15</v>
      </c>
      <c r="T3" s="218">
        <v>16</v>
      </c>
      <c r="U3" s="218">
        <v>17</v>
      </c>
      <c r="V3" s="218">
        <v>18</v>
      </c>
      <c r="W3" s="218">
        <v>19</v>
      </c>
      <c r="X3" s="218">
        <v>20</v>
      </c>
      <c r="Y3" s="218">
        <v>21</v>
      </c>
      <c r="Z3" s="218">
        <v>22</v>
      </c>
      <c r="AA3" s="218">
        <v>23</v>
      </c>
      <c r="AB3" s="218">
        <v>24</v>
      </c>
      <c r="AC3" s="218">
        <v>25</v>
      </c>
      <c r="AD3" s="218">
        <v>26</v>
      </c>
      <c r="AE3" s="218">
        <v>27</v>
      </c>
      <c r="AF3" s="218">
        <v>28</v>
      </c>
      <c r="AG3" s="218">
        <v>29</v>
      </c>
      <c r="AH3" s="218">
        <v>30</v>
      </c>
    </row>
    <row r="4" spans="2:34">
      <c r="B4" s="46" t="str" cm="1">
        <f t="array" ref="B4:D16">'Painel Controle'!B109:D121</f>
        <v>Categoria (MEF)</v>
      </c>
      <c r="C4" s="46" t="str">
        <v>Categoria de Veículo</v>
      </c>
      <c r="D4" s="179" t="str">
        <v>Grupo</v>
      </c>
      <c r="E4" s="150" t="str">
        <f>"Ano "&amp;E3</f>
        <v>Ano 1</v>
      </c>
      <c r="F4" s="150" t="str">
        <f t="shared" ref="F4:AH4" si="0">"Ano "&amp;F3</f>
        <v>Ano 2</v>
      </c>
      <c r="G4" s="150" t="str">
        <f t="shared" si="0"/>
        <v>Ano 3</v>
      </c>
      <c r="H4" s="150" t="str">
        <f t="shared" si="0"/>
        <v>Ano 4</v>
      </c>
      <c r="I4" s="150" t="str">
        <f t="shared" si="0"/>
        <v>Ano 5</v>
      </c>
      <c r="J4" s="150" t="str">
        <f t="shared" si="0"/>
        <v>Ano 6</v>
      </c>
      <c r="K4" s="150" t="str">
        <f t="shared" si="0"/>
        <v>Ano 7</v>
      </c>
      <c r="L4" s="150" t="str">
        <f t="shared" si="0"/>
        <v>Ano 8</v>
      </c>
      <c r="M4" s="150" t="str">
        <f t="shared" si="0"/>
        <v>Ano 9</v>
      </c>
      <c r="N4" s="150" t="str">
        <f t="shared" si="0"/>
        <v>Ano 10</v>
      </c>
      <c r="O4" s="150" t="str">
        <f t="shared" si="0"/>
        <v>Ano 11</v>
      </c>
      <c r="P4" s="150" t="str">
        <f t="shared" si="0"/>
        <v>Ano 12</v>
      </c>
      <c r="Q4" s="150" t="str">
        <f t="shared" si="0"/>
        <v>Ano 13</v>
      </c>
      <c r="R4" s="150" t="str">
        <f t="shared" si="0"/>
        <v>Ano 14</v>
      </c>
      <c r="S4" s="150" t="str">
        <f t="shared" si="0"/>
        <v>Ano 15</v>
      </c>
      <c r="T4" s="150" t="str">
        <f t="shared" si="0"/>
        <v>Ano 16</v>
      </c>
      <c r="U4" s="150" t="str">
        <f t="shared" si="0"/>
        <v>Ano 17</v>
      </c>
      <c r="V4" s="150" t="str">
        <f t="shared" si="0"/>
        <v>Ano 18</v>
      </c>
      <c r="W4" s="150" t="str">
        <f t="shared" si="0"/>
        <v>Ano 19</v>
      </c>
      <c r="X4" s="150" t="str">
        <f t="shared" si="0"/>
        <v>Ano 20</v>
      </c>
      <c r="Y4" s="150" t="str">
        <f t="shared" si="0"/>
        <v>Ano 21</v>
      </c>
      <c r="Z4" s="150" t="str">
        <f t="shared" si="0"/>
        <v>Ano 22</v>
      </c>
      <c r="AA4" s="150" t="str">
        <f t="shared" si="0"/>
        <v>Ano 23</v>
      </c>
      <c r="AB4" s="150" t="str">
        <f t="shared" si="0"/>
        <v>Ano 24</v>
      </c>
      <c r="AC4" s="150" t="str">
        <f t="shared" si="0"/>
        <v>Ano 25</v>
      </c>
      <c r="AD4" s="150" t="str">
        <f t="shared" si="0"/>
        <v>Ano 26</v>
      </c>
      <c r="AE4" s="150" t="str">
        <f t="shared" si="0"/>
        <v>Ano 27</v>
      </c>
      <c r="AF4" s="150" t="str">
        <f t="shared" si="0"/>
        <v>Ano 28</v>
      </c>
      <c r="AG4" s="150" t="str">
        <f t="shared" si="0"/>
        <v>Ano 29</v>
      </c>
      <c r="AH4" s="150" t="str">
        <f t="shared" si="0"/>
        <v>Ano 30</v>
      </c>
    </row>
    <row r="5" spans="2:34">
      <c r="B5" s="149">
        <v>1</v>
      </c>
      <c r="C5" s="122" t="str">
        <v>Automóvel</v>
      </c>
      <c r="D5" s="250" t="str">
        <v>Leves</v>
      </c>
      <c r="E5" s="186" cm="1">
        <f t="array" ref="E5:E16">'Painel Controle'!$E110:$E121</f>
        <v>1</v>
      </c>
      <c r="F5" s="186" cm="1">
        <f t="array" ref="F5:F16">'Painel Controle'!$E110:$E121</f>
        <v>1</v>
      </c>
      <c r="G5" s="186" cm="1">
        <f t="array" ref="G5:G16">'Painel Controle'!$E110:$E121</f>
        <v>1</v>
      </c>
      <c r="H5" s="186" cm="1">
        <f t="array" ref="H5:H16">'Painel Controle'!$E110:$E121</f>
        <v>1</v>
      </c>
      <c r="I5" s="186" cm="1">
        <f t="array" ref="I5:I16">'Painel Controle'!$E110:$E121</f>
        <v>1</v>
      </c>
      <c r="J5" s="186" cm="1">
        <f t="array" ref="J5:J16">'Painel Controle'!$E110:$E121</f>
        <v>1</v>
      </c>
      <c r="K5" s="186" cm="1">
        <f t="array" ref="K5:K16">'Painel Controle'!$E110:$E121</f>
        <v>1</v>
      </c>
      <c r="L5" s="186" cm="1">
        <f t="array" ref="L5:L16">'Painel Controle'!$E110:$E121</f>
        <v>1</v>
      </c>
      <c r="M5" s="186" cm="1">
        <f t="array" ref="M5:M16">'Painel Controle'!$E110:$E121</f>
        <v>1</v>
      </c>
      <c r="N5" s="186" cm="1">
        <f t="array" ref="N5:N16">'Painel Controle'!$E110:$E121</f>
        <v>1</v>
      </c>
      <c r="O5" s="186" cm="1">
        <f t="array" ref="O5:O16">'Painel Controle'!$E110:$E121</f>
        <v>1</v>
      </c>
      <c r="P5" s="186" cm="1">
        <f t="array" ref="P5:P16">'Painel Controle'!$E110:$E121</f>
        <v>1</v>
      </c>
      <c r="Q5" s="186" cm="1">
        <f t="array" ref="Q5:Q16">'Painel Controle'!$E110:$E121</f>
        <v>1</v>
      </c>
      <c r="R5" s="186" cm="1">
        <f t="array" ref="R5:R16">'Painel Controle'!$E110:$E121</f>
        <v>1</v>
      </c>
      <c r="S5" s="186" cm="1">
        <f t="array" ref="S5:S16">'Painel Controle'!$E110:$E121</f>
        <v>1</v>
      </c>
      <c r="T5" s="186" cm="1">
        <f t="array" ref="T5:T16">'Painel Controle'!$E110:$E121</f>
        <v>1</v>
      </c>
      <c r="U5" s="186" cm="1">
        <f t="array" ref="U5:U16">'Painel Controle'!$E110:$E121</f>
        <v>1</v>
      </c>
      <c r="V5" s="186" cm="1">
        <f t="array" ref="V5:V16">'Painel Controle'!$E110:$E121</f>
        <v>1</v>
      </c>
      <c r="W5" s="186" cm="1">
        <f t="array" ref="W5:W16">'Painel Controle'!$E110:$E121</f>
        <v>1</v>
      </c>
      <c r="X5" s="186" cm="1">
        <f t="array" ref="X5:X16">'Painel Controle'!$E110:$E121</f>
        <v>1</v>
      </c>
      <c r="Y5" s="186" cm="1">
        <f t="array" ref="Y5:Y16">'Painel Controle'!$E110:$E121</f>
        <v>1</v>
      </c>
      <c r="Z5" s="186" cm="1">
        <f t="array" ref="Z5:Z16">'Painel Controle'!$E110:$E121</f>
        <v>1</v>
      </c>
      <c r="AA5" s="186" cm="1">
        <f t="array" ref="AA5:AA16">'Painel Controle'!$E110:$E121</f>
        <v>1</v>
      </c>
      <c r="AB5" s="186" cm="1">
        <f t="array" ref="AB5:AB16">'Painel Controle'!$E110:$E121</f>
        <v>1</v>
      </c>
      <c r="AC5" s="186" cm="1">
        <f t="array" ref="AC5:AC16">'Painel Controle'!$E110:$E121</f>
        <v>1</v>
      </c>
      <c r="AD5" s="186" cm="1">
        <f t="array" ref="AD5:AD16">'Painel Controle'!$E110:$E121</f>
        <v>1</v>
      </c>
      <c r="AE5" s="186" cm="1">
        <f t="array" ref="AE5:AE16">'Painel Controle'!$E110:$E121</f>
        <v>1</v>
      </c>
      <c r="AF5" s="186" cm="1">
        <f t="array" ref="AF5:AF16">'Painel Controle'!$E110:$E121</f>
        <v>1</v>
      </c>
      <c r="AG5" s="186" cm="1">
        <f t="array" ref="AG5:AG16">'Painel Controle'!$E110:$E121</f>
        <v>1</v>
      </c>
      <c r="AH5" s="186" cm="1">
        <f t="array" ref="AH5:AH16">'Painel Controle'!$E110:$E121</f>
        <v>1</v>
      </c>
    </row>
    <row r="6" spans="2:34">
      <c r="B6" s="149">
        <v>2</v>
      </c>
      <c r="C6" s="122" t="str">
        <v xml:space="preserve">Automóvel com reboque </v>
      </c>
      <c r="D6" s="250" t="str">
        <v>Leves</v>
      </c>
      <c r="E6" s="186">
        <v>1.5</v>
      </c>
      <c r="F6" s="186">
        <v>1.5</v>
      </c>
      <c r="G6" s="186">
        <v>1.5</v>
      </c>
      <c r="H6" s="186">
        <v>1.5</v>
      </c>
      <c r="I6" s="186">
        <v>1.5</v>
      </c>
      <c r="J6" s="186">
        <v>1.5</v>
      </c>
      <c r="K6" s="186">
        <v>1.5</v>
      </c>
      <c r="L6" s="186">
        <v>1.5</v>
      </c>
      <c r="M6" s="186">
        <v>1.5</v>
      </c>
      <c r="N6" s="186">
        <v>1.5</v>
      </c>
      <c r="O6" s="186">
        <v>1.5</v>
      </c>
      <c r="P6" s="186">
        <v>1.5</v>
      </c>
      <c r="Q6" s="186">
        <v>1.5</v>
      </c>
      <c r="R6" s="186">
        <v>1.5</v>
      </c>
      <c r="S6" s="186">
        <v>1.5</v>
      </c>
      <c r="T6" s="186">
        <v>1.5</v>
      </c>
      <c r="U6" s="186">
        <v>1.5</v>
      </c>
      <c r="V6" s="186">
        <v>1.5</v>
      </c>
      <c r="W6" s="186">
        <v>1.5</v>
      </c>
      <c r="X6" s="186">
        <v>1.5</v>
      </c>
      <c r="Y6" s="186">
        <v>1.5</v>
      </c>
      <c r="Z6" s="186">
        <v>1.5</v>
      </c>
      <c r="AA6" s="186">
        <v>1.5</v>
      </c>
      <c r="AB6" s="186">
        <v>1.5</v>
      </c>
      <c r="AC6" s="186">
        <v>1.5</v>
      </c>
      <c r="AD6" s="186">
        <v>1.5</v>
      </c>
      <c r="AE6" s="186">
        <v>1.5</v>
      </c>
      <c r="AF6" s="186">
        <v>1.5</v>
      </c>
      <c r="AG6" s="186">
        <v>1.5</v>
      </c>
      <c r="AH6" s="186">
        <v>1.5</v>
      </c>
    </row>
    <row r="7" spans="2:34">
      <c r="B7" s="149">
        <v>3</v>
      </c>
      <c r="C7" s="122" t="str">
        <v>Veículos Comerciais com 2 Eixos</v>
      </c>
      <c r="D7" s="250" t="str">
        <v>Pesados I</v>
      </c>
      <c r="E7" s="186">
        <v>2</v>
      </c>
      <c r="F7" s="186">
        <v>2</v>
      </c>
      <c r="G7" s="186">
        <v>2</v>
      </c>
      <c r="H7" s="186">
        <v>2</v>
      </c>
      <c r="I7" s="186">
        <v>2</v>
      </c>
      <c r="J7" s="186">
        <v>2</v>
      </c>
      <c r="K7" s="186">
        <v>2</v>
      </c>
      <c r="L7" s="186">
        <v>2</v>
      </c>
      <c r="M7" s="186">
        <v>2</v>
      </c>
      <c r="N7" s="186">
        <v>2</v>
      </c>
      <c r="O7" s="186">
        <v>2</v>
      </c>
      <c r="P7" s="186">
        <v>2</v>
      </c>
      <c r="Q7" s="186">
        <v>2</v>
      </c>
      <c r="R7" s="186">
        <v>2</v>
      </c>
      <c r="S7" s="186">
        <v>2</v>
      </c>
      <c r="T7" s="186">
        <v>2</v>
      </c>
      <c r="U7" s="186">
        <v>2</v>
      </c>
      <c r="V7" s="186">
        <v>2</v>
      </c>
      <c r="W7" s="186">
        <v>2</v>
      </c>
      <c r="X7" s="186">
        <v>2</v>
      </c>
      <c r="Y7" s="186">
        <v>2</v>
      </c>
      <c r="Z7" s="186">
        <v>2</v>
      </c>
      <c r="AA7" s="186">
        <v>2</v>
      </c>
      <c r="AB7" s="186">
        <v>2</v>
      </c>
      <c r="AC7" s="186">
        <v>2</v>
      </c>
      <c r="AD7" s="186">
        <v>2</v>
      </c>
      <c r="AE7" s="186">
        <v>2</v>
      </c>
      <c r="AF7" s="186">
        <v>2</v>
      </c>
      <c r="AG7" s="186">
        <v>2</v>
      </c>
      <c r="AH7" s="186">
        <v>2</v>
      </c>
    </row>
    <row r="8" spans="2:34">
      <c r="B8" s="149">
        <v>4</v>
      </c>
      <c r="C8" s="122" t="str">
        <v>Veículos Comerciais com 3 Eixos</v>
      </c>
      <c r="D8" s="250" t="str">
        <v>Pesados I</v>
      </c>
      <c r="E8" s="186">
        <v>3</v>
      </c>
      <c r="F8" s="186">
        <v>3</v>
      </c>
      <c r="G8" s="186">
        <v>3</v>
      </c>
      <c r="H8" s="186">
        <v>3</v>
      </c>
      <c r="I8" s="186">
        <v>3</v>
      </c>
      <c r="J8" s="186">
        <v>3</v>
      </c>
      <c r="K8" s="186">
        <v>3</v>
      </c>
      <c r="L8" s="186">
        <v>3</v>
      </c>
      <c r="M8" s="186">
        <v>3</v>
      </c>
      <c r="N8" s="186">
        <v>3</v>
      </c>
      <c r="O8" s="186">
        <v>3</v>
      </c>
      <c r="P8" s="186">
        <v>3</v>
      </c>
      <c r="Q8" s="186">
        <v>3</v>
      </c>
      <c r="R8" s="186">
        <v>3</v>
      </c>
      <c r="S8" s="186">
        <v>3</v>
      </c>
      <c r="T8" s="186">
        <v>3</v>
      </c>
      <c r="U8" s="186">
        <v>3</v>
      </c>
      <c r="V8" s="186">
        <v>3</v>
      </c>
      <c r="W8" s="186">
        <v>3</v>
      </c>
      <c r="X8" s="186">
        <v>3</v>
      </c>
      <c r="Y8" s="186">
        <v>3</v>
      </c>
      <c r="Z8" s="186">
        <v>3</v>
      </c>
      <c r="AA8" s="186">
        <v>3</v>
      </c>
      <c r="AB8" s="186">
        <v>3</v>
      </c>
      <c r="AC8" s="186">
        <v>3</v>
      </c>
      <c r="AD8" s="186">
        <v>3</v>
      </c>
      <c r="AE8" s="186">
        <v>3</v>
      </c>
      <c r="AF8" s="186">
        <v>3</v>
      </c>
      <c r="AG8" s="186">
        <v>3</v>
      </c>
      <c r="AH8" s="186">
        <v>3</v>
      </c>
    </row>
    <row r="9" spans="2:34">
      <c r="B9" s="149">
        <v>5</v>
      </c>
      <c r="C9" s="122" t="str">
        <v>Veículos Comerciais com 4 Eixos</v>
      </c>
      <c r="D9" s="250" t="str">
        <v>Pesados I</v>
      </c>
      <c r="E9" s="186">
        <v>4</v>
      </c>
      <c r="F9" s="186">
        <v>4</v>
      </c>
      <c r="G9" s="186">
        <v>4</v>
      </c>
      <c r="H9" s="186">
        <v>4</v>
      </c>
      <c r="I9" s="186">
        <v>4</v>
      </c>
      <c r="J9" s="186">
        <v>4</v>
      </c>
      <c r="K9" s="186">
        <v>4</v>
      </c>
      <c r="L9" s="186">
        <v>4</v>
      </c>
      <c r="M9" s="186">
        <v>4</v>
      </c>
      <c r="N9" s="186">
        <v>4</v>
      </c>
      <c r="O9" s="186">
        <v>4</v>
      </c>
      <c r="P9" s="186">
        <v>4</v>
      </c>
      <c r="Q9" s="186">
        <v>4</v>
      </c>
      <c r="R9" s="186">
        <v>4</v>
      </c>
      <c r="S9" s="186">
        <v>4</v>
      </c>
      <c r="T9" s="186">
        <v>4</v>
      </c>
      <c r="U9" s="186">
        <v>4</v>
      </c>
      <c r="V9" s="186">
        <v>4</v>
      </c>
      <c r="W9" s="186">
        <v>4</v>
      </c>
      <c r="X9" s="186">
        <v>4</v>
      </c>
      <c r="Y9" s="186">
        <v>4</v>
      </c>
      <c r="Z9" s="186">
        <v>4</v>
      </c>
      <c r="AA9" s="186">
        <v>4</v>
      </c>
      <c r="AB9" s="186">
        <v>4</v>
      </c>
      <c r="AC9" s="186">
        <v>4</v>
      </c>
      <c r="AD9" s="186">
        <v>4</v>
      </c>
      <c r="AE9" s="186">
        <v>4</v>
      </c>
      <c r="AF9" s="186">
        <v>4</v>
      </c>
      <c r="AG9" s="186">
        <v>4</v>
      </c>
      <c r="AH9" s="186">
        <v>4</v>
      </c>
    </row>
    <row r="10" spans="2:34">
      <c r="B10" s="149">
        <v>6</v>
      </c>
      <c r="C10" s="122" t="str">
        <v>Veículos Comerciais com 5 Eixos Articulado</v>
      </c>
      <c r="D10" s="250" t="str">
        <v>Pesados II</v>
      </c>
      <c r="E10" s="186">
        <v>5</v>
      </c>
      <c r="F10" s="186">
        <v>5</v>
      </c>
      <c r="G10" s="186">
        <v>5</v>
      </c>
      <c r="H10" s="186">
        <v>5</v>
      </c>
      <c r="I10" s="186">
        <v>5</v>
      </c>
      <c r="J10" s="186">
        <v>5</v>
      </c>
      <c r="K10" s="186">
        <v>5</v>
      </c>
      <c r="L10" s="186">
        <v>5</v>
      </c>
      <c r="M10" s="186">
        <v>5</v>
      </c>
      <c r="N10" s="186">
        <v>5</v>
      </c>
      <c r="O10" s="186">
        <v>5</v>
      </c>
      <c r="P10" s="186">
        <v>5</v>
      </c>
      <c r="Q10" s="186">
        <v>5</v>
      </c>
      <c r="R10" s="186">
        <v>5</v>
      </c>
      <c r="S10" s="186">
        <v>5</v>
      </c>
      <c r="T10" s="186">
        <v>5</v>
      </c>
      <c r="U10" s="186">
        <v>5</v>
      </c>
      <c r="V10" s="186">
        <v>5</v>
      </c>
      <c r="W10" s="186">
        <v>5</v>
      </c>
      <c r="X10" s="186">
        <v>5</v>
      </c>
      <c r="Y10" s="186">
        <v>5</v>
      </c>
      <c r="Z10" s="186">
        <v>5</v>
      </c>
      <c r="AA10" s="186">
        <v>5</v>
      </c>
      <c r="AB10" s="186">
        <v>5</v>
      </c>
      <c r="AC10" s="186">
        <v>5</v>
      </c>
      <c r="AD10" s="186">
        <v>5</v>
      </c>
      <c r="AE10" s="186">
        <v>5</v>
      </c>
      <c r="AF10" s="186">
        <v>5</v>
      </c>
      <c r="AG10" s="186">
        <v>5</v>
      </c>
      <c r="AH10" s="186">
        <v>5</v>
      </c>
    </row>
    <row r="11" spans="2:34">
      <c r="B11" s="149">
        <v>7</v>
      </c>
      <c r="C11" s="122" t="str">
        <v>Veículos Comerciais com 6 Eixos Articulado</v>
      </c>
      <c r="D11" s="250" t="str">
        <v>Pesados II</v>
      </c>
      <c r="E11" s="186">
        <v>6</v>
      </c>
      <c r="F11" s="186">
        <v>6</v>
      </c>
      <c r="G11" s="186">
        <v>6</v>
      </c>
      <c r="H11" s="186">
        <v>6</v>
      </c>
      <c r="I11" s="186">
        <v>6</v>
      </c>
      <c r="J11" s="186">
        <v>6</v>
      </c>
      <c r="K11" s="186">
        <v>6</v>
      </c>
      <c r="L11" s="186">
        <v>6</v>
      </c>
      <c r="M11" s="186">
        <v>6</v>
      </c>
      <c r="N11" s="186">
        <v>6</v>
      </c>
      <c r="O11" s="186">
        <v>6</v>
      </c>
      <c r="P11" s="186">
        <v>6</v>
      </c>
      <c r="Q11" s="186">
        <v>6</v>
      </c>
      <c r="R11" s="186">
        <v>6</v>
      </c>
      <c r="S11" s="186">
        <v>6</v>
      </c>
      <c r="T11" s="186">
        <v>6</v>
      </c>
      <c r="U11" s="186">
        <v>6</v>
      </c>
      <c r="V11" s="186">
        <v>6</v>
      </c>
      <c r="W11" s="186">
        <v>6</v>
      </c>
      <c r="X11" s="186">
        <v>6</v>
      </c>
      <c r="Y11" s="186">
        <v>6</v>
      </c>
      <c r="Z11" s="186">
        <v>6</v>
      </c>
      <c r="AA11" s="186">
        <v>6</v>
      </c>
      <c r="AB11" s="186">
        <v>6</v>
      </c>
      <c r="AC11" s="186">
        <v>6</v>
      </c>
      <c r="AD11" s="186">
        <v>6</v>
      </c>
      <c r="AE11" s="186">
        <v>6</v>
      </c>
      <c r="AF11" s="186">
        <v>6</v>
      </c>
      <c r="AG11" s="186">
        <v>6</v>
      </c>
      <c r="AH11" s="186">
        <v>6</v>
      </c>
    </row>
    <row r="12" spans="2:34">
      <c r="B12" s="149">
        <v>8</v>
      </c>
      <c r="C12" s="122" t="str">
        <v>Veículos Comerciais com 7 Eixos Articulado</v>
      </c>
      <c r="D12" s="250" t="str">
        <v>Pesados II</v>
      </c>
      <c r="E12" s="186">
        <v>7</v>
      </c>
      <c r="F12" s="186">
        <v>7</v>
      </c>
      <c r="G12" s="186">
        <v>7</v>
      </c>
      <c r="H12" s="186">
        <v>7</v>
      </c>
      <c r="I12" s="186">
        <v>7</v>
      </c>
      <c r="J12" s="186">
        <v>7</v>
      </c>
      <c r="K12" s="186">
        <v>7</v>
      </c>
      <c r="L12" s="186">
        <v>7</v>
      </c>
      <c r="M12" s="186">
        <v>7</v>
      </c>
      <c r="N12" s="186">
        <v>7</v>
      </c>
      <c r="O12" s="186">
        <v>7</v>
      </c>
      <c r="P12" s="186">
        <v>7</v>
      </c>
      <c r="Q12" s="186">
        <v>7</v>
      </c>
      <c r="R12" s="186">
        <v>7</v>
      </c>
      <c r="S12" s="186">
        <v>7</v>
      </c>
      <c r="T12" s="186">
        <v>7</v>
      </c>
      <c r="U12" s="186">
        <v>7</v>
      </c>
      <c r="V12" s="186">
        <v>7</v>
      </c>
      <c r="W12" s="186">
        <v>7</v>
      </c>
      <c r="X12" s="186">
        <v>7</v>
      </c>
      <c r="Y12" s="186">
        <v>7</v>
      </c>
      <c r="Z12" s="186">
        <v>7</v>
      </c>
      <c r="AA12" s="186">
        <v>7</v>
      </c>
      <c r="AB12" s="186">
        <v>7</v>
      </c>
      <c r="AC12" s="186">
        <v>7</v>
      </c>
      <c r="AD12" s="186">
        <v>7</v>
      </c>
      <c r="AE12" s="186">
        <v>7</v>
      </c>
      <c r="AF12" s="186">
        <v>7</v>
      </c>
      <c r="AG12" s="186">
        <v>7</v>
      </c>
      <c r="AH12" s="186">
        <v>7</v>
      </c>
    </row>
    <row r="13" spans="2:34">
      <c r="B13" s="149">
        <v>9</v>
      </c>
      <c r="C13" s="122" t="str">
        <v>Veículos Comerciais com 8 Eixos Articulado</v>
      </c>
      <c r="D13" s="250" t="str">
        <v>Pesados II</v>
      </c>
      <c r="E13" s="186">
        <v>8</v>
      </c>
      <c r="F13" s="186">
        <v>8</v>
      </c>
      <c r="G13" s="186">
        <v>8</v>
      </c>
      <c r="H13" s="186">
        <v>8</v>
      </c>
      <c r="I13" s="186">
        <v>8</v>
      </c>
      <c r="J13" s="186">
        <v>8</v>
      </c>
      <c r="K13" s="186">
        <v>8</v>
      </c>
      <c r="L13" s="186">
        <v>8</v>
      </c>
      <c r="M13" s="186">
        <v>8</v>
      </c>
      <c r="N13" s="186">
        <v>8</v>
      </c>
      <c r="O13" s="186">
        <v>8</v>
      </c>
      <c r="P13" s="186">
        <v>8</v>
      </c>
      <c r="Q13" s="186">
        <v>8</v>
      </c>
      <c r="R13" s="186">
        <v>8</v>
      </c>
      <c r="S13" s="186">
        <v>8</v>
      </c>
      <c r="T13" s="186">
        <v>8</v>
      </c>
      <c r="U13" s="186">
        <v>8</v>
      </c>
      <c r="V13" s="186">
        <v>8</v>
      </c>
      <c r="W13" s="186">
        <v>8</v>
      </c>
      <c r="X13" s="186">
        <v>8</v>
      </c>
      <c r="Y13" s="186">
        <v>8</v>
      </c>
      <c r="Z13" s="186">
        <v>8</v>
      </c>
      <c r="AA13" s="186">
        <v>8</v>
      </c>
      <c r="AB13" s="186">
        <v>8</v>
      </c>
      <c r="AC13" s="186">
        <v>8</v>
      </c>
      <c r="AD13" s="186">
        <v>8</v>
      </c>
      <c r="AE13" s="186">
        <v>8</v>
      </c>
      <c r="AF13" s="186">
        <v>8</v>
      </c>
      <c r="AG13" s="186">
        <v>8</v>
      </c>
      <c r="AH13" s="186">
        <v>8</v>
      </c>
    </row>
    <row r="14" spans="2:34">
      <c r="B14" s="149">
        <v>10</v>
      </c>
      <c r="C14" s="122" t="str">
        <v>Veículos Comerciais com 9 Eixos Articulado</v>
      </c>
      <c r="D14" s="250" t="str">
        <v>Pesados II</v>
      </c>
      <c r="E14" s="186">
        <v>9</v>
      </c>
      <c r="F14" s="186">
        <v>9</v>
      </c>
      <c r="G14" s="186">
        <v>9</v>
      </c>
      <c r="H14" s="186">
        <v>9</v>
      </c>
      <c r="I14" s="186">
        <v>9</v>
      </c>
      <c r="J14" s="186">
        <v>9</v>
      </c>
      <c r="K14" s="186">
        <v>9</v>
      </c>
      <c r="L14" s="186">
        <v>9</v>
      </c>
      <c r="M14" s="186">
        <v>9</v>
      </c>
      <c r="N14" s="186">
        <v>9</v>
      </c>
      <c r="O14" s="186">
        <v>9</v>
      </c>
      <c r="P14" s="186">
        <v>9</v>
      </c>
      <c r="Q14" s="186">
        <v>9</v>
      </c>
      <c r="R14" s="186">
        <v>9</v>
      </c>
      <c r="S14" s="186">
        <v>9</v>
      </c>
      <c r="T14" s="186">
        <v>9</v>
      </c>
      <c r="U14" s="186">
        <v>9</v>
      </c>
      <c r="V14" s="186">
        <v>9</v>
      </c>
      <c r="W14" s="186">
        <v>9</v>
      </c>
      <c r="X14" s="186">
        <v>9</v>
      </c>
      <c r="Y14" s="186">
        <v>9</v>
      </c>
      <c r="Z14" s="186">
        <v>9</v>
      </c>
      <c r="AA14" s="186">
        <v>9</v>
      </c>
      <c r="AB14" s="186">
        <v>9</v>
      </c>
      <c r="AC14" s="186">
        <v>9</v>
      </c>
      <c r="AD14" s="186">
        <v>9</v>
      </c>
      <c r="AE14" s="186">
        <v>9</v>
      </c>
      <c r="AF14" s="186">
        <v>9</v>
      </c>
      <c r="AG14" s="186">
        <v>9</v>
      </c>
      <c r="AH14" s="186">
        <v>9</v>
      </c>
    </row>
    <row r="15" spans="2:34">
      <c r="B15" s="182">
        <v>11</v>
      </c>
      <c r="C15" s="183" t="str">
        <v>Motocicleta</v>
      </c>
      <c r="D15" s="251" t="str">
        <v>Leves</v>
      </c>
      <c r="E15" s="336">
        <v>0.5</v>
      </c>
      <c r="F15" s="336">
        <v>0.5</v>
      </c>
      <c r="G15" s="336">
        <v>0.5</v>
      </c>
      <c r="H15" s="336">
        <v>0.5</v>
      </c>
      <c r="I15" s="336">
        <v>0.5</v>
      </c>
      <c r="J15" s="336">
        <v>0.5</v>
      </c>
      <c r="K15" s="336">
        <v>0.5</v>
      </c>
      <c r="L15" s="336">
        <v>0.5</v>
      </c>
      <c r="M15" s="336">
        <v>0.5</v>
      </c>
      <c r="N15" s="336">
        <v>0.5</v>
      </c>
      <c r="O15" s="336">
        <v>0.5</v>
      </c>
      <c r="P15" s="336">
        <v>0.5</v>
      </c>
      <c r="Q15" s="336">
        <v>0.5</v>
      </c>
      <c r="R15" s="336">
        <v>0.5</v>
      </c>
      <c r="S15" s="336">
        <v>0.5</v>
      </c>
      <c r="T15" s="336">
        <v>0.5</v>
      </c>
      <c r="U15" s="336">
        <v>0.5</v>
      </c>
      <c r="V15" s="336">
        <v>0.5</v>
      </c>
      <c r="W15" s="336">
        <v>0.5</v>
      </c>
      <c r="X15" s="336">
        <v>0.5</v>
      </c>
      <c r="Y15" s="336">
        <v>0.5</v>
      </c>
      <c r="Z15" s="336">
        <v>0.5</v>
      </c>
      <c r="AA15" s="336">
        <v>0.5</v>
      </c>
      <c r="AB15" s="336">
        <v>0.5</v>
      </c>
      <c r="AC15" s="336">
        <v>0.5</v>
      </c>
      <c r="AD15" s="336">
        <v>0.5</v>
      </c>
      <c r="AE15" s="336">
        <v>0.5</v>
      </c>
      <c r="AF15" s="336">
        <v>0.5</v>
      </c>
      <c r="AG15" s="336">
        <v>0.5</v>
      </c>
      <c r="AH15" s="336">
        <v>0.5</v>
      </c>
    </row>
    <row r="16" spans="2:34">
      <c r="B16" s="149">
        <v>12</v>
      </c>
      <c r="C16" s="122" t="str">
        <v xml:space="preserve">Veículos do transporte público coletivo intermunicipal e metropolitano </v>
      </c>
      <c r="D16" s="122" t="str">
        <v>Pesados I</v>
      </c>
      <c r="E16" s="186">
        <v>0</v>
      </c>
      <c r="F16" s="186">
        <v>0</v>
      </c>
      <c r="G16" s="186">
        <v>0</v>
      </c>
      <c r="H16" s="186">
        <v>0</v>
      </c>
      <c r="I16" s="186">
        <v>0</v>
      </c>
      <c r="J16" s="186">
        <v>0</v>
      </c>
      <c r="K16" s="186">
        <v>0</v>
      </c>
      <c r="L16" s="186">
        <v>0</v>
      </c>
      <c r="M16" s="186">
        <v>0</v>
      </c>
      <c r="N16" s="186">
        <v>0</v>
      </c>
      <c r="O16" s="186">
        <v>0</v>
      </c>
      <c r="P16" s="186">
        <v>0</v>
      </c>
      <c r="Q16" s="186">
        <v>0</v>
      </c>
      <c r="R16" s="186">
        <v>0</v>
      </c>
      <c r="S16" s="186">
        <v>0</v>
      </c>
      <c r="T16" s="186">
        <v>0</v>
      </c>
      <c r="U16" s="186">
        <v>0</v>
      </c>
      <c r="V16" s="186">
        <v>0</v>
      </c>
      <c r="W16" s="186">
        <v>0</v>
      </c>
      <c r="X16" s="186">
        <v>0</v>
      </c>
      <c r="Y16" s="186">
        <v>0</v>
      </c>
      <c r="Z16" s="186">
        <v>0</v>
      </c>
      <c r="AA16" s="186">
        <v>0</v>
      </c>
      <c r="AB16" s="186">
        <v>0</v>
      </c>
      <c r="AC16" s="186">
        <v>0</v>
      </c>
      <c r="AD16" s="186">
        <v>0</v>
      </c>
      <c r="AE16" s="186">
        <v>0</v>
      </c>
      <c r="AF16" s="186">
        <v>0</v>
      </c>
      <c r="AG16" s="186">
        <v>0</v>
      </c>
      <c r="AH16" s="186">
        <v>0</v>
      </c>
    </row>
    <row r="19" spans="2:6">
      <c r="B19" s="2" t="s">
        <v>565</v>
      </c>
    </row>
    <row r="20" spans="2:6">
      <c r="B20" s="600" t="s">
        <v>566</v>
      </c>
      <c r="C20" s="600" t="s">
        <v>105</v>
      </c>
      <c r="D20" s="600"/>
      <c r="E20" s="600"/>
      <c r="F20" s="600"/>
    </row>
    <row r="21" spans="2:6">
      <c r="B21" s="600"/>
      <c r="C21" s="10">
        <v>1</v>
      </c>
      <c r="D21" s="10">
        <v>2</v>
      </c>
      <c r="E21" s="10">
        <v>3</v>
      </c>
      <c r="F21" s="10">
        <v>4</v>
      </c>
    </row>
    <row r="22" spans="2:6">
      <c r="B22" s="10">
        <v>1</v>
      </c>
      <c r="C22" s="256" cm="1">
        <f t="array" ref="C22:F51">_xlfn._xlws.FILTER('Degraus tarifários Input'!D5:G2881,'Degraus tarifários Input'!B5:B2881='Painel Controle'!C8)</f>
        <v>0</v>
      </c>
      <c r="D22" s="141">
        <v>0</v>
      </c>
      <c r="E22" s="141">
        <v>0</v>
      </c>
      <c r="F22" s="141">
        <v>0</v>
      </c>
    </row>
    <row r="23" spans="2:6">
      <c r="B23" s="10">
        <v>2</v>
      </c>
      <c r="C23" s="141">
        <v>0</v>
      </c>
      <c r="D23" s="141">
        <v>0</v>
      </c>
      <c r="E23" s="141">
        <v>0</v>
      </c>
      <c r="F23" s="141">
        <v>0</v>
      </c>
    </row>
    <row r="24" spans="2:6">
      <c r="B24" s="10">
        <v>3</v>
      </c>
      <c r="C24" s="141">
        <v>0</v>
      </c>
      <c r="D24" s="141">
        <v>0</v>
      </c>
      <c r="E24" s="141">
        <v>0</v>
      </c>
      <c r="F24" s="141">
        <v>0</v>
      </c>
    </row>
    <row r="25" spans="2:6">
      <c r="B25" s="10">
        <v>4</v>
      </c>
      <c r="C25" s="141">
        <v>0</v>
      </c>
      <c r="D25" s="141">
        <v>0</v>
      </c>
      <c r="E25" s="141">
        <v>0</v>
      </c>
      <c r="F25" s="141">
        <v>0</v>
      </c>
    </row>
    <row r="26" spans="2:6">
      <c r="B26" s="10">
        <v>5</v>
      </c>
      <c r="C26" s="141">
        <v>0.4</v>
      </c>
      <c r="D26" s="141">
        <v>0</v>
      </c>
      <c r="E26" s="141">
        <v>0</v>
      </c>
      <c r="F26" s="141">
        <v>0</v>
      </c>
    </row>
    <row r="27" spans="2:6">
      <c r="B27" s="10">
        <v>6</v>
      </c>
      <c r="C27" s="141">
        <v>0</v>
      </c>
      <c r="D27" s="141">
        <v>0</v>
      </c>
      <c r="E27" s="141">
        <v>0</v>
      </c>
      <c r="F27" s="141">
        <v>0</v>
      </c>
    </row>
    <row r="28" spans="2:6">
      <c r="B28" s="10">
        <v>7</v>
      </c>
      <c r="C28" s="141">
        <v>0</v>
      </c>
      <c r="D28" s="141">
        <v>0.4</v>
      </c>
      <c r="E28" s="141">
        <v>0</v>
      </c>
      <c r="F28" s="141">
        <v>0</v>
      </c>
    </row>
    <row r="29" spans="2:6">
      <c r="B29" s="10">
        <v>8</v>
      </c>
      <c r="C29" s="141">
        <v>0</v>
      </c>
      <c r="D29" s="141">
        <v>0</v>
      </c>
      <c r="E29" s="141">
        <v>0</v>
      </c>
      <c r="F29" s="141">
        <v>0</v>
      </c>
    </row>
    <row r="30" spans="2:6">
      <c r="B30" s="10">
        <v>9</v>
      </c>
      <c r="C30" s="141">
        <v>0</v>
      </c>
      <c r="D30" s="141">
        <v>0</v>
      </c>
      <c r="E30" s="141">
        <v>0</v>
      </c>
      <c r="F30" s="141">
        <v>0</v>
      </c>
    </row>
    <row r="31" spans="2:6">
      <c r="B31" s="10">
        <v>10</v>
      </c>
      <c r="C31" s="141">
        <v>0</v>
      </c>
      <c r="D31" s="141">
        <v>0</v>
      </c>
      <c r="E31" s="141">
        <v>0</v>
      </c>
      <c r="F31" s="141">
        <v>0</v>
      </c>
    </row>
    <row r="32" spans="2:6">
      <c r="B32" s="10">
        <v>11</v>
      </c>
      <c r="C32" s="141">
        <v>0</v>
      </c>
      <c r="D32" s="141">
        <v>0</v>
      </c>
      <c r="E32" s="141">
        <v>0</v>
      </c>
      <c r="F32" s="141">
        <v>0</v>
      </c>
    </row>
    <row r="33" spans="2:6">
      <c r="B33" s="10">
        <v>12</v>
      </c>
      <c r="C33" s="141">
        <v>0</v>
      </c>
      <c r="D33" s="141">
        <v>0</v>
      </c>
      <c r="E33" s="141">
        <v>0</v>
      </c>
      <c r="F33" s="141">
        <v>0</v>
      </c>
    </row>
    <row r="34" spans="2:6">
      <c r="B34" s="10">
        <v>13</v>
      </c>
      <c r="C34" s="141">
        <v>0</v>
      </c>
      <c r="D34" s="141">
        <v>0</v>
      </c>
      <c r="E34" s="141">
        <v>0</v>
      </c>
      <c r="F34" s="141">
        <v>0</v>
      </c>
    </row>
    <row r="35" spans="2:6">
      <c r="B35" s="10">
        <v>14</v>
      </c>
      <c r="C35" s="141">
        <v>0</v>
      </c>
      <c r="D35" s="141">
        <v>0</v>
      </c>
      <c r="E35" s="141">
        <v>0</v>
      </c>
      <c r="F35" s="141">
        <v>0</v>
      </c>
    </row>
    <row r="36" spans="2:6">
      <c r="B36" s="10">
        <v>15</v>
      </c>
      <c r="C36" s="141">
        <v>0</v>
      </c>
      <c r="D36" s="141">
        <v>0</v>
      </c>
      <c r="E36" s="141">
        <v>0</v>
      </c>
      <c r="F36" s="141">
        <v>0</v>
      </c>
    </row>
    <row r="37" spans="2:6">
      <c r="B37" s="10">
        <v>16</v>
      </c>
      <c r="C37" s="141">
        <v>0</v>
      </c>
      <c r="D37" s="141">
        <v>0</v>
      </c>
      <c r="E37" s="141">
        <v>0</v>
      </c>
      <c r="F37" s="141">
        <v>0.4</v>
      </c>
    </row>
    <row r="38" spans="2:6">
      <c r="B38" s="10">
        <v>17</v>
      </c>
      <c r="C38" s="141">
        <v>0</v>
      </c>
      <c r="D38" s="141">
        <v>0</v>
      </c>
      <c r="E38" s="141">
        <v>0</v>
      </c>
      <c r="F38" s="141">
        <v>0</v>
      </c>
    </row>
    <row r="39" spans="2:6">
      <c r="B39" s="10">
        <v>18</v>
      </c>
      <c r="C39" s="141">
        <v>0</v>
      </c>
      <c r="D39" s="141">
        <v>0</v>
      </c>
      <c r="E39" s="141">
        <v>0</v>
      </c>
      <c r="F39" s="141">
        <v>0</v>
      </c>
    </row>
    <row r="40" spans="2:6">
      <c r="B40" s="10">
        <v>19</v>
      </c>
      <c r="C40" s="141">
        <v>0</v>
      </c>
      <c r="D40" s="141">
        <v>0</v>
      </c>
      <c r="E40" s="141">
        <v>0</v>
      </c>
      <c r="F40" s="141">
        <v>0</v>
      </c>
    </row>
    <row r="41" spans="2:6">
      <c r="B41" s="10">
        <v>20</v>
      </c>
      <c r="C41" s="141">
        <v>0</v>
      </c>
      <c r="D41" s="141">
        <v>0</v>
      </c>
      <c r="E41" s="141">
        <v>0</v>
      </c>
      <c r="F41" s="141">
        <v>0</v>
      </c>
    </row>
    <row r="42" spans="2:6">
      <c r="B42" s="10">
        <v>21</v>
      </c>
      <c r="C42" s="141">
        <v>0</v>
      </c>
      <c r="D42" s="141">
        <v>0</v>
      </c>
      <c r="E42" s="141">
        <v>0</v>
      </c>
      <c r="F42" s="141">
        <v>0</v>
      </c>
    </row>
    <row r="43" spans="2:6">
      <c r="B43" s="10">
        <v>22</v>
      </c>
      <c r="C43" s="141">
        <v>0</v>
      </c>
      <c r="D43" s="141">
        <v>0</v>
      </c>
      <c r="E43" s="141">
        <v>0</v>
      </c>
      <c r="F43" s="141">
        <v>0</v>
      </c>
    </row>
    <row r="44" spans="2:6">
      <c r="B44" s="10">
        <v>23</v>
      </c>
      <c r="C44" s="141">
        <v>0</v>
      </c>
      <c r="D44" s="141">
        <v>0</v>
      </c>
      <c r="E44" s="141">
        <v>0</v>
      </c>
      <c r="F44" s="141">
        <v>0</v>
      </c>
    </row>
    <row r="45" spans="2:6">
      <c r="B45" s="10">
        <v>24</v>
      </c>
      <c r="C45" s="141">
        <v>0</v>
      </c>
      <c r="D45" s="141">
        <v>0</v>
      </c>
      <c r="E45" s="141">
        <v>0</v>
      </c>
      <c r="F45" s="141">
        <v>0</v>
      </c>
    </row>
    <row r="46" spans="2:6">
      <c r="B46" s="10">
        <v>25</v>
      </c>
      <c r="C46" s="141">
        <v>0</v>
      </c>
      <c r="D46" s="141">
        <v>0</v>
      </c>
      <c r="E46" s="141">
        <v>0</v>
      </c>
      <c r="F46" s="141">
        <v>0</v>
      </c>
    </row>
    <row r="47" spans="2:6">
      <c r="B47" s="10">
        <v>26</v>
      </c>
      <c r="C47" s="141">
        <v>0</v>
      </c>
      <c r="D47" s="141">
        <v>0</v>
      </c>
      <c r="E47" s="141">
        <v>0</v>
      </c>
      <c r="F47" s="141">
        <v>0</v>
      </c>
    </row>
    <row r="48" spans="2:6">
      <c r="B48" s="10">
        <v>27</v>
      </c>
      <c r="C48" s="141">
        <v>0</v>
      </c>
      <c r="D48" s="141">
        <v>0</v>
      </c>
      <c r="E48" s="141">
        <v>0</v>
      </c>
      <c r="F48" s="141">
        <v>0</v>
      </c>
    </row>
    <row r="49" spans="2:32">
      <c r="B49" s="10">
        <v>28</v>
      </c>
      <c r="C49" s="141">
        <v>0</v>
      </c>
      <c r="D49" s="141">
        <v>0</v>
      </c>
      <c r="E49" s="141">
        <v>0</v>
      </c>
      <c r="F49" s="141">
        <v>0</v>
      </c>
    </row>
    <row r="50" spans="2:32">
      <c r="B50" s="10">
        <v>29</v>
      </c>
      <c r="C50" s="141">
        <v>0</v>
      </c>
      <c r="D50" s="141">
        <v>0</v>
      </c>
      <c r="E50" s="141">
        <v>0</v>
      </c>
      <c r="F50" s="141">
        <v>0</v>
      </c>
    </row>
    <row r="51" spans="2:32">
      <c r="B51" s="10">
        <v>30</v>
      </c>
      <c r="C51" s="141">
        <v>0</v>
      </c>
      <c r="D51" s="141">
        <v>0</v>
      </c>
      <c r="E51" s="141">
        <v>0</v>
      </c>
      <c r="F51" s="141">
        <v>0</v>
      </c>
    </row>
    <row r="52" spans="2:32">
      <c r="B52" t="s">
        <v>567</v>
      </c>
    </row>
    <row r="54" spans="2:32">
      <c r="B54" s="2" t="s">
        <v>568</v>
      </c>
    </row>
    <row r="55" spans="2:32" hidden="1">
      <c r="B55" s="2"/>
      <c r="C55">
        <v>1</v>
      </c>
      <c r="D55">
        <v>2</v>
      </c>
      <c r="E55">
        <v>3</v>
      </c>
      <c r="F55">
        <v>4</v>
      </c>
      <c r="G55">
        <v>5</v>
      </c>
      <c r="H55">
        <v>6</v>
      </c>
      <c r="I55">
        <v>7</v>
      </c>
      <c r="J55">
        <v>8</v>
      </c>
      <c r="K55">
        <v>9</v>
      </c>
      <c r="L55">
        <v>10</v>
      </c>
      <c r="M55">
        <v>11</v>
      </c>
      <c r="N55">
        <v>12</v>
      </c>
      <c r="O55">
        <v>13</v>
      </c>
      <c r="P55">
        <v>14</v>
      </c>
      <c r="Q55">
        <v>15</v>
      </c>
      <c r="R55">
        <v>16</v>
      </c>
      <c r="S55">
        <v>17</v>
      </c>
      <c r="T55">
        <v>18</v>
      </c>
      <c r="U55">
        <v>19</v>
      </c>
      <c r="V55">
        <v>20</v>
      </c>
      <c r="W55">
        <v>21</v>
      </c>
      <c r="X55">
        <v>22</v>
      </c>
      <c r="Y55">
        <v>23</v>
      </c>
      <c r="Z55">
        <v>24</v>
      </c>
      <c r="AA55">
        <v>25</v>
      </c>
      <c r="AB55">
        <v>26</v>
      </c>
      <c r="AC55">
        <v>27</v>
      </c>
      <c r="AD55">
        <v>28</v>
      </c>
      <c r="AE55">
        <v>29</v>
      </c>
      <c r="AF55">
        <v>30</v>
      </c>
    </row>
    <row r="56" spans="2:32">
      <c r="B56" s="171" t="str" cm="1">
        <f t="array" ref="B56:B60">'Painel Controle'!B68:B72</f>
        <v>Pórtico</v>
      </c>
      <c r="C56" s="46" t="str">
        <f t="shared" ref="C56:AF56" si="1">"Ano "&amp;C55</f>
        <v>Ano 1</v>
      </c>
      <c r="D56" s="46" t="str">
        <f t="shared" si="1"/>
        <v>Ano 2</v>
      </c>
      <c r="E56" s="46" t="str">
        <f t="shared" si="1"/>
        <v>Ano 3</v>
      </c>
      <c r="F56" s="46" t="str">
        <f t="shared" si="1"/>
        <v>Ano 4</v>
      </c>
      <c r="G56" s="46" t="str">
        <f t="shared" si="1"/>
        <v>Ano 5</v>
      </c>
      <c r="H56" s="46" t="str">
        <f t="shared" si="1"/>
        <v>Ano 6</v>
      </c>
      <c r="I56" s="46" t="str">
        <f t="shared" si="1"/>
        <v>Ano 7</v>
      </c>
      <c r="J56" s="46" t="str">
        <f t="shared" si="1"/>
        <v>Ano 8</v>
      </c>
      <c r="K56" s="46" t="str">
        <f t="shared" si="1"/>
        <v>Ano 9</v>
      </c>
      <c r="L56" s="46" t="str">
        <f t="shared" si="1"/>
        <v>Ano 10</v>
      </c>
      <c r="M56" s="46" t="str">
        <f t="shared" si="1"/>
        <v>Ano 11</v>
      </c>
      <c r="N56" s="46" t="str">
        <f t="shared" si="1"/>
        <v>Ano 12</v>
      </c>
      <c r="O56" s="46" t="str">
        <f t="shared" si="1"/>
        <v>Ano 13</v>
      </c>
      <c r="P56" s="46" t="str">
        <f t="shared" si="1"/>
        <v>Ano 14</v>
      </c>
      <c r="Q56" s="46" t="str">
        <f t="shared" si="1"/>
        <v>Ano 15</v>
      </c>
      <c r="R56" s="46" t="str">
        <f t="shared" si="1"/>
        <v>Ano 16</v>
      </c>
      <c r="S56" s="46" t="str">
        <f t="shared" si="1"/>
        <v>Ano 17</v>
      </c>
      <c r="T56" s="46" t="str">
        <f t="shared" si="1"/>
        <v>Ano 18</v>
      </c>
      <c r="U56" s="46" t="str">
        <f t="shared" si="1"/>
        <v>Ano 19</v>
      </c>
      <c r="V56" s="46" t="str">
        <f t="shared" si="1"/>
        <v>Ano 20</v>
      </c>
      <c r="W56" s="46" t="str">
        <f t="shared" si="1"/>
        <v>Ano 21</v>
      </c>
      <c r="X56" s="46" t="str">
        <f t="shared" si="1"/>
        <v>Ano 22</v>
      </c>
      <c r="Y56" s="46" t="str">
        <f t="shared" si="1"/>
        <v>Ano 23</v>
      </c>
      <c r="Z56" s="46" t="str">
        <f t="shared" si="1"/>
        <v>Ano 24</v>
      </c>
      <c r="AA56" s="46" t="str">
        <f t="shared" si="1"/>
        <v>Ano 25</v>
      </c>
      <c r="AB56" s="46" t="str">
        <f t="shared" si="1"/>
        <v>Ano 26</v>
      </c>
      <c r="AC56" s="46" t="str">
        <f t="shared" si="1"/>
        <v>Ano 27</v>
      </c>
      <c r="AD56" s="46" t="str">
        <f t="shared" si="1"/>
        <v>Ano 28</v>
      </c>
      <c r="AE56" s="46" t="str">
        <f t="shared" si="1"/>
        <v>Ano 29</v>
      </c>
      <c r="AF56" s="46" t="str">
        <f t="shared" si="1"/>
        <v>Ano 30</v>
      </c>
    </row>
    <row r="57" spans="2:32">
      <c r="B57" s="171">
        <v>1</v>
      </c>
      <c r="C57" s="145" cm="1">
        <f t="array" ref="C57">'Painel Controle'!$H84 * (1+INDEX($C$22:$F$51,C$55,$B57))</f>
        <v>5.5789285271044644</v>
      </c>
      <c r="D57" s="145" cm="1">
        <f t="array" ref="D57">C57 * (1+INDEX($C$22:$F$51,D$55,$B57))</f>
        <v>5.5789285271044644</v>
      </c>
      <c r="E57" s="145" cm="1">
        <f t="array" ref="E57">D57 * (1+INDEX($C$22:$F$51,E$55,$B57))</f>
        <v>5.5789285271044644</v>
      </c>
      <c r="F57" s="145" cm="1">
        <f t="array" ref="F57">E57 * (1+INDEX($C$22:$F$51,F$55,$B57))</f>
        <v>5.5789285271044644</v>
      </c>
      <c r="G57" s="145" cm="1">
        <f t="array" ref="G57">F57 * (1+INDEX($C$22:$F$51,G$55,$B57))</f>
        <v>7.8104999379462496</v>
      </c>
      <c r="H57" s="145" cm="1">
        <f t="array" ref="H57">G57 * (1+INDEX($C$22:$F$51,H$55,$B57))</f>
        <v>7.8104999379462496</v>
      </c>
      <c r="I57" s="145" cm="1">
        <f t="array" ref="I57">H57 * (1+INDEX($C$22:$F$51,I$55,$B57))</f>
        <v>7.8104999379462496</v>
      </c>
      <c r="J57" s="145" cm="1">
        <f t="array" ref="J57">I57 * (1+INDEX($C$22:$F$51,J$55,$B57))</f>
        <v>7.8104999379462496</v>
      </c>
      <c r="K57" s="145" cm="1">
        <f t="array" ref="K57">J57 * (1+INDEX($C$22:$F$51,K$55,$B57))</f>
        <v>7.8104999379462496</v>
      </c>
      <c r="L57" s="145" cm="1">
        <f t="array" ref="L57">K57 * (1+INDEX($C$22:$F$51,L$55,$B57))</f>
        <v>7.8104999379462496</v>
      </c>
      <c r="M57" s="145" cm="1">
        <f t="array" ref="M57">L57 * (1+INDEX($C$22:$F$51,M$55,$B57))</f>
        <v>7.8104999379462496</v>
      </c>
      <c r="N57" s="145" cm="1">
        <f t="array" ref="N57">M57 * (1+INDEX($C$22:$F$51,N$55,$B57))</f>
        <v>7.8104999379462496</v>
      </c>
      <c r="O57" s="145" cm="1">
        <f t="array" ref="O57">N57 * (1+INDEX($C$22:$F$51,O$55,$B57))</f>
        <v>7.8104999379462496</v>
      </c>
      <c r="P57" s="145" cm="1">
        <f t="array" ref="P57">O57 * (1+INDEX($C$22:$F$51,P$55,$B57))</f>
        <v>7.8104999379462496</v>
      </c>
      <c r="Q57" s="145" cm="1">
        <f t="array" ref="Q57">P57 * (1+INDEX($C$22:$F$51,Q$55,$B57))</f>
        <v>7.8104999379462496</v>
      </c>
      <c r="R57" s="145" cm="1">
        <f t="array" ref="R57">Q57 * (1+INDEX($C$22:$F$51,R$55,$B57))</f>
        <v>7.8104999379462496</v>
      </c>
      <c r="S57" s="145" cm="1">
        <f t="array" ref="S57">R57 * (1+INDEX($C$22:$F$51,S$55,$B57))</f>
        <v>7.8104999379462496</v>
      </c>
      <c r="T57" s="145" cm="1">
        <f t="array" ref="T57">S57 * (1+INDEX($C$22:$F$51,T$55,$B57))</f>
        <v>7.8104999379462496</v>
      </c>
      <c r="U57" s="145" cm="1">
        <f t="array" ref="U57">T57 * (1+INDEX($C$22:$F$51,U$55,$B57))</f>
        <v>7.8104999379462496</v>
      </c>
      <c r="V57" s="145" cm="1">
        <f t="array" ref="V57">U57 * (1+INDEX($C$22:$F$51,V$55,$B57))</f>
        <v>7.8104999379462496</v>
      </c>
      <c r="W57" s="145" cm="1">
        <f t="array" ref="W57">V57 * (1+INDEX($C$22:$F$51,W$55,$B57))</f>
        <v>7.8104999379462496</v>
      </c>
      <c r="X57" s="145" cm="1">
        <f t="array" ref="X57">W57 * (1+INDEX($C$22:$F$51,X$55,$B57))</f>
        <v>7.8104999379462496</v>
      </c>
      <c r="Y57" s="145" cm="1">
        <f t="array" ref="Y57">X57 * (1+INDEX($C$22:$F$51,Y$55,$B57))</f>
        <v>7.8104999379462496</v>
      </c>
      <c r="Z57" s="145" cm="1">
        <f t="array" ref="Z57">Y57 * (1+INDEX($C$22:$F$51,Z$55,$B57))</f>
        <v>7.8104999379462496</v>
      </c>
      <c r="AA57" s="145" cm="1">
        <f t="array" ref="AA57">Z57 * (1+INDEX($C$22:$F$51,AA$55,$B57))</f>
        <v>7.8104999379462496</v>
      </c>
      <c r="AB57" s="145" cm="1">
        <f t="array" ref="AB57">AA57 * (1+INDEX($C$22:$F$51,AB$55,$B57))</f>
        <v>7.8104999379462496</v>
      </c>
      <c r="AC57" s="145" cm="1">
        <f t="array" ref="AC57">AB57 * (1+INDEX($C$22:$F$51,AC$55,$B57))</f>
        <v>7.8104999379462496</v>
      </c>
      <c r="AD57" s="145" cm="1">
        <f t="array" ref="AD57">AC57 * (1+INDEX($C$22:$F$51,AD$55,$B57))</f>
        <v>7.8104999379462496</v>
      </c>
      <c r="AE57" s="145" cm="1">
        <f t="array" ref="AE57">AD57 * (1+INDEX($C$22:$F$51,AE$55,$B57))</f>
        <v>7.8104999379462496</v>
      </c>
      <c r="AF57" s="145" cm="1">
        <f t="array" ref="AF57">AE57 * (1+INDEX($C$22:$F$51,AF$55,$B57))</f>
        <v>7.8104999379462496</v>
      </c>
    </row>
    <row r="58" spans="2:32">
      <c r="B58" s="171">
        <v>2</v>
      </c>
      <c r="C58" s="145" cm="1">
        <f t="array" ref="C58">'Painel Controle'!$H85 * (1+INDEX($C$22:$F$51,C$55,$B58))</f>
        <v>5.5789285271044644</v>
      </c>
      <c r="D58" s="145" cm="1">
        <f t="array" ref="D58">C58 * (1+INDEX($C$22:$F$51,D$55,$B58))</f>
        <v>5.5789285271044644</v>
      </c>
      <c r="E58" s="145" cm="1">
        <f t="array" ref="E58">D58 * (1+INDEX($C$22:$F$51,E$55,$B58))</f>
        <v>5.5789285271044644</v>
      </c>
      <c r="F58" s="145" cm="1">
        <f t="array" ref="F58">E58 * (1+INDEX($C$22:$F$51,F$55,$B58))</f>
        <v>5.5789285271044644</v>
      </c>
      <c r="G58" s="145" cm="1">
        <f t="array" ref="G58">F58 * (1+INDEX($C$22:$F$51,G$55,$B58))</f>
        <v>5.5789285271044644</v>
      </c>
      <c r="H58" s="145" cm="1">
        <f t="array" ref="H58">G58 * (1+INDEX($C$22:$F$51,H$55,$B58))</f>
        <v>5.5789285271044644</v>
      </c>
      <c r="I58" s="145" cm="1">
        <f t="array" ref="I58">H58 * (1+INDEX($C$22:$F$51,I$55,$B58))</f>
        <v>7.8104999379462496</v>
      </c>
      <c r="J58" s="145" cm="1">
        <f t="array" ref="J58">I58 * (1+INDEX($C$22:$F$51,J$55,$B58))</f>
        <v>7.8104999379462496</v>
      </c>
      <c r="K58" s="145" cm="1">
        <f t="array" ref="K58">J58 * (1+INDEX($C$22:$F$51,K$55,$B58))</f>
        <v>7.8104999379462496</v>
      </c>
      <c r="L58" s="145" cm="1">
        <f t="array" ref="L58">K58 * (1+INDEX($C$22:$F$51,L$55,$B58))</f>
        <v>7.8104999379462496</v>
      </c>
      <c r="M58" s="145" cm="1">
        <f t="array" ref="M58">L58 * (1+INDEX($C$22:$F$51,M$55,$B58))</f>
        <v>7.8104999379462496</v>
      </c>
      <c r="N58" s="145" cm="1">
        <f t="array" ref="N58">M58 * (1+INDEX($C$22:$F$51,N$55,$B58))</f>
        <v>7.8104999379462496</v>
      </c>
      <c r="O58" s="145" cm="1">
        <f t="array" ref="O58">N58 * (1+INDEX($C$22:$F$51,O$55,$B58))</f>
        <v>7.8104999379462496</v>
      </c>
      <c r="P58" s="145" cm="1">
        <f t="array" ref="P58">O58 * (1+INDEX($C$22:$F$51,P$55,$B58))</f>
        <v>7.8104999379462496</v>
      </c>
      <c r="Q58" s="145" cm="1">
        <f t="array" ref="Q58">P58 * (1+INDEX($C$22:$F$51,Q$55,$B58))</f>
        <v>7.8104999379462496</v>
      </c>
      <c r="R58" s="145" cm="1">
        <f t="array" ref="R58">Q58 * (1+INDEX($C$22:$F$51,R$55,$B58))</f>
        <v>7.8104999379462496</v>
      </c>
      <c r="S58" s="145" cm="1">
        <f t="array" ref="S58">R58 * (1+INDEX($C$22:$F$51,S$55,$B58))</f>
        <v>7.8104999379462496</v>
      </c>
      <c r="T58" s="145" cm="1">
        <f t="array" ref="T58">S58 * (1+INDEX($C$22:$F$51,T$55,$B58))</f>
        <v>7.8104999379462496</v>
      </c>
      <c r="U58" s="145" cm="1">
        <f t="array" ref="U58">T58 * (1+INDEX($C$22:$F$51,U$55,$B58))</f>
        <v>7.8104999379462496</v>
      </c>
      <c r="V58" s="145" cm="1">
        <f t="array" ref="V58">U58 * (1+INDEX($C$22:$F$51,V$55,$B58))</f>
        <v>7.8104999379462496</v>
      </c>
      <c r="W58" s="145" cm="1">
        <f t="array" ref="W58">V58 * (1+INDEX($C$22:$F$51,W$55,$B58))</f>
        <v>7.8104999379462496</v>
      </c>
      <c r="X58" s="145" cm="1">
        <f t="array" ref="X58">W58 * (1+INDEX($C$22:$F$51,X$55,$B58))</f>
        <v>7.8104999379462496</v>
      </c>
      <c r="Y58" s="145" cm="1">
        <f t="array" ref="Y58">X58 * (1+INDEX($C$22:$F$51,Y$55,$B58))</f>
        <v>7.8104999379462496</v>
      </c>
      <c r="Z58" s="145" cm="1">
        <f t="array" ref="Z58">Y58 * (1+INDEX($C$22:$F$51,Z$55,$B58))</f>
        <v>7.8104999379462496</v>
      </c>
      <c r="AA58" s="145" cm="1">
        <f t="array" ref="AA58">Z58 * (1+INDEX($C$22:$F$51,AA$55,$B58))</f>
        <v>7.8104999379462496</v>
      </c>
      <c r="AB58" s="145" cm="1">
        <f t="array" ref="AB58">AA58 * (1+INDEX($C$22:$F$51,AB$55,$B58))</f>
        <v>7.8104999379462496</v>
      </c>
      <c r="AC58" s="145" cm="1">
        <f t="array" ref="AC58">AB58 * (1+INDEX($C$22:$F$51,AC$55,$B58))</f>
        <v>7.8104999379462496</v>
      </c>
      <c r="AD58" s="145" cm="1">
        <f t="array" ref="AD58">AC58 * (1+INDEX($C$22:$F$51,AD$55,$B58))</f>
        <v>7.8104999379462496</v>
      </c>
      <c r="AE58" s="145" cm="1">
        <f t="array" ref="AE58">AD58 * (1+INDEX($C$22:$F$51,AE$55,$B58))</f>
        <v>7.8104999379462496</v>
      </c>
      <c r="AF58" s="145" cm="1">
        <f t="array" ref="AF58">AE58 * (1+INDEX($C$22:$F$51,AF$55,$B58))</f>
        <v>7.8104999379462496</v>
      </c>
    </row>
    <row r="59" spans="2:32">
      <c r="B59" s="171">
        <v>3</v>
      </c>
      <c r="C59" s="145" cm="1">
        <f t="array" ref="C59">'Painel Controle'!$H86 * (1+INDEX($C$22:$F$51,C$55,$B59))</f>
        <v>5.5789285271044644</v>
      </c>
      <c r="D59" s="145" cm="1">
        <f t="array" ref="D59">C59 * (1+INDEX($C$22:$F$51,D$55,$B59))</f>
        <v>5.5789285271044644</v>
      </c>
      <c r="E59" s="145" cm="1">
        <f t="array" ref="E59">D59 * (1+INDEX($C$22:$F$51,E$55,$B59))</f>
        <v>5.5789285271044644</v>
      </c>
      <c r="F59" s="145" cm="1">
        <f t="array" ref="F59">E59 * (1+INDEX($C$22:$F$51,F$55,$B59))</f>
        <v>5.5789285271044644</v>
      </c>
      <c r="G59" s="145" cm="1">
        <f t="array" ref="G59">F59 * (1+INDEX($C$22:$F$51,G$55,$B59))</f>
        <v>5.5789285271044644</v>
      </c>
      <c r="H59" s="145" cm="1">
        <f t="array" ref="H59">G59 * (1+INDEX($C$22:$F$51,H$55,$B59))</f>
        <v>5.5789285271044644</v>
      </c>
      <c r="I59" s="145" cm="1">
        <f t="array" ref="I59">H59 * (1+INDEX($C$22:$F$51,I$55,$B59))</f>
        <v>5.5789285271044644</v>
      </c>
      <c r="J59" s="145" cm="1">
        <f t="array" ref="J59">I59 * (1+INDEX($C$22:$F$51,J$55,$B59))</f>
        <v>5.5789285271044644</v>
      </c>
      <c r="K59" s="145" cm="1">
        <f t="array" ref="K59">J59 * (1+INDEX($C$22:$F$51,K$55,$B59))</f>
        <v>5.5789285271044644</v>
      </c>
      <c r="L59" s="145" cm="1">
        <f t="array" ref="L59">K59 * (1+INDEX($C$22:$F$51,L$55,$B59))</f>
        <v>5.5789285271044644</v>
      </c>
      <c r="M59" s="145" cm="1">
        <f t="array" ref="M59">L59 * (1+INDEX($C$22:$F$51,M$55,$B59))</f>
        <v>5.5789285271044644</v>
      </c>
      <c r="N59" s="145" cm="1">
        <f t="array" ref="N59">M59 * (1+INDEX($C$22:$F$51,N$55,$B59))</f>
        <v>5.5789285271044644</v>
      </c>
      <c r="O59" s="145" cm="1">
        <f t="array" ref="O59">N59 * (1+INDEX($C$22:$F$51,O$55,$B59))</f>
        <v>5.5789285271044644</v>
      </c>
      <c r="P59" s="145" cm="1">
        <f t="array" ref="P59">O59 * (1+INDEX($C$22:$F$51,P$55,$B59))</f>
        <v>5.5789285271044644</v>
      </c>
      <c r="Q59" s="145" cm="1">
        <f t="array" ref="Q59">P59 * (1+INDEX($C$22:$F$51,Q$55,$B59))</f>
        <v>5.5789285271044644</v>
      </c>
      <c r="R59" s="145" cm="1">
        <f t="array" ref="R59">Q59 * (1+INDEX($C$22:$F$51,R$55,$B59))</f>
        <v>5.5789285271044644</v>
      </c>
      <c r="S59" s="145" cm="1">
        <f t="array" ref="S59">R59 * (1+INDEX($C$22:$F$51,S$55,$B59))</f>
        <v>5.5789285271044644</v>
      </c>
      <c r="T59" s="145" cm="1">
        <f t="array" ref="T59">S59 * (1+INDEX($C$22:$F$51,T$55,$B59))</f>
        <v>5.5789285271044644</v>
      </c>
      <c r="U59" s="145" cm="1">
        <f t="array" ref="U59">T59 * (1+INDEX($C$22:$F$51,U$55,$B59))</f>
        <v>5.5789285271044644</v>
      </c>
      <c r="V59" s="145" cm="1">
        <f t="array" ref="V59">U59 * (1+INDEX($C$22:$F$51,V$55,$B59))</f>
        <v>5.5789285271044644</v>
      </c>
      <c r="W59" s="145" cm="1">
        <f t="array" ref="W59">V59 * (1+INDEX($C$22:$F$51,W$55,$B59))</f>
        <v>5.5789285271044644</v>
      </c>
      <c r="X59" s="145" cm="1">
        <f t="array" ref="X59">W59 * (1+INDEX($C$22:$F$51,X$55,$B59))</f>
        <v>5.5789285271044644</v>
      </c>
      <c r="Y59" s="145" cm="1">
        <f t="array" ref="Y59">X59 * (1+INDEX($C$22:$F$51,Y$55,$B59))</f>
        <v>5.5789285271044644</v>
      </c>
      <c r="Z59" s="145" cm="1">
        <f t="array" ref="Z59">Y59 * (1+INDEX($C$22:$F$51,Z$55,$B59))</f>
        <v>5.5789285271044644</v>
      </c>
      <c r="AA59" s="145" cm="1">
        <f t="array" ref="AA59">Z59 * (1+INDEX($C$22:$F$51,AA$55,$B59))</f>
        <v>5.5789285271044644</v>
      </c>
      <c r="AB59" s="145" cm="1">
        <f t="array" ref="AB59">AA59 * (1+INDEX($C$22:$F$51,AB$55,$B59))</f>
        <v>5.5789285271044644</v>
      </c>
      <c r="AC59" s="145" cm="1">
        <f t="array" ref="AC59">AB59 * (1+INDEX($C$22:$F$51,AC$55,$B59))</f>
        <v>5.5789285271044644</v>
      </c>
      <c r="AD59" s="145" cm="1">
        <f t="array" ref="AD59">AC59 * (1+INDEX($C$22:$F$51,AD$55,$B59))</f>
        <v>5.5789285271044644</v>
      </c>
      <c r="AE59" s="145" cm="1">
        <f t="array" ref="AE59">AD59 * (1+INDEX($C$22:$F$51,AE$55,$B59))</f>
        <v>5.5789285271044644</v>
      </c>
      <c r="AF59" s="145" cm="1">
        <f t="array" ref="AF59">AE59 * (1+INDEX($C$22:$F$51,AF$55,$B59))</f>
        <v>5.5789285271044644</v>
      </c>
    </row>
    <row r="60" spans="2:32">
      <c r="B60" s="171">
        <v>4</v>
      </c>
      <c r="C60" s="145" cm="1">
        <f t="array" ref="C60">'Painel Controle'!$H87 * (1+INDEX($C$22:$F$51,C$55,$B60))</f>
        <v>5.5789285271044644</v>
      </c>
      <c r="D60" s="145" cm="1">
        <f t="array" ref="D60">C60 * (1+INDEX($C$22:$F$51,D$55,$B60))</f>
        <v>5.5789285271044644</v>
      </c>
      <c r="E60" s="145" cm="1">
        <f t="array" ref="E60">D60 * (1+INDEX($C$22:$F$51,E$55,$B60))</f>
        <v>5.5789285271044644</v>
      </c>
      <c r="F60" s="145" cm="1">
        <f t="array" ref="F60">E60 * (1+INDEX($C$22:$F$51,F$55,$B60))</f>
        <v>5.5789285271044644</v>
      </c>
      <c r="G60" s="145" cm="1">
        <f t="array" ref="G60">F60 * (1+INDEX($C$22:$F$51,G$55,$B60))</f>
        <v>5.5789285271044644</v>
      </c>
      <c r="H60" s="145" cm="1">
        <f t="array" ref="H60">G60 * (1+INDEX($C$22:$F$51,H$55,$B60))</f>
        <v>5.5789285271044644</v>
      </c>
      <c r="I60" s="145" cm="1">
        <f t="array" ref="I60">H60 * (1+INDEX($C$22:$F$51,I$55,$B60))</f>
        <v>5.5789285271044644</v>
      </c>
      <c r="J60" s="145" cm="1">
        <f t="array" ref="J60">I60 * (1+INDEX($C$22:$F$51,J$55,$B60))</f>
        <v>5.5789285271044644</v>
      </c>
      <c r="K60" s="145" cm="1">
        <f t="array" ref="K60">J60 * (1+INDEX($C$22:$F$51,K$55,$B60))</f>
        <v>5.5789285271044644</v>
      </c>
      <c r="L60" s="145" cm="1">
        <f t="array" ref="L60">K60 * (1+INDEX($C$22:$F$51,L$55,$B60))</f>
        <v>5.5789285271044644</v>
      </c>
      <c r="M60" s="145" cm="1">
        <f t="array" ref="M60">L60 * (1+INDEX($C$22:$F$51,M$55,$B60))</f>
        <v>5.5789285271044644</v>
      </c>
      <c r="N60" s="145" cm="1">
        <f t="array" ref="N60">M60 * (1+INDEX($C$22:$F$51,N$55,$B60))</f>
        <v>5.5789285271044644</v>
      </c>
      <c r="O60" s="145" cm="1">
        <f t="array" ref="O60">N60 * (1+INDEX($C$22:$F$51,O$55,$B60))</f>
        <v>5.5789285271044644</v>
      </c>
      <c r="P60" s="145" cm="1">
        <f t="array" ref="P60">O60 * (1+INDEX($C$22:$F$51,P$55,$B60))</f>
        <v>5.5789285271044644</v>
      </c>
      <c r="Q60" s="145" cm="1">
        <f t="array" ref="Q60">P60 * (1+INDEX($C$22:$F$51,Q$55,$B60))</f>
        <v>5.5789285271044644</v>
      </c>
      <c r="R60" s="145" cm="1">
        <f t="array" ref="R60">Q60 * (1+INDEX($C$22:$F$51,R$55,$B60))</f>
        <v>7.8104999379462496</v>
      </c>
      <c r="S60" s="145" cm="1">
        <f t="array" ref="S60">R60 * (1+INDEX($C$22:$F$51,S$55,$B60))</f>
        <v>7.8104999379462496</v>
      </c>
      <c r="T60" s="145" cm="1">
        <f t="array" ref="T60">S60 * (1+INDEX($C$22:$F$51,T$55,$B60))</f>
        <v>7.8104999379462496</v>
      </c>
      <c r="U60" s="145" cm="1">
        <f t="array" ref="U60">T60 * (1+INDEX($C$22:$F$51,U$55,$B60))</f>
        <v>7.8104999379462496</v>
      </c>
      <c r="V60" s="145" cm="1">
        <f t="array" ref="V60">U60 * (1+INDEX($C$22:$F$51,V$55,$B60))</f>
        <v>7.8104999379462496</v>
      </c>
      <c r="W60" s="145" cm="1">
        <f t="array" ref="W60">V60 * (1+INDEX($C$22:$F$51,W$55,$B60))</f>
        <v>7.8104999379462496</v>
      </c>
      <c r="X60" s="145" cm="1">
        <f t="array" ref="X60">W60 * (1+INDEX($C$22:$F$51,X$55,$B60))</f>
        <v>7.8104999379462496</v>
      </c>
      <c r="Y60" s="145" cm="1">
        <f t="array" ref="Y60">X60 * (1+INDEX($C$22:$F$51,Y$55,$B60))</f>
        <v>7.8104999379462496</v>
      </c>
      <c r="Z60" s="145" cm="1">
        <f t="array" ref="Z60">Y60 * (1+INDEX($C$22:$F$51,Z$55,$B60))</f>
        <v>7.8104999379462496</v>
      </c>
      <c r="AA60" s="145" cm="1">
        <f t="array" ref="AA60">Z60 * (1+INDEX($C$22:$F$51,AA$55,$B60))</f>
        <v>7.8104999379462496</v>
      </c>
      <c r="AB60" s="145" cm="1">
        <f t="array" ref="AB60">AA60 * (1+INDEX($C$22:$F$51,AB$55,$B60))</f>
        <v>7.8104999379462496</v>
      </c>
      <c r="AC60" s="145" cm="1">
        <f t="array" ref="AC60">AB60 * (1+INDEX($C$22:$F$51,AC$55,$B60))</f>
        <v>7.8104999379462496</v>
      </c>
      <c r="AD60" s="145" cm="1">
        <f t="array" ref="AD60">AC60 * (1+INDEX($C$22:$F$51,AD$55,$B60))</f>
        <v>7.8104999379462496</v>
      </c>
      <c r="AE60" s="145" cm="1">
        <f t="array" ref="AE60">AD60 * (1+INDEX($C$22:$F$51,AE$55,$B60))</f>
        <v>7.8104999379462496</v>
      </c>
      <c r="AF60" s="145" cm="1">
        <f t="array" ref="AF60">AE60 * (1+INDEX($C$22:$F$51,AF$55,$B60))</f>
        <v>7.8104999379462496</v>
      </c>
    </row>
    <row r="61" spans="2:32">
      <c r="B61" s="14" t="s">
        <v>73</v>
      </c>
      <c r="C61" s="144">
        <f t="shared" ref="C61:AF61" si="2">SUM(C57:C60)</f>
        <v>22.315714108417858</v>
      </c>
      <c r="D61" s="144">
        <f t="shared" si="2"/>
        <v>22.315714108417858</v>
      </c>
      <c r="E61" s="144">
        <f t="shared" si="2"/>
        <v>22.315714108417858</v>
      </c>
      <c r="F61" s="144">
        <f t="shared" si="2"/>
        <v>22.315714108417858</v>
      </c>
      <c r="G61" s="144">
        <f t="shared" si="2"/>
        <v>24.547285519259646</v>
      </c>
      <c r="H61" s="144">
        <f t="shared" si="2"/>
        <v>24.547285519259646</v>
      </c>
      <c r="I61" s="144">
        <f t="shared" si="2"/>
        <v>26.778856930101426</v>
      </c>
      <c r="J61" s="144">
        <f t="shared" si="2"/>
        <v>26.778856930101426</v>
      </c>
      <c r="K61" s="144">
        <f t="shared" si="2"/>
        <v>26.778856930101426</v>
      </c>
      <c r="L61" s="144">
        <f t="shared" si="2"/>
        <v>26.778856930101426</v>
      </c>
      <c r="M61" s="144">
        <f t="shared" si="2"/>
        <v>26.778856930101426</v>
      </c>
      <c r="N61" s="144">
        <f t="shared" si="2"/>
        <v>26.778856930101426</v>
      </c>
      <c r="O61" s="144">
        <f t="shared" si="2"/>
        <v>26.778856930101426</v>
      </c>
      <c r="P61" s="144">
        <f t="shared" si="2"/>
        <v>26.778856930101426</v>
      </c>
      <c r="Q61" s="144">
        <f t="shared" si="2"/>
        <v>26.778856930101426</v>
      </c>
      <c r="R61" s="144">
        <f t="shared" si="2"/>
        <v>29.010428340943214</v>
      </c>
      <c r="S61" s="144">
        <f t="shared" si="2"/>
        <v>29.010428340943214</v>
      </c>
      <c r="T61" s="144">
        <f t="shared" si="2"/>
        <v>29.010428340943214</v>
      </c>
      <c r="U61" s="144">
        <f t="shared" si="2"/>
        <v>29.010428340943214</v>
      </c>
      <c r="V61" s="144">
        <f t="shared" si="2"/>
        <v>29.010428340943214</v>
      </c>
      <c r="W61" s="144">
        <f t="shared" si="2"/>
        <v>29.010428340943214</v>
      </c>
      <c r="X61" s="144">
        <f t="shared" si="2"/>
        <v>29.010428340943214</v>
      </c>
      <c r="Y61" s="144">
        <f t="shared" si="2"/>
        <v>29.010428340943214</v>
      </c>
      <c r="Z61" s="144">
        <f t="shared" si="2"/>
        <v>29.010428340943214</v>
      </c>
      <c r="AA61" s="144">
        <f t="shared" si="2"/>
        <v>29.010428340943214</v>
      </c>
      <c r="AB61" s="144">
        <f t="shared" si="2"/>
        <v>29.010428340943214</v>
      </c>
      <c r="AC61" s="144">
        <f t="shared" si="2"/>
        <v>29.010428340943214</v>
      </c>
      <c r="AD61" s="144">
        <f t="shared" si="2"/>
        <v>29.010428340943214</v>
      </c>
      <c r="AE61" s="144">
        <f t="shared" si="2"/>
        <v>29.010428340943214</v>
      </c>
      <c r="AF61" s="144">
        <f t="shared" si="2"/>
        <v>29.010428340943214</v>
      </c>
    </row>
    <row r="63" spans="2:32">
      <c r="B63" s="2" t="s">
        <v>569</v>
      </c>
    </row>
    <row r="64" spans="2:32">
      <c r="B64" s="14"/>
      <c r="C64" s="46" t="str" cm="1">
        <f t="array" ref="C64:AF64">C56:AF56</f>
        <v>Ano 1</v>
      </c>
      <c r="D64" s="46" t="str">
        <v>Ano 2</v>
      </c>
      <c r="E64" s="46" t="str">
        <v>Ano 3</v>
      </c>
      <c r="F64" s="46" t="str">
        <v>Ano 4</v>
      </c>
      <c r="G64" s="46" t="str">
        <v>Ano 5</v>
      </c>
      <c r="H64" s="46" t="str">
        <v>Ano 6</v>
      </c>
      <c r="I64" s="46" t="str">
        <v>Ano 7</v>
      </c>
      <c r="J64" s="46" t="str">
        <v>Ano 8</v>
      </c>
      <c r="K64" s="46" t="str">
        <v>Ano 9</v>
      </c>
      <c r="L64" s="46" t="str">
        <v>Ano 10</v>
      </c>
      <c r="M64" s="46" t="str">
        <v>Ano 11</v>
      </c>
      <c r="N64" s="46" t="str">
        <v>Ano 12</v>
      </c>
      <c r="O64" s="46" t="str">
        <v>Ano 13</v>
      </c>
      <c r="P64" s="46" t="str">
        <v>Ano 14</v>
      </c>
      <c r="Q64" s="46" t="str">
        <v>Ano 15</v>
      </c>
      <c r="R64" s="46" t="str">
        <v>Ano 16</v>
      </c>
      <c r="S64" s="46" t="str">
        <v>Ano 17</v>
      </c>
      <c r="T64" s="46" t="str">
        <v>Ano 18</v>
      </c>
      <c r="U64" s="46" t="str">
        <v>Ano 19</v>
      </c>
      <c r="V64" s="46" t="str">
        <v>Ano 20</v>
      </c>
      <c r="W64" s="46" t="str">
        <v>Ano 21</v>
      </c>
      <c r="X64" s="46" t="str">
        <v>Ano 22</v>
      </c>
      <c r="Y64" s="46" t="str">
        <v>Ano 23</v>
      </c>
      <c r="Z64" s="46" t="str">
        <v>Ano 24</v>
      </c>
      <c r="AA64" s="46" t="str">
        <v>Ano 25</v>
      </c>
      <c r="AB64" s="46" t="str">
        <v>Ano 26</v>
      </c>
      <c r="AC64" s="46" t="str">
        <v>Ano 27</v>
      </c>
      <c r="AD64" s="46" t="str">
        <v>Ano 28</v>
      </c>
      <c r="AE64" s="46" t="str">
        <v>Ano 29</v>
      </c>
      <c r="AF64" s="46" t="str">
        <v>Ano 30</v>
      </c>
    </row>
    <row r="65" spans="2:34">
      <c r="B65" s="14" t="s">
        <v>570</v>
      </c>
      <c r="C65" s="145">
        <f>SUM(C57:C60)/SUM('Painel Controle'!$G84:$G87)*100</f>
        <v>11.738934302166152</v>
      </c>
      <c r="D65" s="145">
        <f>SUM(D57:D60)/SUM('Painel Controle'!$G84:$G87)*100</f>
        <v>11.738934302166152</v>
      </c>
      <c r="E65" s="145">
        <f>SUM(E57:E60)/SUM('Painel Controle'!$G84:$G87)*100</f>
        <v>11.738934302166152</v>
      </c>
      <c r="F65" s="145">
        <f>SUM(F57:F60)/SUM('Painel Controle'!$G84:$G87)*100</f>
        <v>11.738934302166152</v>
      </c>
      <c r="G65" s="145">
        <f>SUM(G57:G60)/SUM('Painel Controle'!$G84:$G87)*100</f>
        <v>12.912827732382768</v>
      </c>
      <c r="H65" s="145">
        <f>SUM(H57:H60)/SUM('Painel Controle'!$G84:$G87)*100</f>
        <v>12.912827732382768</v>
      </c>
      <c r="I65" s="145">
        <f>SUM(I57:I60)/SUM('Painel Controle'!$G84:$G87)*100</f>
        <v>14.08672116259938</v>
      </c>
      <c r="J65" s="145">
        <f>SUM(J57:J60)/SUM('Painel Controle'!$G84:$G87)*100</f>
        <v>14.08672116259938</v>
      </c>
      <c r="K65" s="145">
        <f>SUM(K57:K60)/SUM('Painel Controle'!$G84:$G87)*100</f>
        <v>14.08672116259938</v>
      </c>
      <c r="L65" s="145">
        <f>SUM(L57:L60)/SUM('Painel Controle'!$G84:$G87)*100</f>
        <v>14.08672116259938</v>
      </c>
      <c r="M65" s="145">
        <f>SUM(M57:M60)/SUM('Painel Controle'!$G84:$G87)*100</f>
        <v>14.08672116259938</v>
      </c>
      <c r="N65" s="145">
        <f>SUM(N57:N60)/SUM('Painel Controle'!$G84:$G87)*100</f>
        <v>14.08672116259938</v>
      </c>
      <c r="O65" s="145">
        <f>SUM(O57:O60)/SUM('Painel Controle'!$G84:$G87)*100</f>
        <v>14.08672116259938</v>
      </c>
      <c r="P65" s="145">
        <f>SUM(P57:P60)/SUM('Painel Controle'!$G84:$G87)*100</f>
        <v>14.08672116259938</v>
      </c>
      <c r="Q65" s="145">
        <f>SUM(Q57:Q60)/SUM('Painel Controle'!$G84:$G87)*100</f>
        <v>14.08672116259938</v>
      </c>
      <c r="R65" s="145">
        <f>SUM(R57:R60)/SUM('Painel Controle'!$G84:$G87)*100</f>
        <v>15.260614592815996</v>
      </c>
      <c r="S65" s="145">
        <f>SUM(S57:S60)/SUM('Painel Controle'!$G84:$G87)*100</f>
        <v>15.260614592815996</v>
      </c>
      <c r="T65" s="145">
        <f>SUM(T57:T60)/SUM('Painel Controle'!$G84:$G87)*100</f>
        <v>15.260614592815996</v>
      </c>
      <c r="U65" s="145">
        <f>SUM(U57:U60)/SUM('Painel Controle'!$G84:$G87)*100</f>
        <v>15.260614592815996</v>
      </c>
      <c r="V65" s="145">
        <f>SUM(V57:V60)/SUM('Painel Controle'!$G84:$G87)*100</f>
        <v>15.260614592815996</v>
      </c>
      <c r="W65" s="145">
        <f>SUM(W57:W60)/SUM('Painel Controle'!$G84:$G87)*100</f>
        <v>15.260614592815996</v>
      </c>
      <c r="X65" s="145">
        <f>SUM(X57:X60)/SUM('Painel Controle'!$G84:$G87)*100</f>
        <v>15.260614592815996</v>
      </c>
      <c r="Y65" s="145">
        <f>SUM(Y57:Y60)/SUM('Painel Controle'!$G84:$G87)*100</f>
        <v>15.260614592815996</v>
      </c>
      <c r="Z65" s="145">
        <f>SUM(Z57:Z60)/SUM('Painel Controle'!$G84:$G87)*100</f>
        <v>15.260614592815996</v>
      </c>
      <c r="AA65" s="145">
        <f>SUM(AA57:AA60)/SUM('Painel Controle'!$G84:$G87)*100</f>
        <v>15.260614592815996</v>
      </c>
      <c r="AB65" s="145">
        <f>SUM(AB57:AB60)/SUM('Painel Controle'!$G84:$G87)*100</f>
        <v>15.260614592815996</v>
      </c>
      <c r="AC65" s="145">
        <f>SUM(AC57:AC60)/SUM('Painel Controle'!$G84:$G87)*100</f>
        <v>15.260614592815996</v>
      </c>
      <c r="AD65" s="145">
        <f>SUM(AD57:AD60)/SUM('Painel Controle'!$G84:$G87)*100</f>
        <v>15.260614592815996</v>
      </c>
      <c r="AE65" s="145">
        <f>SUM(AE57:AE60)/SUM('Painel Controle'!$G84:$G87)*100</f>
        <v>15.260614592815996</v>
      </c>
      <c r="AF65" s="145">
        <f>SUM(AF57:AF60)/SUM('Painel Controle'!$G84:$G87)*100</f>
        <v>15.260614592815996</v>
      </c>
    </row>
    <row r="67" spans="2:34">
      <c r="B67" s="2" t="s">
        <v>571</v>
      </c>
    </row>
    <row r="68" spans="2:34" hidden="1">
      <c r="B68" s="2"/>
      <c r="E68" s="218">
        <v>1</v>
      </c>
      <c r="F68" s="218">
        <v>2</v>
      </c>
      <c r="G68" s="218">
        <v>3</v>
      </c>
      <c r="H68" s="218">
        <v>4</v>
      </c>
      <c r="I68" s="218">
        <v>5</v>
      </c>
      <c r="J68" s="218">
        <v>6</v>
      </c>
      <c r="K68" s="218">
        <v>7</v>
      </c>
      <c r="L68" s="218">
        <v>8</v>
      </c>
      <c r="M68" s="218">
        <v>9</v>
      </c>
      <c r="N68" s="218">
        <v>10</v>
      </c>
      <c r="O68" s="218">
        <v>11</v>
      </c>
      <c r="P68" s="218">
        <v>12</v>
      </c>
      <c r="Q68" s="218">
        <v>13</v>
      </c>
      <c r="R68" s="218">
        <v>14</v>
      </c>
      <c r="S68" s="218">
        <v>15</v>
      </c>
      <c r="T68" s="218">
        <v>16</v>
      </c>
      <c r="U68" s="218">
        <v>17</v>
      </c>
      <c r="V68" s="218">
        <v>18</v>
      </c>
      <c r="W68" s="218">
        <v>19</v>
      </c>
      <c r="X68" s="218">
        <v>20</v>
      </c>
      <c r="Y68" s="218">
        <v>21</v>
      </c>
      <c r="Z68" s="218">
        <v>22</v>
      </c>
      <c r="AA68" s="218">
        <v>23</v>
      </c>
      <c r="AB68" s="218">
        <v>24</v>
      </c>
      <c r="AC68" s="218">
        <v>25</v>
      </c>
      <c r="AD68" s="218">
        <v>26</v>
      </c>
      <c r="AE68" s="218">
        <v>27</v>
      </c>
      <c r="AF68" s="218">
        <v>28</v>
      </c>
      <c r="AG68" s="218">
        <v>29</v>
      </c>
      <c r="AH68" s="218">
        <v>30</v>
      </c>
    </row>
    <row r="69" spans="2:34">
      <c r="B69" s="46" t="str" cm="1">
        <f t="array" ref="B69:D117">Tráfego!B141:D189</f>
        <v>Pórtico</v>
      </c>
      <c r="C69" s="46" t="str">
        <v>Categoria</v>
      </c>
      <c r="D69" s="46" t="str">
        <v>Categoria de Veículo</v>
      </c>
      <c r="E69" s="46" t="str">
        <f>"Ano "&amp;E68</f>
        <v>Ano 1</v>
      </c>
      <c r="F69" s="46" t="str">
        <f t="shared" ref="F69:AH69" si="3">"Ano "&amp;F68</f>
        <v>Ano 2</v>
      </c>
      <c r="G69" s="46" t="str">
        <f t="shared" si="3"/>
        <v>Ano 3</v>
      </c>
      <c r="H69" s="46" t="str">
        <f t="shared" si="3"/>
        <v>Ano 4</v>
      </c>
      <c r="I69" s="46" t="str">
        <f t="shared" si="3"/>
        <v>Ano 5</v>
      </c>
      <c r="J69" s="46" t="str">
        <f t="shared" si="3"/>
        <v>Ano 6</v>
      </c>
      <c r="K69" s="46" t="str">
        <f t="shared" si="3"/>
        <v>Ano 7</v>
      </c>
      <c r="L69" s="46" t="str">
        <f t="shared" si="3"/>
        <v>Ano 8</v>
      </c>
      <c r="M69" s="46" t="str">
        <f t="shared" si="3"/>
        <v>Ano 9</v>
      </c>
      <c r="N69" s="46" t="str">
        <f t="shared" si="3"/>
        <v>Ano 10</v>
      </c>
      <c r="O69" s="46" t="str">
        <f t="shared" si="3"/>
        <v>Ano 11</v>
      </c>
      <c r="P69" s="46" t="str">
        <f t="shared" si="3"/>
        <v>Ano 12</v>
      </c>
      <c r="Q69" s="46" t="str">
        <f t="shared" si="3"/>
        <v>Ano 13</v>
      </c>
      <c r="R69" s="46" t="str">
        <f t="shared" si="3"/>
        <v>Ano 14</v>
      </c>
      <c r="S69" s="46" t="str">
        <f t="shared" si="3"/>
        <v>Ano 15</v>
      </c>
      <c r="T69" s="46" t="str">
        <f t="shared" si="3"/>
        <v>Ano 16</v>
      </c>
      <c r="U69" s="46" t="str">
        <f t="shared" si="3"/>
        <v>Ano 17</v>
      </c>
      <c r="V69" s="46" t="str">
        <f t="shared" si="3"/>
        <v>Ano 18</v>
      </c>
      <c r="W69" s="46" t="str">
        <f t="shared" si="3"/>
        <v>Ano 19</v>
      </c>
      <c r="X69" s="46" t="str">
        <f t="shared" si="3"/>
        <v>Ano 20</v>
      </c>
      <c r="Y69" s="46" t="str">
        <f t="shared" si="3"/>
        <v>Ano 21</v>
      </c>
      <c r="Z69" s="46" t="str">
        <f t="shared" si="3"/>
        <v>Ano 22</v>
      </c>
      <c r="AA69" s="46" t="str">
        <f t="shared" si="3"/>
        <v>Ano 23</v>
      </c>
      <c r="AB69" s="46" t="str">
        <f t="shared" si="3"/>
        <v>Ano 24</v>
      </c>
      <c r="AC69" s="46" t="str">
        <f t="shared" si="3"/>
        <v>Ano 25</v>
      </c>
      <c r="AD69" s="46" t="str">
        <f t="shared" si="3"/>
        <v>Ano 26</v>
      </c>
      <c r="AE69" s="46" t="str">
        <f t="shared" si="3"/>
        <v>Ano 27</v>
      </c>
      <c r="AF69" s="46" t="str">
        <f t="shared" si="3"/>
        <v>Ano 28</v>
      </c>
      <c r="AG69" s="46" t="str">
        <f t="shared" si="3"/>
        <v>Ano 29</v>
      </c>
      <c r="AH69" s="46" t="str">
        <f t="shared" si="3"/>
        <v>Ano 30</v>
      </c>
    </row>
    <row r="70" spans="2:34">
      <c r="B70" s="149">
        <v>1</v>
      </c>
      <c r="C70" s="149">
        <v>1</v>
      </c>
      <c r="D70" s="267" t="str">
        <v>Automóvel</v>
      </c>
      <c r="E70" s="147" cm="1">
        <f t="array" ref="E70">INDEX($E$5:$AH$16,$C70,E$68) * INDEX($C$57:$AF$60,$B70,E$68)</f>
        <v>5.5789285271044644</v>
      </c>
      <c r="F70" s="147" cm="1">
        <f t="array" ref="F70">INDEX($E$5:$AH$16,$C70,F$68) * INDEX($C$57:$AF$60,$B70,F$68)</f>
        <v>5.5789285271044644</v>
      </c>
      <c r="G70" s="147" cm="1">
        <f t="array" ref="G70">INDEX($E$5:$AH$16,$C70,G$68) * INDEX($C$57:$AF$60,$B70,G$68)</f>
        <v>5.5789285271044644</v>
      </c>
      <c r="H70" s="147" cm="1">
        <f t="array" ref="H70">INDEX($E$5:$AH$16,$C70,H$68) * INDEX($C$57:$AF$60,$B70,H$68)</f>
        <v>5.5789285271044644</v>
      </c>
      <c r="I70" s="147" cm="1">
        <f t="array" ref="I70">INDEX($E$5:$AH$16,$C70,I$68) * INDEX($C$57:$AF$60,$B70,I$68)</f>
        <v>7.8104999379462496</v>
      </c>
      <c r="J70" s="147" cm="1">
        <f t="array" ref="J70">INDEX($E$5:$AH$16,$C70,J$68) * INDEX($C$57:$AF$60,$B70,J$68)</f>
        <v>7.8104999379462496</v>
      </c>
      <c r="K70" s="147" cm="1">
        <f t="array" ref="K70">INDEX($E$5:$AH$16,$C70,K$68) * INDEX($C$57:$AF$60,$B70,K$68)</f>
        <v>7.8104999379462496</v>
      </c>
      <c r="L70" s="147" cm="1">
        <f t="array" ref="L70">INDEX($E$5:$AH$16,$C70,L$68) * INDEX($C$57:$AF$60,$B70,L$68)</f>
        <v>7.8104999379462496</v>
      </c>
      <c r="M70" s="147" cm="1">
        <f t="array" ref="M70">INDEX($E$5:$AH$16,$C70,M$68) * INDEX($C$57:$AF$60,$B70,M$68)</f>
        <v>7.8104999379462496</v>
      </c>
      <c r="N70" s="147" cm="1">
        <f t="array" ref="N70">INDEX($E$5:$AH$16,$C70,N$68) * INDEX($C$57:$AF$60,$B70,N$68)</f>
        <v>7.8104999379462496</v>
      </c>
      <c r="O70" s="147" cm="1">
        <f t="array" ref="O70">INDEX($E$5:$AH$16,$C70,O$68) * INDEX($C$57:$AF$60,$B70,O$68)</f>
        <v>7.8104999379462496</v>
      </c>
      <c r="P70" s="147" cm="1">
        <f t="array" ref="P70">INDEX($E$5:$AH$16,$C70,P$68) * INDEX($C$57:$AF$60,$B70,P$68)</f>
        <v>7.8104999379462496</v>
      </c>
      <c r="Q70" s="147" cm="1">
        <f t="array" ref="Q70">INDEX($E$5:$AH$16,$C70,Q$68) * INDEX($C$57:$AF$60,$B70,Q$68)</f>
        <v>7.8104999379462496</v>
      </c>
      <c r="R70" s="147" cm="1">
        <f t="array" ref="R70">INDEX($E$5:$AH$16,$C70,R$68) * INDEX($C$57:$AF$60,$B70,R$68)</f>
        <v>7.8104999379462496</v>
      </c>
      <c r="S70" s="147" cm="1">
        <f t="array" ref="S70">INDEX($E$5:$AH$16,$C70,S$68) * INDEX($C$57:$AF$60,$B70,S$68)</f>
        <v>7.8104999379462496</v>
      </c>
      <c r="T70" s="147" cm="1">
        <f t="array" ref="T70">INDEX($E$5:$AH$16,$C70,T$68) * INDEX($C$57:$AF$60,$B70,T$68)</f>
        <v>7.8104999379462496</v>
      </c>
      <c r="U70" s="147" cm="1">
        <f t="array" ref="U70">INDEX($E$5:$AH$16,$C70,U$68) * INDEX($C$57:$AF$60,$B70,U$68)</f>
        <v>7.8104999379462496</v>
      </c>
      <c r="V70" s="147" cm="1">
        <f t="array" ref="V70">INDEX($E$5:$AH$16,$C70,V$68) * INDEX($C$57:$AF$60,$B70,V$68)</f>
        <v>7.8104999379462496</v>
      </c>
      <c r="W70" s="147" cm="1">
        <f t="array" ref="W70">INDEX($E$5:$AH$16,$C70,W$68) * INDEX($C$57:$AF$60,$B70,W$68)</f>
        <v>7.8104999379462496</v>
      </c>
      <c r="X70" s="147" cm="1">
        <f t="array" ref="X70">INDEX($E$5:$AH$16,$C70,X$68) * INDEX($C$57:$AF$60,$B70,X$68)</f>
        <v>7.8104999379462496</v>
      </c>
      <c r="Y70" s="147" cm="1">
        <f t="array" ref="Y70">INDEX($E$5:$AH$16,$C70,Y$68) * INDEX($C$57:$AF$60,$B70,Y$68)</f>
        <v>7.8104999379462496</v>
      </c>
      <c r="Z70" s="147" cm="1">
        <f t="array" ref="Z70">INDEX($E$5:$AH$16,$C70,Z$68) * INDEX($C$57:$AF$60,$B70,Z$68)</f>
        <v>7.8104999379462496</v>
      </c>
      <c r="AA70" s="147" cm="1">
        <f t="array" ref="AA70">INDEX($E$5:$AH$16,$C70,AA$68) * INDEX($C$57:$AF$60,$B70,AA$68)</f>
        <v>7.8104999379462496</v>
      </c>
      <c r="AB70" s="147" cm="1">
        <f t="array" ref="AB70">INDEX($E$5:$AH$16,$C70,AB$68) * INDEX($C$57:$AF$60,$B70,AB$68)</f>
        <v>7.8104999379462496</v>
      </c>
      <c r="AC70" s="147" cm="1">
        <f t="array" ref="AC70">INDEX($E$5:$AH$16,$C70,AC$68) * INDEX($C$57:$AF$60,$B70,AC$68)</f>
        <v>7.8104999379462496</v>
      </c>
      <c r="AD70" s="147" cm="1">
        <f t="array" ref="AD70">INDEX($E$5:$AH$16,$C70,AD$68) * INDEX($C$57:$AF$60,$B70,AD$68)</f>
        <v>7.8104999379462496</v>
      </c>
      <c r="AE70" s="147" cm="1">
        <f t="array" ref="AE70">INDEX($E$5:$AH$16,$C70,AE$68) * INDEX($C$57:$AF$60,$B70,AE$68)</f>
        <v>7.8104999379462496</v>
      </c>
      <c r="AF70" s="147" cm="1">
        <f t="array" ref="AF70">INDEX($E$5:$AH$16,$C70,AF$68) * INDEX($C$57:$AF$60,$B70,AF$68)</f>
        <v>7.8104999379462496</v>
      </c>
      <c r="AG70" s="147" cm="1">
        <f t="array" ref="AG70">INDEX($E$5:$AH$16,$C70,AG$68) * INDEX($C$57:$AF$60,$B70,AG$68)</f>
        <v>7.8104999379462496</v>
      </c>
      <c r="AH70" s="147" cm="1">
        <f t="array" ref="AH70">INDEX($E$5:$AH$16,$C70,AH$68) * INDEX($C$57:$AF$60,$B70,AH$68)</f>
        <v>7.8104999379462496</v>
      </c>
    </row>
    <row r="71" spans="2:34">
      <c r="B71" s="149">
        <v>1</v>
      </c>
      <c r="C71" s="149">
        <v>2</v>
      </c>
      <c r="D71" s="267" t="str">
        <v xml:space="preserve">Automóvel com reboque </v>
      </c>
      <c r="E71" s="147" cm="1">
        <f t="array" ref="E71">INDEX($E$5:$AH$16,$C71,E$68) * INDEX($C$57:$AF$60,$B71,E$68)</f>
        <v>8.3683927906566957</v>
      </c>
      <c r="F71" s="147" cm="1">
        <f t="array" ref="F71">INDEX($E$5:$AH$16,$C71,F$68) * INDEX($C$57:$AF$60,$B71,F$68)</f>
        <v>8.3683927906566957</v>
      </c>
      <c r="G71" s="147" cm="1">
        <f t="array" ref="G71">INDEX($E$5:$AH$16,$C71,G$68) * INDEX($C$57:$AF$60,$B71,G$68)</f>
        <v>8.3683927906566957</v>
      </c>
      <c r="H71" s="147" cm="1">
        <f t="array" ref="H71">INDEX($E$5:$AH$16,$C71,H$68) * INDEX($C$57:$AF$60,$B71,H$68)</f>
        <v>8.3683927906566957</v>
      </c>
      <c r="I71" s="147" cm="1">
        <f t="array" ref="I71">INDEX($E$5:$AH$16,$C71,I$68) * INDEX($C$57:$AF$60,$B71,I$68)</f>
        <v>11.715749906919374</v>
      </c>
      <c r="J71" s="147" cm="1">
        <f t="array" ref="J71">INDEX($E$5:$AH$16,$C71,J$68) * INDEX($C$57:$AF$60,$B71,J$68)</f>
        <v>11.715749906919374</v>
      </c>
      <c r="K71" s="147" cm="1">
        <f t="array" ref="K71">INDEX($E$5:$AH$16,$C71,K$68) * INDEX($C$57:$AF$60,$B71,K$68)</f>
        <v>11.715749906919374</v>
      </c>
      <c r="L71" s="147" cm="1">
        <f t="array" ref="L71">INDEX($E$5:$AH$16,$C71,L$68) * INDEX($C$57:$AF$60,$B71,L$68)</f>
        <v>11.715749906919374</v>
      </c>
      <c r="M71" s="147" cm="1">
        <f t="array" ref="M71">INDEX($E$5:$AH$16,$C71,M$68) * INDEX($C$57:$AF$60,$B71,M$68)</f>
        <v>11.715749906919374</v>
      </c>
      <c r="N71" s="147" cm="1">
        <f t="array" ref="N71">INDEX($E$5:$AH$16,$C71,N$68) * INDEX($C$57:$AF$60,$B71,N$68)</f>
        <v>11.715749906919374</v>
      </c>
      <c r="O71" s="147" cm="1">
        <f t="array" ref="O71">INDEX($E$5:$AH$16,$C71,O$68) * INDEX($C$57:$AF$60,$B71,O$68)</f>
        <v>11.715749906919374</v>
      </c>
      <c r="P71" s="147" cm="1">
        <f t="array" ref="P71">INDEX($E$5:$AH$16,$C71,P$68) * INDEX($C$57:$AF$60,$B71,P$68)</f>
        <v>11.715749906919374</v>
      </c>
      <c r="Q71" s="147" cm="1">
        <f t="array" ref="Q71">INDEX($E$5:$AH$16,$C71,Q$68) * INDEX($C$57:$AF$60,$B71,Q$68)</f>
        <v>11.715749906919374</v>
      </c>
      <c r="R71" s="147" cm="1">
        <f t="array" ref="R71">INDEX($E$5:$AH$16,$C71,R$68) * INDEX($C$57:$AF$60,$B71,R$68)</f>
        <v>11.715749906919374</v>
      </c>
      <c r="S71" s="147" cm="1">
        <f t="array" ref="S71">INDEX($E$5:$AH$16,$C71,S$68) * INDEX($C$57:$AF$60,$B71,S$68)</f>
        <v>11.715749906919374</v>
      </c>
      <c r="T71" s="147" cm="1">
        <f t="array" ref="T71">INDEX($E$5:$AH$16,$C71,T$68) * INDEX($C$57:$AF$60,$B71,T$68)</f>
        <v>11.715749906919374</v>
      </c>
      <c r="U71" s="147" cm="1">
        <f t="array" ref="U71">INDEX($E$5:$AH$16,$C71,U$68) * INDEX($C$57:$AF$60,$B71,U$68)</f>
        <v>11.715749906919374</v>
      </c>
      <c r="V71" s="147" cm="1">
        <f t="array" ref="V71">INDEX($E$5:$AH$16,$C71,V$68) * INDEX($C$57:$AF$60,$B71,V$68)</f>
        <v>11.715749906919374</v>
      </c>
      <c r="W71" s="147" cm="1">
        <f t="array" ref="W71">INDEX($E$5:$AH$16,$C71,W$68) * INDEX($C$57:$AF$60,$B71,W$68)</f>
        <v>11.715749906919374</v>
      </c>
      <c r="X71" s="147" cm="1">
        <f t="array" ref="X71">INDEX($E$5:$AH$16,$C71,X$68) * INDEX($C$57:$AF$60,$B71,X$68)</f>
        <v>11.715749906919374</v>
      </c>
      <c r="Y71" s="147" cm="1">
        <f t="array" ref="Y71">INDEX($E$5:$AH$16,$C71,Y$68) * INDEX($C$57:$AF$60,$B71,Y$68)</f>
        <v>11.715749906919374</v>
      </c>
      <c r="Z71" s="147" cm="1">
        <f t="array" ref="Z71">INDEX($E$5:$AH$16,$C71,Z$68) * INDEX($C$57:$AF$60,$B71,Z$68)</f>
        <v>11.715749906919374</v>
      </c>
      <c r="AA71" s="147" cm="1">
        <f t="array" ref="AA71">INDEX($E$5:$AH$16,$C71,AA$68) * INDEX($C$57:$AF$60,$B71,AA$68)</f>
        <v>11.715749906919374</v>
      </c>
      <c r="AB71" s="147" cm="1">
        <f t="array" ref="AB71">INDEX($E$5:$AH$16,$C71,AB$68) * INDEX($C$57:$AF$60,$B71,AB$68)</f>
        <v>11.715749906919374</v>
      </c>
      <c r="AC71" s="147" cm="1">
        <f t="array" ref="AC71">INDEX($E$5:$AH$16,$C71,AC$68) * INDEX($C$57:$AF$60,$B71,AC$68)</f>
        <v>11.715749906919374</v>
      </c>
      <c r="AD71" s="147" cm="1">
        <f t="array" ref="AD71">INDEX($E$5:$AH$16,$C71,AD$68) * INDEX($C$57:$AF$60,$B71,AD$68)</f>
        <v>11.715749906919374</v>
      </c>
      <c r="AE71" s="147" cm="1">
        <f t="array" ref="AE71">INDEX($E$5:$AH$16,$C71,AE$68) * INDEX($C$57:$AF$60,$B71,AE$68)</f>
        <v>11.715749906919374</v>
      </c>
      <c r="AF71" s="147" cm="1">
        <f t="array" ref="AF71">INDEX($E$5:$AH$16,$C71,AF$68) * INDEX($C$57:$AF$60,$B71,AF$68)</f>
        <v>11.715749906919374</v>
      </c>
      <c r="AG71" s="147" cm="1">
        <f t="array" ref="AG71">INDEX($E$5:$AH$16,$C71,AG$68) * INDEX($C$57:$AF$60,$B71,AG$68)</f>
        <v>11.715749906919374</v>
      </c>
      <c r="AH71" s="147" cm="1">
        <f t="array" ref="AH71">INDEX($E$5:$AH$16,$C71,AH$68) * INDEX($C$57:$AF$60,$B71,AH$68)</f>
        <v>11.715749906919374</v>
      </c>
    </row>
    <row r="72" spans="2:34">
      <c r="B72" s="149">
        <v>1</v>
      </c>
      <c r="C72" s="149">
        <v>3</v>
      </c>
      <c r="D72" s="267" t="str">
        <v>Veículos Comerciais com 2 Eixos</v>
      </c>
      <c r="E72" s="147" cm="1">
        <f t="array" ref="E72">INDEX($E$5:$AH$16,$C72,E$68) * INDEX($C$57:$AF$60,$B72,E$68)</f>
        <v>11.157857054208929</v>
      </c>
      <c r="F72" s="147" cm="1">
        <f t="array" ref="F72">INDEX($E$5:$AH$16,$C72,F$68) * INDEX($C$57:$AF$60,$B72,F$68)</f>
        <v>11.157857054208929</v>
      </c>
      <c r="G72" s="147" cm="1">
        <f t="array" ref="G72">INDEX($E$5:$AH$16,$C72,G$68) * INDEX($C$57:$AF$60,$B72,G$68)</f>
        <v>11.157857054208929</v>
      </c>
      <c r="H72" s="147" cm="1">
        <f t="array" ref="H72">INDEX($E$5:$AH$16,$C72,H$68) * INDEX($C$57:$AF$60,$B72,H$68)</f>
        <v>11.157857054208929</v>
      </c>
      <c r="I72" s="147" cm="1">
        <f t="array" ref="I72">INDEX($E$5:$AH$16,$C72,I$68) * INDEX($C$57:$AF$60,$B72,I$68)</f>
        <v>15.620999875892499</v>
      </c>
      <c r="J72" s="147" cm="1">
        <f t="array" ref="J72">INDEX($E$5:$AH$16,$C72,J$68) * INDEX($C$57:$AF$60,$B72,J$68)</f>
        <v>15.620999875892499</v>
      </c>
      <c r="K72" s="147" cm="1">
        <f t="array" ref="K72">INDEX($E$5:$AH$16,$C72,K$68) * INDEX($C$57:$AF$60,$B72,K$68)</f>
        <v>15.620999875892499</v>
      </c>
      <c r="L72" s="147" cm="1">
        <f t="array" ref="L72">INDEX($E$5:$AH$16,$C72,L$68) * INDEX($C$57:$AF$60,$B72,L$68)</f>
        <v>15.620999875892499</v>
      </c>
      <c r="M72" s="147" cm="1">
        <f t="array" ref="M72">INDEX($E$5:$AH$16,$C72,M$68) * INDEX($C$57:$AF$60,$B72,M$68)</f>
        <v>15.620999875892499</v>
      </c>
      <c r="N72" s="147" cm="1">
        <f t="array" ref="N72">INDEX($E$5:$AH$16,$C72,N$68) * INDEX($C$57:$AF$60,$B72,N$68)</f>
        <v>15.620999875892499</v>
      </c>
      <c r="O72" s="147" cm="1">
        <f t="array" ref="O72">INDEX($E$5:$AH$16,$C72,O$68) * INDEX($C$57:$AF$60,$B72,O$68)</f>
        <v>15.620999875892499</v>
      </c>
      <c r="P72" s="147" cm="1">
        <f t="array" ref="P72">INDEX($E$5:$AH$16,$C72,P$68) * INDEX($C$57:$AF$60,$B72,P$68)</f>
        <v>15.620999875892499</v>
      </c>
      <c r="Q72" s="147" cm="1">
        <f t="array" ref="Q72">INDEX($E$5:$AH$16,$C72,Q$68) * INDEX($C$57:$AF$60,$B72,Q$68)</f>
        <v>15.620999875892499</v>
      </c>
      <c r="R72" s="147" cm="1">
        <f t="array" ref="R72">INDEX($E$5:$AH$16,$C72,R$68) * INDEX($C$57:$AF$60,$B72,R$68)</f>
        <v>15.620999875892499</v>
      </c>
      <c r="S72" s="147" cm="1">
        <f t="array" ref="S72">INDEX($E$5:$AH$16,$C72,S$68) * INDEX($C$57:$AF$60,$B72,S$68)</f>
        <v>15.620999875892499</v>
      </c>
      <c r="T72" s="147" cm="1">
        <f t="array" ref="T72">INDEX($E$5:$AH$16,$C72,T$68) * INDEX($C$57:$AF$60,$B72,T$68)</f>
        <v>15.620999875892499</v>
      </c>
      <c r="U72" s="147" cm="1">
        <f t="array" ref="U72">INDEX($E$5:$AH$16,$C72,U$68) * INDEX($C$57:$AF$60,$B72,U$68)</f>
        <v>15.620999875892499</v>
      </c>
      <c r="V72" s="147" cm="1">
        <f t="array" ref="V72">INDEX($E$5:$AH$16,$C72,V$68) * INDEX($C$57:$AF$60,$B72,V$68)</f>
        <v>15.620999875892499</v>
      </c>
      <c r="W72" s="147" cm="1">
        <f t="array" ref="W72">INDEX($E$5:$AH$16,$C72,W$68) * INDEX($C$57:$AF$60,$B72,W$68)</f>
        <v>15.620999875892499</v>
      </c>
      <c r="X72" s="147" cm="1">
        <f t="array" ref="X72">INDEX($E$5:$AH$16,$C72,X$68) * INDEX($C$57:$AF$60,$B72,X$68)</f>
        <v>15.620999875892499</v>
      </c>
      <c r="Y72" s="147" cm="1">
        <f t="array" ref="Y72">INDEX($E$5:$AH$16,$C72,Y$68) * INDEX($C$57:$AF$60,$B72,Y$68)</f>
        <v>15.620999875892499</v>
      </c>
      <c r="Z72" s="147" cm="1">
        <f t="array" ref="Z72">INDEX($E$5:$AH$16,$C72,Z$68) * INDEX($C$57:$AF$60,$B72,Z$68)</f>
        <v>15.620999875892499</v>
      </c>
      <c r="AA72" s="147" cm="1">
        <f t="array" ref="AA72">INDEX($E$5:$AH$16,$C72,AA$68) * INDEX($C$57:$AF$60,$B72,AA$68)</f>
        <v>15.620999875892499</v>
      </c>
      <c r="AB72" s="147" cm="1">
        <f t="array" ref="AB72">INDEX($E$5:$AH$16,$C72,AB$68) * INDEX($C$57:$AF$60,$B72,AB$68)</f>
        <v>15.620999875892499</v>
      </c>
      <c r="AC72" s="147" cm="1">
        <f t="array" ref="AC72">INDEX($E$5:$AH$16,$C72,AC$68) * INDEX($C$57:$AF$60,$B72,AC$68)</f>
        <v>15.620999875892499</v>
      </c>
      <c r="AD72" s="147" cm="1">
        <f t="array" ref="AD72">INDEX($E$5:$AH$16,$C72,AD$68) * INDEX($C$57:$AF$60,$B72,AD$68)</f>
        <v>15.620999875892499</v>
      </c>
      <c r="AE72" s="147" cm="1">
        <f t="array" ref="AE72">INDEX($E$5:$AH$16,$C72,AE$68) * INDEX($C$57:$AF$60,$B72,AE$68)</f>
        <v>15.620999875892499</v>
      </c>
      <c r="AF72" s="147" cm="1">
        <f t="array" ref="AF72">INDEX($E$5:$AH$16,$C72,AF$68) * INDEX($C$57:$AF$60,$B72,AF$68)</f>
        <v>15.620999875892499</v>
      </c>
      <c r="AG72" s="147" cm="1">
        <f t="array" ref="AG72">INDEX($E$5:$AH$16,$C72,AG$68) * INDEX($C$57:$AF$60,$B72,AG$68)</f>
        <v>15.620999875892499</v>
      </c>
      <c r="AH72" s="147" cm="1">
        <f t="array" ref="AH72">INDEX($E$5:$AH$16,$C72,AH$68) * INDEX($C$57:$AF$60,$B72,AH$68)</f>
        <v>15.620999875892499</v>
      </c>
    </row>
    <row r="73" spans="2:34">
      <c r="B73" s="149">
        <v>1</v>
      </c>
      <c r="C73" s="149">
        <v>4</v>
      </c>
      <c r="D73" s="267" t="str">
        <v>Veículos Comerciais com 3 Eixos</v>
      </c>
      <c r="E73" s="147" cm="1">
        <f t="array" ref="E73">INDEX($E$5:$AH$16,$C73,E$68) * INDEX($C$57:$AF$60,$B73,E$68)</f>
        <v>16.736785581313391</v>
      </c>
      <c r="F73" s="147" cm="1">
        <f t="array" ref="F73">INDEX($E$5:$AH$16,$C73,F$68) * INDEX($C$57:$AF$60,$B73,F$68)</f>
        <v>16.736785581313391</v>
      </c>
      <c r="G73" s="147" cm="1">
        <f t="array" ref="G73">INDEX($E$5:$AH$16,$C73,G$68) * INDEX($C$57:$AF$60,$B73,G$68)</f>
        <v>16.736785581313391</v>
      </c>
      <c r="H73" s="147" cm="1">
        <f t="array" ref="H73">INDEX($E$5:$AH$16,$C73,H$68) * INDEX($C$57:$AF$60,$B73,H$68)</f>
        <v>16.736785581313391</v>
      </c>
      <c r="I73" s="147" cm="1">
        <f t="array" ref="I73">INDEX($E$5:$AH$16,$C73,I$68) * INDEX($C$57:$AF$60,$B73,I$68)</f>
        <v>23.431499813838748</v>
      </c>
      <c r="J73" s="147" cm="1">
        <f t="array" ref="J73">INDEX($E$5:$AH$16,$C73,J$68) * INDEX($C$57:$AF$60,$B73,J$68)</f>
        <v>23.431499813838748</v>
      </c>
      <c r="K73" s="147" cm="1">
        <f t="array" ref="K73">INDEX($E$5:$AH$16,$C73,K$68) * INDEX($C$57:$AF$60,$B73,K$68)</f>
        <v>23.431499813838748</v>
      </c>
      <c r="L73" s="147" cm="1">
        <f t="array" ref="L73">INDEX($E$5:$AH$16,$C73,L$68) * INDEX($C$57:$AF$60,$B73,L$68)</f>
        <v>23.431499813838748</v>
      </c>
      <c r="M73" s="147" cm="1">
        <f t="array" ref="M73">INDEX($E$5:$AH$16,$C73,M$68) * INDEX($C$57:$AF$60,$B73,M$68)</f>
        <v>23.431499813838748</v>
      </c>
      <c r="N73" s="147" cm="1">
        <f t="array" ref="N73">INDEX($E$5:$AH$16,$C73,N$68) * INDEX($C$57:$AF$60,$B73,N$68)</f>
        <v>23.431499813838748</v>
      </c>
      <c r="O73" s="147" cm="1">
        <f t="array" ref="O73">INDEX($E$5:$AH$16,$C73,O$68) * INDEX($C$57:$AF$60,$B73,O$68)</f>
        <v>23.431499813838748</v>
      </c>
      <c r="P73" s="147" cm="1">
        <f t="array" ref="P73">INDEX($E$5:$AH$16,$C73,P$68) * INDEX($C$57:$AF$60,$B73,P$68)</f>
        <v>23.431499813838748</v>
      </c>
      <c r="Q73" s="147" cm="1">
        <f t="array" ref="Q73">INDEX($E$5:$AH$16,$C73,Q$68) * INDEX($C$57:$AF$60,$B73,Q$68)</f>
        <v>23.431499813838748</v>
      </c>
      <c r="R73" s="147" cm="1">
        <f t="array" ref="R73">INDEX($E$5:$AH$16,$C73,R$68) * INDEX($C$57:$AF$60,$B73,R$68)</f>
        <v>23.431499813838748</v>
      </c>
      <c r="S73" s="147" cm="1">
        <f t="array" ref="S73">INDEX($E$5:$AH$16,$C73,S$68) * INDEX($C$57:$AF$60,$B73,S$68)</f>
        <v>23.431499813838748</v>
      </c>
      <c r="T73" s="147" cm="1">
        <f t="array" ref="T73">INDEX($E$5:$AH$16,$C73,T$68) * INDEX($C$57:$AF$60,$B73,T$68)</f>
        <v>23.431499813838748</v>
      </c>
      <c r="U73" s="147" cm="1">
        <f t="array" ref="U73">INDEX($E$5:$AH$16,$C73,U$68) * INDEX($C$57:$AF$60,$B73,U$68)</f>
        <v>23.431499813838748</v>
      </c>
      <c r="V73" s="147" cm="1">
        <f t="array" ref="V73">INDEX($E$5:$AH$16,$C73,V$68) * INDEX($C$57:$AF$60,$B73,V$68)</f>
        <v>23.431499813838748</v>
      </c>
      <c r="W73" s="147" cm="1">
        <f t="array" ref="W73">INDEX($E$5:$AH$16,$C73,W$68) * INDEX($C$57:$AF$60,$B73,W$68)</f>
        <v>23.431499813838748</v>
      </c>
      <c r="X73" s="147" cm="1">
        <f t="array" ref="X73">INDEX($E$5:$AH$16,$C73,X$68) * INDEX($C$57:$AF$60,$B73,X$68)</f>
        <v>23.431499813838748</v>
      </c>
      <c r="Y73" s="147" cm="1">
        <f t="array" ref="Y73">INDEX($E$5:$AH$16,$C73,Y$68) * INDEX($C$57:$AF$60,$B73,Y$68)</f>
        <v>23.431499813838748</v>
      </c>
      <c r="Z73" s="147" cm="1">
        <f t="array" ref="Z73">INDEX($E$5:$AH$16,$C73,Z$68) * INDEX($C$57:$AF$60,$B73,Z$68)</f>
        <v>23.431499813838748</v>
      </c>
      <c r="AA73" s="147" cm="1">
        <f t="array" ref="AA73">INDEX($E$5:$AH$16,$C73,AA$68) * INDEX($C$57:$AF$60,$B73,AA$68)</f>
        <v>23.431499813838748</v>
      </c>
      <c r="AB73" s="147" cm="1">
        <f t="array" ref="AB73">INDEX($E$5:$AH$16,$C73,AB$68) * INDEX($C$57:$AF$60,$B73,AB$68)</f>
        <v>23.431499813838748</v>
      </c>
      <c r="AC73" s="147" cm="1">
        <f t="array" ref="AC73">INDEX($E$5:$AH$16,$C73,AC$68) * INDEX($C$57:$AF$60,$B73,AC$68)</f>
        <v>23.431499813838748</v>
      </c>
      <c r="AD73" s="147" cm="1">
        <f t="array" ref="AD73">INDEX($E$5:$AH$16,$C73,AD$68) * INDEX($C$57:$AF$60,$B73,AD$68)</f>
        <v>23.431499813838748</v>
      </c>
      <c r="AE73" s="147" cm="1">
        <f t="array" ref="AE73">INDEX($E$5:$AH$16,$C73,AE$68) * INDEX($C$57:$AF$60,$B73,AE$68)</f>
        <v>23.431499813838748</v>
      </c>
      <c r="AF73" s="147" cm="1">
        <f t="array" ref="AF73">INDEX($E$5:$AH$16,$C73,AF$68) * INDEX($C$57:$AF$60,$B73,AF$68)</f>
        <v>23.431499813838748</v>
      </c>
      <c r="AG73" s="147" cm="1">
        <f t="array" ref="AG73">INDEX($E$5:$AH$16,$C73,AG$68) * INDEX($C$57:$AF$60,$B73,AG$68)</f>
        <v>23.431499813838748</v>
      </c>
      <c r="AH73" s="147" cm="1">
        <f t="array" ref="AH73">INDEX($E$5:$AH$16,$C73,AH$68) * INDEX($C$57:$AF$60,$B73,AH$68)</f>
        <v>23.431499813838748</v>
      </c>
    </row>
    <row r="74" spans="2:34">
      <c r="B74" s="149">
        <v>1</v>
      </c>
      <c r="C74" s="149">
        <v>5</v>
      </c>
      <c r="D74" s="267" t="str">
        <v>Veículos Comerciais com 4 Eixos</v>
      </c>
      <c r="E74" s="147" cm="1">
        <f t="array" ref="E74">INDEX($E$5:$AH$16,$C74,E$68) * INDEX($C$57:$AF$60,$B74,E$68)</f>
        <v>22.315714108417858</v>
      </c>
      <c r="F74" s="147" cm="1">
        <f t="array" ref="F74">INDEX($E$5:$AH$16,$C74,F$68) * INDEX($C$57:$AF$60,$B74,F$68)</f>
        <v>22.315714108417858</v>
      </c>
      <c r="G74" s="147" cm="1">
        <f t="array" ref="G74">INDEX($E$5:$AH$16,$C74,G$68) * INDEX($C$57:$AF$60,$B74,G$68)</f>
        <v>22.315714108417858</v>
      </c>
      <c r="H74" s="147" cm="1">
        <f t="array" ref="H74">INDEX($E$5:$AH$16,$C74,H$68) * INDEX($C$57:$AF$60,$B74,H$68)</f>
        <v>22.315714108417858</v>
      </c>
      <c r="I74" s="147" cm="1">
        <f t="array" ref="I74">INDEX($E$5:$AH$16,$C74,I$68) * INDEX($C$57:$AF$60,$B74,I$68)</f>
        <v>31.241999751784999</v>
      </c>
      <c r="J74" s="147" cm="1">
        <f t="array" ref="J74">INDEX($E$5:$AH$16,$C74,J$68) * INDEX($C$57:$AF$60,$B74,J$68)</f>
        <v>31.241999751784999</v>
      </c>
      <c r="K74" s="147" cm="1">
        <f t="array" ref="K74">INDEX($E$5:$AH$16,$C74,K$68) * INDEX($C$57:$AF$60,$B74,K$68)</f>
        <v>31.241999751784999</v>
      </c>
      <c r="L74" s="147" cm="1">
        <f t="array" ref="L74">INDEX($E$5:$AH$16,$C74,L$68) * INDEX($C$57:$AF$60,$B74,L$68)</f>
        <v>31.241999751784999</v>
      </c>
      <c r="M74" s="147" cm="1">
        <f t="array" ref="M74">INDEX($E$5:$AH$16,$C74,M$68) * INDEX($C$57:$AF$60,$B74,M$68)</f>
        <v>31.241999751784999</v>
      </c>
      <c r="N74" s="147" cm="1">
        <f t="array" ref="N74">INDEX($E$5:$AH$16,$C74,N$68) * INDEX($C$57:$AF$60,$B74,N$68)</f>
        <v>31.241999751784999</v>
      </c>
      <c r="O74" s="147" cm="1">
        <f t="array" ref="O74">INDEX($E$5:$AH$16,$C74,O$68) * INDEX($C$57:$AF$60,$B74,O$68)</f>
        <v>31.241999751784999</v>
      </c>
      <c r="P74" s="147" cm="1">
        <f t="array" ref="P74">INDEX($E$5:$AH$16,$C74,P$68) * INDEX($C$57:$AF$60,$B74,P$68)</f>
        <v>31.241999751784999</v>
      </c>
      <c r="Q74" s="147" cm="1">
        <f t="array" ref="Q74">INDEX($E$5:$AH$16,$C74,Q$68) * INDEX($C$57:$AF$60,$B74,Q$68)</f>
        <v>31.241999751784999</v>
      </c>
      <c r="R74" s="147" cm="1">
        <f t="array" ref="R74">INDEX($E$5:$AH$16,$C74,R$68) * INDEX($C$57:$AF$60,$B74,R$68)</f>
        <v>31.241999751784999</v>
      </c>
      <c r="S74" s="147" cm="1">
        <f t="array" ref="S74">INDEX($E$5:$AH$16,$C74,S$68) * INDEX($C$57:$AF$60,$B74,S$68)</f>
        <v>31.241999751784999</v>
      </c>
      <c r="T74" s="147" cm="1">
        <f t="array" ref="T74">INDEX($E$5:$AH$16,$C74,T$68) * INDEX($C$57:$AF$60,$B74,T$68)</f>
        <v>31.241999751784999</v>
      </c>
      <c r="U74" s="147" cm="1">
        <f t="array" ref="U74">INDEX($E$5:$AH$16,$C74,U$68) * INDEX($C$57:$AF$60,$B74,U$68)</f>
        <v>31.241999751784999</v>
      </c>
      <c r="V74" s="147" cm="1">
        <f t="array" ref="V74">INDEX($E$5:$AH$16,$C74,V$68) * INDEX($C$57:$AF$60,$B74,V$68)</f>
        <v>31.241999751784999</v>
      </c>
      <c r="W74" s="147" cm="1">
        <f t="array" ref="W74">INDEX($E$5:$AH$16,$C74,W$68) * INDEX($C$57:$AF$60,$B74,W$68)</f>
        <v>31.241999751784999</v>
      </c>
      <c r="X74" s="147" cm="1">
        <f t="array" ref="X74">INDEX($E$5:$AH$16,$C74,X$68) * INDEX($C$57:$AF$60,$B74,X$68)</f>
        <v>31.241999751784999</v>
      </c>
      <c r="Y74" s="147" cm="1">
        <f t="array" ref="Y74">INDEX($E$5:$AH$16,$C74,Y$68) * INDEX($C$57:$AF$60,$B74,Y$68)</f>
        <v>31.241999751784999</v>
      </c>
      <c r="Z74" s="147" cm="1">
        <f t="array" ref="Z74">INDEX($E$5:$AH$16,$C74,Z$68) * INDEX($C$57:$AF$60,$B74,Z$68)</f>
        <v>31.241999751784999</v>
      </c>
      <c r="AA74" s="147" cm="1">
        <f t="array" ref="AA74">INDEX($E$5:$AH$16,$C74,AA$68) * INDEX($C$57:$AF$60,$B74,AA$68)</f>
        <v>31.241999751784999</v>
      </c>
      <c r="AB74" s="147" cm="1">
        <f t="array" ref="AB74">INDEX($E$5:$AH$16,$C74,AB$68) * INDEX($C$57:$AF$60,$B74,AB$68)</f>
        <v>31.241999751784999</v>
      </c>
      <c r="AC74" s="147" cm="1">
        <f t="array" ref="AC74">INDEX($E$5:$AH$16,$C74,AC$68) * INDEX($C$57:$AF$60,$B74,AC$68)</f>
        <v>31.241999751784999</v>
      </c>
      <c r="AD74" s="147" cm="1">
        <f t="array" ref="AD74">INDEX($E$5:$AH$16,$C74,AD$68) * INDEX($C$57:$AF$60,$B74,AD$68)</f>
        <v>31.241999751784999</v>
      </c>
      <c r="AE74" s="147" cm="1">
        <f t="array" ref="AE74">INDEX($E$5:$AH$16,$C74,AE$68) * INDEX($C$57:$AF$60,$B74,AE$68)</f>
        <v>31.241999751784999</v>
      </c>
      <c r="AF74" s="147" cm="1">
        <f t="array" ref="AF74">INDEX($E$5:$AH$16,$C74,AF$68) * INDEX($C$57:$AF$60,$B74,AF$68)</f>
        <v>31.241999751784999</v>
      </c>
      <c r="AG74" s="147" cm="1">
        <f t="array" ref="AG74">INDEX($E$5:$AH$16,$C74,AG$68) * INDEX($C$57:$AF$60,$B74,AG$68)</f>
        <v>31.241999751784999</v>
      </c>
      <c r="AH74" s="147" cm="1">
        <f t="array" ref="AH74">INDEX($E$5:$AH$16,$C74,AH$68) * INDEX($C$57:$AF$60,$B74,AH$68)</f>
        <v>31.241999751784999</v>
      </c>
    </row>
    <row r="75" spans="2:34">
      <c r="B75" s="149">
        <v>1</v>
      </c>
      <c r="C75" s="149">
        <v>6</v>
      </c>
      <c r="D75" s="267" t="str">
        <v>Veículos Comerciais com 5 Eixos Articulado</v>
      </c>
      <c r="E75" s="147" cm="1">
        <f t="array" ref="E75">INDEX($E$5:$AH$16,$C75,E$68) * INDEX($C$57:$AF$60,$B75,E$68)</f>
        <v>27.894642635522324</v>
      </c>
      <c r="F75" s="147" cm="1">
        <f t="array" ref="F75">INDEX($E$5:$AH$16,$C75,F$68) * INDEX($C$57:$AF$60,$B75,F$68)</f>
        <v>27.894642635522324</v>
      </c>
      <c r="G75" s="147" cm="1">
        <f t="array" ref="G75">INDEX($E$5:$AH$16,$C75,G$68) * INDEX($C$57:$AF$60,$B75,G$68)</f>
        <v>27.894642635522324</v>
      </c>
      <c r="H75" s="147" cm="1">
        <f t="array" ref="H75">INDEX($E$5:$AH$16,$C75,H$68) * INDEX($C$57:$AF$60,$B75,H$68)</f>
        <v>27.894642635522324</v>
      </c>
      <c r="I75" s="147" cm="1">
        <f t="array" ref="I75">INDEX($E$5:$AH$16,$C75,I$68) * INDEX($C$57:$AF$60,$B75,I$68)</f>
        <v>39.052499689731249</v>
      </c>
      <c r="J75" s="147" cm="1">
        <f t="array" ref="J75">INDEX($E$5:$AH$16,$C75,J$68) * INDEX($C$57:$AF$60,$B75,J$68)</f>
        <v>39.052499689731249</v>
      </c>
      <c r="K75" s="147" cm="1">
        <f t="array" ref="K75">INDEX($E$5:$AH$16,$C75,K$68) * INDEX($C$57:$AF$60,$B75,K$68)</f>
        <v>39.052499689731249</v>
      </c>
      <c r="L75" s="147" cm="1">
        <f t="array" ref="L75">INDEX($E$5:$AH$16,$C75,L$68) * INDEX($C$57:$AF$60,$B75,L$68)</f>
        <v>39.052499689731249</v>
      </c>
      <c r="M75" s="147" cm="1">
        <f t="array" ref="M75">INDEX($E$5:$AH$16,$C75,M$68) * INDEX($C$57:$AF$60,$B75,M$68)</f>
        <v>39.052499689731249</v>
      </c>
      <c r="N75" s="147" cm="1">
        <f t="array" ref="N75">INDEX($E$5:$AH$16,$C75,N$68) * INDEX($C$57:$AF$60,$B75,N$68)</f>
        <v>39.052499689731249</v>
      </c>
      <c r="O75" s="147" cm="1">
        <f t="array" ref="O75">INDEX($E$5:$AH$16,$C75,O$68) * INDEX($C$57:$AF$60,$B75,O$68)</f>
        <v>39.052499689731249</v>
      </c>
      <c r="P75" s="147" cm="1">
        <f t="array" ref="P75">INDEX($E$5:$AH$16,$C75,P$68) * INDEX($C$57:$AF$60,$B75,P$68)</f>
        <v>39.052499689731249</v>
      </c>
      <c r="Q75" s="147" cm="1">
        <f t="array" ref="Q75">INDEX($E$5:$AH$16,$C75,Q$68) * INDEX($C$57:$AF$60,$B75,Q$68)</f>
        <v>39.052499689731249</v>
      </c>
      <c r="R75" s="147" cm="1">
        <f t="array" ref="R75">INDEX($E$5:$AH$16,$C75,R$68) * INDEX($C$57:$AF$60,$B75,R$68)</f>
        <v>39.052499689731249</v>
      </c>
      <c r="S75" s="147" cm="1">
        <f t="array" ref="S75">INDEX($E$5:$AH$16,$C75,S$68) * INDEX($C$57:$AF$60,$B75,S$68)</f>
        <v>39.052499689731249</v>
      </c>
      <c r="T75" s="147" cm="1">
        <f t="array" ref="T75">INDEX($E$5:$AH$16,$C75,T$68) * INDEX($C$57:$AF$60,$B75,T$68)</f>
        <v>39.052499689731249</v>
      </c>
      <c r="U75" s="147" cm="1">
        <f t="array" ref="U75">INDEX($E$5:$AH$16,$C75,U$68) * INDEX($C$57:$AF$60,$B75,U$68)</f>
        <v>39.052499689731249</v>
      </c>
      <c r="V75" s="147" cm="1">
        <f t="array" ref="V75">INDEX($E$5:$AH$16,$C75,V$68) * INDEX($C$57:$AF$60,$B75,V$68)</f>
        <v>39.052499689731249</v>
      </c>
      <c r="W75" s="147" cm="1">
        <f t="array" ref="W75">INDEX($E$5:$AH$16,$C75,W$68) * INDEX($C$57:$AF$60,$B75,W$68)</f>
        <v>39.052499689731249</v>
      </c>
      <c r="X75" s="147" cm="1">
        <f t="array" ref="X75">INDEX($E$5:$AH$16,$C75,X$68) * INDEX($C$57:$AF$60,$B75,X$68)</f>
        <v>39.052499689731249</v>
      </c>
      <c r="Y75" s="147" cm="1">
        <f t="array" ref="Y75">INDEX($E$5:$AH$16,$C75,Y$68) * INDEX($C$57:$AF$60,$B75,Y$68)</f>
        <v>39.052499689731249</v>
      </c>
      <c r="Z75" s="147" cm="1">
        <f t="array" ref="Z75">INDEX($E$5:$AH$16,$C75,Z$68) * INDEX($C$57:$AF$60,$B75,Z$68)</f>
        <v>39.052499689731249</v>
      </c>
      <c r="AA75" s="147" cm="1">
        <f t="array" ref="AA75">INDEX($E$5:$AH$16,$C75,AA$68) * INDEX($C$57:$AF$60,$B75,AA$68)</f>
        <v>39.052499689731249</v>
      </c>
      <c r="AB75" s="147" cm="1">
        <f t="array" ref="AB75">INDEX($E$5:$AH$16,$C75,AB$68) * INDEX($C$57:$AF$60,$B75,AB$68)</f>
        <v>39.052499689731249</v>
      </c>
      <c r="AC75" s="147" cm="1">
        <f t="array" ref="AC75">INDEX($E$5:$AH$16,$C75,AC$68) * INDEX($C$57:$AF$60,$B75,AC$68)</f>
        <v>39.052499689731249</v>
      </c>
      <c r="AD75" s="147" cm="1">
        <f t="array" ref="AD75">INDEX($E$5:$AH$16,$C75,AD$68) * INDEX($C$57:$AF$60,$B75,AD$68)</f>
        <v>39.052499689731249</v>
      </c>
      <c r="AE75" s="147" cm="1">
        <f t="array" ref="AE75">INDEX($E$5:$AH$16,$C75,AE$68) * INDEX($C$57:$AF$60,$B75,AE$68)</f>
        <v>39.052499689731249</v>
      </c>
      <c r="AF75" s="147" cm="1">
        <f t="array" ref="AF75">INDEX($E$5:$AH$16,$C75,AF$68) * INDEX($C$57:$AF$60,$B75,AF$68)</f>
        <v>39.052499689731249</v>
      </c>
      <c r="AG75" s="147" cm="1">
        <f t="array" ref="AG75">INDEX($E$5:$AH$16,$C75,AG$68) * INDEX($C$57:$AF$60,$B75,AG$68)</f>
        <v>39.052499689731249</v>
      </c>
      <c r="AH75" s="147" cm="1">
        <f t="array" ref="AH75">INDEX($E$5:$AH$16,$C75,AH$68) * INDEX($C$57:$AF$60,$B75,AH$68)</f>
        <v>39.052499689731249</v>
      </c>
    </row>
    <row r="76" spans="2:34">
      <c r="B76" s="149">
        <v>1</v>
      </c>
      <c r="C76" s="149">
        <v>7</v>
      </c>
      <c r="D76" s="267" t="str">
        <v>Veículos Comerciais com 6 Eixos Articulado</v>
      </c>
      <c r="E76" s="147" cm="1">
        <f t="array" ref="E76">INDEX($E$5:$AH$16,$C76,E$68) * INDEX($C$57:$AF$60,$B76,E$68)</f>
        <v>33.473571162626783</v>
      </c>
      <c r="F76" s="147" cm="1">
        <f t="array" ref="F76">INDEX($E$5:$AH$16,$C76,F$68) * INDEX($C$57:$AF$60,$B76,F$68)</f>
        <v>33.473571162626783</v>
      </c>
      <c r="G76" s="147" cm="1">
        <f t="array" ref="G76">INDEX($E$5:$AH$16,$C76,G$68) * INDEX($C$57:$AF$60,$B76,G$68)</f>
        <v>33.473571162626783</v>
      </c>
      <c r="H76" s="147" cm="1">
        <f t="array" ref="H76">INDEX($E$5:$AH$16,$C76,H$68) * INDEX($C$57:$AF$60,$B76,H$68)</f>
        <v>33.473571162626783</v>
      </c>
      <c r="I76" s="147" cm="1">
        <f t="array" ref="I76">INDEX($E$5:$AH$16,$C76,I$68) * INDEX($C$57:$AF$60,$B76,I$68)</f>
        <v>46.862999627677496</v>
      </c>
      <c r="J76" s="147" cm="1">
        <f t="array" ref="J76">INDEX($E$5:$AH$16,$C76,J$68) * INDEX($C$57:$AF$60,$B76,J$68)</f>
        <v>46.862999627677496</v>
      </c>
      <c r="K76" s="147" cm="1">
        <f t="array" ref="K76">INDEX($E$5:$AH$16,$C76,K$68) * INDEX($C$57:$AF$60,$B76,K$68)</f>
        <v>46.862999627677496</v>
      </c>
      <c r="L76" s="147" cm="1">
        <f t="array" ref="L76">INDEX($E$5:$AH$16,$C76,L$68) * INDEX($C$57:$AF$60,$B76,L$68)</f>
        <v>46.862999627677496</v>
      </c>
      <c r="M76" s="147" cm="1">
        <f t="array" ref="M76">INDEX($E$5:$AH$16,$C76,M$68) * INDEX($C$57:$AF$60,$B76,M$68)</f>
        <v>46.862999627677496</v>
      </c>
      <c r="N76" s="147" cm="1">
        <f t="array" ref="N76">INDEX($E$5:$AH$16,$C76,N$68) * INDEX($C$57:$AF$60,$B76,N$68)</f>
        <v>46.862999627677496</v>
      </c>
      <c r="O76" s="147" cm="1">
        <f t="array" ref="O76">INDEX($E$5:$AH$16,$C76,O$68) * INDEX($C$57:$AF$60,$B76,O$68)</f>
        <v>46.862999627677496</v>
      </c>
      <c r="P76" s="147" cm="1">
        <f t="array" ref="P76">INDEX($E$5:$AH$16,$C76,P$68) * INDEX($C$57:$AF$60,$B76,P$68)</f>
        <v>46.862999627677496</v>
      </c>
      <c r="Q76" s="147" cm="1">
        <f t="array" ref="Q76">INDEX($E$5:$AH$16,$C76,Q$68) * INDEX($C$57:$AF$60,$B76,Q$68)</f>
        <v>46.862999627677496</v>
      </c>
      <c r="R76" s="147" cm="1">
        <f t="array" ref="R76">INDEX($E$5:$AH$16,$C76,R$68) * INDEX($C$57:$AF$60,$B76,R$68)</f>
        <v>46.862999627677496</v>
      </c>
      <c r="S76" s="147" cm="1">
        <f t="array" ref="S76">INDEX($E$5:$AH$16,$C76,S$68) * INDEX($C$57:$AF$60,$B76,S$68)</f>
        <v>46.862999627677496</v>
      </c>
      <c r="T76" s="147" cm="1">
        <f t="array" ref="T76">INDEX($E$5:$AH$16,$C76,T$68) * INDEX($C$57:$AF$60,$B76,T$68)</f>
        <v>46.862999627677496</v>
      </c>
      <c r="U76" s="147" cm="1">
        <f t="array" ref="U76">INDEX($E$5:$AH$16,$C76,U$68) * INDEX($C$57:$AF$60,$B76,U$68)</f>
        <v>46.862999627677496</v>
      </c>
      <c r="V76" s="147" cm="1">
        <f t="array" ref="V76">INDEX($E$5:$AH$16,$C76,V$68) * INDEX($C$57:$AF$60,$B76,V$68)</f>
        <v>46.862999627677496</v>
      </c>
      <c r="W76" s="147" cm="1">
        <f t="array" ref="W76">INDEX($E$5:$AH$16,$C76,W$68) * INDEX($C$57:$AF$60,$B76,W$68)</f>
        <v>46.862999627677496</v>
      </c>
      <c r="X76" s="147" cm="1">
        <f t="array" ref="X76">INDEX($E$5:$AH$16,$C76,X$68) * INDEX($C$57:$AF$60,$B76,X$68)</f>
        <v>46.862999627677496</v>
      </c>
      <c r="Y76" s="147" cm="1">
        <f t="array" ref="Y76">INDEX($E$5:$AH$16,$C76,Y$68) * INDEX($C$57:$AF$60,$B76,Y$68)</f>
        <v>46.862999627677496</v>
      </c>
      <c r="Z76" s="147" cm="1">
        <f t="array" ref="Z76">INDEX($E$5:$AH$16,$C76,Z$68) * INDEX($C$57:$AF$60,$B76,Z$68)</f>
        <v>46.862999627677496</v>
      </c>
      <c r="AA76" s="147" cm="1">
        <f t="array" ref="AA76">INDEX($E$5:$AH$16,$C76,AA$68) * INDEX($C$57:$AF$60,$B76,AA$68)</f>
        <v>46.862999627677496</v>
      </c>
      <c r="AB76" s="147" cm="1">
        <f t="array" ref="AB76">INDEX($E$5:$AH$16,$C76,AB$68) * INDEX($C$57:$AF$60,$B76,AB$68)</f>
        <v>46.862999627677496</v>
      </c>
      <c r="AC76" s="147" cm="1">
        <f t="array" ref="AC76">INDEX($E$5:$AH$16,$C76,AC$68) * INDEX($C$57:$AF$60,$B76,AC$68)</f>
        <v>46.862999627677496</v>
      </c>
      <c r="AD76" s="147" cm="1">
        <f t="array" ref="AD76">INDEX($E$5:$AH$16,$C76,AD$68) * INDEX($C$57:$AF$60,$B76,AD$68)</f>
        <v>46.862999627677496</v>
      </c>
      <c r="AE76" s="147" cm="1">
        <f t="array" ref="AE76">INDEX($E$5:$AH$16,$C76,AE$68) * INDEX($C$57:$AF$60,$B76,AE$68)</f>
        <v>46.862999627677496</v>
      </c>
      <c r="AF76" s="147" cm="1">
        <f t="array" ref="AF76">INDEX($E$5:$AH$16,$C76,AF$68) * INDEX($C$57:$AF$60,$B76,AF$68)</f>
        <v>46.862999627677496</v>
      </c>
      <c r="AG76" s="147" cm="1">
        <f t="array" ref="AG76">INDEX($E$5:$AH$16,$C76,AG$68) * INDEX($C$57:$AF$60,$B76,AG$68)</f>
        <v>46.862999627677496</v>
      </c>
      <c r="AH76" s="147" cm="1">
        <f t="array" ref="AH76">INDEX($E$5:$AH$16,$C76,AH$68) * INDEX($C$57:$AF$60,$B76,AH$68)</f>
        <v>46.862999627677496</v>
      </c>
    </row>
    <row r="77" spans="2:34">
      <c r="B77" s="149">
        <v>1</v>
      </c>
      <c r="C77" s="149">
        <v>8</v>
      </c>
      <c r="D77" s="267" t="str">
        <v>Veículos Comerciais com 7 Eixos Articulado</v>
      </c>
      <c r="E77" s="147" cm="1">
        <f t="array" ref="E77">INDEX($E$5:$AH$16,$C77,E$68) * INDEX($C$57:$AF$60,$B77,E$68)</f>
        <v>39.052499689731249</v>
      </c>
      <c r="F77" s="147" cm="1">
        <f t="array" ref="F77">INDEX($E$5:$AH$16,$C77,F$68) * INDEX($C$57:$AF$60,$B77,F$68)</f>
        <v>39.052499689731249</v>
      </c>
      <c r="G77" s="147" cm="1">
        <f t="array" ref="G77">INDEX($E$5:$AH$16,$C77,G$68) * INDEX($C$57:$AF$60,$B77,G$68)</f>
        <v>39.052499689731249</v>
      </c>
      <c r="H77" s="147" cm="1">
        <f t="array" ref="H77">INDEX($E$5:$AH$16,$C77,H$68) * INDEX($C$57:$AF$60,$B77,H$68)</f>
        <v>39.052499689731249</v>
      </c>
      <c r="I77" s="147" cm="1">
        <f t="array" ref="I77">INDEX($E$5:$AH$16,$C77,I$68) * INDEX($C$57:$AF$60,$B77,I$68)</f>
        <v>54.67349956562375</v>
      </c>
      <c r="J77" s="147" cm="1">
        <f t="array" ref="J77">INDEX($E$5:$AH$16,$C77,J$68) * INDEX($C$57:$AF$60,$B77,J$68)</f>
        <v>54.67349956562375</v>
      </c>
      <c r="K77" s="147" cm="1">
        <f t="array" ref="K77">INDEX($E$5:$AH$16,$C77,K$68) * INDEX($C$57:$AF$60,$B77,K$68)</f>
        <v>54.67349956562375</v>
      </c>
      <c r="L77" s="147" cm="1">
        <f t="array" ref="L77">INDEX($E$5:$AH$16,$C77,L$68) * INDEX($C$57:$AF$60,$B77,L$68)</f>
        <v>54.67349956562375</v>
      </c>
      <c r="M77" s="147" cm="1">
        <f t="array" ref="M77">INDEX($E$5:$AH$16,$C77,M$68) * INDEX($C$57:$AF$60,$B77,M$68)</f>
        <v>54.67349956562375</v>
      </c>
      <c r="N77" s="147" cm="1">
        <f t="array" ref="N77">INDEX($E$5:$AH$16,$C77,N$68) * INDEX($C$57:$AF$60,$B77,N$68)</f>
        <v>54.67349956562375</v>
      </c>
      <c r="O77" s="147" cm="1">
        <f t="array" ref="O77">INDEX($E$5:$AH$16,$C77,O$68) * INDEX($C$57:$AF$60,$B77,O$68)</f>
        <v>54.67349956562375</v>
      </c>
      <c r="P77" s="147" cm="1">
        <f t="array" ref="P77">INDEX($E$5:$AH$16,$C77,P$68) * INDEX($C$57:$AF$60,$B77,P$68)</f>
        <v>54.67349956562375</v>
      </c>
      <c r="Q77" s="147" cm="1">
        <f t="array" ref="Q77">INDEX($E$5:$AH$16,$C77,Q$68) * INDEX($C$57:$AF$60,$B77,Q$68)</f>
        <v>54.67349956562375</v>
      </c>
      <c r="R77" s="147" cm="1">
        <f t="array" ref="R77">INDEX($E$5:$AH$16,$C77,R$68) * INDEX($C$57:$AF$60,$B77,R$68)</f>
        <v>54.67349956562375</v>
      </c>
      <c r="S77" s="147" cm="1">
        <f t="array" ref="S77">INDEX($E$5:$AH$16,$C77,S$68) * INDEX($C$57:$AF$60,$B77,S$68)</f>
        <v>54.67349956562375</v>
      </c>
      <c r="T77" s="147" cm="1">
        <f t="array" ref="T77">INDEX($E$5:$AH$16,$C77,T$68) * INDEX($C$57:$AF$60,$B77,T$68)</f>
        <v>54.67349956562375</v>
      </c>
      <c r="U77" s="147" cm="1">
        <f t="array" ref="U77">INDEX($E$5:$AH$16,$C77,U$68) * INDEX($C$57:$AF$60,$B77,U$68)</f>
        <v>54.67349956562375</v>
      </c>
      <c r="V77" s="147" cm="1">
        <f t="array" ref="V77">INDEX($E$5:$AH$16,$C77,V$68) * INDEX($C$57:$AF$60,$B77,V$68)</f>
        <v>54.67349956562375</v>
      </c>
      <c r="W77" s="147" cm="1">
        <f t="array" ref="W77">INDEX($E$5:$AH$16,$C77,W$68) * INDEX($C$57:$AF$60,$B77,W$68)</f>
        <v>54.67349956562375</v>
      </c>
      <c r="X77" s="147" cm="1">
        <f t="array" ref="X77">INDEX($E$5:$AH$16,$C77,X$68) * INDEX($C$57:$AF$60,$B77,X$68)</f>
        <v>54.67349956562375</v>
      </c>
      <c r="Y77" s="147" cm="1">
        <f t="array" ref="Y77">INDEX($E$5:$AH$16,$C77,Y$68) * INDEX($C$57:$AF$60,$B77,Y$68)</f>
        <v>54.67349956562375</v>
      </c>
      <c r="Z77" s="147" cm="1">
        <f t="array" ref="Z77">INDEX($E$5:$AH$16,$C77,Z$68) * INDEX($C$57:$AF$60,$B77,Z$68)</f>
        <v>54.67349956562375</v>
      </c>
      <c r="AA77" s="147" cm="1">
        <f t="array" ref="AA77">INDEX($E$5:$AH$16,$C77,AA$68) * INDEX($C$57:$AF$60,$B77,AA$68)</f>
        <v>54.67349956562375</v>
      </c>
      <c r="AB77" s="147" cm="1">
        <f t="array" ref="AB77">INDEX($E$5:$AH$16,$C77,AB$68) * INDEX($C$57:$AF$60,$B77,AB$68)</f>
        <v>54.67349956562375</v>
      </c>
      <c r="AC77" s="147" cm="1">
        <f t="array" ref="AC77">INDEX($E$5:$AH$16,$C77,AC$68) * INDEX($C$57:$AF$60,$B77,AC$68)</f>
        <v>54.67349956562375</v>
      </c>
      <c r="AD77" s="147" cm="1">
        <f t="array" ref="AD77">INDEX($E$5:$AH$16,$C77,AD$68) * INDEX($C$57:$AF$60,$B77,AD$68)</f>
        <v>54.67349956562375</v>
      </c>
      <c r="AE77" s="147" cm="1">
        <f t="array" ref="AE77">INDEX($E$5:$AH$16,$C77,AE$68) * INDEX($C$57:$AF$60,$B77,AE$68)</f>
        <v>54.67349956562375</v>
      </c>
      <c r="AF77" s="147" cm="1">
        <f t="array" ref="AF77">INDEX($E$5:$AH$16,$C77,AF$68) * INDEX($C$57:$AF$60,$B77,AF$68)</f>
        <v>54.67349956562375</v>
      </c>
      <c r="AG77" s="147" cm="1">
        <f t="array" ref="AG77">INDEX($E$5:$AH$16,$C77,AG$68) * INDEX($C$57:$AF$60,$B77,AG$68)</f>
        <v>54.67349956562375</v>
      </c>
      <c r="AH77" s="147" cm="1">
        <f t="array" ref="AH77">INDEX($E$5:$AH$16,$C77,AH$68) * INDEX($C$57:$AF$60,$B77,AH$68)</f>
        <v>54.67349956562375</v>
      </c>
    </row>
    <row r="78" spans="2:34">
      <c r="B78" s="149">
        <v>1</v>
      </c>
      <c r="C78" s="149">
        <v>9</v>
      </c>
      <c r="D78" s="267" t="str">
        <v>Veículos Comerciais com 8 Eixos Articulado</v>
      </c>
      <c r="E78" s="147" cm="1">
        <f t="array" ref="E78">INDEX($E$5:$AH$16,$C78,E$68) * INDEX($C$57:$AF$60,$B78,E$68)</f>
        <v>44.631428216835715</v>
      </c>
      <c r="F78" s="147" cm="1">
        <f t="array" ref="F78">INDEX($E$5:$AH$16,$C78,F$68) * INDEX($C$57:$AF$60,$B78,F$68)</f>
        <v>44.631428216835715</v>
      </c>
      <c r="G78" s="147" cm="1">
        <f t="array" ref="G78">INDEX($E$5:$AH$16,$C78,G$68) * INDEX($C$57:$AF$60,$B78,G$68)</f>
        <v>44.631428216835715</v>
      </c>
      <c r="H78" s="147" cm="1">
        <f t="array" ref="H78">INDEX($E$5:$AH$16,$C78,H$68) * INDEX($C$57:$AF$60,$B78,H$68)</f>
        <v>44.631428216835715</v>
      </c>
      <c r="I78" s="147" cm="1">
        <f t="array" ref="I78">INDEX($E$5:$AH$16,$C78,I$68) * INDEX($C$57:$AF$60,$B78,I$68)</f>
        <v>62.483999503569997</v>
      </c>
      <c r="J78" s="147" cm="1">
        <f t="array" ref="J78">INDEX($E$5:$AH$16,$C78,J$68) * INDEX($C$57:$AF$60,$B78,J$68)</f>
        <v>62.483999503569997</v>
      </c>
      <c r="K78" s="147" cm="1">
        <f t="array" ref="K78">INDEX($E$5:$AH$16,$C78,K$68) * INDEX($C$57:$AF$60,$B78,K$68)</f>
        <v>62.483999503569997</v>
      </c>
      <c r="L78" s="147" cm="1">
        <f t="array" ref="L78">INDEX($E$5:$AH$16,$C78,L$68) * INDEX($C$57:$AF$60,$B78,L$68)</f>
        <v>62.483999503569997</v>
      </c>
      <c r="M78" s="147" cm="1">
        <f t="array" ref="M78">INDEX($E$5:$AH$16,$C78,M$68) * INDEX($C$57:$AF$60,$B78,M$68)</f>
        <v>62.483999503569997</v>
      </c>
      <c r="N78" s="147" cm="1">
        <f t="array" ref="N78">INDEX($E$5:$AH$16,$C78,N$68) * INDEX($C$57:$AF$60,$B78,N$68)</f>
        <v>62.483999503569997</v>
      </c>
      <c r="O78" s="147" cm="1">
        <f t="array" ref="O78">INDEX($E$5:$AH$16,$C78,O$68) * INDEX($C$57:$AF$60,$B78,O$68)</f>
        <v>62.483999503569997</v>
      </c>
      <c r="P78" s="147" cm="1">
        <f t="array" ref="P78">INDEX($E$5:$AH$16,$C78,P$68) * INDEX($C$57:$AF$60,$B78,P$68)</f>
        <v>62.483999503569997</v>
      </c>
      <c r="Q78" s="147" cm="1">
        <f t="array" ref="Q78">INDEX($E$5:$AH$16,$C78,Q$68) * INDEX($C$57:$AF$60,$B78,Q$68)</f>
        <v>62.483999503569997</v>
      </c>
      <c r="R78" s="147" cm="1">
        <f t="array" ref="R78">INDEX($E$5:$AH$16,$C78,R$68) * INDEX($C$57:$AF$60,$B78,R$68)</f>
        <v>62.483999503569997</v>
      </c>
      <c r="S78" s="147" cm="1">
        <f t="array" ref="S78">INDEX($E$5:$AH$16,$C78,S$68) * INDEX($C$57:$AF$60,$B78,S$68)</f>
        <v>62.483999503569997</v>
      </c>
      <c r="T78" s="147" cm="1">
        <f t="array" ref="T78">INDEX($E$5:$AH$16,$C78,T$68) * INDEX($C$57:$AF$60,$B78,T$68)</f>
        <v>62.483999503569997</v>
      </c>
      <c r="U78" s="147" cm="1">
        <f t="array" ref="U78">INDEX($E$5:$AH$16,$C78,U$68) * INDEX($C$57:$AF$60,$B78,U$68)</f>
        <v>62.483999503569997</v>
      </c>
      <c r="V78" s="147" cm="1">
        <f t="array" ref="V78">INDEX($E$5:$AH$16,$C78,V$68) * INDEX($C$57:$AF$60,$B78,V$68)</f>
        <v>62.483999503569997</v>
      </c>
      <c r="W78" s="147" cm="1">
        <f t="array" ref="W78">INDEX($E$5:$AH$16,$C78,W$68) * INDEX($C$57:$AF$60,$B78,W$68)</f>
        <v>62.483999503569997</v>
      </c>
      <c r="X78" s="147" cm="1">
        <f t="array" ref="X78">INDEX($E$5:$AH$16,$C78,X$68) * INDEX($C$57:$AF$60,$B78,X$68)</f>
        <v>62.483999503569997</v>
      </c>
      <c r="Y78" s="147" cm="1">
        <f t="array" ref="Y78">INDEX($E$5:$AH$16,$C78,Y$68) * INDEX($C$57:$AF$60,$B78,Y$68)</f>
        <v>62.483999503569997</v>
      </c>
      <c r="Z78" s="147" cm="1">
        <f t="array" ref="Z78">INDEX($E$5:$AH$16,$C78,Z$68) * INDEX($C$57:$AF$60,$B78,Z$68)</f>
        <v>62.483999503569997</v>
      </c>
      <c r="AA78" s="147" cm="1">
        <f t="array" ref="AA78">INDEX($E$5:$AH$16,$C78,AA$68) * INDEX($C$57:$AF$60,$B78,AA$68)</f>
        <v>62.483999503569997</v>
      </c>
      <c r="AB78" s="147" cm="1">
        <f t="array" ref="AB78">INDEX($E$5:$AH$16,$C78,AB$68) * INDEX($C$57:$AF$60,$B78,AB$68)</f>
        <v>62.483999503569997</v>
      </c>
      <c r="AC78" s="147" cm="1">
        <f t="array" ref="AC78">INDEX($E$5:$AH$16,$C78,AC$68) * INDEX($C$57:$AF$60,$B78,AC$68)</f>
        <v>62.483999503569997</v>
      </c>
      <c r="AD78" s="147" cm="1">
        <f t="array" ref="AD78">INDEX($E$5:$AH$16,$C78,AD$68) * INDEX($C$57:$AF$60,$B78,AD$68)</f>
        <v>62.483999503569997</v>
      </c>
      <c r="AE78" s="147" cm="1">
        <f t="array" ref="AE78">INDEX($E$5:$AH$16,$C78,AE$68) * INDEX($C$57:$AF$60,$B78,AE$68)</f>
        <v>62.483999503569997</v>
      </c>
      <c r="AF78" s="147" cm="1">
        <f t="array" ref="AF78">INDEX($E$5:$AH$16,$C78,AF$68) * INDEX($C$57:$AF$60,$B78,AF$68)</f>
        <v>62.483999503569997</v>
      </c>
      <c r="AG78" s="147" cm="1">
        <f t="array" ref="AG78">INDEX($E$5:$AH$16,$C78,AG$68) * INDEX($C$57:$AF$60,$B78,AG$68)</f>
        <v>62.483999503569997</v>
      </c>
      <c r="AH78" s="147" cm="1">
        <f t="array" ref="AH78">INDEX($E$5:$AH$16,$C78,AH$68) * INDEX($C$57:$AF$60,$B78,AH$68)</f>
        <v>62.483999503569997</v>
      </c>
    </row>
    <row r="79" spans="2:34">
      <c r="B79" s="149">
        <v>1</v>
      </c>
      <c r="C79" s="149">
        <v>10</v>
      </c>
      <c r="D79" s="267" t="str">
        <v>Veículos Comerciais com 9 Eixos Articulado</v>
      </c>
      <c r="E79" s="147" cm="1">
        <f t="array" ref="E79">INDEX($E$5:$AH$16,$C79,E$68) * INDEX($C$57:$AF$60,$B79,E$68)</f>
        <v>50.210356743940181</v>
      </c>
      <c r="F79" s="147" cm="1">
        <f t="array" ref="F79">INDEX($E$5:$AH$16,$C79,F$68) * INDEX($C$57:$AF$60,$B79,F$68)</f>
        <v>50.210356743940181</v>
      </c>
      <c r="G79" s="147" cm="1">
        <f t="array" ref="G79">INDEX($E$5:$AH$16,$C79,G$68) * INDEX($C$57:$AF$60,$B79,G$68)</f>
        <v>50.210356743940181</v>
      </c>
      <c r="H79" s="147" cm="1">
        <f t="array" ref="H79">INDEX($E$5:$AH$16,$C79,H$68) * INDEX($C$57:$AF$60,$B79,H$68)</f>
        <v>50.210356743940181</v>
      </c>
      <c r="I79" s="147" cm="1">
        <f t="array" ref="I79">INDEX($E$5:$AH$16,$C79,I$68) * INDEX($C$57:$AF$60,$B79,I$68)</f>
        <v>70.294499441516251</v>
      </c>
      <c r="J79" s="147" cm="1">
        <f t="array" ref="J79">INDEX($E$5:$AH$16,$C79,J$68) * INDEX($C$57:$AF$60,$B79,J$68)</f>
        <v>70.294499441516251</v>
      </c>
      <c r="K79" s="147" cm="1">
        <f t="array" ref="K79">INDEX($E$5:$AH$16,$C79,K$68) * INDEX($C$57:$AF$60,$B79,K$68)</f>
        <v>70.294499441516251</v>
      </c>
      <c r="L79" s="147" cm="1">
        <f t="array" ref="L79">INDEX($E$5:$AH$16,$C79,L$68) * INDEX($C$57:$AF$60,$B79,L$68)</f>
        <v>70.294499441516251</v>
      </c>
      <c r="M79" s="147" cm="1">
        <f t="array" ref="M79">INDEX($E$5:$AH$16,$C79,M$68) * INDEX($C$57:$AF$60,$B79,M$68)</f>
        <v>70.294499441516251</v>
      </c>
      <c r="N79" s="147" cm="1">
        <f t="array" ref="N79">INDEX($E$5:$AH$16,$C79,N$68) * INDEX($C$57:$AF$60,$B79,N$68)</f>
        <v>70.294499441516251</v>
      </c>
      <c r="O79" s="147" cm="1">
        <f t="array" ref="O79">INDEX($E$5:$AH$16,$C79,O$68) * INDEX($C$57:$AF$60,$B79,O$68)</f>
        <v>70.294499441516251</v>
      </c>
      <c r="P79" s="147" cm="1">
        <f t="array" ref="P79">INDEX($E$5:$AH$16,$C79,P$68) * INDEX($C$57:$AF$60,$B79,P$68)</f>
        <v>70.294499441516251</v>
      </c>
      <c r="Q79" s="147" cm="1">
        <f t="array" ref="Q79">INDEX($E$5:$AH$16,$C79,Q$68) * INDEX($C$57:$AF$60,$B79,Q$68)</f>
        <v>70.294499441516251</v>
      </c>
      <c r="R79" s="147" cm="1">
        <f t="array" ref="R79">INDEX($E$5:$AH$16,$C79,R$68) * INDEX($C$57:$AF$60,$B79,R$68)</f>
        <v>70.294499441516251</v>
      </c>
      <c r="S79" s="147" cm="1">
        <f t="array" ref="S79">INDEX($E$5:$AH$16,$C79,S$68) * INDEX($C$57:$AF$60,$B79,S$68)</f>
        <v>70.294499441516251</v>
      </c>
      <c r="T79" s="147" cm="1">
        <f t="array" ref="T79">INDEX($E$5:$AH$16,$C79,T$68) * INDEX($C$57:$AF$60,$B79,T$68)</f>
        <v>70.294499441516251</v>
      </c>
      <c r="U79" s="147" cm="1">
        <f t="array" ref="U79">INDEX($E$5:$AH$16,$C79,U$68) * INDEX($C$57:$AF$60,$B79,U$68)</f>
        <v>70.294499441516251</v>
      </c>
      <c r="V79" s="147" cm="1">
        <f t="array" ref="V79">INDEX($E$5:$AH$16,$C79,V$68) * INDEX($C$57:$AF$60,$B79,V$68)</f>
        <v>70.294499441516251</v>
      </c>
      <c r="W79" s="147" cm="1">
        <f t="array" ref="W79">INDEX($E$5:$AH$16,$C79,W$68) * INDEX($C$57:$AF$60,$B79,W$68)</f>
        <v>70.294499441516251</v>
      </c>
      <c r="X79" s="147" cm="1">
        <f t="array" ref="X79">INDEX($E$5:$AH$16,$C79,X$68) * INDEX($C$57:$AF$60,$B79,X$68)</f>
        <v>70.294499441516251</v>
      </c>
      <c r="Y79" s="147" cm="1">
        <f t="array" ref="Y79">INDEX($E$5:$AH$16,$C79,Y$68) * INDEX($C$57:$AF$60,$B79,Y$68)</f>
        <v>70.294499441516251</v>
      </c>
      <c r="Z79" s="147" cm="1">
        <f t="array" ref="Z79">INDEX($E$5:$AH$16,$C79,Z$68) * INDEX($C$57:$AF$60,$B79,Z$68)</f>
        <v>70.294499441516251</v>
      </c>
      <c r="AA79" s="147" cm="1">
        <f t="array" ref="AA79">INDEX($E$5:$AH$16,$C79,AA$68) * INDEX($C$57:$AF$60,$B79,AA$68)</f>
        <v>70.294499441516251</v>
      </c>
      <c r="AB79" s="147" cm="1">
        <f t="array" ref="AB79">INDEX($E$5:$AH$16,$C79,AB$68) * INDEX($C$57:$AF$60,$B79,AB$68)</f>
        <v>70.294499441516251</v>
      </c>
      <c r="AC79" s="147" cm="1">
        <f t="array" ref="AC79">INDEX($E$5:$AH$16,$C79,AC$68) * INDEX($C$57:$AF$60,$B79,AC$68)</f>
        <v>70.294499441516251</v>
      </c>
      <c r="AD79" s="147" cm="1">
        <f t="array" ref="AD79">INDEX($E$5:$AH$16,$C79,AD$68) * INDEX($C$57:$AF$60,$B79,AD$68)</f>
        <v>70.294499441516251</v>
      </c>
      <c r="AE79" s="147" cm="1">
        <f t="array" ref="AE79">INDEX($E$5:$AH$16,$C79,AE$68) * INDEX($C$57:$AF$60,$B79,AE$68)</f>
        <v>70.294499441516251</v>
      </c>
      <c r="AF79" s="147" cm="1">
        <f t="array" ref="AF79">INDEX($E$5:$AH$16,$C79,AF$68) * INDEX($C$57:$AF$60,$B79,AF$68)</f>
        <v>70.294499441516251</v>
      </c>
      <c r="AG79" s="147" cm="1">
        <f t="array" ref="AG79">INDEX($E$5:$AH$16,$C79,AG$68) * INDEX($C$57:$AF$60,$B79,AG$68)</f>
        <v>70.294499441516251</v>
      </c>
      <c r="AH79" s="147" cm="1">
        <f t="array" ref="AH79">INDEX($E$5:$AH$16,$C79,AH$68) * INDEX($C$57:$AF$60,$B79,AH$68)</f>
        <v>70.294499441516251</v>
      </c>
    </row>
    <row r="80" spans="2:34">
      <c r="B80" s="149">
        <v>1</v>
      </c>
      <c r="C80" s="149">
        <v>11</v>
      </c>
      <c r="D80" s="267" t="str">
        <v>Motocicleta</v>
      </c>
      <c r="E80" s="147" cm="1">
        <f t="array" ref="E80">INDEX($E$5:$AH$16,$C80,E$68) * INDEX($C$57:$AF$60,$B80,E$68)</f>
        <v>2.7894642635522322</v>
      </c>
      <c r="F80" s="147" cm="1">
        <f t="array" ref="F80">INDEX($E$5:$AH$16,$C80,F$68) * INDEX($C$57:$AF$60,$B80,F$68)</f>
        <v>2.7894642635522322</v>
      </c>
      <c r="G80" s="147" cm="1">
        <f t="array" ref="G80">INDEX($E$5:$AH$16,$C80,G$68) * INDEX($C$57:$AF$60,$B80,G$68)</f>
        <v>2.7894642635522322</v>
      </c>
      <c r="H80" s="147" cm="1">
        <f t="array" ref="H80">INDEX($E$5:$AH$16,$C80,H$68) * INDEX($C$57:$AF$60,$B80,H$68)</f>
        <v>2.7894642635522322</v>
      </c>
      <c r="I80" s="147" cm="1">
        <f t="array" ref="I80">INDEX($E$5:$AH$16,$C80,I$68) * INDEX($C$57:$AF$60,$B80,I$68)</f>
        <v>3.9052499689731248</v>
      </c>
      <c r="J80" s="147" cm="1">
        <f t="array" ref="J80">INDEX($E$5:$AH$16,$C80,J$68) * INDEX($C$57:$AF$60,$B80,J$68)</f>
        <v>3.9052499689731248</v>
      </c>
      <c r="K80" s="147" cm="1">
        <f t="array" ref="K80">INDEX($E$5:$AH$16,$C80,K$68) * INDEX($C$57:$AF$60,$B80,K$68)</f>
        <v>3.9052499689731248</v>
      </c>
      <c r="L80" s="147" cm="1">
        <f t="array" ref="L80">INDEX($E$5:$AH$16,$C80,L$68) * INDEX($C$57:$AF$60,$B80,L$68)</f>
        <v>3.9052499689731248</v>
      </c>
      <c r="M80" s="147" cm="1">
        <f t="array" ref="M80">INDEX($E$5:$AH$16,$C80,M$68) * INDEX($C$57:$AF$60,$B80,M$68)</f>
        <v>3.9052499689731248</v>
      </c>
      <c r="N80" s="147" cm="1">
        <f t="array" ref="N80">INDEX($E$5:$AH$16,$C80,N$68) * INDEX($C$57:$AF$60,$B80,N$68)</f>
        <v>3.9052499689731248</v>
      </c>
      <c r="O80" s="147" cm="1">
        <f t="array" ref="O80">INDEX($E$5:$AH$16,$C80,O$68) * INDEX($C$57:$AF$60,$B80,O$68)</f>
        <v>3.9052499689731248</v>
      </c>
      <c r="P80" s="147" cm="1">
        <f t="array" ref="P80">INDEX($E$5:$AH$16,$C80,P$68) * INDEX($C$57:$AF$60,$B80,P$68)</f>
        <v>3.9052499689731248</v>
      </c>
      <c r="Q80" s="147" cm="1">
        <f t="array" ref="Q80">INDEX($E$5:$AH$16,$C80,Q$68) * INDEX($C$57:$AF$60,$B80,Q$68)</f>
        <v>3.9052499689731248</v>
      </c>
      <c r="R80" s="147" cm="1">
        <f t="array" ref="R80">INDEX($E$5:$AH$16,$C80,R$68) * INDEX($C$57:$AF$60,$B80,R$68)</f>
        <v>3.9052499689731248</v>
      </c>
      <c r="S80" s="147" cm="1">
        <f t="array" ref="S80">INDEX($E$5:$AH$16,$C80,S$68) * INDEX($C$57:$AF$60,$B80,S$68)</f>
        <v>3.9052499689731248</v>
      </c>
      <c r="T80" s="147" cm="1">
        <f t="array" ref="T80">INDEX($E$5:$AH$16,$C80,T$68) * INDEX($C$57:$AF$60,$B80,T$68)</f>
        <v>3.9052499689731248</v>
      </c>
      <c r="U80" s="147" cm="1">
        <f t="array" ref="U80">INDEX($E$5:$AH$16,$C80,U$68) * INDEX($C$57:$AF$60,$B80,U$68)</f>
        <v>3.9052499689731248</v>
      </c>
      <c r="V80" s="147" cm="1">
        <f t="array" ref="V80">INDEX($E$5:$AH$16,$C80,V$68) * INDEX($C$57:$AF$60,$B80,V$68)</f>
        <v>3.9052499689731248</v>
      </c>
      <c r="W80" s="147" cm="1">
        <f t="array" ref="W80">INDEX($E$5:$AH$16,$C80,W$68) * INDEX($C$57:$AF$60,$B80,W$68)</f>
        <v>3.9052499689731248</v>
      </c>
      <c r="X80" s="147" cm="1">
        <f t="array" ref="X80">INDEX($E$5:$AH$16,$C80,X$68) * INDEX($C$57:$AF$60,$B80,X$68)</f>
        <v>3.9052499689731248</v>
      </c>
      <c r="Y80" s="147" cm="1">
        <f t="array" ref="Y80">INDEX($E$5:$AH$16,$C80,Y$68) * INDEX($C$57:$AF$60,$B80,Y$68)</f>
        <v>3.9052499689731248</v>
      </c>
      <c r="Z80" s="147" cm="1">
        <f t="array" ref="Z80">INDEX($E$5:$AH$16,$C80,Z$68) * INDEX($C$57:$AF$60,$B80,Z$68)</f>
        <v>3.9052499689731248</v>
      </c>
      <c r="AA80" s="147" cm="1">
        <f t="array" ref="AA80">INDEX($E$5:$AH$16,$C80,AA$68) * INDEX($C$57:$AF$60,$B80,AA$68)</f>
        <v>3.9052499689731248</v>
      </c>
      <c r="AB80" s="147" cm="1">
        <f t="array" ref="AB80">INDEX($E$5:$AH$16,$C80,AB$68) * INDEX($C$57:$AF$60,$B80,AB$68)</f>
        <v>3.9052499689731248</v>
      </c>
      <c r="AC80" s="147" cm="1">
        <f t="array" ref="AC80">INDEX($E$5:$AH$16,$C80,AC$68) * INDEX($C$57:$AF$60,$B80,AC$68)</f>
        <v>3.9052499689731248</v>
      </c>
      <c r="AD80" s="147" cm="1">
        <f t="array" ref="AD80">INDEX($E$5:$AH$16,$C80,AD$68) * INDEX($C$57:$AF$60,$B80,AD$68)</f>
        <v>3.9052499689731248</v>
      </c>
      <c r="AE80" s="147" cm="1">
        <f t="array" ref="AE80">INDEX($E$5:$AH$16,$C80,AE$68) * INDEX($C$57:$AF$60,$B80,AE$68)</f>
        <v>3.9052499689731248</v>
      </c>
      <c r="AF80" s="147" cm="1">
        <f t="array" ref="AF80">INDEX($E$5:$AH$16,$C80,AF$68) * INDEX($C$57:$AF$60,$B80,AF$68)</f>
        <v>3.9052499689731248</v>
      </c>
      <c r="AG80" s="147" cm="1">
        <f t="array" ref="AG80">INDEX($E$5:$AH$16,$C80,AG$68) * INDEX($C$57:$AF$60,$B80,AG$68)</f>
        <v>3.9052499689731248</v>
      </c>
      <c r="AH80" s="147" cm="1">
        <f t="array" ref="AH80">INDEX($E$5:$AH$16,$C80,AH$68) * INDEX($C$57:$AF$60,$B80,AH$68)</f>
        <v>3.9052499689731248</v>
      </c>
    </row>
    <row r="81" spans="2:34">
      <c r="B81" s="149">
        <v>1</v>
      </c>
      <c r="C81" s="149">
        <v>12</v>
      </c>
      <c r="D81" s="267" t="str">
        <v xml:space="preserve">Veículos do transporte público coletivo intermunicipal e metropolitano </v>
      </c>
      <c r="E81" s="147" cm="1">
        <f t="array" ref="E81">INDEX($E$5:$AH$16,$C81,E$68) * INDEX($C$57:$AF$60,$B81,E$68)</f>
        <v>0</v>
      </c>
      <c r="F81" s="147" cm="1">
        <f t="array" ref="F81">INDEX($E$5:$AH$16,$C81,F$68) * INDEX($C$57:$AF$60,$B81,F$68)</f>
        <v>0</v>
      </c>
      <c r="G81" s="147" cm="1">
        <f t="array" ref="G81">INDEX($E$5:$AH$16,$C81,G$68) * INDEX($C$57:$AF$60,$B81,G$68)</f>
        <v>0</v>
      </c>
      <c r="H81" s="147" cm="1">
        <f t="array" ref="H81">INDEX($E$5:$AH$16,$C81,H$68) * INDEX($C$57:$AF$60,$B81,H$68)</f>
        <v>0</v>
      </c>
      <c r="I81" s="147" cm="1">
        <f t="array" ref="I81">INDEX($E$5:$AH$16,$C81,I$68) * INDEX($C$57:$AF$60,$B81,I$68)</f>
        <v>0</v>
      </c>
      <c r="J81" s="147" cm="1">
        <f t="array" ref="J81">INDEX($E$5:$AH$16,$C81,J$68) * INDEX($C$57:$AF$60,$B81,J$68)</f>
        <v>0</v>
      </c>
      <c r="K81" s="147" cm="1">
        <f t="array" ref="K81">INDEX($E$5:$AH$16,$C81,K$68) * INDEX($C$57:$AF$60,$B81,K$68)</f>
        <v>0</v>
      </c>
      <c r="L81" s="147" cm="1">
        <f t="array" ref="L81">INDEX($E$5:$AH$16,$C81,L$68) * INDEX($C$57:$AF$60,$B81,L$68)</f>
        <v>0</v>
      </c>
      <c r="M81" s="147" cm="1">
        <f t="array" ref="M81">INDEX($E$5:$AH$16,$C81,M$68) * INDEX($C$57:$AF$60,$B81,M$68)</f>
        <v>0</v>
      </c>
      <c r="N81" s="147" cm="1">
        <f t="array" ref="N81">INDEX($E$5:$AH$16,$C81,N$68) * INDEX($C$57:$AF$60,$B81,N$68)</f>
        <v>0</v>
      </c>
      <c r="O81" s="147" cm="1">
        <f t="array" ref="O81">INDEX($E$5:$AH$16,$C81,O$68) * INDEX($C$57:$AF$60,$B81,O$68)</f>
        <v>0</v>
      </c>
      <c r="P81" s="147" cm="1">
        <f t="array" ref="P81">INDEX($E$5:$AH$16,$C81,P$68) * INDEX($C$57:$AF$60,$B81,P$68)</f>
        <v>0</v>
      </c>
      <c r="Q81" s="147" cm="1">
        <f t="array" ref="Q81">INDEX($E$5:$AH$16,$C81,Q$68) * INDEX($C$57:$AF$60,$B81,Q$68)</f>
        <v>0</v>
      </c>
      <c r="R81" s="147" cm="1">
        <f t="array" ref="R81">INDEX($E$5:$AH$16,$C81,R$68) * INDEX($C$57:$AF$60,$B81,R$68)</f>
        <v>0</v>
      </c>
      <c r="S81" s="147" cm="1">
        <f t="array" ref="S81">INDEX($E$5:$AH$16,$C81,S$68) * INDEX($C$57:$AF$60,$B81,S$68)</f>
        <v>0</v>
      </c>
      <c r="T81" s="147" cm="1">
        <f t="array" ref="T81">INDEX($E$5:$AH$16,$C81,T$68) * INDEX($C$57:$AF$60,$B81,T$68)</f>
        <v>0</v>
      </c>
      <c r="U81" s="147" cm="1">
        <f t="array" ref="U81">INDEX($E$5:$AH$16,$C81,U$68) * INDEX($C$57:$AF$60,$B81,U$68)</f>
        <v>0</v>
      </c>
      <c r="V81" s="147" cm="1">
        <f t="array" ref="V81">INDEX($E$5:$AH$16,$C81,V$68) * INDEX($C$57:$AF$60,$B81,V$68)</f>
        <v>0</v>
      </c>
      <c r="W81" s="147" cm="1">
        <f t="array" ref="W81">INDEX($E$5:$AH$16,$C81,W$68) * INDEX($C$57:$AF$60,$B81,W$68)</f>
        <v>0</v>
      </c>
      <c r="X81" s="147" cm="1">
        <f t="array" ref="X81">INDEX($E$5:$AH$16,$C81,X$68) * INDEX($C$57:$AF$60,$B81,X$68)</f>
        <v>0</v>
      </c>
      <c r="Y81" s="147" cm="1">
        <f t="array" ref="Y81">INDEX($E$5:$AH$16,$C81,Y$68) * INDEX($C$57:$AF$60,$B81,Y$68)</f>
        <v>0</v>
      </c>
      <c r="Z81" s="147" cm="1">
        <f t="array" ref="Z81">INDEX($E$5:$AH$16,$C81,Z$68) * INDEX($C$57:$AF$60,$B81,Z$68)</f>
        <v>0</v>
      </c>
      <c r="AA81" s="147" cm="1">
        <f t="array" ref="AA81">INDEX($E$5:$AH$16,$C81,AA$68) * INDEX($C$57:$AF$60,$B81,AA$68)</f>
        <v>0</v>
      </c>
      <c r="AB81" s="147" cm="1">
        <f t="array" ref="AB81">INDEX($E$5:$AH$16,$C81,AB$68) * INDEX($C$57:$AF$60,$B81,AB$68)</f>
        <v>0</v>
      </c>
      <c r="AC81" s="147" cm="1">
        <f t="array" ref="AC81">INDEX($E$5:$AH$16,$C81,AC$68) * INDEX($C$57:$AF$60,$B81,AC$68)</f>
        <v>0</v>
      </c>
      <c r="AD81" s="147" cm="1">
        <f t="array" ref="AD81">INDEX($E$5:$AH$16,$C81,AD$68) * INDEX($C$57:$AF$60,$B81,AD$68)</f>
        <v>0</v>
      </c>
      <c r="AE81" s="147" cm="1">
        <f t="array" ref="AE81">INDEX($E$5:$AH$16,$C81,AE$68) * INDEX($C$57:$AF$60,$B81,AE$68)</f>
        <v>0</v>
      </c>
      <c r="AF81" s="147" cm="1">
        <f t="array" ref="AF81">INDEX($E$5:$AH$16,$C81,AF$68) * INDEX($C$57:$AF$60,$B81,AF$68)</f>
        <v>0</v>
      </c>
      <c r="AG81" s="147" cm="1">
        <f t="array" ref="AG81">INDEX($E$5:$AH$16,$C81,AG$68) * INDEX($C$57:$AF$60,$B81,AG$68)</f>
        <v>0</v>
      </c>
      <c r="AH81" s="147" cm="1">
        <f t="array" ref="AH81">INDEX($E$5:$AH$16,$C81,AH$68) * INDEX($C$57:$AF$60,$B81,AH$68)</f>
        <v>0</v>
      </c>
    </row>
    <row r="82" spans="2:34">
      <c r="B82" s="149">
        <v>2</v>
      </c>
      <c r="C82" s="149">
        <v>1</v>
      </c>
      <c r="D82" s="267" t="str">
        <v>Automóvel</v>
      </c>
      <c r="E82" s="147" cm="1">
        <f t="array" ref="E82">INDEX($E$5:$AH$16,$C82,E$68) * INDEX($C$57:$AF$60,$B82,E$68)</f>
        <v>5.5789285271044644</v>
      </c>
      <c r="F82" s="147" cm="1">
        <f t="array" ref="F82">INDEX($E$5:$AH$16,$C82,F$68) * INDEX($C$57:$AF$60,$B82,F$68)</f>
        <v>5.5789285271044644</v>
      </c>
      <c r="G82" s="147" cm="1">
        <f t="array" ref="G82">INDEX($E$5:$AH$16,$C82,G$68) * INDEX($C$57:$AF$60,$B82,G$68)</f>
        <v>5.5789285271044644</v>
      </c>
      <c r="H82" s="147" cm="1">
        <f t="array" ref="H82">INDEX($E$5:$AH$16,$C82,H$68) * INDEX($C$57:$AF$60,$B82,H$68)</f>
        <v>5.5789285271044644</v>
      </c>
      <c r="I82" s="147" cm="1">
        <f t="array" ref="I82">INDEX($E$5:$AH$16,$C82,I$68) * INDEX($C$57:$AF$60,$B82,I$68)</f>
        <v>5.5789285271044644</v>
      </c>
      <c r="J82" s="147" cm="1">
        <f t="array" ref="J82">INDEX($E$5:$AH$16,$C82,J$68) * INDEX($C$57:$AF$60,$B82,J$68)</f>
        <v>5.5789285271044644</v>
      </c>
      <c r="K82" s="147" cm="1">
        <f t="array" ref="K82">INDEX($E$5:$AH$16,$C82,K$68) * INDEX($C$57:$AF$60,$B82,K$68)</f>
        <v>7.8104999379462496</v>
      </c>
      <c r="L82" s="147" cm="1">
        <f t="array" ref="L82">INDEX($E$5:$AH$16,$C82,L$68) * INDEX($C$57:$AF$60,$B82,L$68)</f>
        <v>7.8104999379462496</v>
      </c>
      <c r="M82" s="147" cm="1">
        <f t="array" ref="M82">INDEX($E$5:$AH$16,$C82,M$68) * INDEX($C$57:$AF$60,$B82,M$68)</f>
        <v>7.8104999379462496</v>
      </c>
      <c r="N82" s="147" cm="1">
        <f t="array" ref="N82">INDEX($E$5:$AH$16,$C82,N$68) * INDEX($C$57:$AF$60,$B82,N$68)</f>
        <v>7.8104999379462496</v>
      </c>
      <c r="O82" s="147" cm="1">
        <f t="array" ref="O82">INDEX($E$5:$AH$16,$C82,O$68) * INDEX($C$57:$AF$60,$B82,O$68)</f>
        <v>7.8104999379462496</v>
      </c>
      <c r="P82" s="147" cm="1">
        <f t="array" ref="P82">INDEX($E$5:$AH$16,$C82,P$68) * INDEX($C$57:$AF$60,$B82,P$68)</f>
        <v>7.8104999379462496</v>
      </c>
      <c r="Q82" s="147" cm="1">
        <f t="array" ref="Q82">INDEX($E$5:$AH$16,$C82,Q$68) * INDEX($C$57:$AF$60,$B82,Q$68)</f>
        <v>7.8104999379462496</v>
      </c>
      <c r="R82" s="147" cm="1">
        <f t="array" ref="R82">INDEX($E$5:$AH$16,$C82,R$68) * INDEX($C$57:$AF$60,$B82,R$68)</f>
        <v>7.8104999379462496</v>
      </c>
      <c r="S82" s="147" cm="1">
        <f t="array" ref="S82">INDEX($E$5:$AH$16,$C82,S$68) * INDEX($C$57:$AF$60,$B82,S$68)</f>
        <v>7.8104999379462496</v>
      </c>
      <c r="T82" s="147" cm="1">
        <f t="array" ref="T82">INDEX($E$5:$AH$16,$C82,T$68) * INDEX($C$57:$AF$60,$B82,T$68)</f>
        <v>7.8104999379462496</v>
      </c>
      <c r="U82" s="147" cm="1">
        <f t="array" ref="U82">INDEX($E$5:$AH$16,$C82,U$68) * INDEX($C$57:$AF$60,$B82,U$68)</f>
        <v>7.8104999379462496</v>
      </c>
      <c r="V82" s="147" cm="1">
        <f t="array" ref="V82">INDEX($E$5:$AH$16,$C82,V$68) * INDEX($C$57:$AF$60,$B82,V$68)</f>
        <v>7.8104999379462496</v>
      </c>
      <c r="W82" s="147" cm="1">
        <f t="array" ref="W82">INDEX($E$5:$AH$16,$C82,W$68) * INDEX($C$57:$AF$60,$B82,W$68)</f>
        <v>7.8104999379462496</v>
      </c>
      <c r="X82" s="147" cm="1">
        <f t="array" ref="X82">INDEX($E$5:$AH$16,$C82,X$68) * INDEX($C$57:$AF$60,$B82,X$68)</f>
        <v>7.8104999379462496</v>
      </c>
      <c r="Y82" s="147" cm="1">
        <f t="array" ref="Y82">INDEX($E$5:$AH$16,$C82,Y$68) * INDEX($C$57:$AF$60,$B82,Y$68)</f>
        <v>7.8104999379462496</v>
      </c>
      <c r="Z82" s="147" cm="1">
        <f t="array" ref="Z82">INDEX($E$5:$AH$16,$C82,Z$68) * INDEX($C$57:$AF$60,$B82,Z$68)</f>
        <v>7.8104999379462496</v>
      </c>
      <c r="AA82" s="147" cm="1">
        <f t="array" ref="AA82">INDEX($E$5:$AH$16,$C82,AA$68) * INDEX($C$57:$AF$60,$B82,AA$68)</f>
        <v>7.8104999379462496</v>
      </c>
      <c r="AB82" s="147" cm="1">
        <f t="array" ref="AB82">INDEX($E$5:$AH$16,$C82,AB$68) * INDEX($C$57:$AF$60,$B82,AB$68)</f>
        <v>7.8104999379462496</v>
      </c>
      <c r="AC82" s="147" cm="1">
        <f t="array" ref="AC82">INDEX($E$5:$AH$16,$C82,AC$68) * INDEX($C$57:$AF$60,$B82,AC$68)</f>
        <v>7.8104999379462496</v>
      </c>
      <c r="AD82" s="147" cm="1">
        <f t="array" ref="AD82">INDEX($E$5:$AH$16,$C82,AD$68) * INDEX($C$57:$AF$60,$B82,AD$68)</f>
        <v>7.8104999379462496</v>
      </c>
      <c r="AE82" s="147" cm="1">
        <f t="array" ref="AE82">INDEX($E$5:$AH$16,$C82,AE$68) * INDEX($C$57:$AF$60,$B82,AE$68)</f>
        <v>7.8104999379462496</v>
      </c>
      <c r="AF82" s="147" cm="1">
        <f t="array" ref="AF82">INDEX($E$5:$AH$16,$C82,AF$68) * INDEX($C$57:$AF$60,$B82,AF$68)</f>
        <v>7.8104999379462496</v>
      </c>
      <c r="AG82" s="147" cm="1">
        <f t="array" ref="AG82">INDEX($E$5:$AH$16,$C82,AG$68) * INDEX($C$57:$AF$60,$B82,AG$68)</f>
        <v>7.8104999379462496</v>
      </c>
      <c r="AH82" s="147" cm="1">
        <f t="array" ref="AH82">INDEX($E$5:$AH$16,$C82,AH$68) * INDEX($C$57:$AF$60,$B82,AH$68)</f>
        <v>7.8104999379462496</v>
      </c>
    </row>
    <row r="83" spans="2:34">
      <c r="B83" s="149">
        <v>2</v>
      </c>
      <c r="C83" s="149">
        <v>2</v>
      </c>
      <c r="D83" s="267" t="str">
        <v xml:space="preserve">Automóvel com reboque </v>
      </c>
      <c r="E83" s="147" cm="1">
        <f t="array" ref="E83">INDEX($E$5:$AH$16,$C83,E$68) * INDEX($C$57:$AF$60,$B83,E$68)</f>
        <v>8.3683927906566957</v>
      </c>
      <c r="F83" s="147" cm="1">
        <f t="array" ref="F83">INDEX($E$5:$AH$16,$C83,F$68) * INDEX($C$57:$AF$60,$B83,F$68)</f>
        <v>8.3683927906566957</v>
      </c>
      <c r="G83" s="147" cm="1">
        <f t="array" ref="G83">INDEX($E$5:$AH$16,$C83,G$68) * INDEX($C$57:$AF$60,$B83,G$68)</f>
        <v>8.3683927906566957</v>
      </c>
      <c r="H83" s="147" cm="1">
        <f t="array" ref="H83">INDEX($E$5:$AH$16,$C83,H$68) * INDEX($C$57:$AF$60,$B83,H$68)</f>
        <v>8.3683927906566957</v>
      </c>
      <c r="I83" s="147" cm="1">
        <f t="array" ref="I83">INDEX($E$5:$AH$16,$C83,I$68) * INDEX($C$57:$AF$60,$B83,I$68)</f>
        <v>8.3683927906566957</v>
      </c>
      <c r="J83" s="147" cm="1">
        <f t="array" ref="J83">INDEX($E$5:$AH$16,$C83,J$68) * INDEX($C$57:$AF$60,$B83,J$68)</f>
        <v>8.3683927906566957</v>
      </c>
      <c r="K83" s="147" cm="1">
        <f t="array" ref="K83">INDEX($E$5:$AH$16,$C83,K$68) * INDEX($C$57:$AF$60,$B83,K$68)</f>
        <v>11.715749906919374</v>
      </c>
      <c r="L83" s="147" cm="1">
        <f t="array" ref="L83">INDEX($E$5:$AH$16,$C83,L$68) * INDEX($C$57:$AF$60,$B83,L$68)</f>
        <v>11.715749906919374</v>
      </c>
      <c r="M83" s="147" cm="1">
        <f t="array" ref="M83">INDEX($E$5:$AH$16,$C83,M$68) * INDEX($C$57:$AF$60,$B83,M$68)</f>
        <v>11.715749906919374</v>
      </c>
      <c r="N83" s="147" cm="1">
        <f t="array" ref="N83">INDEX($E$5:$AH$16,$C83,N$68) * INDEX($C$57:$AF$60,$B83,N$68)</f>
        <v>11.715749906919374</v>
      </c>
      <c r="O83" s="147" cm="1">
        <f t="array" ref="O83">INDEX($E$5:$AH$16,$C83,O$68) * INDEX($C$57:$AF$60,$B83,O$68)</f>
        <v>11.715749906919374</v>
      </c>
      <c r="P83" s="147" cm="1">
        <f t="array" ref="P83">INDEX($E$5:$AH$16,$C83,P$68) * INDEX($C$57:$AF$60,$B83,P$68)</f>
        <v>11.715749906919374</v>
      </c>
      <c r="Q83" s="147" cm="1">
        <f t="array" ref="Q83">INDEX($E$5:$AH$16,$C83,Q$68) * INDEX($C$57:$AF$60,$B83,Q$68)</f>
        <v>11.715749906919374</v>
      </c>
      <c r="R83" s="147" cm="1">
        <f t="array" ref="R83">INDEX($E$5:$AH$16,$C83,R$68) * INDEX($C$57:$AF$60,$B83,R$68)</f>
        <v>11.715749906919374</v>
      </c>
      <c r="S83" s="147" cm="1">
        <f t="array" ref="S83">INDEX($E$5:$AH$16,$C83,S$68) * INDEX($C$57:$AF$60,$B83,S$68)</f>
        <v>11.715749906919374</v>
      </c>
      <c r="T83" s="147" cm="1">
        <f t="array" ref="T83">INDEX($E$5:$AH$16,$C83,T$68) * INDEX($C$57:$AF$60,$B83,T$68)</f>
        <v>11.715749906919374</v>
      </c>
      <c r="U83" s="147" cm="1">
        <f t="array" ref="U83">INDEX($E$5:$AH$16,$C83,U$68) * INDEX($C$57:$AF$60,$B83,U$68)</f>
        <v>11.715749906919374</v>
      </c>
      <c r="V83" s="147" cm="1">
        <f t="array" ref="V83">INDEX($E$5:$AH$16,$C83,V$68) * INDEX($C$57:$AF$60,$B83,V$68)</f>
        <v>11.715749906919374</v>
      </c>
      <c r="W83" s="147" cm="1">
        <f t="array" ref="W83">INDEX($E$5:$AH$16,$C83,W$68) * INDEX($C$57:$AF$60,$B83,W$68)</f>
        <v>11.715749906919374</v>
      </c>
      <c r="X83" s="147" cm="1">
        <f t="array" ref="X83">INDEX($E$5:$AH$16,$C83,X$68) * INDEX($C$57:$AF$60,$B83,X$68)</f>
        <v>11.715749906919374</v>
      </c>
      <c r="Y83" s="147" cm="1">
        <f t="array" ref="Y83">INDEX($E$5:$AH$16,$C83,Y$68) * INDEX($C$57:$AF$60,$B83,Y$68)</f>
        <v>11.715749906919374</v>
      </c>
      <c r="Z83" s="147" cm="1">
        <f t="array" ref="Z83">INDEX($E$5:$AH$16,$C83,Z$68) * INDEX($C$57:$AF$60,$B83,Z$68)</f>
        <v>11.715749906919374</v>
      </c>
      <c r="AA83" s="147" cm="1">
        <f t="array" ref="AA83">INDEX($E$5:$AH$16,$C83,AA$68) * INDEX($C$57:$AF$60,$B83,AA$68)</f>
        <v>11.715749906919374</v>
      </c>
      <c r="AB83" s="147" cm="1">
        <f t="array" ref="AB83">INDEX($E$5:$AH$16,$C83,AB$68) * INDEX($C$57:$AF$60,$B83,AB$68)</f>
        <v>11.715749906919374</v>
      </c>
      <c r="AC83" s="147" cm="1">
        <f t="array" ref="AC83">INDEX($E$5:$AH$16,$C83,AC$68) * INDEX($C$57:$AF$60,$B83,AC$68)</f>
        <v>11.715749906919374</v>
      </c>
      <c r="AD83" s="147" cm="1">
        <f t="array" ref="AD83">INDEX($E$5:$AH$16,$C83,AD$68) * INDEX($C$57:$AF$60,$B83,AD$68)</f>
        <v>11.715749906919374</v>
      </c>
      <c r="AE83" s="147" cm="1">
        <f t="array" ref="AE83">INDEX($E$5:$AH$16,$C83,AE$68) * INDEX($C$57:$AF$60,$B83,AE$68)</f>
        <v>11.715749906919374</v>
      </c>
      <c r="AF83" s="147" cm="1">
        <f t="array" ref="AF83">INDEX($E$5:$AH$16,$C83,AF$68) * INDEX($C$57:$AF$60,$B83,AF$68)</f>
        <v>11.715749906919374</v>
      </c>
      <c r="AG83" s="147" cm="1">
        <f t="array" ref="AG83">INDEX($E$5:$AH$16,$C83,AG$68) * INDEX($C$57:$AF$60,$B83,AG$68)</f>
        <v>11.715749906919374</v>
      </c>
      <c r="AH83" s="147" cm="1">
        <f t="array" ref="AH83">INDEX($E$5:$AH$16,$C83,AH$68) * INDEX($C$57:$AF$60,$B83,AH$68)</f>
        <v>11.715749906919374</v>
      </c>
    </row>
    <row r="84" spans="2:34">
      <c r="B84" s="149">
        <v>2</v>
      </c>
      <c r="C84" s="149">
        <v>3</v>
      </c>
      <c r="D84" s="267" t="str">
        <v>Veículos Comerciais com 2 Eixos</v>
      </c>
      <c r="E84" s="147" cm="1">
        <f t="array" ref="E84">INDEX($E$5:$AH$16,$C84,E$68) * INDEX($C$57:$AF$60,$B84,E$68)</f>
        <v>11.157857054208929</v>
      </c>
      <c r="F84" s="147" cm="1">
        <f t="array" ref="F84">INDEX($E$5:$AH$16,$C84,F$68) * INDEX($C$57:$AF$60,$B84,F$68)</f>
        <v>11.157857054208929</v>
      </c>
      <c r="G84" s="147" cm="1">
        <f t="array" ref="G84">INDEX($E$5:$AH$16,$C84,G$68) * INDEX($C$57:$AF$60,$B84,G$68)</f>
        <v>11.157857054208929</v>
      </c>
      <c r="H84" s="147" cm="1">
        <f t="array" ref="H84">INDEX($E$5:$AH$16,$C84,H$68) * INDEX($C$57:$AF$60,$B84,H$68)</f>
        <v>11.157857054208929</v>
      </c>
      <c r="I84" s="147" cm="1">
        <f t="array" ref="I84">INDEX($E$5:$AH$16,$C84,I$68) * INDEX($C$57:$AF$60,$B84,I$68)</f>
        <v>11.157857054208929</v>
      </c>
      <c r="J84" s="147" cm="1">
        <f t="array" ref="J84">INDEX($E$5:$AH$16,$C84,J$68) * INDEX($C$57:$AF$60,$B84,J$68)</f>
        <v>11.157857054208929</v>
      </c>
      <c r="K84" s="147" cm="1">
        <f t="array" ref="K84">INDEX($E$5:$AH$16,$C84,K$68) * INDEX($C$57:$AF$60,$B84,K$68)</f>
        <v>15.620999875892499</v>
      </c>
      <c r="L84" s="147" cm="1">
        <f t="array" ref="L84">INDEX($E$5:$AH$16,$C84,L$68) * INDEX($C$57:$AF$60,$B84,L$68)</f>
        <v>15.620999875892499</v>
      </c>
      <c r="M84" s="147" cm="1">
        <f t="array" ref="M84">INDEX($E$5:$AH$16,$C84,M$68) * INDEX($C$57:$AF$60,$B84,M$68)</f>
        <v>15.620999875892499</v>
      </c>
      <c r="N84" s="147" cm="1">
        <f t="array" ref="N84">INDEX($E$5:$AH$16,$C84,N$68) * INDEX($C$57:$AF$60,$B84,N$68)</f>
        <v>15.620999875892499</v>
      </c>
      <c r="O84" s="147" cm="1">
        <f t="array" ref="O84">INDEX($E$5:$AH$16,$C84,O$68) * INDEX($C$57:$AF$60,$B84,O$68)</f>
        <v>15.620999875892499</v>
      </c>
      <c r="P84" s="147" cm="1">
        <f t="array" ref="P84">INDEX($E$5:$AH$16,$C84,P$68) * INDEX($C$57:$AF$60,$B84,P$68)</f>
        <v>15.620999875892499</v>
      </c>
      <c r="Q84" s="147" cm="1">
        <f t="array" ref="Q84">INDEX($E$5:$AH$16,$C84,Q$68) * INDEX($C$57:$AF$60,$B84,Q$68)</f>
        <v>15.620999875892499</v>
      </c>
      <c r="R84" s="147" cm="1">
        <f t="array" ref="R84">INDEX($E$5:$AH$16,$C84,R$68) * INDEX($C$57:$AF$60,$B84,R$68)</f>
        <v>15.620999875892499</v>
      </c>
      <c r="S84" s="147" cm="1">
        <f t="array" ref="S84">INDEX($E$5:$AH$16,$C84,S$68) * INDEX($C$57:$AF$60,$B84,S$68)</f>
        <v>15.620999875892499</v>
      </c>
      <c r="T84" s="147" cm="1">
        <f t="array" ref="T84">INDEX($E$5:$AH$16,$C84,T$68) * INDEX($C$57:$AF$60,$B84,T$68)</f>
        <v>15.620999875892499</v>
      </c>
      <c r="U84" s="147" cm="1">
        <f t="array" ref="U84">INDEX($E$5:$AH$16,$C84,U$68) * INDEX($C$57:$AF$60,$B84,U$68)</f>
        <v>15.620999875892499</v>
      </c>
      <c r="V84" s="147" cm="1">
        <f t="array" ref="V84">INDEX($E$5:$AH$16,$C84,V$68) * INDEX($C$57:$AF$60,$B84,V$68)</f>
        <v>15.620999875892499</v>
      </c>
      <c r="W84" s="147" cm="1">
        <f t="array" ref="W84">INDEX($E$5:$AH$16,$C84,W$68) * INDEX($C$57:$AF$60,$B84,W$68)</f>
        <v>15.620999875892499</v>
      </c>
      <c r="X84" s="147" cm="1">
        <f t="array" ref="X84">INDEX($E$5:$AH$16,$C84,X$68) * INDEX($C$57:$AF$60,$B84,X$68)</f>
        <v>15.620999875892499</v>
      </c>
      <c r="Y84" s="147" cm="1">
        <f t="array" ref="Y84">INDEX($E$5:$AH$16,$C84,Y$68) * INDEX($C$57:$AF$60,$B84,Y$68)</f>
        <v>15.620999875892499</v>
      </c>
      <c r="Z84" s="147" cm="1">
        <f t="array" ref="Z84">INDEX($E$5:$AH$16,$C84,Z$68) * INDEX($C$57:$AF$60,$B84,Z$68)</f>
        <v>15.620999875892499</v>
      </c>
      <c r="AA84" s="147" cm="1">
        <f t="array" ref="AA84">INDEX($E$5:$AH$16,$C84,AA$68) * INDEX($C$57:$AF$60,$B84,AA$68)</f>
        <v>15.620999875892499</v>
      </c>
      <c r="AB84" s="147" cm="1">
        <f t="array" ref="AB84">INDEX($E$5:$AH$16,$C84,AB$68) * INDEX($C$57:$AF$60,$B84,AB$68)</f>
        <v>15.620999875892499</v>
      </c>
      <c r="AC84" s="147" cm="1">
        <f t="array" ref="AC84">INDEX($E$5:$AH$16,$C84,AC$68) * INDEX($C$57:$AF$60,$B84,AC$68)</f>
        <v>15.620999875892499</v>
      </c>
      <c r="AD84" s="147" cm="1">
        <f t="array" ref="AD84">INDEX($E$5:$AH$16,$C84,AD$68) * INDEX($C$57:$AF$60,$B84,AD$68)</f>
        <v>15.620999875892499</v>
      </c>
      <c r="AE84" s="147" cm="1">
        <f t="array" ref="AE84">INDEX($E$5:$AH$16,$C84,AE$68) * INDEX($C$57:$AF$60,$B84,AE$68)</f>
        <v>15.620999875892499</v>
      </c>
      <c r="AF84" s="147" cm="1">
        <f t="array" ref="AF84">INDEX($E$5:$AH$16,$C84,AF$68) * INDEX($C$57:$AF$60,$B84,AF$68)</f>
        <v>15.620999875892499</v>
      </c>
      <c r="AG84" s="147" cm="1">
        <f t="array" ref="AG84">INDEX($E$5:$AH$16,$C84,AG$68) * INDEX($C$57:$AF$60,$B84,AG$68)</f>
        <v>15.620999875892499</v>
      </c>
      <c r="AH84" s="147" cm="1">
        <f t="array" ref="AH84">INDEX($E$5:$AH$16,$C84,AH$68) * INDEX($C$57:$AF$60,$B84,AH$68)</f>
        <v>15.620999875892499</v>
      </c>
    </row>
    <row r="85" spans="2:34">
      <c r="B85" s="149">
        <v>2</v>
      </c>
      <c r="C85" s="149">
        <v>4</v>
      </c>
      <c r="D85" s="267" t="str">
        <v>Veículos Comerciais com 3 Eixos</v>
      </c>
      <c r="E85" s="147" cm="1">
        <f t="array" ref="E85">INDEX($E$5:$AH$16,$C85,E$68) * INDEX($C$57:$AF$60,$B85,E$68)</f>
        <v>16.736785581313391</v>
      </c>
      <c r="F85" s="147" cm="1">
        <f t="array" ref="F85">INDEX($E$5:$AH$16,$C85,F$68) * INDEX($C$57:$AF$60,$B85,F$68)</f>
        <v>16.736785581313391</v>
      </c>
      <c r="G85" s="147" cm="1">
        <f t="array" ref="G85">INDEX($E$5:$AH$16,$C85,G$68) * INDEX($C$57:$AF$60,$B85,G$68)</f>
        <v>16.736785581313391</v>
      </c>
      <c r="H85" s="147" cm="1">
        <f t="array" ref="H85">INDEX($E$5:$AH$16,$C85,H$68) * INDEX($C$57:$AF$60,$B85,H$68)</f>
        <v>16.736785581313391</v>
      </c>
      <c r="I85" s="147" cm="1">
        <f t="array" ref="I85">INDEX($E$5:$AH$16,$C85,I$68) * INDEX($C$57:$AF$60,$B85,I$68)</f>
        <v>16.736785581313391</v>
      </c>
      <c r="J85" s="147" cm="1">
        <f t="array" ref="J85">INDEX($E$5:$AH$16,$C85,J$68) * INDEX($C$57:$AF$60,$B85,J$68)</f>
        <v>16.736785581313391</v>
      </c>
      <c r="K85" s="147" cm="1">
        <f t="array" ref="K85">INDEX($E$5:$AH$16,$C85,K$68) * INDEX($C$57:$AF$60,$B85,K$68)</f>
        <v>23.431499813838748</v>
      </c>
      <c r="L85" s="147" cm="1">
        <f t="array" ref="L85">INDEX($E$5:$AH$16,$C85,L$68) * INDEX($C$57:$AF$60,$B85,L$68)</f>
        <v>23.431499813838748</v>
      </c>
      <c r="M85" s="147" cm="1">
        <f t="array" ref="M85">INDEX($E$5:$AH$16,$C85,M$68) * INDEX($C$57:$AF$60,$B85,M$68)</f>
        <v>23.431499813838748</v>
      </c>
      <c r="N85" s="147" cm="1">
        <f t="array" ref="N85">INDEX($E$5:$AH$16,$C85,N$68) * INDEX($C$57:$AF$60,$B85,N$68)</f>
        <v>23.431499813838748</v>
      </c>
      <c r="O85" s="147" cm="1">
        <f t="array" ref="O85">INDEX($E$5:$AH$16,$C85,O$68) * INDEX($C$57:$AF$60,$B85,O$68)</f>
        <v>23.431499813838748</v>
      </c>
      <c r="P85" s="147" cm="1">
        <f t="array" ref="P85">INDEX($E$5:$AH$16,$C85,P$68) * INDEX($C$57:$AF$60,$B85,P$68)</f>
        <v>23.431499813838748</v>
      </c>
      <c r="Q85" s="147" cm="1">
        <f t="array" ref="Q85">INDEX($E$5:$AH$16,$C85,Q$68) * INDEX($C$57:$AF$60,$B85,Q$68)</f>
        <v>23.431499813838748</v>
      </c>
      <c r="R85" s="147" cm="1">
        <f t="array" ref="R85">INDEX($E$5:$AH$16,$C85,R$68) * INDEX($C$57:$AF$60,$B85,R$68)</f>
        <v>23.431499813838748</v>
      </c>
      <c r="S85" s="147" cm="1">
        <f t="array" ref="S85">INDEX($E$5:$AH$16,$C85,S$68) * INDEX($C$57:$AF$60,$B85,S$68)</f>
        <v>23.431499813838748</v>
      </c>
      <c r="T85" s="147" cm="1">
        <f t="array" ref="T85">INDEX($E$5:$AH$16,$C85,T$68) * INDEX($C$57:$AF$60,$B85,T$68)</f>
        <v>23.431499813838748</v>
      </c>
      <c r="U85" s="147" cm="1">
        <f t="array" ref="U85">INDEX($E$5:$AH$16,$C85,U$68) * INDEX($C$57:$AF$60,$B85,U$68)</f>
        <v>23.431499813838748</v>
      </c>
      <c r="V85" s="147" cm="1">
        <f t="array" ref="V85">INDEX($E$5:$AH$16,$C85,V$68) * INDEX($C$57:$AF$60,$B85,V$68)</f>
        <v>23.431499813838748</v>
      </c>
      <c r="W85" s="147" cm="1">
        <f t="array" ref="W85">INDEX($E$5:$AH$16,$C85,W$68) * INDEX($C$57:$AF$60,$B85,W$68)</f>
        <v>23.431499813838748</v>
      </c>
      <c r="X85" s="147" cm="1">
        <f t="array" ref="X85">INDEX($E$5:$AH$16,$C85,X$68) * INDEX($C$57:$AF$60,$B85,X$68)</f>
        <v>23.431499813838748</v>
      </c>
      <c r="Y85" s="147" cm="1">
        <f t="array" ref="Y85">INDEX($E$5:$AH$16,$C85,Y$68) * INDEX($C$57:$AF$60,$B85,Y$68)</f>
        <v>23.431499813838748</v>
      </c>
      <c r="Z85" s="147" cm="1">
        <f t="array" ref="Z85">INDEX($E$5:$AH$16,$C85,Z$68) * INDEX($C$57:$AF$60,$B85,Z$68)</f>
        <v>23.431499813838748</v>
      </c>
      <c r="AA85" s="147" cm="1">
        <f t="array" ref="AA85">INDEX($E$5:$AH$16,$C85,AA$68) * INDEX($C$57:$AF$60,$B85,AA$68)</f>
        <v>23.431499813838748</v>
      </c>
      <c r="AB85" s="147" cm="1">
        <f t="array" ref="AB85">INDEX($E$5:$AH$16,$C85,AB$68) * INDEX($C$57:$AF$60,$B85,AB$68)</f>
        <v>23.431499813838748</v>
      </c>
      <c r="AC85" s="147" cm="1">
        <f t="array" ref="AC85">INDEX($E$5:$AH$16,$C85,AC$68) * INDEX($C$57:$AF$60,$B85,AC$68)</f>
        <v>23.431499813838748</v>
      </c>
      <c r="AD85" s="147" cm="1">
        <f t="array" ref="AD85">INDEX($E$5:$AH$16,$C85,AD$68) * INDEX($C$57:$AF$60,$B85,AD$68)</f>
        <v>23.431499813838748</v>
      </c>
      <c r="AE85" s="147" cm="1">
        <f t="array" ref="AE85">INDEX($E$5:$AH$16,$C85,AE$68) * INDEX($C$57:$AF$60,$B85,AE$68)</f>
        <v>23.431499813838748</v>
      </c>
      <c r="AF85" s="147" cm="1">
        <f t="array" ref="AF85">INDEX($E$5:$AH$16,$C85,AF$68) * INDEX($C$57:$AF$60,$B85,AF$68)</f>
        <v>23.431499813838748</v>
      </c>
      <c r="AG85" s="147" cm="1">
        <f t="array" ref="AG85">INDEX($E$5:$AH$16,$C85,AG$68) * INDEX($C$57:$AF$60,$B85,AG$68)</f>
        <v>23.431499813838748</v>
      </c>
      <c r="AH85" s="147" cm="1">
        <f t="array" ref="AH85">INDEX($E$5:$AH$16,$C85,AH$68) * INDEX($C$57:$AF$60,$B85,AH$68)</f>
        <v>23.431499813838748</v>
      </c>
    </row>
    <row r="86" spans="2:34">
      <c r="B86" s="149">
        <v>2</v>
      </c>
      <c r="C86" s="149">
        <v>5</v>
      </c>
      <c r="D86" s="267" t="str">
        <v>Veículos Comerciais com 4 Eixos</v>
      </c>
      <c r="E86" s="147" cm="1">
        <f t="array" ref="E86">INDEX($E$5:$AH$16,$C86,E$68) * INDEX($C$57:$AF$60,$B86,E$68)</f>
        <v>22.315714108417858</v>
      </c>
      <c r="F86" s="147" cm="1">
        <f t="array" ref="F86">INDEX($E$5:$AH$16,$C86,F$68) * INDEX($C$57:$AF$60,$B86,F$68)</f>
        <v>22.315714108417858</v>
      </c>
      <c r="G86" s="147" cm="1">
        <f t="array" ref="G86">INDEX($E$5:$AH$16,$C86,G$68) * INDEX($C$57:$AF$60,$B86,G$68)</f>
        <v>22.315714108417858</v>
      </c>
      <c r="H86" s="147" cm="1">
        <f t="array" ref="H86">INDEX($E$5:$AH$16,$C86,H$68) * INDEX($C$57:$AF$60,$B86,H$68)</f>
        <v>22.315714108417858</v>
      </c>
      <c r="I86" s="147" cm="1">
        <f t="array" ref="I86">INDEX($E$5:$AH$16,$C86,I$68) * INDEX($C$57:$AF$60,$B86,I$68)</f>
        <v>22.315714108417858</v>
      </c>
      <c r="J86" s="147" cm="1">
        <f t="array" ref="J86">INDEX($E$5:$AH$16,$C86,J$68) * INDEX($C$57:$AF$60,$B86,J$68)</f>
        <v>22.315714108417858</v>
      </c>
      <c r="K86" s="147" cm="1">
        <f t="array" ref="K86">INDEX($E$5:$AH$16,$C86,K$68) * INDEX($C$57:$AF$60,$B86,K$68)</f>
        <v>31.241999751784999</v>
      </c>
      <c r="L86" s="147" cm="1">
        <f t="array" ref="L86">INDEX($E$5:$AH$16,$C86,L$68) * INDEX($C$57:$AF$60,$B86,L$68)</f>
        <v>31.241999751784999</v>
      </c>
      <c r="M86" s="147" cm="1">
        <f t="array" ref="M86">INDEX($E$5:$AH$16,$C86,M$68) * INDEX($C$57:$AF$60,$B86,M$68)</f>
        <v>31.241999751784999</v>
      </c>
      <c r="N86" s="147" cm="1">
        <f t="array" ref="N86">INDEX($E$5:$AH$16,$C86,N$68) * INDEX($C$57:$AF$60,$B86,N$68)</f>
        <v>31.241999751784999</v>
      </c>
      <c r="O86" s="147" cm="1">
        <f t="array" ref="O86">INDEX($E$5:$AH$16,$C86,O$68) * INDEX($C$57:$AF$60,$B86,O$68)</f>
        <v>31.241999751784999</v>
      </c>
      <c r="P86" s="147" cm="1">
        <f t="array" ref="P86">INDEX($E$5:$AH$16,$C86,P$68) * INDEX($C$57:$AF$60,$B86,P$68)</f>
        <v>31.241999751784999</v>
      </c>
      <c r="Q86" s="147" cm="1">
        <f t="array" ref="Q86">INDEX($E$5:$AH$16,$C86,Q$68) * INDEX($C$57:$AF$60,$B86,Q$68)</f>
        <v>31.241999751784999</v>
      </c>
      <c r="R86" s="147" cm="1">
        <f t="array" ref="R86">INDEX($E$5:$AH$16,$C86,R$68) * INDEX($C$57:$AF$60,$B86,R$68)</f>
        <v>31.241999751784999</v>
      </c>
      <c r="S86" s="147" cm="1">
        <f t="array" ref="S86">INDEX($E$5:$AH$16,$C86,S$68) * INDEX($C$57:$AF$60,$B86,S$68)</f>
        <v>31.241999751784999</v>
      </c>
      <c r="T86" s="147" cm="1">
        <f t="array" ref="T86">INDEX($E$5:$AH$16,$C86,T$68) * INDEX($C$57:$AF$60,$B86,T$68)</f>
        <v>31.241999751784999</v>
      </c>
      <c r="U86" s="147" cm="1">
        <f t="array" ref="U86">INDEX($E$5:$AH$16,$C86,U$68) * INDEX($C$57:$AF$60,$B86,U$68)</f>
        <v>31.241999751784999</v>
      </c>
      <c r="V86" s="147" cm="1">
        <f t="array" ref="V86">INDEX($E$5:$AH$16,$C86,V$68) * INDEX($C$57:$AF$60,$B86,V$68)</f>
        <v>31.241999751784999</v>
      </c>
      <c r="W86" s="147" cm="1">
        <f t="array" ref="W86">INDEX($E$5:$AH$16,$C86,W$68) * INDEX($C$57:$AF$60,$B86,W$68)</f>
        <v>31.241999751784999</v>
      </c>
      <c r="X86" s="147" cm="1">
        <f t="array" ref="X86">INDEX($E$5:$AH$16,$C86,X$68) * INDEX($C$57:$AF$60,$B86,X$68)</f>
        <v>31.241999751784999</v>
      </c>
      <c r="Y86" s="147" cm="1">
        <f t="array" ref="Y86">INDEX($E$5:$AH$16,$C86,Y$68) * INDEX($C$57:$AF$60,$B86,Y$68)</f>
        <v>31.241999751784999</v>
      </c>
      <c r="Z86" s="147" cm="1">
        <f t="array" ref="Z86">INDEX($E$5:$AH$16,$C86,Z$68) * INDEX($C$57:$AF$60,$B86,Z$68)</f>
        <v>31.241999751784999</v>
      </c>
      <c r="AA86" s="147" cm="1">
        <f t="array" ref="AA86">INDEX($E$5:$AH$16,$C86,AA$68) * INDEX($C$57:$AF$60,$B86,AA$68)</f>
        <v>31.241999751784999</v>
      </c>
      <c r="AB86" s="147" cm="1">
        <f t="array" ref="AB86">INDEX($E$5:$AH$16,$C86,AB$68) * INDEX($C$57:$AF$60,$B86,AB$68)</f>
        <v>31.241999751784999</v>
      </c>
      <c r="AC86" s="147" cm="1">
        <f t="array" ref="AC86">INDEX($E$5:$AH$16,$C86,AC$68) * INDEX($C$57:$AF$60,$B86,AC$68)</f>
        <v>31.241999751784999</v>
      </c>
      <c r="AD86" s="147" cm="1">
        <f t="array" ref="AD86">INDEX($E$5:$AH$16,$C86,AD$68) * INDEX($C$57:$AF$60,$B86,AD$68)</f>
        <v>31.241999751784999</v>
      </c>
      <c r="AE86" s="147" cm="1">
        <f t="array" ref="AE86">INDEX($E$5:$AH$16,$C86,AE$68) * INDEX($C$57:$AF$60,$B86,AE$68)</f>
        <v>31.241999751784999</v>
      </c>
      <c r="AF86" s="147" cm="1">
        <f t="array" ref="AF86">INDEX($E$5:$AH$16,$C86,AF$68) * INDEX($C$57:$AF$60,$B86,AF$68)</f>
        <v>31.241999751784999</v>
      </c>
      <c r="AG86" s="147" cm="1">
        <f t="array" ref="AG86">INDEX($E$5:$AH$16,$C86,AG$68) * INDEX($C$57:$AF$60,$B86,AG$68)</f>
        <v>31.241999751784999</v>
      </c>
      <c r="AH86" s="147" cm="1">
        <f t="array" ref="AH86">INDEX($E$5:$AH$16,$C86,AH$68) * INDEX($C$57:$AF$60,$B86,AH$68)</f>
        <v>31.241999751784999</v>
      </c>
    </row>
    <row r="87" spans="2:34">
      <c r="B87" s="149">
        <v>2</v>
      </c>
      <c r="C87" s="149">
        <v>6</v>
      </c>
      <c r="D87" s="267" t="str">
        <v>Veículos Comerciais com 5 Eixos Articulado</v>
      </c>
      <c r="E87" s="147" cm="1">
        <f t="array" ref="E87">INDEX($E$5:$AH$16,$C87,E$68) * INDEX($C$57:$AF$60,$B87,E$68)</f>
        <v>27.894642635522324</v>
      </c>
      <c r="F87" s="147" cm="1">
        <f t="array" ref="F87">INDEX($E$5:$AH$16,$C87,F$68) * INDEX($C$57:$AF$60,$B87,F$68)</f>
        <v>27.894642635522324</v>
      </c>
      <c r="G87" s="147" cm="1">
        <f t="array" ref="G87">INDEX($E$5:$AH$16,$C87,G$68) * INDEX($C$57:$AF$60,$B87,G$68)</f>
        <v>27.894642635522324</v>
      </c>
      <c r="H87" s="147" cm="1">
        <f t="array" ref="H87">INDEX($E$5:$AH$16,$C87,H$68) * INDEX($C$57:$AF$60,$B87,H$68)</f>
        <v>27.894642635522324</v>
      </c>
      <c r="I87" s="147" cm="1">
        <f t="array" ref="I87">INDEX($E$5:$AH$16,$C87,I$68) * INDEX($C$57:$AF$60,$B87,I$68)</f>
        <v>27.894642635522324</v>
      </c>
      <c r="J87" s="147" cm="1">
        <f t="array" ref="J87">INDEX($E$5:$AH$16,$C87,J$68) * INDEX($C$57:$AF$60,$B87,J$68)</f>
        <v>27.894642635522324</v>
      </c>
      <c r="K87" s="147" cm="1">
        <f t="array" ref="K87">INDEX($E$5:$AH$16,$C87,K$68) * INDEX($C$57:$AF$60,$B87,K$68)</f>
        <v>39.052499689731249</v>
      </c>
      <c r="L87" s="147" cm="1">
        <f t="array" ref="L87">INDEX($E$5:$AH$16,$C87,L$68) * INDEX($C$57:$AF$60,$B87,L$68)</f>
        <v>39.052499689731249</v>
      </c>
      <c r="M87" s="147" cm="1">
        <f t="array" ref="M87">INDEX($E$5:$AH$16,$C87,M$68) * INDEX($C$57:$AF$60,$B87,M$68)</f>
        <v>39.052499689731249</v>
      </c>
      <c r="N87" s="147" cm="1">
        <f t="array" ref="N87">INDEX($E$5:$AH$16,$C87,N$68) * INDEX($C$57:$AF$60,$B87,N$68)</f>
        <v>39.052499689731249</v>
      </c>
      <c r="O87" s="147" cm="1">
        <f t="array" ref="O87">INDEX($E$5:$AH$16,$C87,O$68) * INDEX($C$57:$AF$60,$B87,O$68)</f>
        <v>39.052499689731249</v>
      </c>
      <c r="P87" s="147" cm="1">
        <f t="array" ref="P87">INDEX($E$5:$AH$16,$C87,P$68) * INDEX($C$57:$AF$60,$B87,P$68)</f>
        <v>39.052499689731249</v>
      </c>
      <c r="Q87" s="147" cm="1">
        <f t="array" ref="Q87">INDEX($E$5:$AH$16,$C87,Q$68) * INDEX($C$57:$AF$60,$B87,Q$68)</f>
        <v>39.052499689731249</v>
      </c>
      <c r="R87" s="147" cm="1">
        <f t="array" ref="R87">INDEX($E$5:$AH$16,$C87,R$68) * INDEX($C$57:$AF$60,$B87,R$68)</f>
        <v>39.052499689731249</v>
      </c>
      <c r="S87" s="147" cm="1">
        <f t="array" ref="S87">INDEX($E$5:$AH$16,$C87,S$68) * INDEX($C$57:$AF$60,$B87,S$68)</f>
        <v>39.052499689731249</v>
      </c>
      <c r="T87" s="147" cm="1">
        <f t="array" ref="T87">INDEX($E$5:$AH$16,$C87,T$68) * INDEX($C$57:$AF$60,$B87,T$68)</f>
        <v>39.052499689731249</v>
      </c>
      <c r="U87" s="147" cm="1">
        <f t="array" ref="U87">INDEX($E$5:$AH$16,$C87,U$68) * INDEX($C$57:$AF$60,$B87,U$68)</f>
        <v>39.052499689731249</v>
      </c>
      <c r="V87" s="147" cm="1">
        <f t="array" ref="V87">INDEX($E$5:$AH$16,$C87,V$68) * INDEX($C$57:$AF$60,$B87,V$68)</f>
        <v>39.052499689731249</v>
      </c>
      <c r="W87" s="147" cm="1">
        <f t="array" ref="W87">INDEX($E$5:$AH$16,$C87,W$68) * INDEX($C$57:$AF$60,$B87,W$68)</f>
        <v>39.052499689731249</v>
      </c>
      <c r="X87" s="147" cm="1">
        <f t="array" ref="X87">INDEX($E$5:$AH$16,$C87,X$68) * INDEX($C$57:$AF$60,$B87,X$68)</f>
        <v>39.052499689731249</v>
      </c>
      <c r="Y87" s="147" cm="1">
        <f t="array" ref="Y87">INDEX($E$5:$AH$16,$C87,Y$68) * INDEX($C$57:$AF$60,$B87,Y$68)</f>
        <v>39.052499689731249</v>
      </c>
      <c r="Z87" s="147" cm="1">
        <f t="array" ref="Z87">INDEX($E$5:$AH$16,$C87,Z$68) * INDEX($C$57:$AF$60,$B87,Z$68)</f>
        <v>39.052499689731249</v>
      </c>
      <c r="AA87" s="147" cm="1">
        <f t="array" ref="AA87">INDEX($E$5:$AH$16,$C87,AA$68) * INDEX($C$57:$AF$60,$B87,AA$68)</f>
        <v>39.052499689731249</v>
      </c>
      <c r="AB87" s="147" cm="1">
        <f t="array" ref="AB87">INDEX($E$5:$AH$16,$C87,AB$68) * INDEX($C$57:$AF$60,$B87,AB$68)</f>
        <v>39.052499689731249</v>
      </c>
      <c r="AC87" s="147" cm="1">
        <f t="array" ref="AC87">INDEX($E$5:$AH$16,$C87,AC$68) * INDEX($C$57:$AF$60,$B87,AC$68)</f>
        <v>39.052499689731249</v>
      </c>
      <c r="AD87" s="147" cm="1">
        <f t="array" ref="AD87">INDEX($E$5:$AH$16,$C87,AD$68) * INDEX($C$57:$AF$60,$B87,AD$68)</f>
        <v>39.052499689731249</v>
      </c>
      <c r="AE87" s="147" cm="1">
        <f t="array" ref="AE87">INDEX($E$5:$AH$16,$C87,AE$68) * INDEX($C$57:$AF$60,$B87,AE$68)</f>
        <v>39.052499689731249</v>
      </c>
      <c r="AF87" s="147" cm="1">
        <f t="array" ref="AF87">INDEX($E$5:$AH$16,$C87,AF$68) * INDEX($C$57:$AF$60,$B87,AF$68)</f>
        <v>39.052499689731249</v>
      </c>
      <c r="AG87" s="147" cm="1">
        <f t="array" ref="AG87">INDEX($E$5:$AH$16,$C87,AG$68) * INDEX($C$57:$AF$60,$B87,AG$68)</f>
        <v>39.052499689731249</v>
      </c>
      <c r="AH87" s="147" cm="1">
        <f t="array" ref="AH87">INDEX($E$5:$AH$16,$C87,AH$68) * INDEX($C$57:$AF$60,$B87,AH$68)</f>
        <v>39.052499689731249</v>
      </c>
    </row>
    <row r="88" spans="2:34">
      <c r="B88" s="149">
        <v>2</v>
      </c>
      <c r="C88" s="149">
        <v>7</v>
      </c>
      <c r="D88" s="267" t="str">
        <v>Veículos Comerciais com 6 Eixos Articulado</v>
      </c>
      <c r="E88" s="147" cm="1">
        <f t="array" ref="E88">INDEX($E$5:$AH$16,$C88,E$68) * INDEX($C$57:$AF$60,$B88,E$68)</f>
        <v>33.473571162626783</v>
      </c>
      <c r="F88" s="147" cm="1">
        <f t="array" ref="F88">INDEX($E$5:$AH$16,$C88,F$68) * INDEX($C$57:$AF$60,$B88,F$68)</f>
        <v>33.473571162626783</v>
      </c>
      <c r="G88" s="147" cm="1">
        <f t="array" ref="G88">INDEX($E$5:$AH$16,$C88,G$68) * INDEX($C$57:$AF$60,$B88,G$68)</f>
        <v>33.473571162626783</v>
      </c>
      <c r="H88" s="147" cm="1">
        <f t="array" ref="H88">INDEX($E$5:$AH$16,$C88,H$68) * INDEX($C$57:$AF$60,$B88,H$68)</f>
        <v>33.473571162626783</v>
      </c>
      <c r="I88" s="147" cm="1">
        <f t="array" ref="I88">INDEX($E$5:$AH$16,$C88,I$68) * INDEX($C$57:$AF$60,$B88,I$68)</f>
        <v>33.473571162626783</v>
      </c>
      <c r="J88" s="147" cm="1">
        <f t="array" ref="J88">INDEX($E$5:$AH$16,$C88,J$68) * INDEX($C$57:$AF$60,$B88,J$68)</f>
        <v>33.473571162626783</v>
      </c>
      <c r="K88" s="147" cm="1">
        <f t="array" ref="K88">INDEX($E$5:$AH$16,$C88,K$68) * INDEX($C$57:$AF$60,$B88,K$68)</f>
        <v>46.862999627677496</v>
      </c>
      <c r="L88" s="147" cm="1">
        <f t="array" ref="L88">INDEX($E$5:$AH$16,$C88,L$68) * INDEX($C$57:$AF$60,$B88,L$68)</f>
        <v>46.862999627677496</v>
      </c>
      <c r="M88" s="147" cm="1">
        <f t="array" ref="M88">INDEX($E$5:$AH$16,$C88,M$68) * INDEX($C$57:$AF$60,$B88,M$68)</f>
        <v>46.862999627677496</v>
      </c>
      <c r="N88" s="147" cm="1">
        <f t="array" ref="N88">INDEX($E$5:$AH$16,$C88,N$68) * INDEX($C$57:$AF$60,$B88,N$68)</f>
        <v>46.862999627677496</v>
      </c>
      <c r="O88" s="147" cm="1">
        <f t="array" ref="O88">INDEX($E$5:$AH$16,$C88,O$68) * INDEX($C$57:$AF$60,$B88,O$68)</f>
        <v>46.862999627677496</v>
      </c>
      <c r="P88" s="147" cm="1">
        <f t="array" ref="P88">INDEX($E$5:$AH$16,$C88,P$68) * INDEX($C$57:$AF$60,$B88,P$68)</f>
        <v>46.862999627677496</v>
      </c>
      <c r="Q88" s="147" cm="1">
        <f t="array" ref="Q88">INDEX($E$5:$AH$16,$C88,Q$68) * INDEX($C$57:$AF$60,$B88,Q$68)</f>
        <v>46.862999627677496</v>
      </c>
      <c r="R88" s="147" cm="1">
        <f t="array" ref="R88">INDEX($E$5:$AH$16,$C88,R$68) * INDEX($C$57:$AF$60,$B88,R$68)</f>
        <v>46.862999627677496</v>
      </c>
      <c r="S88" s="147" cm="1">
        <f t="array" ref="S88">INDEX($E$5:$AH$16,$C88,S$68) * INDEX($C$57:$AF$60,$B88,S$68)</f>
        <v>46.862999627677496</v>
      </c>
      <c r="T88" s="147" cm="1">
        <f t="array" ref="T88">INDEX($E$5:$AH$16,$C88,T$68) * INDEX($C$57:$AF$60,$B88,T$68)</f>
        <v>46.862999627677496</v>
      </c>
      <c r="U88" s="147" cm="1">
        <f t="array" ref="U88">INDEX($E$5:$AH$16,$C88,U$68) * INDEX($C$57:$AF$60,$B88,U$68)</f>
        <v>46.862999627677496</v>
      </c>
      <c r="V88" s="147" cm="1">
        <f t="array" ref="V88">INDEX($E$5:$AH$16,$C88,V$68) * INDEX($C$57:$AF$60,$B88,V$68)</f>
        <v>46.862999627677496</v>
      </c>
      <c r="W88" s="147" cm="1">
        <f t="array" ref="W88">INDEX($E$5:$AH$16,$C88,W$68) * INDEX($C$57:$AF$60,$B88,W$68)</f>
        <v>46.862999627677496</v>
      </c>
      <c r="X88" s="147" cm="1">
        <f t="array" ref="X88">INDEX($E$5:$AH$16,$C88,X$68) * INDEX($C$57:$AF$60,$B88,X$68)</f>
        <v>46.862999627677496</v>
      </c>
      <c r="Y88" s="147" cm="1">
        <f t="array" ref="Y88">INDEX($E$5:$AH$16,$C88,Y$68) * INDEX($C$57:$AF$60,$B88,Y$68)</f>
        <v>46.862999627677496</v>
      </c>
      <c r="Z88" s="147" cm="1">
        <f t="array" ref="Z88">INDEX($E$5:$AH$16,$C88,Z$68) * INDEX($C$57:$AF$60,$B88,Z$68)</f>
        <v>46.862999627677496</v>
      </c>
      <c r="AA88" s="147" cm="1">
        <f t="array" ref="AA88">INDEX($E$5:$AH$16,$C88,AA$68) * INDEX($C$57:$AF$60,$B88,AA$68)</f>
        <v>46.862999627677496</v>
      </c>
      <c r="AB88" s="147" cm="1">
        <f t="array" ref="AB88">INDEX($E$5:$AH$16,$C88,AB$68) * INDEX($C$57:$AF$60,$B88,AB$68)</f>
        <v>46.862999627677496</v>
      </c>
      <c r="AC88" s="147" cm="1">
        <f t="array" ref="AC88">INDEX($E$5:$AH$16,$C88,AC$68) * INDEX($C$57:$AF$60,$B88,AC$68)</f>
        <v>46.862999627677496</v>
      </c>
      <c r="AD88" s="147" cm="1">
        <f t="array" ref="AD88">INDEX($E$5:$AH$16,$C88,AD$68) * INDEX($C$57:$AF$60,$B88,AD$68)</f>
        <v>46.862999627677496</v>
      </c>
      <c r="AE88" s="147" cm="1">
        <f t="array" ref="AE88">INDEX($E$5:$AH$16,$C88,AE$68) * INDEX($C$57:$AF$60,$B88,AE$68)</f>
        <v>46.862999627677496</v>
      </c>
      <c r="AF88" s="147" cm="1">
        <f t="array" ref="AF88">INDEX($E$5:$AH$16,$C88,AF$68) * INDEX($C$57:$AF$60,$B88,AF$68)</f>
        <v>46.862999627677496</v>
      </c>
      <c r="AG88" s="147" cm="1">
        <f t="array" ref="AG88">INDEX($E$5:$AH$16,$C88,AG$68) * INDEX($C$57:$AF$60,$B88,AG$68)</f>
        <v>46.862999627677496</v>
      </c>
      <c r="AH88" s="147" cm="1">
        <f t="array" ref="AH88">INDEX($E$5:$AH$16,$C88,AH$68) * INDEX($C$57:$AF$60,$B88,AH$68)</f>
        <v>46.862999627677496</v>
      </c>
    </row>
    <row r="89" spans="2:34">
      <c r="B89" s="149">
        <v>2</v>
      </c>
      <c r="C89" s="149">
        <v>8</v>
      </c>
      <c r="D89" s="267" t="str">
        <v>Veículos Comerciais com 7 Eixos Articulado</v>
      </c>
      <c r="E89" s="147" cm="1">
        <f t="array" ref="E89">INDEX($E$5:$AH$16,$C89,E$68) * INDEX($C$57:$AF$60,$B89,E$68)</f>
        <v>39.052499689731249</v>
      </c>
      <c r="F89" s="147" cm="1">
        <f t="array" ref="F89">INDEX($E$5:$AH$16,$C89,F$68) * INDEX($C$57:$AF$60,$B89,F$68)</f>
        <v>39.052499689731249</v>
      </c>
      <c r="G89" s="147" cm="1">
        <f t="array" ref="G89">INDEX($E$5:$AH$16,$C89,G$68) * INDEX($C$57:$AF$60,$B89,G$68)</f>
        <v>39.052499689731249</v>
      </c>
      <c r="H89" s="147" cm="1">
        <f t="array" ref="H89">INDEX($E$5:$AH$16,$C89,H$68) * INDEX($C$57:$AF$60,$B89,H$68)</f>
        <v>39.052499689731249</v>
      </c>
      <c r="I89" s="147" cm="1">
        <f t="array" ref="I89">INDEX($E$5:$AH$16,$C89,I$68) * INDEX($C$57:$AF$60,$B89,I$68)</f>
        <v>39.052499689731249</v>
      </c>
      <c r="J89" s="147" cm="1">
        <f t="array" ref="J89">INDEX($E$5:$AH$16,$C89,J$68) * INDEX($C$57:$AF$60,$B89,J$68)</f>
        <v>39.052499689731249</v>
      </c>
      <c r="K89" s="147" cm="1">
        <f t="array" ref="K89">INDEX($E$5:$AH$16,$C89,K$68) * INDEX($C$57:$AF$60,$B89,K$68)</f>
        <v>54.67349956562375</v>
      </c>
      <c r="L89" s="147" cm="1">
        <f t="array" ref="L89">INDEX($E$5:$AH$16,$C89,L$68) * INDEX($C$57:$AF$60,$B89,L$68)</f>
        <v>54.67349956562375</v>
      </c>
      <c r="M89" s="147" cm="1">
        <f t="array" ref="M89">INDEX($E$5:$AH$16,$C89,M$68) * INDEX($C$57:$AF$60,$B89,M$68)</f>
        <v>54.67349956562375</v>
      </c>
      <c r="N89" s="147" cm="1">
        <f t="array" ref="N89">INDEX($E$5:$AH$16,$C89,N$68) * INDEX($C$57:$AF$60,$B89,N$68)</f>
        <v>54.67349956562375</v>
      </c>
      <c r="O89" s="147" cm="1">
        <f t="array" ref="O89">INDEX($E$5:$AH$16,$C89,O$68) * INDEX($C$57:$AF$60,$B89,O$68)</f>
        <v>54.67349956562375</v>
      </c>
      <c r="P89" s="147" cm="1">
        <f t="array" ref="P89">INDEX($E$5:$AH$16,$C89,P$68) * INDEX($C$57:$AF$60,$B89,P$68)</f>
        <v>54.67349956562375</v>
      </c>
      <c r="Q89" s="147" cm="1">
        <f t="array" ref="Q89">INDEX($E$5:$AH$16,$C89,Q$68) * INDEX($C$57:$AF$60,$B89,Q$68)</f>
        <v>54.67349956562375</v>
      </c>
      <c r="R89" s="147" cm="1">
        <f t="array" ref="R89">INDEX($E$5:$AH$16,$C89,R$68) * INDEX($C$57:$AF$60,$B89,R$68)</f>
        <v>54.67349956562375</v>
      </c>
      <c r="S89" s="147" cm="1">
        <f t="array" ref="S89">INDEX($E$5:$AH$16,$C89,S$68) * INDEX($C$57:$AF$60,$B89,S$68)</f>
        <v>54.67349956562375</v>
      </c>
      <c r="T89" s="147" cm="1">
        <f t="array" ref="T89">INDEX($E$5:$AH$16,$C89,T$68) * INDEX($C$57:$AF$60,$B89,T$68)</f>
        <v>54.67349956562375</v>
      </c>
      <c r="U89" s="147" cm="1">
        <f t="array" ref="U89">INDEX($E$5:$AH$16,$C89,U$68) * INDEX($C$57:$AF$60,$B89,U$68)</f>
        <v>54.67349956562375</v>
      </c>
      <c r="V89" s="147" cm="1">
        <f t="array" ref="V89">INDEX($E$5:$AH$16,$C89,V$68) * INDEX($C$57:$AF$60,$B89,V$68)</f>
        <v>54.67349956562375</v>
      </c>
      <c r="W89" s="147" cm="1">
        <f t="array" ref="W89">INDEX($E$5:$AH$16,$C89,W$68) * INDEX($C$57:$AF$60,$B89,W$68)</f>
        <v>54.67349956562375</v>
      </c>
      <c r="X89" s="147" cm="1">
        <f t="array" ref="X89">INDEX($E$5:$AH$16,$C89,X$68) * INDEX($C$57:$AF$60,$B89,X$68)</f>
        <v>54.67349956562375</v>
      </c>
      <c r="Y89" s="147" cm="1">
        <f t="array" ref="Y89">INDEX($E$5:$AH$16,$C89,Y$68) * INDEX($C$57:$AF$60,$B89,Y$68)</f>
        <v>54.67349956562375</v>
      </c>
      <c r="Z89" s="147" cm="1">
        <f t="array" ref="Z89">INDEX($E$5:$AH$16,$C89,Z$68) * INDEX($C$57:$AF$60,$B89,Z$68)</f>
        <v>54.67349956562375</v>
      </c>
      <c r="AA89" s="147" cm="1">
        <f t="array" ref="AA89">INDEX($E$5:$AH$16,$C89,AA$68) * INDEX($C$57:$AF$60,$B89,AA$68)</f>
        <v>54.67349956562375</v>
      </c>
      <c r="AB89" s="147" cm="1">
        <f t="array" ref="AB89">INDEX($E$5:$AH$16,$C89,AB$68) * INDEX($C$57:$AF$60,$B89,AB$68)</f>
        <v>54.67349956562375</v>
      </c>
      <c r="AC89" s="147" cm="1">
        <f t="array" ref="AC89">INDEX($E$5:$AH$16,$C89,AC$68) * INDEX($C$57:$AF$60,$B89,AC$68)</f>
        <v>54.67349956562375</v>
      </c>
      <c r="AD89" s="147" cm="1">
        <f t="array" ref="AD89">INDEX($E$5:$AH$16,$C89,AD$68) * INDEX($C$57:$AF$60,$B89,AD$68)</f>
        <v>54.67349956562375</v>
      </c>
      <c r="AE89" s="147" cm="1">
        <f t="array" ref="AE89">INDEX($E$5:$AH$16,$C89,AE$68) * INDEX($C$57:$AF$60,$B89,AE$68)</f>
        <v>54.67349956562375</v>
      </c>
      <c r="AF89" s="147" cm="1">
        <f t="array" ref="AF89">INDEX($E$5:$AH$16,$C89,AF$68) * INDEX($C$57:$AF$60,$B89,AF$68)</f>
        <v>54.67349956562375</v>
      </c>
      <c r="AG89" s="147" cm="1">
        <f t="array" ref="AG89">INDEX($E$5:$AH$16,$C89,AG$68) * INDEX($C$57:$AF$60,$B89,AG$68)</f>
        <v>54.67349956562375</v>
      </c>
      <c r="AH89" s="147" cm="1">
        <f t="array" ref="AH89">INDEX($E$5:$AH$16,$C89,AH$68) * INDEX($C$57:$AF$60,$B89,AH$68)</f>
        <v>54.67349956562375</v>
      </c>
    </row>
    <row r="90" spans="2:34">
      <c r="B90" s="149">
        <v>2</v>
      </c>
      <c r="C90" s="149">
        <v>9</v>
      </c>
      <c r="D90" s="267" t="str">
        <v>Veículos Comerciais com 8 Eixos Articulado</v>
      </c>
      <c r="E90" s="147" cm="1">
        <f t="array" ref="E90">INDEX($E$5:$AH$16,$C90,E$68) * INDEX($C$57:$AF$60,$B90,E$68)</f>
        <v>44.631428216835715</v>
      </c>
      <c r="F90" s="147" cm="1">
        <f t="array" ref="F90">INDEX($E$5:$AH$16,$C90,F$68) * INDEX($C$57:$AF$60,$B90,F$68)</f>
        <v>44.631428216835715</v>
      </c>
      <c r="G90" s="147" cm="1">
        <f t="array" ref="G90">INDEX($E$5:$AH$16,$C90,G$68) * INDEX($C$57:$AF$60,$B90,G$68)</f>
        <v>44.631428216835715</v>
      </c>
      <c r="H90" s="147" cm="1">
        <f t="array" ref="H90">INDEX($E$5:$AH$16,$C90,H$68) * INDEX($C$57:$AF$60,$B90,H$68)</f>
        <v>44.631428216835715</v>
      </c>
      <c r="I90" s="147" cm="1">
        <f t="array" ref="I90">INDEX($E$5:$AH$16,$C90,I$68) * INDEX($C$57:$AF$60,$B90,I$68)</f>
        <v>44.631428216835715</v>
      </c>
      <c r="J90" s="147" cm="1">
        <f t="array" ref="J90">INDEX($E$5:$AH$16,$C90,J$68) * INDEX($C$57:$AF$60,$B90,J$68)</f>
        <v>44.631428216835715</v>
      </c>
      <c r="K90" s="147" cm="1">
        <f t="array" ref="K90">INDEX($E$5:$AH$16,$C90,K$68) * INDEX($C$57:$AF$60,$B90,K$68)</f>
        <v>62.483999503569997</v>
      </c>
      <c r="L90" s="147" cm="1">
        <f t="array" ref="L90">INDEX($E$5:$AH$16,$C90,L$68) * INDEX($C$57:$AF$60,$B90,L$68)</f>
        <v>62.483999503569997</v>
      </c>
      <c r="M90" s="147" cm="1">
        <f t="array" ref="M90">INDEX($E$5:$AH$16,$C90,M$68) * INDEX($C$57:$AF$60,$B90,M$68)</f>
        <v>62.483999503569997</v>
      </c>
      <c r="N90" s="147" cm="1">
        <f t="array" ref="N90">INDEX($E$5:$AH$16,$C90,N$68) * INDEX($C$57:$AF$60,$B90,N$68)</f>
        <v>62.483999503569997</v>
      </c>
      <c r="O90" s="147" cm="1">
        <f t="array" ref="O90">INDEX($E$5:$AH$16,$C90,O$68) * INDEX($C$57:$AF$60,$B90,O$68)</f>
        <v>62.483999503569997</v>
      </c>
      <c r="P90" s="147" cm="1">
        <f t="array" ref="P90">INDEX($E$5:$AH$16,$C90,P$68) * INDEX($C$57:$AF$60,$B90,P$68)</f>
        <v>62.483999503569997</v>
      </c>
      <c r="Q90" s="147" cm="1">
        <f t="array" ref="Q90">INDEX($E$5:$AH$16,$C90,Q$68) * INDEX($C$57:$AF$60,$B90,Q$68)</f>
        <v>62.483999503569997</v>
      </c>
      <c r="R90" s="147" cm="1">
        <f t="array" ref="R90">INDEX($E$5:$AH$16,$C90,R$68) * INDEX($C$57:$AF$60,$B90,R$68)</f>
        <v>62.483999503569997</v>
      </c>
      <c r="S90" s="147" cm="1">
        <f t="array" ref="S90">INDEX($E$5:$AH$16,$C90,S$68) * INDEX($C$57:$AF$60,$B90,S$68)</f>
        <v>62.483999503569997</v>
      </c>
      <c r="T90" s="147" cm="1">
        <f t="array" ref="T90">INDEX($E$5:$AH$16,$C90,T$68) * INDEX($C$57:$AF$60,$B90,T$68)</f>
        <v>62.483999503569997</v>
      </c>
      <c r="U90" s="147" cm="1">
        <f t="array" ref="U90">INDEX($E$5:$AH$16,$C90,U$68) * INDEX($C$57:$AF$60,$B90,U$68)</f>
        <v>62.483999503569997</v>
      </c>
      <c r="V90" s="147" cm="1">
        <f t="array" ref="V90">INDEX($E$5:$AH$16,$C90,V$68) * INDEX($C$57:$AF$60,$B90,V$68)</f>
        <v>62.483999503569997</v>
      </c>
      <c r="W90" s="147" cm="1">
        <f t="array" ref="W90">INDEX($E$5:$AH$16,$C90,W$68) * INDEX($C$57:$AF$60,$B90,W$68)</f>
        <v>62.483999503569997</v>
      </c>
      <c r="X90" s="147" cm="1">
        <f t="array" ref="X90">INDEX($E$5:$AH$16,$C90,X$68) * INDEX($C$57:$AF$60,$B90,X$68)</f>
        <v>62.483999503569997</v>
      </c>
      <c r="Y90" s="147" cm="1">
        <f t="array" ref="Y90">INDEX($E$5:$AH$16,$C90,Y$68) * INDEX($C$57:$AF$60,$B90,Y$68)</f>
        <v>62.483999503569997</v>
      </c>
      <c r="Z90" s="147" cm="1">
        <f t="array" ref="Z90">INDEX($E$5:$AH$16,$C90,Z$68) * INDEX($C$57:$AF$60,$B90,Z$68)</f>
        <v>62.483999503569997</v>
      </c>
      <c r="AA90" s="147" cm="1">
        <f t="array" ref="AA90">INDEX($E$5:$AH$16,$C90,AA$68) * INDEX($C$57:$AF$60,$B90,AA$68)</f>
        <v>62.483999503569997</v>
      </c>
      <c r="AB90" s="147" cm="1">
        <f t="array" ref="AB90">INDEX($E$5:$AH$16,$C90,AB$68) * INDEX($C$57:$AF$60,$B90,AB$68)</f>
        <v>62.483999503569997</v>
      </c>
      <c r="AC90" s="147" cm="1">
        <f t="array" ref="AC90">INDEX($E$5:$AH$16,$C90,AC$68) * INDEX($C$57:$AF$60,$B90,AC$68)</f>
        <v>62.483999503569997</v>
      </c>
      <c r="AD90" s="147" cm="1">
        <f t="array" ref="AD90">INDEX($E$5:$AH$16,$C90,AD$68) * INDEX($C$57:$AF$60,$B90,AD$68)</f>
        <v>62.483999503569997</v>
      </c>
      <c r="AE90" s="147" cm="1">
        <f t="array" ref="AE90">INDEX($E$5:$AH$16,$C90,AE$68) * INDEX($C$57:$AF$60,$B90,AE$68)</f>
        <v>62.483999503569997</v>
      </c>
      <c r="AF90" s="147" cm="1">
        <f t="array" ref="AF90">INDEX($E$5:$AH$16,$C90,AF$68) * INDEX($C$57:$AF$60,$B90,AF$68)</f>
        <v>62.483999503569997</v>
      </c>
      <c r="AG90" s="147" cm="1">
        <f t="array" ref="AG90">INDEX($E$5:$AH$16,$C90,AG$68) * INDEX($C$57:$AF$60,$B90,AG$68)</f>
        <v>62.483999503569997</v>
      </c>
      <c r="AH90" s="147" cm="1">
        <f t="array" ref="AH90">INDEX($E$5:$AH$16,$C90,AH$68) * INDEX($C$57:$AF$60,$B90,AH$68)</f>
        <v>62.483999503569997</v>
      </c>
    </row>
    <row r="91" spans="2:34">
      <c r="B91" s="149">
        <v>2</v>
      </c>
      <c r="C91" s="149">
        <v>10</v>
      </c>
      <c r="D91" s="267" t="str">
        <v>Veículos Comerciais com 9 Eixos Articulado</v>
      </c>
      <c r="E91" s="147" cm="1">
        <f t="array" ref="E91">INDEX($E$5:$AH$16,$C91,E$68) * INDEX($C$57:$AF$60,$B91,E$68)</f>
        <v>50.210356743940181</v>
      </c>
      <c r="F91" s="147" cm="1">
        <f t="array" ref="F91">INDEX($E$5:$AH$16,$C91,F$68) * INDEX($C$57:$AF$60,$B91,F$68)</f>
        <v>50.210356743940181</v>
      </c>
      <c r="G91" s="147" cm="1">
        <f t="array" ref="G91">INDEX($E$5:$AH$16,$C91,G$68) * INDEX($C$57:$AF$60,$B91,G$68)</f>
        <v>50.210356743940181</v>
      </c>
      <c r="H91" s="147" cm="1">
        <f t="array" ref="H91">INDEX($E$5:$AH$16,$C91,H$68) * INDEX($C$57:$AF$60,$B91,H$68)</f>
        <v>50.210356743940181</v>
      </c>
      <c r="I91" s="147" cm="1">
        <f t="array" ref="I91">INDEX($E$5:$AH$16,$C91,I$68) * INDEX($C$57:$AF$60,$B91,I$68)</f>
        <v>50.210356743940181</v>
      </c>
      <c r="J91" s="147" cm="1">
        <f t="array" ref="J91">INDEX($E$5:$AH$16,$C91,J$68) * INDEX($C$57:$AF$60,$B91,J$68)</f>
        <v>50.210356743940181</v>
      </c>
      <c r="K91" s="147" cm="1">
        <f t="array" ref="K91">INDEX($E$5:$AH$16,$C91,K$68) * INDEX($C$57:$AF$60,$B91,K$68)</f>
        <v>70.294499441516251</v>
      </c>
      <c r="L91" s="147" cm="1">
        <f t="array" ref="L91">INDEX($E$5:$AH$16,$C91,L$68) * INDEX($C$57:$AF$60,$B91,L$68)</f>
        <v>70.294499441516251</v>
      </c>
      <c r="M91" s="147" cm="1">
        <f t="array" ref="M91">INDEX($E$5:$AH$16,$C91,M$68) * INDEX($C$57:$AF$60,$B91,M$68)</f>
        <v>70.294499441516251</v>
      </c>
      <c r="N91" s="147" cm="1">
        <f t="array" ref="N91">INDEX($E$5:$AH$16,$C91,N$68) * INDEX($C$57:$AF$60,$B91,N$68)</f>
        <v>70.294499441516251</v>
      </c>
      <c r="O91" s="147" cm="1">
        <f t="array" ref="O91">INDEX($E$5:$AH$16,$C91,O$68) * INDEX($C$57:$AF$60,$B91,O$68)</f>
        <v>70.294499441516251</v>
      </c>
      <c r="P91" s="147" cm="1">
        <f t="array" ref="P91">INDEX($E$5:$AH$16,$C91,P$68) * INDEX($C$57:$AF$60,$B91,P$68)</f>
        <v>70.294499441516251</v>
      </c>
      <c r="Q91" s="147" cm="1">
        <f t="array" ref="Q91">INDEX($E$5:$AH$16,$C91,Q$68) * INDEX($C$57:$AF$60,$B91,Q$68)</f>
        <v>70.294499441516251</v>
      </c>
      <c r="R91" s="147" cm="1">
        <f t="array" ref="R91">INDEX($E$5:$AH$16,$C91,R$68) * INDEX($C$57:$AF$60,$B91,R$68)</f>
        <v>70.294499441516251</v>
      </c>
      <c r="S91" s="147" cm="1">
        <f t="array" ref="S91">INDEX($E$5:$AH$16,$C91,S$68) * INDEX($C$57:$AF$60,$B91,S$68)</f>
        <v>70.294499441516251</v>
      </c>
      <c r="T91" s="147" cm="1">
        <f t="array" ref="T91">INDEX($E$5:$AH$16,$C91,T$68) * INDEX($C$57:$AF$60,$B91,T$68)</f>
        <v>70.294499441516251</v>
      </c>
      <c r="U91" s="147" cm="1">
        <f t="array" ref="U91">INDEX($E$5:$AH$16,$C91,U$68) * INDEX($C$57:$AF$60,$B91,U$68)</f>
        <v>70.294499441516251</v>
      </c>
      <c r="V91" s="147" cm="1">
        <f t="array" ref="V91">INDEX($E$5:$AH$16,$C91,V$68) * INDEX($C$57:$AF$60,$B91,V$68)</f>
        <v>70.294499441516251</v>
      </c>
      <c r="W91" s="147" cm="1">
        <f t="array" ref="W91">INDEX($E$5:$AH$16,$C91,W$68) * INDEX($C$57:$AF$60,$B91,W$68)</f>
        <v>70.294499441516251</v>
      </c>
      <c r="X91" s="147" cm="1">
        <f t="array" ref="X91">INDEX($E$5:$AH$16,$C91,X$68) * INDEX($C$57:$AF$60,$B91,X$68)</f>
        <v>70.294499441516251</v>
      </c>
      <c r="Y91" s="147" cm="1">
        <f t="array" ref="Y91">INDEX($E$5:$AH$16,$C91,Y$68) * INDEX($C$57:$AF$60,$B91,Y$68)</f>
        <v>70.294499441516251</v>
      </c>
      <c r="Z91" s="147" cm="1">
        <f t="array" ref="Z91">INDEX($E$5:$AH$16,$C91,Z$68) * INDEX($C$57:$AF$60,$B91,Z$68)</f>
        <v>70.294499441516251</v>
      </c>
      <c r="AA91" s="147" cm="1">
        <f t="array" ref="AA91">INDEX($E$5:$AH$16,$C91,AA$68) * INDEX($C$57:$AF$60,$B91,AA$68)</f>
        <v>70.294499441516251</v>
      </c>
      <c r="AB91" s="147" cm="1">
        <f t="array" ref="AB91">INDEX($E$5:$AH$16,$C91,AB$68) * INDEX($C$57:$AF$60,$B91,AB$68)</f>
        <v>70.294499441516251</v>
      </c>
      <c r="AC91" s="147" cm="1">
        <f t="array" ref="AC91">INDEX($E$5:$AH$16,$C91,AC$68) * INDEX($C$57:$AF$60,$B91,AC$68)</f>
        <v>70.294499441516251</v>
      </c>
      <c r="AD91" s="147" cm="1">
        <f t="array" ref="AD91">INDEX($E$5:$AH$16,$C91,AD$68) * INDEX($C$57:$AF$60,$B91,AD$68)</f>
        <v>70.294499441516251</v>
      </c>
      <c r="AE91" s="147" cm="1">
        <f t="array" ref="AE91">INDEX($E$5:$AH$16,$C91,AE$68) * INDEX($C$57:$AF$60,$B91,AE$68)</f>
        <v>70.294499441516251</v>
      </c>
      <c r="AF91" s="147" cm="1">
        <f t="array" ref="AF91">INDEX($E$5:$AH$16,$C91,AF$68) * INDEX($C$57:$AF$60,$B91,AF$68)</f>
        <v>70.294499441516251</v>
      </c>
      <c r="AG91" s="147" cm="1">
        <f t="array" ref="AG91">INDEX($E$5:$AH$16,$C91,AG$68) * INDEX($C$57:$AF$60,$B91,AG$68)</f>
        <v>70.294499441516251</v>
      </c>
      <c r="AH91" s="147" cm="1">
        <f t="array" ref="AH91">INDEX($E$5:$AH$16,$C91,AH$68) * INDEX($C$57:$AF$60,$B91,AH$68)</f>
        <v>70.294499441516251</v>
      </c>
    </row>
    <row r="92" spans="2:34">
      <c r="B92" s="149">
        <v>2</v>
      </c>
      <c r="C92" s="149">
        <v>11</v>
      </c>
      <c r="D92" s="267" t="str">
        <v>Motocicleta</v>
      </c>
      <c r="E92" s="147" cm="1">
        <f t="array" ref="E92">INDEX($E$5:$AH$16,$C92,E$68) * INDEX($C$57:$AF$60,$B92,E$68)</f>
        <v>2.7894642635522322</v>
      </c>
      <c r="F92" s="147" cm="1">
        <f t="array" ref="F92">INDEX($E$5:$AH$16,$C92,F$68) * INDEX($C$57:$AF$60,$B92,F$68)</f>
        <v>2.7894642635522322</v>
      </c>
      <c r="G92" s="147" cm="1">
        <f t="array" ref="G92">INDEX($E$5:$AH$16,$C92,G$68) * INDEX($C$57:$AF$60,$B92,G$68)</f>
        <v>2.7894642635522322</v>
      </c>
      <c r="H92" s="147" cm="1">
        <f t="array" ref="H92">INDEX($E$5:$AH$16,$C92,H$68) * INDEX($C$57:$AF$60,$B92,H$68)</f>
        <v>2.7894642635522322</v>
      </c>
      <c r="I92" s="147" cm="1">
        <f t="array" ref="I92">INDEX($E$5:$AH$16,$C92,I$68) * INDEX($C$57:$AF$60,$B92,I$68)</f>
        <v>2.7894642635522322</v>
      </c>
      <c r="J92" s="147" cm="1">
        <f t="array" ref="J92">INDEX($E$5:$AH$16,$C92,J$68) * INDEX($C$57:$AF$60,$B92,J$68)</f>
        <v>2.7894642635522322</v>
      </c>
      <c r="K92" s="147" cm="1">
        <f t="array" ref="K92">INDEX($E$5:$AH$16,$C92,K$68) * INDEX($C$57:$AF$60,$B92,K$68)</f>
        <v>3.9052499689731248</v>
      </c>
      <c r="L92" s="147" cm="1">
        <f t="array" ref="L92">INDEX($E$5:$AH$16,$C92,L$68) * INDEX($C$57:$AF$60,$B92,L$68)</f>
        <v>3.9052499689731248</v>
      </c>
      <c r="M92" s="147" cm="1">
        <f t="array" ref="M92">INDEX($E$5:$AH$16,$C92,M$68) * INDEX($C$57:$AF$60,$B92,M$68)</f>
        <v>3.9052499689731248</v>
      </c>
      <c r="N92" s="147" cm="1">
        <f t="array" ref="N92">INDEX($E$5:$AH$16,$C92,N$68) * INDEX($C$57:$AF$60,$B92,N$68)</f>
        <v>3.9052499689731248</v>
      </c>
      <c r="O92" s="147" cm="1">
        <f t="array" ref="O92">INDEX($E$5:$AH$16,$C92,O$68) * INDEX($C$57:$AF$60,$B92,O$68)</f>
        <v>3.9052499689731248</v>
      </c>
      <c r="P92" s="147" cm="1">
        <f t="array" ref="P92">INDEX($E$5:$AH$16,$C92,P$68) * INDEX($C$57:$AF$60,$B92,P$68)</f>
        <v>3.9052499689731248</v>
      </c>
      <c r="Q92" s="147" cm="1">
        <f t="array" ref="Q92">INDEX($E$5:$AH$16,$C92,Q$68) * INDEX($C$57:$AF$60,$B92,Q$68)</f>
        <v>3.9052499689731248</v>
      </c>
      <c r="R92" s="147" cm="1">
        <f t="array" ref="R92">INDEX($E$5:$AH$16,$C92,R$68) * INDEX($C$57:$AF$60,$B92,R$68)</f>
        <v>3.9052499689731248</v>
      </c>
      <c r="S92" s="147" cm="1">
        <f t="array" ref="S92">INDEX($E$5:$AH$16,$C92,S$68) * INDEX($C$57:$AF$60,$B92,S$68)</f>
        <v>3.9052499689731248</v>
      </c>
      <c r="T92" s="147" cm="1">
        <f t="array" ref="T92">INDEX($E$5:$AH$16,$C92,T$68) * INDEX($C$57:$AF$60,$B92,T$68)</f>
        <v>3.9052499689731248</v>
      </c>
      <c r="U92" s="147" cm="1">
        <f t="array" ref="U92">INDEX($E$5:$AH$16,$C92,U$68) * INDEX($C$57:$AF$60,$B92,U$68)</f>
        <v>3.9052499689731248</v>
      </c>
      <c r="V92" s="147" cm="1">
        <f t="array" ref="V92">INDEX($E$5:$AH$16,$C92,V$68) * INDEX($C$57:$AF$60,$B92,V$68)</f>
        <v>3.9052499689731248</v>
      </c>
      <c r="W92" s="147" cm="1">
        <f t="array" ref="W92">INDEX($E$5:$AH$16,$C92,W$68) * INDEX($C$57:$AF$60,$B92,W$68)</f>
        <v>3.9052499689731248</v>
      </c>
      <c r="X92" s="147" cm="1">
        <f t="array" ref="X92">INDEX($E$5:$AH$16,$C92,X$68) * INDEX($C$57:$AF$60,$B92,X$68)</f>
        <v>3.9052499689731248</v>
      </c>
      <c r="Y92" s="147" cm="1">
        <f t="array" ref="Y92">INDEX($E$5:$AH$16,$C92,Y$68) * INDEX($C$57:$AF$60,$B92,Y$68)</f>
        <v>3.9052499689731248</v>
      </c>
      <c r="Z92" s="147" cm="1">
        <f t="array" ref="Z92">INDEX($E$5:$AH$16,$C92,Z$68) * INDEX($C$57:$AF$60,$B92,Z$68)</f>
        <v>3.9052499689731248</v>
      </c>
      <c r="AA92" s="147" cm="1">
        <f t="array" ref="AA92">INDEX($E$5:$AH$16,$C92,AA$68) * INDEX($C$57:$AF$60,$B92,AA$68)</f>
        <v>3.9052499689731248</v>
      </c>
      <c r="AB92" s="147" cm="1">
        <f t="array" ref="AB92">INDEX($E$5:$AH$16,$C92,AB$68) * INDEX($C$57:$AF$60,$B92,AB$68)</f>
        <v>3.9052499689731248</v>
      </c>
      <c r="AC92" s="147" cm="1">
        <f t="array" ref="AC92">INDEX($E$5:$AH$16,$C92,AC$68) * INDEX($C$57:$AF$60,$B92,AC$68)</f>
        <v>3.9052499689731248</v>
      </c>
      <c r="AD92" s="147" cm="1">
        <f t="array" ref="AD92">INDEX($E$5:$AH$16,$C92,AD$68) * INDEX($C$57:$AF$60,$B92,AD$68)</f>
        <v>3.9052499689731248</v>
      </c>
      <c r="AE92" s="147" cm="1">
        <f t="array" ref="AE92">INDEX($E$5:$AH$16,$C92,AE$68) * INDEX($C$57:$AF$60,$B92,AE$68)</f>
        <v>3.9052499689731248</v>
      </c>
      <c r="AF92" s="147" cm="1">
        <f t="array" ref="AF92">INDEX($E$5:$AH$16,$C92,AF$68) * INDEX($C$57:$AF$60,$B92,AF$68)</f>
        <v>3.9052499689731248</v>
      </c>
      <c r="AG92" s="147" cm="1">
        <f t="array" ref="AG92">INDEX($E$5:$AH$16,$C92,AG$68) * INDEX($C$57:$AF$60,$B92,AG$68)</f>
        <v>3.9052499689731248</v>
      </c>
      <c r="AH92" s="147" cm="1">
        <f t="array" ref="AH92">INDEX($E$5:$AH$16,$C92,AH$68) * INDEX($C$57:$AF$60,$B92,AH$68)</f>
        <v>3.9052499689731248</v>
      </c>
    </row>
    <row r="93" spans="2:34">
      <c r="B93" s="149">
        <v>2</v>
      </c>
      <c r="C93" s="149">
        <v>12</v>
      </c>
      <c r="D93" s="267" t="str">
        <v xml:space="preserve">Veículos do transporte público coletivo intermunicipal e metropolitano </v>
      </c>
      <c r="E93" s="147" cm="1">
        <f t="array" ref="E93">INDEX($E$5:$AH$16,$C93,E$68) * INDEX($C$57:$AF$60,$B93,E$68)</f>
        <v>0</v>
      </c>
      <c r="F93" s="147" cm="1">
        <f t="array" ref="F93">INDEX($E$5:$AH$16,$C93,F$68) * INDEX($C$57:$AF$60,$B93,F$68)</f>
        <v>0</v>
      </c>
      <c r="G93" s="147" cm="1">
        <f t="array" ref="G93">INDEX($E$5:$AH$16,$C93,G$68) * INDEX($C$57:$AF$60,$B93,G$68)</f>
        <v>0</v>
      </c>
      <c r="H93" s="147" cm="1">
        <f t="array" ref="H93">INDEX($E$5:$AH$16,$C93,H$68) * INDEX($C$57:$AF$60,$B93,H$68)</f>
        <v>0</v>
      </c>
      <c r="I93" s="147" cm="1">
        <f t="array" ref="I93">INDEX($E$5:$AH$16,$C93,I$68) * INDEX($C$57:$AF$60,$B93,I$68)</f>
        <v>0</v>
      </c>
      <c r="J93" s="147" cm="1">
        <f t="array" ref="J93">INDEX($E$5:$AH$16,$C93,J$68) * INDEX($C$57:$AF$60,$B93,J$68)</f>
        <v>0</v>
      </c>
      <c r="K93" s="147" cm="1">
        <f t="array" ref="K93">INDEX($E$5:$AH$16,$C93,K$68) * INDEX($C$57:$AF$60,$B93,K$68)</f>
        <v>0</v>
      </c>
      <c r="L93" s="147" cm="1">
        <f t="array" ref="L93">INDEX($E$5:$AH$16,$C93,L$68) * INDEX($C$57:$AF$60,$B93,L$68)</f>
        <v>0</v>
      </c>
      <c r="M93" s="147" cm="1">
        <f t="array" ref="M93">INDEX($E$5:$AH$16,$C93,M$68) * INDEX($C$57:$AF$60,$B93,M$68)</f>
        <v>0</v>
      </c>
      <c r="N93" s="147" cm="1">
        <f t="array" ref="N93">INDEX($E$5:$AH$16,$C93,N$68) * INDEX($C$57:$AF$60,$B93,N$68)</f>
        <v>0</v>
      </c>
      <c r="O93" s="147" cm="1">
        <f t="array" ref="O93">INDEX($E$5:$AH$16,$C93,O$68) * INDEX($C$57:$AF$60,$B93,O$68)</f>
        <v>0</v>
      </c>
      <c r="P93" s="147" cm="1">
        <f t="array" ref="P93">INDEX($E$5:$AH$16,$C93,P$68) * INDEX($C$57:$AF$60,$B93,P$68)</f>
        <v>0</v>
      </c>
      <c r="Q93" s="147" cm="1">
        <f t="array" ref="Q93">INDEX($E$5:$AH$16,$C93,Q$68) * INDEX($C$57:$AF$60,$B93,Q$68)</f>
        <v>0</v>
      </c>
      <c r="R93" s="147" cm="1">
        <f t="array" ref="R93">INDEX($E$5:$AH$16,$C93,R$68) * INDEX($C$57:$AF$60,$B93,R$68)</f>
        <v>0</v>
      </c>
      <c r="S93" s="147" cm="1">
        <f t="array" ref="S93">INDEX($E$5:$AH$16,$C93,S$68) * INDEX($C$57:$AF$60,$B93,S$68)</f>
        <v>0</v>
      </c>
      <c r="T93" s="147" cm="1">
        <f t="array" ref="T93">INDEX($E$5:$AH$16,$C93,T$68) * INDEX($C$57:$AF$60,$B93,T$68)</f>
        <v>0</v>
      </c>
      <c r="U93" s="147" cm="1">
        <f t="array" ref="U93">INDEX($E$5:$AH$16,$C93,U$68) * INDEX($C$57:$AF$60,$B93,U$68)</f>
        <v>0</v>
      </c>
      <c r="V93" s="147" cm="1">
        <f t="array" ref="V93">INDEX($E$5:$AH$16,$C93,V$68) * INDEX($C$57:$AF$60,$B93,V$68)</f>
        <v>0</v>
      </c>
      <c r="W93" s="147" cm="1">
        <f t="array" ref="W93">INDEX($E$5:$AH$16,$C93,W$68) * INDEX($C$57:$AF$60,$B93,W$68)</f>
        <v>0</v>
      </c>
      <c r="X93" s="147" cm="1">
        <f t="array" ref="X93">INDEX($E$5:$AH$16,$C93,X$68) * INDEX($C$57:$AF$60,$B93,X$68)</f>
        <v>0</v>
      </c>
      <c r="Y93" s="147" cm="1">
        <f t="array" ref="Y93">INDEX($E$5:$AH$16,$C93,Y$68) * INDEX($C$57:$AF$60,$B93,Y$68)</f>
        <v>0</v>
      </c>
      <c r="Z93" s="147" cm="1">
        <f t="array" ref="Z93">INDEX($E$5:$AH$16,$C93,Z$68) * INDEX($C$57:$AF$60,$B93,Z$68)</f>
        <v>0</v>
      </c>
      <c r="AA93" s="147" cm="1">
        <f t="array" ref="AA93">INDEX($E$5:$AH$16,$C93,AA$68) * INDEX($C$57:$AF$60,$B93,AA$68)</f>
        <v>0</v>
      </c>
      <c r="AB93" s="147" cm="1">
        <f t="array" ref="AB93">INDEX($E$5:$AH$16,$C93,AB$68) * INDEX($C$57:$AF$60,$B93,AB$68)</f>
        <v>0</v>
      </c>
      <c r="AC93" s="147" cm="1">
        <f t="array" ref="AC93">INDEX($E$5:$AH$16,$C93,AC$68) * INDEX($C$57:$AF$60,$B93,AC$68)</f>
        <v>0</v>
      </c>
      <c r="AD93" s="147" cm="1">
        <f t="array" ref="AD93">INDEX($E$5:$AH$16,$C93,AD$68) * INDEX($C$57:$AF$60,$B93,AD$68)</f>
        <v>0</v>
      </c>
      <c r="AE93" s="147" cm="1">
        <f t="array" ref="AE93">INDEX($E$5:$AH$16,$C93,AE$68) * INDEX($C$57:$AF$60,$B93,AE$68)</f>
        <v>0</v>
      </c>
      <c r="AF93" s="147" cm="1">
        <f t="array" ref="AF93">INDEX($E$5:$AH$16,$C93,AF$68) * INDEX($C$57:$AF$60,$B93,AF$68)</f>
        <v>0</v>
      </c>
      <c r="AG93" s="147" cm="1">
        <f t="array" ref="AG93">INDEX($E$5:$AH$16,$C93,AG$68) * INDEX($C$57:$AF$60,$B93,AG$68)</f>
        <v>0</v>
      </c>
      <c r="AH93" s="147" cm="1">
        <f t="array" ref="AH93">INDEX($E$5:$AH$16,$C93,AH$68) * INDEX($C$57:$AF$60,$B93,AH$68)</f>
        <v>0</v>
      </c>
    </row>
    <row r="94" spans="2:34">
      <c r="B94" s="149">
        <v>3</v>
      </c>
      <c r="C94" s="149">
        <v>1</v>
      </c>
      <c r="D94" s="267" t="str">
        <v>Automóvel</v>
      </c>
      <c r="E94" s="147" cm="1">
        <f t="array" ref="E94">INDEX($E$5:$AH$16,$C94,E$68) * INDEX($C$57:$AF$60,$B94,E$68)</f>
        <v>5.5789285271044644</v>
      </c>
      <c r="F94" s="147" cm="1">
        <f t="array" ref="F94">INDEX($E$5:$AH$16,$C94,F$68) * INDEX($C$57:$AF$60,$B94,F$68)</f>
        <v>5.5789285271044644</v>
      </c>
      <c r="G94" s="147" cm="1">
        <f t="array" ref="G94">INDEX($E$5:$AH$16,$C94,G$68) * INDEX($C$57:$AF$60,$B94,G$68)</f>
        <v>5.5789285271044644</v>
      </c>
      <c r="H94" s="147" cm="1">
        <f t="array" ref="H94">INDEX($E$5:$AH$16,$C94,H$68) * INDEX($C$57:$AF$60,$B94,H$68)</f>
        <v>5.5789285271044644</v>
      </c>
      <c r="I94" s="147" cm="1">
        <f t="array" ref="I94">INDEX($E$5:$AH$16,$C94,I$68) * INDEX($C$57:$AF$60,$B94,I$68)</f>
        <v>5.5789285271044644</v>
      </c>
      <c r="J94" s="147" cm="1">
        <f t="array" ref="J94">INDEX($E$5:$AH$16,$C94,J$68) * INDEX($C$57:$AF$60,$B94,J$68)</f>
        <v>5.5789285271044644</v>
      </c>
      <c r="K94" s="147" cm="1">
        <f t="array" ref="K94">INDEX($E$5:$AH$16,$C94,K$68) * INDEX($C$57:$AF$60,$B94,K$68)</f>
        <v>5.5789285271044644</v>
      </c>
      <c r="L94" s="147" cm="1">
        <f t="array" ref="L94">INDEX($E$5:$AH$16,$C94,L$68) * INDEX($C$57:$AF$60,$B94,L$68)</f>
        <v>5.5789285271044644</v>
      </c>
      <c r="M94" s="147" cm="1">
        <f t="array" ref="M94">INDEX($E$5:$AH$16,$C94,M$68) * INDEX($C$57:$AF$60,$B94,M$68)</f>
        <v>5.5789285271044644</v>
      </c>
      <c r="N94" s="147" cm="1">
        <f t="array" ref="N94">INDEX($E$5:$AH$16,$C94,N$68) * INDEX($C$57:$AF$60,$B94,N$68)</f>
        <v>5.5789285271044644</v>
      </c>
      <c r="O94" s="147" cm="1">
        <f t="array" ref="O94">INDEX($E$5:$AH$16,$C94,O$68) * INDEX($C$57:$AF$60,$B94,O$68)</f>
        <v>5.5789285271044644</v>
      </c>
      <c r="P94" s="147" cm="1">
        <f t="array" ref="P94">INDEX($E$5:$AH$16,$C94,P$68) * INDEX($C$57:$AF$60,$B94,P$68)</f>
        <v>5.5789285271044644</v>
      </c>
      <c r="Q94" s="147" cm="1">
        <f t="array" ref="Q94">INDEX($E$5:$AH$16,$C94,Q$68) * INDEX($C$57:$AF$60,$B94,Q$68)</f>
        <v>5.5789285271044644</v>
      </c>
      <c r="R94" s="147" cm="1">
        <f t="array" ref="R94">INDEX($E$5:$AH$16,$C94,R$68) * INDEX($C$57:$AF$60,$B94,R$68)</f>
        <v>5.5789285271044644</v>
      </c>
      <c r="S94" s="147" cm="1">
        <f t="array" ref="S94">INDEX($E$5:$AH$16,$C94,S$68) * INDEX($C$57:$AF$60,$B94,S$68)</f>
        <v>5.5789285271044644</v>
      </c>
      <c r="T94" s="147" cm="1">
        <f t="array" ref="T94">INDEX($E$5:$AH$16,$C94,T$68) * INDEX($C$57:$AF$60,$B94,T$68)</f>
        <v>5.5789285271044644</v>
      </c>
      <c r="U94" s="147" cm="1">
        <f t="array" ref="U94">INDEX($E$5:$AH$16,$C94,U$68) * INDEX($C$57:$AF$60,$B94,U$68)</f>
        <v>5.5789285271044644</v>
      </c>
      <c r="V94" s="147" cm="1">
        <f t="array" ref="V94">INDEX($E$5:$AH$16,$C94,V$68) * INDEX($C$57:$AF$60,$B94,V$68)</f>
        <v>5.5789285271044644</v>
      </c>
      <c r="W94" s="147" cm="1">
        <f t="array" ref="W94">INDEX($E$5:$AH$16,$C94,W$68) * INDEX($C$57:$AF$60,$B94,W$68)</f>
        <v>5.5789285271044644</v>
      </c>
      <c r="X94" s="147" cm="1">
        <f t="array" ref="X94">INDEX($E$5:$AH$16,$C94,X$68) * INDEX($C$57:$AF$60,$B94,X$68)</f>
        <v>5.5789285271044644</v>
      </c>
      <c r="Y94" s="147" cm="1">
        <f t="array" ref="Y94">INDEX($E$5:$AH$16,$C94,Y$68) * INDEX($C$57:$AF$60,$B94,Y$68)</f>
        <v>5.5789285271044644</v>
      </c>
      <c r="Z94" s="147" cm="1">
        <f t="array" ref="Z94">INDEX($E$5:$AH$16,$C94,Z$68) * INDEX($C$57:$AF$60,$B94,Z$68)</f>
        <v>5.5789285271044644</v>
      </c>
      <c r="AA94" s="147" cm="1">
        <f t="array" ref="AA94">INDEX($E$5:$AH$16,$C94,AA$68) * INDEX($C$57:$AF$60,$B94,AA$68)</f>
        <v>5.5789285271044644</v>
      </c>
      <c r="AB94" s="147" cm="1">
        <f t="array" ref="AB94">INDEX($E$5:$AH$16,$C94,AB$68) * INDEX($C$57:$AF$60,$B94,AB$68)</f>
        <v>5.5789285271044644</v>
      </c>
      <c r="AC94" s="147" cm="1">
        <f t="array" ref="AC94">INDEX($E$5:$AH$16,$C94,AC$68) * INDEX($C$57:$AF$60,$B94,AC$68)</f>
        <v>5.5789285271044644</v>
      </c>
      <c r="AD94" s="147" cm="1">
        <f t="array" ref="AD94">INDEX($E$5:$AH$16,$C94,AD$68) * INDEX($C$57:$AF$60,$B94,AD$68)</f>
        <v>5.5789285271044644</v>
      </c>
      <c r="AE94" s="147" cm="1">
        <f t="array" ref="AE94">INDEX($E$5:$AH$16,$C94,AE$68) * INDEX($C$57:$AF$60,$B94,AE$68)</f>
        <v>5.5789285271044644</v>
      </c>
      <c r="AF94" s="147" cm="1">
        <f t="array" ref="AF94">INDEX($E$5:$AH$16,$C94,AF$68) * INDEX($C$57:$AF$60,$B94,AF$68)</f>
        <v>5.5789285271044644</v>
      </c>
      <c r="AG94" s="147" cm="1">
        <f t="array" ref="AG94">INDEX($E$5:$AH$16,$C94,AG$68) * INDEX($C$57:$AF$60,$B94,AG$68)</f>
        <v>5.5789285271044644</v>
      </c>
      <c r="AH94" s="147" cm="1">
        <f t="array" ref="AH94">INDEX($E$5:$AH$16,$C94,AH$68) * INDEX($C$57:$AF$60,$B94,AH$68)</f>
        <v>5.5789285271044644</v>
      </c>
    </row>
    <row r="95" spans="2:34">
      <c r="B95" s="149">
        <v>3</v>
      </c>
      <c r="C95" s="149">
        <v>2</v>
      </c>
      <c r="D95" s="267" t="str">
        <v xml:space="preserve">Automóvel com reboque </v>
      </c>
      <c r="E95" s="147" cm="1">
        <f t="array" ref="E95">INDEX($E$5:$AH$16,$C95,E$68) * INDEX($C$57:$AF$60,$B95,E$68)</f>
        <v>8.3683927906566957</v>
      </c>
      <c r="F95" s="147" cm="1">
        <f t="array" ref="F95">INDEX($E$5:$AH$16,$C95,F$68) * INDEX($C$57:$AF$60,$B95,F$68)</f>
        <v>8.3683927906566957</v>
      </c>
      <c r="G95" s="147" cm="1">
        <f t="array" ref="G95">INDEX($E$5:$AH$16,$C95,G$68) * INDEX($C$57:$AF$60,$B95,G$68)</f>
        <v>8.3683927906566957</v>
      </c>
      <c r="H95" s="147" cm="1">
        <f t="array" ref="H95">INDEX($E$5:$AH$16,$C95,H$68) * INDEX($C$57:$AF$60,$B95,H$68)</f>
        <v>8.3683927906566957</v>
      </c>
      <c r="I95" s="147" cm="1">
        <f t="array" ref="I95">INDEX($E$5:$AH$16,$C95,I$68) * INDEX($C$57:$AF$60,$B95,I$68)</f>
        <v>8.3683927906566957</v>
      </c>
      <c r="J95" s="147" cm="1">
        <f t="array" ref="J95">INDEX($E$5:$AH$16,$C95,J$68) * INDEX($C$57:$AF$60,$B95,J$68)</f>
        <v>8.3683927906566957</v>
      </c>
      <c r="K95" s="147" cm="1">
        <f t="array" ref="K95">INDEX($E$5:$AH$16,$C95,K$68) * INDEX($C$57:$AF$60,$B95,K$68)</f>
        <v>8.3683927906566957</v>
      </c>
      <c r="L95" s="147" cm="1">
        <f t="array" ref="L95">INDEX($E$5:$AH$16,$C95,L$68) * INDEX($C$57:$AF$60,$B95,L$68)</f>
        <v>8.3683927906566957</v>
      </c>
      <c r="M95" s="147" cm="1">
        <f t="array" ref="M95">INDEX($E$5:$AH$16,$C95,M$68) * INDEX($C$57:$AF$60,$B95,M$68)</f>
        <v>8.3683927906566957</v>
      </c>
      <c r="N95" s="147" cm="1">
        <f t="array" ref="N95">INDEX($E$5:$AH$16,$C95,N$68) * INDEX($C$57:$AF$60,$B95,N$68)</f>
        <v>8.3683927906566957</v>
      </c>
      <c r="O95" s="147" cm="1">
        <f t="array" ref="O95">INDEX($E$5:$AH$16,$C95,O$68) * INDEX($C$57:$AF$60,$B95,O$68)</f>
        <v>8.3683927906566957</v>
      </c>
      <c r="P95" s="147" cm="1">
        <f t="array" ref="P95">INDEX($E$5:$AH$16,$C95,P$68) * INDEX($C$57:$AF$60,$B95,P$68)</f>
        <v>8.3683927906566957</v>
      </c>
      <c r="Q95" s="147" cm="1">
        <f t="array" ref="Q95">INDEX($E$5:$AH$16,$C95,Q$68) * INDEX($C$57:$AF$60,$B95,Q$68)</f>
        <v>8.3683927906566957</v>
      </c>
      <c r="R95" s="147" cm="1">
        <f t="array" ref="R95">INDEX($E$5:$AH$16,$C95,R$68) * INDEX($C$57:$AF$60,$B95,R$68)</f>
        <v>8.3683927906566957</v>
      </c>
      <c r="S95" s="147" cm="1">
        <f t="array" ref="S95">INDEX($E$5:$AH$16,$C95,S$68) * INDEX($C$57:$AF$60,$B95,S$68)</f>
        <v>8.3683927906566957</v>
      </c>
      <c r="T95" s="147" cm="1">
        <f t="array" ref="T95">INDEX($E$5:$AH$16,$C95,T$68) * INDEX($C$57:$AF$60,$B95,T$68)</f>
        <v>8.3683927906566957</v>
      </c>
      <c r="U95" s="147" cm="1">
        <f t="array" ref="U95">INDEX($E$5:$AH$16,$C95,U$68) * INDEX($C$57:$AF$60,$B95,U$68)</f>
        <v>8.3683927906566957</v>
      </c>
      <c r="V95" s="147" cm="1">
        <f t="array" ref="V95">INDEX($E$5:$AH$16,$C95,V$68) * INDEX($C$57:$AF$60,$B95,V$68)</f>
        <v>8.3683927906566957</v>
      </c>
      <c r="W95" s="147" cm="1">
        <f t="array" ref="W95">INDEX($E$5:$AH$16,$C95,W$68) * INDEX($C$57:$AF$60,$B95,W$68)</f>
        <v>8.3683927906566957</v>
      </c>
      <c r="X95" s="147" cm="1">
        <f t="array" ref="X95">INDEX($E$5:$AH$16,$C95,X$68) * INDEX($C$57:$AF$60,$B95,X$68)</f>
        <v>8.3683927906566957</v>
      </c>
      <c r="Y95" s="147" cm="1">
        <f t="array" ref="Y95">INDEX($E$5:$AH$16,$C95,Y$68) * INDEX($C$57:$AF$60,$B95,Y$68)</f>
        <v>8.3683927906566957</v>
      </c>
      <c r="Z95" s="147" cm="1">
        <f t="array" ref="Z95">INDEX($E$5:$AH$16,$C95,Z$68) * INDEX($C$57:$AF$60,$B95,Z$68)</f>
        <v>8.3683927906566957</v>
      </c>
      <c r="AA95" s="147" cm="1">
        <f t="array" ref="AA95">INDEX($E$5:$AH$16,$C95,AA$68) * INDEX($C$57:$AF$60,$B95,AA$68)</f>
        <v>8.3683927906566957</v>
      </c>
      <c r="AB95" s="147" cm="1">
        <f t="array" ref="AB95">INDEX($E$5:$AH$16,$C95,AB$68) * INDEX($C$57:$AF$60,$B95,AB$68)</f>
        <v>8.3683927906566957</v>
      </c>
      <c r="AC95" s="147" cm="1">
        <f t="array" ref="AC95">INDEX($E$5:$AH$16,$C95,AC$68) * INDEX($C$57:$AF$60,$B95,AC$68)</f>
        <v>8.3683927906566957</v>
      </c>
      <c r="AD95" s="147" cm="1">
        <f t="array" ref="AD95">INDEX($E$5:$AH$16,$C95,AD$68) * INDEX($C$57:$AF$60,$B95,AD$68)</f>
        <v>8.3683927906566957</v>
      </c>
      <c r="AE95" s="147" cm="1">
        <f t="array" ref="AE95">INDEX($E$5:$AH$16,$C95,AE$68) * INDEX($C$57:$AF$60,$B95,AE$68)</f>
        <v>8.3683927906566957</v>
      </c>
      <c r="AF95" s="147" cm="1">
        <f t="array" ref="AF95">INDEX($E$5:$AH$16,$C95,AF$68) * INDEX($C$57:$AF$60,$B95,AF$68)</f>
        <v>8.3683927906566957</v>
      </c>
      <c r="AG95" s="147" cm="1">
        <f t="array" ref="AG95">INDEX($E$5:$AH$16,$C95,AG$68) * INDEX($C$57:$AF$60,$B95,AG$68)</f>
        <v>8.3683927906566957</v>
      </c>
      <c r="AH95" s="147" cm="1">
        <f t="array" ref="AH95">INDEX($E$5:$AH$16,$C95,AH$68) * INDEX($C$57:$AF$60,$B95,AH$68)</f>
        <v>8.3683927906566957</v>
      </c>
    </row>
    <row r="96" spans="2:34">
      <c r="B96" s="149">
        <v>3</v>
      </c>
      <c r="C96" s="149">
        <v>3</v>
      </c>
      <c r="D96" s="267" t="str">
        <v>Veículos Comerciais com 2 Eixos</v>
      </c>
      <c r="E96" s="147" cm="1">
        <f t="array" ref="E96">INDEX($E$5:$AH$16,$C96,E$68) * INDEX($C$57:$AF$60,$B96,E$68)</f>
        <v>11.157857054208929</v>
      </c>
      <c r="F96" s="147" cm="1">
        <f t="array" ref="F96">INDEX($E$5:$AH$16,$C96,F$68) * INDEX($C$57:$AF$60,$B96,F$68)</f>
        <v>11.157857054208929</v>
      </c>
      <c r="G96" s="147" cm="1">
        <f t="array" ref="G96">INDEX($E$5:$AH$16,$C96,G$68) * INDEX($C$57:$AF$60,$B96,G$68)</f>
        <v>11.157857054208929</v>
      </c>
      <c r="H96" s="147" cm="1">
        <f t="array" ref="H96">INDEX($E$5:$AH$16,$C96,H$68) * INDEX($C$57:$AF$60,$B96,H$68)</f>
        <v>11.157857054208929</v>
      </c>
      <c r="I96" s="147" cm="1">
        <f t="array" ref="I96">INDEX($E$5:$AH$16,$C96,I$68) * INDEX($C$57:$AF$60,$B96,I$68)</f>
        <v>11.157857054208929</v>
      </c>
      <c r="J96" s="147" cm="1">
        <f t="array" ref="J96">INDEX($E$5:$AH$16,$C96,J$68) * INDEX($C$57:$AF$60,$B96,J$68)</f>
        <v>11.157857054208929</v>
      </c>
      <c r="K96" s="147" cm="1">
        <f t="array" ref="K96">INDEX($E$5:$AH$16,$C96,K$68) * INDEX($C$57:$AF$60,$B96,K$68)</f>
        <v>11.157857054208929</v>
      </c>
      <c r="L96" s="147" cm="1">
        <f t="array" ref="L96">INDEX($E$5:$AH$16,$C96,L$68) * INDEX($C$57:$AF$60,$B96,L$68)</f>
        <v>11.157857054208929</v>
      </c>
      <c r="M96" s="147" cm="1">
        <f t="array" ref="M96">INDEX($E$5:$AH$16,$C96,M$68) * INDEX($C$57:$AF$60,$B96,M$68)</f>
        <v>11.157857054208929</v>
      </c>
      <c r="N96" s="147" cm="1">
        <f t="array" ref="N96">INDEX($E$5:$AH$16,$C96,N$68) * INDEX($C$57:$AF$60,$B96,N$68)</f>
        <v>11.157857054208929</v>
      </c>
      <c r="O96" s="147" cm="1">
        <f t="array" ref="O96">INDEX($E$5:$AH$16,$C96,O$68) * INDEX($C$57:$AF$60,$B96,O$68)</f>
        <v>11.157857054208929</v>
      </c>
      <c r="P96" s="147" cm="1">
        <f t="array" ref="P96">INDEX($E$5:$AH$16,$C96,P$68) * INDEX($C$57:$AF$60,$B96,P$68)</f>
        <v>11.157857054208929</v>
      </c>
      <c r="Q96" s="147" cm="1">
        <f t="array" ref="Q96">INDEX($E$5:$AH$16,$C96,Q$68) * INDEX($C$57:$AF$60,$B96,Q$68)</f>
        <v>11.157857054208929</v>
      </c>
      <c r="R96" s="147" cm="1">
        <f t="array" ref="R96">INDEX($E$5:$AH$16,$C96,R$68) * INDEX($C$57:$AF$60,$B96,R$68)</f>
        <v>11.157857054208929</v>
      </c>
      <c r="S96" s="147" cm="1">
        <f t="array" ref="S96">INDEX($E$5:$AH$16,$C96,S$68) * INDEX($C$57:$AF$60,$B96,S$68)</f>
        <v>11.157857054208929</v>
      </c>
      <c r="T96" s="147" cm="1">
        <f t="array" ref="T96">INDEX($E$5:$AH$16,$C96,T$68) * INDEX($C$57:$AF$60,$B96,T$68)</f>
        <v>11.157857054208929</v>
      </c>
      <c r="U96" s="147" cm="1">
        <f t="array" ref="U96">INDEX($E$5:$AH$16,$C96,U$68) * INDEX($C$57:$AF$60,$B96,U$68)</f>
        <v>11.157857054208929</v>
      </c>
      <c r="V96" s="147" cm="1">
        <f t="array" ref="V96">INDEX($E$5:$AH$16,$C96,V$68) * INDEX($C$57:$AF$60,$B96,V$68)</f>
        <v>11.157857054208929</v>
      </c>
      <c r="W96" s="147" cm="1">
        <f t="array" ref="W96">INDEX($E$5:$AH$16,$C96,W$68) * INDEX($C$57:$AF$60,$B96,W$68)</f>
        <v>11.157857054208929</v>
      </c>
      <c r="X96" s="147" cm="1">
        <f t="array" ref="X96">INDEX($E$5:$AH$16,$C96,X$68) * INDEX($C$57:$AF$60,$B96,X$68)</f>
        <v>11.157857054208929</v>
      </c>
      <c r="Y96" s="147" cm="1">
        <f t="array" ref="Y96">INDEX($E$5:$AH$16,$C96,Y$68) * INDEX($C$57:$AF$60,$B96,Y$68)</f>
        <v>11.157857054208929</v>
      </c>
      <c r="Z96" s="147" cm="1">
        <f t="array" ref="Z96">INDEX($E$5:$AH$16,$C96,Z$68) * INDEX($C$57:$AF$60,$B96,Z$68)</f>
        <v>11.157857054208929</v>
      </c>
      <c r="AA96" s="147" cm="1">
        <f t="array" ref="AA96">INDEX($E$5:$AH$16,$C96,AA$68) * INDEX($C$57:$AF$60,$B96,AA$68)</f>
        <v>11.157857054208929</v>
      </c>
      <c r="AB96" s="147" cm="1">
        <f t="array" ref="AB96">INDEX($E$5:$AH$16,$C96,AB$68) * INDEX($C$57:$AF$60,$B96,AB$68)</f>
        <v>11.157857054208929</v>
      </c>
      <c r="AC96" s="147" cm="1">
        <f t="array" ref="AC96">INDEX($E$5:$AH$16,$C96,AC$68) * INDEX($C$57:$AF$60,$B96,AC$68)</f>
        <v>11.157857054208929</v>
      </c>
      <c r="AD96" s="147" cm="1">
        <f t="array" ref="AD96">INDEX($E$5:$AH$16,$C96,AD$68) * INDEX($C$57:$AF$60,$B96,AD$68)</f>
        <v>11.157857054208929</v>
      </c>
      <c r="AE96" s="147" cm="1">
        <f t="array" ref="AE96">INDEX($E$5:$AH$16,$C96,AE$68) * INDEX($C$57:$AF$60,$B96,AE$68)</f>
        <v>11.157857054208929</v>
      </c>
      <c r="AF96" s="147" cm="1">
        <f t="array" ref="AF96">INDEX($E$5:$AH$16,$C96,AF$68) * INDEX($C$57:$AF$60,$B96,AF$68)</f>
        <v>11.157857054208929</v>
      </c>
      <c r="AG96" s="147" cm="1">
        <f t="array" ref="AG96">INDEX($E$5:$AH$16,$C96,AG$68) * INDEX($C$57:$AF$60,$B96,AG$68)</f>
        <v>11.157857054208929</v>
      </c>
      <c r="AH96" s="147" cm="1">
        <f t="array" ref="AH96">INDEX($E$5:$AH$16,$C96,AH$68) * INDEX($C$57:$AF$60,$B96,AH$68)</f>
        <v>11.157857054208929</v>
      </c>
    </row>
    <row r="97" spans="2:34">
      <c r="B97" s="149">
        <v>3</v>
      </c>
      <c r="C97" s="149">
        <v>4</v>
      </c>
      <c r="D97" s="267" t="str">
        <v>Veículos Comerciais com 3 Eixos</v>
      </c>
      <c r="E97" s="147" cm="1">
        <f t="array" ref="E97">INDEX($E$5:$AH$16,$C97,E$68) * INDEX($C$57:$AF$60,$B97,E$68)</f>
        <v>16.736785581313391</v>
      </c>
      <c r="F97" s="147" cm="1">
        <f t="array" ref="F97">INDEX($E$5:$AH$16,$C97,F$68) * INDEX($C$57:$AF$60,$B97,F$68)</f>
        <v>16.736785581313391</v>
      </c>
      <c r="G97" s="147" cm="1">
        <f t="array" ref="G97">INDEX($E$5:$AH$16,$C97,G$68) * INDEX($C$57:$AF$60,$B97,G$68)</f>
        <v>16.736785581313391</v>
      </c>
      <c r="H97" s="147" cm="1">
        <f t="array" ref="H97">INDEX($E$5:$AH$16,$C97,H$68) * INDEX($C$57:$AF$60,$B97,H$68)</f>
        <v>16.736785581313391</v>
      </c>
      <c r="I97" s="147" cm="1">
        <f t="array" ref="I97">INDEX($E$5:$AH$16,$C97,I$68) * INDEX($C$57:$AF$60,$B97,I$68)</f>
        <v>16.736785581313391</v>
      </c>
      <c r="J97" s="147" cm="1">
        <f t="array" ref="J97">INDEX($E$5:$AH$16,$C97,J$68) * INDEX($C$57:$AF$60,$B97,J$68)</f>
        <v>16.736785581313391</v>
      </c>
      <c r="K97" s="147" cm="1">
        <f t="array" ref="K97">INDEX($E$5:$AH$16,$C97,K$68) * INDEX($C$57:$AF$60,$B97,K$68)</f>
        <v>16.736785581313391</v>
      </c>
      <c r="L97" s="147" cm="1">
        <f t="array" ref="L97">INDEX($E$5:$AH$16,$C97,L$68) * INDEX($C$57:$AF$60,$B97,L$68)</f>
        <v>16.736785581313391</v>
      </c>
      <c r="M97" s="147" cm="1">
        <f t="array" ref="M97">INDEX($E$5:$AH$16,$C97,M$68) * INDEX($C$57:$AF$60,$B97,M$68)</f>
        <v>16.736785581313391</v>
      </c>
      <c r="N97" s="147" cm="1">
        <f t="array" ref="N97">INDEX($E$5:$AH$16,$C97,N$68) * INDEX($C$57:$AF$60,$B97,N$68)</f>
        <v>16.736785581313391</v>
      </c>
      <c r="O97" s="147" cm="1">
        <f t="array" ref="O97">INDEX($E$5:$AH$16,$C97,O$68) * INDEX($C$57:$AF$60,$B97,O$68)</f>
        <v>16.736785581313391</v>
      </c>
      <c r="P97" s="147" cm="1">
        <f t="array" ref="P97">INDEX($E$5:$AH$16,$C97,P$68) * INDEX($C$57:$AF$60,$B97,P$68)</f>
        <v>16.736785581313391</v>
      </c>
      <c r="Q97" s="147" cm="1">
        <f t="array" ref="Q97">INDEX($E$5:$AH$16,$C97,Q$68) * INDEX($C$57:$AF$60,$B97,Q$68)</f>
        <v>16.736785581313391</v>
      </c>
      <c r="R97" s="147" cm="1">
        <f t="array" ref="R97">INDEX($E$5:$AH$16,$C97,R$68) * INDEX($C$57:$AF$60,$B97,R$68)</f>
        <v>16.736785581313391</v>
      </c>
      <c r="S97" s="147" cm="1">
        <f t="array" ref="S97">INDEX($E$5:$AH$16,$C97,S$68) * INDEX($C$57:$AF$60,$B97,S$68)</f>
        <v>16.736785581313391</v>
      </c>
      <c r="T97" s="147" cm="1">
        <f t="array" ref="T97">INDEX($E$5:$AH$16,$C97,T$68) * INDEX($C$57:$AF$60,$B97,T$68)</f>
        <v>16.736785581313391</v>
      </c>
      <c r="U97" s="147" cm="1">
        <f t="array" ref="U97">INDEX($E$5:$AH$16,$C97,U$68) * INDEX($C$57:$AF$60,$B97,U$68)</f>
        <v>16.736785581313391</v>
      </c>
      <c r="V97" s="147" cm="1">
        <f t="array" ref="V97">INDEX($E$5:$AH$16,$C97,V$68) * INDEX($C$57:$AF$60,$B97,V$68)</f>
        <v>16.736785581313391</v>
      </c>
      <c r="W97" s="147" cm="1">
        <f t="array" ref="W97">INDEX($E$5:$AH$16,$C97,W$68) * INDEX($C$57:$AF$60,$B97,W$68)</f>
        <v>16.736785581313391</v>
      </c>
      <c r="X97" s="147" cm="1">
        <f t="array" ref="X97">INDEX($E$5:$AH$16,$C97,X$68) * INDEX($C$57:$AF$60,$B97,X$68)</f>
        <v>16.736785581313391</v>
      </c>
      <c r="Y97" s="147" cm="1">
        <f t="array" ref="Y97">INDEX($E$5:$AH$16,$C97,Y$68) * INDEX($C$57:$AF$60,$B97,Y$68)</f>
        <v>16.736785581313391</v>
      </c>
      <c r="Z97" s="147" cm="1">
        <f t="array" ref="Z97">INDEX($E$5:$AH$16,$C97,Z$68) * INDEX($C$57:$AF$60,$B97,Z$68)</f>
        <v>16.736785581313391</v>
      </c>
      <c r="AA97" s="147" cm="1">
        <f t="array" ref="AA97">INDEX($E$5:$AH$16,$C97,AA$68) * INDEX($C$57:$AF$60,$B97,AA$68)</f>
        <v>16.736785581313391</v>
      </c>
      <c r="AB97" s="147" cm="1">
        <f t="array" ref="AB97">INDEX($E$5:$AH$16,$C97,AB$68) * INDEX($C$57:$AF$60,$B97,AB$68)</f>
        <v>16.736785581313391</v>
      </c>
      <c r="AC97" s="147" cm="1">
        <f t="array" ref="AC97">INDEX($E$5:$AH$16,$C97,AC$68) * INDEX($C$57:$AF$60,$B97,AC$68)</f>
        <v>16.736785581313391</v>
      </c>
      <c r="AD97" s="147" cm="1">
        <f t="array" ref="AD97">INDEX($E$5:$AH$16,$C97,AD$68) * INDEX($C$57:$AF$60,$B97,AD$68)</f>
        <v>16.736785581313391</v>
      </c>
      <c r="AE97" s="147" cm="1">
        <f t="array" ref="AE97">INDEX($E$5:$AH$16,$C97,AE$68) * INDEX($C$57:$AF$60,$B97,AE$68)</f>
        <v>16.736785581313391</v>
      </c>
      <c r="AF97" s="147" cm="1">
        <f t="array" ref="AF97">INDEX($E$5:$AH$16,$C97,AF$68) * INDEX($C$57:$AF$60,$B97,AF$68)</f>
        <v>16.736785581313391</v>
      </c>
      <c r="AG97" s="147" cm="1">
        <f t="array" ref="AG97">INDEX($E$5:$AH$16,$C97,AG$68) * INDEX($C$57:$AF$60,$B97,AG$68)</f>
        <v>16.736785581313391</v>
      </c>
      <c r="AH97" s="147" cm="1">
        <f t="array" ref="AH97">INDEX($E$5:$AH$16,$C97,AH$68) * INDEX($C$57:$AF$60,$B97,AH$68)</f>
        <v>16.736785581313391</v>
      </c>
    </row>
    <row r="98" spans="2:34">
      <c r="B98" s="149">
        <v>3</v>
      </c>
      <c r="C98" s="149">
        <v>5</v>
      </c>
      <c r="D98" s="267" t="str">
        <v>Veículos Comerciais com 4 Eixos</v>
      </c>
      <c r="E98" s="147" cm="1">
        <f t="array" ref="E98">INDEX($E$5:$AH$16,$C98,E$68) * INDEX($C$57:$AF$60,$B98,E$68)</f>
        <v>22.315714108417858</v>
      </c>
      <c r="F98" s="147" cm="1">
        <f t="array" ref="F98">INDEX($E$5:$AH$16,$C98,F$68) * INDEX($C$57:$AF$60,$B98,F$68)</f>
        <v>22.315714108417858</v>
      </c>
      <c r="G98" s="147" cm="1">
        <f t="array" ref="G98">INDEX($E$5:$AH$16,$C98,G$68) * INDEX($C$57:$AF$60,$B98,G$68)</f>
        <v>22.315714108417858</v>
      </c>
      <c r="H98" s="147" cm="1">
        <f t="array" ref="H98">INDEX($E$5:$AH$16,$C98,H$68) * INDEX($C$57:$AF$60,$B98,H$68)</f>
        <v>22.315714108417858</v>
      </c>
      <c r="I98" s="147" cm="1">
        <f t="array" ref="I98">INDEX($E$5:$AH$16,$C98,I$68) * INDEX($C$57:$AF$60,$B98,I$68)</f>
        <v>22.315714108417858</v>
      </c>
      <c r="J98" s="147" cm="1">
        <f t="array" ref="J98">INDEX($E$5:$AH$16,$C98,J$68) * INDEX($C$57:$AF$60,$B98,J$68)</f>
        <v>22.315714108417858</v>
      </c>
      <c r="K98" s="147" cm="1">
        <f t="array" ref="K98">INDEX($E$5:$AH$16,$C98,K$68) * INDEX($C$57:$AF$60,$B98,K$68)</f>
        <v>22.315714108417858</v>
      </c>
      <c r="L98" s="147" cm="1">
        <f t="array" ref="L98">INDEX($E$5:$AH$16,$C98,L$68) * INDEX($C$57:$AF$60,$B98,L$68)</f>
        <v>22.315714108417858</v>
      </c>
      <c r="M98" s="147" cm="1">
        <f t="array" ref="M98">INDEX($E$5:$AH$16,$C98,M$68) * INDEX($C$57:$AF$60,$B98,M$68)</f>
        <v>22.315714108417858</v>
      </c>
      <c r="N98" s="147" cm="1">
        <f t="array" ref="N98">INDEX($E$5:$AH$16,$C98,N$68) * INDEX($C$57:$AF$60,$B98,N$68)</f>
        <v>22.315714108417858</v>
      </c>
      <c r="O98" s="147" cm="1">
        <f t="array" ref="O98">INDEX($E$5:$AH$16,$C98,O$68) * INDEX($C$57:$AF$60,$B98,O$68)</f>
        <v>22.315714108417858</v>
      </c>
      <c r="P98" s="147" cm="1">
        <f t="array" ref="P98">INDEX($E$5:$AH$16,$C98,P$68) * INDEX($C$57:$AF$60,$B98,P$68)</f>
        <v>22.315714108417858</v>
      </c>
      <c r="Q98" s="147" cm="1">
        <f t="array" ref="Q98">INDEX($E$5:$AH$16,$C98,Q$68) * INDEX($C$57:$AF$60,$B98,Q$68)</f>
        <v>22.315714108417858</v>
      </c>
      <c r="R98" s="147" cm="1">
        <f t="array" ref="R98">INDEX($E$5:$AH$16,$C98,R$68) * INDEX($C$57:$AF$60,$B98,R$68)</f>
        <v>22.315714108417858</v>
      </c>
      <c r="S98" s="147" cm="1">
        <f t="array" ref="S98">INDEX($E$5:$AH$16,$C98,S$68) * INDEX($C$57:$AF$60,$B98,S$68)</f>
        <v>22.315714108417858</v>
      </c>
      <c r="T98" s="147" cm="1">
        <f t="array" ref="T98">INDEX($E$5:$AH$16,$C98,T$68) * INDEX($C$57:$AF$60,$B98,T$68)</f>
        <v>22.315714108417858</v>
      </c>
      <c r="U98" s="147" cm="1">
        <f t="array" ref="U98">INDEX($E$5:$AH$16,$C98,U$68) * INDEX($C$57:$AF$60,$B98,U$68)</f>
        <v>22.315714108417858</v>
      </c>
      <c r="V98" s="147" cm="1">
        <f t="array" ref="V98">INDEX($E$5:$AH$16,$C98,V$68) * INDEX($C$57:$AF$60,$B98,V$68)</f>
        <v>22.315714108417858</v>
      </c>
      <c r="W98" s="147" cm="1">
        <f t="array" ref="W98">INDEX($E$5:$AH$16,$C98,W$68) * INDEX($C$57:$AF$60,$B98,W$68)</f>
        <v>22.315714108417858</v>
      </c>
      <c r="X98" s="147" cm="1">
        <f t="array" ref="X98">INDEX($E$5:$AH$16,$C98,X$68) * INDEX($C$57:$AF$60,$B98,X$68)</f>
        <v>22.315714108417858</v>
      </c>
      <c r="Y98" s="147" cm="1">
        <f t="array" ref="Y98">INDEX($E$5:$AH$16,$C98,Y$68) * INDEX($C$57:$AF$60,$B98,Y$68)</f>
        <v>22.315714108417858</v>
      </c>
      <c r="Z98" s="147" cm="1">
        <f t="array" ref="Z98">INDEX($E$5:$AH$16,$C98,Z$68) * INDEX($C$57:$AF$60,$B98,Z$68)</f>
        <v>22.315714108417858</v>
      </c>
      <c r="AA98" s="147" cm="1">
        <f t="array" ref="AA98">INDEX($E$5:$AH$16,$C98,AA$68) * INDEX($C$57:$AF$60,$B98,AA$68)</f>
        <v>22.315714108417858</v>
      </c>
      <c r="AB98" s="147" cm="1">
        <f t="array" ref="AB98">INDEX($E$5:$AH$16,$C98,AB$68) * INDEX($C$57:$AF$60,$B98,AB$68)</f>
        <v>22.315714108417858</v>
      </c>
      <c r="AC98" s="147" cm="1">
        <f t="array" ref="AC98">INDEX($E$5:$AH$16,$C98,AC$68) * INDEX($C$57:$AF$60,$B98,AC$68)</f>
        <v>22.315714108417858</v>
      </c>
      <c r="AD98" s="147" cm="1">
        <f t="array" ref="AD98">INDEX($E$5:$AH$16,$C98,AD$68) * INDEX($C$57:$AF$60,$B98,AD$68)</f>
        <v>22.315714108417858</v>
      </c>
      <c r="AE98" s="147" cm="1">
        <f t="array" ref="AE98">INDEX($E$5:$AH$16,$C98,AE$68) * INDEX($C$57:$AF$60,$B98,AE$68)</f>
        <v>22.315714108417858</v>
      </c>
      <c r="AF98" s="147" cm="1">
        <f t="array" ref="AF98">INDEX($E$5:$AH$16,$C98,AF$68) * INDEX($C$57:$AF$60,$B98,AF$68)</f>
        <v>22.315714108417858</v>
      </c>
      <c r="AG98" s="147" cm="1">
        <f t="array" ref="AG98">INDEX($E$5:$AH$16,$C98,AG$68) * INDEX($C$57:$AF$60,$B98,AG$68)</f>
        <v>22.315714108417858</v>
      </c>
      <c r="AH98" s="147" cm="1">
        <f t="array" ref="AH98">INDEX($E$5:$AH$16,$C98,AH$68) * INDEX($C$57:$AF$60,$B98,AH$68)</f>
        <v>22.315714108417858</v>
      </c>
    </row>
    <row r="99" spans="2:34">
      <c r="B99" s="149">
        <v>3</v>
      </c>
      <c r="C99" s="149">
        <v>6</v>
      </c>
      <c r="D99" s="267" t="str">
        <v>Veículos Comerciais com 5 Eixos Articulado</v>
      </c>
      <c r="E99" s="147" cm="1">
        <f t="array" ref="E99">INDEX($E$5:$AH$16,$C99,E$68) * INDEX($C$57:$AF$60,$B99,E$68)</f>
        <v>27.894642635522324</v>
      </c>
      <c r="F99" s="147" cm="1">
        <f t="array" ref="F99">INDEX($E$5:$AH$16,$C99,F$68) * INDEX($C$57:$AF$60,$B99,F$68)</f>
        <v>27.894642635522324</v>
      </c>
      <c r="G99" s="147" cm="1">
        <f t="array" ref="G99">INDEX($E$5:$AH$16,$C99,G$68) * INDEX($C$57:$AF$60,$B99,G$68)</f>
        <v>27.894642635522324</v>
      </c>
      <c r="H99" s="147" cm="1">
        <f t="array" ref="H99">INDEX($E$5:$AH$16,$C99,H$68) * INDEX($C$57:$AF$60,$B99,H$68)</f>
        <v>27.894642635522324</v>
      </c>
      <c r="I99" s="147" cm="1">
        <f t="array" ref="I99">INDEX($E$5:$AH$16,$C99,I$68) * INDEX($C$57:$AF$60,$B99,I$68)</f>
        <v>27.894642635522324</v>
      </c>
      <c r="J99" s="147" cm="1">
        <f t="array" ref="J99">INDEX($E$5:$AH$16,$C99,J$68) * INDEX($C$57:$AF$60,$B99,J$68)</f>
        <v>27.894642635522324</v>
      </c>
      <c r="K99" s="147" cm="1">
        <f t="array" ref="K99">INDEX($E$5:$AH$16,$C99,K$68) * INDEX($C$57:$AF$60,$B99,K$68)</f>
        <v>27.894642635522324</v>
      </c>
      <c r="L99" s="147" cm="1">
        <f t="array" ref="L99">INDEX($E$5:$AH$16,$C99,L$68) * INDEX($C$57:$AF$60,$B99,L$68)</f>
        <v>27.894642635522324</v>
      </c>
      <c r="M99" s="147" cm="1">
        <f t="array" ref="M99">INDEX($E$5:$AH$16,$C99,M$68) * INDEX($C$57:$AF$60,$B99,M$68)</f>
        <v>27.894642635522324</v>
      </c>
      <c r="N99" s="147" cm="1">
        <f t="array" ref="N99">INDEX($E$5:$AH$16,$C99,N$68) * INDEX($C$57:$AF$60,$B99,N$68)</f>
        <v>27.894642635522324</v>
      </c>
      <c r="O99" s="147" cm="1">
        <f t="array" ref="O99">INDEX($E$5:$AH$16,$C99,O$68) * INDEX($C$57:$AF$60,$B99,O$68)</f>
        <v>27.894642635522324</v>
      </c>
      <c r="P99" s="147" cm="1">
        <f t="array" ref="P99">INDEX($E$5:$AH$16,$C99,P$68) * INDEX($C$57:$AF$60,$B99,P$68)</f>
        <v>27.894642635522324</v>
      </c>
      <c r="Q99" s="147" cm="1">
        <f t="array" ref="Q99">INDEX($E$5:$AH$16,$C99,Q$68) * INDEX($C$57:$AF$60,$B99,Q$68)</f>
        <v>27.894642635522324</v>
      </c>
      <c r="R99" s="147" cm="1">
        <f t="array" ref="R99">INDEX($E$5:$AH$16,$C99,R$68) * INDEX($C$57:$AF$60,$B99,R$68)</f>
        <v>27.894642635522324</v>
      </c>
      <c r="S99" s="147" cm="1">
        <f t="array" ref="S99">INDEX($E$5:$AH$16,$C99,S$68) * INDEX($C$57:$AF$60,$B99,S$68)</f>
        <v>27.894642635522324</v>
      </c>
      <c r="T99" s="147" cm="1">
        <f t="array" ref="T99">INDEX($E$5:$AH$16,$C99,T$68) * INDEX($C$57:$AF$60,$B99,T$68)</f>
        <v>27.894642635522324</v>
      </c>
      <c r="U99" s="147" cm="1">
        <f t="array" ref="U99">INDEX($E$5:$AH$16,$C99,U$68) * INDEX($C$57:$AF$60,$B99,U$68)</f>
        <v>27.894642635522324</v>
      </c>
      <c r="V99" s="147" cm="1">
        <f t="array" ref="V99">INDEX($E$5:$AH$16,$C99,V$68) * INDEX($C$57:$AF$60,$B99,V$68)</f>
        <v>27.894642635522324</v>
      </c>
      <c r="W99" s="147" cm="1">
        <f t="array" ref="W99">INDEX($E$5:$AH$16,$C99,W$68) * INDEX($C$57:$AF$60,$B99,W$68)</f>
        <v>27.894642635522324</v>
      </c>
      <c r="X99" s="147" cm="1">
        <f t="array" ref="X99">INDEX($E$5:$AH$16,$C99,X$68) * INDEX($C$57:$AF$60,$B99,X$68)</f>
        <v>27.894642635522324</v>
      </c>
      <c r="Y99" s="147" cm="1">
        <f t="array" ref="Y99">INDEX($E$5:$AH$16,$C99,Y$68) * INDEX($C$57:$AF$60,$B99,Y$68)</f>
        <v>27.894642635522324</v>
      </c>
      <c r="Z99" s="147" cm="1">
        <f t="array" ref="Z99">INDEX($E$5:$AH$16,$C99,Z$68) * INDEX($C$57:$AF$60,$B99,Z$68)</f>
        <v>27.894642635522324</v>
      </c>
      <c r="AA99" s="147" cm="1">
        <f t="array" ref="AA99">INDEX($E$5:$AH$16,$C99,AA$68) * INDEX($C$57:$AF$60,$B99,AA$68)</f>
        <v>27.894642635522324</v>
      </c>
      <c r="AB99" s="147" cm="1">
        <f t="array" ref="AB99">INDEX($E$5:$AH$16,$C99,AB$68) * INDEX($C$57:$AF$60,$B99,AB$68)</f>
        <v>27.894642635522324</v>
      </c>
      <c r="AC99" s="147" cm="1">
        <f t="array" ref="AC99">INDEX($E$5:$AH$16,$C99,AC$68) * INDEX($C$57:$AF$60,$B99,AC$68)</f>
        <v>27.894642635522324</v>
      </c>
      <c r="AD99" s="147" cm="1">
        <f t="array" ref="AD99">INDEX($E$5:$AH$16,$C99,AD$68) * INDEX($C$57:$AF$60,$B99,AD$68)</f>
        <v>27.894642635522324</v>
      </c>
      <c r="AE99" s="147" cm="1">
        <f t="array" ref="AE99">INDEX($E$5:$AH$16,$C99,AE$68) * INDEX($C$57:$AF$60,$B99,AE$68)</f>
        <v>27.894642635522324</v>
      </c>
      <c r="AF99" s="147" cm="1">
        <f t="array" ref="AF99">INDEX($E$5:$AH$16,$C99,AF$68) * INDEX($C$57:$AF$60,$B99,AF$68)</f>
        <v>27.894642635522324</v>
      </c>
      <c r="AG99" s="147" cm="1">
        <f t="array" ref="AG99">INDEX($E$5:$AH$16,$C99,AG$68) * INDEX($C$57:$AF$60,$B99,AG$68)</f>
        <v>27.894642635522324</v>
      </c>
      <c r="AH99" s="147" cm="1">
        <f t="array" ref="AH99">INDEX($E$5:$AH$16,$C99,AH$68) * INDEX($C$57:$AF$60,$B99,AH$68)</f>
        <v>27.894642635522324</v>
      </c>
    </row>
    <row r="100" spans="2:34">
      <c r="B100" s="149">
        <v>3</v>
      </c>
      <c r="C100" s="149">
        <v>7</v>
      </c>
      <c r="D100" s="267" t="str">
        <v>Veículos Comerciais com 6 Eixos Articulado</v>
      </c>
      <c r="E100" s="147" cm="1">
        <f t="array" ref="E100">INDEX($E$5:$AH$16,$C100,E$68) * INDEX($C$57:$AF$60,$B100,E$68)</f>
        <v>33.473571162626783</v>
      </c>
      <c r="F100" s="147" cm="1">
        <f t="array" ref="F100">INDEX($E$5:$AH$16,$C100,F$68) * INDEX($C$57:$AF$60,$B100,F$68)</f>
        <v>33.473571162626783</v>
      </c>
      <c r="G100" s="147" cm="1">
        <f t="array" ref="G100">INDEX($E$5:$AH$16,$C100,G$68) * INDEX($C$57:$AF$60,$B100,G$68)</f>
        <v>33.473571162626783</v>
      </c>
      <c r="H100" s="147" cm="1">
        <f t="array" ref="H100">INDEX($E$5:$AH$16,$C100,H$68) * INDEX($C$57:$AF$60,$B100,H$68)</f>
        <v>33.473571162626783</v>
      </c>
      <c r="I100" s="147" cm="1">
        <f t="array" ref="I100">INDEX($E$5:$AH$16,$C100,I$68) * INDEX($C$57:$AF$60,$B100,I$68)</f>
        <v>33.473571162626783</v>
      </c>
      <c r="J100" s="147" cm="1">
        <f t="array" ref="J100">INDEX($E$5:$AH$16,$C100,J$68) * INDEX($C$57:$AF$60,$B100,J$68)</f>
        <v>33.473571162626783</v>
      </c>
      <c r="K100" s="147" cm="1">
        <f t="array" ref="K100">INDEX($E$5:$AH$16,$C100,K$68) * INDEX($C$57:$AF$60,$B100,K$68)</f>
        <v>33.473571162626783</v>
      </c>
      <c r="L100" s="147" cm="1">
        <f t="array" ref="L100">INDEX($E$5:$AH$16,$C100,L$68) * INDEX($C$57:$AF$60,$B100,L$68)</f>
        <v>33.473571162626783</v>
      </c>
      <c r="M100" s="147" cm="1">
        <f t="array" ref="M100">INDEX($E$5:$AH$16,$C100,M$68) * INDEX($C$57:$AF$60,$B100,M$68)</f>
        <v>33.473571162626783</v>
      </c>
      <c r="N100" s="147" cm="1">
        <f t="array" ref="N100">INDEX($E$5:$AH$16,$C100,N$68) * INDEX($C$57:$AF$60,$B100,N$68)</f>
        <v>33.473571162626783</v>
      </c>
      <c r="O100" s="147" cm="1">
        <f t="array" ref="O100">INDEX($E$5:$AH$16,$C100,O$68) * INDEX($C$57:$AF$60,$B100,O$68)</f>
        <v>33.473571162626783</v>
      </c>
      <c r="P100" s="147" cm="1">
        <f t="array" ref="P100">INDEX($E$5:$AH$16,$C100,P$68) * INDEX($C$57:$AF$60,$B100,P$68)</f>
        <v>33.473571162626783</v>
      </c>
      <c r="Q100" s="147" cm="1">
        <f t="array" ref="Q100">INDEX($E$5:$AH$16,$C100,Q$68) * INDEX($C$57:$AF$60,$B100,Q$68)</f>
        <v>33.473571162626783</v>
      </c>
      <c r="R100" s="147" cm="1">
        <f t="array" ref="R100">INDEX($E$5:$AH$16,$C100,R$68) * INDEX($C$57:$AF$60,$B100,R$68)</f>
        <v>33.473571162626783</v>
      </c>
      <c r="S100" s="147" cm="1">
        <f t="array" ref="S100">INDEX($E$5:$AH$16,$C100,S$68) * INDEX($C$57:$AF$60,$B100,S$68)</f>
        <v>33.473571162626783</v>
      </c>
      <c r="T100" s="147" cm="1">
        <f t="array" ref="T100">INDEX($E$5:$AH$16,$C100,T$68) * INDEX($C$57:$AF$60,$B100,T$68)</f>
        <v>33.473571162626783</v>
      </c>
      <c r="U100" s="147" cm="1">
        <f t="array" ref="U100">INDEX($E$5:$AH$16,$C100,U$68) * INDEX($C$57:$AF$60,$B100,U$68)</f>
        <v>33.473571162626783</v>
      </c>
      <c r="V100" s="147" cm="1">
        <f t="array" ref="V100">INDEX($E$5:$AH$16,$C100,V$68) * INDEX($C$57:$AF$60,$B100,V$68)</f>
        <v>33.473571162626783</v>
      </c>
      <c r="W100" s="147" cm="1">
        <f t="array" ref="W100">INDEX($E$5:$AH$16,$C100,W$68) * INDEX($C$57:$AF$60,$B100,W$68)</f>
        <v>33.473571162626783</v>
      </c>
      <c r="X100" s="147" cm="1">
        <f t="array" ref="X100">INDEX($E$5:$AH$16,$C100,X$68) * INDEX($C$57:$AF$60,$B100,X$68)</f>
        <v>33.473571162626783</v>
      </c>
      <c r="Y100" s="147" cm="1">
        <f t="array" ref="Y100">INDEX($E$5:$AH$16,$C100,Y$68) * INDEX($C$57:$AF$60,$B100,Y$68)</f>
        <v>33.473571162626783</v>
      </c>
      <c r="Z100" s="147" cm="1">
        <f t="array" ref="Z100">INDEX($E$5:$AH$16,$C100,Z$68) * INDEX($C$57:$AF$60,$B100,Z$68)</f>
        <v>33.473571162626783</v>
      </c>
      <c r="AA100" s="147" cm="1">
        <f t="array" ref="AA100">INDEX($E$5:$AH$16,$C100,AA$68) * INDEX($C$57:$AF$60,$B100,AA$68)</f>
        <v>33.473571162626783</v>
      </c>
      <c r="AB100" s="147" cm="1">
        <f t="array" ref="AB100">INDEX($E$5:$AH$16,$C100,AB$68) * INDEX($C$57:$AF$60,$B100,AB$68)</f>
        <v>33.473571162626783</v>
      </c>
      <c r="AC100" s="147" cm="1">
        <f t="array" ref="AC100">INDEX($E$5:$AH$16,$C100,AC$68) * INDEX($C$57:$AF$60,$B100,AC$68)</f>
        <v>33.473571162626783</v>
      </c>
      <c r="AD100" s="147" cm="1">
        <f t="array" ref="AD100">INDEX($E$5:$AH$16,$C100,AD$68) * INDEX($C$57:$AF$60,$B100,AD$68)</f>
        <v>33.473571162626783</v>
      </c>
      <c r="AE100" s="147" cm="1">
        <f t="array" ref="AE100">INDEX($E$5:$AH$16,$C100,AE$68) * INDEX($C$57:$AF$60,$B100,AE$68)</f>
        <v>33.473571162626783</v>
      </c>
      <c r="AF100" s="147" cm="1">
        <f t="array" ref="AF100">INDEX($E$5:$AH$16,$C100,AF$68) * INDEX($C$57:$AF$60,$B100,AF$68)</f>
        <v>33.473571162626783</v>
      </c>
      <c r="AG100" s="147" cm="1">
        <f t="array" ref="AG100">INDEX($E$5:$AH$16,$C100,AG$68) * INDEX($C$57:$AF$60,$B100,AG$68)</f>
        <v>33.473571162626783</v>
      </c>
      <c r="AH100" s="147" cm="1">
        <f t="array" ref="AH100">INDEX($E$5:$AH$16,$C100,AH$68) * INDEX($C$57:$AF$60,$B100,AH$68)</f>
        <v>33.473571162626783</v>
      </c>
    </row>
    <row r="101" spans="2:34">
      <c r="B101" s="149">
        <v>3</v>
      </c>
      <c r="C101" s="149">
        <v>8</v>
      </c>
      <c r="D101" s="267" t="str">
        <v>Veículos Comerciais com 7 Eixos Articulado</v>
      </c>
      <c r="E101" s="147" cm="1">
        <f t="array" ref="E101">INDEX($E$5:$AH$16,$C101,E$68) * INDEX($C$57:$AF$60,$B101,E$68)</f>
        <v>39.052499689731249</v>
      </c>
      <c r="F101" s="147" cm="1">
        <f t="array" ref="F101">INDEX($E$5:$AH$16,$C101,F$68) * INDEX($C$57:$AF$60,$B101,F$68)</f>
        <v>39.052499689731249</v>
      </c>
      <c r="G101" s="147" cm="1">
        <f t="array" ref="G101">INDEX($E$5:$AH$16,$C101,G$68) * INDEX($C$57:$AF$60,$B101,G$68)</f>
        <v>39.052499689731249</v>
      </c>
      <c r="H101" s="147" cm="1">
        <f t="array" ref="H101">INDEX($E$5:$AH$16,$C101,H$68) * INDEX($C$57:$AF$60,$B101,H$68)</f>
        <v>39.052499689731249</v>
      </c>
      <c r="I101" s="147" cm="1">
        <f t="array" ref="I101">INDEX($E$5:$AH$16,$C101,I$68) * INDEX($C$57:$AF$60,$B101,I$68)</f>
        <v>39.052499689731249</v>
      </c>
      <c r="J101" s="147" cm="1">
        <f t="array" ref="J101">INDEX($E$5:$AH$16,$C101,J$68) * INDEX($C$57:$AF$60,$B101,J$68)</f>
        <v>39.052499689731249</v>
      </c>
      <c r="K101" s="147" cm="1">
        <f t="array" ref="K101">INDEX($E$5:$AH$16,$C101,K$68) * INDEX($C$57:$AF$60,$B101,K$68)</f>
        <v>39.052499689731249</v>
      </c>
      <c r="L101" s="147" cm="1">
        <f t="array" ref="L101">INDEX($E$5:$AH$16,$C101,L$68) * INDEX($C$57:$AF$60,$B101,L$68)</f>
        <v>39.052499689731249</v>
      </c>
      <c r="M101" s="147" cm="1">
        <f t="array" ref="M101">INDEX($E$5:$AH$16,$C101,M$68) * INDEX($C$57:$AF$60,$B101,M$68)</f>
        <v>39.052499689731249</v>
      </c>
      <c r="N101" s="147" cm="1">
        <f t="array" ref="N101">INDEX($E$5:$AH$16,$C101,N$68) * INDEX($C$57:$AF$60,$B101,N$68)</f>
        <v>39.052499689731249</v>
      </c>
      <c r="O101" s="147" cm="1">
        <f t="array" ref="O101">INDEX($E$5:$AH$16,$C101,O$68) * INDEX($C$57:$AF$60,$B101,O$68)</f>
        <v>39.052499689731249</v>
      </c>
      <c r="P101" s="147" cm="1">
        <f t="array" ref="P101">INDEX($E$5:$AH$16,$C101,P$68) * INDEX($C$57:$AF$60,$B101,P$68)</f>
        <v>39.052499689731249</v>
      </c>
      <c r="Q101" s="147" cm="1">
        <f t="array" ref="Q101">INDEX($E$5:$AH$16,$C101,Q$68) * INDEX($C$57:$AF$60,$B101,Q$68)</f>
        <v>39.052499689731249</v>
      </c>
      <c r="R101" s="147" cm="1">
        <f t="array" ref="R101">INDEX($E$5:$AH$16,$C101,R$68) * INDEX($C$57:$AF$60,$B101,R$68)</f>
        <v>39.052499689731249</v>
      </c>
      <c r="S101" s="147" cm="1">
        <f t="array" ref="S101">INDEX($E$5:$AH$16,$C101,S$68) * INDEX($C$57:$AF$60,$B101,S$68)</f>
        <v>39.052499689731249</v>
      </c>
      <c r="T101" s="147" cm="1">
        <f t="array" ref="T101">INDEX($E$5:$AH$16,$C101,T$68) * INDEX($C$57:$AF$60,$B101,T$68)</f>
        <v>39.052499689731249</v>
      </c>
      <c r="U101" s="147" cm="1">
        <f t="array" ref="U101">INDEX($E$5:$AH$16,$C101,U$68) * INDEX($C$57:$AF$60,$B101,U$68)</f>
        <v>39.052499689731249</v>
      </c>
      <c r="V101" s="147" cm="1">
        <f t="array" ref="V101">INDEX($E$5:$AH$16,$C101,V$68) * INDEX($C$57:$AF$60,$B101,V$68)</f>
        <v>39.052499689731249</v>
      </c>
      <c r="W101" s="147" cm="1">
        <f t="array" ref="W101">INDEX($E$5:$AH$16,$C101,W$68) * INDEX($C$57:$AF$60,$B101,W$68)</f>
        <v>39.052499689731249</v>
      </c>
      <c r="X101" s="147" cm="1">
        <f t="array" ref="X101">INDEX($E$5:$AH$16,$C101,X$68) * INDEX($C$57:$AF$60,$B101,X$68)</f>
        <v>39.052499689731249</v>
      </c>
      <c r="Y101" s="147" cm="1">
        <f t="array" ref="Y101">INDEX($E$5:$AH$16,$C101,Y$68) * INDEX($C$57:$AF$60,$B101,Y$68)</f>
        <v>39.052499689731249</v>
      </c>
      <c r="Z101" s="147" cm="1">
        <f t="array" ref="Z101">INDEX($E$5:$AH$16,$C101,Z$68) * INDEX($C$57:$AF$60,$B101,Z$68)</f>
        <v>39.052499689731249</v>
      </c>
      <c r="AA101" s="147" cm="1">
        <f t="array" ref="AA101">INDEX($E$5:$AH$16,$C101,AA$68) * INDEX($C$57:$AF$60,$B101,AA$68)</f>
        <v>39.052499689731249</v>
      </c>
      <c r="AB101" s="147" cm="1">
        <f t="array" ref="AB101">INDEX($E$5:$AH$16,$C101,AB$68) * INDEX($C$57:$AF$60,$B101,AB$68)</f>
        <v>39.052499689731249</v>
      </c>
      <c r="AC101" s="147" cm="1">
        <f t="array" ref="AC101">INDEX($E$5:$AH$16,$C101,AC$68) * INDEX($C$57:$AF$60,$B101,AC$68)</f>
        <v>39.052499689731249</v>
      </c>
      <c r="AD101" s="147" cm="1">
        <f t="array" ref="AD101">INDEX($E$5:$AH$16,$C101,AD$68) * INDEX($C$57:$AF$60,$B101,AD$68)</f>
        <v>39.052499689731249</v>
      </c>
      <c r="AE101" s="147" cm="1">
        <f t="array" ref="AE101">INDEX($E$5:$AH$16,$C101,AE$68) * INDEX($C$57:$AF$60,$B101,AE$68)</f>
        <v>39.052499689731249</v>
      </c>
      <c r="AF101" s="147" cm="1">
        <f t="array" ref="AF101">INDEX($E$5:$AH$16,$C101,AF$68) * INDEX($C$57:$AF$60,$B101,AF$68)</f>
        <v>39.052499689731249</v>
      </c>
      <c r="AG101" s="147" cm="1">
        <f t="array" ref="AG101">INDEX($E$5:$AH$16,$C101,AG$68) * INDEX($C$57:$AF$60,$B101,AG$68)</f>
        <v>39.052499689731249</v>
      </c>
      <c r="AH101" s="147" cm="1">
        <f t="array" ref="AH101">INDEX($E$5:$AH$16,$C101,AH$68) * INDEX($C$57:$AF$60,$B101,AH$68)</f>
        <v>39.052499689731249</v>
      </c>
    </row>
    <row r="102" spans="2:34">
      <c r="B102" s="149">
        <v>3</v>
      </c>
      <c r="C102" s="149">
        <v>9</v>
      </c>
      <c r="D102" s="267" t="str">
        <v>Veículos Comerciais com 8 Eixos Articulado</v>
      </c>
      <c r="E102" s="147" cm="1">
        <f t="array" ref="E102">INDEX($E$5:$AH$16,$C102,E$68) * INDEX($C$57:$AF$60,$B102,E$68)</f>
        <v>44.631428216835715</v>
      </c>
      <c r="F102" s="147" cm="1">
        <f t="array" ref="F102">INDEX($E$5:$AH$16,$C102,F$68) * INDEX($C$57:$AF$60,$B102,F$68)</f>
        <v>44.631428216835715</v>
      </c>
      <c r="G102" s="147" cm="1">
        <f t="array" ref="G102">INDEX($E$5:$AH$16,$C102,G$68) * INDEX($C$57:$AF$60,$B102,G$68)</f>
        <v>44.631428216835715</v>
      </c>
      <c r="H102" s="147" cm="1">
        <f t="array" ref="H102">INDEX($E$5:$AH$16,$C102,H$68) * INDEX($C$57:$AF$60,$B102,H$68)</f>
        <v>44.631428216835715</v>
      </c>
      <c r="I102" s="147" cm="1">
        <f t="array" ref="I102">INDEX($E$5:$AH$16,$C102,I$68) * INDEX($C$57:$AF$60,$B102,I$68)</f>
        <v>44.631428216835715</v>
      </c>
      <c r="J102" s="147" cm="1">
        <f t="array" ref="J102">INDEX($E$5:$AH$16,$C102,J$68) * INDEX($C$57:$AF$60,$B102,J$68)</f>
        <v>44.631428216835715</v>
      </c>
      <c r="K102" s="147" cm="1">
        <f t="array" ref="K102">INDEX($E$5:$AH$16,$C102,K$68) * INDEX($C$57:$AF$60,$B102,K$68)</f>
        <v>44.631428216835715</v>
      </c>
      <c r="L102" s="147" cm="1">
        <f t="array" ref="L102">INDEX($E$5:$AH$16,$C102,L$68) * INDEX($C$57:$AF$60,$B102,L$68)</f>
        <v>44.631428216835715</v>
      </c>
      <c r="M102" s="147" cm="1">
        <f t="array" ref="M102">INDEX($E$5:$AH$16,$C102,M$68) * INDEX($C$57:$AF$60,$B102,M$68)</f>
        <v>44.631428216835715</v>
      </c>
      <c r="N102" s="147" cm="1">
        <f t="array" ref="N102">INDEX($E$5:$AH$16,$C102,N$68) * INDEX($C$57:$AF$60,$B102,N$68)</f>
        <v>44.631428216835715</v>
      </c>
      <c r="O102" s="147" cm="1">
        <f t="array" ref="O102">INDEX($E$5:$AH$16,$C102,O$68) * INDEX($C$57:$AF$60,$B102,O$68)</f>
        <v>44.631428216835715</v>
      </c>
      <c r="P102" s="147" cm="1">
        <f t="array" ref="P102">INDEX($E$5:$AH$16,$C102,P$68) * INDEX($C$57:$AF$60,$B102,P$68)</f>
        <v>44.631428216835715</v>
      </c>
      <c r="Q102" s="147" cm="1">
        <f t="array" ref="Q102">INDEX($E$5:$AH$16,$C102,Q$68) * INDEX($C$57:$AF$60,$B102,Q$68)</f>
        <v>44.631428216835715</v>
      </c>
      <c r="R102" s="147" cm="1">
        <f t="array" ref="R102">INDEX($E$5:$AH$16,$C102,R$68) * INDEX($C$57:$AF$60,$B102,R$68)</f>
        <v>44.631428216835715</v>
      </c>
      <c r="S102" s="147" cm="1">
        <f t="array" ref="S102">INDEX($E$5:$AH$16,$C102,S$68) * INDEX($C$57:$AF$60,$B102,S$68)</f>
        <v>44.631428216835715</v>
      </c>
      <c r="T102" s="147" cm="1">
        <f t="array" ref="T102">INDEX($E$5:$AH$16,$C102,T$68) * INDEX($C$57:$AF$60,$B102,T$68)</f>
        <v>44.631428216835715</v>
      </c>
      <c r="U102" s="147" cm="1">
        <f t="array" ref="U102">INDEX($E$5:$AH$16,$C102,U$68) * INDEX($C$57:$AF$60,$B102,U$68)</f>
        <v>44.631428216835715</v>
      </c>
      <c r="V102" s="147" cm="1">
        <f t="array" ref="V102">INDEX($E$5:$AH$16,$C102,V$68) * INDEX($C$57:$AF$60,$B102,V$68)</f>
        <v>44.631428216835715</v>
      </c>
      <c r="W102" s="147" cm="1">
        <f t="array" ref="W102">INDEX($E$5:$AH$16,$C102,W$68) * INDEX($C$57:$AF$60,$B102,W$68)</f>
        <v>44.631428216835715</v>
      </c>
      <c r="X102" s="147" cm="1">
        <f t="array" ref="X102">INDEX($E$5:$AH$16,$C102,X$68) * INDEX($C$57:$AF$60,$B102,X$68)</f>
        <v>44.631428216835715</v>
      </c>
      <c r="Y102" s="147" cm="1">
        <f t="array" ref="Y102">INDEX($E$5:$AH$16,$C102,Y$68) * INDEX($C$57:$AF$60,$B102,Y$68)</f>
        <v>44.631428216835715</v>
      </c>
      <c r="Z102" s="147" cm="1">
        <f t="array" ref="Z102">INDEX($E$5:$AH$16,$C102,Z$68) * INDEX($C$57:$AF$60,$B102,Z$68)</f>
        <v>44.631428216835715</v>
      </c>
      <c r="AA102" s="147" cm="1">
        <f t="array" ref="AA102">INDEX($E$5:$AH$16,$C102,AA$68) * INDEX($C$57:$AF$60,$B102,AA$68)</f>
        <v>44.631428216835715</v>
      </c>
      <c r="AB102" s="147" cm="1">
        <f t="array" ref="AB102">INDEX($E$5:$AH$16,$C102,AB$68) * INDEX($C$57:$AF$60,$B102,AB$68)</f>
        <v>44.631428216835715</v>
      </c>
      <c r="AC102" s="147" cm="1">
        <f t="array" ref="AC102">INDEX($E$5:$AH$16,$C102,AC$68) * INDEX($C$57:$AF$60,$B102,AC$68)</f>
        <v>44.631428216835715</v>
      </c>
      <c r="AD102" s="147" cm="1">
        <f t="array" ref="AD102">INDEX($E$5:$AH$16,$C102,AD$68) * INDEX($C$57:$AF$60,$B102,AD$68)</f>
        <v>44.631428216835715</v>
      </c>
      <c r="AE102" s="147" cm="1">
        <f t="array" ref="AE102">INDEX($E$5:$AH$16,$C102,AE$68) * INDEX($C$57:$AF$60,$B102,AE$68)</f>
        <v>44.631428216835715</v>
      </c>
      <c r="AF102" s="147" cm="1">
        <f t="array" ref="AF102">INDEX($E$5:$AH$16,$C102,AF$68) * INDEX($C$57:$AF$60,$B102,AF$68)</f>
        <v>44.631428216835715</v>
      </c>
      <c r="AG102" s="147" cm="1">
        <f t="array" ref="AG102">INDEX($E$5:$AH$16,$C102,AG$68) * INDEX($C$57:$AF$60,$B102,AG$68)</f>
        <v>44.631428216835715</v>
      </c>
      <c r="AH102" s="147" cm="1">
        <f t="array" ref="AH102">INDEX($E$5:$AH$16,$C102,AH$68) * INDEX($C$57:$AF$60,$B102,AH$68)</f>
        <v>44.631428216835715</v>
      </c>
    </row>
    <row r="103" spans="2:34">
      <c r="B103" s="149">
        <v>3</v>
      </c>
      <c r="C103" s="149">
        <v>10</v>
      </c>
      <c r="D103" s="267" t="str">
        <v>Veículos Comerciais com 9 Eixos Articulado</v>
      </c>
      <c r="E103" s="147" cm="1">
        <f t="array" ref="E103">INDEX($E$5:$AH$16,$C103,E$68) * INDEX($C$57:$AF$60,$B103,E$68)</f>
        <v>50.210356743940181</v>
      </c>
      <c r="F103" s="147" cm="1">
        <f t="array" ref="F103">INDEX($E$5:$AH$16,$C103,F$68) * INDEX($C$57:$AF$60,$B103,F$68)</f>
        <v>50.210356743940181</v>
      </c>
      <c r="G103" s="147" cm="1">
        <f t="array" ref="G103">INDEX($E$5:$AH$16,$C103,G$68) * INDEX($C$57:$AF$60,$B103,G$68)</f>
        <v>50.210356743940181</v>
      </c>
      <c r="H103" s="147" cm="1">
        <f t="array" ref="H103">INDEX($E$5:$AH$16,$C103,H$68) * INDEX($C$57:$AF$60,$B103,H$68)</f>
        <v>50.210356743940181</v>
      </c>
      <c r="I103" s="147" cm="1">
        <f t="array" ref="I103">INDEX($E$5:$AH$16,$C103,I$68) * INDEX($C$57:$AF$60,$B103,I$68)</f>
        <v>50.210356743940181</v>
      </c>
      <c r="J103" s="147" cm="1">
        <f t="array" ref="J103">INDEX($E$5:$AH$16,$C103,J$68) * INDEX($C$57:$AF$60,$B103,J$68)</f>
        <v>50.210356743940181</v>
      </c>
      <c r="K103" s="147" cm="1">
        <f t="array" ref="K103">INDEX($E$5:$AH$16,$C103,K$68) * INDEX($C$57:$AF$60,$B103,K$68)</f>
        <v>50.210356743940181</v>
      </c>
      <c r="L103" s="147" cm="1">
        <f t="array" ref="L103">INDEX($E$5:$AH$16,$C103,L$68) * INDEX($C$57:$AF$60,$B103,L$68)</f>
        <v>50.210356743940181</v>
      </c>
      <c r="M103" s="147" cm="1">
        <f t="array" ref="M103">INDEX($E$5:$AH$16,$C103,M$68) * INDEX($C$57:$AF$60,$B103,M$68)</f>
        <v>50.210356743940181</v>
      </c>
      <c r="N103" s="147" cm="1">
        <f t="array" ref="N103">INDEX($E$5:$AH$16,$C103,N$68) * INDEX($C$57:$AF$60,$B103,N$68)</f>
        <v>50.210356743940181</v>
      </c>
      <c r="O103" s="147" cm="1">
        <f t="array" ref="O103">INDEX($E$5:$AH$16,$C103,O$68) * INDEX($C$57:$AF$60,$B103,O$68)</f>
        <v>50.210356743940181</v>
      </c>
      <c r="P103" s="147" cm="1">
        <f t="array" ref="P103">INDEX($E$5:$AH$16,$C103,P$68) * INDEX($C$57:$AF$60,$B103,P$68)</f>
        <v>50.210356743940181</v>
      </c>
      <c r="Q103" s="147" cm="1">
        <f t="array" ref="Q103">INDEX($E$5:$AH$16,$C103,Q$68) * INDEX($C$57:$AF$60,$B103,Q$68)</f>
        <v>50.210356743940181</v>
      </c>
      <c r="R103" s="147" cm="1">
        <f t="array" ref="R103">INDEX($E$5:$AH$16,$C103,R$68) * INDEX($C$57:$AF$60,$B103,R$68)</f>
        <v>50.210356743940181</v>
      </c>
      <c r="S103" s="147" cm="1">
        <f t="array" ref="S103">INDEX($E$5:$AH$16,$C103,S$68) * INDEX($C$57:$AF$60,$B103,S$68)</f>
        <v>50.210356743940181</v>
      </c>
      <c r="T103" s="147" cm="1">
        <f t="array" ref="T103">INDEX($E$5:$AH$16,$C103,T$68) * INDEX($C$57:$AF$60,$B103,T$68)</f>
        <v>50.210356743940181</v>
      </c>
      <c r="U103" s="147" cm="1">
        <f t="array" ref="U103">INDEX($E$5:$AH$16,$C103,U$68) * INDEX($C$57:$AF$60,$B103,U$68)</f>
        <v>50.210356743940181</v>
      </c>
      <c r="V103" s="147" cm="1">
        <f t="array" ref="V103">INDEX($E$5:$AH$16,$C103,V$68) * INDEX($C$57:$AF$60,$B103,V$68)</f>
        <v>50.210356743940181</v>
      </c>
      <c r="W103" s="147" cm="1">
        <f t="array" ref="W103">INDEX($E$5:$AH$16,$C103,W$68) * INDEX($C$57:$AF$60,$B103,W$68)</f>
        <v>50.210356743940181</v>
      </c>
      <c r="X103" s="147" cm="1">
        <f t="array" ref="X103">INDEX($E$5:$AH$16,$C103,X$68) * INDEX($C$57:$AF$60,$B103,X$68)</f>
        <v>50.210356743940181</v>
      </c>
      <c r="Y103" s="147" cm="1">
        <f t="array" ref="Y103">INDEX($E$5:$AH$16,$C103,Y$68) * INDEX($C$57:$AF$60,$B103,Y$68)</f>
        <v>50.210356743940181</v>
      </c>
      <c r="Z103" s="147" cm="1">
        <f t="array" ref="Z103">INDEX($E$5:$AH$16,$C103,Z$68) * INDEX($C$57:$AF$60,$B103,Z$68)</f>
        <v>50.210356743940181</v>
      </c>
      <c r="AA103" s="147" cm="1">
        <f t="array" ref="AA103">INDEX($E$5:$AH$16,$C103,AA$68) * INDEX($C$57:$AF$60,$B103,AA$68)</f>
        <v>50.210356743940181</v>
      </c>
      <c r="AB103" s="147" cm="1">
        <f t="array" ref="AB103">INDEX($E$5:$AH$16,$C103,AB$68) * INDEX($C$57:$AF$60,$B103,AB$68)</f>
        <v>50.210356743940181</v>
      </c>
      <c r="AC103" s="147" cm="1">
        <f t="array" ref="AC103">INDEX($E$5:$AH$16,$C103,AC$68) * INDEX($C$57:$AF$60,$B103,AC$68)</f>
        <v>50.210356743940181</v>
      </c>
      <c r="AD103" s="147" cm="1">
        <f t="array" ref="AD103">INDEX($E$5:$AH$16,$C103,AD$68) * INDEX($C$57:$AF$60,$B103,AD$68)</f>
        <v>50.210356743940181</v>
      </c>
      <c r="AE103" s="147" cm="1">
        <f t="array" ref="AE103">INDEX($E$5:$AH$16,$C103,AE$68) * INDEX($C$57:$AF$60,$B103,AE$68)</f>
        <v>50.210356743940181</v>
      </c>
      <c r="AF103" s="147" cm="1">
        <f t="array" ref="AF103">INDEX($E$5:$AH$16,$C103,AF$68) * INDEX($C$57:$AF$60,$B103,AF$68)</f>
        <v>50.210356743940181</v>
      </c>
      <c r="AG103" s="147" cm="1">
        <f t="array" ref="AG103">INDEX($E$5:$AH$16,$C103,AG$68) * INDEX($C$57:$AF$60,$B103,AG$68)</f>
        <v>50.210356743940181</v>
      </c>
      <c r="AH103" s="147" cm="1">
        <f t="array" ref="AH103">INDEX($E$5:$AH$16,$C103,AH$68) * INDEX($C$57:$AF$60,$B103,AH$68)</f>
        <v>50.210356743940181</v>
      </c>
    </row>
    <row r="104" spans="2:34">
      <c r="B104" s="149">
        <v>3</v>
      </c>
      <c r="C104" s="149">
        <v>11</v>
      </c>
      <c r="D104" s="267" t="str">
        <v>Motocicleta</v>
      </c>
      <c r="E104" s="147" cm="1">
        <f t="array" ref="E104">INDEX($E$5:$AH$16,$C104,E$68) * INDEX($C$57:$AF$60,$B104,E$68)</f>
        <v>2.7894642635522322</v>
      </c>
      <c r="F104" s="147" cm="1">
        <f t="array" ref="F104">INDEX($E$5:$AH$16,$C104,F$68) * INDEX($C$57:$AF$60,$B104,F$68)</f>
        <v>2.7894642635522322</v>
      </c>
      <c r="G104" s="147" cm="1">
        <f t="array" ref="G104">INDEX($E$5:$AH$16,$C104,G$68) * INDEX($C$57:$AF$60,$B104,G$68)</f>
        <v>2.7894642635522322</v>
      </c>
      <c r="H104" s="147" cm="1">
        <f t="array" ref="H104">INDEX($E$5:$AH$16,$C104,H$68) * INDEX($C$57:$AF$60,$B104,H$68)</f>
        <v>2.7894642635522322</v>
      </c>
      <c r="I104" s="147" cm="1">
        <f t="array" ref="I104">INDEX($E$5:$AH$16,$C104,I$68) * INDEX($C$57:$AF$60,$B104,I$68)</f>
        <v>2.7894642635522322</v>
      </c>
      <c r="J104" s="147" cm="1">
        <f t="array" ref="J104">INDEX($E$5:$AH$16,$C104,J$68) * INDEX($C$57:$AF$60,$B104,J$68)</f>
        <v>2.7894642635522322</v>
      </c>
      <c r="K104" s="147" cm="1">
        <f t="array" ref="K104">INDEX($E$5:$AH$16,$C104,K$68) * INDEX($C$57:$AF$60,$B104,K$68)</f>
        <v>2.7894642635522322</v>
      </c>
      <c r="L104" s="147" cm="1">
        <f t="array" ref="L104">INDEX($E$5:$AH$16,$C104,L$68) * INDEX($C$57:$AF$60,$B104,L$68)</f>
        <v>2.7894642635522322</v>
      </c>
      <c r="M104" s="147" cm="1">
        <f t="array" ref="M104">INDEX($E$5:$AH$16,$C104,M$68) * INDEX($C$57:$AF$60,$B104,M$68)</f>
        <v>2.7894642635522322</v>
      </c>
      <c r="N104" s="147" cm="1">
        <f t="array" ref="N104">INDEX($E$5:$AH$16,$C104,N$68) * INDEX($C$57:$AF$60,$B104,N$68)</f>
        <v>2.7894642635522322</v>
      </c>
      <c r="O104" s="147" cm="1">
        <f t="array" ref="O104">INDEX($E$5:$AH$16,$C104,O$68) * INDEX($C$57:$AF$60,$B104,O$68)</f>
        <v>2.7894642635522322</v>
      </c>
      <c r="P104" s="147" cm="1">
        <f t="array" ref="P104">INDEX($E$5:$AH$16,$C104,P$68) * INDEX($C$57:$AF$60,$B104,P$68)</f>
        <v>2.7894642635522322</v>
      </c>
      <c r="Q104" s="147" cm="1">
        <f t="array" ref="Q104">INDEX($E$5:$AH$16,$C104,Q$68) * INDEX($C$57:$AF$60,$B104,Q$68)</f>
        <v>2.7894642635522322</v>
      </c>
      <c r="R104" s="147" cm="1">
        <f t="array" ref="R104">INDEX($E$5:$AH$16,$C104,R$68) * INDEX($C$57:$AF$60,$B104,R$68)</f>
        <v>2.7894642635522322</v>
      </c>
      <c r="S104" s="147" cm="1">
        <f t="array" ref="S104">INDEX($E$5:$AH$16,$C104,S$68) * INDEX($C$57:$AF$60,$B104,S$68)</f>
        <v>2.7894642635522322</v>
      </c>
      <c r="T104" s="147" cm="1">
        <f t="array" ref="T104">INDEX($E$5:$AH$16,$C104,T$68) * INDEX($C$57:$AF$60,$B104,T$68)</f>
        <v>2.7894642635522322</v>
      </c>
      <c r="U104" s="147" cm="1">
        <f t="array" ref="U104">INDEX($E$5:$AH$16,$C104,U$68) * INDEX($C$57:$AF$60,$B104,U$68)</f>
        <v>2.7894642635522322</v>
      </c>
      <c r="V104" s="147" cm="1">
        <f t="array" ref="V104">INDEX($E$5:$AH$16,$C104,V$68) * INDEX($C$57:$AF$60,$B104,V$68)</f>
        <v>2.7894642635522322</v>
      </c>
      <c r="W104" s="147" cm="1">
        <f t="array" ref="W104">INDEX($E$5:$AH$16,$C104,W$68) * INDEX($C$57:$AF$60,$B104,W$68)</f>
        <v>2.7894642635522322</v>
      </c>
      <c r="X104" s="147" cm="1">
        <f t="array" ref="X104">INDEX($E$5:$AH$16,$C104,X$68) * INDEX($C$57:$AF$60,$B104,X$68)</f>
        <v>2.7894642635522322</v>
      </c>
      <c r="Y104" s="147" cm="1">
        <f t="array" ref="Y104">INDEX($E$5:$AH$16,$C104,Y$68) * INDEX($C$57:$AF$60,$B104,Y$68)</f>
        <v>2.7894642635522322</v>
      </c>
      <c r="Z104" s="147" cm="1">
        <f t="array" ref="Z104">INDEX($E$5:$AH$16,$C104,Z$68) * INDEX($C$57:$AF$60,$B104,Z$68)</f>
        <v>2.7894642635522322</v>
      </c>
      <c r="AA104" s="147" cm="1">
        <f t="array" ref="AA104">INDEX($E$5:$AH$16,$C104,AA$68) * INDEX($C$57:$AF$60,$B104,AA$68)</f>
        <v>2.7894642635522322</v>
      </c>
      <c r="AB104" s="147" cm="1">
        <f t="array" ref="AB104">INDEX($E$5:$AH$16,$C104,AB$68) * INDEX($C$57:$AF$60,$B104,AB$68)</f>
        <v>2.7894642635522322</v>
      </c>
      <c r="AC104" s="147" cm="1">
        <f t="array" ref="AC104">INDEX($E$5:$AH$16,$C104,AC$68) * INDEX($C$57:$AF$60,$B104,AC$68)</f>
        <v>2.7894642635522322</v>
      </c>
      <c r="AD104" s="147" cm="1">
        <f t="array" ref="AD104">INDEX($E$5:$AH$16,$C104,AD$68) * INDEX($C$57:$AF$60,$B104,AD$68)</f>
        <v>2.7894642635522322</v>
      </c>
      <c r="AE104" s="147" cm="1">
        <f t="array" ref="AE104">INDEX($E$5:$AH$16,$C104,AE$68) * INDEX($C$57:$AF$60,$B104,AE$68)</f>
        <v>2.7894642635522322</v>
      </c>
      <c r="AF104" s="147" cm="1">
        <f t="array" ref="AF104">INDEX($E$5:$AH$16,$C104,AF$68) * INDEX($C$57:$AF$60,$B104,AF$68)</f>
        <v>2.7894642635522322</v>
      </c>
      <c r="AG104" s="147" cm="1">
        <f t="array" ref="AG104">INDEX($E$5:$AH$16,$C104,AG$68) * INDEX($C$57:$AF$60,$B104,AG$68)</f>
        <v>2.7894642635522322</v>
      </c>
      <c r="AH104" s="147" cm="1">
        <f t="array" ref="AH104">INDEX($E$5:$AH$16,$C104,AH$68) * INDEX($C$57:$AF$60,$B104,AH$68)</f>
        <v>2.7894642635522322</v>
      </c>
    </row>
    <row r="105" spans="2:34">
      <c r="B105" s="149">
        <v>3</v>
      </c>
      <c r="C105" s="149">
        <v>12</v>
      </c>
      <c r="D105" s="267" t="str">
        <v xml:space="preserve">Veículos do transporte público coletivo intermunicipal e metropolitano </v>
      </c>
      <c r="E105" s="147" cm="1">
        <f t="array" ref="E105">INDEX($E$5:$AH$16,$C105,E$68) * INDEX($C$57:$AF$60,$B105,E$68)</f>
        <v>0</v>
      </c>
      <c r="F105" s="147" cm="1">
        <f t="array" ref="F105">INDEX($E$5:$AH$16,$C105,F$68) * INDEX($C$57:$AF$60,$B105,F$68)</f>
        <v>0</v>
      </c>
      <c r="G105" s="147" cm="1">
        <f t="array" ref="G105">INDEX($E$5:$AH$16,$C105,G$68) * INDEX($C$57:$AF$60,$B105,G$68)</f>
        <v>0</v>
      </c>
      <c r="H105" s="147" cm="1">
        <f t="array" ref="H105">INDEX($E$5:$AH$16,$C105,H$68) * INDEX($C$57:$AF$60,$B105,H$68)</f>
        <v>0</v>
      </c>
      <c r="I105" s="147" cm="1">
        <f t="array" ref="I105">INDEX($E$5:$AH$16,$C105,I$68) * INDEX($C$57:$AF$60,$B105,I$68)</f>
        <v>0</v>
      </c>
      <c r="J105" s="147" cm="1">
        <f t="array" ref="J105">INDEX($E$5:$AH$16,$C105,J$68) * INDEX($C$57:$AF$60,$B105,J$68)</f>
        <v>0</v>
      </c>
      <c r="K105" s="147" cm="1">
        <f t="array" ref="K105">INDEX($E$5:$AH$16,$C105,K$68) * INDEX($C$57:$AF$60,$B105,K$68)</f>
        <v>0</v>
      </c>
      <c r="L105" s="147" cm="1">
        <f t="array" ref="L105">INDEX($E$5:$AH$16,$C105,L$68) * INDEX($C$57:$AF$60,$B105,L$68)</f>
        <v>0</v>
      </c>
      <c r="M105" s="147" cm="1">
        <f t="array" ref="M105">INDEX($E$5:$AH$16,$C105,M$68) * INDEX($C$57:$AF$60,$B105,M$68)</f>
        <v>0</v>
      </c>
      <c r="N105" s="147" cm="1">
        <f t="array" ref="N105">INDEX($E$5:$AH$16,$C105,N$68) * INDEX($C$57:$AF$60,$B105,N$68)</f>
        <v>0</v>
      </c>
      <c r="O105" s="147" cm="1">
        <f t="array" ref="O105">INDEX($E$5:$AH$16,$C105,O$68) * INDEX($C$57:$AF$60,$B105,O$68)</f>
        <v>0</v>
      </c>
      <c r="P105" s="147" cm="1">
        <f t="array" ref="P105">INDEX($E$5:$AH$16,$C105,P$68) * INDEX($C$57:$AF$60,$B105,P$68)</f>
        <v>0</v>
      </c>
      <c r="Q105" s="147" cm="1">
        <f t="array" ref="Q105">INDEX($E$5:$AH$16,$C105,Q$68) * INDEX($C$57:$AF$60,$B105,Q$68)</f>
        <v>0</v>
      </c>
      <c r="R105" s="147" cm="1">
        <f t="array" ref="R105">INDEX($E$5:$AH$16,$C105,R$68) * INDEX($C$57:$AF$60,$B105,R$68)</f>
        <v>0</v>
      </c>
      <c r="S105" s="147" cm="1">
        <f t="array" ref="S105">INDEX($E$5:$AH$16,$C105,S$68) * INDEX($C$57:$AF$60,$B105,S$68)</f>
        <v>0</v>
      </c>
      <c r="T105" s="147" cm="1">
        <f t="array" ref="T105">INDEX($E$5:$AH$16,$C105,T$68) * INDEX($C$57:$AF$60,$B105,T$68)</f>
        <v>0</v>
      </c>
      <c r="U105" s="147" cm="1">
        <f t="array" ref="U105">INDEX($E$5:$AH$16,$C105,U$68) * INDEX($C$57:$AF$60,$B105,U$68)</f>
        <v>0</v>
      </c>
      <c r="V105" s="147" cm="1">
        <f t="array" ref="V105">INDEX($E$5:$AH$16,$C105,V$68) * INDEX($C$57:$AF$60,$B105,V$68)</f>
        <v>0</v>
      </c>
      <c r="W105" s="147" cm="1">
        <f t="array" ref="W105">INDEX($E$5:$AH$16,$C105,W$68) * INDEX($C$57:$AF$60,$B105,W$68)</f>
        <v>0</v>
      </c>
      <c r="X105" s="147" cm="1">
        <f t="array" ref="X105">INDEX($E$5:$AH$16,$C105,X$68) * INDEX($C$57:$AF$60,$B105,X$68)</f>
        <v>0</v>
      </c>
      <c r="Y105" s="147" cm="1">
        <f t="array" ref="Y105">INDEX($E$5:$AH$16,$C105,Y$68) * INDEX($C$57:$AF$60,$B105,Y$68)</f>
        <v>0</v>
      </c>
      <c r="Z105" s="147" cm="1">
        <f t="array" ref="Z105">INDEX($E$5:$AH$16,$C105,Z$68) * INDEX($C$57:$AF$60,$B105,Z$68)</f>
        <v>0</v>
      </c>
      <c r="AA105" s="147" cm="1">
        <f t="array" ref="AA105">INDEX($E$5:$AH$16,$C105,AA$68) * INDEX($C$57:$AF$60,$B105,AA$68)</f>
        <v>0</v>
      </c>
      <c r="AB105" s="147" cm="1">
        <f t="array" ref="AB105">INDEX($E$5:$AH$16,$C105,AB$68) * INDEX($C$57:$AF$60,$B105,AB$68)</f>
        <v>0</v>
      </c>
      <c r="AC105" s="147" cm="1">
        <f t="array" ref="AC105">INDEX($E$5:$AH$16,$C105,AC$68) * INDEX($C$57:$AF$60,$B105,AC$68)</f>
        <v>0</v>
      </c>
      <c r="AD105" s="147" cm="1">
        <f t="array" ref="AD105">INDEX($E$5:$AH$16,$C105,AD$68) * INDEX($C$57:$AF$60,$B105,AD$68)</f>
        <v>0</v>
      </c>
      <c r="AE105" s="147" cm="1">
        <f t="array" ref="AE105">INDEX($E$5:$AH$16,$C105,AE$68) * INDEX($C$57:$AF$60,$B105,AE$68)</f>
        <v>0</v>
      </c>
      <c r="AF105" s="147" cm="1">
        <f t="array" ref="AF105">INDEX($E$5:$AH$16,$C105,AF$68) * INDEX($C$57:$AF$60,$B105,AF$68)</f>
        <v>0</v>
      </c>
      <c r="AG105" s="147" cm="1">
        <f t="array" ref="AG105">INDEX($E$5:$AH$16,$C105,AG$68) * INDEX($C$57:$AF$60,$B105,AG$68)</f>
        <v>0</v>
      </c>
      <c r="AH105" s="147" cm="1">
        <f t="array" ref="AH105">INDEX($E$5:$AH$16,$C105,AH$68) * INDEX($C$57:$AF$60,$B105,AH$68)</f>
        <v>0</v>
      </c>
    </row>
    <row r="106" spans="2:34">
      <c r="B106" s="149">
        <v>4</v>
      </c>
      <c r="C106" s="149">
        <v>1</v>
      </c>
      <c r="D106" s="267" t="str">
        <v>Automóvel</v>
      </c>
      <c r="E106" s="147" cm="1">
        <f t="array" ref="E106">INDEX($E$5:$AH$16,$C106,E$68) * INDEX($C$57:$AF$60,$B106,E$68)</f>
        <v>5.5789285271044644</v>
      </c>
      <c r="F106" s="147" cm="1">
        <f t="array" ref="F106">INDEX($E$5:$AH$16,$C106,F$68) * INDEX($C$57:$AF$60,$B106,F$68)</f>
        <v>5.5789285271044644</v>
      </c>
      <c r="G106" s="147" cm="1">
        <f t="array" ref="G106">INDEX($E$5:$AH$16,$C106,G$68) * INDEX($C$57:$AF$60,$B106,G$68)</f>
        <v>5.5789285271044644</v>
      </c>
      <c r="H106" s="147" cm="1">
        <f t="array" ref="H106">INDEX($E$5:$AH$16,$C106,H$68) * INDEX($C$57:$AF$60,$B106,H$68)</f>
        <v>5.5789285271044644</v>
      </c>
      <c r="I106" s="147" cm="1">
        <f t="array" ref="I106">INDEX($E$5:$AH$16,$C106,I$68) * INDEX($C$57:$AF$60,$B106,I$68)</f>
        <v>5.5789285271044644</v>
      </c>
      <c r="J106" s="147" cm="1">
        <f t="array" ref="J106">INDEX($E$5:$AH$16,$C106,J$68) * INDEX($C$57:$AF$60,$B106,J$68)</f>
        <v>5.5789285271044644</v>
      </c>
      <c r="K106" s="147" cm="1">
        <f t="array" ref="K106">INDEX($E$5:$AH$16,$C106,K$68) * INDEX($C$57:$AF$60,$B106,K$68)</f>
        <v>5.5789285271044644</v>
      </c>
      <c r="L106" s="147" cm="1">
        <f t="array" ref="L106">INDEX($E$5:$AH$16,$C106,L$68) * INDEX($C$57:$AF$60,$B106,L$68)</f>
        <v>5.5789285271044644</v>
      </c>
      <c r="M106" s="147" cm="1">
        <f t="array" ref="M106">INDEX($E$5:$AH$16,$C106,M$68) * INDEX($C$57:$AF$60,$B106,M$68)</f>
        <v>5.5789285271044644</v>
      </c>
      <c r="N106" s="147" cm="1">
        <f t="array" ref="N106">INDEX($E$5:$AH$16,$C106,N$68) * INDEX($C$57:$AF$60,$B106,N$68)</f>
        <v>5.5789285271044644</v>
      </c>
      <c r="O106" s="147" cm="1">
        <f t="array" ref="O106">INDEX($E$5:$AH$16,$C106,O$68) * INDEX($C$57:$AF$60,$B106,O$68)</f>
        <v>5.5789285271044644</v>
      </c>
      <c r="P106" s="147" cm="1">
        <f t="array" ref="P106">INDEX($E$5:$AH$16,$C106,P$68) * INDEX($C$57:$AF$60,$B106,P$68)</f>
        <v>5.5789285271044644</v>
      </c>
      <c r="Q106" s="147" cm="1">
        <f t="array" ref="Q106">INDEX($E$5:$AH$16,$C106,Q$68) * INDEX($C$57:$AF$60,$B106,Q$68)</f>
        <v>5.5789285271044644</v>
      </c>
      <c r="R106" s="147" cm="1">
        <f t="array" ref="R106">INDEX($E$5:$AH$16,$C106,R$68) * INDEX($C$57:$AF$60,$B106,R$68)</f>
        <v>5.5789285271044644</v>
      </c>
      <c r="S106" s="147" cm="1">
        <f t="array" ref="S106">INDEX($E$5:$AH$16,$C106,S$68) * INDEX($C$57:$AF$60,$B106,S$68)</f>
        <v>5.5789285271044644</v>
      </c>
      <c r="T106" s="147" cm="1">
        <f t="array" ref="T106">INDEX($E$5:$AH$16,$C106,T$68) * INDEX($C$57:$AF$60,$B106,T$68)</f>
        <v>7.8104999379462496</v>
      </c>
      <c r="U106" s="147" cm="1">
        <f t="array" ref="U106">INDEX($E$5:$AH$16,$C106,U$68) * INDEX($C$57:$AF$60,$B106,U$68)</f>
        <v>7.8104999379462496</v>
      </c>
      <c r="V106" s="147" cm="1">
        <f t="array" ref="V106">INDEX($E$5:$AH$16,$C106,V$68) * INDEX($C$57:$AF$60,$B106,V$68)</f>
        <v>7.8104999379462496</v>
      </c>
      <c r="W106" s="147" cm="1">
        <f t="array" ref="W106">INDEX($E$5:$AH$16,$C106,W$68) * INDEX($C$57:$AF$60,$B106,W$68)</f>
        <v>7.8104999379462496</v>
      </c>
      <c r="X106" s="147" cm="1">
        <f t="array" ref="X106">INDEX($E$5:$AH$16,$C106,X$68) * INDEX($C$57:$AF$60,$B106,X$68)</f>
        <v>7.8104999379462496</v>
      </c>
      <c r="Y106" s="147" cm="1">
        <f t="array" ref="Y106">INDEX($E$5:$AH$16,$C106,Y$68) * INDEX($C$57:$AF$60,$B106,Y$68)</f>
        <v>7.8104999379462496</v>
      </c>
      <c r="Z106" s="147" cm="1">
        <f t="array" ref="Z106">INDEX($E$5:$AH$16,$C106,Z$68) * INDEX($C$57:$AF$60,$B106,Z$68)</f>
        <v>7.8104999379462496</v>
      </c>
      <c r="AA106" s="147" cm="1">
        <f t="array" ref="AA106">INDEX($E$5:$AH$16,$C106,AA$68) * INDEX($C$57:$AF$60,$B106,AA$68)</f>
        <v>7.8104999379462496</v>
      </c>
      <c r="AB106" s="147" cm="1">
        <f t="array" ref="AB106">INDEX($E$5:$AH$16,$C106,AB$68) * INDEX($C$57:$AF$60,$B106,AB$68)</f>
        <v>7.8104999379462496</v>
      </c>
      <c r="AC106" s="147" cm="1">
        <f t="array" ref="AC106">INDEX($E$5:$AH$16,$C106,AC$68) * INDEX($C$57:$AF$60,$B106,AC$68)</f>
        <v>7.8104999379462496</v>
      </c>
      <c r="AD106" s="147" cm="1">
        <f t="array" ref="AD106">INDEX($E$5:$AH$16,$C106,AD$68) * INDEX($C$57:$AF$60,$B106,AD$68)</f>
        <v>7.8104999379462496</v>
      </c>
      <c r="AE106" s="147" cm="1">
        <f t="array" ref="AE106">INDEX($E$5:$AH$16,$C106,AE$68) * INDEX($C$57:$AF$60,$B106,AE$68)</f>
        <v>7.8104999379462496</v>
      </c>
      <c r="AF106" s="147" cm="1">
        <f t="array" ref="AF106">INDEX($E$5:$AH$16,$C106,AF$68) * INDEX($C$57:$AF$60,$B106,AF$68)</f>
        <v>7.8104999379462496</v>
      </c>
      <c r="AG106" s="147" cm="1">
        <f t="array" ref="AG106">INDEX($E$5:$AH$16,$C106,AG$68) * INDEX($C$57:$AF$60,$B106,AG$68)</f>
        <v>7.8104999379462496</v>
      </c>
      <c r="AH106" s="147" cm="1">
        <f t="array" ref="AH106">INDEX($E$5:$AH$16,$C106,AH$68) * INDEX($C$57:$AF$60,$B106,AH$68)</f>
        <v>7.8104999379462496</v>
      </c>
    </row>
    <row r="107" spans="2:34">
      <c r="B107" s="149">
        <v>4</v>
      </c>
      <c r="C107" s="149">
        <v>2</v>
      </c>
      <c r="D107" s="267" t="str">
        <v xml:space="preserve">Automóvel com reboque </v>
      </c>
      <c r="E107" s="147" cm="1">
        <f t="array" ref="E107">INDEX($E$5:$AH$16,$C107,E$68) * INDEX($C$57:$AF$60,$B107,E$68)</f>
        <v>8.3683927906566957</v>
      </c>
      <c r="F107" s="147" cm="1">
        <f t="array" ref="F107">INDEX($E$5:$AH$16,$C107,F$68) * INDEX($C$57:$AF$60,$B107,F$68)</f>
        <v>8.3683927906566957</v>
      </c>
      <c r="G107" s="147" cm="1">
        <f t="array" ref="G107">INDEX($E$5:$AH$16,$C107,G$68) * INDEX($C$57:$AF$60,$B107,G$68)</f>
        <v>8.3683927906566957</v>
      </c>
      <c r="H107" s="147" cm="1">
        <f t="array" ref="H107">INDEX($E$5:$AH$16,$C107,H$68) * INDEX($C$57:$AF$60,$B107,H$68)</f>
        <v>8.3683927906566957</v>
      </c>
      <c r="I107" s="147" cm="1">
        <f t="array" ref="I107">INDEX($E$5:$AH$16,$C107,I$68) * INDEX($C$57:$AF$60,$B107,I$68)</f>
        <v>8.3683927906566957</v>
      </c>
      <c r="J107" s="147" cm="1">
        <f t="array" ref="J107">INDEX($E$5:$AH$16,$C107,J$68) * INDEX($C$57:$AF$60,$B107,J$68)</f>
        <v>8.3683927906566957</v>
      </c>
      <c r="K107" s="147" cm="1">
        <f t="array" ref="K107">INDEX($E$5:$AH$16,$C107,K$68) * INDEX($C$57:$AF$60,$B107,K$68)</f>
        <v>8.3683927906566957</v>
      </c>
      <c r="L107" s="147" cm="1">
        <f t="array" ref="L107">INDEX($E$5:$AH$16,$C107,L$68) * INDEX($C$57:$AF$60,$B107,L$68)</f>
        <v>8.3683927906566957</v>
      </c>
      <c r="M107" s="147" cm="1">
        <f t="array" ref="M107">INDEX($E$5:$AH$16,$C107,M$68) * INDEX($C$57:$AF$60,$B107,M$68)</f>
        <v>8.3683927906566957</v>
      </c>
      <c r="N107" s="147" cm="1">
        <f t="array" ref="N107">INDEX($E$5:$AH$16,$C107,N$68) * INDEX($C$57:$AF$60,$B107,N$68)</f>
        <v>8.3683927906566957</v>
      </c>
      <c r="O107" s="147" cm="1">
        <f t="array" ref="O107">INDEX($E$5:$AH$16,$C107,O$68) * INDEX($C$57:$AF$60,$B107,O$68)</f>
        <v>8.3683927906566957</v>
      </c>
      <c r="P107" s="147" cm="1">
        <f t="array" ref="P107">INDEX($E$5:$AH$16,$C107,P$68) * INDEX($C$57:$AF$60,$B107,P$68)</f>
        <v>8.3683927906566957</v>
      </c>
      <c r="Q107" s="147" cm="1">
        <f t="array" ref="Q107">INDEX($E$5:$AH$16,$C107,Q$68) * INDEX($C$57:$AF$60,$B107,Q$68)</f>
        <v>8.3683927906566957</v>
      </c>
      <c r="R107" s="147" cm="1">
        <f t="array" ref="R107">INDEX($E$5:$AH$16,$C107,R$68) * INDEX($C$57:$AF$60,$B107,R$68)</f>
        <v>8.3683927906566957</v>
      </c>
      <c r="S107" s="147" cm="1">
        <f t="array" ref="S107">INDEX($E$5:$AH$16,$C107,S$68) * INDEX($C$57:$AF$60,$B107,S$68)</f>
        <v>8.3683927906566957</v>
      </c>
      <c r="T107" s="147" cm="1">
        <f t="array" ref="T107">INDEX($E$5:$AH$16,$C107,T$68) * INDEX($C$57:$AF$60,$B107,T$68)</f>
        <v>11.715749906919374</v>
      </c>
      <c r="U107" s="147" cm="1">
        <f t="array" ref="U107">INDEX($E$5:$AH$16,$C107,U$68) * INDEX($C$57:$AF$60,$B107,U$68)</f>
        <v>11.715749906919374</v>
      </c>
      <c r="V107" s="147" cm="1">
        <f t="array" ref="V107">INDEX($E$5:$AH$16,$C107,V$68) * INDEX($C$57:$AF$60,$B107,V$68)</f>
        <v>11.715749906919374</v>
      </c>
      <c r="W107" s="147" cm="1">
        <f t="array" ref="W107">INDEX($E$5:$AH$16,$C107,W$68) * INDEX($C$57:$AF$60,$B107,W$68)</f>
        <v>11.715749906919374</v>
      </c>
      <c r="X107" s="147" cm="1">
        <f t="array" ref="X107">INDEX($E$5:$AH$16,$C107,X$68) * INDEX($C$57:$AF$60,$B107,X$68)</f>
        <v>11.715749906919374</v>
      </c>
      <c r="Y107" s="147" cm="1">
        <f t="array" ref="Y107">INDEX($E$5:$AH$16,$C107,Y$68) * INDEX($C$57:$AF$60,$B107,Y$68)</f>
        <v>11.715749906919374</v>
      </c>
      <c r="Z107" s="147" cm="1">
        <f t="array" ref="Z107">INDEX($E$5:$AH$16,$C107,Z$68) * INDEX($C$57:$AF$60,$B107,Z$68)</f>
        <v>11.715749906919374</v>
      </c>
      <c r="AA107" s="147" cm="1">
        <f t="array" ref="AA107">INDEX($E$5:$AH$16,$C107,AA$68) * INDEX($C$57:$AF$60,$B107,AA$68)</f>
        <v>11.715749906919374</v>
      </c>
      <c r="AB107" s="147" cm="1">
        <f t="array" ref="AB107">INDEX($E$5:$AH$16,$C107,AB$68) * INDEX($C$57:$AF$60,$B107,AB$68)</f>
        <v>11.715749906919374</v>
      </c>
      <c r="AC107" s="147" cm="1">
        <f t="array" ref="AC107">INDEX($E$5:$AH$16,$C107,AC$68) * INDEX($C$57:$AF$60,$B107,AC$68)</f>
        <v>11.715749906919374</v>
      </c>
      <c r="AD107" s="147" cm="1">
        <f t="array" ref="AD107">INDEX($E$5:$AH$16,$C107,AD$68) * INDEX($C$57:$AF$60,$B107,AD$68)</f>
        <v>11.715749906919374</v>
      </c>
      <c r="AE107" s="147" cm="1">
        <f t="array" ref="AE107">INDEX($E$5:$AH$16,$C107,AE$68) * INDEX($C$57:$AF$60,$B107,AE$68)</f>
        <v>11.715749906919374</v>
      </c>
      <c r="AF107" s="147" cm="1">
        <f t="array" ref="AF107">INDEX($E$5:$AH$16,$C107,AF$68) * INDEX($C$57:$AF$60,$B107,AF$68)</f>
        <v>11.715749906919374</v>
      </c>
      <c r="AG107" s="147" cm="1">
        <f t="array" ref="AG107">INDEX($E$5:$AH$16,$C107,AG$68) * INDEX($C$57:$AF$60,$B107,AG$68)</f>
        <v>11.715749906919374</v>
      </c>
      <c r="AH107" s="147" cm="1">
        <f t="array" ref="AH107">INDEX($E$5:$AH$16,$C107,AH$68) * INDEX($C$57:$AF$60,$B107,AH$68)</f>
        <v>11.715749906919374</v>
      </c>
    </row>
    <row r="108" spans="2:34">
      <c r="B108" s="149">
        <v>4</v>
      </c>
      <c r="C108" s="149">
        <v>3</v>
      </c>
      <c r="D108" s="267" t="str">
        <v>Veículos Comerciais com 2 Eixos</v>
      </c>
      <c r="E108" s="147" cm="1">
        <f t="array" ref="E108">INDEX($E$5:$AH$16,$C108,E$68) * INDEX($C$57:$AF$60,$B108,E$68)</f>
        <v>11.157857054208929</v>
      </c>
      <c r="F108" s="147" cm="1">
        <f t="array" ref="F108">INDEX($E$5:$AH$16,$C108,F$68) * INDEX($C$57:$AF$60,$B108,F$68)</f>
        <v>11.157857054208929</v>
      </c>
      <c r="G108" s="147" cm="1">
        <f t="array" ref="G108">INDEX($E$5:$AH$16,$C108,G$68) * INDEX($C$57:$AF$60,$B108,G$68)</f>
        <v>11.157857054208929</v>
      </c>
      <c r="H108" s="147" cm="1">
        <f t="array" ref="H108">INDEX($E$5:$AH$16,$C108,H$68) * INDEX($C$57:$AF$60,$B108,H$68)</f>
        <v>11.157857054208929</v>
      </c>
      <c r="I108" s="147" cm="1">
        <f t="array" ref="I108">INDEX($E$5:$AH$16,$C108,I$68) * INDEX($C$57:$AF$60,$B108,I$68)</f>
        <v>11.157857054208929</v>
      </c>
      <c r="J108" s="147" cm="1">
        <f t="array" ref="J108">INDEX($E$5:$AH$16,$C108,J$68) * INDEX($C$57:$AF$60,$B108,J$68)</f>
        <v>11.157857054208929</v>
      </c>
      <c r="K108" s="147" cm="1">
        <f t="array" ref="K108">INDEX($E$5:$AH$16,$C108,K$68) * INDEX($C$57:$AF$60,$B108,K$68)</f>
        <v>11.157857054208929</v>
      </c>
      <c r="L108" s="147" cm="1">
        <f t="array" ref="L108">INDEX($E$5:$AH$16,$C108,L$68) * INDEX($C$57:$AF$60,$B108,L$68)</f>
        <v>11.157857054208929</v>
      </c>
      <c r="M108" s="147" cm="1">
        <f t="array" ref="M108">INDEX($E$5:$AH$16,$C108,M$68) * INDEX($C$57:$AF$60,$B108,M$68)</f>
        <v>11.157857054208929</v>
      </c>
      <c r="N108" s="147" cm="1">
        <f t="array" ref="N108">INDEX($E$5:$AH$16,$C108,N$68) * INDEX($C$57:$AF$60,$B108,N$68)</f>
        <v>11.157857054208929</v>
      </c>
      <c r="O108" s="147" cm="1">
        <f t="array" ref="O108">INDEX($E$5:$AH$16,$C108,O$68) * INDEX($C$57:$AF$60,$B108,O$68)</f>
        <v>11.157857054208929</v>
      </c>
      <c r="P108" s="147" cm="1">
        <f t="array" ref="P108">INDEX($E$5:$AH$16,$C108,P$68) * INDEX($C$57:$AF$60,$B108,P$68)</f>
        <v>11.157857054208929</v>
      </c>
      <c r="Q108" s="147" cm="1">
        <f t="array" ref="Q108">INDEX($E$5:$AH$16,$C108,Q$68) * INDEX($C$57:$AF$60,$B108,Q$68)</f>
        <v>11.157857054208929</v>
      </c>
      <c r="R108" s="147" cm="1">
        <f t="array" ref="R108">INDEX($E$5:$AH$16,$C108,R$68) * INDEX($C$57:$AF$60,$B108,R$68)</f>
        <v>11.157857054208929</v>
      </c>
      <c r="S108" s="147" cm="1">
        <f t="array" ref="S108">INDEX($E$5:$AH$16,$C108,S$68) * INDEX($C$57:$AF$60,$B108,S$68)</f>
        <v>11.157857054208929</v>
      </c>
      <c r="T108" s="147" cm="1">
        <f t="array" ref="T108">INDEX($E$5:$AH$16,$C108,T$68) * INDEX($C$57:$AF$60,$B108,T$68)</f>
        <v>15.620999875892499</v>
      </c>
      <c r="U108" s="147" cm="1">
        <f t="array" ref="U108">INDEX($E$5:$AH$16,$C108,U$68) * INDEX($C$57:$AF$60,$B108,U$68)</f>
        <v>15.620999875892499</v>
      </c>
      <c r="V108" s="147" cm="1">
        <f t="array" ref="V108">INDEX($E$5:$AH$16,$C108,V$68) * INDEX($C$57:$AF$60,$B108,V$68)</f>
        <v>15.620999875892499</v>
      </c>
      <c r="W108" s="147" cm="1">
        <f t="array" ref="W108">INDEX($E$5:$AH$16,$C108,W$68) * INDEX($C$57:$AF$60,$B108,W$68)</f>
        <v>15.620999875892499</v>
      </c>
      <c r="X108" s="147" cm="1">
        <f t="array" ref="X108">INDEX($E$5:$AH$16,$C108,X$68) * INDEX($C$57:$AF$60,$B108,X$68)</f>
        <v>15.620999875892499</v>
      </c>
      <c r="Y108" s="147" cm="1">
        <f t="array" ref="Y108">INDEX($E$5:$AH$16,$C108,Y$68) * INDEX($C$57:$AF$60,$B108,Y$68)</f>
        <v>15.620999875892499</v>
      </c>
      <c r="Z108" s="147" cm="1">
        <f t="array" ref="Z108">INDEX($E$5:$AH$16,$C108,Z$68) * INDEX($C$57:$AF$60,$B108,Z$68)</f>
        <v>15.620999875892499</v>
      </c>
      <c r="AA108" s="147" cm="1">
        <f t="array" ref="AA108">INDEX($E$5:$AH$16,$C108,AA$68) * INDEX($C$57:$AF$60,$B108,AA$68)</f>
        <v>15.620999875892499</v>
      </c>
      <c r="AB108" s="147" cm="1">
        <f t="array" ref="AB108">INDEX($E$5:$AH$16,$C108,AB$68) * INDEX($C$57:$AF$60,$B108,AB$68)</f>
        <v>15.620999875892499</v>
      </c>
      <c r="AC108" s="147" cm="1">
        <f t="array" ref="AC108">INDEX($E$5:$AH$16,$C108,AC$68) * INDEX($C$57:$AF$60,$B108,AC$68)</f>
        <v>15.620999875892499</v>
      </c>
      <c r="AD108" s="147" cm="1">
        <f t="array" ref="AD108">INDEX($E$5:$AH$16,$C108,AD$68) * INDEX($C$57:$AF$60,$B108,AD$68)</f>
        <v>15.620999875892499</v>
      </c>
      <c r="AE108" s="147" cm="1">
        <f t="array" ref="AE108">INDEX($E$5:$AH$16,$C108,AE$68) * INDEX($C$57:$AF$60,$B108,AE$68)</f>
        <v>15.620999875892499</v>
      </c>
      <c r="AF108" s="147" cm="1">
        <f t="array" ref="AF108">INDEX($E$5:$AH$16,$C108,AF$68) * INDEX($C$57:$AF$60,$B108,AF$68)</f>
        <v>15.620999875892499</v>
      </c>
      <c r="AG108" s="147" cm="1">
        <f t="array" ref="AG108">INDEX($E$5:$AH$16,$C108,AG$68) * INDEX($C$57:$AF$60,$B108,AG$68)</f>
        <v>15.620999875892499</v>
      </c>
      <c r="AH108" s="147" cm="1">
        <f t="array" ref="AH108">INDEX($E$5:$AH$16,$C108,AH$68) * INDEX($C$57:$AF$60,$B108,AH$68)</f>
        <v>15.620999875892499</v>
      </c>
    </row>
    <row r="109" spans="2:34">
      <c r="B109" s="149">
        <v>4</v>
      </c>
      <c r="C109" s="149">
        <v>4</v>
      </c>
      <c r="D109" s="267" t="str">
        <v>Veículos Comerciais com 3 Eixos</v>
      </c>
      <c r="E109" s="147" cm="1">
        <f t="array" ref="E109">INDEX($E$5:$AH$16,$C109,E$68) * INDEX($C$57:$AF$60,$B109,E$68)</f>
        <v>16.736785581313391</v>
      </c>
      <c r="F109" s="147" cm="1">
        <f t="array" ref="F109">INDEX($E$5:$AH$16,$C109,F$68) * INDEX($C$57:$AF$60,$B109,F$68)</f>
        <v>16.736785581313391</v>
      </c>
      <c r="G109" s="147" cm="1">
        <f t="array" ref="G109">INDEX($E$5:$AH$16,$C109,G$68) * INDEX($C$57:$AF$60,$B109,G$68)</f>
        <v>16.736785581313391</v>
      </c>
      <c r="H109" s="147" cm="1">
        <f t="array" ref="H109">INDEX($E$5:$AH$16,$C109,H$68) * INDEX($C$57:$AF$60,$B109,H$68)</f>
        <v>16.736785581313391</v>
      </c>
      <c r="I109" s="147" cm="1">
        <f t="array" ref="I109">INDEX($E$5:$AH$16,$C109,I$68) * INDEX($C$57:$AF$60,$B109,I$68)</f>
        <v>16.736785581313391</v>
      </c>
      <c r="J109" s="147" cm="1">
        <f t="array" ref="J109">INDEX($E$5:$AH$16,$C109,J$68) * INDEX($C$57:$AF$60,$B109,J$68)</f>
        <v>16.736785581313391</v>
      </c>
      <c r="K109" s="147" cm="1">
        <f t="array" ref="K109">INDEX($E$5:$AH$16,$C109,K$68) * INDEX($C$57:$AF$60,$B109,K$68)</f>
        <v>16.736785581313391</v>
      </c>
      <c r="L109" s="147" cm="1">
        <f t="array" ref="L109">INDEX($E$5:$AH$16,$C109,L$68) * INDEX($C$57:$AF$60,$B109,L$68)</f>
        <v>16.736785581313391</v>
      </c>
      <c r="M109" s="147" cm="1">
        <f t="array" ref="M109">INDEX($E$5:$AH$16,$C109,M$68) * INDEX($C$57:$AF$60,$B109,M$68)</f>
        <v>16.736785581313391</v>
      </c>
      <c r="N109" s="147" cm="1">
        <f t="array" ref="N109">INDEX($E$5:$AH$16,$C109,N$68) * INDEX($C$57:$AF$60,$B109,N$68)</f>
        <v>16.736785581313391</v>
      </c>
      <c r="O109" s="147" cm="1">
        <f t="array" ref="O109">INDEX($E$5:$AH$16,$C109,O$68) * INDEX($C$57:$AF$60,$B109,O$68)</f>
        <v>16.736785581313391</v>
      </c>
      <c r="P109" s="147" cm="1">
        <f t="array" ref="P109">INDEX($E$5:$AH$16,$C109,P$68) * INDEX($C$57:$AF$60,$B109,P$68)</f>
        <v>16.736785581313391</v>
      </c>
      <c r="Q109" s="147" cm="1">
        <f t="array" ref="Q109">INDEX($E$5:$AH$16,$C109,Q$68) * INDEX($C$57:$AF$60,$B109,Q$68)</f>
        <v>16.736785581313391</v>
      </c>
      <c r="R109" s="147" cm="1">
        <f t="array" ref="R109">INDEX($E$5:$AH$16,$C109,R$68) * INDEX($C$57:$AF$60,$B109,R$68)</f>
        <v>16.736785581313391</v>
      </c>
      <c r="S109" s="147" cm="1">
        <f t="array" ref="S109">INDEX($E$5:$AH$16,$C109,S$68) * INDEX($C$57:$AF$60,$B109,S$68)</f>
        <v>16.736785581313391</v>
      </c>
      <c r="T109" s="147" cm="1">
        <f t="array" ref="T109">INDEX($E$5:$AH$16,$C109,T$68) * INDEX($C$57:$AF$60,$B109,T$68)</f>
        <v>23.431499813838748</v>
      </c>
      <c r="U109" s="147" cm="1">
        <f t="array" ref="U109">INDEX($E$5:$AH$16,$C109,U$68) * INDEX($C$57:$AF$60,$B109,U$68)</f>
        <v>23.431499813838748</v>
      </c>
      <c r="V109" s="147" cm="1">
        <f t="array" ref="V109">INDEX($E$5:$AH$16,$C109,V$68) * INDEX($C$57:$AF$60,$B109,V$68)</f>
        <v>23.431499813838748</v>
      </c>
      <c r="W109" s="147" cm="1">
        <f t="array" ref="W109">INDEX($E$5:$AH$16,$C109,W$68) * INDEX($C$57:$AF$60,$B109,W$68)</f>
        <v>23.431499813838748</v>
      </c>
      <c r="X109" s="147" cm="1">
        <f t="array" ref="X109">INDEX($E$5:$AH$16,$C109,X$68) * INDEX($C$57:$AF$60,$B109,X$68)</f>
        <v>23.431499813838748</v>
      </c>
      <c r="Y109" s="147" cm="1">
        <f t="array" ref="Y109">INDEX($E$5:$AH$16,$C109,Y$68) * INDEX($C$57:$AF$60,$B109,Y$68)</f>
        <v>23.431499813838748</v>
      </c>
      <c r="Z109" s="147" cm="1">
        <f t="array" ref="Z109">INDEX($E$5:$AH$16,$C109,Z$68) * INDEX($C$57:$AF$60,$B109,Z$68)</f>
        <v>23.431499813838748</v>
      </c>
      <c r="AA109" s="147" cm="1">
        <f t="array" ref="AA109">INDEX($E$5:$AH$16,$C109,AA$68) * INDEX($C$57:$AF$60,$B109,AA$68)</f>
        <v>23.431499813838748</v>
      </c>
      <c r="AB109" s="147" cm="1">
        <f t="array" ref="AB109">INDEX($E$5:$AH$16,$C109,AB$68) * INDEX($C$57:$AF$60,$B109,AB$68)</f>
        <v>23.431499813838748</v>
      </c>
      <c r="AC109" s="147" cm="1">
        <f t="array" ref="AC109">INDEX($E$5:$AH$16,$C109,AC$68) * INDEX($C$57:$AF$60,$B109,AC$68)</f>
        <v>23.431499813838748</v>
      </c>
      <c r="AD109" s="147" cm="1">
        <f t="array" ref="AD109">INDEX($E$5:$AH$16,$C109,AD$68) * INDEX($C$57:$AF$60,$B109,AD$68)</f>
        <v>23.431499813838748</v>
      </c>
      <c r="AE109" s="147" cm="1">
        <f t="array" ref="AE109">INDEX($E$5:$AH$16,$C109,AE$68) * INDEX($C$57:$AF$60,$B109,AE$68)</f>
        <v>23.431499813838748</v>
      </c>
      <c r="AF109" s="147" cm="1">
        <f t="array" ref="AF109">INDEX($E$5:$AH$16,$C109,AF$68) * INDEX($C$57:$AF$60,$B109,AF$68)</f>
        <v>23.431499813838748</v>
      </c>
      <c r="AG109" s="147" cm="1">
        <f t="array" ref="AG109">INDEX($E$5:$AH$16,$C109,AG$68) * INDEX($C$57:$AF$60,$B109,AG$68)</f>
        <v>23.431499813838748</v>
      </c>
      <c r="AH109" s="147" cm="1">
        <f t="array" ref="AH109">INDEX($E$5:$AH$16,$C109,AH$68) * INDEX($C$57:$AF$60,$B109,AH$68)</f>
        <v>23.431499813838748</v>
      </c>
    </row>
    <row r="110" spans="2:34">
      <c r="B110" s="149">
        <v>4</v>
      </c>
      <c r="C110" s="149">
        <v>5</v>
      </c>
      <c r="D110" s="267" t="str">
        <v>Veículos Comerciais com 4 Eixos</v>
      </c>
      <c r="E110" s="147" cm="1">
        <f t="array" ref="E110">INDEX($E$5:$AH$16,$C110,E$68) * INDEX($C$57:$AF$60,$B110,E$68)</f>
        <v>22.315714108417858</v>
      </c>
      <c r="F110" s="147" cm="1">
        <f t="array" ref="F110">INDEX($E$5:$AH$16,$C110,F$68) * INDEX($C$57:$AF$60,$B110,F$68)</f>
        <v>22.315714108417858</v>
      </c>
      <c r="G110" s="147" cm="1">
        <f t="array" ref="G110">INDEX($E$5:$AH$16,$C110,G$68) * INDEX($C$57:$AF$60,$B110,G$68)</f>
        <v>22.315714108417858</v>
      </c>
      <c r="H110" s="147" cm="1">
        <f t="array" ref="H110">INDEX($E$5:$AH$16,$C110,H$68) * INDEX($C$57:$AF$60,$B110,H$68)</f>
        <v>22.315714108417858</v>
      </c>
      <c r="I110" s="147" cm="1">
        <f t="array" ref="I110">INDEX($E$5:$AH$16,$C110,I$68) * INDEX($C$57:$AF$60,$B110,I$68)</f>
        <v>22.315714108417858</v>
      </c>
      <c r="J110" s="147" cm="1">
        <f t="array" ref="J110">INDEX($E$5:$AH$16,$C110,J$68) * INDEX($C$57:$AF$60,$B110,J$68)</f>
        <v>22.315714108417858</v>
      </c>
      <c r="K110" s="147" cm="1">
        <f t="array" ref="K110">INDEX($E$5:$AH$16,$C110,K$68) * INDEX($C$57:$AF$60,$B110,K$68)</f>
        <v>22.315714108417858</v>
      </c>
      <c r="L110" s="147" cm="1">
        <f t="array" ref="L110">INDEX($E$5:$AH$16,$C110,L$68) * INDEX($C$57:$AF$60,$B110,L$68)</f>
        <v>22.315714108417858</v>
      </c>
      <c r="M110" s="147" cm="1">
        <f t="array" ref="M110">INDEX($E$5:$AH$16,$C110,M$68) * INDEX($C$57:$AF$60,$B110,M$68)</f>
        <v>22.315714108417858</v>
      </c>
      <c r="N110" s="147" cm="1">
        <f t="array" ref="N110">INDEX($E$5:$AH$16,$C110,N$68) * INDEX($C$57:$AF$60,$B110,N$68)</f>
        <v>22.315714108417858</v>
      </c>
      <c r="O110" s="147" cm="1">
        <f t="array" ref="O110">INDEX($E$5:$AH$16,$C110,O$68) * INDEX($C$57:$AF$60,$B110,O$68)</f>
        <v>22.315714108417858</v>
      </c>
      <c r="P110" s="147" cm="1">
        <f t="array" ref="P110">INDEX($E$5:$AH$16,$C110,P$68) * INDEX($C$57:$AF$60,$B110,P$68)</f>
        <v>22.315714108417858</v>
      </c>
      <c r="Q110" s="147" cm="1">
        <f t="array" ref="Q110">INDEX($E$5:$AH$16,$C110,Q$68) * INDEX($C$57:$AF$60,$B110,Q$68)</f>
        <v>22.315714108417858</v>
      </c>
      <c r="R110" s="147" cm="1">
        <f t="array" ref="R110">INDEX($E$5:$AH$16,$C110,R$68) * INDEX($C$57:$AF$60,$B110,R$68)</f>
        <v>22.315714108417858</v>
      </c>
      <c r="S110" s="147" cm="1">
        <f t="array" ref="S110">INDEX($E$5:$AH$16,$C110,S$68) * INDEX($C$57:$AF$60,$B110,S$68)</f>
        <v>22.315714108417858</v>
      </c>
      <c r="T110" s="147" cm="1">
        <f t="array" ref="T110">INDEX($E$5:$AH$16,$C110,T$68) * INDEX($C$57:$AF$60,$B110,T$68)</f>
        <v>31.241999751784999</v>
      </c>
      <c r="U110" s="147" cm="1">
        <f t="array" ref="U110">INDEX($E$5:$AH$16,$C110,U$68) * INDEX($C$57:$AF$60,$B110,U$68)</f>
        <v>31.241999751784999</v>
      </c>
      <c r="V110" s="147" cm="1">
        <f t="array" ref="V110">INDEX($E$5:$AH$16,$C110,V$68) * INDEX($C$57:$AF$60,$B110,V$68)</f>
        <v>31.241999751784999</v>
      </c>
      <c r="W110" s="147" cm="1">
        <f t="array" ref="W110">INDEX($E$5:$AH$16,$C110,W$68) * INDEX($C$57:$AF$60,$B110,W$68)</f>
        <v>31.241999751784999</v>
      </c>
      <c r="X110" s="147" cm="1">
        <f t="array" ref="X110">INDEX($E$5:$AH$16,$C110,X$68) * INDEX($C$57:$AF$60,$B110,X$68)</f>
        <v>31.241999751784999</v>
      </c>
      <c r="Y110" s="147" cm="1">
        <f t="array" ref="Y110">INDEX($E$5:$AH$16,$C110,Y$68) * INDEX($C$57:$AF$60,$B110,Y$68)</f>
        <v>31.241999751784999</v>
      </c>
      <c r="Z110" s="147" cm="1">
        <f t="array" ref="Z110">INDEX($E$5:$AH$16,$C110,Z$68) * INDEX($C$57:$AF$60,$B110,Z$68)</f>
        <v>31.241999751784999</v>
      </c>
      <c r="AA110" s="147" cm="1">
        <f t="array" ref="AA110">INDEX($E$5:$AH$16,$C110,AA$68) * INDEX($C$57:$AF$60,$B110,AA$68)</f>
        <v>31.241999751784999</v>
      </c>
      <c r="AB110" s="147" cm="1">
        <f t="array" ref="AB110">INDEX($E$5:$AH$16,$C110,AB$68) * INDEX($C$57:$AF$60,$B110,AB$68)</f>
        <v>31.241999751784999</v>
      </c>
      <c r="AC110" s="147" cm="1">
        <f t="array" ref="AC110">INDEX($E$5:$AH$16,$C110,AC$68) * INDEX($C$57:$AF$60,$B110,AC$68)</f>
        <v>31.241999751784999</v>
      </c>
      <c r="AD110" s="147" cm="1">
        <f t="array" ref="AD110">INDEX($E$5:$AH$16,$C110,AD$68) * INDEX($C$57:$AF$60,$B110,AD$68)</f>
        <v>31.241999751784999</v>
      </c>
      <c r="AE110" s="147" cm="1">
        <f t="array" ref="AE110">INDEX($E$5:$AH$16,$C110,AE$68) * INDEX($C$57:$AF$60,$B110,AE$68)</f>
        <v>31.241999751784999</v>
      </c>
      <c r="AF110" s="147" cm="1">
        <f t="array" ref="AF110">INDEX($E$5:$AH$16,$C110,AF$68) * INDEX($C$57:$AF$60,$B110,AF$68)</f>
        <v>31.241999751784999</v>
      </c>
      <c r="AG110" s="147" cm="1">
        <f t="array" ref="AG110">INDEX($E$5:$AH$16,$C110,AG$68) * INDEX($C$57:$AF$60,$B110,AG$68)</f>
        <v>31.241999751784999</v>
      </c>
      <c r="AH110" s="147" cm="1">
        <f t="array" ref="AH110">INDEX($E$5:$AH$16,$C110,AH$68) * INDEX($C$57:$AF$60,$B110,AH$68)</f>
        <v>31.241999751784999</v>
      </c>
    </row>
    <row r="111" spans="2:34">
      <c r="B111" s="149">
        <v>4</v>
      </c>
      <c r="C111" s="149">
        <v>6</v>
      </c>
      <c r="D111" s="267" t="str">
        <v>Veículos Comerciais com 5 Eixos Articulado</v>
      </c>
      <c r="E111" s="147" cm="1">
        <f t="array" ref="E111">INDEX($E$5:$AH$16,$C111,E$68) * INDEX($C$57:$AF$60,$B111,E$68)</f>
        <v>27.894642635522324</v>
      </c>
      <c r="F111" s="147" cm="1">
        <f t="array" ref="F111">INDEX($E$5:$AH$16,$C111,F$68) * INDEX($C$57:$AF$60,$B111,F$68)</f>
        <v>27.894642635522324</v>
      </c>
      <c r="G111" s="147" cm="1">
        <f t="array" ref="G111">INDEX($E$5:$AH$16,$C111,G$68) * INDEX($C$57:$AF$60,$B111,G$68)</f>
        <v>27.894642635522324</v>
      </c>
      <c r="H111" s="147" cm="1">
        <f t="array" ref="H111">INDEX($E$5:$AH$16,$C111,H$68) * INDEX($C$57:$AF$60,$B111,H$68)</f>
        <v>27.894642635522324</v>
      </c>
      <c r="I111" s="147" cm="1">
        <f t="array" ref="I111">INDEX($E$5:$AH$16,$C111,I$68) * INDEX($C$57:$AF$60,$B111,I$68)</f>
        <v>27.894642635522324</v>
      </c>
      <c r="J111" s="147" cm="1">
        <f t="array" ref="J111">INDEX($E$5:$AH$16,$C111,J$68) * INDEX($C$57:$AF$60,$B111,J$68)</f>
        <v>27.894642635522324</v>
      </c>
      <c r="K111" s="147" cm="1">
        <f t="array" ref="K111">INDEX($E$5:$AH$16,$C111,K$68) * INDEX($C$57:$AF$60,$B111,K$68)</f>
        <v>27.894642635522324</v>
      </c>
      <c r="L111" s="147" cm="1">
        <f t="array" ref="L111">INDEX($E$5:$AH$16,$C111,L$68) * INDEX($C$57:$AF$60,$B111,L$68)</f>
        <v>27.894642635522324</v>
      </c>
      <c r="M111" s="147" cm="1">
        <f t="array" ref="M111">INDEX($E$5:$AH$16,$C111,M$68) * INDEX($C$57:$AF$60,$B111,M$68)</f>
        <v>27.894642635522324</v>
      </c>
      <c r="N111" s="147" cm="1">
        <f t="array" ref="N111">INDEX($E$5:$AH$16,$C111,N$68) * INDEX($C$57:$AF$60,$B111,N$68)</f>
        <v>27.894642635522324</v>
      </c>
      <c r="O111" s="147" cm="1">
        <f t="array" ref="O111">INDEX($E$5:$AH$16,$C111,O$68) * INDEX($C$57:$AF$60,$B111,O$68)</f>
        <v>27.894642635522324</v>
      </c>
      <c r="P111" s="147" cm="1">
        <f t="array" ref="P111">INDEX($E$5:$AH$16,$C111,P$68) * INDEX($C$57:$AF$60,$B111,P$68)</f>
        <v>27.894642635522324</v>
      </c>
      <c r="Q111" s="147" cm="1">
        <f t="array" ref="Q111">INDEX($E$5:$AH$16,$C111,Q$68) * INDEX($C$57:$AF$60,$B111,Q$68)</f>
        <v>27.894642635522324</v>
      </c>
      <c r="R111" s="147" cm="1">
        <f t="array" ref="R111">INDEX($E$5:$AH$16,$C111,R$68) * INDEX($C$57:$AF$60,$B111,R$68)</f>
        <v>27.894642635522324</v>
      </c>
      <c r="S111" s="147" cm="1">
        <f t="array" ref="S111">INDEX($E$5:$AH$16,$C111,S$68) * INDEX($C$57:$AF$60,$B111,S$68)</f>
        <v>27.894642635522324</v>
      </c>
      <c r="T111" s="147" cm="1">
        <f t="array" ref="T111">INDEX($E$5:$AH$16,$C111,T$68) * INDEX($C$57:$AF$60,$B111,T$68)</f>
        <v>39.052499689731249</v>
      </c>
      <c r="U111" s="147" cm="1">
        <f t="array" ref="U111">INDEX($E$5:$AH$16,$C111,U$68) * INDEX($C$57:$AF$60,$B111,U$68)</f>
        <v>39.052499689731249</v>
      </c>
      <c r="V111" s="147" cm="1">
        <f t="array" ref="V111">INDEX($E$5:$AH$16,$C111,V$68) * INDEX($C$57:$AF$60,$B111,V$68)</f>
        <v>39.052499689731249</v>
      </c>
      <c r="W111" s="147" cm="1">
        <f t="array" ref="W111">INDEX($E$5:$AH$16,$C111,W$68) * INDEX($C$57:$AF$60,$B111,W$68)</f>
        <v>39.052499689731249</v>
      </c>
      <c r="X111" s="147" cm="1">
        <f t="array" ref="X111">INDEX($E$5:$AH$16,$C111,X$68) * INDEX($C$57:$AF$60,$B111,X$68)</f>
        <v>39.052499689731249</v>
      </c>
      <c r="Y111" s="147" cm="1">
        <f t="array" ref="Y111">INDEX($E$5:$AH$16,$C111,Y$68) * INDEX($C$57:$AF$60,$B111,Y$68)</f>
        <v>39.052499689731249</v>
      </c>
      <c r="Z111" s="147" cm="1">
        <f t="array" ref="Z111">INDEX($E$5:$AH$16,$C111,Z$68) * INDEX($C$57:$AF$60,$B111,Z$68)</f>
        <v>39.052499689731249</v>
      </c>
      <c r="AA111" s="147" cm="1">
        <f t="array" ref="AA111">INDEX($E$5:$AH$16,$C111,AA$68) * INDEX($C$57:$AF$60,$B111,AA$68)</f>
        <v>39.052499689731249</v>
      </c>
      <c r="AB111" s="147" cm="1">
        <f t="array" ref="AB111">INDEX($E$5:$AH$16,$C111,AB$68) * INDEX($C$57:$AF$60,$B111,AB$68)</f>
        <v>39.052499689731249</v>
      </c>
      <c r="AC111" s="147" cm="1">
        <f t="array" ref="AC111">INDEX($E$5:$AH$16,$C111,AC$68) * INDEX($C$57:$AF$60,$B111,AC$68)</f>
        <v>39.052499689731249</v>
      </c>
      <c r="AD111" s="147" cm="1">
        <f t="array" ref="AD111">INDEX($E$5:$AH$16,$C111,AD$68) * INDEX($C$57:$AF$60,$B111,AD$68)</f>
        <v>39.052499689731249</v>
      </c>
      <c r="AE111" s="147" cm="1">
        <f t="array" ref="AE111">INDEX($E$5:$AH$16,$C111,AE$68) * INDEX($C$57:$AF$60,$B111,AE$68)</f>
        <v>39.052499689731249</v>
      </c>
      <c r="AF111" s="147" cm="1">
        <f t="array" ref="AF111">INDEX($E$5:$AH$16,$C111,AF$68) * INDEX($C$57:$AF$60,$B111,AF$68)</f>
        <v>39.052499689731249</v>
      </c>
      <c r="AG111" s="147" cm="1">
        <f t="array" ref="AG111">INDEX($E$5:$AH$16,$C111,AG$68) * INDEX($C$57:$AF$60,$B111,AG$68)</f>
        <v>39.052499689731249</v>
      </c>
      <c r="AH111" s="147" cm="1">
        <f t="array" ref="AH111">INDEX($E$5:$AH$16,$C111,AH$68) * INDEX($C$57:$AF$60,$B111,AH$68)</f>
        <v>39.052499689731249</v>
      </c>
    </row>
    <row r="112" spans="2:34">
      <c r="B112" s="149">
        <v>4</v>
      </c>
      <c r="C112" s="149">
        <v>7</v>
      </c>
      <c r="D112" s="267" t="str">
        <v>Veículos Comerciais com 6 Eixos Articulado</v>
      </c>
      <c r="E112" s="147" cm="1">
        <f t="array" ref="E112">INDEX($E$5:$AH$16,$C112,E$68) * INDEX($C$57:$AF$60,$B112,E$68)</f>
        <v>33.473571162626783</v>
      </c>
      <c r="F112" s="147" cm="1">
        <f t="array" ref="F112">INDEX($E$5:$AH$16,$C112,F$68) * INDEX($C$57:$AF$60,$B112,F$68)</f>
        <v>33.473571162626783</v>
      </c>
      <c r="G112" s="147" cm="1">
        <f t="array" ref="G112">INDEX($E$5:$AH$16,$C112,G$68) * INDEX($C$57:$AF$60,$B112,G$68)</f>
        <v>33.473571162626783</v>
      </c>
      <c r="H112" s="147" cm="1">
        <f t="array" ref="H112">INDEX($E$5:$AH$16,$C112,H$68) * INDEX($C$57:$AF$60,$B112,H$68)</f>
        <v>33.473571162626783</v>
      </c>
      <c r="I112" s="147" cm="1">
        <f t="array" ref="I112">INDEX($E$5:$AH$16,$C112,I$68) * INDEX($C$57:$AF$60,$B112,I$68)</f>
        <v>33.473571162626783</v>
      </c>
      <c r="J112" s="147" cm="1">
        <f t="array" ref="J112">INDEX($E$5:$AH$16,$C112,J$68) * INDEX($C$57:$AF$60,$B112,J$68)</f>
        <v>33.473571162626783</v>
      </c>
      <c r="K112" s="147" cm="1">
        <f t="array" ref="K112">INDEX($E$5:$AH$16,$C112,K$68) * INDEX($C$57:$AF$60,$B112,K$68)</f>
        <v>33.473571162626783</v>
      </c>
      <c r="L112" s="147" cm="1">
        <f t="array" ref="L112">INDEX($E$5:$AH$16,$C112,L$68) * INDEX($C$57:$AF$60,$B112,L$68)</f>
        <v>33.473571162626783</v>
      </c>
      <c r="M112" s="147" cm="1">
        <f t="array" ref="M112">INDEX($E$5:$AH$16,$C112,M$68) * INDEX($C$57:$AF$60,$B112,M$68)</f>
        <v>33.473571162626783</v>
      </c>
      <c r="N112" s="147" cm="1">
        <f t="array" ref="N112">INDEX($E$5:$AH$16,$C112,N$68) * INDEX($C$57:$AF$60,$B112,N$68)</f>
        <v>33.473571162626783</v>
      </c>
      <c r="O112" s="147" cm="1">
        <f t="array" ref="O112">INDEX($E$5:$AH$16,$C112,O$68) * INDEX($C$57:$AF$60,$B112,O$68)</f>
        <v>33.473571162626783</v>
      </c>
      <c r="P112" s="147" cm="1">
        <f t="array" ref="P112">INDEX($E$5:$AH$16,$C112,P$68) * INDEX($C$57:$AF$60,$B112,P$68)</f>
        <v>33.473571162626783</v>
      </c>
      <c r="Q112" s="147" cm="1">
        <f t="array" ref="Q112">INDEX($E$5:$AH$16,$C112,Q$68) * INDEX($C$57:$AF$60,$B112,Q$68)</f>
        <v>33.473571162626783</v>
      </c>
      <c r="R112" s="147" cm="1">
        <f t="array" ref="R112">INDEX($E$5:$AH$16,$C112,R$68) * INDEX($C$57:$AF$60,$B112,R$68)</f>
        <v>33.473571162626783</v>
      </c>
      <c r="S112" s="147" cm="1">
        <f t="array" ref="S112">INDEX($E$5:$AH$16,$C112,S$68) * INDEX($C$57:$AF$60,$B112,S$68)</f>
        <v>33.473571162626783</v>
      </c>
      <c r="T112" s="147" cm="1">
        <f t="array" ref="T112">INDEX($E$5:$AH$16,$C112,T$68) * INDEX($C$57:$AF$60,$B112,T$68)</f>
        <v>46.862999627677496</v>
      </c>
      <c r="U112" s="147" cm="1">
        <f t="array" ref="U112">INDEX($E$5:$AH$16,$C112,U$68) * INDEX($C$57:$AF$60,$B112,U$68)</f>
        <v>46.862999627677496</v>
      </c>
      <c r="V112" s="147" cm="1">
        <f t="array" ref="V112">INDEX($E$5:$AH$16,$C112,V$68) * INDEX($C$57:$AF$60,$B112,V$68)</f>
        <v>46.862999627677496</v>
      </c>
      <c r="W112" s="147" cm="1">
        <f t="array" ref="W112">INDEX($E$5:$AH$16,$C112,W$68) * INDEX($C$57:$AF$60,$B112,W$68)</f>
        <v>46.862999627677496</v>
      </c>
      <c r="X112" s="147" cm="1">
        <f t="array" ref="X112">INDEX($E$5:$AH$16,$C112,X$68) * INDEX($C$57:$AF$60,$B112,X$68)</f>
        <v>46.862999627677496</v>
      </c>
      <c r="Y112" s="147" cm="1">
        <f t="array" ref="Y112">INDEX($E$5:$AH$16,$C112,Y$68) * INDEX($C$57:$AF$60,$B112,Y$68)</f>
        <v>46.862999627677496</v>
      </c>
      <c r="Z112" s="147" cm="1">
        <f t="array" ref="Z112">INDEX($E$5:$AH$16,$C112,Z$68) * INDEX($C$57:$AF$60,$B112,Z$68)</f>
        <v>46.862999627677496</v>
      </c>
      <c r="AA112" s="147" cm="1">
        <f t="array" ref="AA112">INDEX($E$5:$AH$16,$C112,AA$68) * INDEX($C$57:$AF$60,$B112,AA$68)</f>
        <v>46.862999627677496</v>
      </c>
      <c r="AB112" s="147" cm="1">
        <f t="array" ref="AB112">INDEX($E$5:$AH$16,$C112,AB$68) * INDEX($C$57:$AF$60,$B112,AB$68)</f>
        <v>46.862999627677496</v>
      </c>
      <c r="AC112" s="147" cm="1">
        <f t="array" ref="AC112">INDEX($E$5:$AH$16,$C112,AC$68) * INDEX($C$57:$AF$60,$B112,AC$68)</f>
        <v>46.862999627677496</v>
      </c>
      <c r="AD112" s="147" cm="1">
        <f t="array" ref="AD112">INDEX($E$5:$AH$16,$C112,AD$68) * INDEX($C$57:$AF$60,$B112,AD$68)</f>
        <v>46.862999627677496</v>
      </c>
      <c r="AE112" s="147" cm="1">
        <f t="array" ref="AE112">INDEX($E$5:$AH$16,$C112,AE$68) * INDEX($C$57:$AF$60,$B112,AE$68)</f>
        <v>46.862999627677496</v>
      </c>
      <c r="AF112" s="147" cm="1">
        <f t="array" ref="AF112">INDEX($E$5:$AH$16,$C112,AF$68) * INDEX($C$57:$AF$60,$B112,AF$68)</f>
        <v>46.862999627677496</v>
      </c>
      <c r="AG112" s="147" cm="1">
        <f t="array" ref="AG112">INDEX($E$5:$AH$16,$C112,AG$68) * INDEX($C$57:$AF$60,$B112,AG$68)</f>
        <v>46.862999627677496</v>
      </c>
      <c r="AH112" s="147" cm="1">
        <f t="array" ref="AH112">INDEX($E$5:$AH$16,$C112,AH$68) * INDEX($C$57:$AF$60,$B112,AH$68)</f>
        <v>46.862999627677496</v>
      </c>
    </row>
    <row r="113" spans="2:34">
      <c r="B113" s="149">
        <v>4</v>
      </c>
      <c r="C113" s="149">
        <v>8</v>
      </c>
      <c r="D113" s="267" t="str">
        <v>Veículos Comerciais com 7 Eixos Articulado</v>
      </c>
      <c r="E113" s="147" cm="1">
        <f t="array" ref="E113">INDEX($E$5:$AH$16,$C113,E$68) * INDEX($C$57:$AF$60,$B113,E$68)</f>
        <v>39.052499689731249</v>
      </c>
      <c r="F113" s="147" cm="1">
        <f t="array" ref="F113">INDEX($E$5:$AH$16,$C113,F$68) * INDEX($C$57:$AF$60,$B113,F$68)</f>
        <v>39.052499689731249</v>
      </c>
      <c r="G113" s="147" cm="1">
        <f t="array" ref="G113">INDEX($E$5:$AH$16,$C113,G$68) * INDEX($C$57:$AF$60,$B113,G$68)</f>
        <v>39.052499689731249</v>
      </c>
      <c r="H113" s="147" cm="1">
        <f t="array" ref="H113">INDEX($E$5:$AH$16,$C113,H$68) * INDEX($C$57:$AF$60,$B113,H$68)</f>
        <v>39.052499689731249</v>
      </c>
      <c r="I113" s="147" cm="1">
        <f t="array" ref="I113">INDEX($E$5:$AH$16,$C113,I$68) * INDEX($C$57:$AF$60,$B113,I$68)</f>
        <v>39.052499689731249</v>
      </c>
      <c r="J113" s="147" cm="1">
        <f t="array" ref="J113">INDEX($E$5:$AH$16,$C113,J$68) * INDEX($C$57:$AF$60,$B113,J$68)</f>
        <v>39.052499689731249</v>
      </c>
      <c r="K113" s="147" cm="1">
        <f t="array" ref="K113">INDEX($E$5:$AH$16,$C113,K$68) * INDEX($C$57:$AF$60,$B113,K$68)</f>
        <v>39.052499689731249</v>
      </c>
      <c r="L113" s="147" cm="1">
        <f t="array" ref="L113">INDEX($E$5:$AH$16,$C113,L$68) * INDEX($C$57:$AF$60,$B113,L$68)</f>
        <v>39.052499689731249</v>
      </c>
      <c r="M113" s="147" cm="1">
        <f t="array" ref="M113">INDEX($E$5:$AH$16,$C113,M$68) * INDEX($C$57:$AF$60,$B113,M$68)</f>
        <v>39.052499689731249</v>
      </c>
      <c r="N113" s="147" cm="1">
        <f t="array" ref="N113">INDEX($E$5:$AH$16,$C113,N$68) * INDEX($C$57:$AF$60,$B113,N$68)</f>
        <v>39.052499689731249</v>
      </c>
      <c r="O113" s="147" cm="1">
        <f t="array" ref="O113">INDEX($E$5:$AH$16,$C113,O$68) * INDEX($C$57:$AF$60,$B113,O$68)</f>
        <v>39.052499689731249</v>
      </c>
      <c r="P113" s="147" cm="1">
        <f t="array" ref="P113">INDEX($E$5:$AH$16,$C113,P$68) * INDEX($C$57:$AF$60,$B113,P$68)</f>
        <v>39.052499689731249</v>
      </c>
      <c r="Q113" s="147" cm="1">
        <f t="array" ref="Q113">INDEX($E$5:$AH$16,$C113,Q$68) * INDEX($C$57:$AF$60,$B113,Q$68)</f>
        <v>39.052499689731249</v>
      </c>
      <c r="R113" s="147" cm="1">
        <f t="array" ref="R113">INDEX($E$5:$AH$16,$C113,R$68) * INDEX($C$57:$AF$60,$B113,R$68)</f>
        <v>39.052499689731249</v>
      </c>
      <c r="S113" s="147" cm="1">
        <f t="array" ref="S113">INDEX($E$5:$AH$16,$C113,S$68) * INDEX($C$57:$AF$60,$B113,S$68)</f>
        <v>39.052499689731249</v>
      </c>
      <c r="T113" s="147" cm="1">
        <f t="array" ref="T113">INDEX($E$5:$AH$16,$C113,T$68) * INDEX($C$57:$AF$60,$B113,T$68)</f>
        <v>54.67349956562375</v>
      </c>
      <c r="U113" s="147" cm="1">
        <f t="array" ref="U113">INDEX($E$5:$AH$16,$C113,U$68) * INDEX($C$57:$AF$60,$B113,U$68)</f>
        <v>54.67349956562375</v>
      </c>
      <c r="V113" s="147" cm="1">
        <f t="array" ref="V113">INDEX($E$5:$AH$16,$C113,V$68) * INDEX($C$57:$AF$60,$B113,V$68)</f>
        <v>54.67349956562375</v>
      </c>
      <c r="W113" s="147" cm="1">
        <f t="array" ref="W113">INDEX($E$5:$AH$16,$C113,W$68) * INDEX($C$57:$AF$60,$B113,W$68)</f>
        <v>54.67349956562375</v>
      </c>
      <c r="X113" s="147" cm="1">
        <f t="array" ref="X113">INDEX($E$5:$AH$16,$C113,X$68) * INDEX($C$57:$AF$60,$B113,X$68)</f>
        <v>54.67349956562375</v>
      </c>
      <c r="Y113" s="147" cm="1">
        <f t="array" ref="Y113">INDEX($E$5:$AH$16,$C113,Y$68) * INDEX($C$57:$AF$60,$B113,Y$68)</f>
        <v>54.67349956562375</v>
      </c>
      <c r="Z113" s="147" cm="1">
        <f t="array" ref="Z113">INDEX($E$5:$AH$16,$C113,Z$68) * INDEX($C$57:$AF$60,$B113,Z$68)</f>
        <v>54.67349956562375</v>
      </c>
      <c r="AA113" s="147" cm="1">
        <f t="array" ref="AA113">INDEX($E$5:$AH$16,$C113,AA$68) * INDEX($C$57:$AF$60,$B113,AA$68)</f>
        <v>54.67349956562375</v>
      </c>
      <c r="AB113" s="147" cm="1">
        <f t="array" ref="AB113">INDEX($E$5:$AH$16,$C113,AB$68) * INDEX($C$57:$AF$60,$B113,AB$68)</f>
        <v>54.67349956562375</v>
      </c>
      <c r="AC113" s="147" cm="1">
        <f t="array" ref="AC113">INDEX($E$5:$AH$16,$C113,AC$68) * INDEX($C$57:$AF$60,$B113,AC$68)</f>
        <v>54.67349956562375</v>
      </c>
      <c r="AD113" s="147" cm="1">
        <f t="array" ref="AD113">INDEX($E$5:$AH$16,$C113,AD$68) * INDEX($C$57:$AF$60,$B113,AD$68)</f>
        <v>54.67349956562375</v>
      </c>
      <c r="AE113" s="147" cm="1">
        <f t="array" ref="AE113">INDEX($E$5:$AH$16,$C113,AE$68) * INDEX($C$57:$AF$60,$B113,AE$68)</f>
        <v>54.67349956562375</v>
      </c>
      <c r="AF113" s="147" cm="1">
        <f t="array" ref="AF113">INDEX($E$5:$AH$16,$C113,AF$68) * INDEX($C$57:$AF$60,$B113,AF$68)</f>
        <v>54.67349956562375</v>
      </c>
      <c r="AG113" s="147" cm="1">
        <f t="array" ref="AG113">INDEX($E$5:$AH$16,$C113,AG$68) * INDEX($C$57:$AF$60,$B113,AG$68)</f>
        <v>54.67349956562375</v>
      </c>
      <c r="AH113" s="147" cm="1">
        <f t="array" ref="AH113">INDEX($E$5:$AH$16,$C113,AH$68) * INDEX($C$57:$AF$60,$B113,AH$68)</f>
        <v>54.67349956562375</v>
      </c>
    </row>
    <row r="114" spans="2:34">
      <c r="B114" s="149">
        <v>4</v>
      </c>
      <c r="C114" s="149">
        <v>9</v>
      </c>
      <c r="D114" s="267" t="str">
        <v>Veículos Comerciais com 8 Eixos Articulado</v>
      </c>
      <c r="E114" s="147" cm="1">
        <f t="array" ref="E114">INDEX($E$5:$AH$16,$C114,E$68) * INDEX($C$57:$AF$60,$B114,E$68)</f>
        <v>44.631428216835715</v>
      </c>
      <c r="F114" s="147" cm="1">
        <f t="array" ref="F114">INDEX($E$5:$AH$16,$C114,F$68) * INDEX($C$57:$AF$60,$B114,F$68)</f>
        <v>44.631428216835715</v>
      </c>
      <c r="G114" s="147" cm="1">
        <f t="array" ref="G114">INDEX($E$5:$AH$16,$C114,G$68) * INDEX($C$57:$AF$60,$B114,G$68)</f>
        <v>44.631428216835715</v>
      </c>
      <c r="H114" s="147" cm="1">
        <f t="array" ref="H114">INDEX($E$5:$AH$16,$C114,H$68) * INDEX($C$57:$AF$60,$B114,H$68)</f>
        <v>44.631428216835715</v>
      </c>
      <c r="I114" s="147" cm="1">
        <f t="array" ref="I114">INDEX($E$5:$AH$16,$C114,I$68) * INDEX($C$57:$AF$60,$B114,I$68)</f>
        <v>44.631428216835715</v>
      </c>
      <c r="J114" s="147" cm="1">
        <f t="array" ref="J114">INDEX($E$5:$AH$16,$C114,J$68) * INDEX($C$57:$AF$60,$B114,J$68)</f>
        <v>44.631428216835715</v>
      </c>
      <c r="K114" s="147" cm="1">
        <f t="array" ref="K114">INDEX($E$5:$AH$16,$C114,K$68) * INDEX($C$57:$AF$60,$B114,K$68)</f>
        <v>44.631428216835715</v>
      </c>
      <c r="L114" s="147" cm="1">
        <f t="array" ref="L114">INDEX($E$5:$AH$16,$C114,L$68) * INDEX($C$57:$AF$60,$B114,L$68)</f>
        <v>44.631428216835715</v>
      </c>
      <c r="M114" s="147" cm="1">
        <f t="array" ref="M114">INDEX($E$5:$AH$16,$C114,M$68) * INDEX($C$57:$AF$60,$B114,M$68)</f>
        <v>44.631428216835715</v>
      </c>
      <c r="N114" s="147" cm="1">
        <f t="array" ref="N114">INDEX($E$5:$AH$16,$C114,N$68) * INDEX($C$57:$AF$60,$B114,N$68)</f>
        <v>44.631428216835715</v>
      </c>
      <c r="O114" s="147" cm="1">
        <f t="array" ref="O114">INDEX($E$5:$AH$16,$C114,O$68) * INDEX($C$57:$AF$60,$B114,O$68)</f>
        <v>44.631428216835715</v>
      </c>
      <c r="P114" s="147" cm="1">
        <f t="array" ref="P114">INDEX($E$5:$AH$16,$C114,P$68) * INDEX($C$57:$AF$60,$B114,P$68)</f>
        <v>44.631428216835715</v>
      </c>
      <c r="Q114" s="147" cm="1">
        <f t="array" ref="Q114">INDEX($E$5:$AH$16,$C114,Q$68) * INDEX($C$57:$AF$60,$B114,Q$68)</f>
        <v>44.631428216835715</v>
      </c>
      <c r="R114" s="147" cm="1">
        <f t="array" ref="R114">INDEX($E$5:$AH$16,$C114,R$68) * INDEX($C$57:$AF$60,$B114,R$68)</f>
        <v>44.631428216835715</v>
      </c>
      <c r="S114" s="147" cm="1">
        <f t="array" ref="S114">INDEX($E$5:$AH$16,$C114,S$68) * INDEX($C$57:$AF$60,$B114,S$68)</f>
        <v>44.631428216835715</v>
      </c>
      <c r="T114" s="147" cm="1">
        <f t="array" ref="T114">INDEX($E$5:$AH$16,$C114,T$68) * INDEX($C$57:$AF$60,$B114,T$68)</f>
        <v>62.483999503569997</v>
      </c>
      <c r="U114" s="147" cm="1">
        <f t="array" ref="U114">INDEX($E$5:$AH$16,$C114,U$68) * INDEX($C$57:$AF$60,$B114,U$68)</f>
        <v>62.483999503569997</v>
      </c>
      <c r="V114" s="147" cm="1">
        <f t="array" ref="V114">INDEX($E$5:$AH$16,$C114,V$68) * INDEX($C$57:$AF$60,$B114,V$68)</f>
        <v>62.483999503569997</v>
      </c>
      <c r="W114" s="147" cm="1">
        <f t="array" ref="W114">INDEX($E$5:$AH$16,$C114,W$68) * INDEX($C$57:$AF$60,$B114,W$68)</f>
        <v>62.483999503569997</v>
      </c>
      <c r="X114" s="147" cm="1">
        <f t="array" ref="X114">INDEX($E$5:$AH$16,$C114,X$68) * INDEX($C$57:$AF$60,$B114,X$68)</f>
        <v>62.483999503569997</v>
      </c>
      <c r="Y114" s="147" cm="1">
        <f t="array" ref="Y114">INDEX($E$5:$AH$16,$C114,Y$68) * INDEX($C$57:$AF$60,$B114,Y$68)</f>
        <v>62.483999503569997</v>
      </c>
      <c r="Z114" s="147" cm="1">
        <f t="array" ref="Z114">INDEX($E$5:$AH$16,$C114,Z$68) * INDEX($C$57:$AF$60,$B114,Z$68)</f>
        <v>62.483999503569997</v>
      </c>
      <c r="AA114" s="147" cm="1">
        <f t="array" ref="AA114">INDEX($E$5:$AH$16,$C114,AA$68) * INDEX($C$57:$AF$60,$B114,AA$68)</f>
        <v>62.483999503569997</v>
      </c>
      <c r="AB114" s="147" cm="1">
        <f t="array" ref="AB114">INDEX($E$5:$AH$16,$C114,AB$68) * INDEX($C$57:$AF$60,$B114,AB$68)</f>
        <v>62.483999503569997</v>
      </c>
      <c r="AC114" s="147" cm="1">
        <f t="array" ref="AC114">INDEX($E$5:$AH$16,$C114,AC$68) * INDEX($C$57:$AF$60,$B114,AC$68)</f>
        <v>62.483999503569997</v>
      </c>
      <c r="AD114" s="147" cm="1">
        <f t="array" ref="AD114">INDEX($E$5:$AH$16,$C114,AD$68) * INDEX($C$57:$AF$60,$B114,AD$68)</f>
        <v>62.483999503569997</v>
      </c>
      <c r="AE114" s="147" cm="1">
        <f t="array" ref="AE114">INDEX($E$5:$AH$16,$C114,AE$68) * INDEX($C$57:$AF$60,$B114,AE$68)</f>
        <v>62.483999503569997</v>
      </c>
      <c r="AF114" s="147" cm="1">
        <f t="array" ref="AF114">INDEX($E$5:$AH$16,$C114,AF$68) * INDEX($C$57:$AF$60,$B114,AF$68)</f>
        <v>62.483999503569997</v>
      </c>
      <c r="AG114" s="147" cm="1">
        <f t="array" ref="AG114">INDEX($E$5:$AH$16,$C114,AG$68) * INDEX($C$57:$AF$60,$B114,AG$68)</f>
        <v>62.483999503569997</v>
      </c>
      <c r="AH114" s="147" cm="1">
        <f t="array" ref="AH114">INDEX($E$5:$AH$16,$C114,AH$68) * INDEX($C$57:$AF$60,$B114,AH$68)</f>
        <v>62.483999503569997</v>
      </c>
    </row>
    <row r="115" spans="2:34">
      <c r="B115" s="149">
        <v>4</v>
      </c>
      <c r="C115" s="149">
        <v>10</v>
      </c>
      <c r="D115" s="267" t="str">
        <v>Veículos Comerciais com 9 Eixos Articulado</v>
      </c>
      <c r="E115" s="147" cm="1">
        <f t="array" ref="E115">INDEX($E$5:$AH$16,$C115,E$68) * INDEX($C$57:$AF$60,$B115,E$68)</f>
        <v>50.210356743940181</v>
      </c>
      <c r="F115" s="147" cm="1">
        <f t="array" ref="F115">INDEX($E$5:$AH$16,$C115,F$68) * INDEX($C$57:$AF$60,$B115,F$68)</f>
        <v>50.210356743940181</v>
      </c>
      <c r="G115" s="147" cm="1">
        <f t="array" ref="G115">INDEX($E$5:$AH$16,$C115,G$68) * INDEX($C$57:$AF$60,$B115,G$68)</f>
        <v>50.210356743940181</v>
      </c>
      <c r="H115" s="147" cm="1">
        <f t="array" ref="H115">INDEX($E$5:$AH$16,$C115,H$68) * INDEX($C$57:$AF$60,$B115,H$68)</f>
        <v>50.210356743940181</v>
      </c>
      <c r="I115" s="147" cm="1">
        <f t="array" ref="I115">INDEX($E$5:$AH$16,$C115,I$68) * INDEX($C$57:$AF$60,$B115,I$68)</f>
        <v>50.210356743940181</v>
      </c>
      <c r="J115" s="147" cm="1">
        <f t="array" ref="J115">INDEX($E$5:$AH$16,$C115,J$68) * INDEX($C$57:$AF$60,$B115,J$68)</f>
        <v>50.210356743940181</v>
      </c>
      <c r="K115" s="147" cm="1">
        <f t="array" ref="K115">INDEX($E$5:$AH$16,$C115,K$68) * INDEX($C$57:$AF$60,$B115,K$68)</f>
        <v>50.210356743940181</v>
      </c>
      <c r="L115" s="147" cm="1">
        <f t="array" ref="L115">INDEX($E$5:$AH$16,$C115,L$68) * INDEX($C$57:$AF$60,$B115,L$68)</f>
        <v>50.210356743940181</v>
      </c>
      <c r="M115" s="147" cm="1">
        <f t="array" ref="M115">INDEX($E$5:$AH$16,$C115,M$68) * INDEX($C$57:$AF$60,$B115,M$68)</f>
        <v>50.210356743940181</v>
      </c>
      <c r="N115" s="147" cm="1">
        <f t="array" ref="N115">INDEX($E$5:$AH$16,$C115,N$68) * INDEX($C$57:$AF$60,$B115,N$68)</f>
        <v>50.210356743940181</v>
      </c>
      <c r="O115" s="147" cm="1">
        <f t="array" ref="O115">INDEX($E$5:$AH$16,$C115,O$68) * INDEX($C$57:$AF$60,$B115,O$68)</f>
        <v>50.210356743940181</v>
      </c>
      <c r="P115" s="147" cm="1">
        <f t="array" ref="P115">INDEX($E$5:$AH$16,$C115,P$68) * INDEX($C$57:$AF$60,$B115,P$68)</f>
        <v>50.210356743940181</v>
      </c>
      <c r="Q115" s="147" cm="1">
        <f t="array" ref="Q115">INDEX($E$5:$AH$16,$C115,Q$68) * INDEX($C$57:$AF$60,$B115,Q$68)</f>
        <v>50.210356743940181</v>
      </c>
      <c r="R115" s="147" cm="1">
        <f t="array" ref="R115">INDEX($E$5:$AH$16,$C115,R$68) * INDEX($C$57:$AF$60,$B115,R$68)</f>
        <v>50.210356743940181</v>
      </c>
      <c r="S115" s="147" cm="1">
        <f t="array" ref="S115">INDEX($E$5:$AH$16,$C115,S$68) * INDEX($C$57:$AF$60,$B115,S$68)</f>
        <v>50.210356743940181</v>
      </c>
      <c r="T115" s="147" cm="1">
        <f t="array" ref="T115">INDEX($E$5:$AH$16,$C115,T$68) * INDEX($C$57:$AF$60,$B115,T$68)</f>
        <v>70.294499441516251</v>
      </c>
      <c r="U115" s="147" cm="1">
        <f t="array" ref="U115">INDEX($E$5:$AH$16,$C115,U$68) * INDEX($C$57:$AF$60,$B115,U$68)</f>
        <v>70.294499441516251</v>
      </c>
      <c r="V115" s="147" cm="1">
        <f t="array" ref="V115">INDEX($E$5:$AH$16,$C115,V$68) * INDEX($C$57:$AF$60,$B115,V$68)</f>
        <v>70.294499441516251</v>
      </c>
      <c r="W115" s="147" cm="1">
        <f t="array" ref="W115">INDEX($E$5:$AH$16,$C115,W$68) * INDEX($C$57:$AF$60,$B115,W$68)</f>
        <v>70.294499441516251</v>
      </c>
      <c r="X115" s="147" cm="1">
        <f t="array" ref="X115">INDEX($E$5:$AH$16,$C115,X$68) * INDEX($C$57:$AF$60,$B115,X$68)</f>
        <v>70.294499441516251</v>
      </c>
      <c r="Y115" s="147" cm="1">
        <f t="array" ref="Y115">INDEX($E$5:$AH$16,$C115,Y$68) * INDEX($C$57:$AF$60,$B115,Y$68)</f>
        <v>70.294499441516251</v>
      </c>
      <c r="Z115" s="147" cm="1">
        <f t="array" ref="Z115">INDEX($E$5:$AH$16,$C115,Z$68) * INDEX($C$57:$AF$60,$B115,Z$68)</f>
        <v>70.294499441516251</v>
      </c>
      <c r="AA115" s="147" cm="1">
        <f t="array" ref="AA115">INDEX($E$5:$AH$16,$C115,AA$68) * INDEX($C$57:$AF$60,$B115,AA$68)</f>
        <v>70.294499441516251</v>
      </c>
      <c r="AB115" s="147" cm="1">
        <f t="array" ref="AB115">INDEX($E$5:$AH$16,$C115,AB$68) * INDEX($C$57:$AF$60,$B115,AB$68)</f>
        <v>70.294499441516251</v>
      </c>
      <c r="AC115" s="147" cm="1">
        <f t="array" ref="AC115">INDEX($E$5:$AH$16,$C115,AC$68) * INDEX($C$57:$AF$60,$B115,AC$68)</f>
        <v>70.294499441516251</v>
      </c>
      <c r="AD115" s="147" cm="1">
        <f t="array" ref="AD115">INDEX($E$5:$AH$16,$C115,AD$68) * INDEX($C$57:$AF$60,$B115,AD$68)</f>
        <v>70.294499441516251</v>
      </c>
      <c r="AE115" s="147" cm="1">
        <f t="array" ref="AE115">INDEX($E$5:$AH$16,$C115,AE$68) * INDEX($C$57:$AF$60,$B115,AE$68)</f>
        <v>70.294499441516251</v>
      </c>
      <c r="AF115" s="147" cm="1">
        <f t="array" ref="AF115">INDEX($E$5:$AH$16,$C115,AF$68) * INDEX($C$57:$AF$60,$B115,AF$68)</f>
        <v>70.294499441516251</v>
      </c>
      <c r="AG115" s="147" cm="1">
        <f t="array" ref="AG115">INDEX($E$5:$AH$16,$C115,AG$68) * INDEX($C$57:$AF$60,$B115,AG$68)</f>
        <v>70.294499441516251</v>
      </c>
      <c r="AH115" s="147" cm="1">
        <f t="array" ref="AH115">INDEX($E$5:$AH$16,$C115,AH$68) * INDEX($C$57:$AF$60,$B115,AH$68)</f>
        <v>70.294499441516251</v>
      </c>
    </row>
    <row r="116" spans="2:34">
      <c r="B116" s="149">
        <v>4</v>
      </c>
      <c r="C116" s="149">
        <v>11</v>
      </c>
      <c r="D116" s="267" t="str">
        <v>Motocicleta</v>
      </c>
      <c r="E116" s="147" cm="1">
        <f t="array" ref="E116">INDEX($E$5:$AH$16,$C116,E$68) * INDEX($C$57:$AF$60,$B116,E$68)</f>
        <v>2.7894642635522322</v>
      </c>
      <c r="F116" s="147" cm="1">
        <f t="array" ref="F116">INDEX($E$5:$AH$16,$C116,F$68) * INDEX($C$57:$AF$60,$B116,F$68)</f>
        <v>2.7894642635522322</v>
      </c>
      <c r="G116" s="147" cm="1">
        <f t="array" ref="G116">INDEX($E$5:$AH$16,$C116,G$68) * INDEX($C$57:$AF$60,$B116,G$68)</f>
        <v>2.7894642635522322</v>
      </c>
      <c r="H116" s="147" cm="1">
        <f t="array" ref="H116">INDEX($E$5:$AH$16,$C116,H$68) * INDEX($C$57:$AF$60,$B116,H$68)</f>
        <v>2.7894642635522322</v>
      </c>
      <c r="I116" s="147" cm="1">
        <f t="array" ref="I116">INDEX($E$5:$AH$16,$C116,I$68) * INDEX($C$57:$AF$60,$B116,I$68)</f>
        <v>2.7894642635522322</v>
      </c>
      <c r="J116" s="147" cm="1">
        <f t="array" ref="J116">INDEX($E$5:$AH$16,$C116,J$68) * INDEX($C$57:$AF$60,$B116,J$68)</f>
        <v>2.7894642635522322</v>
      </c>
      <c r="K116" s="147" cm="1">
        <f t="array" ref="K116">INDEX($E$5:$AH$16,$C116,K$68) * INDEX($C$57:$AF$60,$B116,K$68)</f>
        <v>2.7894642635522322</v>
      </c>
      <c r="L116" s="147" cm="1">
        <f t="array" ref="L116">INDEX($E$5:$AH$16,$C116,L$68) * INDEX($C$57:$AF$60,$B116,L$68)</f>
        <v>2.7894642635522322</v>
      </c>
      <c r="M116" s="147" cm="1">
        <f t="array" ref="M116">INDEX($E$5:$AH$16,$C116,M$68) * INDEX($C$57:$AF$60,$B116,M$68)</f>
        <v>2.7894642635522322</v>
      </c>
      <c r="N116" s="147" cm="1">
        <f t="array" ref="N116">INDEX($E$5:$AH$16,$C116,N$68) * INDEX($C$57:$AF$60,$B116,N$68)</f>
        <v>2.7894642635522322</v>
      </c>
      <c r="O116" s="147" cm="1">
        <f t="array" ref="O116">INDEX($E$5:$AH$16,$C116,O$68) * INDEX($C$57:$AF$60,$B116,O$68)</f>
        <v>2.7894642635522322</v>
      </c>
      <c r="P116" s="147" cm="1">
        <f t="array" ref="P116">INDEX($E$5:$AH$16,$C116,P$68) * INDEX($C$57:$AF$60,$B116,P$68)</f>
        <v>2.7894642635522322</v>
      </c>
      <c r="Q116" s="147" cm="1">
        <f t="array" ref="Q116">INDEX($E$5:$AH$16,$C116,Q$68) * INDEX($C$57:$AF$60,$B116,Q$68)</f>
        <v>2.7894642635522322</v>
      </c>
      <c r="R116" s="147" cm="1">
        <f t="array" ref="R116">INDEX($E$5:$AH$16,$C116,R$68) * INDEX($C$57:$AF$60,$B116,R$68)</f>
        <v>2.7894642635522322</v>
      </c>
      <c r="S116" s="147" cm="1">
        <f t="array" ref="S116">INDEX($E$5:$AH$16,$C116,S$68) * INDEX($C$57:$AF$60,$B116,S$68)</f>
        <v>2.7894642635522322</v>
      </c>
      <c r="T116" s="147" cm="1">
        <f t="array" ref="T116">INDEX($E$5:$AH$16,$C116,T$68) * INDEX($C$57:$AF$60,$B116,T$68)</f>
        <v>3.9052499689731248</v>
      </c>
      <c r="U116" s="147" cm="1">
        <f t="array" ref="U116">INDEX($E$5:$AH$16,$C116,U$68) * INDEX($C$57:$AF$60,$B116,U$68)</f>
        <v>3.9052499689731248</v>
      </c>
      <c r="V116" s="147" cm="1">
        <f t="array" ref="V116">INDEX($E$5:$AH$16,$C116,V$68) * INDEX($C$57:$AF$60,$B116,V$68)</f>
        <v>3.9052499689731248</v>
      </c>
      <c r="W116" s="147" cm="1">
        <f t="array" ref="W116">INDEX($E$5:$AH$16,$C116,W$68) * INDEX($C$57:$AF$60,$B116,W$68)</f>
        <v>3.9052499689731248</v>
      </c>
      <c r="X116" s="147" cm="1">
        <f t="array" ref="X116">INDEX($E$5:$AH$16,$C116,X$68) * INDEX($C$57:$AF$60,$B116,X$68)</f>
        <v>3.9052499689731248</v>
      </c>
      <c r="Y116" s="147" cm="1">
        <f t="array" ref="Y116">INDEX($E$5:$AH$16,$C116,Y$68) * INDEX($C$57:$AF$60,$B116,Y$68)</f>
        <v>3.9052499689731248</v>
      </c>
      <c r="Z116" s="147" cm="1">
        <f t="array" ref="Z116">INDEX($E$5:$AH$16,$C116,Z$68) * INDEX($C$57:$AF$60,$B116,Z$68)</f>
        <v>3.9052499689731248</v>
      </c>
      <c r="AA116" s="147" cm="1">
        <f t="array" ref="AA116">INDEX($E$5:$AH$16,$C116,AA$68) * INDEX($C$57:$AF$60,$B116,AA$68)</f>
        <v>3.9052499689731248</v>
      </c>
      <c r="AB116" s="147" cm="1">
        <f t="array" ref="AB116">INDEX($E$5:$AH$16,$C116,AB$68) * INDEX($C$57:$AF$60,$B116,AB$68)</f>
        <v>3.9052499689731248</v>
      </c>
      <c r="AC116" s="147" cm="1">
        <f t="array" ref="AC116">INDEX($E$5:$AH$16,$C116,AC$68) * INDEX($C$57:$AF$60,$B116,AC$68)</f>
        <v>3.9052499689731248</v>
      </c>
      <c r="AD116" s="147" cm="1">
        <f t="array" ref="AD116">INDEX($E$5:$AH$16,$C116,AD$68) * INDEX($C$57:$AF$60,$B116,AD$68)</f>
        <v>3.9052499689731248</v>
      </c>
      <c r="AE116" s="147" cm="1">
        <f t="array" ref="AE116">INDEX($E$5:$AH$16,$C116,AE$68) * INDEX($C$57:$AF$60,$B116,AE$68)</f>
        <v>3.9052499689731248</v>
      </c>
      <c r="AF116" s="147" cm="1">
        <f t="array" ref="AF116">INDEX($E$5:$AH$16,$C116,AF$68) * INDEX($C$57:$AF$60,$B116,AF$68)</f>
        <v>3.9052499689731248</v>
      </c>
      <c r="AG116" s="147" cm="1">
        <f t="array" ref="AG116">INDEX($E$5:$AH$16,$C116,AG$68) * INDEX($C$57:$AF$60,$B116,AG$68)</f>
        <v>3.9052499689731248</v>
      </c>
      <c r="AH116" s="147" cm="1">
        <f t="array" ref="AH116">INDEX($E$5:$AH$16,$C116,AH$68) * INDEX($C$57:$AF$60,$B116,AH$68)</f>
        <v>3.9052499689731248</v>
      </c>
    </row>
    <row r="117" spans="2:34">
      <c r="B117" s="149">
        <v>4</v>
      </c>
      <c r="C117" s="149">
        <v>12</v>
      </c>
      <c r="D117" s="267" t="str">
        <v xml:space="preserve">Veículos do transporte público coletivo intermunicipal e metropolitano </v>
      </c>
      <c r="E117" s="147" cm="1">
        <f t="array" ref="E117">INDEX($E$5:$AH$16,$C117,E$68) * INDEX($C$57:$AF$60,$B117,E$68)</f>
        <v>0</v>
      </c>
      <c r="F117" s="147" cm="1">
        <f t="array" ref="F117">INDEX($E$5:$AH$16,$C117,F$68) * INDEX($C$57:$AF$60,$B117,F$68)</f>
        <v>0</v>
      </c>
      <c r="G117" s="147" cm="1">
        <f t="array" ref="G117">INDEX($E$5:$AH$16,$C117,G$68) * INDEX($C$57:$AF$60,$B117,G$68)</f>
        <v>0</v>
      </c>
      <c r="H117" s="147" cm="1">
        <f t="array" ref="H117">INDEX($E$5:$AH$16,$C117,H$68) * INDEX($C$57:$AF$60,$B117,H$68)</f>
        <v>0</v>
      </c>
      <c r="I117" s="147" cm="1">
        <f t="array" ref="I117">INDEX($E$5:$AH$16,$C117,I$68) * INDEX($C$57:$AF$60,$B117,I$68)</f>
        <v>0</v>
      </c>
      <c r="J117" s="147" cm="1">
        <f t="array" ref="J117">INDEX($E$5:$AH$16,$C117,J$68) * INDEX($C$57:$AF$60,$B117,J$68)</f>
        <v>0</v>
      </c>
      <c r="K117" s="147" cm="1">
        <f t="array" ref="K117">INDEX($E$5:$AH$16,$C117,K$68) * INDEX($C$57:$AF$60,$B117,K$68)</f>
        <v>0</v>
      </c>
      <c r="L117" s="147" cm="1">
        <f t="array" ref="L117">INDEX($E$5:$AH$16,$C117,L$68) * INDEX($C$57:$AF$60,$B117,L$68)</f>
        <v>0</v>
      </c>
      <c r="M117" s="147" cm="1">
        <f t="array" ref="M117">INDEX($E$5:$AH$16,$C117,M$68) * INDEX($C$57:$AF$60,$B117,M$68)</f>
        <v>0</v>
      </c>
      <c r="N117" s="147" cm="1">
        <f t="array" ref="N117">INDEX($E$5:$AH$16,$C117,N$68) * INDEX($C$57:$AF$60,$B117,N$68)</f>
        <v>0</v>
      </c>
      <c r="O117" s="147" cm="1">
        <f t="array" ref="O117">INDEX($E$5:$AH$16,$C117,O$68) * INDEX($C$57:$AF$60,$B117,O$68)</f>
        <v>0</v>
      </c>
      <c r="P117" s="147" cm="1">
        <f t="array" ref="P117">INDEX($E$5:$AH$16,$C117,P$68) * INDEX($C$57:$AF$60,$B117,P$68)</f>
        <v>0</v>
      </c>
      <c r="Q117" s="147" cm="1">
        <f t="array" ref="Q117">INDEX($E$5:$AH$16,$C117,Q$68) * INDEX($C$57:$AF$60,$B117,Q$68)</f>
        <v>0</v>
      </c>
      <c r="R117" s="147" cm="1">
        <f t="array" ref="R117">INDEX($E$5:$AH$16,$C117,R$68) * INDEX($C$57:$AF$60,$B117,R$68)</f>
        <v>0</v>
      </c>
      <c r="S117" s="147" cm="1">
        <f t="array" ref="S117">INDEX($E$5:$AH$16,$C117,S$68) * INDEX($C$57:$AF$60,$B117,S$68)</f>
        <v>0</v>
      </c>
      <c r="T117" s="147" cm="1">
        <f t="array" ref="T117">INDEX($E$5:$AH$16,$C117,T$68) * INDEX($C$57:$AF$60,$B117,T$68)</f>
        <v>0</v>
      </c>
      <c r="U117" s="147" cm="1">
        <f t="array" ref="U117">INDEX($E$5:$AH$16,$C117,U$68) * INDEX($C$57:$AF$60,$B117,U$68)</f>
        <v>0</v>
      </c>
      <c r="V117" s="147" cm="1">
        <f t="array" ref="V117">INDEX($E$5:$AH$16,$C117,V$68) * INDEX($C$57:$AF$60,$B117,V$68)</f>
        <v>0</v>
      </c>
      <c r="W117" s="147" cm="1">
        <f t="array" ref="W117">INDEX($E$5:$AH$16,$C117,W$68) * INDEX($C$57:$AF$60,$B117,W$68)</f>
        <v>0</v>
      </c>
      <c r="X117" s="147" cm="1">
        <f t="array" ref="X117">INDEX($E$5:$AH$16,$C117,X$68) * INDEX($C$57:$AF$60,$B117,X$68)</f>
        <v>0</v>
      </c>
      <c r="Y117" s="147" cm="1">
        <f t="array" ref="Y117">INDEX($E$5:$AH$16,$C117,Y$68) * INDEX($C$57:$AF$60,$B117,Y$68)</f>
        <v>0</v>
      </c>
      <c r="Z117" s="147" cm="1">
        <f t="array" ref="Z117">INDEX($E$5:$AH$16,$C117,Z$68) * INDEX($C$57:$AF$60,$B117,Z$68)</f>
        <v>0</v>
      </c>
      <c r="AA117" s="147" cm="1">
        <f t="array" ref="AA117">INDEX($E$5:$AH$16,$C117,AA$68) * INDEX($C$57:$AF$60,$B117,AA$68)</f>
        <v>0</v>
      </c>
      <c r="AB117" s="147" cm="1">
        <f t="array" ref="AB117">INDEX($E$5:$AH$16,$C117,AB$68) * INDEX($C$57:$AF$60,$B117,AB$68)</f>
        <v>0</v>
      </c>
      <c r="AC117" s="147" cm="1">
        <f t="array" ref="AC117">INDEX($E$5:$AH$16,$C117,AC$68) * INDEX($C$57:$AF$60,$B117,AC$68)</f>
        <v>0</v>
      </c>
      <c r="AD117" s="147" cm="1">
        <f t="array" ref="AD117">INDEX($E$5:$AH$16,$C117,AD$68) * INDEX($C$57:$AF$60,$B117,AD$68)</f>
        <v>0</v>
      </c>
      <c r="AE117" s="147" cm="1">
        <f t="array" ref="AE117">INDEX($E$5:$AH$16,$C117,AE$68) * INDEX($C$57:$AF$60,$B117,AE$68)</f>
        <v>0</v>
      </c>
      <c r="AF117" s="147" cm="1">
        <f t="array" ref="AF117">INDEX($E$5:$AH$16,$C117,AF$68) * INDEX($C$57:$AF$60,$B117,AF$68)</f>
        <v>0</v>
      </c>
      <c r="AG117" s="147" cm="1">
        <f t="array" ref="AG117">INDEX($E$5:$AH$16,$C117,AG$68) * INDEX($C$57:$AF$60,$B117,AG$68)</f>
        <v>0</v>
      </c>
      <c r="AH117" s="147" cm="1">
        <f t="array" ref="AH117">INDEX($E$5:$AH$16,$C117,AH$68) * INDEX($C$57:$AF$60,$B117,AH$68)</f>
        <v>0</v>
      </c>
    </row>
    <row r="119" spans="2:34">
      <c r="B119" s="2" t="s">
        <v>572</v>
      </c>
    </row>
    <row r="120" spans="2:34">
      <c r="B120" s="10" t="s">
        <v>566</v>
      </c>
      <c r="C120" s="10" t="s">
        <v>573</v>
      </c>
    </row>
    <row r="121" spans="2:34">
      <c r="B121" s="149" cm="1">
        <f t="array" ref="B121:B150">B22:B51</f>
        <v>1</v>
      </c>
      <c r="C121" s="122" t="b">
        <f t="shared" ref="C121:C150" si="4">OR(C22&gt;0,D22&gt;0,E22&gt;0,F22&gt;0)</f>
        <v>0</v>
      </c>
    </row>
    <row r="122" spans="2:34">
      <c r="B122" s="149">
        <v>2</v>
      </c>
      <c r="C122" s="122" t="b">
        <f t="shared" si="4"/>
        <v>0</v>
      </c>
    </row>
    <row r="123" spans="2:34">
      <c r="B123" s="149">
        <v>3</v>
      </c>
      <c r="C123" s="122" t="b">
        <f t="shared" si="4"/>
        <v>0</v>
      </c>
    </row>
    <row r="124" spans="2:34">
      <c r="B124" s="149">
        <v>4</v>
      </c>
      <c r="C124" s="122" t="b">
        <f t="shared" si="4"/>
        <v>0</v>
      </c>
    </row>
    <row r="125" spans="2:34">
      <c r="B125" s="149">
        <v>5</v>
      </c>
      <c r="C125" s="122" t="b">
        <f t="shared" si="4"/>
        <v>1</v>
      </c>
    </row>
    <row r="126" spans="2:34">
      <c r="B126" s="149">
        <v>6</v>
      </c>
      <c r="C126" s="122" t="b">
        <f t="shared" si="4"/>
        <v>0</v>
      </c>
    </row>
    <row r="127" spans="2:34">
      <c r="B127" s="149">
        <v>7</v>
      </c>
      <c r="C127" s="122" t="b">
        <f t="shared" si="4"/>
        <v>1</v>
      </c>
    </row>
    <row r="128" spans="2:34">
      <c r="B128" s="149">
        <v>8</v>
      </c>
      <c r="C128" s="122" t="b">
        <f t="shared" si="4"/>
        <v>0</v>
      </c>
    </row>
    <row r="129" spans="2:3">
      <c r="B129" s="149">
        <v>9</v>
      </c>
      <c r="C129" s="122" t="b">
        <f t="shared" si="4"/>
        <v>0</v>
      </c>
    </row>
    <row r="130" spans="2:3">
      <c r="B130" s="149">
        <v>10</v>
      </c>
      <c r="C130" s="122" t="b">
        <f t="shared" si="4"/>
        <v>0</v>
      </c>
    </row>
    <row r="131" spans="2:3">
      <c r="B131" s="149">
        <v>11</v>
      </c>
      <c r="C131" s="122" t="b">
        <f t="shared" si="4"/>
        <v>0</v>
      </c>
    </row>
    <row r="132" spans="2:3">
      <c r="B132" s="149">
        <v>12</v>
      </c>
      <c r="C132" s="122" t="b">
        <f t="shared" si="4"/>
        <v>0</v>
      </c>
    </row>
    <row r="133" spans="2:3">
      <c r="B133" s="149">
        <v>13</v>
      </c>
      <c r="C133" s="122" t="b">
        <f t="shared" si="4"/>
        <v>0</v>
      </c>
    </row>
    <row r="134" spans="2:3">
      <c r="B134" s="149">
        <v>14</v>
      </c>
      <c r="C134" s="122" t="b">
        <f t="shared" si="4"/>
        <v>0</v>
      </c>
    </row>
    <row r="135" spans="2:3">
      <c r="B135" s="149">
        <v>15</v>
      </c>
      <c r="C135" s="122" t="b">
        <f t="shared" si="4"/>
        <v>0</v>
      </c>
    </row>
    <row r="136" spans="2:3">
      <c r="B136" s="149">
        <v>16</v>
      </c>
      <c r="C136" s="122" t="b">
        <f t="shared" si="4"/>
        <v>1</v>
      </c>
    </row>
    <row r="137" spans="2:3">
      <c r="B137" s="149">
        <v>17</v>
      </c>
      <c r="C137" s="122" t="b">
        <f t="shared" si="4"/>
        <v>0</v>
      </c>
    </row>
    <row r="138" spans="2:3">
      <c r="B138" s="149">
        <v>18</v>
      </c>
      <c r="C138" s="122" t="b">
        <f t="shared" si="4"/>
        <v>0</v>
      </c>
    </row>
    <row r="139" spans="2:3">
      <c r="B139" s="149">
        <v>19</v>
      </c>
      <c r="C139" s="122" t="b">
        <f t="shared" si="4"/>
        <v>0</v>
      </c>
    </row>
    <row r="140" spans="2:3">
      <c r="B140" s="149">
        <v>20</v>
      </c>
      <c r="C140" s="122" t="b">
        <f t="shared" si="4"/>
        <v>0</v>
      </c>
    </row>
    <row r="141" spans="2:3">
      <c r="B141" s="149">
        <v>21</v>
      </c>
      <c r="C141" s="122" t="b">
        <f t="shared" si="4"/>
        <v>0</v>
      </c>
    </row>
    <row r="142" spans="2:3">
      <c r="B142" s="149">
        <v>22</v>
      </c>
      <c r="C142" s="122" t="b">
        <f t="shared" si="4"/>
        <v>0</v>
      </c>
    </row>
    <row r="143" spans="2:3">
      <c r="B143" s="149">
        <v>23</v>
      </c>
      <c r="C143" s="122" t="b">
        <f t="shared" si="4"/>
        <v>0</v>
      </c>
    </row>
    <row r="144" spans="2:3">
      <c r="B144" s="149">
        <v>24</v>
      </c>
      <c r="C144" s="122" t="b">
        <f t="shared" si="4"/>
        <v>0</v>
      </c>
    </row>
    <row r="145" spans="2:3">
      <c r="B145" s="149">
        <v>25</v>
      </c>
      <c r="C145" s="122" t="b">
        <f t="shared" si="4"/>
        <v>0</v>
      </c>
    </row>
    <row r="146" spans="2:3">
      <c r="B146" s="149">
        <v>26</v>
      </c>
      <c r="C146" s="122" t="b">
        <f t="shared" si="4"/>
        <v>0</v>
      </c>
    </row>
    <row r="147" spans="2:3">
      <c r="B147" s="149">
        <v>27</v>
      </c>
      <c r="C147" s="122" t="b">
        <f t="shared" si="4"/>
        <v>0</v>
      </c>
    </row>
    <row r="148" spans="2:3">
      <c r="B148" s="149">
        <v>28</v>
      </c>
      <c r="C148" s="122" t="b">
        <f t="shared" si="4"/>
        <v>0</v>
      </c>
    </row>
    <row r="149" spans="2:3">
      <c r="B149" s="149">
        <v>29</v>
      </c>
      <c r="C149" s="122" t="b">
        <f t="shared" si="4"/>
        <v>0</v>
      </c>
    </row>
    <row r="150" spans="2:3">
      <c r="B150" s="149">
        <v>30</v>
      </c>
      <c r="C150" s="122" t="b">
        <f t="shared" si="4"/>
        <v>0</v>
      </c>
    </row>
  </sheetData>
  <mergeCells count="2">
    <mergeCell ref="B20:B21"/>
    <mergeCell ref="C20:F20"/>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3CFFE-7519-410A-AF38-FF1A900A5E34}">
  <sheetPr>
    <tabColor rgb="FF00B050"/>
  </sheetPr>
  <dimension ref="B2:G184"/>
  <sheetViews>
    <sheetView showGridLines="0" zoomScale="90" zoomScaleNormal="90" workbookViewId="0">
      <selection activeCell="I14" sqref="I14"/>
    </sheetView>
  </sheetViews>
  <sheetFormatPr defaultColWidth="11.7109375" defaultRowHeight="12.75"/>
  <cols>
    <col min="1" max="1" width="2.42578125" customWidth="1"/>
    <col min="2" max="2" width="29.5703125" customWidth="1"/>
    <col min="3" max="3" width="17.28515625" customWidth="1"/>
    <col min="4" max="7" width="7.42578125" bestFit="1" customWidth="1"/>
  </cols>
  <sheetData>
    <row r="2" spans="2:7">
      <c r="B2" s="2" t="s">
        <v>574</v>
      </c>
    </row>
    <row r="3" spans="2:7">
      <c r="B3" s="600" t="s">
        <v>541</v>
      </c>
      <c r="C3" s="600" t="s">
        <v>566</v>
      </c>
      <c r="D3" s="600" t="s">
        <v>105</v>
      </c>
      <c r="E3" s="600"/>
      <c r="F3" s="600"/>
      <c r="G3" s="600"/>
    </row>
    <row r="4" spans="2:7">
      <c r="B4" s="615"/>
      <c r="C4" s="615"/>
      <c r="D4" s="178">
        <v>1</v>
      </c>
      <c r="E4" s="178">
        <v>2</v>
      </c>
      <c r="F4" s="178">
        <v>3</v>
      </c>
      <c r="G4" s="178">
        <v>4</v>
      </c>
    </row>
    <row r="5" spans="2:7">
      <c r="B5" s="507" t="s">
        <v>115</v>
      </c>
      <c r="C5" s="176">
        <v>1</v>
      </c>
      <c r="D5" s="135">
        <v>0</v>
      </c>
      <c r="E5" s="135">
        <v>0</v>
      </c>
      <c r="F5" s="135">
        <v>0</v>
      </c>
      <c r="G5" s="135">
        <v>0</v>
      </c>
    </row>
    <row r="6" spans="2:7">
      <c r="B6" s="507" t="s">
        <v>115</v>
      </c>
      <c r="C6" s="10">
        <v>2</v>
      </c>
      <c r="D6" s="135">
        <v>0</v>
      </c>
      <c r="E6" s="135">
        <v>0</v>
      </c>
      <c r="F6" s="135">
        <v>0</v>
      </c>
      <c r="G6" s="135">
        <v>0</v>
      </c>
    </row>
    <row r="7" spans="2:7">
      <c r="B7" s="507" t="s">
        <v>115</v>
      </c>
      <c r="C7" s="10">
        <v>3</v>
      </c>
      <c r="D7" s="135">
        <v>0</v>
      </c>
      <c r="E7" s="135">
        <v>0</v>
      </c>
      <c r="F7" s="135">
        <v>0</v>
      </c>
      <c r="G7" s="135">
        <v>0</v>
      </c>
    </row>
    <row r="8" spans="2:7">
      <c r="B8" s="507" t="s">
        <v>115</v>
      </c>
      <c r="C8" s="10">
        <v>4</v>
      </c>
      <c r="D8" s="135">
        <v>0</v>
      </c>
      <c r="E8" s="135">
        <v>0</v>
      </c>
      <c r="F8" s="135">
        <v>0</v>
      </c>
      <c r="G8" s="135">
        <v>0</v>
      </c>
    </row>
    <row r="9" spans="2:7">
      <c r="B9" s="507" t="s">
        <v>115</v>
      </c>
      <c r="C9" s="10">
        <v>5</v>
      </c>
      <c r="D9" s="135">
        <v>0.4</v>
      </c>
      <c r="E9" s="135">
        <v>0</v>
      </c>
      <c r="F9" s="135">
        <v>0</v>
      </c>
      <c r="G9" s="135">
        <v>0</v>
      </c>
    </row>
    <row r="10" spans="2:7">
      <c r="B10" s="507" t="s">
        <v>115</v>
      </c>
      <c r="C10" s="10">
        <v>6</v>
      </c>
      <c r="D10" s="135">
        <v>0</v>
      </c>
      <c r="E10" s="135">
        <v>0</v>
      </c>
      <c r="F10" s="135">
        <v>0</v>
      </c>
      <c r="G10" s="135">
        <v>0</v>
      </c>
    </row>
    <row r="11" spans="2:7">
      <c r="B11" s="507" t="s">
        <v>115</v>
      </c>
      <c r="C11" s="10">
        <v>7</v>
      </c>
      <c r="D11" s="135">
        <v>0</v>
      </c>
      <c r="E11" s="135">
        <v>0.4</v>
      </c>
      <c r="F11" s="135">
        <v>0</v>
      </c>
      <c r="G11" s="135">
        <v>0</v>
      </c>
    </row>
    <row r="12" spans="2:7">
      <c r="B12" s="507" t="s">
        <v>115</v>
      </c>
      <c r="C12" s="10">
        <v>8</v>
      </c>
      <c r="D12" s="135">
        <v>0</v>
      </c>
      <c r="E12" s="135">
        <v>0</v>
      </c>
      <c r="F12" s="135">
        <v>0</v>
      </c>
      <c r="G12" s="135">
        <v>0</v>
      </c>
    </row>
    <row r="13" spans="2:7">
      <c r="B13" s="507" t="s">
        <v>115</v>
      </c>
      <c r="C13" s="10">
        <v>9</v>
      </c>
      <c r="D13" s="135">
        <v>0</v>
      </c>
      <c r="E13" s="135">
        <v>0</v>
      </c>
      <c r="F13" s="135">
        <v>0</v>
      </c>
      <c r="G13" s="135">
        <v>0</v>
      </c>
    </row>
    <row r="14" spans="2:7">
      <c r="B14" s="507" t="s">
        <v>115</v>
      </c>
      <c r="C14" s="10">
        <v>10</v>
      </c>
      <c r="D14" s="135">
        <v>0</v>
      </c>
      <c r="E14" s="135">
        <v>0</v>
      </c>
      <c r="F14" s="135">
        <v>0</v>
      </c>
      <c r="G14" s="135">
        <v>0</v>
      </c>
    </row>
    <row r="15" spans="2:7">
      <c r="B15" s="507" t="s">
        <v>115</v>
      </c>
      <c r="C15" s="10">
        <v>11</v>
      </c>
      <c r="D15" s="135">
        <v>0</v>
      </c>
      <c r="E15" s="135">
        <v>0</v>
      </c>
      <c r="F15" s="135">
        <v>0</v>
      </c>
      <c r="G15" s="135">
        <v>0</v>
      </c>
    </row>
    <row r="16" spans="2:7">
      <c r="B16" s="507" t="s">
        <v>115</v>
      </c>
      <c r="C16" s="10">
        <v>12</v>
      </c>
      <c r="D16" s="135">
        <v>0</v>
      </c>
      <c r="E16" s="135">
        <v>0</v>
      </c>
      <c r="F16" s="135">
        <v>0</v>
      </c>
      <c r="G16" s="135">
        <v>0</v>
      </c>
    </row>
    <row r="17" spans="2:7">
      <c r="B17" s="507" t="s">
        <v>115</v>
      </c>
      <c r="C17" s="10">
        <v>13</v>
      </c>
      <c r="D17" s="135">
        <v>0</v>
      </c>
      <c r="E17" s="135">
        <v>0</v>
      </c>
      <c r="F17" s="135">
        <v>0</v>
      </c>
      <c r="G17" s="135">
        <v>0</v>
      </c>
    </row>
    <row r="18" spans="2:7">
      <c r="B18" s="507" t="s">
        <v>115</v>
      </c>
      <c r="C18" s="10">
        <v>14</v>
      </c>
      <c r="D18" s="135">
        <v>0</v>
      </c>
      <c r="E18" s="135">
        <v>0</v>
      </c>
      <c r="F18" s="135">
        <v>0</v>
      </c>
      <c r="G18" s="135">
        <v>0</v>
      </c>
    </row>
    <row r="19" spans="2:7">
      <c r="B19" s="507" t="s">
        <v>115</v>
      </c>
      <c r="C19" s="10">
        <v>15</v>
      </c>
      <c r="D19" s="135">
        <v>0</v>
      </c>
      <c r="E19" s="135">
        <v>0</v>
      </c>
      <c r="F19" s="135">
        <v>0</v>
      </c>
      <c r="G19" s="135">
        <v>0</v>
      </c>
    </row>
    <row r="20" spans="2:7">
      <c r="B20" s="507" t="s">
        <v>115</v>
      </c>
      <c r="C20" s="10">
        <v>16</v>
      </c>
      <c r="D20" s="135">
        <v>0</v>
      </c>
      <c r="E20" s="135">
        <v>0</v>
      </c>
      <c r="F20" s="135">
        <v>0</v>
      </c>
      <c r="G20" s="135">
        <v>0.4</v>
      </c>
    </row>
    <row r="21" spans="2:7">
      <c r="B21" s="507" t="s">
        <v>115</v>
      </c>
      <c r="C21" s="10">
        <v>17</v>
      </c>
      <c r="D21" s="135">
        <v>0</v>
      </c>
      <c r="E21" s="135">
        <v>0</v>
      </c>
      <c r="F21" s="135">
        <v>0</v>
      </c>
      <c r="G21" s="135">
        <v>0</v>
      </c>
    </row>
    <row r="22" spans="2:7">
      <c r="B22" s="507" t="s">
        <v>115</v>
      </c>
      <c r="C22" s="10">
        <v>18</v>
      </c>
      <c r="D22" s="135">
        <v>0</v>
      </c>
      <c r="E22" s="135">
        <v>0</v>
      </c>
      <c r="F22" s="135">
        <v>0</v>
      </c>
      <c r="G22" s="135">
        <v>0</v>
      </c>
    </row>
    <row r="23" spans="2:7">
      <c r="B23" s="507" t="s">
        <v>115</v>
      </c>
      <c r="C23" s="10">
        <v>19</v>
      </c>
      <c r="D23" s="135">
        <v>0</v>
      </c>
      <c r="E23" s="135">
        <v>0</v>
      </c>
      <c r="F23" s="135">
        <v>0</v>
      </c>
      <c r="G23" s="135">
        <v>0</v>
      </c>
    </row>
    <row r="24" spans="2:7">
      <c r="B24" s="507" t="s">
        <v>115</v>
      </c>
      <c r="C24" s="10">
        <v>20</v>
      </c>
      <c r="D24" s="135">
        <v>0</v>
      </c>
      <c r="E24" s="135">
        <v>0</v>
      </c>
      <c r="F24" s="135">
        <v>0</v>
      </c>
      <c r="G24" s="135">
        <v>0</v>
      </c>
    </row>
    <row r="25" spans="2:7">
      <c r="B25" s="507" t="s">
        <v>115</v>
      </c>
      <c r="C25" s="10">
        <v>21</v>
      </c>
      <c r="D25" s="135">
        <v>0</v>
      </c>
      <c r="E25" s="135">
        <v>0</v>
      </c>
      <c r="F25" s="135">
        <v>0</v>
      </c>
      <c r="G25" s="135">
        <v>0</v>
      </c>
    </row>
    <row r="26" spans="2:7">
      <c r="B26" s="507" t="s">
        <v>115</v>
      </c>
      <c r="C26" s="10">
        <v>22</v>
      </c>
      <c r="D26" s="135">
        <v>0</v>
      </c>
      <c r="E26" s="135">
        <v>0</v>
      </c>
      <c r="F26" s="135">
        <v>0</v>
      </c>
      <c r="G26" s="135">
        <v>0</v>
      </c>
    </row>
    <row r="27" spans="2:7">
      <c r="B27" s="507" t="s">
        <v>115</v>
      </c>
      <c r="C27" s="10">
        <v>23</v>
      </c>
      <c r="D27" s="135">
        <v>0</v>
      </c>
      <c r="E27" s="135">
        <v>0</v>
      </c>
      <c r="F27" s="135">
        <v>0</v>
      </c>
      <c r="G27" s="135">
        <v>0</v>
      </c>
    </row>
    <row r="28" spans="2:7">
      <c r="B28" s="507" t="s">
        <v>115</v>
      </c>
      <c r="C28" s="10">
        <v>24</v>
      </c>
      <c r="D28" s="135">
        <v>0</v>
      </c>
      <c r="E28" s="135">
        <v>0</v>
      </c>
      <c r="F28" s="135">
        <v>0</v>
      </c>
      <c r="G28" s="135">
        <v>0</v>
      </c>
    </row>
    <row r="29" spans="2:7">
      <c r="B29" s="507" t="s">
        <v>115</v>
      </c>
      <c r="C29" s="10">
        <v>25</v>
      </c>
      <c r="D29" s="135">
        <v>0</v>
      </c>
      <c r="E29" s="135">
        <v>0</v>
      </c>
      <c r="F29" s="135">
        <v>0</v>
      </c>
      <c r="G29" s="135">
        <v>0</v>
      </c>
    </row>
    <row r="30" spans="2:7">
      <c r="B30" s="507" t="s">
        <v>115</v>
      </c>
      <c r="C30" s="10">
        <v>26</v>
      </c>
      <c r="D30" s="135">
        <v>0</v>
      </c>
      <c r="E30" s="135">
        <v>0</v>
      </c>
      <c r="F30" s="135">
        <v>0</v>
      </c>
      <c r="G30" s="135">
        <v>0</v>
      </c>
    </row>
    <row r="31" spans="2:7">
      <c r="B31" s="507" t="s">
        <v>115</v>
      </c>
      <c r="C31" s="10">
        <v>27</v>
      </c>
      <c r="D31" s="135">
        <v>0</v>
      </c>
      <c r="E31" s="135">
        <v>0</v>
      </c>
      <c r="F31" s="135">
        <v>0</v>
      </c>
      <c r="G31" s="135">
        <v>0</v>
      </c>
    </row>
    <row r="32" spans="2:7">
      <c r="B32" s="507" t="s">
        <v>115</v>
      </c>
      <c r="C32" s="10">
        <v>28</v>
      </c>
      <c r="D32" s="135">
        <v>0</v>
      </c>
      <c r="E32" s="135">
        <v>0</v>
      </c>
      <c r="F32" s="135">
        <v>0</v>
      </c>
      <c r="G32" s="135">
        <v>0</v>
      </c>
    </row>
    <row r="33" spans="2:7">
      <c r="B33" s="507" t="s">
        <v>115</v>
      </c>
      <c r="C33" s="10">
        <v>29</v>
      </c>
      <c r="D33" s="135">
        <v>0</v>
      </c>
      <c r="E33" s="135">
        <v>0</v>
      </c>
      <c r="F33" s="135">
        <v>0</v>
      </c>
      <c r="G33" s="135">
        <v>0</v>
      </c>
    </row>
    <row r="34" spans="2:7">
      <c r="B34" s="507" t="s">
        <v>115</v>
      </c>
      <c r="C34" s="176">
        <v>30</v>
      </c>
      <c r="D34" s="135">
        <v>0</v>
      </c>
      <c r="E34" s="135">
        <v>0</v>
      </c>
      <c r="F34" s="135">
        <v>0</v>
      </c>
      <c r="G34" s="135">
        <v>0</v>
      </c>
    </row>
    <row r="35" spans="2:7">
      <c r="B35" s="6"/>
      <c r="C35" s="10"/>
      <c r="D35" s="135"/>
      <c r="E35" s="135"/>
      <c r="F35" s="135"/>
      <c r="G35" s="135"/>
    </row>
    <row r="36" spans="2:7">
      <c r="B36" s="6"/>
      <c r="C36" s="10"/>
      <c r="D36" s="135"/>
      <c r="E36" s="135"/>
      <c r="F36" s="135"/>
      <c r="G36" s="135"/>
    </row>
    <row r="37" spans="2:7">
      <c r="B37" s="6"/>
      <c r="C37" s="10"/>
      <c r="D37" s="135"/>
      <c r="E37" s="135"/>
      <c r="F37" s="135"/>
      <c r="G37" s="135"/>
    </row>
    <row r="38" spans="2:7">
      <c r="B38" s="6"/>
      <c r="C38" s="10"/>
      <c r="D38" s="135"/>
      <c r="E38" s="135"/>
      <c r="F38" s="135"/>
      <c r="G38" s="135"/>
    </row>
    <row r="39" spans="2:7">
      <c r="B39" s="6"/>
      <c r="C39" s="10"/>
      <c r="D39" s="135"/>
      <c r="E39" s="135"/>
      <c r="F39" s="135"/>
      <c r="G39" s="135"/>
    </row>
    <row r="40" spans="2:7">
      <c r="B40" s="6"/>
      <c r="C40" s="10"/>
      <c r="D40" s="135"/>
      <c r="E40" s="135"/>
      <c r="F40" s="135"/>
      <c r="G40" s="135"/>
    </row>
    <row r="41" spans="2:7">
      <c r="B41" s="6"/>
      <c r="C41" s="10"/>
      <c r="D41" s="135"/>
      <c r="E41" s="135"/>
      <c r="F41" s="135"/>
      <c r="G41" s="135"/>
    </row>
    <row r="42" spans="2:7">
      <c r="B42" s="6"/>
      <c r="C42" s="10"/>
      <c r="D42" s="135"/>
      <c r="E42" s="135"/>
      <c r="F42" s="135"/>
      <c r="G42" s="135"/>
    </row>
    <row r="43" spans="2:7">
      <c r="B43" s="6"/>
      <c r="C43" s="10"/>
      <c r="D43" s="135"/>
      <c r="E43" s="135"/>
      <c r="F43" s="135"/>
      <c r="G43" s="135"/>
    </row>
    <row r="44" spans="2:7">
      <c r="B44" s="6"/>
      <c r="C44" s="10"/>
      <c r="D44" s="135"/>
      <c r="E44" s="135"/>
      <c r="F44" s="135"/>
      <c r="G44" s="135"/>
    </row>
    <row r="45" spans="2:7">
      <c r="B45" s="6"/>
      <c r="C45" s="10"/>
      <c r="D45" s="135"/>
      <c r="E45" s="135"/>
      <c r="F45" s="135"/>
      <c r="G45" s="135"/>
    </row>
    <row r="46" spans="2:7">
      <c r="B46" s="6"/>
      <c r="C46" s="10"/>
      <c r="D46" s="135"/>
      <c r="E46" s="135"/>
      <c r="F46" s="135"/>
      <c r="G46" s="135"/>
    </row>
    <row r="47" spans="2:7">
      <c r="B47" s="6"/>
      <c r="C47" s="10"/>
      <c r="D47" s="135"/>
      <c r="E47" s="135"/>
      <c r="F47" s="135"/>
      <c r="G47" s="135"/>
    </row>
    <row r="48" spans="2:7">
      <c r="B48" s="6"/>
      <c r="C48" s="10"/>
      <c r="D48" s="135"/>
      <c r="E48" s="135"/>
      <c r="F48" s="135"/>
      <c r="G48" s="135"/>
    </row>
    <row r="49" spans="2:7">
      <c r="B49" s="6"/>
      <c r="C49" s="10"/>
      <c r="D49" s="135"/>
      <c r="E49" s="135"/>
      <c r="F49" s="135"/>
      <c r="G49" s="135"/>
    </row>
    <row r="50" spans="2:7">
      <c r="B50" s="6"/>
      <c r="C50" s="10"/>
      <c r="D50" s="135"/>
      <c r="E50" s="135"/>
      <c r="F50" s="135"/>
      <c r="G50" s="135"/>
    </row>
    <row r="51" spans="2:7">
      <c r="B51" s="6"/>
      <c r="C51" s="10"/>
      <c r="D51" s="135"/>
      <c r="E51" s="135"/>
      <c r="F51" s="135"/>
      <c r="G51" s="135"/>
    </row>
    <row r="52" spans="2:7">
      <c r="B52" s="6"/>
      <c r="C52" s="10"/>
      <c r="D52" s="135"/>
      <c r="E52" s="135"/>
      <c r="F52" s="135"/>
      <c r="G52" s="135"/>
    </row>
    <row r="53" spans="2:7">
      <c r="B53" s="6"/>
      <c r="C53" s="10"/>
      <c r="D53" s="135"/>
      <c r="E53" s="135"/>
      <c r="F53" s="135"/>
      <c r="G53" s="135"/>
    </row>
    <row r="54" spans="2:7">
      <c r="B54" s="6"/>
      <c r="C54" s="10"/>
      <c r="D54" s="135"/>
      <c r="E54" s="135"/>
      <c r="F54" s="135"/>
      <c r="G54" s="135"/>
    </row>
    <row r="55" spans="2:7">
      <c r="B55" s="6"/>
      <c r="C55" s="10"/>
      <c r="D55" s="135"/>
      <c r="E55" s="135"/>
      <c r="F55" s="135"/>
      <c r="G55" s="135"/>
    </row>
    <row r="56" spans="2:7">
      <c r="B56" s="6"/>
      <c r="C56" s="10"/>
      <c r="D56" s="135"/>
      <c r="E56" s="135"/>
      <c r="F56" s="135"/>
      <c r="G56" s="135"/>
    </row>
    <row r="57" spans="2:7">
      <c r="B57" s="6"/>
      <c r="C57" s="10"/>
      <c r="D57" s="135"/>
      <c r="E57" s="135"/>
      <c r="F57" s="135"/>
      <c r="G57" s="135"/>
    </row>
    <row r="58" spans="2:7">
      <c r="B58" s="6"/>
      <c r="C58" s="10"/>
      <c r="D58" s="135"/>
      <c r="E58" s="135"/>
      <c r="F58" s="135"/>
      <c r="G58" s="135"/>
    </row>
    <row r="59" spans="2:7">
      <c r="B59" s="6"/>
      <c r="C59" s="10"/>
      <c r="D59" s="135"/>
      <c r="E59" s="135"/>
      <c r="F59" s="135"/>
      <c r="G59" s="135"/>
    </row>
    <row r="60" spans="2:7">
      <c r="B60" s="6"/>
      <c r="C60" s="10"/>
      <c r="D60" s="135"/>
      <c r="E60" s="135"/>
      <c r="F60" s="135"/>
      <c r="G60" s="135"/>
    </row>
    <row r="61" spans="2:7">
      <c r="B61" s="6"/>
      <c r="C61" s="10"/>
      <c r="D61" s="135"/>
      <c r="E61" s="135"/>
      <c r="F61" s="135"/>
      <c r="G61" s="135"/>
    </row>
    <row r="62" spans="2:7">
      <c r="B62" s="6"/>
      <c r="C62" s="10"/>
      <c r="D62" s="135"/>
      <c r="E62" s="135"/>
      <c r="F62" s="135"/>
      <c r="G62" s="135"/>
    </row>
    <row r="63" spans="2:7">
      <c r="B63" s="6"/>
      <c r="C63" s="10"/>
      <c r="D63" s="135"/>
      <c r="E63" s="135"/>
      <c r="F63" s="135"/>
      <c r="G63" s="135"/>
    </row>
    <row r="64" spans="2:7">
      <c r="B64" s="6"/>
      <c r="C64" s="10"/>
      <c r="D64" s="135"/>
      <c r="E64" s="135"/>
      <c r="F64" s="135"/>
      <c r="G64" s="135"/>
    </row>
    <row r="65" spans="2:7">
      <c r="B65" s="6"/>
      <c r="C65" s="10"/>
      <c r="D65" s="135"/>
      <c r="E65" s="135"/>
      <c r="F65" s="135"/>
      <c r="G65" s="135"/>
    </row>
    <row r="66" spans="2:7">
      <c r="B66" s="6"/>
      <c r="C66" s="10"/>
      <c r="D66" s="135"/>
      <c r="E66" s="135"/>
      <c r="F66" s="135"/>
      <c r="G66" s="135"/>
    </row>
    <row r="67" spans="2:7">
      <c r="B67" s="6"/>
      <c r="C67" s="10"/>
      <c r="D67" s="135"/>
      <c r="E67" s="135"/>
      <c r="F67" s="135"/>
      <c r="G67" s="135"/>
    </row>
    <row r="68" spans="2:7">
      <c r="B68" s="6"/>
      <c r="C68" s="10"/>
      <c r="D68" s="135"/>
      <c r="E68" s="135"/>
      <c r="F68" s="135"/>
      <c r="G68" s="135"/>
    </row>
    <row r="69" spans="2:7">
      <c r="B69" s="6"/>
      <c r="C69" s="10"/>
      <c r="D69" s="135"/>
      <c r="E69" s="135"/>
      <c r="F69" s="135"/>
      <c r="G69" s="135"/>
    </row>
    <row r="70" spans="2:7">
      <c r="B70" s="6"/>
      <c r="C70" s="10"/>
      <c r="D70" s="135"/>
      <c r="E70" s="135"/>
      <c r="F70" s="135"/>
      <c r="G70" s="135"/>
    </row>
    <row r="71" spans="2:7">
      <c r="B71" s="6"/>
      <c r="C71" s="10"/>
      <c r="D71" s="135"/>
      <c r="E71" s="135"/>
      <c r="F71" s="135"/>
      <c r="G71" s="135"/>
    </row>
    <row r="72" spans="2:7">
      <c r="B72" s="6"/>
      <c r="C72" s="10"/>
      <c r="D72" s="135"/>
      <c r="E72" s="135"/>
      <c r="F72" s="135"/>
      <c r="G72" s="135"/>
    </row>
    <row r="73" spans="2:7">
      <c r="B73" s="6"/>
      <c r="C73" s="10"/>
      <c r="D73" s="135"/>
      <c r="E73" s="135"/>
      <c r="F73" s="135"/>
      <c r="G73" s="135"/>
    </row>
    <row r="74" spans="2:7">
      <c r="B74" s="6"/>
      <c r="C74" s="10"/>
      <c r="D74" s="135"/>
      <c r="E74" s="135"/>
      <c r="F74" s="135"/>
      <c r="G74" s="135"/>
    </row>
    <row r="75" spans="2:7">
      <c r="B75" s="6"/>
      <c r="C75" s="10"/>
      <c r="D75" s="135"/>
      <c r="E75" s="135"/>
      <c r="F75" s="135"/>
      <c r="G75" s="135"/>
    </row>
    <row r="76" spans="2:7">
      <c r="B76" s="6"/>
      <c r="C76" s="10"/>
      <c r="D76" s="135"/>
      <c r="E76" s="135"/>
      <c r="F76" s="135"/>
      <c r="G76" s="135"/>
    </row>
    <row r="77" spans="2:7">
      <c r="B77" s="6"/>
      <c r="C77" s="10"/>
      <c r="D77" s="135"/>
      <c r="E77" s="135"/>
      <c r="F77" s="135"/>
      <c r="G77" s="135"/>
    </row>
    <row r="78" spans="2:7">
      <c r="B78" s="6"/>
      <c r="C78" s="10"/>
      <c r="D78" s="135"/>
      <c r="E78" s="135"/>
      <c r="F78" s="135"/>
      <c r="G78" s="135"/>
    </row>
    <row r="79" spans="2:7">
      <c r="B79" s="6"/>
      <c r="C79" s="10"/>
      <c r="D79" s="135"/>
      <c r="E79" s="135"/>
      <c r="F79" s="135"/>
      <c r="G79" s="135"/>
    </row>
    <row r="80" spans="2:7">
      <c r="B80" s="6"/>
      <c r="C80" s="10"/>
      <c r="D80" s="135"/>
      <c r="E80" s="135"/>
      <c r="F80" s="135"/>
      <c r="G80" s="135"/>
    </row>
    <row r="81" spans="2:7">
      <c r="B81" s="6"/>
      <c r="C81" s="10"/>
      <c r="D81" s="135"/>
      <c r="E81" s="135"/>
      <c r="F81" s="135"/>
      <c r="G81" s="135"/>
    </row>
    <row r="82" spans="2:7">
      <c r="B82" s="6"/>
      <c r="C82" s="10"/>
      <c r="D82" s="135"/>
      <c r="E82" s="135"/>
      <c r="F82" s="135"/>
      <c r="G82" s="135"/>
    </row>
    <row r="83" spans="2:7">
      <c r="B83" s="6"/>
      <c r="C83" s="10"/>
      <c r="D83" s="135"/>
      <c r="E83" s="135"/>
      <c r="F83" s="135"/>
      <c r="G83" s="135"/>
    </row>
    <row r="84" spans="2:7">
      <c r="B84" s="6"/>
      <c r="C84" s="10"/>
      <c r="D84" s="135"/>
      <c r="E84" s="135"/>
      <c r="F84" s="135"/>
      <c r="G84" s="135"/>
    </row>
    <row r="85" spans="2:7">
      <c r="B85" s="6"/>
      <c r="C85" s="10"/>
      <c r="D85" s="135"/>
      <c r="E85" s="135"/>
      <c r="F85" s="135"/>
      <c r="G85" s="135"/>
    </row>
    <row r="86" spans="2:7">
      <c r="B86" s="6"/>
      <c r="C86" s="10"/>
      <c r="D86" s="135"/>
      <c r="E86" s="135"/>
      <c r="F86" s="135"/>
      <c r="G86" s="135"/>
    </row>
    <row r="87" spans="2:7">
      <c r="B87" s="6"/>
      <c r="C87" s="10"/>
      <c r="D87" s="135"/>
      <c r="E87" s="135"/>
      <c r="F87" s="135"/>
      <c r="G87" s="135"/>
    </row>
    <row r="88" spans="2:7">
      <c r="B88" s="6"/>
      <c r="C88" s="10"/>
      <c r="D88" s="135"/>
      <c r="E88" s="135"/>
      <c r="F88" s="135"/>
      <c r="G88" s="135"/>
    </row>
    <row r="89" spans="2:7">
      <c r="B89" s="6"/>
      <c r="C89" s="10"/>
      <c r="D89" s="135"/>
      <c r="E89" s="135"/>
      <c r="F89" s="135"/>
      <c r="G89" s="135"/>
    </row>
    <row r="90" spans="2:7">
      <c r="B90" s="6"/>
      <c r="C90" s="10"/>
      <c r="D90" s="135"/>
      <c r="E90" s="135"/>
      <c r="F90" s="135"/>
      <c r="G90" s="135"/>
    </row>
    <row r="91" spans="2:7">
      <c r="B91" s="6"/>
      <c r="C91" s="10"/>
      <c r="D91" s="135"/>
      <c r="E91" s="135"/>
      <c r="F91" s="135"/>
      <c r="G91" s="135"/>
    </row>
    <row r="92" spans="2:7">
      <c r="B92" s="6"/>
      <c r="C92" s="10"/>
      <c r="D92" s="135"/>
      <c r="E92" s="135"/>
      <c r="F92" s="135"/>
      <c r="G92" s="135"/>
    </row>
    <row r="93" spans="2:7">
      <c r="B93" s="6"/>
      <c r="C93" s="10"/>
      <c r="D93" s="135"/>
      <c r="E93" s="135"/>
      <c r="F93" s="135"/>
      <c r="G93" s="135"/>
    </row>
    <row r="94" spans="2:7">
      <c r="B94" s="6"/>
      <c r="C94" s="10"/>
      <c r="D94" s="135"/>
      <c r="E94" s="135"/>
      <c r="F94" s="135"/>
      <c r="G94" s="135"/>
    </row>
    <row r="95" spans="2:7">
      <c r="B95" s="6"/>
      <c r="C95" s="10"/>
      <c r="D95" s="135"/>
      <c r="E95" s="135"/>
      <c r="F95" s="135"/>
      <c r="G95" s="135"/>
    </row>
    <row r="96" spans="2:7">
      <c r="B96" s="6"/>
      <c r="C96" s="10"/>
      <c r="D96" s="135"/>
      <c r="E96" s="135"/>
      <c r="F96" s="135"/>
      <c r="G96" s="135"/>
    </row>
    <row r="97" spans="2:7">
      <c r="B97" s="6"/>
      <c r="C97" s="10"/>
      <c r="D97" s="135"/>
      <c r="E97" s="135"/>
      <c r="F97" s="135"/>
      <c r="G97" s="135"/>
    </row>
    <row r="98" spans="2:7">
      <c r="B98" s="6"/>
      <c r="C98" s="10"/>
      <c r="D98" s="135"/>
      <c r="E98" s="135"/>
      <c r="F98" s="135"/>
      <c r="G98" s="135"/>
    </row>
    <row r="99" spans="2:7">
      <c r="B99" s="6"/>
      <c r="C99" s="10"/>
      <c r="D99" s="135"/>
      <c r="E99" s="135"/>
      <c r="F99" s="135"/>
      <c r="G99" s="135"/>
    </row>
    <row r="100" spans="2:7">
      <c r="B100" s="6"/>
      <c r="C100" s="10"/>
      <c r="D100" s="135"/>
      <c r="E100" s="135"/>
      <c r="F100" s="135"/>
      <c r="G100" s="135"/>
    </row>
    <row r="101" spans="2:7">
      <c r="B101" s="6"/>
      <c r="C101" s="10"/>
      <c r="D101" s="135"/>
      <c r="E101" s="135"/>
      <c r="F101" s="135"/>
      <c r="G101" s="135"/>
    </row>
    <row r="102" spans="2:7">
      <c r="B102" s="6"/>
      <c r="C102" s="10"/>
      <c r="D102" s="135"/>
      <c r="E102" s="135"/>
      <c r="F102" s="135"/>
      <c r="G102" s="135"/>
    </row>
    <row r="103" spans="2:7">
      <c r="B103" s="6"/>
      <c r="C103" s="10"/>
      <c r="D103" s="135"/>
      <c r="E103" s="135"/>
      <c r="F103" s="135"/>
      <c r="G103" s="135"/>
    </row>
    <row r="104" spans="2:7">
      <c r="B104" s="6"/>
      <c r="C104" s="10"/>
      <c r="D104" s="135"/>
      <c r="E104" s="135"/>
      <c r="F104" s="135"/>
      <c r="G104" s="135"/>
    </row>
    <row r="105" spans="2:7">
      <c r="B105" s="6"/>
      <c r="C105" s="10"/>
      <c r="D105" s="135"/>
      <c r="E105" s="135"/>
      <c r="F105" s="135"/>
      <c r="G105" s="135"/>
    </row>
    <row r="106" spans="2:7">
      <c r="B106" s="6"/>
      <c r="C106" s="10"/>
      <c r="D106" s="135"/>
      <c r="E106" s="135"/>
      <c r="F106" s="135"/>
      <c r="G106" s="135"/>
    </row>
    <row r="107" spans="2:7">
      <c r="B107" s="6"/>
      <c r="C107" s="10"/>
      <c r="D107" s="135"/>
      <c r="E107" s="135"/>
      <c r="F107" s="135"/>
      <c r="G107" s="135"/>
    </row>
    <row r="108" spans="2:7">
      <c r="B108" s="6"/>
      <c r="C108" s="10"/>
      <c r="D108" s="135"/>
      <c r="E108" s="135"/>
      <c r="F108" s="135"/>
      <c r="G108" s="135"/>
    </row>
    <row r="109" spans="2:7">
      <c r="B109" s="6"/>
      <c r="C109" s="10"/>
      <c r="D109" s="135"/>
      <c r="E109" s="135"/>
      <c r="F109" s="135"/>
      <c r="G109" s="135"/>
    </row>
    <row r="110" spans="2:7">
      <c r="B110" s="6"/>
      <c r="C110" s="10"/>
      <c r="D110" s="135"/>
      <c r="E110" s="135"/>
      <c r="F110" s="135"/>
      <c r="G110" s="135"/>
    </row>
    <row r="111" spans="2:7">
      <c r="B111" s="6"/>
      <c r="C111" s="10"/>
      <c r="D111" s="135"/>
      <c r="E111" s="135"/>
      <c r="F111" s="135"/>
      <c r="G111" s="135"/>
    </row>
    <row r="112" spans="2:7">
      <c r="B112" s="6"/>
      <c r="C112" s="10"/>
      <c r="D112" s="135"/>
      <c r="E112" s="135"/>
      <c r="F112" s="135"/>
      <c r="G112" s="135"/>
    </row>
    <row r="113" spans="2:7">
      <c r="B113" s="6"/>
      <c r="C113" s="10"/>
      <c r="D113" s="135"/>
      <c r="E113" s="135"/>
      <c r="F113" s="135"/>
      <c r="G113" s="135"/>
    </row>
    <row r="114" spans="2:7">
      <c r="B114" s="6"/>
      <c r="C114" s="10"/>
      <c r="D114" s="135"/>
      <c r="E114" s="135"/>
      <c r="F114" s="135"/>
      <c r="G114" s="135"/>
    </row>
    <row r="115" spans="2:7">
      <c r="B115" s="6"/>
      <c r="C115" s="10"/>
      <c r="D115" s="135"/>
      <c r="E115" s="135"/>
      <c r="F115" s="135"/>
      <c r="G115" s="135"/>
    </row>
    <row r="116" spans="2:7">
      <c r="B116" s="6"/>
      <c r="C116" s="10"/>
      <c r="D116" s="135"/>
      <c r="E116" s="135"/>
      <c r="F116" s="135"/>
      <c r="G116" s="135"/>
    </row>
    <row r="117" spans="2:7">
      <c r="B117" s="6"/>
      <c r="C117" s="10"/>
      <c r="D117" s="135"/>
      <c r="E117" s="135"/>
      <c r="F117" s="135"/>
      <c r="G117" s="135"/>
    </row>
    <row r="118" spans="2:7">
      <c r="B118" s="6"/>
      <c r="C118" s="10"/>
      <c r="D118" s="135"/>
      <c r="E118" s="135"/>
      <c r="F118" s="135"/>
      <c r="G118" s="135"/>
    </row>
    <row r="119" spans="2:7">
      <c r="B119" s="6"/>
      <c r="C119" s="10"/>
      <c r="D119" s="135"/>
      <c r="E119" s="135"/>
      <c r="F119" s="135"/>
      <c r="G119" s="135"/>
    </row>
    <row r="120" spans="2:7">
      <c r="B120" s="6"/>
      <c r="C120" s="10"/>
      <c r="D120" s="135"/>
      <c r="E120" s="135"/>
      <c r="F120" s="135"/>
      <c r="G120" s="135"/>
    </row>
    <row r="121" spans="2:7">
      <c r="B121" s="6"/>
      <c r="C121" s="10"/>
      <c r="D121" s="135"/>
      <c r="E121" s="135"/>
      <c r="F121" s="135"/>
      <c r="G121" s="135"/>
    </row>
    <row r="122" spans="2:7">
      <c r="B122" s="6"/>
      <c r="C122" s="10"/>
      <c r="D122" s="135"/>
      <c r="E122" s="135"/>
      <c r="F122" s="135"/>
      <c r="G122" s="135"/>
    </row>
    <row r="123" spans="2:7">
      <c r="B123" s="6"/>
      <c r="C123" s="10"/>
      <c r="D123" s="135"/>
      <c r="E123" s="135"/>
      <c r="F123" s="135"/>
      <c r="G123" s="135"/>
    </row>
    <row r="124" spans="2:7">
      <c r="B124" s="6"/>
      <c r="C124" s="10"/>
      <c r="D124" s="135"/>
      <c r="E124" s="135"/>
      <c r="F124" s="135"/>
      <c r="G124" s="135"/>
    </row>
    <row r="125" spans="2:7">
      <c r="B125" s="490"/>
      <c r="C125" s="10"/>
      <c r="D125" s="135"/>
      <c r="E125" s="135"/>
      <c r="F125" s="135"/>
      <c r="G125" s="135"/>
    </row>
    <row r="126" spans="2:7">
      <c r="B126" s="490"/>
      <c r="C126" s="10"/>
      <c r="D126" s="135"/>
      <c r="E126" s="135"/>
      <c r="F126" s="135"/>
      <c r="G126" s="135"/>
    </row>
    <row r="127" spans="2:7">
      <c r="B127" s="490"/>
      <c r="C127" s="10"/>
      <c r="D127" s="135"/>
      <c r="E127" s="135"/>
      <c r="F127" s="135"/>
      <c r="G127" s="135"/>
    </row>
    <row r="128" spans="2:7">
      <c r="B128" s="490"/>
      <c r="C128" s="10"/>
      <c r="D128" s="135"/>
      <c r="E128" s="135"/>
      <c r="F128" s="135"/>
      <c r="G128" s="135"/>
    </row>
    <row r="129" spans="2:7">
      <c r="B129" s="490"/>
      <c r="C129" s="10"/>
      <c r="D129" s="135"/>
      <c r="E129" s="135"/>
      <c r="F129" s="135"/>
      <c r="G129" s="135"/>
    </row>
    <row r="130" spans="2:7">
      <c r="B130" s="490"/>
      <c r="C130" s="10"/>
      <c r="D130" s="135"/>
      <c r="E130" s="135"/>
      <c r="F130" s="135"/>
      <c r="G130" s="135"/>
    </row>
    <row r="131" spans="2:7">
      <c r="B131" s="490"/>
      <c r="C131" s="10"/>
      <c r="D131" s="135"/>
      <c r="E131" s="135"/>
      <c r="F131" s="135"/>
      <c r="G131" s="135"/>
    </row>
    <row r="132" spans="2:7">
      <c r="B132" s="490"/>
      <c r="C132" s="10"/>
      <c r="D132" s="135"/>
      <c r="E132" s="135"/>
      <c r="F132" s="135"/>
      <c r="G132" s="135"/>
    </row>
    <row r="133" spans="2:7">
      <c r="B133" s="490"/>
      <c r="C133" s="10"/>
      <c r="D133" s="135"/>
      <c r="E133" s="135"/>
      <c r="F133" s="135"/>
      <c r="G133" s="135"/>
    </row>
    <row r="134" spans="2:7">
      <c r="B134" s="490"/>
      <c r="C134" s="10"/>
      <c r="D134" s="135"/>
      <c r="E134" s="135"/>
      <c r="F134" s="135"/>
      <c r="G134" s="135"/>
    </row>
    <row r="135" spans="2:7">
      <c r="B135" s="490"/>
      <c r="C135" s="10"/>
      <c r="D135" s="135"/>
      <c r="E135" s="135"/>
      <c r="F135" s="135"/>
      <c r="G135" s="135"/>
    </row>
    <row r="136" spans="2:7">
      <c r="B136" s="490"/>
      <c r="C136" s="10"/>
      <c r="D136" s="135"/>
      <c r="E136" s="135"/>
      <c r="F136" s="135"/>
      <c r="G136" s="135"/>
    </row>
    <row r="137" spans="2:7">
      <c r="B137" s="490"/>
      <c r="C137" s="10"/>
      <c r="D137" s="135"/>
      <c r="E137" s="135"/>
      <c r="F137" s="135"/>
      <c r="G137" s="135"/>
    </row>
    <row r="138" spans="2:7">
      <c r="B138" s="490"/>
      <c r="C138" s="10"/>
      <c r="D138" s="135"/>
      <c r="E138" s="135"/>
      <c r="F138" s="135"/>
      <c r="G138" s="135"/>
    </row>
    <row r="139" spans="2:7">
      <c r="B139" s="490"/>
      <c r="C139" s="10"/>
      <c r="D139" s="135"/>
      <c r="E139" s="135"/>
      <c r="F139" s="135"/>
      <c r="G139" s="135"/>
    </row>
    <row r="140" spans="2:7">
      <c r="B140" s="490"/>
      <c r="C140" s="10"/>
      <c r="D140" s="135"/>
      <c r="E140" s="135"/>
      <c r="F140" s="135"/>
      <c r="G140" s="135"/>
    </row>
    <row r="141" spans="2:7">
      <c r="B141" s="490"/>
      <c r="C141" s="10"/>
      <c r="D141" s="135"/>
      <c r="E141" s="135"/>
      <c r="F141" s="135"/>
      <c r="G141" s="135"/>
    </row>
    <row r="142" spans="2:7">
      <c r="B142" s="490"/>
      <c r="C142" s="10"/>
      <c r="D142" s="135"/>
      <c r="E142" s="135"/>
      <c r="F142" s="135"/>
      <c r="G142" s="135"/>
    </row>
    <row r="143" spans="2:7">
      <c r="B143" s="490"/>
      <c r="C143" s="10"/>
      <c r="D143" s="135"/>
      <c r="E143" s="135"/>
      <c r="F143" s="135"/>
      <c r="G143" s="135"/>
    </row>
    <row r="144" spans="2:7">
      <c r="B144" s="490"/>
      <c r="C144" s="10"/>
      <c r="D144" s="135"/>
      <c r="E144" s="135"/>
      <c r="F144" s="135"/>
      <c r="G144" s="135"/>
    </row>
    <row r="145" spans="2:7">
      <c r="B145" s="490"/>
      <c r="C145" s="10"/>
      <c r="D145" s="135"/>
      <c r="E145" s="135"/>
      <c r="F145" s="135"/>
      <c r="G145" s="135"/>
    </row>
    <row r="146" spans="2:7">
      <c r="B146" s="490"/>
      <c r="C146" s="10"/>
      <c r="D146" s="135"/>
      <c r="E146" s="135"/>
      <c r="F146" s="135"/>
      <c r="G146" s="135"/>
    </row>
    <row r="147" spans="2:7">
      <c r="B147" s="490"/>
      <c r="C147" s="10"/>
      <c r="D147" s="135"/>
      <c r="E147" s="135"/>
      <c r="F147" s="135"/>
      <c r="G147" s="135"/>
    </row>
    <row r="148" spans="2:7">
      <c r="B148" s="490"/>
      <c r="C148" s="10"/>
      <c r="D148" s="135"/>
      <c r="E148" s="135"/>
      <c r="F148" s="135"/>
      <c r="G148" s="135"/>
    </row>
    <row r="149" spans="2:7">
      <c r="B149" s="490"/>
      <c r="C149" s="10"/>
      <c r="D149" s="135"/>
      <c r="E149" s="135"/>
      <c r="F149" s="135"/>
      <c r="G149" s="135"/>
    </row>
    <row r="150" spans="2:7">
      <c r="B150" s="490"/>
      <c r="C150" s="10"/>
      <c r="D150" s="135"/>
      <c r="E150" s="135"/>
      <c r="F150" s="135"/>
      <c r="G150" s="135"/>
    </row>
    <row r="151" spans="2:7">
      <c r="B151" s="490"/>
      <c r="C151" s="10"/>
      <c r="D151" s="135"/>
      <c r="E151" s="135"/>
      <c r="F151" s="135"/>
      <c r="G151" s="135"/>
    </row>
    <row r="152" spans="2:7">
      <c r="B152" s="490"/>
      <c r="C152" s="10"/>
      <c r="D152" s="135"/>
      <c r="E152" s="135"/>
      <c r="F152" s="135"/>
      <c r="G152" s="135"/>
    </row>
    <row r="153" spans="2:7">
      <c r="B153" s="490"/>
      <c r="C153" s="10"/>
      <c r="D153" s="135"/>
      <c r="E153" s="135"/>
      <c r="F153" s="135"/>
      <c r="G153" s="135"/>
    </row>
    <row r="154" spans="2:7">
      <c r="B154" s="490"/>
      <c r="C154" s="10"/>
      <c r="D154" s="135"/>
      <c r="E154" s="135"/>
      <c r="F154" s="135"/>
      <c r="G154" s="135"/>
    </row>
    <row r="155" spans="2:7">
      <c r="B155" s="490"/>
      <c r="C155" s="10"/>
      <c r="D155" s="135"/>
      <c r="E155" s="135"/>
      <c r="F155" s="135"/>
      <c r="G155" s="135"/>
    </row>
    <row r="156" spans="2:7">
      <c r="B156" s="490"/>
      <c r="C156" s="10"/>
      <c r="D156" s="135"/>
      <c r="E156" s="135"/>
      <c r="F156" s="135"/>
      <c r="G156" s="135"/>
    </row>
    <row r="157" spans="2:7">
      <c r="B157" s="490"/>
      <c r="C157" s="10"/>
      <c r="D157" s="135"/>
      <c r="E157" s="135"/>
      <c r="F157" s="135"/>
      <c r="G157" s="135"/>
    </row>
    <row r="158" spans="2:7">
      <c r="B158" s="490"/>
      <c r="C158" s="10"/>
      <c r="D158" s="135"/>
      <c r="E158" s="135"/>
      <c r="F158" s="135"/>
      <c r="G158" s="135"/>
    </row>
    <row r="159" spans="2:7">
      <c r="B159" s="490"/>
      <c r="C159" s="10"/>
      <c r="D159" s="135"/>
      <c r="E159" s="135"/>
      <c r="F159" s="135"/>
      <c r="G159" s="135"/>
    </row>
    <row r="160" spans="2:7">
      <c r="B160" s="490"/>
      <c r="C160" s="10"/>
      <c r="D160" s="135"/>
      <c r="E160" s="135"/>
      <c r="F160" s="135"/>
      <c r="G160" s="135"/>
    </row>
    <row r="161" spans="2:7">
      <c r="B161" s="490"/>
      <c r="C161" s="10"/>
      <c r="D161" s="135"/>
      <c r="E161" s="135"/>
      <c r="F161" s="135"/>
      <c r="G161" s="135"/>
    </row>
    <row r="162" spans="2:7">
      <c r="B162" s="490"/>
      <c r="C162" s="10"/>
      <c r="D162" s="135"/>
      <c r="E162" s="135"/>
      <c r="F162" s="135"/>
      <c r="G162" s="135"/>
    </row>
    <row r="163" spans="2:7">
      <c r="B163" s="490"/>
      <c r="C163" s="10"/>
      <c r="D163" s="135"/>
      <c r="E163" s="135"/>
      <c r="F163" s="135"/>
      <c r="G163" s="135"/>
    </row>
    <row r="164" spans="2:7">
      <c r="B164" s="490"/>
      <c r="C164" s="10"/>
      <c r="D164" s="135"/>
      <c r="E164" s="135"/>
      <c r="F164" s="135"/>
      <c r="G164" s="135"/>
    </row>
    <row r="165" spans="2:7">
      <c r="B165" s="490"/>
      <c r="C165" s="10"/>
      <c r="D165" s="135"/>
      <c r="E165" s="135"/>
      <c r="F165" s="135"/>
      <c r="G165" s="135"/>
    </row>
    <row r="166" spans="2:7">
      <c r="B166" s="490"/>
      <c r="C166" s="10"/>
      <c r="D166" s="135"/>
      <c r="E166" s="135"/>
      <c r="F166" s="135"/>
      <c r="G166" s="135"/>
    </row>
    <row r="167" spans="2:7">
      <c r="B167" s="490"/>
      <c r="C167" s="10"/>
      <c r="D167" s="135"/>
      <c r="E167" s="135"/>
      <c r="F167" s="135"/>
      <c r="G167" s="135"/>
    </row>
    <row r="168" spans="2:7">
      <c r="B168" s="490"/>
      <c r="C168" s="10"/>
      <c r="D168" s="135"/>
      <c r="E168" s="135"/>
      <c r="F168" s="135"/>
      <c r="G168" s="135"/>
    </row>
    <row r="169" spans="2:7">
      <c r="B169" s="490"/>
      <c r="C169" s="10"/>
      <c r="D169" s="135"/>
      <c r="E169" s="135"/>
      <c r="F169" s="135"/>
      <c r="G169" s="135"/>
    </row>
    <row r="170" spans="2:7">
      <c r="B170" s="490"/>
      <c r="C170" s="10"/>
      <c r="D170" s="135"/>
      <c r="E170" s="135"/>
      <c r="F170" s="135"/>
      <c r="G170" s="135"/>
    </row>
    <row r="171" spans="2:7">
      <c r="B171" s="490"/>
      <c r="C171" s="10"/>
      <c r="D171" s="135"/>
      <c r="E171" s="135"/>
      <c r="F171" s="135"/>
      <c r="G171" s="135"/>
    </row>
    <row r="172" spans="2:7">
      <c r="B172" s="490"/>
      <c r="C172" s="10"/>
      <c r="D172" s="135"/>
      <c r="E172" s="135"/>
      <c r="F172" s="135"/>
      <c r="G172" s="135"/>
    </row>
    <row r="173" spans="2:7">
      <c r="B173" s="490"/>
      <c r="C173" s="10"/>
      <c r="D173" s="135"/>
      <c r="E173" s="135"/>
      <c r="F173" s="135"/>
      <c r="G173" s="135"/>
    </row>
    <row r="174" spans="2:7">
      <c r="B174" s="490"/>
      <c r="C174" s="10"/>
      <c r="D174" s="135"/>
      <c r="E174" s="135"/>
      <c r="F174" s="135"/>
      <c r="G174" s="135"/>
    </row>
    <row r="175" spans="2:7">
      <c r="B175" s="490"/>
      <c r="C175" s="10"/>
      <c r="D175" s="135"/>
      <c r="E175" s="135"/>
      <c r="F175" s="135"/>
      <c r="G175" s="135"/>
    </row>
    <row r="176" spans="2:7">
      <c r="B176" s="490"/>
      <c r="C176" s="10"/>
      <c r="D176" s="135"/>
      <c r="E176" s="135"/>
      <c r="F176" s="135"/>
      <c r="G176" s="135"/>
    </row>
    <row r="177" spans="2:7">
      <c r="B177" s="490"/>
      <c r="C177" s="10"/>
      <c r="D177" s="135"/>
      <c r="E177" s="135"/>
      <c r="F177" s="135"/>
      <c r="G177" s="135"/>
    </row>
    <row r="178" spans="2:7">
      <c r="B178" s="490"/>
      <c r="C178" s="10"/>
      <c r="D178" s="135"/>
      <c r="E178" s="135"/>
      <c r="F178" s="135"/>
      <c r="G178" s="135"/>
    </row>
    <row r="179" spans="2:7">
      <c r="B179" s="490"/>
      <c r="C179" s="10"/>
      <c r="D179" s="135"/>
      <c r="E179" s="135"/>
      <c r="F179" s="135"/>
      <c r="G179" s="135"/>
    </row>
    <row r="180" spans="2:7">
      <c r="B180" s="490"/>
      <c r="C180" s="10"/>
      <c r="D180" s="135"/>
      <c r="E180" s="135"/>
      <c r="F180" s="135"/>
      <c r="G180" s="135"/>
    </row>
    <row r="181" spans="2:7">
      <c r="B181" s="490"/>
      <c r="C181" s="10"/>
      <c r="D181" s="135"/>
      <c r="E181" s="135"/>
      <c r="F181" s="135"/>
      <c r="G181" s="135"/>
    </row>
    <row r="182" spans="2:7">
      <c r="B182" s="490"/>
      <c r="C182" s="10"/>
      <c r="D182" s="135"/>
      <c r="E182" s="135"/>
      <c r="F182" s="135"/>
      <c r="G182" s="135"/>
    </row>
    <row r="183" spans="2:7">
      <c r="B183" s="490"/>
      <c r="C183" s="10"/>
      <c r="D183" s="135"/>
      <c r="E183" s="135"/>
      <c r="F183" s="135"/>
      <c r="G183" s="135"/>
    </row>
    <row r="184" spans="2:7">
      <c r="B184" s="507"/>
      <c r="C184" s="176"/>
      <c r="D184" s="135"/>
      <c r="E184" s="135"/>
      <c r="F184" s="135"/>
      <c r="G184" s="135"/>
    </row>
  </sheetData>
  <mergeCells count="3">
    <mergeCell ref="C3:C4"/>
    <mergeCell ref="D3:G3"/>
    <mergeCell ref="B3:B4"/>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B2:AI523"/>
  <sheetViews>
    <sheetView showGridLines="0" zoomScale="55" zoomScaleNormal="55" workbookViewId="0"/>
  </sheetViews>
  <sheetFormatPr defaultColWidth="11.85546875" defaultRowHeight="12.75"/>
  <cols>
    <col min="1" max="1" width="2.42578125" customWidth="1"/>
    <col min="2" max="2" width="59.7109375" customWidth="1"/>
    <col min="3" max="3" width="59.85546875" customWidth="1"/>
    <col min="4" max="4" width="63.28515625" customWidth="1"/>
    <col min="5" max="5" width="49.140625" customWidth="1"/>
    <col min="6" max="6" width="50.5703125" customWidth="1"/>
    <col min="7" max="7" width="28.85546875" customWidth="1"/>
    <col min="8" max="8" width="42.85546875" customWidth="1"/>
    <col min="9" max="9" width="33.28515625" customWidth="1"/>
    <col min="10" max="10" width="63" customWidth="1"/>
    <col min="11" max="11" width="54.42578125" customWidth="1"/>
    <col min="12" max="12" width="23" bestFit="1" customWidth="1"/>
    <col min="13" max="13" width="17.140625" customWidth="1"/>
  </cols>
  <sheetData>
    <row r="2" spans="2:11">
      <c r="B2" s="2" t="s">
        <v>575</v>
      </c>
    </row>
    <row r="3" spans="2:11">
      <c r="B3" s="313">
        <f>'Painel Controle'!C9</f>
        <v>30</v>
      </c>
    </row>
    <row r="4" spans="2:11">
      <c r="B4" t="s">
        <v>576</v>
      </c>
    </row>
    <row r="6" spans="2:11">
      <c r="B6" s="2" t="s">
        <v>577</v>
      </c>
    </row>
    <row r="7" spans="2:11">
      <c r="B7" s="437">
        <v>0.85</v>
      </c>
    </row>
    <row r="8" spans="2:11">
      <c r="B8" s="165" t="s">
        <v>578</v>
      </c>
    </row>
    <row r="10" spans="2:11">
      <c r="B10" s="2" t="s">
        <v>579</v>
      </c>
      <c r="C10" s="3"/>
    </row>
    <row r="11" spans="2:11" ht="51">
      <c r="B11" s="300" t="s">
        <v>105</v>
      </c>
      <c r="C11" s="300" t="s">
        <v>580</v>
      </c>
      <c r="D11" s="301" t="str" cm="1">
        <f t="array" ref="D11:D15">'Painel Controle'!G83:G87</f>
        <v>Quilometragem do Trecho de Cobertura (TCPk)</v>
      </c>
      <c r="E11" s="302" t="s">
        <v>581</v>
      </c>
      <c r="F11" s="302" t="s">
        <v>582</v>
      </c>
      <c r="G11" s="302" t="s">
        <v>583</v>
      </c>
      <c r="H11" s="302" t="s">
        <v>584</v>
      </c>
      <c r="I11" s="300" t="s">
        <v>585</v>
      </c>
      <c r="J11" s="300" t="s">
        <v>586</v>
      </c>
      <c r="K11" s="375" t="s">
        <v>587</v>
      </c>
    </row>
    <row r="12" spans="2:11">
      <c r="B12" s="175">
        <v>1</v>
      </c>
      <c r="C12" s="175" t="s">
        <v>588</v>
      </c>
      <c r="D12" s="203">
        <v>38.200000000000003</v>
      </c>
      <c r="E12" s="228">
        <v>23.8</v>
      </c>
      <c r="F12" s="203">
        <f>IF(E12/D12&gt;B$7,D12*B$7,E12)</f>
        <v>23.8</v>
      </c>
      <c r="G12" s="219" cm="1">
        <f t="array" ref="G12:G15">F12:F15/D12:D15</f>
        <v>0.62303664921465962</v>
      </c>
      <c r="H12" s="219" cm="1">
        <f t="array" ref="H12:H15">1-_xlfn.ANCHORARRAY(G12)</f>
        <v>0.37696335078534038</v>
      </c>
      <c r="I12" s="477" cm="1">
        <f t="array" aca="1" ref="I12:I15" ca="1">TRANSPOSE(OFFSET(INDEX(C494:F523,B3,1),,,,4))</f>
        <v>3.5297232762871354E-2</v>
      </c>
      <c r="J12" s="435">
        <f ca="1">(((1-I12)^B$3)-1)/(B$3*(-I12*G12))</f>
        <v>0.99999994064252629</v>
      </c>
      <c r="K12" s="50" t="b">
        <f ca="1">ROUND(J12,6) = 1</f>
        <v>1</v>
      </c>
    </row>
    <row r="13" spans="2:11">
      <c r="B13" s="175">
        <v>2</v>
      </c>
      <c r="C13" s="175" t="s">
        <v>32</v>
      </c>
      <c r="D13" s="203">
        <v>45.099999999999994</v>
      </c>
      <c r="E13" s="228">
        <v>31.8</v>
      </c>
      <c r="F13" s="203">
        <f>IF(E13/D13&gt;B$7,D13*B$7,E13)</f>
        <v>31.8</v>
      </c>
      <c r="G13" s="219">
        <v>0.70509977827051007</v>
      </c>
      <c r="H13" s="219">
        <v>0.29490022172948993</v>
      </c>
      <c r="I13" s="477">
        <f ca="1"/>
        <v>2.5479802717488811E-2</v>
      </c>
      <c r="J13" s="435">
        <f ca="1">(((1-I13)^B$3)-1)/(B$3*(-I13*G13))</f>
        <v>0.99999998637808252</v>
      </c>
      <c r="K13" s="50" t="b">
        <f ca="1">ROUND(J13,6) = 1</f>
        <v>1</v>
      </c>
    </row>
    <row r="14" spans="2:11">
      <c r="B14" s="175">
        <v>3</v>
      </c>
      <c r="C14" s="175" t="s">
        <v>36</v>
      </c>
      <c r="D14" s="203">
        <v>72.800000000000011</v>
      </c>
      <c r="E14" s="228">
        <v>72.8</v>
      </c>
      <c r="F14" s="203">
        <f>IF(E14/D14&gt;B$7,D14*B$7,E14)</f>
        <v>61.88000000000001</v>
      </c>
      <c r="G14" s="219">
        <v>0.85</v>
      </c>
      <c r="H14" s="219">
        <v>0.15000000000000002</v>
      </c>
      <c r="I14" s="477">
        <f ca="1"/>
        <v>1.1486162279855522E-2</v>
      </c>
      <c r="J14" s="435">
        <f ca="1">(((1-I14)^B$3)-1)/(B$3*(-I14*G14))</f>
        <v>0.99999999968824493</v>
      </c>
      <c r="K14" s="50" t="b">
        <f ca="1">ROUND(J14,6) = 1</f>
        <v>1</v>
      </c>
    </row>
    <row r="15" spans="2:11">
      <c r="B15" s="175">
        <v>4</v>
      </c>
      <c r="C15" s="175" t="s">
        <v>41</v>
      </c>
      <c r="D15" s="203">
        <v>34</v>
      </c>
      <c r="E15" s="228">
        <v>34</v>
      </c>
      <c r="F15" s="203">
        <f>IF(E15/D15&gt;B$7,D15*B$7,E15)</f>
        <v>28.9</v>
      </c>
      <c r="G15" s="219">
        <v>0.85</v>
      </c>
      <c r="H15" s="219">
        <v>0.15000000000000002</v>
      </c>
      <c r="I15" s="477">
        <f ca="1"/>
        <v>1.1486162279855661E-2</v>
      </c>
      <c r="J15" s="435">
        <f ca="1">(((1-I15)^B$3)-1)/(B$3*(-I15*G15))</f>
        <v>0.99999999968824105</v>
      </c>
      <c r="K15" s="50" t="b">
        <f ca="1">ROUND(J15,6) = 1</f>
        <v>1</v>
      </c>
    </row>
    <row r="16" spans="2:11">
      <c r="B16" t="s">
        <v>589</v>
      </c>
      <c r="H16" s="155"/>
    </row>
    <row r="17" spans="2:9">
      <c r="F17" s="434"/>
    </row>
    <row r="20" spans="2:9" ht="15">
      <c r="E20" s="433"/>
    </row>
    <row r="24" spans="2:9">
      <c r="I24" s="428"/>
    </row>
    <row r="28" spans="2:9">
      <c r="H28" s="5"/>
    </row>
    <row r="32" spans="2:9">
      <c r="B32" s="2" t="s">
        <v>590</v>
      </c>
      <c r="D32" s="39"/>
    </row>
    <row r="33" spans="2:6">
      <c r="B33" s="10" t="s">
        <v>105</v>
      </c>
      <c r="C33" s="176" t="s">
        <v>591</v>
      </c>
      <c r="D33" s="176" t="s">
        <v>592</v>
      </c>
      <c r="E33" s="10" t="s">
        <v>593</v>
      </c>
      <c r="F33" s="10" t="s">
        <v>594</v>
      </c>
    </row>
    <row r="34" spans="2:6">
      <c r="B34" s="230">
        <v>1</v>
      </c>
      <c r="C34" s="12" t="s">
        <v>200</v>
      </c>
      <c r="D34" s="177" t="s">
        <v>595</v>
      </c>
      <c r="E34" s="15">
        <v>0.13100000000000001</v>
      </c>
      <c r="F34" s="12">
        <v>20</v>
      </c>
    </row>
    <row r="35" spans="2:6">
      <c r="B35" s="12">
        <v>1</v>
      </c>
      <c r="C35" s="12" t="s">
        <v>200</v>
      </c>
      <c r="D35" s="177" t="s">
        <v>596</v>
      </c>
      <c r="E35" s="15">
        <v>0.22900000000000001</v>
      </c>
      <c r="F35" s="12">
        <v>4</v>
      </c>
    </row>
    <row r="36" spans="2:6">
      <c r="B36" s="12">
        <v>1</v>
      </c>
      <c r="C36" s="12" t="s">
        <v>200</v>
      </c>
      <c r="D36" s="177" t="s">
        <v>597</v>
      </c>
      <c r="E36" s="15">
        <v>0.40500000000000003</v>
      </c>
      <c r="F36" s="12">
        <v>2</v>
      </c>
    </row>
    <row r="37" spans="2:6">
      <c r="B37" s="12">
        <v>1</v>
      </c>
      <c r="C37" s="12" t="s">
        <v>200</v>
      </c>
      <c r="D37" s="177" t="s">
        <v>598</v>
      </c>
      <c r="E37" s="15">
        <v>0.113</v>
      </c>
      <c r="F37" s="12">
        <v>1</v>
      </c>
    </row>
    <row r="38" spans="2:6">
      <c r="B38" s="12">
        <v>1</v>
      </c>
      <c r="C38" s="12" t="s">
        <v>200</v>
      </c>
      <c r="D38" s="177" t="s">
        <v>599</v>
      </c>
      <c r="E38" s="15">
        <v>7.1999999999999995E-2</v>
      </c>
      <c r="F38" s="12">
        <v>1</v>
      </c>
    </row>
    <row r="39" spans="2:6">
      <c r="B39" s="12">
        <v>1</v>
      </c>
      <c r="C39" s="12" t="s">
        <v>200</v>
      </c>
      <c r="D39" s="177" t="s">
        <v>600</v>
      </c>
      <c r="E39" s="15">
        <v>0.05</v>
      </c>
      <c r="F39" s="12">
        <v>1</v>
      </c>
    </row>
    <row r="40" spans="2:6">
      <c r="B40" s="12">
        <v>1</v>
      </c>
      <c r="C40" s="12" t="s">
        <v>601</v>
      </c>
      <c r="D40" s="177" t="s">
        <v>595</v>
      </c>
      <c r="E40" s="15">
        <v>0.18190000000000001</v>
      </c>
      <c r="F40" s="149" cm="1">
        <f t="array" ref="F40:F45">F$34:F$39</f>
        <v>20</v>
      </c>
    </row>
    <row r="41" spans="2:6">
      <c r="B41" s="12">
        <v>1</v>
      </c>
      <c r="C41" s="12" t="s">
        <v>601</v>
      </c>
      <c r="D41" s="177" t="s">
        <v>596</v>
      </c>
      <c r="E41" s="15">
        <v>0.35</v>
      </c>
      <c r="F41" s="149">
        <v>4</v>
      </c>
    </row>
    <row r="42" spans="2:6">
      <c r="B42" s="12">
        <v>1</v>
      </c>
      <c r="C42" s="12" t="s">
        <v>601</v>
      </c>
      <c r="D42" s="177" t="s">
        <v>597</v>
      </c>
      <c r="E42" s="15">
        <v>0.29799999999999999</v>
      </c>
      <c r="F42" s="149">
        <v>2</v>
      </c>
    </row>
    <row r="43" spans="2:6">
      <c r="B43" s="12">
        <v>1</v>
      </c>
      <c r="C43" s="12" t="s">
        <v>601</v>
      </c>
      <c r="D43" s="177" t="s">
        <v>598</v>
      </c>
      <c r="E43" s="15">
        <v>0.113</v>
      </c>
      <c r="F43" s="149">
        <v>1</v>
      </c>
    </row>
    <row r="44" spans="2:6">
      <c r="B44" s="12">
        <v>1</v>
      </c>
      <c r="C44" s="12" t="s">
        <v>601</v>
      </c>
      <c r="D44" s="177" t="s">
        <v>599</v>
      </c>
      <c r="E44" s="15">
        <v>3.5000000000000003E-2</v>
      </c>
      <c r="F44" s="149">
        <v>1</v>
      </c>
    </row>
    <row r="45" spans="2:6">
      <c r="B45" s="12">
        <v>1</v>
      </c>
      <c r="C45" s="12" t="s">
        <v>601</v>
      </c>
      <c r="D45" s="177" t="s">
        <v>600</v>
      </c>
      <c r="E45" s="15">
        <v>2.3E-2</v>
      </c>
      <c r="F45" s="149">
        <v>1</v>
      </c>
    </row>
    <row r="46" spans="2:6">
      <c r="B46" s="12">
        <v>2</v>
      </c>
      <c r="C46" s="12" t="s">
        <v>200</v>
      </c>
      <c r="D46" s="6" t="s">
        <v>595</v>
      </c>
      <c r="E46" s="15">
        <v>0.13100000000000001</v>
      </c>
      <c r="F46" s="149" cm="1">
        <f t="array" ref="F46:F51">F$34:F$39</f>
        <v>20</v>
      </c>
    </row>
    <row r="47" spans="2:6">
      <c r="B47" s="12">
        <v>2</v>
      </c>
      <c r="C47" s="12" t="s">
        <v>200</v>
      </c>
      <c r="D47" s="6" t="s">
        <v>596</v>
      </c>
      <c r="E47" s="15">
        <v>0.22900000000000001</v>
      </c>
      <c r="F47" s="149">
        <v>4</v>
      </c>
    </row>
    <row r="48" spans="2:6">
      <c r="B48" s="12">
        <v>2</v>
      </c>
      <c r="C48" s="12" t="s">
        <v>200</v>
      </c>
      <c r="D48" s="6" t="s">
        <v>597</v>
      </c>
      <c r="E48" s="15">
        <v>0.40500000000000003</v>
      </c>
      <c r="F48" s="149">
        <v>2</v>
      </c>
    </row>
    <row r="49" spans="2:6">
      <c r="B49" s="12">
        <v>2</v>
      </c>
      <c r="C49" s="12" t="s">
        <v>200</v>
      </c>
      <c r="D49" s="6" t="s">
        <v>598</v>
      </c>
      <c r="E49" s="15">
        <v>0.113</v>
      </c>
      <c r="F49" s="149">
        <v>1</v>
      </c>
    </row>
    <row r="50" spans="2:6">
      <c r="B50" s="12">
        <v>2</v>
      </c>
      <c r="C50" s="12" t="s">
        <v>200</v>
      </c>
      <c r="D50" s="6" t="s">
        <v>599</v>
      </c>
      <c r="E50" s="15">
        <v>7.1999999999999995E-2</v>
      </c>
      <c r="F50" s="149">
        <v>1</v>
      </c>
    </row>
    <row r="51" spans="2:6">
      <c r="B51" s="12">
        <v>2</v>
      </c>
      <c r="C51" s="12" t="s">
        <v>200</v>
      </c>
      <c r="D51" s="6" t="s">
        <v>600</v>
      </c>
      <c r="E51" s="15">
        <v>0.05</v>
      </c>
      <c r="F51" s="149">
        <v>1</v>
      </c>
    </row>
    <row r="52" spans="2:6">
      <c r="B52" s="12">
        <v>2</v>
      </c>
      <c r="C52" s="12" t="s">
        <v>601</v>
      </c>
      <c r="D52" s="6" t="s">
        <v>595</v>
      </c>
      <c r="E52" s="15">
        <v>0.18190000000000001</v>
      </c>
      <c r="F52" s="149" cm="1">
        <f t="array" ref="F52:F57">F$34:F$39</f>
        <v>20</v>
      </c>
    </row>
    <row r="53" spans="2:6">
      <c r="B53" s="12">
        <v>2</v>
      </c>
      <c r="C53" s="12" t="s">
        <v>601</v>
      </c>
      <c r="D53" s="6" t="s">
        <v>596</v>
      </c>
      <c r="E53" s="15">
        <v>0.35</v>
      </c>
      <c r="F53" s="149">
        <v>4</v>
      </c>
    </row>
    <row r="54" spans="2:6">
      <c r="B54" s="12">
        <v>2</v>
      </c>
      <c r="C54" s="12" t="s">
        <v>601</v>
      </c>
      <c r="D54" s="6" t="s">
        <v>597</v>
      </c>
      <c r="E54" s="15">
        <v>0.29799999999999999</v>
      </c>
      <c r="F54" s="149">
        <v>2</v>
      </c>
    </row>
    <row r="55" spans="2:6">
      <c r="B55" s="12">
        <v>2</v>
      </c>
      <c r="C55" s="12" t="s">
        <v>601</v>
      </c>
      <c r="D55" s="6" t="s">
        <v>598</v>
      </c>
      <c r="E55" s="15">
        <v>0.113</v>
      </c>
      <c r="F55" s="149">
        <v>1</v>
      </c>
    </row>
    <row r="56" spans="2:6">
      <c r="B56" s="12">
        <v>2</v>
      </c>
      <c r="C56" s="12" t="s">
        <v>601</v>
      </c>
      <c r="D56" s="6" t="s">
        <v>599</v>
      </c>
      <c r="E56" s="15">
        <v>3.5000000000000003E-2</v>
      </c>
      <c r="F56" s="149">
        <v>1</v>
      </c>
    </row>
    <row r="57" spans="2:6">
      <c r="B57" s="12">
        <v>2</v>
      </c>
      <c r="C57" s="12" t="s">
        <v>601</v>
      </c>
      <c r="D57" s="6" t="s">
        <v>600</v>
      </c>
      <c r="E57" s="15">
        <v>2.3E-2</v>
      </c>
      <c r="F57" s="149">
        <v>1</v>
      </c>
    </row>
    <row r="58" spans="2:6">
      <c r="B58" s="12">
        <v>3</v>
      </c>
      <c r="C58" s="12" t="s">
        <v>200</v>
      </c>
      <c r="D58" s="6" t="s">
        <v>595</v>
      </c>
      <c r="E58" s="15">
        <v>9.8000000000000004E-2</v>
      </c>
      <c r="F58" s="149" cm="1">
        <f t="array" ref="F58:F63">F$34:F$39</f>
        <v>20</v>
      </c>
    </row>
    <row r="59" spans="2:6">
      <c r="B59" s="12">
        <v>3</v>
      </c>
      <c r="C59" s="12" t="s">
        <v>200</v>
      </c>
      <c r="D59" s="6" t="s">
        <v>596</v>
      </c>
      <c r="E59" s="15">
        <v>0.24</v>
      </c>
      <c r="F59" s="149">
        <v>4</v>
      </c>
    </row>
    <row r="60" spans="2:6">
      <c r="B60" s="12">
        <v>3</v>
      </c>
      <c r="C60" s="12" t="s">
        <v>200</v>
      </c>
      <c r="D60" s="6" t="s">
        <v>597</v>
      </c>
      <c r="E60" s="15">
        <v>9.8000000000000004E-2</v>
      </c>
      <c r="F60" s="149">
        <v>2</v>
      </c>
    </row>
    <row r="61" spans="2:6">
      <c r="B61" s="12">
        <v>3</v>
      </c>
      <c r="C61" s="12" t="s">
        <v>200</v>
      </c>
      <c r="D61" s="6" t="s">
        <v>598</v>
      </c>
      <c r="E61" s="15">
        <v>1.9E-2</v>
      </c>
      <c r="F61" s="149">
        <v>1</v>
      </c>
    </row>
    <row r="62" spans="2:6">
      <c r="B62" s="12">
        <v>3</v>
      </c>
      <c r="C62" s="12" t="s">
        <v>200</v>
      </c>
      <c r="D62" s="6" t="s">
        <v>599</v>
      </c>
      <c r="E62" s="15">
        <v>0.49199999999999999</v>
      </c>
      <c r="F62" s="149">
        <v>1</v>
      </c>
    </row>
    <row r="63" spans="2:6">
      <c r="B63" s="12">
        <v>3</v>
      </c>
      <c r="C63" s="12" t="s">
        <v>200</v>
      </c>
      <c r="D63" s="6" t="s">
        <v>600</v>
      </c>
      <c r="E63" s="15">
        <v>5.2999999999999999E-2</v>
      </c>
      <c r="F63" s="149">
        <v>1</v>
      </c>
    </row>
    <row r="64" spans="2:6">
      <c r="B64" s="12">
        <v>3</v>
      </c>
      <c r="C64" s="12" t="s">
        <v>601</v>
      </c>
      <c r="D64" s="6" t="s">
        <v>595</v>
      </c>
      <c r="E64" s="15">
        <v>0.13489999999999999</v>
      </c>
      <c r="F64" s="149" cm="1">
        <f t="array" ref="F64:F69">F$34:F$39</f>
        <v>20</v>
      </c>
    </row>
    <row r="65" spans="2:6">
      <c r="B65" s="12">
        <v>3</v>
      </c>
      <c r="C65" s="12" t="s">
        <v>601</v>
      </c>
      <c r="D65" s="6" t="s">
        <v>596</v>
      </c>
      <c r="E65" s="15">
        <v>0.28399999999999997</v>
      </c>
      <c r="F65" s="149">
        <v>4</v>
      </c>
    </row>
    <row r="66" spans="2:6">
      <c r="B66" s="12">
        <v>3</v>
      </c>
      <c r="C66" s="12" t="s">
        <v>601</v>
      </c>
      <c r="D66" s="6" t="s">
        <v>597</v>
      </c>
      <c r="E66" s="15">
        <v>0.14899999999999999</v>
      </c>
      <c r="F66" s="149">
        <v>2</v>
      </c>
    </row>
    <row r="67" spans="2:6">
      <c r="B67" s="12">
        <v>3</v>
      </c>
      <c r="C67" s="12" t="s">
        <v>601</v>
      </c>
      <c r="D67" s="6" t="s">
        <v>598</v>
      </c>
      <c r="E67" s="15">
        <v>1.4E-2</v>
      </c>
      <c r="F67" s="149">
        <v>1</v>
      </c>
    </row>
    <row r="68" spans="2:6">
      <c r="B68" s="12">
        <v>3</v>
      </c>
      <c r="C68" s="12" t="s">
        <v>601</v>
      </c>
      <c r="D68" s="6" t="s">
        <v>599</v>
      </c>
      <c r="E68" s="15">
        <v>0.39200000000000002</v>
      </c>
      <c r="F68" s="149">
        <v>1</v>
      </c>
    </row>
    <row r="69" spans="2:6">
      <c r="B69" s="12">
        <v>3</v>
      </c>
      <c r="C69" s="12" t="s">
        <v>601</v>
      </c>
      <c r="D69" s="6" t="s">
        <v>600</v>
      </c>
      <c r="E69" s="15">
        <v>2.7E-2</v>
      </c>
      <c r="F69" s="149">
        <v>1</v>
      </c>
    </row>
    <row r="70" spans="2:6">
      <c r="B70" s="12">
        <v>4</v>
      </c>
      <c r="C70" s="12" t="s">
        <v>200</v>
      </c>
      <c r="D70" s="6" t="s">
        <v>595</v>
      </c>
      <c r="E70" s="15">
        <v>0.107</v>
      </c>
      <c r="F70" s="149" cm="1">
        <f t="array" ref="F70:F75">F$34:F$39</f>
        <v>20</v>
      </c>
    </row>
    <row r="71" spans="2:6">
      <c r="B71" s="12">
        <v>4</v>
      </c>
      <c r="C71" s="12" t="s">
        <v>200</v>
      </c>
      <c r="D71" s="6" t="s">
        <v>596</v>
      </c>
      <c r="E71" s="15">
        <v>0.252</v>
      </c>
      <c r="F71" s="149">
        <v>4</v>
      </c>
    </row>
    <row r="72" spans="2:6">
      <c r="B72" s="12">
        <v>4</v>
      </c>
      <c r="C72" s="12" t="s">
        <v>200</v>
      </c>
      <c r="D72" s="6" t="s">
        <v>597</v>
      </c>
      <c r="E72" s="15">
        <v>0.11700000000000001</v>
      </c>
      <c r="F72" s="149">
        <v>2</v>
      </c>
    </row>
    <row r="73" spans="2:6">
      <c r="B73" s="12">
        <v>4</v>
      </c>
      <c r="C73" s="12" t="s">
        <v>200</v>
      </c>
      <c r="D73" s="6" t="s">
        <v>598</v>
      </c>
      <c r="E73" s="15">
        <v>2.1999999999999999E-2</v>
      </c>
      <c r="F73" s="149">
        <v>1</v>
      </c>
    </row>
    <row r="74" spans="2:6">
      <c r="B74" s="12">
        <v>4</v>
      </c>
      <c r="C74" s="12" t="s">
        <v>200</v>
      </c>
      <c r="D74" s="6" t="s">
        <v>599</v>
      </c>
      <c r="E74" s="15">
        <v>0.46700000000000003</v>
      </c>
      <c r="F74" s="149">
        <v>1</v>
      </c>
    </row>
    <row r="75" spans="2:6">
      <c r="B75" s="12">
        <v>4</v>
      </c>
      <c r="C75" s="12" t="s">
        <v>200</v>
      </c>
      <c r="D75" s="6" t="s">
        <v>600</v>
      </c>
      <c r="E75" s="15">
        <v>3.5000000000000003E-2</v>
      </c>
      <c r="F75" s="149">
        <v>1</v>
      </c>
    </row>
    <row r="76" spans="2:6">
      <c r="B76" s="12">
        <v>4</v>
      </c>
      <c r="C76" s="12" t="s">
        <v>601</v>
      </c>
      <c r="D76" s="6" t="s">
        <v>595</v>
      </c>
      <c r="E76" s="15">
        <v>0.14599999999999999</v>
      </c>
      <c r="F76" s="149" cm="1">
        <f t="array" ref="F76:F81">F$34:F$39</f>
        <v>20</v>
      </c>
    </row>
    <row r="77" spans="2:6">
      <c r="B77" s="12">
        <v>4</v>
      </c>
      <c r="C77" s="12" t="s">
        <v>601</v>
      </c>
      <c r="D77" s="6" t="s">
        <v>596</v>
      </c>
      <c r="E77" s="15">
        <v>0.35799999999999998</v>
      </c>
      <c r="F77" s="149">
        <v>4</v>
      </c>
    </row>
    <row r="78" spans="2:6">
      <c r="B78" s="12">
        <v>4</v>
      </c>
      <c r="C78" s="12" t="s">
        <v>601</v>
      </c>
      <c r="D78" s="6" t="s">
        <v>597</v>
      </c>
      <c r="E78" s="15">
        <v>0.17499999999999999</v>
      </c>
      <c r="F78" s="149">
        <v>2</v>
      </c>
    </row>
    <row r="79" spans="2:6">
      <c r="B79" s="12">
        <v>4</v>
      </c>
      <c r="C79" s="12" t="s">
        <v>601</v>
      </c>
      <c r="D79" s="6" t="s">
        <v>598</v>
      </c>
      <c r="E79" s="15">
        <v>1.2999999999999999E-2</v>
      </c>
      <c r="F79" s="149">
        <v>1</v>
      </c>
    </row>
    <row r="80" spans="2:6">
      <c r="B80" s="12">
        <v>4</v>
      </c>
      <c r="C80" s="12" t="s">
        <v>601</v>
      </c>
      <c r="D80" s="6" t="s">
        <v>599</v>
      </c>
      <c r="E80" s="15">
        <v>0.26800000000000002</v>
      </c>
      <c r="F80" s="149">
        <v>1</v>
      </c>
    </row>
    <row r="81" spans="2:14">
      <c r="B81" s="12">
        <v>4</v>
      </c>
      <c r="C81" s="12" t="s">
        <v>601</v>
      </c>
      <c r="D81" s="6" t="s">
        <v>600</v>
      </c>
      <c r="E81" s="15">
        <v>0.04</v>
      </c>
      <c r="F81" s="149">
        <v>1</v>
      </c>
    </row>
    <row r="82" spans="2:14">
      <c r="B82" s="382" t="s">
        <v>214</v>
      </c>
    </row>
    <row r="84" spans="2:14">
      <c r="B84" s="2" t="s">
        <v>602</v>
      </c>
    </row>
    <row r="85" spans="2:14">
      <c r="B85" s="10" t="s">
        <v>105</v>
      </c>
      <c r="C85" s="176" t="s">
        <v>196</v>
      </c>
      <c r="D85" s="176" t="s">
        <v>591</v>
      </c>
      <c r="E85" s="176" t="s">
        <v>592</v>
      </c>
      <c r="F85" s="10" t="s">
        <v>593</v>
      </c>
      <c r="G85" s="10" t="s">
        <v>594</v>
      </c>
      <c r="H85" s="387" t="s">
        <v>603</v>
      </c>
      <c r="I85" s="491" t="s">
        <v>604</v>
      </c>
      <c r="J85" s="178" t="s">
        <v>605</v>
      </c>
      <c r="K85" s="538" t="s">
        <v>606</v>
      </c>
      <c r="L85" s="348"/>
      <c r="M85" s="348"/>
      <c r="N85" s="348"/>
    </row>
    <row r="86" spans="2:14">
      <c r="B86" s="345">
        <v>1</v>
      </c>
      <c r="C86" s="267" t="str">
        <f>'Painel Controle'!C$110</f>
        <v>Automóvel</v>
      </c>
      <c r="D86" s="481" t="str">
        <f>INDEX('Painel Controle'!D$110:D$121,MATCH(C86,'Painel Controle'!C$110:C$121,0))</f>
        <v>Leves</v>
      </c>
      <c r="E86" s="177" t="s">
        <v>595</v>
      </c>
      <c r="F86" s="110" cm="1">
        <f t="array" ref="F86">_xlfn._xlws.FILTER(E$34:E$81,(B$34:B$81 = B86) * (LEFT(C$34:C$81,5) = LEFT(D86,5)) * (D$34:D$81 = E86))</f>
        <v>0.13100000000000001</v>
      </c>
      <c r="G86" s="565" cm="1">
        <f t="array" ref="G86">_xlfn._xlws.FILTER(F$34:F$81,(B$34:B$81 = B86) * (LEFT(C$34:C$81,5) = LEFT(D86,5)) * (D$34:D$81 = E86))</f>
        <v>20</v>
      </c>
      <c r="H86" s="250" t="b">
        <f>OR(C86="Automóvel",C86="Motocicleta")</f>
        <v>1</v>
      </c>
      <c r="I86" s="219" cm="1">
        <f t="array" aca="1" ref="I86" ca="1">IF(G86&lt;=B$3,(1-((1-INDEX(I$12:I$15,B86))^(G86-1))),(1-((1-INDEX(I$12:I$15,B86))^(B$3-1)))) * H86</f>
        <v>0.49478415641397522</v>
      </c>
      <c r="J86" s="110" cm="1">
        <f t="array" aca="1" ref="J86" ca="1">_xlfn.LET(_xlpm.númerotermospg,MIN(B$3,G86),_xlpm.razão,1-INDEX(_xlfn.ANCHORARRAY(I$12),B86),_xlpm.somatermospg,((_xlpm.razão^_xlpm.númerotermospg)-1)/(_xlpm.razão-1),_xlpm.númerotermosconstantes,IF(G86&lt;=B$3,0,G86-B$3),_xlpm.somatermosconstantes,(1-I86)*_xlpm.númerotermosconstantes,_xlpm.somatodostermos,_xlpm.somatermospg+_xlpm.somatermosconstantes,_xlpm.médiatodosostermos,_xlpm.somatodostermos/G86,1 - _xlpm.médiatodosostermos) * H86</f>
        <v>0.27385684724308468</v>
      </c>
      <c r="K86" s="110" cm="1">
        <f t="array" aca="1" ref="K86:K373" ca="1">F86:F373 * J86:J373</f>
        <v>3.5875246988844096E-2</v>
      </c>
    </row>
    <row r="87" spans="2:14">
      <c r="B87" s="345">
        <v>1</v>
      </c>
      <c r="C87" s="267" t="str">
        <f>'Painel Controle'!C$110</f>
        <v>Automóvel</v>
      </c>
      <c r="D87" s="481" t="str">
        <f>INDEX('Painel Controle'!D$110:D$121,MATCH(C87,'Painel Controle'!C$110:C$121,0))</f>
        <v>Leves</v>
      </c>
      <c r="E87" s="177" t="s">
        <v>596</v>
      </c>
      <c r="F87" s="110" cm="1">
        <f t="array" ref="F87">_xlfn._xlws.FILTER(E$34:E$81,(B$34:B$81 = B87) * (LEFT(C$34:C$81,5) = LEFT(D87,5)) * (D$34:D$81 = E87))</f>
        <v>0.22900000000000001</v>
      </c>
      <c r="G87" s="565" cm="1">
        <f t="array" ref="G87">_xlfn._xlws.FILTER(F$34:F$81,(B$34:B$81 = B87) * (LEFT(C$34:C$81,5) = LEFT(D87,5)) * (D$34:D$81 = E87))</f>
        <v>4</v>
      </c>
      <c r="H87" s="250" t="b">
        <f t="shared" ref="H87:H150" si="0">OR(C87="Automóvel",C87="Motocicleta")</f>
        <v>1</v>
      </c>
      <c r="I87" s="219" cm="1">
        <f t="array" aca="1" ref="I87" ca="1">IF(G87&lt;=B$3,(1-((1-INDEX(I$12:I$15,B87))^(G87-1))),(1-((1-INDEX(I$12:I$15,B87))^(B$3-1)))) * H87</f>
        <v>0.10219799099959637</v>
      </c>
      <c r="J87" s="110" cm="1">
        <f t="array" aca="1" ref="J87" ca="1">_xlfn.LET(_xlpm.númerotermospg,MIN(B$3,G87),_xlpm.razão,1-INDEX(_xlfn.ANCHORARRAY(I$12),B87),_xlpm.somatermospg,((_xlpm.razão^_xlpm.númerotermospg)-1)/(_xlpm.razão-1),_xlpm.númerotermosconstantes,IF(G87&lt;=B$3,0,G87-B$3),_xlpm.somatermosconstantes,(1-I87)*_xlpm.númerotermosconstantes,_xlpm.somatodostermos,_xlpm.somatermospg+_xlpm.somatermosconstantes,_xlpm.médiatodosostermos,_xlpm.somatodostermos/G87,1 - _xlpm.médiatodosostermos) * H87</f>
        <v>5.1710948661873535E-2</v>
      </c>
      <c r="K87" s="110">
        <f ca="1"/>
        <v>1.1841807243569039E-2</v>
      </c>
    </row>
    <row r="88" spans="2:14">
      <c r="B88" s="345">
        <v>1</v>
      </c>
      <c r="C88" s="267" t="str">
        <f>'Painel Controle'!C$110</f>
        <v>Automóvel</v>
      </c>
      <c r="D88" s="481" t="str">
        <f>INDEX('Painel Controle'!D$110:D$121,MATCH(C88,'Painel Controle'!C$110:C$121,0))</f>
        <v>Leves</v>
      </c>
      <c r="E88" s="177" t="s">
        <v>597</v>
      </c>
      <c r="F88" s="110" cm="1">
        <f t="array" ref="F88">_xlfn._xlws.FILTER(E$34:E$81,(B$34:B$81 = B88) * (LEFT(C$34:C$81,5) = LEFT(D88,5)) * (D$34:D$81 = E88))</f>
        <v>0.40500000000000003</v>
      </c>
      <c r="G88" s="565" cm="1">
        <f t="array" ref="G88">_xlfn._xlws.FILTER(F$34:F$81,(B$34:B$81 = B88) * (LEFT(C$34:C$81,5) = LEFT(D88,5)) * (D$34:D$81 = E88))</f>
        <v>2</v>
      </c>
      <c r="H88" s="250" t="b">
        <f t="shared" si="0"/>
        <v>1</v>
      </c>
      <c r="I88" s="219" cm="1">
        <f t="array" aca="1" ref="I88" ca="1">IF(G88&lt;=B$3,(1-((1-INDEX(I$12:I$15,B88))^(G88-1))),(1-((1-INDEX(I$12:I$15,B88))^(B$3-1)))) * H88</f>
        <v>3.5297232762871333E-2</v>
      </c>
      <c r="J88" s="110" cm="1">
        <f t="array" aca="1" ref="J88" ca="1">_xlfn.LET(_xlpm.númerotermospg,MIN(B$3,G88),_xlpm.razão,1-INDEX(_xlfn.ANCHORARRAY(I$12),B88),_xlpm.somatermospg,((_xlpm.razão^_xlpm.númerotermospg)-1)/(_xlpm.razão-1),_xlpm.númerotermosconstantes,IF(G88&lt;=B$3,0,G88-B$3),_xlpm.somatermosconstantes,(1-I88)*_xlpm.númerotermosconstantes,_xlpm.somatodostermos,_xlpm.somatermospg+_xlpm.somatermosconstantes,_xlpm.médiatodosostermos,_xlpm.somatodostermos/G88,1 - _xlpm.médiatodosostermos) * H88</f>
        <v>1.7648616381436E-2</v>
      </c>
      <c r="K88" s="110">
        <f ca="1"/>
        <v>7.1476896344815806E-3</v>
      </c>
    </row>
    <row r="89" spans="2:14">
      <c r="B89" s="345">
        <v>1</v>
      </c>
      <c r="C89" s="267" t="str">
        <f>'Painel Controle'!C$110</f>
        <v>Automóvel</v>
      </c>
      <c r="D89" s="481" t="str">
        <f>INDEX('Painel Controle'!D$110:D$121,MATCH(C89,'Painel Controle'!C$110:C$121,0))</f>
        <v>Leves</v>
      </c>
      <c r="E89" s="177" t="s">
        <v>598</v>
      </c>
      <c r="F89" s="110" cm="1">
        <f t="array" ref="F89">_xlfn._xlws.FILTER(E$34:E$81,(B$34:B$81 = B89) * (LEFT(C$34:C$81,5) = LEFT(D89,5)) * (D$34:D$81 = E89))</f>
        <v>0.113</v>
      </c>
      <c r="G89" s="565" cm="1">
        <f t="array" ref="G89">_xlfn._xlws.FILTER(F$34:F$81,(B$34:B$81 = B89) * (LEFT(C$34:C$81,5) = LEFT(D89,5)) * (D$34:D$81 = E89))</f>
        <v>1</v>
      </c>
      <c r="H89" s="250" t="b">
        <f t="shared" si="0"/>
        <v>1</v>
      </c>
      <c r="I89" s="219" cm="1">
        <f t="array" aca="1" ref="I89" ca="1">IF(G89&lt;=B$3,(1-((1-INDEX(I$12:I$15,B89))^(G89-1))),(1-((1-INDEX(I$12:I$15,B89))^(B$3-1)))) * H89</f>
        <v>0</v>
      </c>
      <c r="J89" s="110" cm="1">
        <f t="array" aca="1" ref="J89" ca="1">_xlfn.LET(_xlpm.númerotermospg,MIN(B$3,G89),_xlpm.razão,1-INDEX(_xlfn.ANCHORARRAY(I$12),B89),_xlpm.somatermospg,((_xlpm.razão^_xlpm.númerotermospg)-1)/(_xlpm.razão-1),_xlpm.númerotermosconstantes,IF(G89&lt;=B$3,0,G89-B$3),_xlpm.somatermosconstantes,(1-I89)*_xlpm.númerotermosconstantes,_xlpm.somatodostermos,_xlpm.somatermospg+_xlpm.somatermosconstantes,_xlpm.médiatodosostermos,_xlpm.somatodostermos/G89,1 - _xlpm.médiatodosostermos) * H89</f>
        <v>0</v>
      </c>
      <c r="K89" s="110">
        <f ca="1"/>
        <v>0</v>
      </c>
    </row>
    <row r="90" spans="2:14">
      <c r="B90" s="345">
        <v>1</v>
      </c>
      <c r="C90" s="267" t="str">
        <f>'Painel Controle'!C$110</f>
        <v>Automóvel</v>
      </c>
      <c r="D90" s="481" t="str">
        <f>INDEX('Painel Controle'!D$110:D$121,MATCH(C90,'Painel Controle'!C$110:C$121,0))</f>
        <v>Leves</v>
      </c>
      <c r="E90" s="177" t="s">
        <v>599</v>
      </c>
      <c r="F90" s="110" cm="1">
        <f t="array" ref="F90">_xlfn._xlws.FILTER(E$34:E$81,(B$34:B$81 = B90) * (LEFT(C$34:C$81,5) = LEFT(D90,5)) * (D$34:D$81 = E90))</f>
        <v>7.1999999999999995E-2</v>
      </c>
      <c r="G90" s="565" cm="1">
        <f t="array" ref="G90">_xlfn._xlws.FILTER(F$34:F$81,(B$34:B$81 = B90) * (LEFT(C$34:C$81,5) = LEFT(D90,5)) * (D$34:D$81 = E90))</f>
        <v>1</v>
      </c>
      <c r="H90" s="250" t="b">
        <f t="shared" si="0"/>
        <v>1</v>
      </c>
      <c r="I90" s="219" cm="1">
        <f t="array" aca="1" ref="I90" ca="1">IF(G90&lt;=B$3,(1-((1-INDEX(I$12:I$15,B90))^(G90-1))),(1-((1-INDEX(I$12:I$15,B90))^(B$3-1)))) * H90</f>
        <v>0</v>
      </c>
      <c r="J90" s="110" cm="1">
        <f t="array" aca="1" ref="J90" ca="1">_xlfn.LET(_xlpm.númerotermospg,MIN(B$3,G90),_xlpm.razão,1-INDEX(_xlfn.ANCHORARRAY(I$12),B90),_xlpm.somatermospg,((_xlpm.razão^_xlpm.númerotermospg)-1)/(_xlpm.razão-1),_xlpm.númerotermosconstantes,IF(G90&lt;=B$3,0,G90-B$3),_xlpm.somatermosconstantes,(1-I90)*_xlpm.númerotermosconstantes,_xlpm.somatodostermos,_xlpm.somatermospg+_xlpm.somatermosconstantes,_xlpm.médiatodosostermos,_xlpm.somatodostermos/G90,1 - _xlpm.médiatodosostermos) * H90</f>
        <v>0</v>
      </c>
      <c r="K90" s="110">
        <f ca="1"/>
        <v>0</v>
      </c>
    </row>
    <row r="91" spans="2:14">
      <c r="B91" s="345">
        <v>1</v>
      </c>
      <c r="C91" s="267" t="str">
        <f>'Painel Controle'!C$110</f>
        <v>Automóvel</v>
      </c>
      <c r="D91" s="481" t="str">
        <f>INDEX('Painel Controle'!D$110:D$121,MATCH(C91,'Painel Controle'!C$110:C$121,0))</f>
        <v>Leves</v>
      </c>
      <c r="E91" s="177" t="s">
        <v>600</v>
      </c>
      <c r="F91" s="110" cm="1">
        <f t="array" ref="F91">_xlfn._xlws.FILTER(E$34:E$81,(B$34:B$81 = B91) * (LEFT(C$34:C$81,5) = LEFT(D91,5)) * (D$34:D$81 = E91))</f>
        <v>0.05</v>
      </c>
      <c r="G91" s="565" cm="1">
        <f t="array" ref="G91">_xlfn._xlws.FILTER(F$34:F$81,(B$34:B$81 = B91) * (LEFT(C$34:C$81,5) = LEFT(D91,5)) * (D$34:D$81 = E91))</f>
        <v>1</v>
      </c>
      <c r="H91" s="250" t="b">
        <f t="shared" si="0"/>
        <v>1</v>
      </c>
      <c r="I91" s="219" cm="1">
        <f t="array" aca="1" ref="I91" ca="1">IF(G91&lt;=B$3,(1-((1-INDEX(I$12:I$15,B91))^(G91-1))),(1-((1-INDEX(I$12:I$15,B91))^(B$3-1)))) * H91</f>
        <v>0</v>
      </c>
      <c r="J91" s="110" cm="1">
        <f t="array" aca="1" ref="J91" ca="1">_xlfn.LET(_xlpm.númerotermospg,MIN(B$3,G91),_xlpm.razão,1-INDEX(_xlfn.ANCHORARRAY(I$12),B91),_xlpm.somatermospg,((_xlpm.razão^_xlpm.númerotermospg)-1)/(_xlpm.razão-1),_xlpm.númerotermosconstantes,IF(G91&lt;=B$3,0,G91-B$3),_xlpm.somatermosconstantes,(1-I91)*_xlpm.númerotermosconstantes,_xlpm.somatodostermos,_xlpm.somatermospg+_xlpm.somatermosconstantes,_xlpm.médiatodosostermos,_xlpm.somatodostermos/G91,1 - _xlpm.médiatodosostermos) * H91</f>
        <v>0</v>
      </c>
      <c r="K91" s="110">
        <f ca="1"/>
        <v>0</v>
      </c>
    </row>
    <row r="92" spans="2:14">
      <c r="B92" s="345">
        <v>1</v>
      </c>
      <c r="C92" s="267" t="str">
        <f>'Painel Controle'!C$111</f>
        <v xml:space="preserve">Automóvel com reboque </v>
      </c>
      <c r="D92" s="481" t="str">
        <f>INDEX('Painel Controle'!D$110:D$121,MATCH(C92,'Painel Controle'!C$110:C$121,0))</f>
        <v>Leves</v>
      </c>
      <c r="E92" s="177" t="s">
        <v>595</v>
      </c>
      <c r="F92" s="110" cm="1">
        <f t="array" ref="F92">_xlfn._xlws.FILTER(E$34:E$81,(B$34:B$81 = B92) * (LEFT(C$34:C$81,5) = LEFT(D92,5)) * (D$34:D$81 = E92))</f>
        <v>0.13100000000000001</v>
      </c>
      <c r="G92" s="565" cm="1">
        <f t="array" ref="G92">_xlfn._xlws.FILTER(F$34:F$81,(B$34:B$81 = B92) * (LEFT(C$34:C$81,5) = LEFT(D92,5)) * (D$34:D$81 = E92))</f>
        <v>20</v>
      </c>
      <c r="H92" s="250" t="b">
        <f t="shared" si="0"/>
        <v>0</v>
      </c>
      <c r="I92" s="219" cm="1">
        <f t="array" aca="1" ref="I92" ca="1">IF(G92&lt;=B$3,(1-((1-INDEX(I$12:I$15,B92))^(G92-1))),(1-((1-INDEX(I$12:I$15,B92))^(B$3-1)))) * H92</f>
        <v>0</v>
      </c>
      <c r="J92" s="110" cm="1">
        <f t="array" aca="1" ref="J92" ca="1">_xlfn.LET(_xlpm.númerotermospg,MIN(B$3,G92),_xlpm.razão,1-INDEX(_xlfn.ANCHORARRAY(I$12),B92),_xlpm.somatermospg,((_xlpm.razão^_xlpm.númerotermospg)-1)/(_xlpm.razão-1),_xlpm.númerotermosconstantes,IF(G92&lt;=B$3,0,G92-B$3),_xlpm.somatermosconstantes,(1-I92)*_xlpm.númerotermosconstantes,_xlpm.somatodostermos,_xlpm.somatermospg+_xlpm.somatermosconstantes,_xlpm.médiatodosostermos,_xlpm.somatodostermos/G92,1 - _xlpm.médiatodosostermos) * H92</f>
        <v>0</v>
      </c>
      <c r="K92" s="110">
        <f ca="1"/>
        <v>0</v>
      </c>
    </row>
    <row r="93" spans="2:14">
      <c r="B93" s="345">
        <v>1</v>
      </c>
      <c r="C93" s="267" t="str">
        <f>'Painel Controle'!C$111</f>
        <v xml:space="preserve">Automóvel com reboque </v>
      </c>
      <c r="D93" s="481" t="str">
        <f>INDEX('Painel Controle'!D$110:D$121,MATCH(C93,'Painel Controle'!C$110:C$121,0))</f>
        <v>Leves</v>
      </c>
      <c r="E93" s="177" t="s">
        <v>596</v>
      </c>
      <c r="F93" s="110" cm="1">
        <f t="array" ref="F93">_xlfn._xlws.FILTER(E$34:E$81,(B$34:B$81 = B93) * (LEFT(C$34:C$81,5) = LEFT(D93,5)) * (D$34:D$81 = E93))</f>
        <v>0.22900000000000001</v>
      </c>
      <c r="G93" s="565" cm="1">
        <f t="array" ref="G93">_xlfn._xlws.FILTER(F$34:F$81,(B$34:B$81 = B93) * (LEFT(C$34:C$81,5) = LEFT(D93,5)) * (D$34:D$81 = E93))</f>
        <v>4</v>
      </c>
      <c r="H93" s="250" t="b">
        <f t="shared" si="0"/>
        <v>0</v>
      </c>
      <c r="I93" s="219" cm="1">
        <f t="array" aca="1" ref="I93" ca="1">IF(G93&lt;=B$3,(1-((1-INDEX(I$12:I$15,B93))^(G93-1))),(1-((1-INDEX(I$12:I$15,B93))^(B$3-1)))) * H93</f>
        <v>0</v>
      </c>
      <c r="J93" s="110" cm="1">
        <f t="array" aca="1" ref="J93" ca="1">_xlfn.LET(_xlpm.númerotermospg,MIN(B$3,G93),_xlpm.razão,1-INDEX(_xlfn.ANCHORARRAY(I$12),B93),_xlpm.somatermospg,((_xlpm.razão^_xlpm.númerotermospg)-1)/(_xlpm.razão-1),_xlpm.númerotermosconstantes,IF(G93&lt;=B$3,0,G93-B$3),_xlpm.somatermosconstantes,(1-I93)*_xlpm.númerotermosconstantes,_xlpm.somatodostermos,_xlpm.somatermospg+_xlpm.somatermosconstantes,_xlpm.médiatodosostermos,_xlpm.somatodostermos/G93,1 - _xlpm.médiatodosostermos) * H93</f>
        <v>0</v>
      </c>
      <c r="K93" s="110">
        <f ca="1"/>
        <v>0</v>
      </c>
    </row>
    <row r="94" spans="2:14">
      <c r="B94" s="345">
        <v>1</v>
      </c>
      <c r="C94" s="267" t="str">
        <f>'Painel Controle'!C$111</f>
        <v xml:space="preserve">Automóvel com reboque </v>
      </c>
      <c r="D94" s="481" t="str">
        <f>INDEX('Painel Controle'!D$110:D$121,MATCH(C94,'Painel Controle'!C$110:C$121,0))</f>
        <v>Leves</v>
      </c>
      <c r="E94" s="177" t="s">
        <v>597</v>
      </c>
      <c r="F94" s="110" cm="1">
        <f t="array" ref="F94">_xlfn._xlws.FILTER(E$34:E$81,(B$34:B$81 = B94) * (LEFT(C$34:C$81,5) = LEFT(D94,5)) * (D$34:D$81 = E94))</f>
        <v>0.40500000000000003</v>
      </c>
      <c r="G94" s="565" cm="1">
        <f t="array" ref="G94">_xlfn._xlws.FILTER(F$34:F$81,(B$34:B$81 = B94) * (LEFT(C$34:C$81,5) = LEFT(D94,5)) * (D$34:D$81 = E94))</f>
        <v>2</v>
      </c>
      <c r="H94" s="250" t="b">
        <f t="shared" si="0"/>
        <v>0</v>
      </c>
      <c r="I94" s="219" cm="1">
        <f t="array" aca="1" ref="I94" ca="1">IF(G94&lt;=B$3,(1-((1-INDEX(I$12:I$15,B94))^(G94-1))),(1-((1-INDEX(I$12:I$15,B94))^(B$3-1)))) * H94</f>
        <v>0</v>
      </c>
      <c r="J94" s="110" cm="1">
        <f t="array" aca="1" ref="J94" ca="1">_xlfn.LET(_xlpm.númerotermospg,MIN(B$3,G94),_xlpm.razão,1-INDEX(_xlfn.ANCHORARRAY(I$12),B94),_xlpm.somatermospg,((_xlpm.razão^_xlpm.númerotermospg)-1)/(_xlpm.razão-1),_xlpm.númerotermosconstantes,IF(G94&lt;=B$3,0,G94-B$3),_xlpm.somatermosconstantes,(1-I94)*_xlpm.númerotermosconstantes,_xlpm.somatodostermos,_xlpm.somatermospg+_xlpm.somatermosconstantes,_xlpm.médiatodosostermos,_xlpm.somatodostermos/G94,1 - _xlpm.médiatodosostermos) * H94</f>
        <v>0</v>
      </c>
      <c r="K94" s="110">
        <f ca="1"/>
        <v>0</v>
      </c>
    </row>
    <row r="95" spans="2:14">
      <c r="B95" s="345">
        <v>1</v>
      </c>
      <c r="C95" s="267" t="str">
        <f>'Painel Controle'!C$111</f>
        <v xml:space="preserve">Automóvel com reboque </v>
      </c>
      <c r="D95" s="481" t="str">
        <f>INDEX('Painel Controle'!D$110:D$121,MATCH(C95,'Painel Controle'!C$110:C$121,0))</f>
        <v>Leves</v>
      </c>
      <c r="E95" s="177" t="s">
        <v>598</v>
      </c>
      <c r="F95" s="110" cm="1">
        <f t="array" ref="F95">_xlfn._xlws.FILTER(E$34:E$81,(B$34:B$81 = B95) * (LEFT(C$34:C$81,5) = LEFT(D95,5)) * (D$34:D$81 = E95))</f>
        <v>0.113</v>
      </c>
      <c r="G95" s="565" cm="1">
        <f t="array" ref="G95">_xlfn._xlws.FILTER(F$34:F$81,(B$34:B$81 = B95) * (LEFT(C$34:C$81,5) = LEFT(D95,5)) * (D$34:D$81 = E95))</f>
        <v>1</v>
      </c>
      <c r="H95" s="250" t="b">
        <f t="shared" si="0"/>
        <v>0</v>
      </c>
      <c r="I95" s="219" cm="1">
        <f t="array" aca="1" ref="I95" ca="1">IF(G95&lt;=B$3,(1-((1-INDEX(I$12:I$15,B95))^(G95-1))),(1-((1-INDEX(I$12:I$15,B95))^(B$3-1)))) * H95</f>
        <v>0</v>
      </c>
      <c r="J95" s="110" cm="1">
        <f t="array" aca="1" ref="J95" ca="1">_xlfn.LET(_xlpm.númerotermospg,MIN(B$3,G95),_xlpm.razão,1-INDEX(_xlfn.ANCHORARRAY(I$12),B95),_xlpm.somatermospg,((_xlpm.razão^_xlpm.númerotermospg)-1)/(_xlpm.razão-1),_xlpm.númerotermosconstantes,IF(G95&lt;=B$3,0,G95-B$3),_xlpm.somatermosconstantes,(1-I95)*_xlpm.númerotermosconstantes,_xlpm.somatodostermos,_xlpm.somatermospg+_xlpm.somatermosconstantes,_xlpm.médiatodosostermos,_xlpm.somatodostermos/G95,1 - _xlpm.médiatodosostermos) * H95</f>
        <v>0</v>
      </c>
      <c r="K95" s="110">
        <f ca="1"/>
        <v>0</v>
      </c>
    </row>
    <row r="96" spans="2:14">
      <c r="B96" s="345">
        <v>1</v>
      </c>
      <c r="C96" s="267" t="str">
        <f>'Painel Controle'!C$111</f>
        <v xml:space="preserve">Automóvel com reboque </v>
      </c>
      <c r="D96" s="481" t="str">
        <f>INDEX('Painel Controle'!D$110:D$121,MATCH(C96,'Painel Controle'!C$110:C$121,0))</f>
        <v>Leves</v>
      </c>
      <c r="E96" s="177" t="s">
        <v>599</v>
      </c>
      <c r="F96" s="110" cm="1">
        <f t="array" ref="F96">_xlfn._xlws.FILTER(E$34:E$81,(B$34:B$81 = B96) * (LEFT(C$34:C$81,5) = LEFT(D96,5)) * (D$34:D$81 = E96))</f>
        <v>7.1999999999999995E-2</v>
      </c>
      <c r="G96" s="565" cm="1">
        <f t="array" ref="G96">_xlfn._xlws.FILTER(F$34:F$81,(B$34:B$81 = B96) * (LEFT(C$34:C$81,5) = LEFT(D96,5)) * (D$34:D$81 = E96))</f>
        <v>1</v>
      </c>
      <c r="H96" s="250" t="b">
        <f t="shared" si="0"/>
        <v>0</v>
      </c>
      <c r="I96" s="219" cm="1">
        <f t="array" aca="1" ref="I96" ca="1">IF(G96&lt;=B$3,(1-((1-INDEX(I$12:I$15,B96))^(G96-1))),(1-((1-INDEX(I$12:I$15,B96))^(B$3-1)))) * H96</f>
        <v>0</v>
      </c>
      <c r="J96" s="110" cm="1">
        <f t="array" aca="1" ref="J96" ca="1">_xlfn.LET(_xlpm.númerotermospg,MIN(B$3,G96),_xlpm.razão,1-INDEX(_xlfn.ANCHORARRAY(I$12),B96),_xlpm.somatermospg,((_xlpm.razão^_xlpm.númerotermospg)-1)/(_xlpm.razão-1),_xlpm.númerotermosconstantes,IF(G96&lt;=B$3,0,G96-B$3),_xlpm.somatermosconstantes,(1-I96)*_xlpm.númerotermosconstantes,_xlpm.somatodostermos,_xlpm.somatermospg+_xlpm.somatermosconstantes,_xlpm.médiatodosostermos,_xlpm.somatodostermos/G96,1 - _xlpm.médiatodosostermos) * H96</f>
        <v>0</v>
      </c>
      <c r="K96" s="110">
        <f ca="1"/>
        <v>0</v>
      </c>
    </row>
    <row r="97" spans="2:11">
      <c r="B97" s="345">
        <v>1</v>
      </c>
      <c r="C97" s="267" t="str">
        <f>'Painel Controle'!C$111</f>
        <v xml:space="preserve">Automóvel com reboque </v>
      </c>
      <c r="D97" s="481" t="str">
        <f>INDEX('Painel Controle'!D$110:D$121,MATCH(C97,'Painel Controle'!C$110:C$121,0))</f>
        <v>Leves</v>
      </c>
      <c r="E97" s="177" t="s">
        <v>600</v>
      </c>
      <c r="F97" s="110" cm="1">
        <f t="array" ref="F97">_xlfn._xlws.FILTER(E$34:E$81,(B$34:B$81 = B97) * (LEFT(C$34:C$81,5) = LEFT(D97,5)) * (D$34:D$81 = E97))</f>
        <v>0.05</v>
      </c>
      <c r="G97" s="565" cm="1">
        <f t="array" ref="G97">_xlfn._xlws.FILTER(F$34:F$81,(B$34:B$81 = B97) * (LEFT(C$34:C$81,5) = LEFT(D97,5)) * (D$34:D$81 = E97))</f>
        <v>1</v>
      </c>
      <c r="H97" s="250" t="b">
        <f t="shared" si="0"/>
        <v>0</v>
      </c>
      <c r="I97" s="219" cm="1">
        <f t="array" aca="1" ref="I97" ca="1">IF(G97&lt;=B$3,(1-((1-INDEX(I$12:I$15,B97))^(G97-1))),(1-((1-INDEX(I$12:I$15,B97))^(B$3-1)))) * H97</f>
        <v>0</v>
      </c>
      <c r="J97" s="110" cm="1">
        <f t="array" aca="1" ref="J97" ca="1">_xlfn.LET(_xlpm.númerotermospg,MIN(B$3,G97),_xlpm.razão,1-INDEX(_xlfn.ANCHORARRAY(I$12),B97),_xlpm.somatermospg,((_xlpm.razão^_xlpm.númerotermospg)-1)/(_xlpm.razão-1),_xlpm.númerotermosconstantes,IF(G97&lt;=B$3,0,G97-B$3),_xlpm.somatermosconstantes,(1-I97)*_xlpm.númerotermosconstantes,_xlpm.somatodostermos,_xlpm.somatermospg+_xlpm.somatermosconstantes,_xlpm.médiatodosostermos,_xlpm.somatodostermos/G97,1 - _xlpm.médiatodosostermos) * H97</f>
        <v>0</v>
      </c>
      <c r="K97" s="110">
        <f ca="1"/>
        <v>0</v>
      </c>
    </row>
    <row r="98" spans="2:11">
      <c r="B98" s="345">
        <v>1</v>
      </c>
      <c r="C98" s="267" t="str">
        <f>'Painel Controle'!C$112</f>
        <v>Veículos Comerciais com 2 Eixos</v>
      </c>
      <c r="D98" s="481" t="str">
        <f>INDEX('Painel Controle'!D$110:D$121,MATCH(C98,'Painel Controle'!C$110:C$121,0))</f>
        <v>Pesados I</v>
      </c>
      <c r="E98" s="177" t="s">
        <v>595</v>
      </c>
      <c r="F98" s="110" cm="1">
        <f t="array" ref="F98">_xlfn._xlws.FILTER(E$34:E$81,(B$34:B$81 = B98) * (LEFT(C$34:C$81,5) = LEFT(D98,5)) * (D$34:D$81 = E98))</f>
        <v>0.18190000000000001</v>
      </c>
      <c r="G98" s="565" cm="1">
        <f t="array" ref="G98">_xlfn._xlws.FILTER(F$34:F$81,(B$34:B$81 = B98) * (LEFT(C$34:C$81,5) = LEFT(D98,5)) * (D$34:D$81 = E98))</f>
        <v>20</v>
      </c>
      <c r="H98" s="250" t="b">
        <f t="shared" si="0"/>
        <v>0</v>
      </c>
      <c r="I98" s="219" cm="1">
        <f t="array" aca="1" ref="I98" ca="1">IF(G98&lt;=B$3,(1-((1-INDEX(I$12:I$15,B98))^(G98-1))),(1-((1-INDEX(I$12:I$15,B98))^(B$3-1)))) * H98</f>
        <v>0</v>
      </c>
      <c r="J98" s="567" cm="1">
        <f t="array" aca="1" ref="J98" ca="1">_xlfn.LET(_xlpm.númerotermospg,MIN(B$3,G98),_xlpm.razão,1-INDEX(_xlfn.ANCHORARRAY(I$12),B98),_xlpm.somatermospg,((_xlpm.razão^_xlpm.númerotermospg)-1)/(_xlpm.razão-1),_xlpm.númerotermosconstantes,IF(G98&lt;=B$3,0,G98-B$3),_xlpm.somatermosconstantes,(1-I98)*_xlpm.númerotermosconstantes,_xlpm.somatodostermos,_xlpm.somatermospg+_xlpm.somatermosconstantes,_xlpm.médiatodosostermos,_xlpm.somatodostermos/G98,1 - _xlpm.médiatodosostermos) * H98</f>
        <v>0</v>
      </c>
      <c r="K98" s="242">
        <f ca="1"/>
        <v>0</v>
      </c>
    </row>
    <row r="99" spans="2:11">
      <c r="B99" s="345">
        <v>1</v>
      </c>
      <c r="C99" s="267" t="str">
        <f>'Painel Controle'!C$112</f>
        <v>Veículos Comerciais com 2 Eixos</v>
      </c>
      <c r="D99" s="481" t="str">
        <f>INDEX('Painel Controle'!D$110:D$121,MATCH(C99,'Painel Controle'!C$110:C$121,0))</f>
        <v>Pesados I</v>
      </c>
      <c r="E99" s="177" t="s">
        <v>596</v>
      </c>
      <c r="F99" s="110" cm="1">
        <f t="array" ref="F99">_xlfn._xlws.FILTER(E$34:E$81,(B$34:B$81 = B99) * (LEFT(C$34:C$81,5) = LEFT(D99,5)) * (D$34:D$81 = E99))</f>
        <v>0.35</v>
      </c>
      <c r="G99" s="565" cm="1">
        <f t="array" ref="G99">_xlfn._xlws.FILTER(F$34:F$81,(B$34:B$81 = B99) * (LEFT(C$34:C$81,5) = LEFT(D99,5)) * (D$34:D$81 = E99))</f>
        <v>4</v>
      </c>
      <c r="H99" s="250" t="b">
        <f t="shared" si="0"/>
        <v>0</v>
      </c>
      <c r="I99" s="219" cm="1">
        <f t="array" aca="1" ref="I99" ca="1">IF(G99&lt;=B$3,(1-((1-INDEX(I$12:I$15,B99))^(G99-1))),(1-((1-INDEX(I$12:I$15,B99))^(B$3-1)))) * H99</f>
        <v>0</v>
      </c>
      <c r="J99" s="219" cm="1">
        <f t="array" aca="1" ref="J99" ca="1">_xlfn.LET(_xlpm.númerotermospg,MIN(B$3,G99),_xlpm.razão,1-INDEX(_xlfn.ANCHORARRAY(I$12),B99),_xlpm.somatermospg,((_xlpm.razão^_xlpm.númerotermospg)-1)/(_xlpm.razão-1),_xlpm.númerotermosconstantes,IF(G99&lt;=B$3,0,G99-B$3),_xlpm.somatermosconstantes,(1-I99)*_xlpm.númerotermosconstantes,_xlpm.somatodostermos,_xlpm.somatermospg+_xlpm.somatermosconstantes,_xlpm.médiatodosostermos,_xlpm.somatodostermos/G99,1 - _xlpm.médiatodosostermos) * H99</f>
        <v>0</v>
      </c>
      <c r="K99" s="110">
        <f ca="1"/>
        <v>0</v>
      </c>
    </row>
    <row r="100" spans="2:11">
      <c r="B100" s="345">
        <v>1</v>
      </c>
      <c r="C100" s="267" t="str">
        <f>'Painel Controle'!C$112</f>
        <v>Veículos Comerciais com 2 Eixos</v>
      </c>
      <c r="D100" s="481" t="str">
        <f>INDEX('Painel Controle'!D$110:D$121,MATCH(C100,'Painel Controle'!C$110:C$121,0))</f>
        <v>Pesados I</v>
      </c>
      <c r="E100" s="177" t="s">
        <v>597</v>
      </c>
      <c r="F100" s="110" cm="1">
        <f t="array" ref="F100">_xlfn._xlws.FILTER(E$34:E$81,(B$34:B$81 = B100) * (LEFT(C$34:C$81,5) = LEFT(D100,5)) * (D$34:D$81 = E100))</f>
        <v>0.29799999999999999</v>
      </c>
      <c r="G100" s="565" cm="1">
        <f t="array" ref="G100">_xlfn._xlws.FILTER(F$34:F$81,(B$34:B$81 = B100) * (LEFT(C$34:C$81,5) = LEFT(D100,5)) * (D$34:D$81 = E100))</f>
        <v>2</v>
      </c>
      <c r="H100" s="250" t="b">
        <f t="shared" si="0"/>
        <v>0</v>
      </c>
      <c r="I100" s="219" cm="1">
        <f t="array" aca="1" ref="I100" ca="1">IF(G100&lt;=B$3,(1-((1-INDEX(I$12:I$15,B100))^(G100-1))),(1-((1-INDEX(I$12:I$15,B100))^(B$3-1)))) * H100</f>
        <v>0</v>
      </c>
      <c r="J100" s="219" cm="1">
        <f t="array" aca="1" ref="J100" ca="1">_xlfn.LET(_xlpm.númerotermospg,MIN(B$3,G100),_xlpm.razão,1-INDEX(_xlfn.ANCHORARRAY(I$12),B100),_xlpm.somatermospg,((_xlpm.razão^_xlpm.númerotermospg)-1)/(_xlpm.razão-1),_xlpm.númerotermosconstantes,IF(G100&lt;=B$3,0,G100-B$3),_xlpm.somatermosconstantes,(1-I100)*_xlpm.númerotermosconstantes,_xlpm.somatodostermos,_xlpm.somatermospg+_xlpm.somatermosconstantes,_xlpm.médiatodosostermos,_xlpm.somatodostermos/G100,1 - _xlpm.médiatodosostermos) * H100</f>
        <v>0</v>
      </c>
      <c r="K100" s="110">
        <f ca="1"/>
        <v>0</v>
      </c>
    </row>
    <row r="101" spans="2:11">
      <c r="B101" s="345">
        <v>1</v>
      </c>
      <c r="C101" s="267" t="str">
        <f>'Painel Controle'!C$112</f>
        <v>Veículos Comerciais com 2 Eixos</v>
      </c>
      <c r="D101" s="481" t="str">
        <f>INDEX('Painel Controle'!D$110:D$121,MATCH(C101,'Painel Controle'!C$110:C$121,0))</f>
        <v>Pesados I</v>
      </c>
      <c r="E101" s="177" t="s">
        <v>598</v>
      </c>
      <c r="F101" s="110" cm="1">
        <f t="array" ref="F101">_xlfn._xlws.FILTER(E$34:E$81,(B$34:B$81 = B101) * (LEFT(C$34:C$81,5) = LEFT(D101,5)) * (D$34:D$81 = E101))</f>
        <v>0.113</v>
      </c>
      <c r="G101" s="565" cm="1">
        <f t="array" ref="G101">_xlfn._xlws.FILTER(F$34:F$81,(B$34:B$81 = B101) * (LEFT(C$34:C$81,5) = LEFT(D101,5)) * (D$34:D$81 = E101))</f>
        <v>1</v>
      </c>
      <c r="H101" s="250" t="b">
        <f t="shared" si="0"/>
        <v>0</v>
      </c>
      <c r="I101" s="219" cm="1">
        <f t="array" aca="1" ref="I101" ca="1">IF(G101&lt;=B$3,(1-((1-INDEX(I$12:I$15,B101))^(G101-1))),(1-((1-INDEX(I$12:I$15,B101))^(B$3-1)))) * H101</f>
        <v>0</v>
      </c>
      <c r="J101" s="219" cm="1">
        <f t="array" aca="1" ref="J101" ca="1">_xlfn.LET(_xlpm.númerotermospg,MIN(B$3,G101),_xlpm.razão,1-INDEX(_xlfn.ANCHORARRAY(I$12),B101),_xlpm.somatermospg,((_xlpm.razão^_xlpm.númerotermospg)-1)/(_xlpm.razão-1),_xlpm.númerotermosconstantes,IF(G101&lt;=B$3,0,G101-B$3),_xlpm.somatermosconstantes,(1-I101)*_xlpm.númerotermosconstantes,_xlpm.somatodostermos,_xlpm.somatermospg+_xlpm.somatermosconstantes,_xlpm.médiatodosostermos,_xlpm.somatodostermos/G101,1 - _xlpm.médiatodosostermos) * H101</f>
        <v>0</v>
      </c>
      <c r="K101" s="110">
        <f ca="1"/>
        <v>0</v>
      </c>
    </row>
    <row r="102" spans="2:11">
      <c r="B102" s="345">
        <v>1</v>
      </c>
      <c r="C102" s="267" t="str">
        <f>'Painel Controle'!C$112</f>
        <v>Veículos Comerciais com 2 Eixos</v>
      </c>
      <c r="D102" s="481" t="str">
        <f>INDEX('Painel Controle'!D$110:D$121,MATCH(C102,'Painel Controle'!C$110:C$121,0))</f>
        <v>Pesados I</v>
      </c>
      <c r="E102" s="177" t="s">
        <v>599</v>
      </c>
      <c r="F102" s="110" cm="1">
        <f t="array" ref="F102">_xlfn._xlws.FILTER(E$34:E$81,(B$34:B$81 = B102) * (LEFT(C$34:C$81,5) = LEFT(D102,5)) * (D$34:D$81 = E102))</f>
        <v>3.5000000000000003E-2</v>
      </c>
      <c r="G102" s="565" cm="1">
        <f t="array" ref="G102">_xlfn._xlws.FILTER(F$34:F$81,(B$34:B$81 = B102) * (LEFT(C$34:C$81,5) = LEFT(D102,5)) * (D$34:D$81 = E102))</f>
        <v>1</v>
      </c>
      <c r="H102" s="250" t="b">
        <f t="shared" si="0"/>
        <v>0</v>
      </c>
      <c r="I102" s="219" cm="1">
        <f t="array" aca="1" ref="I102" ca="1">IF(G102&lt;=B$3,(1-((1-INDEX(I$12:I$15,B102))^(G102-1))),(1-((1-INDEX(I$12:I$15,B102))^(B$3-1)))) * H102</f>
        <v>0</v>
      </c>
      <c r="J102" s="219" cm="1">
        <f t="array" aca="1" ref="J102" ca="1">_xlfn.LET(_xlpm.númerotermospg,MIN(B$3,G102),_xlpm.razão,1-INDEX(_xlfn.ANCHORARRAY(I$12),B102),_xlpm.somatermospg,((_xlpm.razão^_xlpm.númerotermospg)-1)/(_xlpm.razão-1),_xlpm.númerotermosconstantes,IF(G102&lt;=B$3,0,G102-B$3),_xlpm.somatermosconstantes,(1-I102)*_xlpm.númerotermosconstantes,_xlpm.somatodostermos,_xlpm.somatermospg+_xlpm.somatermosconstantes,_xlpm.médiatodosostermos,_xlpm.somatodostermos/G102,1 - _xlpm.médiatodosostermos) * H102</f>
        <v>0</v>
      </c>
      <c r="K102" s="110">
        <f ca="1"/>
        <v>0</v>
      </c>
    </row>
    <row r="103" spans="2:11">
      <c r="B103" s="345">
        <v>1</v>
      </c>
      <c r="C103" s="267" t="str">
        <f>'Painel Controle'!C$112</f>
        <v>Veículos Comerciais com 2 Eixos</v>
      </c>
      <c r="D103" s="481" t="str">
        <f>INDEX('Painel Controle'!D$110:D$121,MATCH(C103,'Painel Controle'!C$110:C$121,0))</f>
        <v>Pesados I</v>
      </c>
      <c r="E103" s="177" t="s">
        <v>600</v>
      </c>
      <c r="F103" s="110" cm="1">
        <f t="array" ref="F103">_xlfn._xlws.FILTER(E$34:E$81,(B$34:B$81 = B103) * (LEFT(C$34:C$81,5) = LEFT(D103,5)) * (D$34:D$81 = E103))</f>
        <v>2.3E-2</v>
      </c>
      <c r="G103" s="565" cm="1">
        <f t="array" ref="G103">_xlfn._xlws.FILTER(F$34:F$81,(B$34:B$81 = B103) * (LEFT(C$34:C$81,5) = LEFT(D103,5)) * (D$34:D$81 = E103))</f>
        <v>1</v>
      </c>
      <c r="H103" s="250" t="b">
        <f t="shared" si="0"/>
        <v>0</v>
      </c>
      <c r="I103" s="219" cm="1">
        <f t="array" aca="1" ref="I103" ca="1">IF(G103&lt;=B$3,(1-((1-INDEX(I$12:I$15,B103))^(G103-1))),(1-((1-INDEX(I$12:I$15,B103))^(B$3-1)))) * H103</f>
        <v>0</v>
      </c>
      <c r="J103" s="219" cm="1">
        <f t="array" aca="1" ref="J103" ca="1">_xlfn.LET(_xlpm.númerotermospg,MIN(B$3,G103),_xlpm.razão,1-INDEX(_xlfn.ANCHORARRAY(I$12),B103),_xlpm.somatermospg,((_xlpm.razão^_xlpm.númerotermospg)-1)/(_xlpm.razão-1),_xlpm.númerotermosconstantes,IF(G103&lt;=B$3,0,G103-B$3),_xlpm.somatermosconstantes,(1-I103)*_xlpm.númerotermosconstantes,_xlpm.somatodostermos,_xlpm.somatermospg+_xlpm.somatermosconstantes,_xlpm.médiatodosostermos,_xlpm.somatodostermos/G103,1 - _xlpm.médiatodosostermos) * H103</f>
        <v>0</v>
      </c>
      <c r="K103" s="110">
        <f ca="1"/>
        <v>0</v>
      </c>
    </row>
    <row r="104" spans="2:11">
      <c r="B104" s="345">
        <v>1</v>
      </c>
      <c r="C104" s="267" t="str">
        <f>'Painel Controle'!C$113</f>
        <v>Veículos Comerciais com 3 Eixos</v>
      </c>
      <c r="D104" s="481" t="str">
        <f>INDEX('Painel Controle'!D$110:D$121,MATCH(C104,'Painel Controle'!C$110:C$121,0))</f>
        <v>Pesados I</v>
      </c>
      <c r="E104" s="177" t="s">
        <v>595</v>
      </c>
      <c r="F104" s="110" cm="1">
        <f t="array" ref="F104">_xlfn._xlws.FILTER(E$34:E$81,(B$34:B$81 = B104) * (LEFT(C$34:C$81,5) = LEFT(D104,5)) * (D$34:D$81 = E104))</f>
        <v>0.18190000000000001</v>
      </c>
      <c r="G104" s="565" cm="1">
        <f t="array" ref="G104">_xlfn._xlws.FILTER(F$34:F$81,(B$34:B$81 = B104) * (LEFT(C$34:C$81,5) = LEFT(D104,5)) * (D$34:D$81 = E104))</f>
        <v>20</v>
      </c>
      <c r="H104" s="250" t="b">
        <f t="shared" si="0"/>
        <v>0</v>
      </c>
      <c r="I104" s="219" cm="1">
        <f t="array" aca="1" ref="I104" ca="1">IF(G104&lt;=B$3,(1-((1-INDEX(I$12:I$15,B104))^(G104-1))),(1-((1-INDEX(I$12:I$15,B104))^(B$3-1)))) * H104</f>
        <v>0</v>
      </c>
      <c r="J104" s="219" cm="1">
        <f t="array" aca="1" ref="J104" ca="1">_xlfn.LET(_xlpm.númerotermospg,MIN(B$3,G104),_xlpm.razão,1-INDEX(_xlfn.ANCHORARRAY(I$12),B104),_xlpm.somatermospg,((_xlpm.razão^_xlpm.númerotermospg)-1)/(_xlpm.razão-1),_xlpm.númerotermosconstantes,IF(G104&lt;=B$3,0,G104-B$3),_xlpm.somatermosconstantes,(1-I104)*_xlpm.númerotermosconstantes,_xlpm.somatodostermos,_xlpm.somatermospg+_xlpm.somatermosconstantes,_xlpm.médiatodosostermos,_xlpm.somatodostermos/G104,1 - _xlpm.médiatodosostermos) * H104</f>
        <v>0</v>
      </c>
      <c r="K104" s="110">
        <f ca="1"/>
        <v>0</v>
      </c>
    </row>
    <row r="105" spans="2:11">
      <c r="B105" s="345">
        <v>1</v>
      </c>
      <c r="C105" s="267" t="str">
        <f>'Painel Controle'!C$113</f>
        <v>Veículos Comerciais com 3 Eixos</v>
      </c>
      <c r="D105" s="481" t="str">
        <f>INDEX('Painel Controle'!D$110:D$121,MATCH(C105,'Painel Controle'!C$110:C$121,0))</f>
        <v>Pesados I</v>
      </c>
      <c r="E105" s="177" t="s">
        <v>596</v>
      </c>
      <c r="F105" s="110" cm="1">
        <f t="array" ref="F105">_xlfn._xlws.FILTER(E$34:E$81,(B$34:B$81 = B105) * (LEFT(C$34:C$81,5) = LEFT(D105,5)) * (D$34:D$81 = E105))</f>
        <v>0.35</v>
      </c>
      <c r="G105" s="565" cm="1">
        <f t="array" ref="G105">_xlfn._xlws.FILTER(F$34:F$81,(B$34:B$81 = B105) * (LEFT(C$34:C$81,5) = LEFT(D105,5)) * (D$34:D$81 = E105))</f>
        <v>4</v>
      </c>
      <c r="H105" s="250" t="b">
        <f t="shared" si="0"/>
        <v>0</v>
      </c>
      <c r="I105" s="219" cm="1">
        <f t="array" aca="1" ref="I105" ca="1">IF(G105&lt;=B$3,(1-((1-INDEX(I$12:I$15,B105))^(G105-1))),(1-((1-INDEX(I$12:I$15,B105))^(B$3-1)))) * H105</f>
        <v>0</v>
      </c>
      <c r="J105" s="219" cm="1">
        <f t="array" aca="1" ref="J105" ca="1">_xlfn.LET(_xlpm.númerotermospg,MIN(B$3,G105),_xlpm.razão,1-INDEX(_xlfn.ANCHORARRAY(I$12),B105),_xlpm.somatermospg,((_xlpm.razão^_xlpm.númerotermospg)-1)/(_xlpm.razão-1),_xlpm.númerotermosconstantes,IF(G105&lt;=B$3,0,G105-B$3),_xlpm.somatermosconstantes,(1-I105)*_xlpm.númerotermosconstantes,_xlpm.somatodostermos,_xlpm.somatermospg+_xlpm.somatermosconstantes,_xlpm.médiatodosostermos,_xlpm.somatodostermos/G105,1 - _xlpm.médiatodosostermos) * H105</f>
        <v>0</v>
      </c>
      <c r="K105" s="110">
        <f ca="1"/>
        <v>0</v>
      </c>
    </row>
    <row r="106" spans="2:11">
      <c r="B106" s="345">
        <v>1</v>
      </c>
      <c r="C106" s="267" t="str">
        <f>'Painel Controle'!C$113</f>
        <v>Veículos Comerciais com 3 Eixos</v>
      </c>
      <c r="D106" s="481" t="str">
        <f>INDEX('Painel Controle'!D$110:D$121,MATCH(C106,'Painel Controle'!C$110:C$121,0))</f>
        <v>Pesados I</v>
      </c>
      <c r="E106" s="177" t="s">
        <v>597</v>
      </c>
      <c r="F106" s="110" cm="1">
        <f t="array" ref="F106">_xlfn._xlws.FILTER(E$34:E$81,(B$34:B$81 = B106) * (LEFT(C$34:C$81,5) = LEFT(D106,5)) * (D$34:D$81 = E106))</f>
        <v>0.29799999999999999</v>
      </c>
      <c r="G106" s="565" cm="1">
        <f t="array" ref="G106">_xlfn._xlws.FILTER(F$34:F$81,(B$34:B$81 = B106) * (LEFT(C$34:C$81,5) = LEFT(D106,5)) * (D$34:D$81 = E106))</f>
        <v>2</v>
      </c>
      <c r="H106" s="250" t="b">
        <f t="shared" si="0"/>
        <v>0</v>
      </c>
      <c r="I106" s="219" cm="1">
        <f t="array" aca="1" ref="I106" ca="1">IF(G106&lt;=B$3,(1-((1-INDEX(I$12:I$15,B106))^(G106-1))),(1-((1-INDEX(I$12:I$15,B106))^(B$3-1)))) * H106</f>
        <v>0</v>
      </c>
      <c r="J106" s="219" cm="1">
        <f t="array" aca="1" ref="J106" ca="1">_xlfn.LET(_xlpm.númerotermospg,MIN(B$3,G106),_xlpm.razão,1-INDEX(_xlfn.ANCHORARRAY(I$12),B106),_xlpm.somatermospg,((_xlpm.razão^_xlpm.númerotermospg)-1)/(_xlpm.razão-1),_xlpm.númerotermosconstantes,IF(G106&lt;=B$3,0,G106-B$3),_xlpm.somatermosconstantes,(1-I106)*_xlpm.númerotermosconstantes,_xlpm.somatodostermos,_xlpm.somatermospg+_xlpm.somatermosconstantes,_xlpm.médiatodosostermos,_xlpm.somatodostermos/G106,1 - _xlpm.médiatodosostermos) * H106</f>
        <v>0</v>
      </c>
      <c r="K106" s="110">
        <f ca="1"/>
        <v>0</v>
      </c>
    </row>
    <row r="107" spans="2:11">
      <c r="B107" s="345">
        <v>1</v>
      </c>
      <c r="C107" s="267" t="str">
        <f>'Painel Controle'!C$113</f>
        <v>Veículos Comerciais com 3 Eixos</v>
      </c>
      <c r="D107" s="481" t="str">
        <f>INDEX('Painel Controle'!D$110:D$121,MATCH(C107,'Painel Controle'!C$110:C$121,0))</f>
        <v>Pesados I</v>
      </c>
      <c r="E107" s="177" t="s">
        <v>598</v>
      </c>
      <c r="F107" s="110" cm="1">
        <f t="array" ref="F107">_xlfn._xlws.FILTER(E$34:E$81,(B$34:B$81 = B107) * (LEFT(C$34:C$81,5) = LEFT(D107,5)) * (D$34:D$81 = E107))</f>
        <v>0.113</v>
      </c>
      <c r="G107" s="565" cm="1">
        <f t="array" ref="G107">_xlfn._xlws.FILTER(F$34:F$81,(B$34:B$81 = B107) * (LEFT(C$34:C$81,5) = LEFT(D107,5)) * (D$34:D$81 = E107))</f>
        <v>1</v>
      </c>
      <c r="H107" s="250" t="b">
        <f t="shared" si="0"/>
        <v>0</v>
      </c>
      <c r="I107" s="219" cm="1">
        <f t="array" aca="1" ref="I107" ca="1">IF(G107&lt;=B$3,(1-((1-INDEX(I$12:I$15,B107))^(G107-1))),(1-((1-INDEX(I$12:I$15,B107))^(B$3-1)))) * H107</f>
        <v>0</v>
      </c>
      <c r="J107" s="219" cm="1">
        <f t="array" aca="1" ref="J107" ca="1">_xlfn.LET(_xlpm.númerotermospg,MIN(B$3,G107),_xlpm.razão,1-INDEX(_xlfn.ANCHORARRAY(I$12),B107),_xlpm.somatermospg,((_xlpm.razão^_xlpm.númerotermospg)-1)/(_xlpm.razão-1),_xlpm.númerotermosconstantes,IF(G107&lt;=B$3,0,G107-B$3),_xlpm.somatermosconstantes,(1-I107)*_xlpm.númerotermosconstantes,_xlpm.somatodostermos,_xlpm.somatermospg+_xlpm.somatermosconstantes,_xlpm.médiatodosostermos,_xlpm.somatodostermos/G107,1 - _xlpm.médiatodosostermos) * H107</f>
        <v>0</v>
      </c>
      <c r="K107" s="110">
        <f ca="1"/>
        <v>0</v>
      </c>
    </row>
    <row r="108" spans="2:11">
      <c r="B108" s="345">
        <v>1</v>
      </c>
      <c r="C108" s="267" t="str">
        <f>'Painel Controle'!C$113</f>
        <v>Veículos Comerciais com 3 Eixos</v>
      </c>
      <c r="D108" s="481" t="str">
        <f>INDEX('Painel Controle'!D$110:D$121,MATCH(C108,'Painel Controle'!C$110:C$121,0))</f>
        <v>Pesados I</v>
      </c>
      <c r="E108" s="177" t="s">
        <v>599</v>
      </c>
      <c r="F108" s="110" cm="1">
        <f t="array" ref="F108">_xlfn._xlws.FILTER(E$34:E$81,(B$34:B$81 = B108) * (LEFT(C$34:C$81,5) = LEFT(D108,5)) * (D$34:D$81 = E108))</f>
        <v>3.5000000000000003E-2</v>
      </c>
      <c r="G108" s="565" cm="1">
        <f t="array" ref="G108">_xlfn._xlws.FILTER(F$34:F$81,(B$34:B$81 = B108) * (LEFT(C$34:C$81,5) = LEFT(D108,5)) * (D$34:D$81 = E108))</f>
        <v>1</v>
      </c>
      <c r="H108" s="250" t="b">
        <f t="shared" si="0"/>
        <v>0</v>
      </c>
      <c r="I108" s="219" cm="1">
        <f t="array" aca="1" ref="I108" ca="1">IF(G108&lt;=B$3,(1-((1-INDEX(I$12:I$15,B108))^(G108-1))),(1-((1-INDEX(I$12:I$15,B108))^(B$3-1)))) * H108</f>
        <v>0</v>
      </c>
      <c r="J108" s="219" cm="1">
        <f t="array" aca="1" ref="J108" ca="1">_xlfn.LET(_xlpm.númerotermospg,MIN(B$3,G108),_xlpm.razão,1-INDEX(_xlfn.ANCHORARRAY(I$12),B108),_xlpm.somatermospg,((_xlpm.razão^_xlpm.númerotermospg)-1)/(_xlpm.razão-1),_xlpm.númerotermosconstantes,IF(G108&lt;=B$3,0,G108-B$3),_xlpm.somatermosconstantes,(1-I108)*_xlpm.númerotermosconstantes,_xlpm.somatodostermos,_xlpm.somatermospg+_xlpm.somatermosconstantes,_xlpm.médiatodosostermos,_xlpm.somatodostermos/G108,1 - _xlpm.médiatodosostermos) * H108</f>
        <v>0</v>
      </c>
      <c r="K108" s="110">
        <f ca="1"/>
        <v>0</v>
      </c>
    </row>
    <row r="109" spans="2:11">
      <c r="B109" s="345">
        <v>1</v>
      </c>
      <c r="C109" s="267" t="str">
        <f>'Painel Controle'!C$113</f>
        <v>Veículos Comerciais com 3 Eixos</v>
      </c>
      <c r="D109" s="481" t="str">
        <f>INDEX('Painel Controle'!D$110:D$121,MATCH(C109,'Painel Controle'!C$110:C$121,0))</f>
        <v>Pesados I</v>
      </c>
      <c r="E109" s="177" t="s">
        <v>600</v>
      </c>
      <c r="F109" s="110" cm="1">
        <f t="array" ref="F109">_xlfn._xlws.FILTER(E$34:E$81,(B$34:B$81 = B109) * (LEFT(C$34:C$81,5) = LEFT(D109,5)) * (D$34:D$81 = E109))</f>
        <v>2.3E-2</v>
      </c>
      <c r="G109" s="565" cm="1">
        <f t="array" ref="G109">_xlfn._xlws.FILTER(F$34:F$81,(B$34:B$81 = B109) * (LEFT(C$34:C$81,5) = LEFT(D109,5)) * (D$34:D$81 = E109))</f>
        <v>1</v>
      </c>
      <c r="H109" s="250" t="b">
        <f t="shared" si="0"/>
        <v>0</v>
      </c>
      <c r="I109" s="219" cm="1">
        <f t="array" aca="1" ref="I109" ca="1">IF(G109&lt;=B$3,(1-((1-INDEX(I$12:I$15,B109))^(G109-1))),(1-((1-INDEX(I$12:I$15,B109))^(B$3-1)))) * H109</f>
        <v>0</v>
      </c>
      <c r="J109" s="219" cm="1">
        <f t="array" aca="1" ref="J109" ca="1">_xlfn.LET(_xlpm.númerotermospg,MIN(B$3,G109),_xlpm.razão,1-INDEX(_xlfn.ANCHORARRAY(I$12),B109),_xlpm.somatermospg,((_xlpm.razão^_xlpm.númerotermospg)-1)/(_xlpm.razão-1),_xlpm.númerotermosconstantes,IF(G109&lt;=B$3,0,G109-B$3),_xlpm.somatermosconstantes,(1-I109)*_xlpm.númerotermosconstantes,_xlpm.somatodostermos,_xlpm.somatermospg+_xlpm.somatermosconstantes,_xlpm.médiatodosostermos,_xlpm.somatodostermos/G109,1 - _xlpm.médiatodosostermos) * H109</f>
        <v>0</v>
      </c>
      <c r="K109" s="110">
        <f ca="1"/>
        <v>0</v>
      </c>
    </row>
    <row r="110" spans="2:11">
      <c r="B110" s="345">
        <v>1</v>
      </c>
      <c r="C110" s="267" t="str">
        <f>'Painel Controle'!C$114</f>
        <v>Veículos Comerciais com 4 Eixos</v>
      </c>
      <c r="D110" s="481" t="str">
        <f>INDEX('Painel Controle'!D$110:D$121,MATCH(C110,'Painel Controle'!C$110:C$121,0))</f>
        <v>Pesados I</v>
      </c>
      <c r="E110" s="177" t="s">
        <v>595</v>
      </c>
      <c r="F110" s="110" cm="1">
        <f t="array" ref="F110">_xlfn._xlws.FILTER(E$34:E$81,(B$34:B$81 = B110) * (LEFT(C$34:C$81,5) = LEFT(D110,5)) * (D$34:D$81 = E110))</f>
        <v>0.18190000000000001</v>
      </c>
      <c r="G110" s="565" cm="1">
        <f t="array" ref="G110">_xlfn._xlws.FILTER(F$34:F$81,(B$34:B$81 = B110) * (LEFT(C$34:C$81,5) = LEFT(D110,5)) * (D$34:D$81 = E110))</f>
        <v>20</v>
      </c>
      <c r="H110" s="250" t="b">
        <f t="shared" si="0"/>
        <v>0</v>
      </c>
      <c r="I110" s="219" cm="1">
        <f t="array" aca="1" ref="I110" ca="1">IF(G110&lt;=B$3,(1-((1-INDEX(I$12:I$15,B110))^(G110-1))),(1-((1-INDEX(I$12:I$15,B110))^(B$3-1)))) * H110</f>
        <v>0</v>
      </c>
      <c r="J110" s="219" cm="1">
        <f t="array" aca="1" ref="J110" ca="1">_xlfn.LET(_xlpm.númerotermospg,MIN(B$3,G110),_xlpm.razão,1-INDEX(_xlfn.ANCHORARRAY(I$12),B110),_xlpm.somatermospg,((_xlpm.razão^_xlpm.númerotermospg)-1)/(_xlpm.razão-1),_xlpm.númerotermosconstantes,IF(G110&lt;=B$3,0,G110-B$3),_xlpm.somatermosconstantes,(1-I110)*_xlpm.númerotermosconstantes,_xlpm.somatodostermos,_xlpm.somatermospg+_xlpm.somatermosconstantes,_xlpm.médiatodosostermos,_xlpm.somatodostermos/G110,1 - _xlpm.médiatodosostermos) * H110</f>
        <v>0</v>
      </c>
      <c r="K110" s="110">
        <f ca="1"/>
        <v>0</v>
      </c>
    </row>
    <row r="111" spans="2:11">
      <c r="B111" s="345">
        <v>1</v>
      </c>
      <c r="C111" s="267" t="str">
        <f>'Painel Controle'!C$114</f>
        <v>Veículos Comerciais com 4 Eixos</v>
      </c>
      <c r="D111" s="481" t="str">
        <f>INDEX('Painel Controle'!D$110:D$121,MATCH(C111,'Painel Controle'!C$110:C$121,0))</f>
        <v>Pesados I</v>
      </c>
      <c r="E111" s="177" t="s">
        <v>596</v>
      </c>
      <c r="F111" s="110" cm="1">
        <f t="array" ref="F111">_xlfn._xlws.FILTER(E$34:E$81,(B$34:B$81 = B111) * (LEFT(C$34:C$81,5) = LEFT(D111,5)) * (D$34:D$81 = E111))</f>
        <v>0.35</v>
      </c>
      <c r="G111" s="565" cm="1">
        <f t="array" ref="G111">_xlfn._xlws.FILTER(F$34:F$81,(B$34:B$81 = B111) * (LEFT(C$34:C$81,5) = LEFT(D111,5)) * (D$34:D$81 = E111))</f>
        <v>4</v>
      </c>
      <c r="H111" s="250" t="b">
        <f t="shared" si="0"/>
        <v>0</v>
      </c>
      <c r="I111" s="219" cm="1">
        <f t="array" aca="1" ref="I111" ca="1">IF(G111&lt;=B$3,(1-((1-INDEX(I$12:I$15,B111))^(G111-1))),(1-((1-INDEX(I$12:I$15,B111))^(B$3-1)))) * H111</f>
        <v>0</v>
      </c>
      <c r="J111" s="219" cm="1">
        <f t="array" aca="1" ref="J111" ca="1">_xlfn.LET(_xlpm.númerotermospg,MIN(B$3,G111),_xlpm.razão,1-INDEX(_xlfn.ANCHORARRAY(I$12),B111),_xlpm.somatermospg,((_xlpm.razão^_xlpm.númerotermospg)-1)/(_xlpm.razão-1),_xlpm.númerotermosconstantes,IF(G111&lt;=B$3,0,G111-B$3),_xlpm.somatermosconstantes,(1-I111)*_xlpm.númerotermosconstantes,_xlpm.somatodostermos,_xlpm.somatermospg+_xlpm.somatermosconstantes,_xlpm.médiatodosostermos,_xlpm.somatodostermos/G111,1 - _xlpm.médiatodosostermos) * H111</f>
        <v>0</v>
      </c>
      <c r="K111" s="110">
        <f ca="1"/>
        <v>0</v>
      </c>
    </row>
    <row r="112" spans="2:11">
      <c r="B112" s="345">
        <v>1</v>
      </c>
      <c r="C112" s="267" t="str">
        <f>'Painel Controle'!C$114</f>
        <v>Veículos Comerciais com 4 Eixos</v>
      </c>
      <c r="D112" s="481" t="str">
        <f>INDEX('Painel Controle'!D$110:D$121,MATCH(C112,'Painel Controle'!C$110:C$121,0))</f>
        <v>Pesados I</v>
      </c>
      <c r="E112" s="177" t="s">
        <v>597</v>
      </c>
      <c r="F112" s="110" cm="1">
        <f t="array" ref="F112">_xlfn._xlws.FILTER(E$34:E$81,(B$34:B$81 = B112) * (LEFT(C$34:C$81,5) = LEFT(D112,5)) * (D$34:D$81 = E112))</f>
        <v>0.29799999999999999</v>
      </c>
      <c r="G112" s="565" cm="1">
        <f t="array" ref="G112">_xlfn._xlws.FILTER(F$34:F$81,(B$34:B$81 = B112) * (LEFT(C$34:C$81,5) = LEFT(D112,5)) * (D$34:D$81 = E112))</f>
        <v>2</v>
      </c>
      <c r="H112" s="250" t="b">
        <f t="shared" si="0"/>
        <v>0</v>
      </c>
      <c r="I112" s="219" cm="1">
        <f t="array" aca="1" ref="I112" ca="1">IF(G112&lt;=B$3,(1-((1-INDEX(I$12:I$15,B112))^(G112-1))),(1-((1-INDEX(I$12:I$15,B112))^(B$3-1)))) * H112</f>
        <v>0</v>
      </c>
      <c r="J112" s="219" cm="1">
        <f t="array" aca="1" ref="J112" ca="1">_xlfn.LET(_xlpm.númerotermospg,MIN(B$3,G112),_xlpm.razão,1-INDEX(_xlfn.ANCHORARRAY(I$12),B112),_xlpm.somatermospg,((_xlpm.razão^_xlpm.númerotermospg)-1)/(_xlpm.razão-1),_xlpm.númerotermosconstantes,IF(G112&lt;=B$3,0,G112-B$3),_xlpm.somatermosconstantes,(1-I112)*_xlpm.númerotermosconstantes,_xlpm.somatodostermos,_xlpm.somatermospg+_xlpm.somatermosconstantes,_xlpm.médiatodosostermos,_xlpm.somatodostermos/G112,1 - _xlpm.médiatodosostermos) * H112</f>
        <v>0</v>
      </c>
      <c r="K112" s="110">
        <f ca="1"/>
        <v>0</v>
      </c>
    </row>
    <row r="113" spans="2:11">
      <c r="B113" s="345">
        <v>1</v>
      </c>
      <c r="C113" s="267" t="str">
        <f>'Painel Controle'!C$114</f>
        <v>Veículos Comerciais com 4 Eixos</v>
      </c>
      <c r="D113" s="481" t="str">
        <f>INDEX('Painel Controle'!D$110:D$121,MATCH(C113,'Painel Controle'!C$110:C$121,0))</f>
        <v>Pesados I</v>
      </c>
      <c r="E113" s="177" t="s">
        <v>598</v>
      </c>
      <c r="F113" s="110" cm="1">
        <f t="array" ref="F113">_xlfn._xlws.FILTER(E$34:E$81,(B$34:B$81 = B113) * (LEFT(C$34:C$81,5) = LEFT(D113,5)) * (D$34:D$81 = E113))</f>
        <v>0.113</v>
      </c>
      <c r="G113" s="565" cm="1">
        <f t="array" ref="G113">_xlfn._xlws.FILTER(F$34:F$81,(B$34:B$81 = B113) * (LEFT(C$34:C$81,5) = LEFT(D113,5)) * (D$34:D$81 = E113))</f>
        <v>1</v>
      </c>
      <c r="H113" s="250" t="b">
        <f t="shared" si="0"/>
        <v>0</v>
      </c>
      <c r="I113" s="219" cm="1">
        <f t="array" aca="1" ref="I113" ca="1">IF(G113&lt;=B$3,(1-((1-INDEX(I$12:I$15,B113))^(G113-1))),(1-((1-INDEX(I$12:I$15,B113))^(B$3-1)))) * H113</f>
        <v>0</v>
      </c>
      <c r="J113" s="219" cm="1">
        <f t="array" aca="1" ref="J113" ca="1">_xlfn.LET(_xlpm.númerotermospg,MIN(B$3,G113),_xlpm.razão,1-INDEX(_xlfn.ANCHORARRAY(I$12),B113),_xlpm.somatermospg,((_xlpm.razão^_xlpm.númerotermospg)-1)/(_xlpm.razão-1),_xlpm.númerotermosconstantes,IF(G113&lt;=B$3,0,G113-B$3),_xlpm.somatermosconstantes,(1-I113)*_xlpm.númerotermosconstantes,_xlpm.somatodostermos,_xlpm.somatermospg+_xlpm.somatermosconstantes,_xlpm.médiatodosostermos,_xlpm.somatodostermos/G113,1 - _xlpm.médiatodosostermos) * H113</f>
        <v>0</v>
      </c>
      <c r="K113" s="110">
        <f ca="1"/>
        <v>0</v>
      </c>
    </row>
    <row r="114" spans="2:11">
      <c r="B114" s="345">
        <v>1</v>
      </c>
      <c r="C114" s="267" t="str">
        <f>'Painel Controle'!C$114</f>
        <v>Veículos Comerciais com 4 Eixos</v>
      </c>
      <c r="D114" s="481" t="str">
        <f>INDEX('Painel Controle'!D$110:D$121,MATCH(C114,'Painel Controle'!C$110:C$121,0))</f>
        <v>Pesados I</v>
      </c>
      <c r="E114" s="177" t="s">
        <v>599</v>
      </c>
      <c r="F114" s="110" cm="1">
        <f t="array" ref="F114">_xlfn._xlws.FILTER(E$34:E$81,(B$34:B$81 = B114) * (LEFT(C$34:C$81,5) = LEFT(D114,5)) * (D$34:D$81 = E114))</f>
        <v>3.5000000000000003E-2</v>
      </c>
      <c r="G114" s="565" cm="1">
        <f t="array" ref="G114">_xlfn._xlws.FILTER(F$34:F$81,(B$34:B$81 = B114) * (LEFT(C$34:C$81,5) = LEFT(D114,5)) * (D$34:D$81 = E114))</f>
        <v>1</v>
      </c>
      <c r="H114" s="250" t="b">
        <f t="shared" si="0"/>
        <v>0</v>
      </c>
      <c r="I114" s="219" cm="1">
        <f t="array" aca="1" ref="I114" ca="1">IF(G114&lt;=B$3,(1-((1-INDEX(I$12:I$15,B114))^(G114-1))),(1-((1-INDEX(I$12:I$15,B114))^(B$3-1)))) * H114</f>
        <v>0</v>
      </c>
      <c r="J114" s="219" cm="1">
        <f t="array" aca="1" ref="J114" ca="1">_xlfn.LET(_xlpm.númerotermospg,MIN(B$3,G114),_xlpm.razão,1-INDEX(_xlfn.ANCHORARRAY(I$12),B114),_xlpm.somatermospg,((_xlpm.razão^_xlpm.númerotermospg)-1)/(_xlpm.razão-1),_xlpm.númerotermosconstantes,IF(G114&lt;=B$3,0,G114-B$3),_xlpm.somatermosconstantes,(1-I114)*_xlpm.númerotermosconstantes,_xlpm.somatodostermos,_xlpm.somatermospg+_xlpm.somatermosconstantes,_xlpm.médiatodosostermos,_xlpm.somatodostermos/G114,1 - _xlpm.médiatodosostermos) * H114</f>
        <v>0</v>
      </c>
      <c r="K114" s="110">
        <f ca="1"/>
        <v>0</v>
      </c>
    </row>
    <row r="115" spans="2:11">
      <c r="B115" s="345">
        <v>1</v>
      </c>
      <c r="C115" s="267" t="str">
        <f>'Painel Controle'!C$114</f>
        <v>Veículos Comerciais com 4 Eixos</v>
      </c>
      <c r="D115" s="481" t="str">
        <f>INDEX('Painel Controle'!D$110:D$121,MATCH(C115,'Painel Controle'!C$110:C$121,0))</f>
        <v>Pesados I</v>
      </c>
      <c r="E115" s="177" t="s">
        <v>600</v>
      </c>
      <c r="F115" s="110" cm="1">
        <f t="array" ref="F115">_xlfn._xlws.FILTER(E$34:E$81,(B$34:B$81 = B115) * (LEFT(C$34:C$81,5) = LEFT(D115,5)) * (D$34:D$81 = E115))</f>
        <v>2.3E-2</v>
      </c>
      <c r="G115" s="565" cm="1">
        <f t="array" ref="G115">_xlfn._xlws.FILTER(F$34:F$81,(B$34:B$81 = B115) * (LEFT(C$34:C$81,5) = LEFT(D115,5)) * (D$34:D$81 = E115))</f>
        <v>1</v>
      </c>
      <c r="H115" s="250" t="b">
        <f t="shared" si="0"/>
        <v>0</v>
      </c>
      <c r="I115" s="219" cm="1">
        <f t="array" aca="1" ref="I115" ca="1">IF(G115&lt;=B$3,(1-((1-INDEX(I$12:I$15,B115))^(G115-1))),(1-((1-INDEX(I$12:I$15,B115))^(B$3-1)))) * H115</f>
        <v>0</v>
      </c>
      <c r="J115" s="219" cm="1">
        <f t="array" aca="1" ref="J115" ca="1">_xlfn.LET(_xlpm.númerotermospg,MIN(B$3,G115),_xlpm.razão,1-INDEX(_xlfn.ANCHORARRAY(I$12),B115),_xlpm.somatermospg,((_xlpm.razão^_xlpm.númerotermospg)-1)/(_xlpm.razão-1),_xlpm.númerotermosconstantes,IF(G115&lt;=B$3,0,G115-B$3),_xlpm.somatermosconstantes,(1-I115)*_xlpm.númerotermosconstantes,_xlpm.somatodostermos,_xlpm.somatermospg+_xlpm.somatermosconstantes,_xlpm.médiatodosostermos,_xlpm.somatodostermos/G115,1 - _xlpm.médiatodosostermos) * H115</f>
        <v>0</v>
      </c>
      <c r="K115" s="110">
        <f ca="1"/>
        <v>0</v>
      </c>
    </row>
    <row r="116" spans="2:11">
      <c r="B116" s="345">
        <v>1</v>
      </c>
      <c r="C116" s="267" t="str">
        <f>'Painel Controle'!C$115</f>
        <v>Veículos Comerciais com 5 Eixos Articulado</v>
      </c>
      <c r="D116" s="481" t="str">
        <f>INDEX('Painel Controle'!D$110:D$121,MATCH(C116,'Painel Controle'!C$110:C$121,0))</f>
        <v>Pesados II</v>
      </c>
      <c r="E116" s="177" t="s">
        <v>595</v>
      </c>
      <c r="F116" s="110" cm="1">
        <f t="array" ref="F116">_xlfn._xlws.FILTER(E$34:E$81,(B$34:B$81 = B116) * (LEFT(C$34:C$81,5) = LEFT(D116,5)) * (D$34:D$81 = E116))</f>
        <v>0.18190000000000001</v>
      </c>
      <c r="G116" s="565" cm="1">
        <f t="array" ref="G116">_xlfn._xlws.FILTER(F$34:F$81,(B$34:B$81 = B116) * (LEFT(C$34:C$81,5) = LEFT(D116,5)) * (D$34:D$81 = E116))</f>
        <v>20</v>
      </c>
      <c r="H116" s="250" t="b">
        <f t="shared" si="0"/>
        <v>0</v>
      </c>
      <c r="I116" s="219" cm="1">
        <f t="array" aca="1" ref="I116" ca="1">IF(G116&lt;=B$3,(1-((1-INDEX(I$12:I$15,B116))^(G116-1))),(1-((1-INDEX(I$12:I$15,B116))^(B$3-1)))) * H116</f>
        <v>0</v>
      </c>
      <c r="J116" s="219" cm="1">
        <f t="array" aca="1" ref="J116" ca="1">_xlfn.LET(_xlpm.númerotermospg,MIN(B$3,G116),_xlpm.razão,1-INDEX(_xlfn.ANCHORARRAY(I$12),B116),_xlpm.somatermospg,((_xlpm.razão^_xlpm.númerotermospg)-1)/(_xlpm.razão-1),_xlpm.númerotermosconstantes,IF(G116&lt;=B$3,0,G116-B$3),_xlpm.somatermosconstantes,(1-I116)*_xlpm.númerotermosconstantes,_xlpm.somatodostermos,_xlpm.somatermospg+_xlpm.somatermosconstantes,_xlpm.médiatodosostermos,_xlpm.somatodostermos/G116,1 - _xlpm.médiatodosostermos) * H116</f>
        <v>0</v>
      </c>
      <c r="K116" s="110">
        <f ca="1"/>
        <v>0</v>
      </c>
    </row>
    <row r="117" spans="2:11">
      <c r="B117" s="345">
        <v>1</v>
      </c>
      <c r="C117" s="267" t="str">
        <f>'Painel Controle'!C$115</f>
        <v>Veículos Comerciais com 5 Eixos Articulado</v>
      </c>
      <c r="D117" s="481" t="str">
        <f>INDEX('Painel Controle'!D$110:D$121,MATCH(C117,'Painel Controle'!C$110:C$121,0))</f>
        <v>Pesados II</v>
      </c>
      <c r="E117" s="177" t="s">
        <v>596</v>
      </c>
      <c r="F117" s="110" cm="1">
        <f t="array" ref="F117">_xlfn._xlws.FILTER(E$34:E$81,(B$34:B$81 = B117) * (LEFT(C$34:C$81,5) = LEFT(D117,5)) * (D$34:D$81 = E117))</f>
        <v>0.35</v>
      </c>
      <c r="G117" s="565" cm="1">
        <f t="array" ref="G117">_xlfn._xlws.FILTER(F$34:F$81,(B$34:B$81 = B117) * (LEFT(C$34:C$81,5) = LEFT(D117,5)) * (D$34:D$81 = E117))</f>
        <v>4</v>
      </c>
      <c r="H117" s="250" t="b">
        <f t="shared" si="0"/>
        <v>0</v>
      </c>
      <c r="I117" s="219" cm="1">
        <f t="array" aca="1" ref="I117" ca="1">IF(G117&lt;=B$3,(1-((1-INDEX(I$12:I$15,B117))^(G117-1))),(1-((1-INDEX(I$12:I$15,B117))^(B$3-1)))) * H117</f>
        <v>0</v>
      </c>
      <c r="J117" s="219" cm="1">
        <f t="array" aca="1" ref="J117" ca="1">_xlfn.LET(_xlpm.númerotermospg,MIN(B$3,G117),_xlpm.razão,1-INDEX(_xlfn.ANCHORARRAY(I$12),B117),_xlpm.somatermospg,((_xlpm.razão^_xlpm.númerotermospg)-1)/(_xlpm.razão-1),_xlpm.númerotermosconstantes,IF(G117&lt;=B$3,0,G117-B$3),_xlpm.somatermosconstantes,(1-I117)*_xlpm.númerotermosconstantes,_xlpm.somatodostermos,_xlpm.somatermospg+_xlpm.somatermosconstantes,_xlpm.médiatodosostermos,_xlpm.somatodostermos/G117,1 - _xlpm.médiatodosostermos) * H117</f>
        <v>0</v>
      </c>
      <c r="K117" s="110">
        <f ca="1"/>
        <v>0</v>
      </c>
    </row>
    <row r="118" spans="2:11">
      <c r="B118" s="345">
        <v>1</v>
      </c>
      <c r="C118" s="267" t="str">
        <f>'Painel Controle'!C$115</f>
        <v>Veículos Comerciais com 5 Eixos Articulado</v>
      </c>
      <c r="D118" s="481" t="str">
        <f>INDEX('Painel Controle'!D$110:D$121,MATCH(C118,'Painel Controle'!C$110:C$121,0))</f>
        <v>Pesados II</v>
      </c>
      <c r="E118" s="177" t="s">
        <v>597</v>
      </c>
      <c r="F118" s="110" cm="1">
        <f t="array" ref="F118">_xlfn._xlws.FILTER(E$34:E$81,(B$34:B$81 = B118) * (LEFT(C$34:C$81,5) = LEFT(D118,5)) * (D$34:D$81 = E118))</f>
        <v>0.29799999999999999</v>
      </c>
      <c r="G118" s="565" cm="1">
        <f t="array" ref="G118">_xlfn._xlws.FILTER(F$34:F$81,(B$34:B$81 = B118) * (LEFT(C$34:C$81,5) = LEFT(D118,5)) * (D$34:D$81 = E118))</f>
        <v>2</v>
      </c>
      <c r="H118" s="250" t="b">
        <f t="shared" si="0"/>
        <v>0</v>
      </c>
      <c r="I118" s="219" cm="1">
        <f t="array" aca="1" ref="I118" ca="1">IF(G118&lt;=B$3,(1-((1-INDEX(I$12:I$15,B118))^(G118-1))),(1-((1-INDEX(I$12:I$15,B118))^(B$3-1)))) * H118</f>
        <v>0</v>
      </c>
      <c r="J118" s="219" cm="1">
        <f t="array" aca="1" ref="J118" ca="1">_xlfn.LET(_xlpm.númerotermospg,MIN(B$3,G118),_xlpm.razão,1-INDEX(_xlfn.ANCHORARRAY(I$12),B118),_xlpm.somatermospg,((_xlpm.razão^_xlpm.númerotermospg)-1)/(_xlpm.razão-1),_xlpm.númerotermosconstantes,IF(G118&lt;=B$3,0,G118-B$3),_xlpm.somatermosconstantes,(1-I118)*_xlpm.númerotermosconstantes,_xlpm.somatodostermos,_xlpm.somatermospg+_xlpm.somatermosconstantes,_xlpm.médiatodosostermos,_xlpm.somatodostermos/G118,1 - _xlpm.médiatodosostermos) * H118</f>
        <v>0</v>
      </c>
      <c r="K118" s="110">
        <f ca="1"/>
        <v>0</v>
      </c>
    </row>
    <row r="119" spans="2:11">
      <c r="B119" s="345">
        <v>1</v>
      </c>
      <c r="C119" s="267" t="str">
        <f>'Painel Controle'!C$115</f>
        <v>Veículos Comerciais com 5 Eixos Articulado</v>
      </c>
      <c r="D119" s="481" t="str">
        <f>INDEX('Painel Controle'!D$110:D$121,MATCH(C119,'Painel Controle'!C$110:C$121,0))</f>
        <v>Pesados II</v>
      </c>
      <c r="E119" s="177" t="s">
        <v>598</v>
      </c>
      <c r="F119" s="110" cm="1">
        <f t="array" ref="F119">_xlfn._xlws.FILTER(E$34:E$81,(B$34:B$81 = B119) * (LEFT(C$34:C$81,5) = LEFT(D119,5)) * (D$34:D$81 = E119))</f>
        <v>0.113</v>
      </c>
      <c r="G119" s="565" cm="1">
        <f t="array" ref="G119">_xlfn._xlws.FILTER(F$34:F$81,(B$34:B$81 = B119) * (LEFT(C$34:C$81,5) = LEFT(D119,5)) * (D$34:D$81 = E119))</f>
        <v>1</v>
      </c>
      <c r="H119" s="250" t="b">
        <f t="shared" si="0"/>
        <v>0</v>
      </c>
      <c r="I119" s="219" cm="1">
        <f t="array" aca="1" ref="I119" ca="1">IF(G119&lt;=B$3,(1-((1-INDEX(I$12:I$15,B119))^(G119-1))),(1-((1-INDEX(I$12:I$15,B119))^(B$3-1)))) * H119</f>
        <v>0</v>
      </c>
      <c r="J119" s="219" cm="1">
        <f t="array" aca="1" ref="J119" ca="1">_xlfn.LET(_xlpm.númerotermospg,MIN(B$3,G119),_xlpm.razão,1-INDEX(_xlfn.ANCHORARRAY(I$12),B119),_xlpm.somatermospg,((_xlpm.razão^_xlpm.númerotermospg)-1)/(_xlpm.razão-1),_xlpm.númerotermosconstantes,IF(G119&lt;=B$3,0,G119-B$3),_xlpm.somatermosconstantes,(1-I119)*_xlpm.númerotermosconstantes,_xlpm.somatodostermos,_xlpm.somatermospg+_xlpm.somatermosconstantes,_xlpm.médiatodosostermos,_xlpm.somatodostermos/G119,1 - _xlpm.médiatodosostermos) * H119</f>
        <v>0</v>
      </c>
      <c r="K119" s="110">
        <f ca="1"/>
        <v>0</v>
      </c>
    </row>
    <row r="120" spans="2:11">
      <c r="B120" s="345">
        <v>1</v>
      </c>
      <c r="C120" s="267" t="str">
        <f>'Painel Controle'!C$115</f>
        <v>Veículos Comerciais com 5 Eixos Articulado</v>
      </c>
      <c r="D120" s="481" t="str">
        <f>INDEX('Painel Controle'!D$110:D$121,MATCH(C120,'Painel Controle'!C$110:C$121,0))</f>
        <v>Pesados II</v>
      </c>
      <c r="E120" s="177" t="s">
        <v>599</v>
      </c>
      <c r="F120" s="110" cm="1">
        <f t="array" ref="F120">_xlfn._xlws.FILTER(E$34:E$81,(B$34:B$81 = B120) * (LEFT(C$34:C$81,5) = LEFT(D120,5)) * (D$34:D$81 = E120))</f>
        <v>3.5000000000000003E-2</v>
      </c>
      <c r="G120" s="565" cm="1">
        <f t="array" ref="G120">_xlfn._xlws.FILTER(F$34:F$81,(B$34:B$81 = B120) * (LEFT(C$34:C$81,5) = LEFT(D120,5)) * (D$34:D$81 = E120))</f>
        <v>1</v>
      </c>
      <c r="H120" s="250" t="b">
        <f t="shared" si="0"/>
        <v>0</v>
      </c>
      <c r="I120" s="219" cm="1">
        <f t="array" aca="1" ref="I120" ca="1">IF(G120&lt;=B$3,(1-((1-INDEX(I$12:I$15,B120))^(G120-1))),(1-((1-INDEX(I$12:I$15,B120))^(B$3-1)))) * H120</f>
        <v>0</v>
      </c>
      <c r="J120" s="219" cm="1">
        <f t="array" aca="1" ref="J120" ca="1">_xlfn.LET(_xlpm.númerotermospg,MIN(B$3,G120),_xlpm.razão,1-INDEX(_xlfn.ANCHORARRAY(I$12),B120),_xlpm.somatermospg,((_xlpm.razão^_xlpm.númerotermospg)-1)/(_xlpm.razão-1),_xlpm.númerotermosconstantes,IF(G120&lt;=B$3,0,G120-B$3),_xlpm.somatermosconstantes,(1-I120)*_xlpm.númerotermosconstantes,_xlpm.somatodostermos,_xlpm.somatermospg+_xlpm.somatermosconstantes,_xlpm.médiatodosostermos,_xlpm.somatodostermos/G120,1 - _xlpm.médiatodosostermos) * H120</f>
        <v>0</v>
      </c>
      <c r="K120" s="110">
        <f ca="1"/>
        <v>0</v>
      </c>
    </row>
    <row r="121" spans="2:11">
      <c r="B121" s="345">
        <v>1</v>
      </c>
      <c r="C121" s="267" t="str">
        <f>'Painel Controle'!C$115</f>
        <v>Veículos Comerciais com 5 Eixos Articulado</v>
      </c>
      <c r="D121" s="481" t="str">
        <f>INDEX('Painel Controle'!D$110:D$121,MATCH(C121,'Painel Controle'!C$110:C$121,0))</f>
        <v>Pesados II</v>
      </c>
      <c r="E121" s="177" t="s">
        <v>600</v>
      </c>
      <c r="F121" s="110" cm="1">
        <f t="array" ref="F121">_xlfn._xlws.FILTER(E$34:E$81,(B$34:B$81 = B121) * (LEFT(C$34:C$81,5) = LEFT(D121,5)) * (D$34:D$81 = E121))</f>
        <v>2.3E-2</v>
      </c>
      <c r="G121" s="565" cm="1">
        <f t="array" ref="G121">_xlfn._xlws.FILTER(F$34:F$81,(B$34:B$81 = B121) * (LEFT(C$34:C$81,5) = LEFT(D121,5)) * (D$34:D$81 = E121))</f>
        <v>1</v>
      </c>
      <c r="H121" s="250" t="b">
        <f t="shared" si="0"/>
        <v>0</v>
      </c>
      <c r="I121" s="219" cm="1">
        <f t="array" aca="1" ref="I121" ca="1">IF(G121&lt;=B$3,(1-((1-INDEX(I$12:I$15,B121))^(G121-1))),(1-((1-INDEX(I$12:I$15,B121))^(B$3-1)))) * H121</f>
        <v>0</v>
      </c>
      <c r="J121" s="219" cm="1">
        <f t="array" aca="1" ref="J121" ca="1">_xlfn.LET(_xlpm.númerotermospg,MIN(B$3,G121),_xlpm.razão,1-INDEX(_xlfn.ANCHORARRAY(I$12),B121),_xlpm.somatermospg,((_xlpm.razão^_xlpm.númerotermospg)-1)/(_xlpm.razão-1),_xlpm.númerotermosconstantes,IF(G121&lt;=B$3,0,G121-B$3),_xlpm.somatermosconstantes,(1-I121)*_xlpm.númerotermosconstantes,_xlpm.somatodostermos,_xlpm.somatermospg+_xlpm.somatermosconstantes,_xlpm.médiatodosostermos,_xlpm.somatodostermos/G121,1 - _xlpm.médiatodosostermos) * H121</f>
        <v>0</v>
      </c>
      <c r="K121" s="110">
        <f ca="1"/>
        <v>0</v>
      </c>
    </row>
    <row r="122" spans="2:11">
      <c r="B122" s="345">
        <v>1</v>
      </c>
      <c r="C122" s="267" t="str">
        <f>'Painel Controle'!C$116</f>
        <v>Veículos Comerciais com 6 Eixos Articulado</v>
      </c>
      <c r="D122" s="481" t="str">
        <f>INDEX('Painel Controle'!D$110:D$121,MATCH(C122,'Painel Controle'!C$110:C$121,0))</f>
        <v>Pesados II</v>
      </c>
      <c r="E122" s="177" t="s">
        <v>595</v>
      </c>
      <c r="F122" s="110" cm="1">
        <f t="array" ref="F122">_xlfn._xlws.FILTER(E$34:E$81,(B$34:B$81 = B122) * (LEFT(C$34:C$81,5) = LEFT(D122,5)) * (D$34:D$81 = E122))</f>
        <v>0.18190000000000001</v>
      </c>
      <c r="G122" s="565" cm="1">
        <f t="array" ref="G122">_xlfn._xlws.FILTER(F$34:F$81,(B$34:B$81 = B122) * (LEFT(C$34:C$81,5) = LEFT(D122,5)) * (D$34:D$81 = E122))</f>
        <v>20</v>
      </c>
      <c r="H122" s="250" t="b">
        <f t="shared" si="0"/>
        <v>0</v>
      </c>
      <c r="I122" s="219" cm="1">
        <f t="array" aca="1" ref="I122" ca="1">IF(G122&lt;=B$3,(1-((1-INDEX(I$12:I$15,B122))^(G122-1))),(1-((1-INDEX(I$12:I$15,B122))^(B$3-1)))) * H122</f>
        <v>0</v>
      </c>
      <c r="J122" s="219" cm="1">
        <f t="array" aca="1" ref="J122" ca="1">_xlfn.LET(_xlpm.númerotermospg,MIN(B$3,G122),_xlpm.razão,1-INDEX(_xlfn.ANCHORARRAY(I$12),B122),_xlpm.somatermospg,((_xlpm.razão^_xlpm.númerotermospg)-1)/(_xlpm.razão-1),_xlpm.númerotermosconstantes,IF(G122&lt;=B$3,0,G122-B$3),_xlpm.somatermosconstantes,(1-I122)*_xlpm.númerotermosconstantes,_xlpm.somatodostermos,_xlpm.somatermospg+_xlpm.somatermosconstantes,_xlpm.médiatodosostermos,_xlpm.somatodostermos/G122,1 - _xlpm.médiatodosostermos) * H122</f>
        <v>0</v>
      </c>
      <c r="K122" s="110">
        <f ca="1"/>
        <v>0</v>
      </c>
    </row>
    <row r="123" spans="2:11">
      <c r="B123" s="345">
        <v>1</v>
      </c>
      <c r="C123" s="267" t="str">
        <f>'Painel Controle'!C$116</f>
        <v>Veículos Comerciais com 6 Eixos Articulado</v>
      </c>
      <c r="D123" s="481" t="str">
        <f>INDEX('Painel Controle'!D$110:D$121,MATCH(C123,'Painel Controle'!C$110:C$121,0))</f>
        <v>Pesados II</v>
      </c>
      <c r="E123" s="177" t="s">
        <v>596</v>
      </c>
      <c r="F123" s="110" cm="1">
        <f t="array" ref="F123">_xlfn._xlws.FILTER(E$34:E$81,(B$34:B$81 = B123) * (LEFT(C$34:C$81,5) = LEFT(D123,5)) * (D$34:D$81 = E123))</f>
        <v>0.35</v>
      </c>
      <c r="G123" s="565" cm="1">
        <f t="array" ref="G123">_xlfn._xlws.FILTER(F$34:F$81,(B$34:B$81 = B123) * (LEFT(C$34:C$81,5) = LEFT(D123,5)) * (D$34:D$81 = E123))</f>
        <v>4</v>
      </c>
      <c r="H123" s="250" t="b">
        <f t="shared" si="0"/>
        <v>0</v>
      </c>
      <c r="I123" s="219" cm="1">
        <f t="array" aca="1" ref="I123" ca="1">IF(G123&lt;=B$3,(1-((1-INDEX(I$12:I$15,B123))^(G123-1))),(1-((1-INDEX(I$12:I$15,B123))^(B$3-1)))) * H123</f>
        <v>0</v>
      </c>
      <c r="J123" s="219" cm="1">
        <f t="array" aca="1" ref="J123" ca="1">_xlfn.LET(_xlpm.númerotermospg,MIN(B$3,G123),_xlpm.razão,1-INDEX(_xlfn.ANCHORARRAY(I$12),B123),_xlpm.somatermospg,((_xlpm.razão^_xlpm.númerotermospg)-1)/(_xlpm.razão-1),_xlpm.númerotermosconstantes,IF(G123&lt;=B$3,0,G123-B$3),_xlpm.somatermosconstantes,(1-I123)*_xlpm.númerotermosconstantes,_xlpm.somatodostermos,_xlpm.somatermospg+_xlpm.somatermosconstantes,_xlpm.médiatodosostermos,_xlpm.somatodostermos/G123,1 - _xlpm.médiatodosostermos) * H123</f>
        <v>0</v>
      </c>
      <c r="K123" s="110">
        <f ca="1"/>
        <v>0</v>
      </c>
    </row>
    <row r="124" spans="2:11">
      <c r="B124" s="345">
        <v>1</v>
      </c>
      <c r="C124" s="267" t="str">
        <f>'Painel Controle'!C$116</f>
        <v>Veículos Comerciais com 6 Eixos Articulado</v>
      </c>
      <c r="D124" s="481" t="str">
        <f>INDEX('Painel Controle'!D$110:D$121,MATCH(C124,'Painel Controle'!C$110:C$121,0))</f>
        <v>Pesados II</v>
      </c>
      <c r="E124" s="177" t="s">
        <v>597</v>
      </c>
      <c r="F124" s="110" cm="1">
        <f t="array" ref="F124">_xlfn._xlws.FILTER(E$34:E$81,(B$34:B$81 = B124) * (LEFT(C$34:C$81,5) = LEFT(D124,5)) * (D$34:D$81 = E124))</f>
        <v>0.29799999999999999</v>
      </c>
      <c r="G124" s="565" cm="1">
        <f t="array" ref="G124">_xlfn._xlws.FILTER(F$34:F$81,(B$34:B$81 = B124) * (LEFT(C$34:C$81,5) = LEFT(D124,5)) * (D$34:D$81 = E124))</f>
        <v>2</v>
      </c>
      <c r="H124" s="250" t="b">
        <f t="shared" si="0"/>
        <v>0</v>
      </c>
      <c r="I124" s="219" cm="1">
        <f t="array" aca="1" ref="I124" ca="1">IF(G124&lt;=B$3,(1-((1-INDEX(I$12:I$15,B124))^(G124-1))),(1-((1-INDEX(I$12:I$15,B124))^(B$3-1)))) * H124</f>
        <v>0</v>
      </c>
      <c r="J124" s="219" cm="1">
        <f t="array" aca="1" ref="J124" ca="1">_xlfn.LET(_xlpm.númerotermospg,MIN(B$3,G124),_xlpm.razão,1-INDEX(_xlfn.ANCHORARRAY(I$12),B124),_xlpm.somatermospg,((_xlpm.razão^_xlpm.númerotermospg)-1)/(_xlpm.razão-1),_xlpm.númerotermosconstantes,IF(G124&lt;=B$3,0,G124-B$3),_xlpm.somatermosconstantes,(1-I124)*_xlpm.númerotermosconstantes,_xlpm.somatodostermos,_xlpm.somatermospg+_xlpm.somatermosconstantes,_xlpm.médiatodosostermos,_xlpm.somatodostermos/G124,1 - _xlpm.médiatodosostermos) * H124</f>
        <v>0</v>
      </c>
      <c r="K124" s="110">
        <f ca="1"/>
        <v>0</v>
      </c>
    </row>
    <row r="125" spans="2:11">
      <c r="B125" s="345">
        <v>1</v>
      </c>
      <c r="C125" s="267" t="str">
        <f>'Painel Controle'!C$116</f>
        <v>Veículos Comerciais com 6 Eixos Articulado</v>
      </c>
      <c r="D125" s="481" t="str">
        <f>INDEX('Painel Controle'!D$110:D$121,MATCH(C125,'Painel Controle'!C$110:C$121,0))</f>
        <v>Pesados II</v>
      </c>
      <c r="E125" s="177" t="s">
        <v>598</v>
      </c>
      <c r="F125" s="110" cm="1">
        <f t="array" ref="F125">_xlfn._xlws.FILTER(E$34:E$81,(B$34:B$81 = B125) * (LEFT(C$34:C$81,5) = LEFT(D125,5)) * (D$34:D$81 = E125))</f>
        <v>0.113</v>
      </c>
      <c r="G125" s="565" cm="1">
        <f t="array" ref="G125">_xlfn._xlws.FILTER(F$34:F$81,(B$34:B$81 = B125) * (LEFT(C$34:C$81,5) = LEFT(D125,5)) * (D$34:D$81 = E125))</f>
        <v>1</v>
      </c>
      <c r="H125" s="250" t="b">
        <f t="shared" si="0"/>
        <v>0</v>
      </c>
      <c r="I125" s="219" cm="1">
        <f t="array" aca="1" ref="I125" ca="1">IF(G125&lt;=B$3,(1-((1-INDEX(I$12:I$15,B125))^(G125-1))),(1-((1-INDEX(I$12:I$15,B125))^(B$3-1)))) * H125</f>
        <v>0</v>
      </c>
      <c r="J125" s="219" cm="1">
        <f t="array" aca="1" ref="J125" ca="1">_xlfn.LET(_xlpm.númerotermospg,MIN(B$3,G125),_xlpm.razão,1-INDEX(_xlfn.ANCHORARRAY(I$12),B125),_xlpm.somatermospg,((_xlpm.razão^_xlpm.númerotermospg)-1)/(_xlpm.razão-1),_xlpm.númerotermosconstantes,IF(G125&lt;=B$3,0,G125-B$3),_xlpm.somatermosconstantes,(1-I125)*_xlpm.númerotermosconstantes,_xlpm.somatodostermos,_xlpm.somatermospg+_xlpm.somatermosconstantes,_xlpm.médiatodosostermos,_xlpm.somatodostermos/G125,1 - _xlpm.médiatodosostermos) * H125</f>
        <v>0</v>
      </c>
      <c r="K125" s="110">
        <f ca="1"/>
        <v>0</v>
      </c>
    </row>
    <row r="126" spans="2:11">
      <c r="B126" s="345">
        <v>1</v>
      </c>
      <c r="C126" s="267" t="str">
        <f>'Painel Controle'!C$116</f>
        <v>Veículos Comerciais com 6 Eixos Articulado</v>
      </c>
      <c r="D126" s="481" t="str">
        <f>INDEX('Painel Controle'!D$110:D$121,MATCH(C126,'Painel Controle'!C$110:C$121,0))</f>
        <v>Pesados II</v>
      </c>
      <c r="E126" s="177" t="s">
        <v>599</v>
      </c>
      <c r="F126" s="110" cm="1">
        <f t="array" ref="F126">_xlfn._xlws.FILTER(E$34:E$81,(B$34:B$81 = B126) * (LEFT(C$34:C$81,5) = LEFT(D126,5)) * (D$34:D$81 = E126))</f>
        <v>3.5000000000000003E-2</v>
      </c>
      <c r="G126" s="565" cm="1">
        <f t="array" ref="G126">_xlfn._xlws.FILTER(F$34:F$81,(B$34:B$81 = B126) * (LEFT(C$34:C$81,5) = LEFT(D126,5)) * (D$34:D$81 = E126))</f>
        <v>1</v>
      </c>
      <c r="H126" s="250" t="b">
        <f t="shared" si="0"/>
        <v>0</v>
      </c>
      <c r="I126" s="219" cm="1">
        <f t="array" aca="1" ref="I126" ca="1">IF(G126&lt;=B$3,(1-((1-INDEX(I$12:I$15,B126))^(G126-1))),(1-((1-INDEX(I$12:I$15,B126))^(B$3-1)))) * H126</f>
        <v>0</v>
      </c>
      <c r="J126" s="219" cm="1">
        <f t="array" aca="1" ref="J126" ca="1">_xlfn.LET(_xlpm.númerotermospg,MIN(B$3,G126),_xlpm.razão,1-INDEX(_xlfn.ANCHORARRAY(I$12),B126),_xlpm.somatermospg,((_xlpm.razão^_xlpm.númerotermospg)-1)/(_xlpm.razão-1),_xlpm.númerotermosconstantes,IF(G126&lt;=B$3,0,G126-B$3),_xlpm.somatermosconstantes,(1-I126)*_xlpm.númerotermosconstantes,_xlpm.somatodostermos,_xlpm.somatermospg+_xlpm.somatermosconstantes,_xlpm.médiatodosostermos,_xlpm.somatodostermos/G126,1 - _xlpm.médiatodosostermos) * H126</f>
        <v>0</v>
      </c>
      <c r="K126" s="110">
        <f ca="1"/>
        <v>0</v>
      </c>
    </row>
    <row r="127" spans="2:11">
      <c r="B127" s="345">
        <v>1</v>
      </c>
      <c r="C127" s="267" t="str">
        <f>'Painel Controle'!C$116</f>
        <v>Veículos Comerciais com 6 Eixos Articulado</v>
      </c>
      <c r="D127" s="481" t="str">
        <f>INDEX('Painel Controle'!D$110:D$121,MATCH(C127,'Painel Controle'!C$110:C$121,0))</f>
        <v>Pesados II</v>
      </c>
      <c r="E127" s="177" t="s">
        <v>600</v>
      </c>
      <c r="F127" s="110" cm="1">
        <f t="array" ref="F127">_xlfn._xlws.FILTER(E$34:E$81,(B$34:B$81 = B127) * (LEFT(C$34:C$81,5) = LEFT(D127,5)) * (D$34:D$81 = E127))</f>
        <v>2.3E-2</v>
      </c>
      <c r="G127" s="565" cm="1">
        <f t="array" ref="G127">_xlfn._xlws.FILTER(F$34:F$81,(B$34:B$81 = B127) * (LEFT(C$34:C$81,5) = LEFT(D127,5)) * (D$34:D$81 = E127))</f>
        <v>1</v>
      </c>
      <c r="H127" s="250" t="b">
        <f t="shared" si="0"/>
        <v>0</v>
      </c>
      <c r="I127" s="219" cm="1">
        <f t="array" aca="1" ref="I127" ca="1">IF(G127&lt;=B$3,(1-((1-INDEX(I$12:I$15,B127))^(G127-1))),(1-((1-INDEX(I$12:I$15,B127))^(B$3-1)))) * H127</f>
        <v>0</v>
      </c>
      <c r="J127" s="219" cm="1">
        <f t="array" aca="1" ref="J127" ca="1">_xlfn.LET(_xlpm.númerotermospg,MIN(B$3,G127),_xlpm.razão,1-INDEX(_xlfn.ANCHORARRAY(I$12),B127),_xlpm.somatermospg,((_xlpm.razão^_xlpm.númerotermospg)-1)/(_xlpm.razão-1),_xlpm.númerotermosconstantes,IF(G127&lt;=B$3,0,G127-B$3),_xlpm.somatermosconstantes,(1-I127)*_xlpm.númerotermosconstantes,_xlpm.somatodostermos,_xlpm.somatermospg+_xlpm.somatermosconstantes,_xlpm.médiatodosostermos,_xlpm.somatodostermos/G127,1 - _xlpm.médiatodosostermos) * H127</f>
        <v>0</v>
      </c>
      <c r="K127" s="110">
        <f ca="1"/>
        <v>0</v>
      </c>
    </row>
    <row r="128" spans="2:11">
      <c r="B128" s="345">
        <v>1</v>
      </c>
      <c r="C128" s="267" t="str">
        <f>'Painel Controle'!C$117</f>
        <v>Veículos Comerciais com 7 Eixos Articulado</v>
      </c>
      <c r="D128" s="481" t="str">
        <f>INDEX('Painel Controle'!D$110:D$121,MATCH(C128,'Painel Controle'!C$110:C$121,0))</f>
        <v>Pesados II</v>
      </c>
      <c r="E128" s="177" t="s">
        <v>595</v>
      </c>
      <c r="F128" s="110" cm="1">
        <f t="array" ref="F128">_xlfn._xlws.FILTER(E$34:E$81,(B$34:B$81 = B128) * (LEFT(C$34:C$81,5) = LEFT(D128,5)) * (D$34:D$81 = E128))</f>
        <v>0.18190000000000001</v>
      </c>
      <c r="G128" s="565" cm="1">
        <f t="array" ref="G128">_xlfn._xlws.FILTER(F$34:F$81,(B$34:B$81 = B128) * (LEFT(C$34:C$81,5) = LEFT(D128,5)) * (D$34:D$81 = E128))</f>
        <v>20</v>
      </c>
      <c r="H128" s="250" t="b">
        <f t="shared" si="0"/>
        <v>0</v>
      </c>
      <c r="I128" s="219" cm="1">
        <f t="array" aca="1" ref="I128" ca="1">IF(G128&lt;=B$3,(1-((1-INDEX(I$12:I$15,B128))^(G128-1))),(1-((1-INDEX(I$12:I$15,B128))^(B$3-1)))) * H128</f>
        <v>0</v>
      </c>
      <c r="J128" s="219" cm="1">
        <f t="array" aca="1" ref="J128" ca="1">_xlfn.LET(_xlpm.númerotermospg,MIN(B$3,G128),_xlpm.razão,1-INDEX(_xlfn.ANCHORARRAY(I$12),B128),_xlpm.somatermospg,((_xlpm.razão^_xlpm.númerotermospg)-1)/(_xlpm.razão-1),_xlpm.númerotermosconstantes,IF(G128&lt;=B$3,0,G128-B$3),_xlpm.somatermosconstantes,(1-I128)*_xlpm.númerotermosconstantes,_xlpm.somatodostermos,_xlpm.somatermospg+_xlpm.somatermosconstantes,_xlpm.médiatodosostermos,_xlpm.somatodostermos/G128,1 - _xlpm.médiatodosostermos) * H128</f>
        <v>0</v>
      </c>
      <c r="K128" s="110">
        <f ca="1"/>
        <v>0</v>
      </c>
    </row>
    <row r="129" spans="2:11">
      <c r="B129" s="345">
        <v>1</v>
      </c>
      <c r="C129" s="267" t="str">
        <f>'Painel Controle'!C$117</f>
        <v>Veículos Comerciais com 7 Eixos Articulado</v>
      </c>
      <c r="D129" s="481" t="str">
        <f>INDEX('Painel Controle'!D$110:D$121,MATCH(C129,'Painel Controle'!C$110:C$121,0))</f>
        <v>Pesados II</v>
      </c>
      <c r="E129" s="177" t="s">
        <v>596</v>
      </c>
      <c r="F129" s="110" cm="1">
        <f t="array" ref="F129">_xlfn._xlws.FILTER(E$34:E$81,(B$34:B$81 = B129) * (LEFT(C$34:C$81,5) = LEFT(D129,5)) * (D$34:D$81 = E129))</f>
        <v>0.35</v>
      </c>
      <c r="G129" s="565" cm="1">
        <f t="array" ref="G129">_xlfn._xlws.FILTER(F$34:F$81,(B$34:B$81 = B129) * (LEFT(C$34:C$81,5) = LEFT(D129,5)) * (D$34:D$81 = E129))</f>
        <v>4</v>
      </c>
      <c r="H129" s="250" t="b">
        <f t="shared" si="0"/>
        <v>0</v>
      </c>
      <c r="I129" s="219" cm="1">
        <f t="array" aca="1" ref="I129" ca="1">IF(G129&lt;=B$3,(1-((1-INDEX(I$12:I$15,B129))^(G129-1))),(1-((1-INDEX(I$12:I$15,B129))^(B$3-1)))) * H129</f>
        <v>0</v>
      </c>
      <c r="J129" s="219" cm="1">
        <f t="array" aca="1" ref="J129" ca="1">_xlfn.LET(_xlpm.númerotermospg,MIN(B$3,G129),_xlpm.razão,1-INDEX(_xlfn.ANCHORARRAY(I$12),B129),_xlpm.somatermospg,((_xlpm.razão^_xlpm.númerotermospg)-1)/(_xlpm.razão-1),_xlpm.númerotermosconstantes,IF(G129&lt;=B$3,0,G129-B$3),_xlpm.somatermosconstantes,(1-I129)*_xlpm.númerotermosconstantes,_xlpm.somatodostermos,_xlpm.somatermospg+_xlpm.somatermosconstantes,_xlpm.médiatodosostermos,_xlpm.somatodostermos/G129,1 - _xlpm.médiatodosostermos) * H129</f>
        <v>0</v>
      </c>
      <c r="K129" s="110">
        <f ca="1"/>
        <v>0</v>
      </c>
    </row>
    <row r="130" spans="2:11">
      <c r="B130" s="345">
        <v>1</v>
      </c>
      <c r="C130" s="267" t="str">
        <f>'Painel Controle'!C$117</f>
        <v>Veículos Comerciais com 7 Eixos Articulado</v>
      </c>
      <c r="D130" s="481" t="str">
        <f>INDEX('Painel Controle'!D$110:D$121,MATCH(C130,'Painel Controle'!C$110:C$121,0))</f>
        <v>Pesados II</v>
      </c>
      <c r="E130" s="177" t="s">
        <v>597</v>
      </c>
      <c r="F130" s="110" cm="1">
        <f t="array" ref="F130">_xlfn._xlws.FILTER(E$34:E$81,(B$34:B$81 = B130) * (LEFT(C$34:C$81,5) = LEFT(D130,5)) * (D$34:D$81 = E130))</f>
        <v>0.29799999999999999</v>
      </c>
      <c r="G130" s="565" cm="1">
        <f t="array" ref="G130">_xlfn._xlws.FILTER(F$34:F$81,(B$34:B$81 = B130) * (LEFT(C$34:C$81,5) = LEFT(D130,5)) * (D$34:D$81 = E130))</f>
        <v>2</v>
      </c>
      <c r="H130" s="250" t="b">
        <f t="shared" si="0"/>
        <v>0</v>
      </c>
      <c r="I130" s="219" cm="1">
        <f t="array" aca="1" ref="I130" ca="1">IF(G130&lt;=B$3,(1-((1-INDEX(I$12:I$15,B130))^(G130-1))),(1-((1-INDEX(I$12:I$15,B130))^(B$3-1)))) * H130</f>
        <v>0</v>
      </c>
      <c r="J130" s="219" cm="1">
        <f t="array" aca="1" ref="J130" ca="1">_xlfn.LET(_xlpm.númerotermospg,MIN(B$3,G130),_xlpm.razão,1-INDEX(_xlfn.ANCHORARRAY(I$12),B130),_xlpm.somatermospg,((_xlpm.razão^_xlpm.númerotermospg)-1)/(_xlpm.razão-1),_xlpm.númerotermosconstantes,IF(G130&lt;=B$3,0,G130-B$3),_xlpm.somatermosconstantes,(1-I130)*_xlpm.númerotermosconstantes,_xlpm.somatodostermos,_xlpm.somatermospg+_xlpm.somatermosconstantes,_xlpm.médiatodosostermos,_xlpm.somatodostermos/G130,1 - _xlpm.médiatodosostermos) * H130</f>
        <v>0</v>
      </c>
      <c r="K130" s="110">
        <f ca="1"/>
        <v>0</v>
      </c>
    </row>
    <row r="131" spans="2:11">
      <c r="B131" s="345">
        <v>1</v>
      </c>
      <c r="C131" s="267" t="str">
        <f>'Painel Controle'!C$117</f>
        <v>Veículos Comerciais com 7 Eixos Articulado</v>
      </c>
      <c r="D131" s="481" t="str">
        <f>INDEX('Painel Controle'!D$110:D$121,MATCH(C131,'Painel Controle'!C$110:C$121,0))</f>
        <v>Pesados II</v>
      </c>
      <c r="E131" s="177" t="s">
        <v>598</v>
      </c>
      <c r="F131" s="110" cm="1">
        <f t="array" ref="F131">_xlfn._xlws.FILTER(E$34:E$81,(B$34:B$81 = B131) * (LEFT(C$34:C$81,5) = LEFT(D131,5)) * (D$34:D$81 = E131))</f>
        <v>0.113</v>
      </c>
      <c r="G131" s="565" cm="1">
        <f t="array" ref="G131">_xlfn._xlws.FILTER(F$34:F$81,(B$34:B$81 = B131) * (LEFT(C$34:C$81,5) = LEFT(D131,5)) * (D$34:D$81 = E131))</f>
        <v>1</v>
      </c>
      <c r="H131" s="250" t="b">
        <f t="shared" si="0"/>
        <v>0</v>
      </c>
      <c r="I131" s="219" cm="1">
        <f t="array" aca="1" ref="I131" ca="1">IF(G131&lt;=B$3,(1-((1-INDEX(I$12:I$15,B131))^(G131-1))),(1-((1-INDEX(I$12:I$15,B131))^(B$3-1)))) * H131</f>
        <v>0</v>
      </c>
      <c r="J131" s="219" cm="1">
        <f t="array" aca="1" ref="J131" ca="1">_xlfn.LET(_xlpm.númerotermospg,MIN(B$3,G131),_xlpm.razão,1-INDEX(_xlfn.ANCHORARRAY(I$12),B131),_xlpm.somatermospg,((_xlpm.razão^_xlpm.númerotermospg)-1)/(_xlpm.razão-1),_xlpm.númerotermosconstantes,IF(G131&lt;=B$3,0,G131-B$3),_xlpm.somatermosconstantes,(1-I131)*_xlpm.númerotermosconstantes,_xlpm.somatodostermos,_xlpm.somatermospg+_xlpm.somatermosconstantes,_xlpm.médiatodosostermos,_xlpm.somatodostermos/G131,1 - _xlpm.médiatodosostermos) * H131</f>
        <v>0</v>
      </c>
      <c r="K131" s="110">
        <f ca="1"/>
        <v>0</v>
      </c>
    </row>
    <row r="132" spans="2:11">
      <c r="B132" s="345">
        <v>1</v>
      </c>
      <c r="C132" s="267" t="str">
        <f>'Painel Controle'!C$117</f>
        <v>Veículos Comerciais com 7 Eixos Articulado</v>
      </c>
      <c r="D132" s="481" t="str">
        <f>INDEX('Painel Controle'!D$110:D$121,MATCH(C132,'Painel Controle'!C$110:C$121,0))</f>
        <v>Pesados II</v>
      </c>
      <c r="E132" s="177" t="s">
        <v>599</v>
      </c>
      <c r="F132" s="110" cm="1">
        <f t="array" ref="F132">_xlfn._xlws.FILTER(E$34:E$81,(B$34:B$81 = B132) * (LEFT(C$34:C$81,5) = LEFT(D132,5)) * (D$34:D$81 = E132))</f>
        <v>3.5000000000000003E-2</v>
      </c>
      <c r="G132" s="565" cm="1">
        <f t="array" ref="G132">_xlfn._xlws.FILTER(F$34:F$81,(B$34:B$81 = B132) * (LEFT(C$34:C$81,5) = LEFT(D132,5)) * (D$34:D$81 = E132))</f>
        <v>1</v>
      </c>
      <c r="H132" s="250" t="b">
        <f t="shared" si="0"/>
        <v>0</v>
      </c>
      <c r="I132" s="219" cm="1">
        <f t="array" aca="1" ref="I132" ca="1">IF(G132&lt;=B$3,(1-((1-INDEX(I$12:I$15,B132))^(G132-1))),(1-((1-INDEX(I$12:I$15,B132))^(B$3-1)))) * H132</f>
        <v>0</v>
      </c>
      <c r="J132" s="219" cm="1">
        <f t="array" aca="1" ref="J132" ca="1">_xlfn.LET(_xlpm.númerotermospg,MIN(B$3,G132),_xlpm.razão,1-INDEX(_xlfn.ANCHORARRAY(I$12),B132),_xlpm.somatermospg,((_xlpm.razão^_xlpm.númerotermospg)-1)/(_xlpm.razão-1),_xlpm.númerotermosconstantes,IF(G132&lt;=B$3,0,G132-B$3),_xlpm.somatermosconstantes,(1-I132)*_xlpm.númerotermosconstantes,_xlpm.somatodostermos,_xlpm.somatermospg+_xlpm.somatermosconstantes,_xlpm.médiatodosostermos,_xlpm.somatodostermos/G132,1 - _xlpm.médiatodosostermos) * H132</f>
        <v>0</v>
      </c>
      <c r="K132" s="110">
        <f ca="1"/>
        <v>0</v>
      </c>
    </row>
    <row r="133" spans="2:11">
      <c r="B133" s="345">
        <v>1</v>
      </c>
      <c r="C133" s="267" t="str">
        <f>'Painel Controle'!C$117</f>
        <v>Veículos Comerciais com 7 Eixos Articulado</v>
      </c>
      <c r="D133" s="481" t="str">
        <f>INDEX('Painel Controle'!D$110:D$121,MATCH(C133,'Painel Controle'!C$110:C$121,0))</f>
        <v>Pesados II</v>
      </c>
      <c r="E133" s="177" t="s">
        <v>600</v>
      </c>
      <c r="F133" s="110" cm="1">
        <f t="array" ref="F133">_xlfn._xlws.FILTER(E$34:E$81,(B$34:B$81 = B133) * (LEFT(C$34:C$81,5) = LEFT(D133,5)) * (D$34:D$81 = E133))</f>
        <v>2.3E-2</v>
      </c>
      <c r="G133" s="565" cm="1">
        <f t="array" ref="G133">_xlfn._xlws.FILTER(F$34:F$81,(B$34:B$81 = B133) * (LEFT(C$34:C$81,5) = LEFT(D133,5)) * (D$34:D$81 = E133))</f>
        <v>1</v>
      </c>
      <c r="H133" s="250" t="b">
        <f t="shared" si="0"/>
        <v>0</v>
      </c>
      <c r="I133" s="219" cm="1">
        <f t="array" aca="1" ref="I133" ca="1">IF(G133&lt;=B$3,(1-((1-INDEX(I$12:I$15,B133))^(G133-1))),(1-((1-INDEX(I$12:I$15,B133))^(B$3-1)))) * H133</f>
        <v>0</v>
      </c>
      <c r="J133" s="219" cm="1">
        <f t="array" aca="1" ref="J133" ca="1">_xlfn.LET(_xlpm.númerotermospg,MIN(B$3,G133),_xlpm.razão,1-INDEX(_xlfn.ANCHORARRAY(I$12),B133),_xlpm.somatermospg,((_xlpm.razão^_xlpm.númerotermospg)-1)/(_xlpm.razão-1),_xlpm.númerotermosconstantes,IF(G133&lt;=B$3,0,G133-B$3),_xlpm.somatermosconstantes,(1-I133)*_xlpm.númerotermosconstantes,_xlpm.somatodostermos,_xlpm.somatermospg+_xlpm.somatermosconstantes,_xlpm.médiatodosostermos,_xlpm.somatodostermos/G133,1 - _xlpm.médiatodosostermos) * H133</f>
        <v>0</v>
      </c>
      <c r="K133" s="110">
        <f ca="1"/>
        <v>0</v>
      </c>
    </row>
    <row r="134" spans="2:11">
      <c r="B134" s="345">
        <v>1</v>
      </c>
      <c r="C134" s="267" t="str">
        <f>'Painel Controle'!C$118</f>
        <v>Veículos Comerciais com 8 Eixos Articulado</v>
      </c>
      <c r="D134" s="481" t="str">
        <f>INDEX('Painel Controle'!D$110:D$121,MATCH(C134,'Painel Controle'!C$110:C$121,0))</f>
        <v>Pesados II</v>
      </c>
      <c r="E134" s="177" t="s">
        <v>595</v>
      </c>
      <c r="F134" s="110" cm="1">
        <f t="array" ref="F134">_xlfn._xlws.FILTER(E$34:E$81,(B$34:B$81 = B134) * (LEFT(C$34:C$81,5) = LEFT(D134,5)) * (D$34:D$81 = E134))</f>
        <v>0.18190000000000001</v>
      </c>
      <c r="G134" s="565" cm="1">
        <f t="array" ref="G134">_xlfn._xlws.FILTER(F$34:F$81,(B$34:B$81 = B134) * (LEFT(C$34:C$81,5) = LEFT(D134,5)) * (D$34:D$81 = E134))</f>
        <v>20</v>
      </c>
      <c r="H134" s="250" t="b">
        <f t="shared" si="0"/>
        <v>0</v>
      </c>
      <c r="I134" s="219" cm="1">
        <f t="array" aca="1" ref="I134" ca="1">IF(G134&lt;=B$3,(1-((1-INDEX(I$12:I$15,B134))^(G134-1))),(1-((1-INDEX(I$12:I$15,B134))^(B$3-1)))) * H134</f>
        <v>0</v>
      </c>
      <c r="J134" s="219" cm="1">
        <f t="array" aca="1" ref="J134" ca="1">_xlfn.LET(_xlpm.númerotermospg,MIN(B$3,G134),_xlpm.razão,1-INDEX(_xlfn.ANCHORARRAY(I$12),B134),_xlpm.somatermospg,((_xlpm.razão^_xlpm.númerotermospg)-1)/(_xlpm.razão-1),_xlpm.númerotermosconstantes,IF(G134&lt;=B$3,0,G134-B$3),_xlpm.somatermosconstantes,(1-I134)*_xlpm.númerotermosconstantes,_xlpm.somatodostermos,_xlpm.somatermospg+_xlpm.somatermosconstantes,_xlpm.médiatodosostermos,_xlpm.somatodostermos/G134,1 - _xlpm.médiatodosostermos) * H134</f>
        <v>0</v>
      </c>
      <c r="K134" s="110">
        <f ca="1"/>
        <v>0</v>
      </c>
    </row>
    <row r="135" spans="2:11">
      <c r="B135" s="345">
        <v>1</v>
      </c>
      <c r="C135" s="267" t="str">
        <f>'Painel Controle'!C$118</f>
        <v>Veículos Comerciais com 8 Eixos Articulado</v>
      </c>
      <c r="D135" s="481" t="str">
        <f>INDEX('Painel Controle'!D$110:D$121,MATCH(C135,'Painel Controle'!C$110:C$121,0))</f>
        <v>Pesados II</v>
      </c>
      <c r="E135" s="177" t="s">
        <v>596</v>
      </c>
      <c r="F135" s="110" cm="1">
        <f t="array" ref="F135">_xlfn._xlws.FILTER(E$34:E$81,(B$34:B$81 = B135) * (LEFT(C$34:C$81,5) = LEFT(D135,5)) * (D$34:D$81 = E135))</f>
        <v>0.35</v>
      </c>
      <c r="G135" s="565" cm="1">
        <f t="array" ref="G135">_xlfn._xlws.FILTER(F$34:F$81,(B$34:B$81 = B135) * (LEFT(C$34:C$81,5) = LEFT(D135,5)) * (D$34:D$81 = E135))</f>
        <v>4</v>
      </c>
      <c r="H135" s="250" t="b">
        <f t="shared" si="0"/>
        <v>0</v>
      </c>
      <c r="I135" s="219" cm="1">
        <f t="array" aca="1" ref="I135" ca="1">IF(G135&lt;=B$3,(1-((1-INDEX(I$12:I$15,B135))^(G135-1))),(1-((1-INDEX(I$12:I$15,B135))^(B$3-1)))) * H135</f>
        <v>0</v>
      </c>
      <c r="J135" s="219" cm="1">
        <f t="array" aca="1" ref="J135" ca="1">_xlfn.LET(_xlpm.númerotermospg,MIN(B$3,G135),_xlpm.razão,1-INDEX(_xlfn.ANCHORARRAY(I$12),B135),_xlpm.somatermospg,((_xlpm.razão^_xlpm.númerotermospg)-1)/(_xlpm.razão-1),_xlpm.númerotermosconstantes,IF(G135&lt;=B$3,0,G135-B$3),_xlpm.somatermosconstantes,(1-I135)*_xlpm.númerotermosconstantes,_xlpm.somatodostermos,_xlpm.somatermospg+_xlpm.somatermosconstantes,_xlpm.médiatodosostermos,_xlpm.somatodostermos/G135,1 - _xlpm.médiatodosostermos) * H135</f>
        <v>0</v>
      </c>
      <c r="K135" s="110">
        <f ca="1"/>
        <v>0</v>
      </c>
    </row>
    <row r="136" spans="2:11">
      <c r="B136" s="345">
        <v>1</v>
      </c>
      <c r="C136" s="267" t="str">
        <f>'Painel Controle'!C$118</f>
        <v>Veículos Comerciais com 8 Eixos Articulado</v>
      </c>
      <c r="D136" s="481" t="str">
        <f>INDEX('Painel Controle'!D$110:D$121,MATCH(C136,'Painel Controle'!C$110:C$121,0))</f>
        <v>Pesados II</v>
      </c>
      <c r="E136" s="177" t="s">
        <v>597</v>
      </c>
      <c r="F136" s="110" cm="1">
        <f t="array" ref="F136">_xlfn._xlws.FILTER(E$34:E$81,(B$34:B$81 = B136) * (LEFT(C$34:C$81,5) = LEFT(D136,5)) * (D$34:D$81 = E136))</f>
        <v>0.29799999999999999</v>
      </c>
      <c r="G136" s="565" cm="1">
        <f t="array" ref="G136">_xlfn._xlws.FILTER(F$34:F$81,(B$34:B$81 = B136) * (LEFT(C$34:C$81,5) = LEFT(D136,5)) * (D$34:D$81 = E136))</f>
        <v>2</v>
      </c>
      <c r="H136" s="250" t="b">
        <f t="shared" si="0"/>
        <v>0</v>
      </c>
      <c r="I136" s="219" cm="1">
        <f t="array" aca="1" ref="I136" ca="1">IF(G136&lt;=B$3,(1-((1-INDEX(I$12:I$15,B136))^(G136-1))),(1-((1-INDEX(I$12:I$15,B136))^(B$3-1)))) * H136</f>
        <v>0</v>
      </c>
      <c r="J136" s="219" cm="1">
        <f t="array" aca="1" ref="J136" ca="1">_xlfn.LET(_xlpm.númerotermospg,MIN(B$3,G136),_xlpm.razão,1-INDEX(_xlfn.ANCHORARRAY(I$12),B136),_xlpm.somatermospg,((_xlpm.razão^_xlpm.númerotermospg)-1)/(_xlpm.razão-1),_xlpm.númerotermosconstantes,IF(G136&lt;=B$3,0,G136-B$3),_xlpm.somatermosconstantes,(1-I136)*_xlpm.númerotermosconstantes,_xlpm.somatodostermos,_xlpm.somatermospg+_xlpm.somatermosconstantes,_xlpm.médiatodosostermos,_xlpm.somatodostermos/G136,1 - _xlpm.médiatodosostermos) * H136</f>
        <v>0</v>
      </c>
      <c r="K136" s="110">
        <f ca="1"/>
        <v>0</v>
      </c>
    </row>
    <row r="137" spans="2:11">
      <c r="B137" s="345">
        <v>1</v>
      </c>
      <c r="C137" s="267" t="str">
        <f>'Painel Controle'!C$118</f>
        <v>Veículos Comerciais com 8 Eixos Articulado</v>
      </c>
      <c r="D137" s="481" t="str">
        <f>INDEX('Painel Controle'!D$110:D$121,MATCH(C137,'Painel Controle'!C$110:C$121,0))</f>
        <v>Pesados II</v>
      </c>
      <c r="E137" s="177" t="s">
        <v>598</v>
      </c>
      <c r="F137" s="110" cm="1">
        <f t="array" ref="F137">_xlfn._xlws.FILTER(E$34:E$81,(B$34:B$81 = B137) * (LEFT(C$34:C$81,5) = LEFT(D137,5)) * (D$34:D$81 = E137))</f>
        <v>0.113</v>
      </c>
      <c r="G137" s="565" cm="1">
        <f t="array" ref="G137">_xlfn._xlws.FILTER(F$34:F$81,(B$34:B$81 = B137) * (LEFT(C$34:C$81,5) = LEFT(D137,5)) * (D$34:D$81 = E137))</f>
        <v>1</v>
      </c>
      <c r="H137" s="250" t="b">
        <f t="shared" si="0"/>
        <v>0</v>
      </c>
      <c r="I137" s="219" cm="1">
        <f t="array" aca="1" ref="I137" ca="1">IF(G137&lt;=B$3,(1-((1-INDEX(I$12:I$15,B137))^(G137-1))),(1-((1-INDEX(I$12:I$15,B137))^(B$3-1)))) * H137</f>
        <v>0</v>
      </c>
      <c r="J137" s="219" cm="1">
        <f t="array" aca="1" ref="J137" ca="1">_xlfn.LET(_xlpm.númerotermospg,MIN(B$3,G137),_xlpm.razão,1-INDEX(_xlfn.ANCHORARRAY(I$12),B137),_xlpm.somatermospg,((_xlpm.razão^_xlpm.númerotermospg)-1)/(_xlpm.razão-1),_xlpm.númerotermosconstantes,IF(G137&lt;=B$3,0,G137-B$3),_xlpm.somatermosconstantes,(1-I137)*_xlpm.númerotermosconstantes,_xlpm.somatodostermos,_xlpm.somatermospg+_xlpm.somatermosconstantes,_xlpm.médiatodosostermos,_xlpm.somatodostermos/G137,1 - _xlpm.médiatodosostermos) * H137</f>
        <v>0</v>
      </c>
      <c r="K137" s="110">
        <f ca="1"/>
        <v>0</v>
      </c>
    </row>
    <row r="138" spans="2:11">
      <c r="B138" s="345">
        <v>1</v>
      </c>
      <c r="C138" s="267" t="str">
        <f>'Painel Controle'!C$118</f>
        <v>Veículos Comerciais com 8 Eixos Articulado</v>
      </c>
      <c r="D138" s="481" t="str">
        <f>INDEX('Painel Controle'!D$110:D$121,MATCH(C138,'Painel Controle'!C$110:C$121,0))</f>
        <v>Pesados II</v>
      </c>
      <c r="E138" s="177" t="s">
        <v>599</v>
      </c>
      <c r="F138" s="110" cm="1">
        <f t="array" ref="F138">_xlfn._xlws.FILTER(E$34:E$81,(B$34:B$81 = B138) * (LEFT(C$34:C$81,5) = LEFT(D138,5)) * (D$34:D$81 = E138))</f>
        <v>3.5000000000000003E-2</v>
      </c>
      <c r="G138" s="565" cm="1">
        <f t="array" ref="G138">_xlfn._xlws.FILTER(F$34:F$81,(B$34:B$81 = B138) * (LEFT(C$34:C$81,5) = LEFT(D138,5)) * (D$34:D$81 = E138))</f>
        <v>1</v>
      </c>
      <c r="H138" s="250" t="b">
        <f t="shared" si="0"/>
        <v>0</v>
      </c>
      <c r="I138" s="219" cm="1">
        <f t="array" aca="1" ref="I138" ca="1">IF(G138&lt;=B$3,(1-((1-INDEX(I$12:I$15,B138))^(G138-1))),(1-((1-INDEX(I$12:I$15,B138))^(B$3-1)))) * H138</f>
        <v>0</v>
      </c>
      <c r="J138" s="219" cm="1">
        <f t="array" aca="1" ref="J138" ca="1">_xlfn.LET(_xlpm.númerotermospg,MIN(B$3,G138),_xlpm.razão,1-INDEX(_xlfn.ANCHORARRAY(I$12),B138),_xlpm.somatermospg,((_xlpm.razão^_xlpm.númerotermospg)-1)/(_xlpm.razão-1),_xlpm.númerotermosconstantes,IF(G138&lt;=B$3,0,G138-B$3),_xlpm.somatermosconstantes,(1-I138)*_xlpm.númerotermosconstantes,_xlpm.somatodostermos,_xlpm.somatermospg+_xlpm.somatermosconstantes,_xlpm.médiatodosostermos,_xlpm.somatodostermos/G138,1 - _xlpm.médiatodosostermos) * H138</f>
        <v>0</v>
      </c>
      <c r="K138" s="110">
        <f ca="1"/>
        <v>0</v>
      </c>
    </row>
    <row r="139" spans="2:11">
      <c r="B139" s="345">
        <v>1</v>
      </c>
      <c r="C139" s="267" t="str">
        <f>'Painel Controle'!C$118</f>
        <v>Veículos Comerciais com 8 Eixos Articulado</v>
      </c>
      <c r="D139" s="481" t="str">
        <f>INDEX('Painel Controle'!D$110:D$121,MATCH(C139,'Painel Controle'!C$110:C$121,0))</f>
        <v>Pesados II</v>
      </c>
      <c r="E139" s="177" t="s">
        <v>600</v>
      </c>
      <c r="F139" s="110" cm="1">
        <f t="array" ref="F139">_xlfn._xlws.FILTER(E$34:E$81,(B$34:B$81 = B139) * (LEFT(C$34:C$81,5) = LEFT(D139,5)) * (D$34:D$81 = E139))</f>
        <v>2.3E-2</v>
      </c>
      <c r="G139" s="565" cm="1">
        <f t="array" ref="G139">_xlfn._xlws.FILTER(F$34:F$81,(B$34:B$81 = B139) * (LEFT(C$34:C$81,5) = LEFT(D139,5)) * (D$34:D$81 = E139))</f>
        <v>1</v>
      </c>
      <c r="H139" s="250" t="b">
        <f t="shared" si="0"/>
        <v>0</v>
      </c>
      <c r="I139" s="219" cm="1">
        <f t="array" aca="1" ref="I139" ca="1">IF(G139&lt;=B$3,(1-((1-INDEX(I$12:I$15,B139))^(G139-1))),(1-((1-INDEX(I$12:I$15,B139))^(B$3-1)))) * H139</f>
        <v>0</v>
      </c>
      <c r="J139" s="219" cm="1">
        <f t="array" aca="1" ref="J139" ca="1">_xlfn.LET(_xlpm.númerotermospg,MIN(B$3,G139),_xlpm.razão,1-INDEX(_xlfn.ANCHORARRAY(I$12),B139),_xlpm.somatermospg,((_xlpm.razão^_xlpm.númerotermospg)-1)/(_xlpm.razão-1),_xlpm.númerotermosconstantes,IF(G139&lt;=B$3,0,G139-B$3),_xlpm.somatermosconstantes,(1-I139)*_xlpm.númerotermosconstantes,_xlpm.somatodostermos,_xlpm.somatermospg+_xlpm.somatermosconstantes,_xlpm.médiatodosostermos,_xlpm.somatodostermos/G139,1 - _xlpm.médiatodosostermos) * H139</f>
        <v>0</v>
      </c>
      <c r="K139" s="110">
        <f ca="1"/>
        <v>0</v>
      </c>
    </row>
    <row r="140" spans="2:11">
      <c r="B140" s="345">
        <v>1</v>
      </c>
      <c r="C140" s="267" t="str">
        <f>'Painel Controle'!C$119</f>
        <v>Veículos Comerciais com 9 Eixos Articulado</v>
      </c>
      <c r="D140" s="481" t="str">
        <f>INDEX('Painel Controle'!D$110:D$121,MATCH(C140,'Painel Controle'!C$110:C$121,0))</f>
        <v>Pesados II</v>
      </c>
      <c r="E140" s="177" t="s">
        <v>595</v>
      </c>
      <c r="F140" s="110" cm="1">
        <f t="array" ref="F140">_xlfn._xlws.FILTER(E$34:E$81,(B$34:B$81 = B140) * (LEFT(C$34:C$81,5) = LEFT(D140,5)) * (D$34:D$81 = E140))</f>
        <v>0.18190000000000001</v>
      </c>
      <c r="G140" s="565" cm="1">
        <f t="array" ref="G140">_xlfn._xlws.FILTER(F$34:F$81,(B$34:B$81 = B140) * (LEFT(C$34:C$81,5) = LEFT(D140,5)) * (D$34:D$81 = E140))</f>
        <v>20</v>
      </c>
      <c r="H140" s="250" t="b">
        <f t="shared" si="0"/>
        <v>0</v>
      </c>
      <c r="I140" s="219" cm="1">
        <f t="array" aca="1" ref="I140" ca="1">IF(G140&lt;=B$3,(1-((1-INDEX(I$12:I$15,B140))^(G140-1))),(1-((1-INDEX(I$12:I$15,B140))^(B$3-1)))) * H140</f>
        <v>0</v>
      </c>
      <c r="J140" s="219" cm="1">
        <f t="array" aca="1" ref="J140" ca="1">_xlfn.LET(_xlpm.númerotermospg,MIN(B$3,G140),_xlpm.razão,1-INDEX(_xlfn.ANCHORARRAY(I$12),B140),_xlpm.somatermospg,((_xlpm.razão^_xlpm.númerotermospg)-1)/(_xlpm.razão-1),_xlpm.númerotermosconstantes,IF(G140&lt;=B$3,0,G140-B$3),_xlpm.somatermosconstantes,(1-I140)*_xlpm.númerotermosconstantes,_xlpm.somatodostermos,_xlpm.somatermospg+_xlpm.somatermosconstantes,_xlpm.médiatodosostermos,_xlpm.somatodostermos/G140,1 - _xlpm.médiatodosostermos) * H140</f>
        <v>0</v>
      </c>
      <c r="K140" s="110">
        <f ca="1"/>
        <v>0</v>
      </c>
    </row>
    <row r="141" spans="2:11">
      <c r="B141" s="345">
        <v>1</v>
      </c>
      <c r="C141" s="267" t="str">
        <f>'Painel Controle'!C$119</f>
        <v>Veículos Comerciais com 9 Eixos Articulado</v>
      </c>
      <c r="D141" s="481" t="str">
        <f>INDEX('Painel Controle'!D$110:D$121,MATCH(C141,'Painel Controle'!C$110:C$121,0))</f>
        <v>Pesados II</v>
      </c>
      <c r="E141" s="177" t="s">
        <v>596</v>
      </c>
      <c r="F141" s="110" cm="1">
        <f t="array" ref="F141">_xlfn._xlws.FILTER(E$34:E$81,(B$34:B$81 = B141) * (LEFT(C$34:C$81,5) = LEFT(D141,5)) * (D$34:D$81 = E141))</f>
        <v>0.35</v>
      </c>
      <c r="G141" s="565" cm="1">
        <f t="array" ref="G141">_xlfn._xlws.FILTER(F$34:F$81,(B$34:B$81 = B141) * (LEFT(C$34:C$81,5) = LEFT(D141,5)) * (D$34:D$81 = E141))</f>
        <v>4</v>
      </c>
      <c r="H141" s="250" t="b">
        <f t="shared" si="0"/>
        <v>0</v>
      </c>
      <c r="I141" s="219" cm="1">
        <f t="array" aca="1" ref="I141" ca="1">IF(G141&lt;=B$3,(1-((1-INDEX(I$12:I$15,B141))^(G141-1))),(1-((1-INDEX(I$12:I$15,B141))^(B$3-1)))) * H141</f>
        <v>0</v>
      </c>
      <c r="J141" s="219" cm="1">
        <f t="array" aca="1" ref="J141" ca="1">_xlfn.LET(_xlpm.númerotermospg,MIN(B$3,G141),_xlpm.razão,1-INDEX(_xlfn.ANCHORARRAY(I$12),B141),_xlpm.somatermospg,((_xlpm.razão^_xlpm.númerotermospg)-1)/(_xlpm.razão-1),_xlpm.númerotermosconstantes,IF(G141&lt;=B$3,0,G141-B$3),_xlpm.somatermosconstantes,(1-I141)*_xlpm.númerotermosconstantes,_xlpm.somatodostermos,_xlpm.somatermospg+_xlpm.somatermosconstantes,_xlpm.médiatodosostermos,_xlpm.somatodostermos/G141,1 - _xlpm.médiatodosostermos) * H141</f>
        <v>0</v>
      </c>
      <c r="K141" s="110">
        <f ca="1"/>
        <v>0</v>
      </c>
    </row>
    <row r="142" spans="2:11">
      <c r="B142" s="345">
        <v>1</v>
      </c>
      <c r="C142" s="267" t="str">
        <f>'Painel Controle'!C$119</f>
        <v>Veículos Comerciais com 9 Eixos Articulado</v>
      </c>
      <c r="D142" s="481" t="str">
        <f>INDEX('Painel Controle'!D$110:D$121,MATCH(C142,'Painel Controle'!C$110:C$121,0))</f>
        <v>Pesados II</v>
      </c>
      <c r="E142" s="177" t="s">
        <v>597</v>
      </c>
      <c r="F142" s="110" cm="1">
        <f t="array" ref="F142">_xlfn._xlws.FILTER(E$34:E$81,(B$34:B$81 = B142) * (LEFT(C$34:C$81,5) = LEFT(D142,5)) * (D$34:D$81 = E142))</f>
        <v>0.29799999999999999</v>
      </c>
      <c r="G142" s="565" cm="1">
        <f t="array" ref="G142">_xlfn._xlws.FILTER(F$34:F$81,(B$34:B$81 = B142) * (LEFT(C$34:C$81,5) = LEFT(D142,5)) * (D$34:D$81 = E142))</f>
        <v>2</v>
      </c>
      <c r="H142" s="250" t="b">
        <f t="shared" si="0"/>
        <v>0</v>
      </c>
      <c r="I142" s="219" cm="1">
        <f t="array" aca="1" ref="I142" ca="1">IF(G142&lt;=B$3,(1-((1-INDEX(I$12:I$15,B142))^(G142-1))),(1-((1-INDEX(I$12:I$15,B142))^(B$3-1)))) * H142</f>
        <v>0</v>
      </c>
      <c r="J142" s="219" cm="1">
        <f t="array" aca="1" ref="J142" ca="1">_xlfn.LET(_xlpm.númerotermospg,MIN(B$3,G142),_xlpm.razão,1-INDEX(_xlfn.ANCHORARRAY(I$12),B142),_xlpm.somatermospg,((_xlpm.razão^_xlpm.númerotermospg)-1)/(_xlpm.razão-1),_xlpm.númerotermosconstantes,IF(G142&lt;=B$3,0,G142-B$3),_xlpm.somatermosconstantes,(1-I142)*_xlpm.númerotermosconstantes,_xlpm.somatodostermos,_xlpm.somatermospg+_xlpm.somatermosconstantes,_xlpm.médiatodosostermos,_xlpm.somatodostermos/G142,1 - _xlpm.médiatodosostermos) * H142</f>
        <v>0</v>
      </c>
      <c r="K142" s="110">
        <f ca="1"/>
        <v>0</v>
      </c>
    </row>
    <row r="143" spans="2:11">
      <c r="B143" s="345">
        <v>1</v>
      </c>
      <c r="C143" s="267" t="str">
        <f>'Painel Controle'!C$119</f>
        <v>Veículos Comerciais com 9 Eixos Articulado</v>
      </c>
      <c r="D143" s="481" t="str">
        <f>INDEX('Painel Controle'!D$110:D$121,MATCH(C143,'Painel Controle'!C$110:C$121,0))</f>
        <v>Pesados II</v>
      </c>
      <c r="E143" s="177" t="s">
        <v>598</v>
      </c>
      <c r="F143" s="110" cm="1">
        <f t="array" ref="F143">_xlfn._xlws.FILTER(E$34:E$81,(B$34:B$81 = B143) * (LEFT(C$34:C$81,5) = LEFT(D143,5)) * (D$34:D$81 = E143))</f>
        <v>0.113</v>
      </c>
      <c r="G143" s="565" cm="1">
        <f t="array" ref="G143">_xlfn._xlws.FILTER(F$34:F$81,(B$34:B$81 = B143) * (LEFT(C$34:C$81,5) = LEFT(D143,5)) * (D$34:D$81 = E143))</f>
        <v>1</v>
      </c>
      <c r="H143" s="250" t="b">
        <f t="shared" si="0"/>
        <v>0</v>
      </c>
      <c r="I143" s="219" cm="1">
        <f t="array" aca="1" ref="I143" ca="1">IF(G143&lt;=B$3,(1-((1-INDEX(I$12:I$15,B143))^(G143-1))),(1-((1-INDEX(I$12:I$15,B143))^(B$3-1)))) * H143</f>
        <v>0</v>
      </c>
      <c r="J143" s="219" cm="1">
        <f t="array" aca="1" ref="J143" ca="1">_xlfn.LET(_xlpm.númerotermospg,MIN(B$3,G143),_xlpm.razão,1-INDEX(_xlfn.ANCHORARRAY(I$12),B143),_xlpm.somatermospg,((_xlpm.razão^_xlpm.númerotermospg)-1)/(_xlpm.razão-1),_xlpm.númerotermosconstantes,IF(G143&lt;=B$3,0,G143-B$3),_xlpm.somatermosconstantes,(1-I143)*_xlpm.númerotermosconstantes,_xlpm.somatodostermos,_xlpm.somatermospg+_xlpm.somatermosconstantes,_xlpm.médiatodosostermos,_xlpm.somatodostermos/G143,1 - _xlpm.médiatodosostermos) * H143</f>
        <v>0</v>
      </c>
      <c r="K143" s="110">
        <f ca="1"/>
        <v>0</v>
      </c>
    </row>
    <row r="144" spans="2:11">
      <c r="B144" s="345">
        <v>1</v>
      </c>
      <c r="C144" s="267" t="str">
        <f>'Painel Controle'!C$119</f>
        <v>Veículos Comerciais com 9 Eixos Articulado</v>
      </c>
      <c r="D144" s="481" t="str">
        <f>INDEX('Painel Controle'!D$110:D$121,MATCH(C144,'Painel Controle'!C$110:C$121,0))</f>
        <v>Pesados II</v>
      </c>
      <c r="E144" s="177" t="s">
        <v>599</v>
      </c>
      <c r="F144" s="110" cm="1">
        <f t="array" ref="F144">_xlfn._xlws.FILTER(E$34:E$81,(B$34:B$81 = B144) * (LEFT(C$34:C$81,5) = LEFT(D144,5)) * (D$34:D$81 = E144))</f>
        <v>3.5000000000000003E-2</v>
      </c>
      <c r="G144" s="565" cm="1">
        <f t="array" ref="G144">_xlfn._xlws.FILTER(F$34:F$81,(B$34:B$81 = B144) * (LEFT(C$34:C$81,5) = LEFT(D144,5)) * (D$34:D$81 = E144))</f>
        <v>1</v>
      </c>
      <c r="H144" s="250" t="b">
        <f t="shared" si="0"/>
        <v>0</v>
      </c>
      <c r="I144" s="219" cm="1">
        <f t="array" aca="1" ref="I144" ca="1">IF(G144&lt;=B$3,(1-((1-INDEX(I$12:I$15,B144))^(G144-1))),(1-((1-INDEX(I$12:I$15,B144))^(B$3-1)))) * H144</f>
        <v>0</v>
      </c>
      <c r="J144" s="219" cm="1">
        <f t="array" aca="1" ref="J144" ca="1">_xlfn.LET(_xlpm.númerotermospg,MIN(B$3,G144),_xlpm.razão,1-INDEX(_xlfn.ANCHORARRAY(I$12),B144),_xlpm.somatermospg,((_xlpm.razão^_xlpm.númerotermospg)-1)/(_xlpm.razão-1),_xlpm.númerotermosconstantes,IF(G144&lt;=B$3,0,G144-B$3),_xlpm.somatermosconstantes,(1-I144)*_xlpm.númerotermosconstantes,_xlpm.somatodostermos,_xlpm.somatermospg+_xlpm.somatermosconstantes,_xlpm.médiatodosostermos,_xlpm.somatodostermos/G144,1 - _xlpm.médiatodosostermos) * H144</f>
        <v>0</v>
      </c>
      <c r="K144" s="110">
        <f ca="1"/>
        <v>0</v>
      </c>
    </row>
    <row r="145" spans="2:11">
      <c r="B145" s="345">
        <v>1</v>
      </c>
      <c r="C145" s="267" t="str">
        <f>'Painel Controle'!C$119</f>
        <v>Veículos Comerciais com 9 Eixos Articulado</v>
      </c>
      <c r="D145" s="481" t="str">
        <f>INDEX('Painel Controle'!D$110:D$121,MATCH(C145,'Painel Controle'!C$110:C$121,0))</f>
        <v>Pesados II</v>
      </c>
      <c r="E145" s="177" t="s">
        <v>600</v>
      </c>
      <c r="F145" s="110" cm="1">
        <f t="array" ref="F145">_xlfn._xlws.FILTER(E$34:E$81,(B$34:B$81 = B145) * (LEFT(C$34:C$81,5) = LEFT(D145,5)) * (D$34:D$81 = E145))</f>
        <v>2.3E-2</v>
      </c>
      <c r="G145" s="565" cm="1">
        <f t="array" ref="G145">_xlfn._xlws.FILTER(F$34:F$81,(B$34:B$81 = B145) * (LEFT(C$34:C$81,5) = LEFT(D145,5)) * (D$34:D$81 = E145))</f>
        <v>1</v>
      </c>
      <c r="H145" s="250" t="b">
        <f t="shared" si="0"/>
        <v>0</v>
      </c>
      <c r="I145" s="219" cm="1">
        <f t="array" aca="1" ref="I145" ca="1">IF(G145&lt;=B$3,(1-((1-INDEX(I$12:I$15,B145))^(G145-1))),(1-((1-INDEX(I$12:I$15,B145))^(B$3-1)))) * H145</f>
        <v>0</v>
      </c>
      <c r="J145" s="219" cm="1">
        <f t="array" aca="1" ref="J145" ca="1">_xlfn.LET(_xlpm.númerotermospg,MIN(B$3,G145),_xlpm.razão,1-INDEX(_xlfn.ANCHORARRAY(I$12),B145),_xlpm.somatermospg,((_xlpm.razão^_xlpm.númerotermospg)-1)/(_xlpm.razão-1),_xlpm.númerotermosconstantes,IF(G145&lt;=B$3,0,G145-B$3),_xlpm.somatermosconstantes,(1-I145)*_xlpm.númerotermosconstantes,_xlpm.somatodostermos,_xlpm.somatermospg+_xlpm.somatermosconstantes,_xlpm.médiatodosostermos,_xlpm.somatodostermos/G145,1 - _xlpm.médiatodosostermos) * H145</f>
        <v>0</v>
      </c>
      <c r="K145" s="110">
        <f ca="1"/>
        <v>0</v>
      </c>
    </row>
    <row r="146" spans="2:11">
      <c r="B146" s="345">
        <v>1</v>
      </c>
      <c r="C146" s="267" t="str">
        <f>'Painel Controle'!C$120</f>
        <v>Motocicleta</v>
      </c>
      <c r="D146" s="481" t="str">
        <f>INDEX('Painel Controle'!D$110:D$121,MATCH(C146,'Painel Controle'!C$110:C$121,0))</f>
        <v>Leves</v>
      </c>
      <c r="E146" s="177" t="s">
        <v>595</v>
      </c>
      <c r="F146" s="110" cm="1">
        <f t="array" ref="F146">_xlfn._xlws.FILTER(E$34:E$81,(B$34:B$81 = B146) * (LEFT(C$34:C$81,5) = LEFT(D146,5)) * (D$34:D$81 = E146))</f>
        <v>0.13100000000000001</v>
      </c>
      <c r="G146" s="565" cm="1">
        <f t="array" ref="G146">_xlfn._xlws.FILTER(F$34:F$81,(B$34:B$81 = B146) * (LEFT(C$34:C$81,5) = LEFT(D146,5)) * (D$34:D$81 = E146))</f>
        <v>20</v>
      </c>
      <c r="H146" s="250" t="b">
        <f t="shared" si="0"/>
        <v>1</v>
      </c>
      <c r="I146" s="219" cm="1">
        <f t="array" aca="1" ref="I146" ca="1">IF(G146&lt;=B$3,(1-((1-INDEX(I$12:I$15,B146))^(G146-1))),(1-((1-INDEX(I$12:I$15,B146))^(B$3-1)))) * H146</f>
        <v>0.49478415641397522</v>
      </c>
      <c r="J146" s="219" cm="1">
        <f t="array" aca="1" ref="J146" ca="1">_xlfn.LET(_xlpm.númerotermospg,MIN(B$3,G146),_xlpm.razão,1-INDEX(_xlfn.ANCHORARRAY(I$12),B146),_xlpm.somatermospg,((_xlpm.razão^_xlpm.númerotermospg)-1)/(_xlpm.razão-1),_xlpm.númerotermosconstantes,IF(G146&lt;=B$3,0,G146-B$3),_xlpm.somatermosconstantes,(1-I146)*_xlpm.númerotermosconstantes,_xlpm.somatodostermos,_xlpm.somatermospg+_xlpm.somatermosconstantes,_xlpm.médiatodosostermos,_xlpm.somatodostermos/G146,1 - _xlpm.médiatodosostermos) * H146</f>
        <v>0.27385684724308468</v>
      </c>
      <c r="K146" s="110">
        <f ca="1"/>
        <v>3.5875246988844096E-2</v>
      </c>
    </row>
    <row r="147" spans="2:11">
      <c r="B147" s="345">
        <v>1</v>
      </c>
      <c r="C147" s="267" t="str">
        <f>'Painel Controle'!C$120</f>
        <v>Motocicleta</v>
      </c>
      <c r="D147" s="481" t="str">
        <f>INDEX('Painel Controle'!D$110:D$121,MATCH(C147,'Painel Controle'!C$110:C$121,0))</f>
        <v>Leves</v>
      </c>
      <c r="E147" s="177" t="s">
        <v>596</v>
      </c>
      <c r="F147" s="110" cm="1">
        <f t="array" ref="F147">_xlfn._xlws.FILTER(E$34:E$81,(B$34:B$81 = B147) * (LEFT(C$34:C$81,5) = LEFT(D147,5)) * (D$34:D$81 = E147))</f>
        <v>0.22900000000000001</v>
      </c>
      <c r="G147" s="565" cm="1">
        <f t="array" ref="G147">_xlfn._xlws.FILTER(F$34:F$81,(B$34:B$81 = B147) * (LEFT(C$34:C$81,5) = LEFT(D147,5)) * (D$34:D$81 = E147))</f>
        <v>4</v>
      </c>
      <c r="H147" s="250" t="b">
        <f t="shared" si="0"/>
        <v>1</v>
      </c>
      <c r="I147" s="219" cm="1">
        <f t="array" aca="1" ref="I147" ca="1">IF(G147&lt;=B$3,(1-((1-INDEX(I$12:I$15,B147))^(G147-1))),(1-((1-INDEX(I$12:I$15,B147))^(B$3-1)))) * H147</f>
        <v>0.10219799099959637</v>
      </c>
      <c r="J147" s="219" cm="1">
        <f t="array" aca="1" ref="J147" ca="1">_xlfn.LET(_xlpm.númerotermospg,MIN(B$3,G147),_xlpm.razão,1-INDEX(_xlfn.ANCHORARRAY(I$12),B147),_xlpm.somatermospg,((_xlpm.razão^_xlpm.númerotermospg)-1)/(_xlpm.razão-1),_xlpm.númerotermosconstantes,IF(G147&lt;=B$3,0,G147-B$3),_xlpm.somatermosconstantes,(1-I147)*_xlpm.númerotermosconstantes,_xlpm.somatodostermos,_xlpm.somatermospg+_xlpm.somatermosconstantes,_xlpm.médiatodosostermos,_xlpm.somatodostermos/G147,1 - _xlpm.médiatodosostermos) * H147</f>
        <v>5.1710948661873535E-2</v>
      </c>
      <c r="K147" s="110">
        <f ca="1"/>
        <v>1.1841807243569039E-2</v>
      </c>
    </row>
    <row r="148" spans="2:11">
      <c r="B148" s="345">
        <v>1</v>
      </c>
      <c r="C148" s="267" t="str">
        <f>'Painel Controle'!C$120</f>
        <v>Motocicleta</v>
      </c>
      <c r="D148" s="481" t="str">
        <f>INDEX('Painel Controle'!D$110:D$121,MATCH(C148,'Painel Controle'!C$110:C$121,0))</f>
        <v>Leves</v>
      </c>
      <c r="E148" s="177" t="s">
        <v>597</v>
      </c>
      <c r="F148" s="110" cm="1">
        <f t="array" ref="F148">_xlfn._xlws.FILTER(E$34:E$81,(B$34:B$81 = B148) * (LEFT(C$34:C$81,5) = LEFT(D148,5)) * (D$34:D$81 = E148))</f>
        <v>0.40500000000000003</v>
      </c>
      <c r="G148" s="565" cm="1">
        <f t="array" ref="G148">_xlfn._xlws.FILTER(F$34:F$81,(B$34:B$81 = B148) * (LEFT(C$34:C$81,5) = LEFT(D148,5)) * (D$34:D$81 = E148))</f>
        <v>2</v>
      </c>
      <c r="H148" s="250" t="b">
        <f t="shared" si="0"/>
        <v>1</v>
      </c>
      <c r="I148" s="219" cm="1">
        <f t="array" aca="1" ref="I148" ca="1">IF(G148&lt;=B$3,(1-((1-INDEX(I$12:I$15,B148))^(G148-1))),(1-((1-INDEX(I$12:I$15,B148))^(B$3-1)))) * H148</f>
        <v>3.5297232762871333E-2</v>
      </c>
      <c r="J148" s="219" cm="1">
        <f t="array" aca="1" ref="J148" ca="1">_xlfn.LET(_xlpm.númerotermospg,MIN(B$3,G148),_xlpm.razão,1-INDEX(_xlfn.ANCHORARRAY(I$12),B148),_xlpm.somatermospg,((_xlpm.razão^_xlpm.númerotermospg)-1)/(_xlpm.razão-1),_xlpm.númerotermosconstantes,IF(G148&lt;=B$3,0,G148-B$3),_xlpm.somatermosconstantes,(1-I148)*_xlpm.númerotermosconstantes,_xlpm.somatodostermos,_xlpm.somatermospg+_xlpm.somatermosconstantes,_xlpm.médiatodosostermos,_xlpm.somatodostermos/G148,1 - _xlpm.médiatodosostermos) * H148</f>
        <v>1.7648616381436E-2</v>
      </c>
      <c r="K148" s="110">
        <f ca="1"/>
        <v>7.1476896344815806E-3</v>
      </c>
    </row>
    <row r="149" spans="2:11">
      <c r="B149" s="345">
        <v>1</v>
      </c>
      <c r="C149" s="267" t="str">
        <f>'Painel Controle'!C$120</f>
        <v>Motocicleta</v>
      </c>
      <c r="D149" s="481" t="str">
        <f>INDEX('Painel Controle'!D$110:D$121,MATCH(C149,'Painel Controle'!C$110:C$121,0))</f>
        <v>Leves</v>
      </c>
      <c r="E149" s="177" t="s">
        <v>598</v>
      </c>
      <c r="F149" s="110" cm="1">
        <f t="array" ref="F149">_xlfn._xlws.FILTER(E$34:E$81,(B$34:B$81 = B149) * (LEFT(C$34:C$81,5) = LEFT(D149,5)) * (D$34:D$81 = E149))</f>
        <v>0.113</v>
      </c>
      <c r="G149" s="565" cm="1">
        <f t="array" ref="G149">_xlfn._xlws.FILTER(F$34:F$81,(B$34:B$81 = B149) * (LEFT(C$34:C$81,5) = LEFT(D149,5)) * (D$34:D$81 = E149))</f>
        <v>1</v>
      </c>
      <c r="H149" s="250" t="b">
        <f t="shared" si="0"/>
        <v>1</v>
      </c>
      <c r="I149" s="219" cm="1">
        <f t="array" aca="1" ref="I149" ca="1">IF(G149&lt;=B$3,(1-((1-INDEX(I$12:I$15,B149))^(G149-1))),(1-((1-INDEX(I$12:I$15,B149))^(B$3-1)))) * H149</f>
        <v>0</v>
      </c>
      <c r="J149" s="219" cm="1">
        <f t="array" aca="1" ref="J149" ca="1">_xlfn.LET(_xlpm.númerotermospg,MIN(B$3,G149),_xlpm.razão,1-INDEX(_xlfn.ANCHORARRAY(I$12),B149),_xlpm.somatermospg,((_xlpm.razão^_xlpm.númerotermospg)-1)/(_xlpm.razão-1),_xlpm.númerotermosconstantes,IF(G149&lt;=B$3,0,G149-B$3),_xlpm.somatermosconstantes,(1-I149)*_xlpm.númerotermosconstantes,_xlpm.somatodostermos,_xlpm.somatermospg+_xlpm.somatermosconstantes,_xlpm.médiatodosostermos,_xlpm.somatodostermos/G149,1 - _xlpm.médiatodosostermos) * H149</f>
        <v>0</v>
      </c>
      <c r="K149" s="110">
        <f ca="1"/>
        <v>0</v>
      </c>
    </row>
    <row r="150" spans="2:11">
      <c r="B150" s="345">
        <v>1</v>
      </c>
      <c r="C150" s="267" t="str">
        <f>'Painel Controle'!C$120</f>
        <v>Motocicleta</v>
      </c>
      <c r="D150" s="481" t="str">
        <f>INDEX('Painel Controle'!D$110:D$121,MATCH(C150,'Painel Controle'!C$110:C$121,0))</f>
        <v>Leves</v>
      </c>
      <c r="E150" s="177" t="s">
        <v>599</v>
      </c>
      <c r="F150" s="110" cm="1">
        <f t="array" ref="F150">_xlfn._xlws.FILTER(E$34:E$81,(B$34:B$81 = B150) * (LEFT(C$34:C$81,5) = LEFT(D150,5)) * (D$34:D$81 = E150))</f>
        <v>7.1999999999999995E-2</v>
      </c>
      <c r="G150" s="565" cm="1">
        <f t="array" ref="G150">_xlfn._xlws.FILTER(F$34:F$81,(B$34:B$81 = B150) * (LEFT(C$34:C$81,5) = LEFT(D150,5)) * (D$34:D$81 = E150))</f>
        <v>1</v>
      </c>
      <c r="H150" s="250" t="b">
        <f t="shared" si="0"/>
        <v>1</v>
      </c>
      <c r="I150" s="219" cm="1">
        <f t="array" aca="1" ref="I150" ca="1">IF(G150&lt;=B$3,(1-((1-INDEX(I$12:I$15,B150))^(G150-1))),(1-((1-INDEX(I$12:I$15,B150))^(B$3-1)))) * H150</f>
        <v>0</v>
      </c>
      <c r="J150" s="219" cm="1">
        <f t="array" aca="1" ref="J150" ca="1">_xlfn.LET(_xlpm.númerotermospg,MIN(B$3,G150),_xlpm.razão,1-INDEX(_xlfn.ANCHORARRAY(I$12),B150),_xlpm.somatermospg,((_xlpm.razão^_xlpm.númerotermospg)-1)/(_xlpm.razão-1),_xlpm.númerotermosconstantes,IF(G150&lt;=B$3,0,G150-B$3),_xlpm.somatermosconstantes,(1-I150)*_xlpm.númerotermosconstantes,_xlpm.somatodostermos,_xlpm.somatermospg+_xlpm.somatermosconstantes,_xlpm.médiatodosostermos,_xlpm.somatodostermos/G150,1 - _xlpm.médiatodosostermos) * H150</f>
        <v>0</v>
      </c>
      <c r="K150" s="110">
        <f ca="1"/>
        <v>0</v>
      </c>
    </row>
    <row r="151" spans="2:11">
      <c r="B151" s="345">
        <v>1</v>
      </c>
      <c r="C151" s="267" t="str">
        <f>'Painel Controle'!C$120</f>
        <v>Motocicleta</v>
      </c>
      <c r="D151" s="481" t="str">
        <f>INDEX('Painel Controle'!D$110:D$121,MATCH(C151,'Painel Controle'!C$110:C$121,0))</f>
        <v>Leves</v>
      </c>
      <c r="E151" s="177" t="s">
        <v>600</v>
      </c>
      <c r="F151" s="110" cm="1">
        <f t="array" ref="F151">_xlfn._xlws.FILTER(E$34:E$81,(B$34:B$81 = B151) * (LEFT(C$34:C$81,5) = LEFT(D151,5)) * (D$34:D$81 = E151))</f>
        <v>0.05</v>
      </c>
      <c r="G151" s="565" cm="1">
        <f t="array" ref="G151">_xlfn._xlws.FILTER(F$34:F$81,(B$34:B$81 = B151) * (LEFT(C$34:C$81,5) = LEFT(D151,5)) * (D$34:D$81 = E151))</f>
        <v>1</v>
      </c>
      <c r="H151" s="250" t="b">
        <f t="shared" ref="H151:H214" si="1">OR(C151="Automóvel",C151="Motocicleta")</f>
        <v>1</v>
      </c>
      <c r="I151" s="219" cm="1">
        <f t="array" aca="1" ref="I151" ca="1">IF(G151&lt;=B$3,(1-((1-INDEX(I$12:I$15,B151))^(G151-1))),(1-((1-INDEX(I$12:I$15,B151))^(B$3-1)))) * H151</f>
        <v>0</v>
      </c>
      <c r="J151" s="219" cm="1">
        <f t="array" aca="1" ref="J151" ca="1">_xlfn.LET(_xlpm.númerotermospg,MIN(B$3,G151),_xlpm.razão,1-INDEX(_xlfn.ANCHORARRAY(I$12),B151),_xlpm.somatermospg,((_xlpm.razão^_xlpm.númerotermospg)-1)/(_xlpm.razão-1),_xlpm.númerotermosconstantes,IF(G151&lt;=B$3,0,G151-B$3),_xlpm.somatermosconstantes,(1-I151)*_xlpm.númerotermosconstantes,_xlpm.somatodostermos,_xlpm.somatermospg+_xlpm.somatermosconstantes,_xlpm.médiatodosostermos,_xlpm.somatodostermos/G151,1 - _xlpm.médiatodosostermos) * H151</f>
        <v>0</v>
      </c>
      <c r="K151" s="110">
        <f ca="1"/>
        <v>0</v>
      </c>
    </row>
    <row r="152" spans="2:11">
      <c r="B152" s="345">
        <v>1</v>
      </c>
      <c r="C152" s="267" t="str">
        <f>'Painel Controle'!C$121</f>
        <v xml:space="preserve">Veículos do transporte público coletivo intermunicipal e metropolitano </v>
      </c>
      <c r="D152" s="481" t="str">
        <f>INDEX('Painel Controle'!D$110:D$121,MATCH(C152,'Painel Controle'!C$110:C$121,0))</f>
        <v>Pesados I</v>
      </c>
      <c r="E152" s="177" t="s">
        <v>595</v>
      </c>
      <c r="F152" s="110" cm="1">
        <f t="array" ref="F152">_xlfn._xlws.FILTER(E$34:E$81,(B$34:B$81 = B152) * (LEFT(C$34:C$81,5) = LEFT(D152,5)) * (D$34:D$81 = E152))</f>
        <v>0.18190000000000001</v>
      </c>
      <c r="G152" s="565" cm="1">
        <f t="array" ref="G152">_xlfn._xlws.FILTER(F$34:F$81,(B$34:B$81 = B152) * (LEFT(C$34:C$81,5) = LEFT(D152,5)) * (D$34:D$81 = E152))</f>
        <v>20</v>
      </c>
      <c r="H152" s="250" t="b">
        <f t="shared" si="1"/>
        <v>0</v>
      </c>
      <c r="I152" s="219" cm="1">
        <f t="array" aca="1" ref="I152" ca="1">IF(G152&lt;=B$3,(1-((1-INDEX(I$12:I$15,B152))^(G152-1))),(1-((1-INDEX(I$12:I$15,B152))^(B$3-1)))) * H152</f>
        <v>0</v>
      </c>
      <c r="J152" s="219" cm="1">
        <f t="array" aca="1" ref="J152" ca="1">_xlfn.LET(_xlpm.númerotermospg,MIN(B$3,G152),_xlpm.razão,1-INDEX(_xlfn.ANCHORARRAY(I$12),B152),_xlpm.somatermospg,((_xlpm.razão^_xlpm.númerotermospg)-1)/(_xlpm.razão-1),_xlpm.númerotermosconstantes,IF(G152&lt;=B$3,0,G152-B$3),_xlpm.somatermosconstantes,(1-I152)*_xlpm.númerotermosconstantes,_xlpm.somatodostermos,_xlpm.somatermospg+_xlpm.somatermosconstantes,_xlpm.médiatodosostermos,_xlpm.somatodostermos/G152,1 - _xlpm.médiatodosostermos) * H152</f>
        <v>0</v>
      </c>
      <c r="K152" s="110">
        <f ca="1"/>
        <v>0</v>
      </c>
    </row>
    <row r="153" spans="2:11">
      <c r="B153" s="345">
        <v>1</v>
      </c>
      <c r="C153" s="267" t="str">
        <f>'Painel Controle'!C$121</f>
        <v xml:space="preserve">Veículos do transporte público coletivo intermunicipal e metropolitano </v>
      </c>
      <c r="D153" s="481" t="str">
        <f>INDEX('Painel Controle'!D$110:D$121,MATCH(C153,'Painel Controle'!C$110:C$121,0))</f>
        <v>Pesados I</v>
      </c>
      <c r="E153" s="177" t="s">
        <v>596</v>
      </c>
      <c r="F153" s="110" cm="1">
        <f t="array" ref="F153">_xlfn._xlws.FILTER(E$34:E$81,(B$34:B$81 = B153) * (LEFT(C$34:C$81,5) = LEFT(D153,5)) * (D$34:D$81 = E153))</f>
        <v>0.35</v>
      </c>
      <c r="G153" s="565" cm="1">
        <f t="array" ref="G153">_xlfn._xlws.FILTER(F$34:F$81,(B$34:B$81 = B153) * (LEFT(C$34:C$81,5) = LEFT(D153,5)) * (D$34:D$81 = E153))</f>
        <v>4</v>
      </c>
      <c r="H153" s="250" t="b">
        <f t="shared" si="1"/>
        <v>0</v>
      </c>
      <c r="I153" s="219" cm="1">
        <f t="array" aca="1" ref="I153" ca="1">IF(G153&lt;=B$3,(1-((1-INDEX(I$12:I$15,B153))^(G153-1))),(1-((1-INDEX(I$12:I$15,B153))^(B$3-1)))) * H153</f>
        <v>0</v>
      </c>
      <c r="J153" s="219" cm="1">
        <f t="array" aca="1" ref="J153" ca="1">_xlfn.LET(_xlpm.númerotermospg,MIN(B$3,G153),_xlpm.razão,1-INDEX(_xlfn.ANCHORARRAY(I$12),B153),_xlpm.somatermospg,((_xlpm.razão^_xlpm.númerotermospg)-1)/(_xlpm.razão-1),_xlpm.númerotermosconstantes,IF(G153&lt;=B$3,0,G153-B$3),_xlpm.somatermosconstantes,(1-I153)*_xlpm.númerotermosconstantes,_xlpm.somatodostermos,_xlpm.somatermospg+_xlpm.somatermosconstantes,_xlpm.médiatodosostermos,_xlpm.somatodostermos/G153,1 - _xlpm.médiatodosostermos) * H153</f>
        <v>0</v>
      </c>
      <c r="K153" s="110">
        <f ca="1"/>
        <v>0</v>
      </c>
    </row>
    <row r="154" spans="2:11">
      <c r="B154" s="345">
        <v>1</v>
      </c>
      <c r="C154" s="267" t="str">
        <f>'Painel Controle'!C$121</f>
        <v xml:space="preserve">Veículos do transporte público coletivo intermunicipal e metropolitano </v>
      </c>
      <c r="D154" s="481" t="str">
        <f>INDEX('Painel Controle'!D$110:D$121,MATCH(C154,'Painel Controle'!C$110:C$121,0))</f>
        <v>Pesados I</v>
      </c>
      <c r="E154" s="177" t="s">
        <v>597</v>
      </c>
      <c r="F154" s="110" cm="1">
        <f t="array" ref="F154">_xlfn._xlws.FILTER(E$34:E$81,(B$34:B$81 = B154) * (LEFT(C$34:C$81,5) = LEFT(D154,5)) * (D$34:D$81 = E154))</f>
        <v>0.29799999999999999</v>
      </c>
      <c r="G154" s="565" cm="1">
        <f t="array" ref="G154">_xlfn._xlws.FILTER(F$34:F$81,(B$34:B$81 = B154) * (LEFT(C$34:C$81,5) = LEFT(D154,5)) * (D$34:D$81 = E154))</f>
        <v>2</v>
      </c>
      <c r="H154" s="250" t="b">
        <f t="shared" si="1"/>
        <v>0</v>
      </c>
      <c r="I154" s="219" cm="1">
        <f t="array" aca="1" ref="I154" ca="1">IF(G154&lt;=B$3,(1-((1-INDEX(I$12:I$15,B154))^(G154-1))),(1-((1-INDEX(I$12:I$15,B154))^(B$3-1)))) * H154</f>
        <v>0</v>
      </c>
      <c r="J154" s="219" cm="1">
        <f t="array" aca="1" ref="J154" ca="1">_xlfn.LET(_xlpm.númerotermospg,MIN(B$3,G154),_xlpm.razão,1-INDEX(_xlfn.ANCHORARRAY(I$12),B154),_xlpm.somatermospg,((_xlpm.razão^_xlpm.númerotermospg)-1)/(_xlpm.razão-1),_xlpm.númerotermosconstantes,IF(G154&lt;=B$3,0,G154-B$3),_xlpm.somatermosconstantes,(1-I154)*_xlpm.númerotermosconstantes,_xlpm.somatodostermos,_xlpm.somatermospg+_xlpm.somatermosconstantes,_xlpm.médiatodosostermos,_xlpm.somatodostermos/G154,1 - _xlpm.médiatodosostermos) * H154</f>
        <v>0</v>
      </c>
      <c r="K154" s="110">
        <f ca="1"/>
        <v>0</v>
      </c>
    </row>
    <row r="155" spans="2:11">
      <c r="B155" s="345">
        <v>1</v>
      </c>
      <c r="C155" s="267" t="str">
        <f>'Painel Controle'!C$121</f>
        <v xml:space="preserve">Veículos do transporte público coletivo intermunicipal e metropolitano </v>
      </c>
      <c r="D155" s="481" t="str">
        <f>INDEX('Painel Controle'!D$110:D$121,MATCH(C155,'Painel Controle'!C$110:C$121,0))</f>
        <v>Pesados I</v>
      </c>
      <c r="E155" s="177" t="s">
        <v>598</v>
      </c>
      <c r="F155" s="110" cm="1">
        <f t="array" ref="F155">_xlfn._xlws.FILTER(E$34:E$81,(B$34:B$81 = B155) * (LEFT(C$34:C$81,5) = LEFT(D155,5)) * (D$34:D$81 = E155))</f>
        <v>0.113</v>
      </c>
      <c r="G155" s="565" cm="1">
        <f t="array" ref="G155">_xlfn._xlws.FILTER(F$34:F$81,(B$34:B$81 = B155) * (LEFT(C$34:C$81,5) = LEFT(D155,5)) * (D$34:D$81 = E155))</f>
        <v>1</v>
      </c>
      <c r="H155" s="250" t="b">
        <f t="shared" si="1"/>
        <v>0</v>
      </c>
      <c r="I155" s="219" cm="1">
        <f t="array" aca="1" ref="I155" ca="1">IF(G155&lt;=B$3,(1-((1-INDEX(I$12:I$15,B155))^(G155-1))),(1-((1-INDEX(I$12:I$15,B155))^(B$3-1)))) * H155</f>
        <v>0</v>
      </c>
      <c r="J155" s="219" cm="1">
        <f t="array" aca="1" ref="J155" ca="1">_xlfn.LET(_xlpm.númerotermospg,MIN(B$3,G155),_xlpm.razão,1-INDEX(_xlfn.ANCHORARRAY(I$12),B155),_xlpm.somatermospg,((_xlpm.razão^_xlpm.númerotermospg)-1)/(_xlpm.razão-1),_xlpm.númerotermosconstantes,IF(G155&lt;=B$3,0,G155-B$3),_xlpm.somatermosconstantes,(1-I155)*_xlpm.númerotermosconstantes,_xlpm.somatodostermos,_xlpm.somatermospg+_xlpm.somatermosconstantes,_xlpm.médiatodosostermos,_xlpm.somatodostermos/G155,1 - _xlpm.médiatodosostermos) * H155</f>
        <v>0</v>
      </c>
      <c r="K155" s="110">
        <f ca="1"/>
        <v>0</v>
      </c>
    </row>
    <row r="156" spans="2:11">
      <c r="B156" s="345">
        <v>1</v>
      </c>
      <c r="C156" s="267" t="str">
        <f>'Painel Controle'!C$121</f>
        <v xml:space="preserve">Veículos do transporte público coletivo intermunicipal e metropolitano </v>
      </c>
      <c r="D156" s="481" t="str">
        <f>INDEX('Painel Controle'!D$110:D$121,MATCH(C156,'Painel Controle'!C$110:C$121,0))</f>
        <v>Pesados I</v>
      </c>
      <c r="E156" s="177" t="s">
        <v>599</v>
      </c>
      <c r="F156" s="110" cm="1">
        <f t="array" ref="F156">_xlfn._xlws.FILTER(E$34:E$81,(B$34:B$81 = B156) * (LEFT(C$34:C$81,5) = LEFT(D156,5)) * (D$34:D$81 = E156))</f>
        <v>3.5000000000000003E-2</v>
      </c>
      <c r="G156" s="565" cm="1">
        <f t="array" ref="G156">_xlfn._xlws.FILTER(F$34:F$81,(B$34:B$81 = B156) * (LEFT(C$34:C$81,5) = LEFT(D156,5)) * (D$34:D$81 = E156))</f>
        <v>1</v>
      </c>
      <c r="H156" s="250" t="b">
        <f t="shared" si="1"/>
        <v>0</v>
      </c>
      <c r="I156" s="219" cm="1">
        <f t="array" aca="1" ref="I156" ca="1">IF(G156&lt;=B$3,(1-((1-INDEX(I$12:I$15,B156))^(G156-1))),(1-((1-INDEX(I$12:I$15,B156))^(B$3-1)))) * H156</f>
        <v>0</v>
      </c>
      <c r="J156" s="219" cm="1">
        <f t="array" aca="1" ref="J156" ca="1">_xlfn.LET(_xlpm.númerotermospg,MIN(B$3,G156),_xlpm.razão,1-INDEX(_xlfn.ANCHORARRAY(I$12),B156),_xlpm.somatermospg,((_xlpm.razão^_xlpm.númerotermospg)-1)/(_xlpm.razão-1),_xlpm.númerotermosconstantes,IF(G156&lt;=B$3,0,G156-B$3),_xlpm.somatermosconstantes,(1-I156)*_xlpm.númerotermosconstantes,_xlpm.somatodostermos,_xlpm.somatermospg+_xlpm.somatermosconstantes,_xlpm.médiatodosostermos,_xlpm.somatodostermos/G156,1 - _xlpm.médiatodosostermos) * H156</f>
        <v>0</v>
      </c>
      <c r="K156" s="110">
        <f ca="1"/>
        <v>0</v>
      </c>
    </row>
    <row r="157" spans="2:11">
      <c r="B157" s="345">
        <v>1</v>
      </c>
      <c r="C157" s="267" t="str">
        <f>'Painel Controle'!C$121</f>
        <v xml:space="preserve">Veículos do transporte público coletivo intermunicipal e metropolitano </v>
      </c>
      <c r="D157" s="481" t="str">
        <f>INDEX('Painel Controle'!D$110:D$121,MATCH(C157,'Painel Controle'!C$110:C$121,0))</f>
        <v>Pesados I</v>
      </c>
      <c r="E157" s="177" t="s">
        <v>600</v>
      </c>
      <c r="F157" s="110" cm="1">
        <f t="array" ref="F157">_xlfn._xlws.FILTER(E$34:E$81,(B$34:B$81 = B157) * (LEFT(C$34:C$81,5) = LEFT(D157,5)) * (D$34:D$81 = E157))</f>
        <v>2.3E-2</v>
      </c>
      <c r="G157" s="565" cm="1">
        <f t="array" ref="G157">_xlfn._xlws.FILTER(F$34:F$81,(B$34:B$81 = B157) * (LEFT(C$34:C$81,5) = LEFT(D157,5)) * (D$34:D$81 = E157))</f>
        <v>1</v>
      </c>
      <c r="H157" s="250" t="b">
        <f t="shared" si="1"/>
        <v>0</v>
      </c>
      <c r="I157" s="219" cm="1">
        <f t="array" aca="1" ref="I157" ca="1">IF(G157&lt;=B$3,(1-((1-INDEX(I$12:I$15,B157))^(G157-1))),(1-((1-INDEX(I$12:I$15,B157))^(B$3-1)))) * H157</f>
        <v>0</v>
      </c>
      <c r="J157" s="219" cm="1">
        <f t="array" aca="1" ref="J157" ca="1">_xlfn.LET(_xlpm.númerotermospg,MIN(B$3,G157),_xlpm.razão,1-INDEX(_xlfn.ANCHORARRAY(I$12),B157),_xlpm.somatermospg,((_xlpm.razão^_xlpm.númerotermospg)-1)/(_xlpm.razão-1),_xlpm.númerotermosconstantes,IF(G157&lt;=B$3,0,G157-B$3),_xlpm.somatermosconstantes,(1-I157)*_xlpm.númerotermosconstantes,_xlpm.somatodostermos,_xlpm.somatermospg+_xlpm.somatermosconstantes,_xlpm.médiatodosostermos,_xlpm.somatodostermos/G157,1 - _xlpm.médiatodosostermos) * H157</f>
        <v>0</v>
      </c>
      <c r="K157" s="110">
        <f ca="1"/>
        <v>0</v>
      </c>
    </row>
    <row r="158" spans="2:11">
      <c r="B158" s="345">
        <v>2</v>
      </c>
      <c r="C158" s="267" t="str">
        <f>'Painel Controle'!C$110</f>
        <v>Automóvel</v>
      </c>
      <c r="D158" s="481" t="str">
        <f>INDEX('Painel Controle'!D$110:D$121,MATCH(C158,'Painel Controle'!C$110:C$121,0))</f>
        <v>Leves</v>
      </c>
      <c r="E158" s="177" t="s">
        <v>595</v>
      </c>
      <c r="F158" s="110" cm="1">
        <f t="array" ref="F158">_xlfn._xlws.FILTER(E$34:E$81,(B$34:B$81 = B158) * (LEFT(C$34:C$81,5) = LEFT(D158,5)) * (D$34:D$81 = E158))</f>
        <v>0.13100000000000001</v>
      </c>
      <c r="G158" s="565" cm="1">
        <f t="array" ref="G158">_xlfn._xlws.FILTER(F$34:F$81,(B$34:B$81 = B158) * (LEFT(C$34:C$81,5) = LEFT(D158,5)) * (D$34:D$81 = E158))</f>
        <v>20</v>
      </c>
      <c r="H158" s="250" t="b">
        <f t="shared" si="1"/>
        <v>1</v>
      </c>
      <c r="I158" s="219" cm="1">
        <f t="array" aca="1" ref="I158" ca="1">IF(G158&lt;=B$3,(1-((1-INDEX(I$12:I$15,B158))^(G158-1))),(1-((1-INDEX(I$12:I$15,B158))^(B$3-1)))) * H158</f>
        <v>0.38761288446957087</v>
      </c>
      <c r="J158" s="219" cm="1">
        <f t="array" aca="1" ref="J158" ca="1">_xlfn.LET(_xlpm.númerotermospg,MIN(B$3,G158),_xlpm.razão,1-INDEX(_xlfn.ANCHORARRAY(I$12),B158),_xlpm.somatermospg,((_xlpm.razão^_xlpm.númerotermospg)-1)/(_xlpm.razão-1),_xlpm.númerotermosconstantes,IF(G158&lt;=B$3,0,G158-B$3),_xlpm.somatermosconstantes,(1-I158)*_xlpm.númerotermosconstantes,_xlpm.somatodostermos,_xlpm.somatermospg+_xlpm.somatermosconstantes,_xlpm.médiatodosostermos,_xlpm.somatodostermos/G158,1 - _xlpm.médiatodosostermos) * H158</f>
        <v>0.20875292514871346</v>
      </c>
      <c r="K158" s="110">
        <f ca="1"/>
        <v>2.7346633194481464E-2</v>
      </c>
    </row>
    <row r="159" spans="2:11">
      <c r="B159" s="345">
        <v>2</v>
      </c>
      <c r="C159" s="267" t="str">
        <f>'Painel Controle'!C$110</f>
        <v>Automóvel</v>
      </c>
      <c r="D159" s="481" t="str">
        <f>INDEX('Painel Controle'!D$110:D$121,MATCH(C159,'Painel Controle'!C$110:C$121,0))</f>
        <v>Leves</v>
      </c>
      <c r="E159" s="177" t="s">
        <v>596</v>
      </c>
      <c r="F159" s="110" cm="1">
        <f t="array" ref="F159">_xlfn._xlws.FILTER(E$34:E$81,(B$34:B$81 = B159) * (LEFT(C$34:C$81,5) = LEFT(D159,5)) * (D$34:D$81 = E159))</f>
        <v>0.22900000000000001</v>
      </c>
      <c r="G159" s="565" cm="1">
        <f t="array" ref="G159">_xlfn._xlws.FILTER(F$34:F$81,(B$34:B$81 = B159) * (LEFT(C$34:C$81,5) = LEFT(D159,5)) * (D$34:D$81 = E159))</f>
        <v>4</v>
      </c>
      <c r="H159" s="250" t="b">
        <f t="shared" si="1"/>
        <v>1</v>
      </c>
      <c r="I159" s="219" cm="1">
        <f t="array" aca="1" ref="I159" ca="1">IF(G159&lt;=B$3,(1-((1-INDEX(I$12:I$15,B159))^(G159-1))),(1-((1-INDEX(I$12:I$15,B159))^(B$3-1)))) * H159</f>
        <v>7.4508289119249671E-2</v>
      </c>
      <c r="J159" s="219" cm="1">
        <f t="array" aca="1" ref="J159" ca="1">_xlfn.LET(_xlpm.númerotermospg,MIN(B$3,G159),_xlpm.razão,1-INDEX(_xlfn.ANCHORARRAY(I$12),B159),_xlpm.somatermospg,((_xlpm.razão^_xlpm.númerotermospg)-1)/(_xlpm.razão-1),_xlpm.númerotermosconstantes,IF(G159&lt;=B$3,0,G159-B$3),_xlpm.somatermosconstantes,(1-I159)*_xlpm.númerotermosconstantes,_xlpm.somatodostermos,_xlpm.somatermospg+_xlpm.somatermosconstantes,_xlpm.médiatodosostermos,_xlpm.somatodostermos/G159,1 - _xlpm.médiatodosostermos) * H159</f>
        <v>3.7574619231298567E-2</v>
      </c>
      <c r="K159" s="110">
        <f ca="1"/>
        <v>8.6045878039673722E-3</v>
      </c>
    </row>
    <row r="160" spans="2:11">
      <c r="B160" s="345">
        <v>2</v>
      </c>
      <c r="C160" s="267" t="str">
        <f>'Painel Controle'!C$110</f>
        <v>Automóvel</v>
      </c>
      <c r="D160" s="481" t="str">
        <f>INDEX('Painel Controle'!D$110:D$121,MATCH(C160,'Painel Controle'!C$110:C$121,0))</f>
        <v>Leves</v>
      </c>
      <c r="E160" s="177" t="s">
        <v>597</v>
      </c>
      <c r="F160" s="110" cm="1">
        <f t="array" ref="F160">_xlfn._xlws.FILTER(E$34:E$81,(B$34:B$81 = B160) * (LEFT(C$34:C$81,5) = LEFT(D160,5)) * (D$34:D$81 = E160))</f>
        <v>0.40500000000000003</v>
      </c>
      <c r="G160" s="565" cm="1">
        <f t="array" ref="G160">_xlfn._xlws.FILTER(F$34:F$81,(B$34:B$81 = B160) * (LEFT(C$34:C$81,5) = LEFT(D160,5)) * (D$34:D$81 = E160))</f>
        <v>2</v>
      </c>
      <c r="H160" s="250" t="b">
        <f t="shared" si="1"/>
        <v>1</v>
      </c>
      <c r="I160" s="219" cm="1">
        <f t="array" aca="1" ref="I160" ca="1">IF(G160&lt;=B$3,(1-((1-INDEX(I$12:I$15,B160))^(G160-1))),(1-((1-INDEX(I$12:I$15,B160))^(B$3-1)))) * H160</f>
        <v>2.5479802717488842E-2</v>
      </c>
      <c r="J160" s="219" cm="1">
        <f t="array" aca="1" ref="J160" ca="1">_xlfn.LET(_xlpm.númerotermospg,MIN(B$3,G160),_xlpm.razão,1-INDEX(_xlfn.ANCHORARRAY(I$12),B160),_xlpm.somatermospg,((_xlpm.razão^_xlpm.númerotermospg)-1)/(_xlpm.razão-1),_xlpm.númerotermosconstantes,IF(G160&lt;=B$3,0,G160-B$3),_xlpm.somatermosconstantes,(1-I160)*_xlpm.númerotermosconstantes,_xlpm.somatodostermos,_xlpm.somatermospg+_xlpm.somatermosconstantes,_xlpm.médiatodosostermos,_xlpm.somatodostermos/G160,1 - _xlpm.médiatodosostermos) * H160</f>
        <v>1.2739901358744365E-2</v>
      </c>
      <c r="K160" s="110">
        <f ca="1"/>
        <v>5.159660050291468E-3</v>
      </c>
    </row>
    <row r="161" spans="2:11">
      <c r="B161" s="345">
        <v>2</v>
      </c>
      <c r="C161" s="267" t="str">
        <f>'Painel Controle'!C$110</f>
        <v>Automóvel</v>
      </c>
      <c r="D161" s="481" t="str">
        <f>INDEX('Painel Controle'!D$110:D$121,MATCH(C161,'Painel Controle'!C$110:C$121,0))</f>
        <v>Leves</v>
      </c>
      <c r="E161" s="177" t="s">
        <v>598</v>
      </c>
      <c r="F161" s="110" cm="1">
        <f t="array" ref="F161">_xlfn._xlws.FILTER(E$34:E$81,(B$34:B$81 = B161) * (LEFT(C$34:C$81,5) = LEFT(D161,5)) * (D$34:D$81 = E161))</f>
        <v>0.113</v>
      </c>
      <c r="G161" s="565" cm="1">
        <f t="array" ref="G161">_xlfn._xlws.FILTER(F$34:F$81,(B$34:B$81 = B161) * (LEFT(C$34:C$81,5) = LEFT(D161,5)) * (D$34:D$81 = E161))</f>
        <v>1</v>
      </c>
      <c r="H161" s="250" t="b">
        <f t="shared" si="1"/>
        <v>1</v>
      </c>
      <c r="I161" s="219" cm="1">
        <f t="array" aca="1" ref="I161" ca="1">IF(G161&lt;=B$3,(1-((1-INDEX(I$12:I$15,B161))^(G161-1))),(1-((1-INDEX(I$12:I$15,B161))^(B$3-1)))) * H161</f>
        <v>0</v>
      </c>
      <c r="J161" s="219" cm="1">
        <f t="array" aca="1" ref="J161" ca="1">_xlfn.LET(_xlpm.númerotermospg,MIN(B$3,G161),_xlpm.razão,1-INDEX(_xlfn.ANCHORARRAY(I$12),B161),_xlpm.somatermospg,((_xlpm.razão^_xlpm.númerotermospg)-1)/(_xlpm.razão-1),_xlpm.númerotermosconstantes,IF(G161&lt;=B$3,0,G161-B$3),_xlpm.somatermosconstantes,(1-I161)*_xlpm.númerotermosconstantes,_xlpm.somatodostermos,_xlpm.somatermospg+_xlpm.somatermosconstantes,_xlpm.médiatodosostermos,_xlpm.somatodostermos/G161,1 - _xlpm.médiatodosostermos) * H161</f>
        <v>0</v>
      </c>
      <c r="K161" s="110">
        <f ca="1"/>
        <v>0</v>
      </c>
    </row>
    <row r="162" spans="2:11">
      <c r="B162" s="345">
        <v>2</v>
      </c>
      <c r="C162" s="267" t="str">
        <f>'Painel Controle'!C$110</f>
        <v>Automóvel</v>
      </c>
      <c r="D162" s="481" t="str">
        <f>INDEX('Painel Controle'!D$110:D$121,MATCH(C162,'Painel Controle'!C$110:C$121,0))</f>
        <v>Leves</v>
      </c>
      <c r="E162" s="177" t="s">
        <v>599</v>
      </c>
      <c r="F162" s="110" cm="1">
        <f t="array" ref="F162">_xlfn._xlws.FILTER(E$34:E$81,(B$34:B$81 = B162) * (LEFT(C$34:C$81,5) = LEFT(D162,5)) * (D$34:D$81 = E162))</f>
        <v>7.1999999999999995E-2</v>
      </c>
      <c r="G162" s="565" cm="1">
        <f t="array" ref="G162">_xlfn._xlws.FILTER(F$34:F$81,(B$34:B$81 = B162) * (LEFT(C$34:C$81,5) = LEFT(D162,5)) * (D$34:D$81 = E162))</f>
        <v>1</v>
      </c>
      <c r="H162" s="250" t="b">
        <f t="shared" si="1"/>
        <v>1</v>
      </c>
      <c r="I162" s="219" cm="1">
        <f t="array" aca="1" ref="I162" ca="1">IF(G162&lt;=B$3,(1-((1-INDEX(I$12:I$15,B162))^(G162-1))),(1-((1-INDEX(I$12:I$15,B162))^(B$3-1)))) * H162</f>
        <v>0</v>
      </c>
      <c r="J162" s="219" cm="1">
        <f t="array" aca="1" ref="J162" ca="1">_xlfn.LET(_xlpm.númerotermospg,MIN(B$3,G162),_xlpm.razão,1-INDEX(_xlfn.ANCHORARRAY(I$12),B162),_xlpm.somatermospg,((_xlpm.razão^_xlpm.númerotermospg)-1)/(_xlpm.razão-1),_xlpm.númerotermosconstantes,IF(G162&lt;=B$3,0,G162-B$3),_xlpm.somatermosconstantes,(1-I162)*_xlpm.númerotermosconstantes,_xlpm.somatodostermos,_xlpm.somatermospg+_xlpm.somatermosconstantes,_xlpm.médiatodosostermos,_xlpm.somatodostermos/G162,1 - _xlpm.médiatodosostermos) * H162</f>
        <v>0</v>
      </c>
      <c r="K162" s="110">
        <f ca="1"/>
        <v>0</v>
      </c>
    </row>
    <row r="163" spans="2:11">
      <c r="B163" s="345">
        <v>2</v>
      </c>
      <c r="C163" s="267" t="str">
        <f>'Painel Controle'!C$110</f>
        <v>Automóvel</v>
      </c>
      <c r="D163" s="481" t="str">
        <f>INDEX('Painel Controle'!D$110:D$121,MATCH(C163,'Painel Controle'!C$110:C$121,0))</f>
        <v>Leves</v>
      </c>
      <c r="E163" s="177" t="s">
        <v>600</v>
      </c>
      <c r="F163" s="110" cm="1">
        <f t="array" ref="F163">_xlfn._xlws.FILTER(E$34:E$81,(B$34:B$81 = B163) * (LEFT(C$34:C$81,5) = LEFT(D163,5)) * (D$34:D$81 = E163))</f>
        <v>0.05</v>
      </c>
      <c r="G163" s="565" cm="1">
        <f t="array" ref="G163">_xlfn._xlws.FILTER(F$34:F$81,(B$34:B$81 = B163) * (LEFT(C$34:C$81,5) = LEFT(D163,5)) * (D$34:D$81 = E163))</f>
        <v>1</v>
      </c>
      <c r="H163" s="250" t="b">
        <f t="shared" si="1"/>
        <v>1</v>
      </c>
      <c r="I163" s="219" cm="1">
        <f t="array" aca="1" ref="I163" ca="1">IF(G163&lt;=B$3,(1-((1-INDEX(I$12:I$15,B163))^(G163-1))),(1-((1-INDEX(I$12:I$15,B163))^(B$3-1)))) * H163</f>
        <v>0</v>
      </c>
      <c r="J163" s="219" cm="1">
        <f t="array" aca="1" ref="J163" ca="1">_xlfn.LET(_xlpm.númerotermospg,MIN(B$3,G163),_xlpm.razão,1-INDEX(_xlfn.ANCHORARRAY(I$12),B163),_xlpm.somatermospg,((_xlpm.razão^_xlpm.númerotermospg)-1)/(_xlpm.razão-1),_xlpm.númerotermosconstantes,IF(G163&lt;=B$3,0,G163-B$3),_xlpm.somatermosconstantes,(1-I163)*_xlpm.númerotermosconstantes,_xlpm.somatodostermos,_xlpm.somatermospg+_xlpm.somatermosconstantes,_xlpm.médiatodosostermos,_xlpm.somatodostermos/G163,1 - _xlpm.médiatodosostermos) * H163</f>
        <v>0</v>
      </c>
      <c r="K163" s="110">
        <f ca="1"/>
        <v>0</v>
      </c>
    </row>
    <row r="164" spans="2:11">
      <c r="B164" s="345">
        <v>2</v>
      </c>
      <c r="C164" s="267" t="str">
        <f>'Painel Controle'!C$111</f>
        <v xml:space="preserve">Automóvel com reboque </v>
      </c>
      <c r="D164" s="481" t="str">
        <f>INDEX('Painel Controle'!D$110:D$121,MATCH(C164,'Painel Controle'!C$110:C$121,0))</f>
        <v>Leves</v>
      </c>
      <c r="E164" s="177" t="s">
        <v>595</v>
      </c>
      <c r="F164" s="110" cm="1">
        <f t="array" ref="F164">_xlfn._xlws.FILTER(E$34:E$81,(B$34:B$81 = B164) * (LEFT(C$34:C$81,5) = LEFT(D164,5)) * (D$34:D$81 = E164))</f>
        <v>0.13100000000000001</v>
      </c>
      <c r="G164" s="565" cm="1">
        <f t="array" ref="G164">_xlfn._xlws.FILTER(F$34:F$81,(B$34:B$81 = B164) * (LEFT(C$34:C$81,5) = LEFT(D164,5)) * (D$34:D$81 = E164))</f>
        <v>20</v>
      </c>
      <c r="H164" s="250" t="b">
        <f t="shared" si="1"/>
        <v>0</v>
      </c>
      <c r="I164" s="219" cm="1">
        <f t="array" aca="1" ref="I164" ca="1">IF(G164&lt;=B$3,(1-((1-INDEX(I$12:I$15,B164))^(G164-1))),(1-((1-INDEX(I$12:I$15,B164))^(B$3-1)))) * H164</f>
        <v>0</v>
      </c>
      <c r="J164" s="219" cm="1">
        <f t="array" aca="1" ref="J164" ca="1">_xlfn.LET(_xlpm.númerotermospg,MIN(B$3,G164),_xlpm.razão,1-INDEX(_xlfn.ANCHORARRAY(I$12),B164),_xlpm.somatermospg,((_xlpm.razão^_xlpm.númerotermospg)-1)/(_xlpm.razão-1),_xlpm.númerotermosconstantes,IF(G164&lt;=B$3,0,G164-B$3),_xlpm.somatermosconstantes,(1-I164)*_xlpm.númerotermosconstantes,_xlpm.somatodostermos,_xlpm.somatermospg+_xlpm.somatermosconstantes,_xlpm.médiatodosostermos,_xlpm.somatodostermos/G164,1 - _xlpm.médiatodosostermos) * H164</f>
        <v>0</v>
      </c>
      <c r="K164" s="110">
        <f ca="1"/>
        <v>0</v>
      </c>
    </row>
    <row r="165" spans="2:11">
      <c r="B165" s="345">
        <v>2</v>
      </c>
      <c r="C165" s="267" t="str">
        <f>'Painel Controle'!C$111</f>
        <v xml:space="preserve">Automóvel com reboque </v>
      </c>
      <c r="D165" s="481" t="str">
        <f>INDEX('Painel Controle'!D$110:D$121,MATCH(C165,'Painel Controle'!C$110:C$121,0))</f>
        <v>Leves</v>
      </c>
      <c r="E165" s="177" t="s">
        <v>596</v>
      </c>
      <c r="F165" s="110" cm="1">
        <f t="array" ref="F165">_xlfn._xlws.FILTER(E$34:E$81,(B$34:B$81 = B165) * (LEFT(C$34:C$81,5) = LEFT(D165,5)) * (D$34:D$81 = E165))</f>
        <v>0.22900000000000001</v>
      </c>
      <c r="G165" s="565" cm="1">
        <f t="array" ref="G165">_xlfn._xlws.FILTER(F$34:F$81,(B$34:B$81 = B165) * (LEFT(C$34:C$81,5) = LEFT(D165,5)) * (D$34:D$81 = E165))</f>
        <v>4</v>
      </c>
      <c r="H165" s="250" t="b">
        <f t="shared" si="1"/>
        <v>0</v>
      </c>
      <c r="I165" s="219" cm="1">
        <f t="array" aca="1" ref="I165" ca="1">IF(G165&lt;=B$3,(1-((1-INDEX(I$12:I$15,B165))^(G165-1))),(1-((1-INDEX(I$12:I$15,B165))^(B$3-1)))) * H165</f>
        <v>0</v>
      </c>
      <c r="J165" s="219" cm="1">
        <f t="array" aca="1" ref="J165" ca="1">_xlfn.LET(_xlpm.númerotermospg,MIN(B$3,G165),_xlpm.razão,1-INDEX(_xlfn.ANCHORARRAY(I$12),B165),_xlpm.somatermospg,((_xlpm.razão^_xlpm.númerotermospg)-1)/(_xlpm.razão-1),_xlpm.númerotermosconstantes,IF(G165&lt;=B$3,0,G165-B$3),_xlpm.somatermosconstantes,(1-I165)*_xlpm.númerotermosconstantes,_xlpm.somatodostermos,_xlpm.somatermospg+_xlpm.somatermosconstantes,_xlpm.médiatodosostermos,_xlpm.somatodostermos/G165,1 - _xlpm.médiatodosostermos) * H165</f>
        <v>0</v>
      </c>
      <c r="K165" s="110">
        <f ca="1"/>
        <v>0</v>
      </c>
    </row>
    <row r="166" spans="2:11">
      <c r="B166" s="345">
        <v>2</v>
      </c>
      <c r="C166" s="267" t="str">
        <f>'Painel Controle'!C$111</f>
        <v xml:space="preserve">Automóvel com reboque </v>
      </c>
      <c r="D166" s="481" t="str">
        <f>INDEX('Painel Controle'!D$110:D$121,MATCH(C166,'Painel Controle'!C$110:C$121,0))</f>
        <v>Leves</v>
      </c>
      <c r="E166" s="177" t="s">
        <v>597</v>
      </c>
      <c r="F166" s="110" cm="1">
        <f t="array" ref="F166">_xlfn._xlws.FILTER(E$34:E$81,(B$34:B$81 = B166) * (LEFT(C$34:C$81,5) = LEFT(D166,5)) * (D$34:D$81 = E166))</f>
        <v>0.40500000000000003</v>
      </c>
      <c r="G166" s="565" cm="1">
        <f t="array" ref="G166">_xlfn._xlws.FILTER(F$34:F$81,(B$34:B$81 = B166) * (LEFT(C$34:C$81,5) = LEFT(D166,5)) * (D$34:D$81 = E166))</f>
        <v>2</v>
      </c>
      <c r="H166" s="250" t="b">
        <f t="shared" si="1"/>
        <v>0</v>
      </c>
      <c r="I166" s="219" cm="1">
        <f t="array" aca="1" ref="I166" ca="1">IF(G166&lt;=B$3,(1-((1-INDEX(I$12:I$15,B166))^(G166-1))),(1-((1-INDEX(I$12:I$15,B166))^(B$3-1)))) * H166</f>
        <v>0</v>
      </c>
      <c r="J166" s="219" cm="1">
        <f t="array" aca="1" ref="J166" ca="1">_xlfn.LET(_xlpm.númerotermospg,MIN(B$3,G166),_xlpm.razão,1-INDEX(_xlfn.ANCHORARRAY(I$12),B166),_xlpm.somatermospg,((_xlpm.razão^_xlpm.númerotermospg)-1)/(_xlpm.razão-1),_xlpm.númerotermosconstantes,IF(G166&lt;=B$3,0,G166-B$3),_xlpm.somatermosconstantes,(1-I166)*_xlpm.númerotermosconstantes,_xlpm.somatodostermos,_xlpm.somatermospg+_xlpm.somatermosconstantes,_xlpm.médiatodosostermos,_xlpm.somatodostermos/G166,1 - _xlpm.médiatodosostermos) * H166</f>
        <v>0</v>
      </c>
      <c r="K166" s="110">
        <f ca="1"/>
        <v>0</v>
      </c>
    </row>
    <row r="167" spans="2:11">
      <c r="B167" s="345">
        <v>2</v>
      </c>
      <c r="C167" s="267" t="str">
        <f>'Painel Controle'!C$111</f>
        <v xml:space="preserve">Automóvel com reboque </v>
      </c>
      <c r="D167" s="481" t="str">
        <f>INDEX('Painel Controle'!D$110:D$121,MATCH(C167,'Painel Controle'!C$110:C$121,0))</f>
        <v>Leves</v>
      </c>
      <c r="E167" s="177" t="s">
        <v>598</v>
      </c>
      <c r="F167" s="110" cm="1">
        <f t="array" ref="F167">_xlfn._xlws.FILTER(E$34:E$81,(B$34:B$81 = B167) * (LEFT(C$34:C$81,5) = LEFT(D167,5)) * (D$34:D$81 = E167))</f>
        <v>0.113</v>
      </c>
      <c r="G167" s="565" cm="1">
        <f t="array" ref="G167">_xlfn._xlws.FILTER(F$34:F$81,(B$34:B$81 = B167) * (LEFT(C$34:C$81,5) = LEFT(D167,5)) * (D$34:D$81 = E167))</f>
        <v>1</v>
      </c>
      <c r="H167" s="250" t="b">
        <f t="shared" si="1"/>
        <v>0</v>
      </c>
      <c r="I167" s="219" cm="1">
        <f t="array" aca="1" ref="I167" ca="1">IF(G167&lt;=B$3,(1-((1-INDEX(I$12:I$15,B167))^(G167-1))),(1-((1-INDEX(I$12:I$15,B167))^(B$3-1)))) * H167</f>
        <v>0</v>
      </c>
      <c r="J167" s="219" cm="1">
        <f t="array" aca="1" ref="J167" ca="1">_xlfn.LET(_xlpm.númerotermospg,MIN(B$3,G167),_xlpm.razão,1-INDEX(_xlfn.ANCHORARRAY(I$12),B167),_xlpm.somatermospg,((_xlpm.razão^_xlpm.númerotermospg)-1)/(_xlpm.razão-1),_xlpm.númerotermosconstantes,IF(G167&lt;=B$3,0,G167-B$3),_xlpm.somatermosconstantes,(1-I167)*_xlpm.númerotermosconstantes,_xlpm.somatodostermos,_xlpm.somatermospg+_xlpm.somatermosconstantes,_xlpm.médiatodosostermos,_xlpm.somatodostermos/G167,1 - _xlpm.médiatodosostermos) * H167</f>
        <v>0</v>
      </c>
      <c r="K167" s="110">
        <f ca="1"/>
        <v>0</v>
      </c>
    </row>
    <row r="168" spans="2:11">
      <c r="B168" s="345">
        <v>2</v>
      </c>
      <c r="C168" s="267" t="str">
        <f>'Painel Controle'!C$111</f>
        <v xml:space="preserve">Automóvel com reboque </v>
      </c>
      <c r="D168" s="481" t="str">
        <f>INDEX('Painel Controle'!D$110:D$121,MATCH(C168,'Painel Controle'!C$110:C$121,0))</f>
        <v>Leves</v>
      </c>
      <c r="E168" s="177" t="s">
        <v>599</v>
      </c>
      <c r="F168" s="110" cm="1">
        <f t="array" ref="F168">_xlfn._xlws.FILTER(E$34:E$81,(B$34:B$81 = B168) * (LEFT(C$34:C$81,5) = LEFT(D168,5)) * (D$34:D$81 = E168))</f>
        <v>7.1999999999999995E-2</v>
      </c>
      <c r="G168" s="565" cm="1">
        <f t="array" ref="G168">_xlfn._xlws.FILTER(F$34:F$81,(B$34:B$81 = B168) * (LEFT(C$34:C$81,5) = LEFT(D168,5)) * (D$34:D$81 = E168))</f>
        <v>1</v>
      </c>
      <c r="H168" s="250" t="b">
        <f t="shared" si="1"/>
        <v>0</v>
      </c>
      <c r="I168" s="219" cm="1">
        <f t="array" aca="1" ref="I168" ca="1">IF(G168&lt;=B$3,(1-((1-INDEX(I$12:I$15,B168))^(G168-1))),(1-((1-INDEX(I$12:I$15,B168))^(B$3-1)))) * H168</f>
        <v>0</v>
      </c>
      <c r="J168" s="219" cm="1">
        <f t="array" aca="1" ref="J168" ca="1">_xlfn.LET(_xlpm.númerotermospg,MIN(B$3,G168),_xlpm.razão,1-INDEX(_xlfn.ANCHORARRAY(I$12),B168),_xlpm.somatermospg,((_xlpm.razão^_xlpm.númerotermospg)-1)/(_xlpm.razão-1),_xlpm.númerotermosconstantes,IF(G168&lt;=B$3,0,G168-B$3),_xlpm.somatermosconstantes,(1-I168)*_xlpm.númerotermosconstantes,_xlpm.somatodostermos,_xlpm.somatermospg+_xlpm.somatermosconstantes,_xlpm.médiatodosostermos,_xlpm.somatodostermos/G168,1 - _xlpm.médiatodosostermos) * H168</f>
        <v>0</v>
      </c>
      <c r="K168" s="110">
        <f ca="1"/>
        <v>0</v>
      </c>
    </row>
    <row r="169" spans="2:11">
      <c r="B169" s="345">
        <v>2</v>
      </c>
      <c r="C169" s="267" t="str">
        <f>'Painel Controle'!C$111</f>
        <v xml:space="preserve">Automóvel com reboque </v>
      </c>
      <c r="D169" s="481" t="str">
        <f>INDEX('Painel Controle'!D$110:D$121,MATCH(C169,'Painel Controle'!C$110:C$121,0))</f>
        <v>Leves</v>
      </c>
      <c r="E169" s="177" t="s">
        <v>600</v>
      </c>
      <c r="F169" s="110" cm="1">
        <f t="array" ref="F169">_xlfn._xlws.FILTER(E$34:E$81,(B$34:B$81 = B169) * (LEFT(C$34:C$81,5) = LEFT(D169,5)) * (D$34:D$81 = E169))</f>
        <v>0.05</v>
      </c>
      <c r="G169" s="565" cm="1">
        <f t="array" ref="G169">_xlfn._xlws.FILTER(F$34:F$81,(B$34:B$81 = B169) * (LEFT(C$34:C$81,5) = LEFT(D169,5)) * (D$34:D$81 = E169))</f>
        <v>1</v>
      </c>
      <c r="H169" s="250" t="b">
        <f t="shared" si="1"/>
        <v>0</v>
      </c>
      <c r="I169" s="219" cm="1">
        <f t="array" aca="1" ref="I169" ca="1">IF(G169&lt;=B$3,(1-((1-INDEX(I$12:I$15,B169))^(G169-1))),(1-((1-INDEX(I$12:I$15,B169))^(B$3-1)))) * H169</f>
        <v>0</v>
      </c>
      <c r="J169" s="219" cm="1">
        <f t="array" aca="1" ref="J169" ca="1">_xlfn.LET(_xlpm.númerotermospg,MIN(B$3,G169),_xlpm.razão,1-INDEX(_xlfn.ANCHORARRAY(I$12),B169),_xlpm.somatermospg,((_xlpm.razão^_xlpm.númerotermospg)-1)/(_xlpm.razão-1),_xlpm.númerotermosconstantes,IF(G169&lt;=B$3,0,G169-B$3),_xlpm.somatermosconstantes,(1-I169)*_xlpm.númerotermosconstantes,_xlpm.somatodostermos,_xlpm.somatermospg+_xlpm.somatermosconstantes,_xlpm.médiatodosostermos,_xlpm.somatodostermos/G169,1 - _xlpm.médiatodosostermos) * H169</f>
        <v>0</v>
      </c>
      <c r="K169" s="110">
        <f ca="1"/>
        <v>0</v>
      </c>
    </row>
    <row r="170" spans="2:11">
      <c r="B170" s="345">
        <v>2</v>
      </c>
      <c r="C170" s="267" t="str">
        <f>'Painel Controle'!C$112</f>
        <v>Veículos Comerciais com 2 Eixos</v>
      </c>
      <c r="D170" s="481" t="str">
        <f>INDEX('Painel Controle'!D$110:D$121,MATCH(C170,'Painel Controle'!C$110:C$121,0))</f>
        <v>Pesados I</v>
      </c>
      <c r="E170" s="177" t="s">
        <v>595</v>
      </c>
      <c r="F170" s="110" cm="1">
        <f t="array" ref="F170">_xlfn._xlws.FILTER(E$34:E$81,(B$34:B$81 = B170) * (LEFT(C$34:C$81,5) = LEFT(D170,5)) * (D$34:D$81 = E170))</f>
        <v>0.18190000000000001</v>
      </c>
      <c r="G170" s="565" cm="1">
        <f t="array" ref="G170">_xlfn._xlws.FILTER(F$34:F$81,(B$34:B$81 = B170) * (LEFT(C$34:C$81,5) = LEFT(D170,5)) * (D$34:D$81 = E170))</f>
        <v>20</v>
      </c>
      <c r="H170" s="250" t="b">
        <f t="shared" si="1"/>
        <v>0</v>
      </c>
      <c r="I170" s="219" cm="1">
        <f t="array" aca="1" ref="I170" ca="1">IF(G170&lt;=B$3,(1-((1-INDEX(I$12:I$15,B170))^(G170-1))),(1-((1-INDEX(I$12:I$15,B170))^(B$3-1)))) * H170</f>
        <v>0</v>
      </c>
      <c r="J170" s="219" cm="1">
        <f t="array" aca="1" ref="J170" ca="1">_xlfn.LET(_xlpm.númerotermospg,MIN(B$3,G170),_xlpm.razão,1-INDEX(_xlfn.ANCHORARRAY(I$12),B170),_xlpm.somatermospg,((_xlpm.razão^_xlpm.númerotermospg)-1)/(_xlpm.razão-1),_xlpm.númerotermosconstantes,IF(G170&lt;=B$3,0,G170-B$3),_xlpm.somatermosconstantes,(1-I170)*_xlpm.númerotermosconstantes,_xlpm.somatodostermos,_xlpm.somatermospg+_xlpm.somatermosconstantes,_xlpm.médiatodosostermos,_xlpm.somatodostermos/G170,1 - _xlpm.médiatodosostermos) * H170</f>
        <v>0</v>
      </c>
      <c r="K170" s="110">
        <f ca="1"/>
        <v>0</v>
      </c>
    </row>
    <row r="171" spans="2:11">
      <c r="B171" s="345">
        <v>2</v>
      </c>
      <c r="C171" s="267" t="str">
        <f>'Painel Controle'!C$112</f>
        <v>Veículos Comerciais com 2 Eixos</v>
      </c>
      <c r="D171" s="481" t="str">
        <f>INDEX('Painel Controle'!D$110:D$121,MATCH(C171,'Painel Controle'!C$110:C$121,0))</f>
        <v>Pesados I</v>
      </c>
      <c r="E171" s="177" t="s">
        <v>596</v>
      </c>
      <c r="F171" s="110" cm="1">
        <f t="array" ref="F171">_xlfn._xlws.FILTER(E$34:E$81,(B$34:B$81 = B171) * (LEFT(C$34:C$81,5) = LEFT(D171,5)) * (D$34:D$81 = E171))</f>
        <v>0.35</v>
      </c>
      <c r="G171" s="565" cm="1">
        <f t="array" ref="G171">_xlfn._xlws.FILTER(F$34:F$81,(B$34:B$81 = B171) * (LEFT(C$34:C$81,5) = LEFT(D171,5)) * (D$34:D$81 = E171))</f>
        <v>4</v>
      </c>
      <c r="H171" s="250" t="b">
        <f t="shared" si="1"/>
        <v>0</v>
      </c>
      <c r="I171" s="219" cm="1">
        <f t="array" aca="1" ref="I171" ca="1">IF(G171&lt;=B$3,(1-((1-INDEX(I$12:I$15,B171))^(G171-1))),(1-((1-INDEX(I$12:I$15,B171))^(B$3-1)))) * H171</f>
        <v>0</v>
      </c>
      <c r="J171" s="219" cm="1">
        <f t="array" aca="1" ref="J171" ca="1">_xlfn.LET(_xlpm.númerotermospg,MIN(B$3,G171),_xlpm.razão,1-INDEX(_xlfn.ANCHORARRAY(I$12),B171),_xlpm.somatermospg,((_xlpm.razão^_xlpm.númerotermospg)-1)/(_xlpm.razão-1),_xlpm.númerotermosconstantes,IF(G171&lt;=B$3,0,G171-B$3),_xlpm.somatermosconstantes,(1-I171)*_xlpm.númerotermosconstantes,_xlpm.somatodostermos,_xlpm.somatermospg+_xlpm.somatermosconstantes,_xlpm.médiatodosostermos,_xlpm.somatodostermos/G171,1 - _xlpm.médiatodosostermos) * H171</f>
        <v>0</v>
      </c>
      <c r="K171" s="110">
        <f ca="1"/>
        <v>0</v>
      </c>
    </row>
    <row r="172" spans="2:11">
      <c r="B172" s="345">
        <v>2</v>
      </c>
      <c r="C172" s="267" t="str">
        <f>'Painel Controle'!C$112</f>
        <v>Veículos Comerciais com 2 Eixos</v>
      </c>
      <c r="D172" s="481" t="str">
        <f>INDEX('Painel Controle'!D$110:D$121,MATCH(C172,'Painel Controle'!C$110:C$121,0))</f>
        <v>Pesados I</v>
      </c>
      <c r="E172" s="177" t="s">
        <v>597</v>
      </c>
      <c r="F172" s="110" cm="1">
        <f t="array" ref="F172">_xlfn._xlws.FILTER(E$34:E$81,(B$34:B$81 = B172) * (LEFT(C$34:C$81,5) = LEFT(D172,5)) * (D$34:D$81 = E172))</f>
        <v>0.29799999999999999</v>
      </c>
      <c r="G172" s="565" cm="1">
        <f t="array" ref="G172">_xlfn._xlws.FILTER(F$34:F$81,(B$34:B$81 = B172) * (LEFT(C$34:C$81,5) = LEFT(D172,5)) * (D$34:D$81 = E172))</f>
        <v>2</v>
      </c>
      <c r="H172" s="250" t="b">
        <f t="shared" si="1"/>
        <v>0</v>
      </c>
      <c r="I172" s="219" cm="1">
        <f t="array" aca="1" ref="I172" ca="1">IF(G172&lt;=B$3,(1-((1-INDEX(I$12:I$15,B172))^(G172-1))),(1-((1-INDEX(I$12:I$15,B172))^(B$3-1)))) * H172</f>
        <v>0</v>
      </c>
      <c r="J172" s="219" cm="1">
        <f t="array" aca="1" ref="J172" ca="1">_xlfn.LET(_xlpm.númerotermospg,MIN(B$3,G172),_xlpm.razão,1-INDEX(_xlfn.ANCHORARRAY(I$12),B172),_xlpm.somatermospg,((_xlpm.razão^_xlpm.númerotermospg)-1)/(_xlpm.razão-1),_xlpm.númerotermosconstantes,IF(G172&lt;=B$3,0,G172-B$3),_xlpm.somatermosconstantes,(1-I172)*_xlpm.númerotermosconstantes,_xlpm.somatodostermos,_xlpm.somatermospg+_xlpm.somatermosconstantes,_xlpm.médiatodosostermos,_xlpm.somatodostermos/G172,1 - _xlpm.médiatodosostermos) * H172</f>
        <v>0</v>
      </c>
      <c r="K172" s="110">
        <f ca="1"/>
        <v>0</v>
      </c>
    </row>
    <row r="173" spans="2:11">
      <c r="B173" s="345">
        <v>2</v>
      </c>
      <c r="C173" s="267" t="str">
        <f>'Painel Controle'!C$112</f>
        <v>Veículos Comerciais com 2 Eixos</v>
      </c>
      <c r="D173" s="481" t="str">
        <f>INDEX('Painel Controle'!D$110:D$121,MATCH(C173,'Painel Controle'!C$110:C$121,0))</f>
        <v>Pesados I</v>
      </c>
      <c r="E173" s="177" t="s">
        <v>598</v>
      </c>
      <c r="F173" s="110" cm="1">
        <f t="array" ref="F173">_xlfn._xlws.FILTER(E$34:E$81,(B$34:B$81 = B173) * (LEFT(C$34:C$81,5) = LEFT(D173,5)) * (D$34:D$81 = E173))</f>
        <v>0.113</v>
      </c>
      <c r="G173" s="565" cm="1">
        <f t="array" ref="G173">_xlfn._xlws.FILTER(F$34:F$81,(B$34:B$81 = B173) * (LEFT(C$34:C$81,5) = LEFT(D173,5)) * (D$34:D$81 = E173))</f>
        <v>1</v>
      </c>
      <c r="H173" s="250" t="b">
        <f t="shared" si="1"/>
        <v>0</v>
      </c>
      <c r="I173" s="219" cm="1">
        <f t="array" aca="1" ref="I173" ca="1">IF(G173&lt;=B$3,(1-((1-INDEX(I$12:I$15,B173))^(G173-1))),(1-((1-INDEX(I$12:I$15,B173))^(B$3-1)))) * H173</f>
        <v>0</v>
      </c>
      <c r="J173" s="219" cm="1">
        <f t="array" aca="1" ref="J173" ca="1">_xlfn.LET(_xlpm.númerotermospg,MIN(B$3,G173),_xlpm.razão,1-INDEX(_xlfn.ANCHORARRAY(I$12),B173),_xlpm.somatermospg,((_xlpm.razão^_xlpm.númerotermospg)-1)/(_xlpm.razão-1),_xlpm.númerotermosconstantes,IF(G173&lt;=B$3,0,G173-B$3),_xlpm.somatermosconstantes,(1-I173)*_xlpm.númerotermosconstantes,_xlpm.somatodostermos,_xlpm.somatermospg+_xlpm.somatermosconstantes,_xlpm.médiatodosostermos,_xlpm.somatodostermos/G173,1 - _xlpm.médiatodosostermos) * H173</f>
        <v>0</v>
      </c>
      <c r="K173" s="110">
        <f ca="1"/>
        <v>0</v>
      </c>
    </row>
    <row r="174" spans="2:11">
      <c r="B174" s="345">
        <v>2</v>
      </c>
      <c r="C174" s="267" t="str">
        <f>'Painel Controle'!C$112</f>
        <v>Veículos Comerciais com 2 Eixos</v>
      </c>
      <c r="D174" s="481" t="str">
        <f>INDEX('Painel Controle'!D$110:D$121,MATCH(C174,'Painel Controle'!C$110:C$121,0))</f>
        <v>Pesados I</v>
      </c>
      <c r="E174" s="177" t="s">
        <v>599</v>
      </c>
      <c r="F174" s="110" cm="1">
        <f t="array" ref="F174">_xlfn._xlws.FILTER(E$34:E$81,(B$34:B$81 = B174) * (LEFT(C$34:C$81,5) = LEFT(D174,5)) * (D$34:D$81 = E174))</f>
        <v>3.5000000000000003E-2</v>
      </c>
      <c r="G174" s="565" cm="1">
        <f t="array" ref="G174">_xlfn._xlws.FILTER(F$34:F$81,(B$34:B$81 = B174) * (LEFT(C$34:C$81,5) = LEFT(D174,5)) * (D$34:D$81 = E174))</f>
        <v>1</v>
      </c>
      <c r="H174" s="250" t="b">
        <f t="shared" si="1"/>
        <v>0</v>
      </c>
      <c r="I174" s="219" cm="1">
        <f t="array" aca="1" ref="I174" ca="1">IF(G174&lt;=B$3,(1-((1-INDEX(I$12:I$15,B174))^(G174-1))),(1-((1-INDEX(I$12:I$15,B174))^(B$3-1)))) * H174</f>
        <v>0</v>
      </c>
      <c r="J174" s="219" cm="1">
        <f t="array" aca="1" ref="J174" ca="1">_xlfn.LET(_xlpm.númerotermospg,MIN(B$3,G174),_xlpm.razão,1-INDEX(_xlfn.ANCHORARRAY(I$12),B174),_xlpm.somatermospg,((_xlpm.razão^_xlpm.númerotermospg)-1)/(_xlpm.razão-1),_xlpm.númerotermosconstantes,IF(G174&lt;=B$3,0,G174-B$3),_xlpm.somatermosconstantes,(1-I174)*_xlpm.númerotermosconstantes,_xlpm.somatodostermos,_xlpm.somatermospg+_xlpm.somatermosconstantes,_xlpm.médiatodosostermos,_xlpm.somatodostermos/G174,1 - _xlpm.médiatodosostermos) * H174</f>
        <v>0</v>
      </c>
      <c r="K174" s="110">
        <f ca="1"/>
        <v>0</v>
      </c>
    </row>
    <row r="175" spans="2:11">
      <c r="B175" s="345">
        <v>2</v>
      </c>
      <c r="C175" s="267" t="str">
        <f>'Painel Controle'!C$112</f>
        <v>Veículos Comerciais com 2 Eixos</v>
      </c>
      <c r="D175" s="481" t="str">
        <f>INDEX('Painel Controle'!D$110:D$121,MATCH(C175,'Painel Controle'!C$110:C$121,0))</f>
        <v>Pesados I</v>
      </c>
      <c r="E175" s="177" t="s">
        <v>600</v>
      </c>
      <c r="F175" s="110" cm="1">
        <f t="array" ref="F175">_xlfn._xlws.FILTER(E$34:E$81,(B$34:B$81 = B175) * (LEFT(C$34:C$81,5) = LEFT(D175,5)) * (D$34:D$81 = E175))</f>
        <v>2.3E-2</v>
      </c>
      <c r="G175" s="565" cm="1">
        <f t="array" ref="G175">_xlfn._xlws.FILTER(F$34:F$81,(B$34:B$81 = B175) * (LEFT(C$34:C$81,5) = LEFT(D175,5)) * (D$34:D$81 = E175))</f>
        <v>1</v>
      </c>
      <c r="H175" s="250" t="b">
        <f t="shared" si="1"/>
        <v>0</v>
      </c>
      <c r="I175" s="219" cm="1">
        <f t="array" aca="1" ref="I175" ca="1">IF(G175&lt;=B$3,(1-((1-INDEX(I$12:I$15,B175))^(G175-1))),(1-((1-INDEX(I$12:I$15,B175))^(B$3-1)))) * H175</f>
        <v>0</v>
      </c>
      <c r="J175" s="219" cm="1">
        <f t="array" aca="1" ref="J175" ca="1">_xlfn.LET(_xlpm.númerotermospg,MIN(B$3,G175),_xlpm.razão,1-INDEX(_xlfn.ANCHORARRAY(I$12),B175),_xlpm.somatermospg,((_xlpm.razão^_xlpm.númerotermospg)-1)/(_xlpm.razão-1),_xlpm.númerotermosconstantes,IF(G175&lt;=B$3,0,G175-B$3),_xlpm.somatermosconstantes,(1-I175)*_xlpm.númerotermosconstantes,_xlpm.somatodostermos,_xlpm.somatermospg+_xlpm.somatermosconstantes,_xlpm.médiatodosostermos,_xlpm.somatodostermos/G175,1 - _xlpm.médiatodosostermos) * H175</f>
        <v>0</v>
      </c>
      <c r="K175" s="110">
        <f ca="1"/>
        <v>0</v>
      </c>
    </row>
    <row r="176" spans="2:11">
      <c r="B176" s="345">
        <v>2</v>
      </c>
      <c r="C176" s="267" t="str">
        <f>'Painel Controle'!C$113</f>
        <v>Veículos Comerciais com 3 Eixos</v>
      </c>
      <c r="D176" s="481" t="str">
        <f>INDEX('Painel Controle'!D$110:D$121,MATCH(C176,'Painel Controle'!C$110:C$121,0))</f>
        <v>Pesados I</v>
      </c>
      <c r="E176" s="177" t="s">
        <v>595</v>
      </c>
      <c r="F176" s="110" cm="1">
        <f t="array" ref="F176">_xlfn._xlws.FILTER(E$34:E$81,(B$34:B$81 = B176) * (LEFT(C$34:C$81,5) = LEFT(D176,5)) * (D$34:D$81 = E176))</f>
        <v>0.18190000000000001</v>
      </c>
      <c r="G176" s="565" cm="1">
        <f t="array" ref="G176">_xlfn._xlws.FILTER(F$34:F$81,(B$34:B$81 = B176) * (LEFT(C$34:C$81,5) = LEFT(D176,5)) * (D$34:D$81 = E176))</f>
        <v>20</v>
      </c>
      <c r="H176" s="250" t="b">
        <f t="shared" si="1"/>
        <v>0</v>
      </c>
      <c r="I176" s="219" cm="1">
        <f t="array" aca="1" ref="I176" ca="1">IF(G176&lt;=B$3,(1-((1-INDEX(I$12:I$15,B176))^(G176-1))),(1-((1-INDEX(I$12:I$15,B176))^(B$3-1)))) * H176</f>
        <v>0</v>
      </c>
      <c r="J176" s="219" cm="1">
        <f t="array" aca="1" ref="J176" ca="1">_xlfn.LET(_xlpm.númerotermospg,MIN(B$3,G176),_xlpm.razão,1-INDEX(_xlfn.ANCHORARRAY(I$12),B176),_xlpm.somatermospg,((_xlpm.razão^_xlpm.númerotermospg)-1)/(_xlpm.razão-1),_xlpm.númerotermosconstantes,IF(G176&lt;=B$3,0,G176-B$3),_xlpm.somatermosconstantes,(1-I176)*_xlpm.númerotermosconstantes,_xlpm.somatodostermos,_xlpm.somatermospg+_xlpm.somatermosconstantes,_xlpm.médiatodosostermos,_xlpm.somatodostermos/G176,1 - _xlpm.médiatodosostermos) * H176</f>
        <v>0</v>
      </c>
      <c r="K176" s="110">
        <f ca="1"/>
        <v>0</v>
      </c>
    </row>
    <row r="177" spans="2:11">
      <c r="B177" s="345">
        <v>2</v>
      </c>
      <c r="C177" s="267" t="str">
        <f>'Painel Controle'!C$113</f>
        <v>Veículos Comerciais com 3 Eixos</v>
      </c>
      <c r="D177" s="481" t="str">
        <f>INDEX('Painel Controle'!D$110:D$121,MATCH(C177,'Painel Controle'!C$110:C$121,0))</f>
        <v>Pesados I</v>
      </c>
      <c r="E177" s="177" t="s">
        <v>596</v>
      </c>
      <c r="F177" s="110" cm="1">
        <f t="array" ref="F177">_xlfn._xlws.FILTER(E$34:E$81,(B$34:B$81 = B177) * (LEFT(C$34:C$81,5) = LEFT(D177,5)) * (D$34:D$81 = E177))</f>
        <v>0.35</v>
      </c>
      <c r="G177" s="565" cm="1">
        <f t="array" ref="G177">_xlfn._xlws.FILTER(F$34:F$81,(B$34:B$81 = B177) * (LEFT(C$34:C$81,5) = LEFT(D177,5)) * (D$34:D$81 = E177))</f>
        <v>4</v>
      </c>
      <c r="H177" s="250" t="b">
        <f t="shared" si="1"/>
        <v>0</v>
      </c>
      <c r="I177" s="219" cm="1">
        <f t="array" aca="1" ref="I177" ca="1">IF(G177&lt;=B$3,(1-((1-INDEX(I$12:I$15,B177))^(G177-1))),(1-((1-INDEX(I$12:I$15,B177))^(B$3-1)))) * H177</f>
        <v>0</v>
      </c>
      <c r="J177" s="219" cm="1">
        <f t="array" aca="1" ref="J177" ca="1">_xlfn.LET(_xlpm.númerotermospg,MIN(B$3,G177),_xlpm.razão,1-INDEX(_xlfn.ANCHORARRAY(I$12),B177),_xlpm.somatermospg,((_xlpm.razão^_xlpm.númerotermospg)-1)/(_xlpm.razão-1),_xlpm.númerotermosconstantes,IF(G177&lt;=B$3,0,G177-B$3),_xlpm.somatermosconstantes,(1-I177)*_xlpm.númerotermosconstantes,_xlpm.somatodostermos,_xlpm.somatermospg+_xlpm.somatermosconstantes,_xlpm.médiatodosostermos,_xlpm.somatodostermos/G177,1 - _xlpm.médiatodosostermos) * H177</f>
        <v>0</v>
      </c>
      <c r="K177" s="110">
        <f ca="1"/>
        <v>0</v>
      </c>
    </row>
    <row r="178" spans="2:11">
      <c r="B178" s="345">
        <v>2</v>
      </c>
      <c r="C178" s="267" t="str">
        <f>'Painel Controle'!C$113</f>
        <v>Veículos Comerciais com 3 Eixos</v>
      </c>
      <c r="D178" s="481" t="str">
        <f>INDEX('Painel Controle'!D$110:D$121,MATCH(C178,'Painel Controle'!C$110:C$121,0))</f>
        <v>Pesados I</v>
      </c>
      <c r="E178" s="177" t="s">
        <v>597</v>
      </c>
      <c r="F178" s="110" cm="1">
        <f t="array" ref="F178">_xlfn._xlws.FILTER(E$34:E$81,(B$34:B$81 = B178) * (LEFT(C$34:C$81,5) = LEFT(D178,5)) * (D$34:D$81 = E178))</f>
        <v>0.29799999999999999</v>
      </c>
      <c r="G178" s="565" cm="1">
        <f t="array" ref="G178">_xlfn._xlws.FILTER(F$34:F$81,(B$34:B$81 = B178) * (LEFT(C$34:C$81,5) = LEFT(D178,5)) * (D$34:D$81 = E178))</f>
        <v>2</v>
      </c>
      <c r="H178" s="250" t="b">
        <f t="shared" si="1"/>
        <v>0</v>
      </c>
      <c r="I178" s="219" cm="1">
        <f t="array" aca="1" ref="I178" ca="1">IF(G178&lt;=B$3,(1-((1-INDEX(I$12:I$15,B178))^(G178-1))),(1-((1-INDEX(I$12:I$15,B178))^(B$3-1)))) * H178</f>
        <v>0</v>
      </c>
      <c r="J178" s="219" cm="1">
        <f t="array" aca="1" ref="J178" ca="1">_xlfn.LET(_xlpm.númerotermospg,MIN(B$3,G178),_xlpm.razão,1-INDEX(_xlfn.ANCHORARRAY(I$12),B178),_xlpm.somatermospg,((_xlpm.razão^_xlpm.númerotermospg)-1)/(_xlpm.razão-1),_xlpm.númerotermosconstantes,IF(G178&lt;=B$3,0,G178-B$3),_xlpm.somatermosconstantes,(1-I178)*_xlpm.númerotermosconstantes,_xlpm.somatodostermos,_xlpm.somatermospg+_xlpm.somatermosconstantes,_xlpm.médiatodosostermos,_xlpm.somatodostermos/G178,1 - _xlpm.médiatodosostermos) * H178</f>
        <v>0</v>
      </c>
      <c r="K178" s="110">
        <f ca="1"/>
        <v>0</v>
      </c>
    </row>
    <row r="179" spans="2:11">
      <c r="B179" s="345">
        <v>2</v>
      </c>
      <c r="C179" s="267" t="str">
        <f>'Painel Controle'!C$113</f>
        <v>Veículos Comerciais com 3 Eixos</v>
      </c>
      <c r="D179" s="481" t="str">
        <f>INDEX('Painel Controle'!D$110:D$121,MATCH(C179,'Painel Controle'!C$110:C$121,0))</f>
        <v>Pesados I</v>
      </c>
      <c r="E179" s="177" t="s">
        <v>598</v>
      </c>
      <c r="F179" s="110" cm="1">
        <f t="array" ref="F179">_xlfn._xlws.FILTER(E$34:E$81,(B$34:B$81 = B179) * (LEFT(C$34:C$81,5) = LEFT(D179,5)) * (D$34:D$81 = E179))</f>
        <v>0.113</v>
      </c>
      <c r="G179" s="565" cm="1">
        <f t="array" ref="G179">_xlfn._xlws.FILTER(F$34:F$81,(B$34:B$81 = B179) * (LEFT(C$34:C$81,5) = LEFT(D179,5)) * (D$34:D$81 = E179))</f>
        <v>1</v>
      </c>
      <c r="H179" s="250" t="b">
        <f t="shared" si="1"/>
        <v>0</v>
      </c>
      <c r="I179" s="219" cm="1">
        <f t="array" aca="1" ref="I179" ca="1">IF(G179&lt;=B$3,(1-((1-INDEX(I$12:I$15,B179))^(G179-1))),(1-((1-INDEX(I$12:I$15,B179))^(B$3-1)))) * H179</f>
        <v>0</v>
      </c>
      <c r="J179" s="219" cm="1">
        <f t="array" aca="1" ref="J179" ca="1">_xlfn.LET(_xlpm.númerotermospg,MIN(B$3,G179),_xlpm.razão,1-INDEX(_xlfn.ANCHORARRAY(I$12),B179),_xlpm.somatermospg,((_xlpm.razão^_xlpm.númerotermospg)-1)/(_xlpm.razão-1),_xlpm.númerotermosconstantes,IF(G179&lt;=B$3,0,G179-B$3),_xlpm.somatermosconstantes,(1-I179)*_xlpm.númerotermosconstantes,_xlpm.somatodostermos,_xlpm.somatermospg+_xlpm.somatermosconstantes,_xlpm.médiatodosostermos,_xlpm.somatodostermos/G179,1 - _xlpm.médiatodosostermos) * H179</f>
        <v>0</v>
      </c>
      <c r="K179" s="110">
        <f ca="1"/>
        <v>0</v>
      </c>
    </row>
    <row r="180" spans="2:11">
      <c r="B180" s="345">
        <v>2</v>
      </c>
      <c r="C180" s="267" t="str">
        <f>'Painel Controle'!C$113</f>
        <v>Veículos Comerciais com 3 Eixos</v>
      </c>
      <c r="D180" s="481" t="str">
        <f>INDEX('Painel Controle'!D$110:D$121,MATCH(C180,'Painel Controle'!C$110:C$121,0))</f>
        <v>Pesados I</v>
      </c>
      <c r="E180" s="177" t="s">
        <v>599</v>
      </c>
      <c r="F180" s="110" cm="1">
        <f t="array" ref="F180">_xlfn._xlws.FILTER(E$34:E$81,(B$34:B$81 = B180) * (LEFT(C$34:C$81,5) = LEFT(D180,5)) * (D$34:D$81 = E180))</f>
        <v>3.5000000000000003E-2</v>
      </c>
      <c r="G180" s="565" cm="1">
        <f t="array" ref="G180">_xlfn._xlws.FILTER(F$34:F$81,(B$34:B$81 = B180) * (LEFT(C$34:C$81,5) = LEFT(D180,5)) * (D$34:D$81 = E180))</f>
        <v>1</v>
      </c>
      <c r="H180" s="250" t="b">
        <f t="shared" si="1"/>
        <v>0</v>
      </c>
      <c r="I180" s="219" cm="1">
        <f t="array" aca="1" ref="I180" ca="1">IF(G180&lt;=B$3,(1-((1-INDEX(I$12:I$15,B180))^(G180-1))),(1-((1-INDEX(I$12:I$15,B180))^(B$3-1)))) * H180</f>
        <v>0</v>
      </c>
      <c r="J180" s="219" cm="1">
        <f t="array" aca="1" ref="J180" ca="1">_xlfn.LET(_xlpm.númerotermospg,MIN(B$3,G180),_xlpm.razão,1-INDEX(_xlfn.ANCHORARRAY(I$12),B180),_xlpm.somatermospg,((_xlpm.razão^_xlpm.númerotermospg)-1)/(_xlpm.razão-1),_xlpm.númerotermosconstantes,IF(G180&lt;=B$3,0,G180-B$3),_xlpm.somatermosconstantes,(1-I180)*_xlpm.númerotermosconstantes,_xlpm.somatodostermos,_xlpm.somatermospg+_xlpm.somatermosconstantes,_xlpm.médiatodosostermos,_xlpm.somatodostermos/G180,1 - _xlpm.médiatodosostermos) * H180</f>
        <v>0</v>
      </c>
      <c r="K180" s="110">
        <f ca="1"/>
        <v>0</v>
      </c>
    </row>
    <row r="181" spans="2:11">
      <c r="B181" s="345">
        <v>2</v>
      </c>
      <c r="C181" s="267" t="str">
        <f>'Painel Controle'!C$113</f>
        <v>Veículos Comerciais com 3 Eixos</v>
      </c>
      <c r="D181" s="481" t="str">
        <f>INDEX('Painel Controle'!D$110:D$121,MATCH(C181,'Painel Controle'!C$110:C$121,0))</f>
        <v>Pesados I</v>
      </c>
      <c r="E181" s="177" t="s">
        <v>600</v>
      </c>
      <c r="F181" s="110" cm="1">
        <f t="array" ref="F181">_xlfn._xlws.FILTER(E$34:E$81,(B$34:B$81 = B181) * (LEFT(C$34:C$81,5) = LEFT(D181,5)) * (D$34:D$81 = E181))</f>
        <v>2.3E-2</v>
      </c>
      <c r="G181" s="565" cm="1">
        <f t="array" ref="G181">_xlfn._xlws.FILTER(F$34:F$81,(B$34:B$81 = B181) * (LEFT(C$34:C$81,5) = LEFT(D181,5)) * (D$34:D$81 = E181))</f>
        <v>1</v>
      </c>
      <c r="H181" s="250" t="b">
        <f t="shared" si="1"/>
        <v>0</v>
      </c>
      <c r="I181" s="219" cm="1">
        <f t="array" aca="1" ref="I181" ca="1">IF(G181&lt;=B$3,(1-((1-INDEX(I$12:I$15,B181))^(G181-1))),(1-((1-INDEX(I$12:I$15,B181))^(B$3-1)))) * H181</f>
        <v>0</v>
      </c>
      <c r="J181" s="219" cm="1">
        <f t="array" aca="1" ref="J181" ca="1">_xlfn.LET(_xlpm.númerotermospg,MIN(B$3,G181),_xlpm.razão,1-INDEX(_xlfn.ANCHORARRAY(I$12),B181),_xlpm.somatermospg,((_xlpm.razão^_xlpm.númerotermospg)-1)/(_xlpm.razão-1),_xlpm.númerotermosconstantes,IF(G181&lt;=B$3,0,G181-B$3),_xlpm.somatermosconstantes,(1-I181)*_xlpm.númerotermosconstantes,_xlpm.somatodostermos,_xlpm.somatermospg+_xlpm.somatermosconstantes,_xlpm.médiatodosostermos,_xlpm.somatodostermos/G181,1 - _xlpm.médiatodosostermos) * H181</f>
        <v>0</v>
      </c>
      <c r="K181" s="110">
        <f ca="1"/>
        <v>0</v>
      </c>
    </row>
    <row r="182" spans="2:11">
      <c r="B182" s="345">
        <v>2</v>
      </c>
      <c r="C182" s="267" t="str">
        <f>'Painel Controle'!C$114</f>
        <v>Veículos Comerciais com 4 Eixos</v>
      </c>
      <c r="D182" s="481" t="str">
        <f>INDEX('Painel Controle'!D$110:D$121,MATCH(C182,'Painel Controle'!C$110:C$121,0))</f>
        <v>Pesados I</v>
      </c>
      <c r="E182" s="177" t="s">
        <v>595</v>
      </c>
      <c r="F182" s="110" cm="1">
        <f t="array" ref="F182">_xlfn._xlws.FILTER(E$34:E$81,(B$34:B$81 = B182) * (LEFT(C$34:C$81,5) = LEFT(D182,5)) * (D$34:D$81 = E182))</f>
        <v>0.18190000000000001</v>
      </c>
      <c r="G182" s="565" cm="1">
        <f t="array" ref="G182">_xlfn._xlws.FILTER(F$34:F$81,(B$34:B$81 = B182) * (LEFT(C$34:C$81,5) = LEFT(D182,5)) * (D$34:D$81 = E182))</f>
        <v>20</v>
      </c>
      <c r="H182" s="250" t="b">
        <f t="shared" si="1"/>
        <v>0</v>
      </c>
      <c r="I182" s="219" cm="1">
        <f t="array" aca="1" ref="I182" ca="1">IF(G182&lt;=B$3,(1-((1-INDEX(I$12:I$15,B182))^(G182-1))),(1-((1-INDEX(I$12:I$15,B182))^(B$3-1)))) * H182</f>
        <v>0</v>
      </c>
      <c r="J182" s="219" cm="1">
        <f t="array" aca="1" ref="J182" ca="1">_xlfn.LET(_xlpm.númerotermospg,MIN(B$3,G182),_xlpm.razão,1-INDEX(_xlfn.ANCHORARRAY(I$12),B182),_xlpm.somatermospg,((_xlpm.razão^_xlpm.númerotermospg)-1)/(_xlpm.razão-1),_xlpm.númerotermosconstantes,IF(G182&lt;=B$3,0,G182-B$3),_xlpm.somatermosconstantes,(1-I182)*_xlpm.númerotermosconstantes,_xlpm.somatodostermos,_xlpm.somatermospg+_xlpm.somatermosconstantes,_xlpm.médiatodosostermos,_xlpm.somatodostermos/G182,1 - _xlpm.médiatodosostermos) * H182</f>
        <v>0</v>
      </c>
      <c r="K182" s="110">
        <f ca="1"/>
        <v>0</v>
      </c>
    </row>
    <row r="183" spans="2:11">
      <c r="B183" s="345">
        <v>2</v>
      </c>
      <c r="C183" s="267" t="str">
        <f>'Painel Controle'!C$114</f>
        <v>Veículos Comerciais com 4 Eixos</v>
      </c>
      <c r="D183" s="481" t="str">
        <f>INDEX('Painel Controle'!D$110:D$121,MATCH(C183,'Painel Controle'!C$110:C$121,0))</f>
        <v>Pesados I</v>
      </c>
      <c r="E183" s="177" t="s">
        <v>596</v>
      </c>
      <c r="F183" s="110" cm="1">
        <f t="array" ref="F183">_xlfn._xlws.FILTER(E$34:E$81,(B$34:B$81 = B183) * (LEFT(C$34:C$81,5) = LEFT(D183,5)) * (D$34:D$81 = E183))</f>
        <v>0.35</v>
      </c>
      <c r="G183" s="565" cm="1">
        <f t="array" ref="G183">_xlfn._xlws.FILTER(F$34:F$81,(B$34:B$81 = B183) * (LEFT(C$34:C$81,5) = LEFT(D183,5)) * (D$34:D$81 = E183))</f>
        <v>4</v>
      </c>
      <c r="H183" s="250" t="b">
        <f t="shared" si="1"/>
        <v>0</v>
      </c>
      <c r="I183" s="219" cm="1">
        <f t="array" aca="1" ref="I183" ca="1">IF(G183&lt;=B$3,(1-((1-INDEX(I$12:I$15,B183))^(G183-1))),(1-((1-INDEX(I$12:I$15,B183))^(B$3-1)))) * H183</f>
        <v>0</v>
      </c>
      <c r="J183" s="219" cm="1">
        <f t="array" aca="1" ref="J183" ca="1">_xlfn.LET(_xlpm.númerotermospg,MIN(B$3,G183),_xlpm.razão,1-INDEX(_xlfn.ANCHORARRAY(I$12),B183),_xlpm.somatermospg,((_xlpm.razão^_xlpm.númerotermospg)-1)/(_xlpm.razão-1),_xlpm.númerotermosconstantes,IF(G183&lt;=B$3,0,G183-B$3),_xlpm.somatermosconstantes,(1-I183)*_xlpm.númerotermosconstantes,_xlpm.somatodostermos,_xlpm.somatermospg+_xlpm.somatermosconstantes,_xlpm.médiatodosostermos,_xlpm.somatodostermos/G183,1 - _xlpm.médiatodosostermos) * H183</f>
        <v>0</v>
      </c>
      <c r="K183" s="110">
        <f ca="1"/>
        <v>0</v>
      </c>
    </row>
    <row r="184" spans="2:11">
      <c r="B184" s="345">
        <v>2</v>
      </c>
      <c r="C184" s="267" t="str">
        <f>'Painel Controle'!C$114</f>
        <v>Veículos Comerciais com 4 Eixos</v>
      </c>
      <c r="D184" s="481" t="str">
        <f>INDEX('Painel Controle'!D$110:D$121,MATCH(C184,'Painel Controle'!C$110:C$121,0))</f>
        <v>Pesados I</v>
      </c>
      <c r="E184" s="177" t="s">
        <v>597</v>
      </c>
      <c r="F184" s="110" cm="1">
        <f t="array" ref="F184">_xlfn._xlws.FILTER(E$34:E$81,(B$34:B$81 = B184) * (LEFT(C$34:C$81,5) = LEFT(D184,5)) * (D$34:D$81 = E184))</f>
        <v>0.29799999999999999</v>
      </c>
      <c r="G184" s="565" cm="1">
        <f t="array" ref="G184">_xlfn._xlws.FILTER(F$34:F$81,(B$34:B$81 = B184) * (LEFT(C$34:C$81,5) = LEFT(D184,5)) * (D$34:D$81 = E184))</f>
        <v>2</v>
      </c>
      <c r="H184" s="250" t="b">
        <f t="shared" si="1"/>
        <v>0</v>
      </c>
      <c r="I184" s="219" cm="1">
        <f t="array" aca="1" ref="I184" ca="1">IF(G184&lt;=B$3,(1-((1-INDEX(I$12:I$15,B184))^(G184-1))),(1-((1-INDEX(I$12:I$15,B184))^(B$3-1)))) * H184</f>
        <v>0</v>
      </c>
      <c r="J184" s="219" cm="1">
        <f t="array" aca="1" ref="J184" ca="1">_xlfn.LET(_xlpm.númerotermospg,MIN(B$3,G184),_xlpm.razão,1-INDEX(_xlfn.ANCHORARRAY(I$12),B184),_xlpm.somatermospg,((_xlpm.razão^_xlpm.númerotermospg)-1)/(_xlpm.razão-1),_xlpm.númerotermosconstantes,IF(G184&lt;=B$3,0,G184-B$3),_xlpm.somatermosconstantes,(1-I184)*_xlpm.númerotermosconstantes,_xlpm.somatodostermos,_xlpm.somatermospg+_xlpm.somatermosconstantes,_xlpm.médiatodosostermos,_xlpm.somatodostermos/G184,1 - _xlpm.médiatodosostermos) * H184</f>
        <v>0</v>
      </c>
      <c r="K184" s="110">
        <f ca="1"/>
        <v>0</v>
      </c>
    </row>
    <row r="185" spans="2:11">
      <c r="B185" s="345">
        <v>2</v>
      </c>
      <c r="C185" s="267" t="str">
        <f>'Painel Controle'!C$114</f>
        <v>Veículos Comerciais com 4 Eixos</v>
      </c>
      <c r="D185" s="481" t="str">
        <f>INDEX('Painel Controle'!D$110:D$121,MATCH(C185,'Painel Controle'!C$110:C$121,0))</f>
        <v>Pesados I</v>
      </c>
      <c r="E185" s="177" t="s">
        <v>598</v>
      </c>
      <c r="F185" s="110" cm="1">
        <f t="array" ref="F185">_xlfn._xlws.FILTER(E$34:E$81,(B$34:B$81 = B185) * (LEFT(C$34:C$81,5) = LEFT(D185,5)) * (D$34:D$81 = E185))</f>
        <v>0.113</v>
      </c>
      <c r="G185" s="565" cm="1">
        <f t="array" ref="G185">_xlfn._xlws.FILTER(F$34:F$81,(B$34:B$81 = B185) * (LEFT(C$34:C$81,5) = LEFT(D185,5)) * (D$34:D$81 = E185))</f>
        <v>1</v>
      </c>
      <c r="H185" s="250" t="b">
        <f t="shared" si="1"/>
        <v>0</v>
      </c>
      <c r="I185" s="219" cm="1">
        <f t="array" aca="1" ref="I185" ca="1">IF(G185&lt;=B$3,(1-((1-INDEX(I$12:I$15,B185))^(G185-1))),(1-((1-INDEX(I$12:I$15,B185))^(B$3-1)))) * H185</f>
        <v>0</v>
      </c>
      <c r="J185" s="219" cm="1">
        <f t="array" aca="1" ref="J185" ca="1">_xlfn.LET(_xlpm.númerotermospg,MIN(B$3,G185),_xlpm.razão,1-INDEX(_xlfn.ANCHORARRAY(I$12),B185),_xlpm.somatermospg,((_xlpm.razão^_xlpm.númerotermospg)-1)/(_xlpm.razão-1),_xlpm.númerotermosconstantes,IF(G185&lt;=B$3,0,G185-B$3),_xlpm.somatermosconstantes,(1-I185)*_xlpm.númerotermosconstantes,_xlpm.somatodostermos,_xlpm.somatermospg+_xlpm.somatermosconstantes,_xlpm.médiatodosostermos,_xlpm.somatodostermos/G185,1 - _xlpm.médiatodosostermos) * H185</f>
        <v>0</v>
      </c>
      <c r="K185" s="110">
        <f ca="1"/>
        <v>0</v>
      </c>
    </row>
    <row r="186" spans="2:11">
      <c r="B186" s="345">
        <v>2</v>
      </c>
      <c r="C186" s="267" t="str">
        <f>'Painel Controle'!C$114</f>
        <v>Veículos Comerciais com 4 Eixos</v>
      </c>
      <c r="D186" s="481" t="str">
        <f>INDEX('Painel Controle'!D$110:D$121,MATCH(C186,'Painel Controle'!C$110:C$121,0))</f>
        <v>Pesados I</v>
      </c>
      <c r="E186" s="177" t="s">
        <v>599</v>
      </c>
      <c r="F186" s="110" cm="1">
        <f t="array" ref="F186">_xlfn._xlws.FILTER(E$34:E$81,(B$34:B$81 = B186) * (LEFT(C$34:C$81,5) = LEFT(D186,5)) * (D$34:D$81 = E186))</f>
        <v>3.5000000000000003E-2</v>
      </c>
      <c r="G186" s="565" cm="1">
        <f t="array" ref="G186">_xlfn._xlws.FILTER(F$34:F$81,(B$34:B$81 = B186) * (LEFT(C$34:C$81,5) = LEFT(D186,5)) * (D$34:D$81 = E186))</f>
        <v>1</v>
      </c>
      <c r="H186" s="250" t="b">
        <f t="shared" si="1"/>
        <v>0</v>
      </c>
      <c r="I186" s="219" cm="1">
        <f t="array" aca="1" ref="I186" ca="1">IF(G186&lt;=B$3,(1-((1-INDEX(I$12:I$15,B186))^(G186-1))),(1-((1-INDEX(I$12:I$15,B186))^(B$3-1)))) * H186</f>
        <v>0</v>
      </c>
      <c r="J186" s="219" cm="1">
        <f t="array" aca="1" ref="J186" ca="1">_xlfn.LET(_xlpm.númerotermospg,MIN(B$3,G186),_xlpm.razão,1-INDEX(_xlfn.ANCHORARRAY(I$12),B186),_xlpm.somatermospg,((_xlpm.razão^_xlpm.númerotermospg)-1)/(_xlpm.razão-1),_xlpm.númerotermosconstantes,IF(G186&lt;=B$3,0,G186-B$3),_xlpm.somatermosconstantes,(1-I186)*_xlpm.númerotermosconstantes,_xlpm.somatodostermos,_xlpm.somatermospg+_xlpm.somatermosconstantes,_xlpm.médiatodosostermos,_xlpm.somatodostermos/G186,1 - _xlpm.médiatodosostermos) * H186</f>
        <v>0</v>
      </c>
      <c r="K186" s="110">
        <f ca="1"/>
        <v>0</v>
      </c>
    </row>
    <row r="187" spans="2:11">
      <c r="B187" s="345">
        <v>2</v>
      </c>
      <c r="C187" s="267" t="str">
        <f>'Painel Controle'!C$114</f>
        <v>Veículos Comerciais com 4 Eixos</v>
      </c>
      <c r="D187" s="481" t="str">
        <f>INDEX('Painel Controle'!D$110:D$121,MATCH(C187,'Painel Controle'!C$110:C$121,0))</f>
        <v>Pesados I</v>
      </c>
      <c r="E187" s="177" t="s">
        <v>600</v>
      </c>
      <c r="F187" s="110" cm="1">
        <f t="array" ref="F187">_xlfn._xlws.FILTER(E$34:E$81,(B$34:B$81 = B187) * (LEFT(C$34:C$81,5) = LEFT(D187,5)) * (D$34:D$81 = E187))</f>
        <v>2.3E-2</v>
      </c>
      <c r="G187" s="565" cm="1">
        <f t="array" ref="G187">_xlfn._xlws.FILTER(F$34:F$81,(B$34:B$81 = B187) * (LEFT(C$34:C$81,5) = LEFT(D187,5)) * (D$34:D$81 = E187))</f>
        <v>1</v>
      </c>
      <c r="H187" s="250" t="b">
        <f t="shared" si="1"/>
        <v>0</v>
      </c>
      <c r="I187" s="219" cm="1">
        <f t="array" aca="1" ref="I187" ca="1">IF(G187&lt;=B$3,(1-((1-INDEX(I$12:I$15,B187))^(G187-1))),(1-((1-INDEX(I$12:I$15,B187))^(B$3-1)))) * H187</f>
        <v>0</v>
      </c>
      <c r="J187" s="219" cm="1">
        <f t="array" aca="1" ref="J187" ca="1">_xlfn.LET(_xlpm.númerotermospg,MIN(B$3,G187),_xlpm.razão,1-INDEX(_xlfn.ANCHORARRAY(I$12),B187),_xlpm.somatermospg,((_xlpm.razão^_xlpm.númerotermospg)-1)/(_xlpm.razão-1),_xlpm.númerotermosconstantes,IF(G187&lt;=B$3,0,G187-B$3),_xlpm.somatermosconstantes,(1-I187)*_xlpm.númerotermosconstantes,_xlpm.somatodostermos,_xlpm.somatermospg+_xlpm.somatermosconstantes,_xlpm.médiatodosostermos,_xlpm.somatodostermos/G187,1 - _xlpm.médiatodosostermos) * H187</f>
        <v>0</v>
      </c>
      <c r="K187" s="110">
        <f ca="1"/>
        <v>0</v>
      </c>
    </row>
    <row r="188" spans="2:11">
      <c r="B188" s="345">
        <v>2</v>
      </c>
      <c r="C188" s="267" t="str">
        <f>'Painel Controle'!C$115</f>
        <v>Veículos Comerciais com 5 Eixos Articulado</v>
      </c>
      <c r="D188" s="481" t="str">
        <f>INDEX('Painel Controle'!D$110:D$121,MATCH(C188,'Painel Controle'!C$110:C$121,0))</f>
        <v>Pesados II</v>
      </c>
      <c r="E188" s="177" t="s">
        <v>595</v>
      </c>
      <c r="F188" s="110" cm="1">
        <f t="array" ref="F188">_xlfn._xlws.FILTER(E$34:E$81,(B$34:B$81 = B188) * (LEFT(C$34:C$81,5) = LEFT(D188,5)) * (D$34:D$81 = E188))</f>
        <v>0.18190000000000001</v>
      </c>
      <c r="G188" s="565" cm="1">
        <f t="array" ref="G188">_xlfn._xlws.FILTER(F$34:F$81,(B$34:B$81 = B188) * (LEFT(C$34:C$81,5) = LEFT(D188,5)) * (D$34:D$81 = E188))</f>
        <v>20</v>
      </c>
      <c r="H188" s="250" t="b">
        <f t="shared" si="1"/>
        <v>0</v>
      </c>
      <c r="I188" s="219" cm="1">
        <f t="array" aca="1" ref="I188" ca="1">IF(G188&lt;=B$3,(1-((1-INDEX(I$12:I$15,B188))^(G188-1))),(1-((1-INDEX(I$12:I$15,B188))^(B$3-1)))) * H188</f>
        <v>0</v>
      </c>
      <c r="J188" s="219" cm="1">
        <f t="array" aca="1" ref="J188" ca="1">_xlfn.LET(_xlpm.númerotermospg,MIN(B$3,G188),_xlpm.razão,1-INDEX(_xlfn.ANCHORARRAY(I$12),B188),_xlpm.somatermospg,((_xlpm.razão^_xlpm.númerotermospg)-1)/(_xlpm.razão-1),_xlpm.númerotermosconstantes,IF(G188&lt;=B$3,0,G188-B$3),_xlpm.somatermosconstantes,(1-I188)*_xlpm.númerotermosconstantes,_xlpm.somatodostermos,_xlpm.somatermospg+_xlpm.somatermosconstantes,_xlpm.médiatodosostermos,_xlpm.somatodostermos/G188,1 - _xlpm.médiatodosostermos) * H188</f>
        <v>0</v>
      </c>
      <c r="K188" s="110">
        <f ca="1"/>
        <v>0</v>
      </c>
    </row>
    <row r="189" spans="2:11">
      <c r="B189" s="345">
        <v>2</v>
      </c>
      <c r="C189" s="267" t="str">
        <f>'Painel Controle'!C$115</f>
        <v>Veículos Comerciais com 5 Eixos Articulado</v>
      </c>
      <c r="D189" s="481" t="str">
        <f>INDEX('Painel Controle'!D$110:D$121,MATCH(C189,'Painel Controle'!C$110:C$121,0))</f>
        <v>Pesados II</v>
      </c>
      <c r="E189" s="177" t="s">
        <v>596</v>
      </c>
      <c r="F189" s="110" cm="1">
        <f t="array" ref="F189">_xlfn._xlws.FILTER(E$34:E$81,(B$34:B$81 = B189) * (LEFT(C$34:C$81,5) = LEFT(D189,5)) * (D$34:D$81 = E189))</f>
        <v>0.35</v>
      </c>
      <c r="G189" s="565" cm="1">
        <f t="array" ref="G189">_xlfn._xlws.FILTER(F$34:F$81,(B$34:B$81 = B189) * (LEFT(C$34:C$81,5) = LEFT(D189,5)) * (D$34:D$81 = E189))</f>
        <v>4</v>
      </c>
      <c r="H189" s="250" t="b">
        <f t="shared" si="1"/>
        <v>0</v>
      </c>
      <c r="I189" s="219" cm="1">
        <f t="array" aca="1" ref="I189" ca="1">IF(G189&lt;=B$3,(1-((1-INDEX(I$12:I$15,B189))^(G189-1))),(1-((1-INDEX(I$12:I$15,B189))^(B$3-1)))) * H189</f>
        <v>0</v>
      </c>
      <c r="J189" s="219" cm="1">
        <f t="array" aca="1" ref="J189" ca="1">_xlfn.LET(_xlpm.númerotermospg,MIN(B$3,G189),_xlpm.razão,1-INDEX(_xlfn.ANCHORARRAY(I$12),B189),_xlpm.somatermospg,((_xlpm.razão^_xlpm.númerotermospg)-1)/(_xlpm.razão-1),_xlpm.númerotermosconstantes,IF(G189&lt;=B$3,0,G189-B$3),_xlpm.somatermosconstantes,(1-I189)*_xlpm.númerotermosconstantes,_xlpm.somatodostermos,_xlpm.somatermospg+_xlpm.somatermosconstantes,_xlpm.médiatodosostermos,_xlpm.somatodostermos/G189,1 - _xlpm.médiatodosostermos) * H189</f>
        <v>0</v>
      </c>
      <c r="K189" s="110">
        <f ca="1"/>
        <v>0</v>
      </c>
    </row>
    <row r="190" spans="2:11">
      <c r="B190" s="345">
        <v>2</v>
      </c>
      <c r="C190" s="267" t="str">
        <f>'Painel Controle'!C$115</f>
        <v>Veículos Comerciais com 5 Eixos Articulado</v>
      </c>
      <c r="D190" s="481" t="str">
        <f>INDEX('Painel Controle'!D$110:D$121,MATCH(C190,'Painel Controle'!C$110:C$121,0))</f>
        <v>Pesados II</v>
      </c>
      <c r="E190" s="177" t="s">
        <v>597</v>
      </c>
      <c r="F190" s="110" cm="1">
        <f t="array" ref="F190">_xlfn._xlws.FILTER(E$34:E$81,(B$34:B$81 = B190) * (LEFT(C$34:C$81,5) = LEFT(D190,5)) * (D$34:D$81 = E190))</f>
        <v>0.29799999999999999</v>
      </c>
      <c r="G190" s="565" cm="1">
        <f t="array" ref="G190">_xlfn._xlws.FILTER(F$34:F$81,(B$34:B$81 = B190) * (LEFT(C$34:C$81,5) = LEFT(D190,5)) * (D$34:D$81 = E190))</f>
        <v>2</v>
      </c>
      <c r="H190" s="250" t="b">
        <f t="shared" si="1"/>
        <v>0</v>
      </c>
      <c r="I190" s="219" cm="1">
        <f t="array" aca="1" ref="I190" ca="1">IF(G190&lt;=B$3,(1-((1-INDEX(I$12:I$15,B190))^(G190-1))),(1-((1-INDEX(I$12:I$15,B190))^(B$3-1)))) * H190</f>
        <v>0</v>
      </c>
      <c r="J190" s="219" cm="1">
        <f t="array" aca="1" ref="J190" ca="1">_xlfn.LET(_xlpm.númerotermospg,MIN(B$3,G190),_xlpm.razão,1-INDEX(_xlfn.ANCHORARRAY(I$12),B190),_xlpm.somatermospg,((_xlpm.razão^_xlpm.númerotermospg)-1)/(_xlpm.razão-1),_xlpm.númerotermosconstantes,IF(G190&lt;=B$3,0,G190-B$3),_xlpm.somatermosconstantes,(1-I190)*_xlpm.númerotermosconstantes,_xlpm.somatodostermos,_xlpm.somatermospg+_xlpm.somatermosconstantes,_xlpm.médiatodosostermos,_xlpm.somatodostermos/G190,1 - _xlpm.médiatodosostermos) * H190</f>
        <v>0</v>
      </c>
      <c r="K190" s="110">
        <f ca="1"/>
        <v>0</v>
      </c>
    </row>
    <row r="191" spans="2:11">
      <c r="B191" s="345">
        <v>2</v>
      </c>
      <c r="C191" s="267" t="str">
        <f>'Painel Controle'!C$115</f>
        <v>Veículos Comerciais com 5 Eixos Articulado</v>
      </c>
      <c r="D191" s="481" t="str">
        <f>INDEX('Painel Controle'!D$110:D$121,MATCH(C191,'Painel Controle'!C$110:C$121,0))</f>
        <v>Pesados II</v>
      </c>
      <c r="E191" s="177" t="s">
        <v>598</v>
      </c>
      <c r="F191" s="110" cm="1">
        <f t="array" ref="F191">_xlfn._xlws.FILTER(E$34:E$81,(B$34:B$81 = B191) * (LEFT(C$34:C$81,5) = LEFT(D191,5)) * (D$34:D$81 = E191))</f>
        <v>0.113</v>
      </c>
      <c r="G191" s="565" cm="1">
        <f t="array" ref="G191">_xlfn._xlws.FILTER(F$34:F$81,(B$34:B$81 = B191) * (LEFT(C$34:C$81,5) = LEFT(D191,5)) * (D$34:D$81 = E191))</f>
        <v>1</v>
      </c>
      <c r="H191" s="250" t="b">
        <f t="shared" si="1"/>
        <v>0</v>
      </c>
      <c r="I191" s="219" cm="1">
        <f t="array" aca="1" ref="I191" ca="1">IF(G191&lt;=B$3,(1-((1-INDEX(I$12:I$15,B191))^(G191-1))),(1-((1-INDEX(I$12:I$15,B191))^(B$3-1)))) * H191</f>
        <v>0</v>
      </c>
      <c r="J191" s="219" cm="1">
        <f t="array" aca="1" ref="J191" ca="1">_xlfn.LET(_xlpm.númerotermospg,MIN(B$3,G191),_xlpm.razão,1-INDEX(_xlfn.ANCHORARRAY(I$12),B191),_xlpm.somatermospg,((_xlpm.razão^_xlpm.númerotermospg)-1)/(_xlpm.razão-1),_xlpm.númerotermosconstantes,IF(G191&lt;=B$3,0,G191-B$3),_xlpm.somatermosconstantes,(1-I191)*_xlpm.númerotermosconstantes,_xlpm.somatodostermos,_xlpm.somatermospg+_xlpm.somatermosconstantes,_xlpm.médiatodosostermos,_xlpm.somatodostermos/G191,1 - _xlpm.médiatodosostermos) * H191</f>
        <v>0</v>
      </c>
      <c r="K191" s="110">
        <f ca="1"/>
        <v>0</v>
      </c>
    </row>
    <row r="192" spans="2:11">
      <c r="B192" s="345">
        <v>2</v>
      </c>
      <c r="C192" s="267" t="str">
        <f>'Painel Controle'!C$115</f>
        <v>Veículos Comerciais com 5 Eixos Articulado</v>
      </c>
      <c r="D192" s="481" t="str">
        <f>INDEX('Painel Controle'!D$110:D$121,MATCH(C192,'Painel Controle'!C$110:C$121,0))</f>
        <v>Pesados II</v>
      </c>
      <c r="E192" s="177" t="s">
        <v>599</v>
      </c>
      <c r="F192" s="110" cm="1">
        <f t="array" ref="F192">_xlfn._xlws.FILTER(E$34:E$81,(B$34:B$81 = B192) * (LEFT(C$34:C$81,5) = LEFT(D192,5)) * (D$34:D$81 = E192))</f>
        <v>3.5000000000000003E-2</v>
      </c>
      <c r="G192" s="565" cm="1">
        <f t="array" ref="G192">_xlfn._xlws.FILTER(F$34:F$81,(B$34:B$81 = B192) * (LEFT(C$34:C$81,5) = LEFT(D192,5)) * (D$34:D$81 = E192))</f>
        <v>1</v>
      </c>
      <c r="H192" s="250" t="b">
        <f t="shared" si="1"/>
        <v>0</v>
      </c>
      <c r="I192" s="219" cm="1">
        <f t="array" aca="1" ref="I192" ca="1">IF(G192&lt;=B$3,(1-((1-INDEX(I$12:I$15,B192))^(G192-1))),(1-((1-INDEX(I$12:I$15,B192))^(B$3-1)))) * H192</f>
        <v>0</v>
      </c>
      <c r="J192" s="219" cm="1">
        <f t="array" aca="1" ref="J192" ca="1">_xlfn.LET(_xlpm.númerotermospg,MIN(B$3,G192),_xlpm.razão,1-INDEX(_xlfn.ANCHORARRAY(I$12),B192),_xlpm.somatermospg,((_xlpm.razão^_xlpm.númerotermospg)-1)/(_xlpm.razão-1),_xlpm.númerotermosconstantes,IF(G192&lt;=B$3,0,G192-B$3),_xlpm.somatermosconstantes,(1-I192)*_xlpm.númerotermosconstantes,_xlpm.somatodostermos,_xlpm.somatermospg+_xlpm.somatermosconstantes,_xlpm.médiatodosostermos,_xlpm.somatodostermos/G192,1 - _xlpm.médiatodosostermos) * H192</f>
        <v>0</v>
      </c>
      <c r="K192" s="110">
        <f ca="1"/>
        <v>0</v>
      </c>
    </row>
    <row r="193" spans="2:11">
      <c r="B193" s="345">
        <v>2</v>
      </c>
      <c r="C193" s="267" t="str">
        <f>'Painel Controle'!C$115</f>
        <v>Veículos Comerciais com 5 Eixos Articulado</v>
      </c>
      <c r="D193" s="481" t="str">
        <f>INDEX('Painel Controle'!D$110:D$121,MATCH(C193,'Painel Controle'!C$110:C$121,0))</f>
        <v>Pesados II</v>
      </c>
      <c r="E193" s="177" t="s">
        <v>600</v>
      </c>
      <c r="F193" s="110" cm="1">
        <f t="array" ref="F193">_xlfn._xlws.FILTER(E$34:E$81,(B$34:B$81 = B193) * (LEFT(C$34:C$81,5) = LEFT(D193,5)) * (D$34:D$81 = E193))</f>
        <v>2.3E-2</v>
      </c>
      <c r="G193" s="565" cm="1">
        <f t="array" ref="G193">_xlfn._xlws.FILTER(F$34:F$81,(B$34:B$81 = B193) * (LEFT(C$34:C$81,5) = LEFT(D193,5)) * (D$34:D$81 = E193))</f>
        <v>1</v>
      </c>
      <c r="H193" s="250" t="b">
        <f t="shared" si="1"/>
        <v>0</v>
      </c>
      <c r="I193" s="219" cm="1">
        <f t="array" aca="1" ref="I193" ca="1">IF(G193&lt;=B$3,(1-((1-INDEX(I$12:I$15,B193))^(G193-1))),(1-((1-INDEX(I$12:I$15,B193))^(B$3-1)))) * H193</f>
        <v>0</v>
      </c>
      <c r="J193" s="219" cm="1">
        <f t="array" aca="1" ref="J193" ca="1">_xlfn.LET(_xlpm.númerotermospg,MIN(B$3,G193),_xlpm.razão,1-INDEX(_xlfn.ANCHORARRAY(I$12),B193),_xlpm.somatermospg,((_xlpm.razão^_xlpm.númerotermospg)-1)/(_xlpm.razão-1),_xlpm.númerotermosconstantes,IF(G193&lt;=B$3,0,G193-B$3),_xlpm.somatermosconstantes,(1-I193)*_xlpm.númerotermosconstantes,_xlpm.somatodostermos,_xlpm.somatermospg+_xlpm.somatermosconstantes,_xlpm.médiatodosostermos,_xlpm.somatodostermos/G193,1 - _xlpm.médiatodosostermos) * H193</f>
        <v>0</v>
      </c>
      <c r="K193" s="110">
        <f ca="1"/>
        <v>0</v>
      </c>
    </row>
    <row r="194" spans="2:11">
      <c r="B194" s="345">
        <v>2</v>
      </c>
      <c r="C194" s="267" t="str">
        <f>'Painel Controle'!C$116</f>
        <v>Veículos Comerciais com 6 Eixos Articulado</v>
      </c>
      <c r="D194" s="481" t="str">
        <f>INDEX('Painel Controle'!D$110:D$121,MATCH(C194,'Painel Controle'!C$110:C$121,0))</f>
        <v>Pesados II</v>
      </c>
      <c r="E194" s="177" t="s">
        <v>595</v>
      </c>
      <c r="F194" s="110" cm="1">
        <f t="array" ref="F194">_xlfn._xlws.FILTER(E$34:E$81,(B$34:B$81 = B194) * (LEFT(C$34:C$81,5) = LEFT(D194,5)) * (D$34:D$81 = E194))</f>
        <v>0.18190000000000001</v>
      </c>
      <c r="G194" s="565" cm="1">
        <f t="array" ref="G194">_xlfn._xlws.FILTER(F$34:F$81,(B$34:B$81 = B194) * (LEFT(C$34:C$81,5) = LEFT(D194,5)) * (D$34:D$81 = E194))</f>
        <v>20</v>
      </c>
      <c r="H194" s="250" t="b">
        <f t="shared" si="1"/>
        <v>0</v>
      </c>
      <c r="I194" s="219" cm="1">
        <f t="array" aca="1" ref="I194" ca="1">IF(G194&lt;=B$3,(1-((1-INDEX(I$12:I$15,B194))^(G194-1))),(1-((1-INDEX(I$12:I$15,B194))^(B$3-1)))) * H194</f>
        <v>0</v>
      </c>
      <c r="J194" s="219" cm="1">
        <f t="array" aca="1" ref="J194" ca="1">_xlfn.LET(_xlpm.númerotermospg,MIN(B$3,G194),_xlpm.razão,1-INDEX(_xlfn.ANCHORARRAY(I$12),B194),_xlpm.somatermospg,((_xlpm.razão^_xlpm.númerotermospg)-1)/(_xlpm.razão-1),_xlpm.númerotermosconstantes,IF(G194&lt;=B$3,0,G194-B$3),_xlpm.somatermosconstantes,(1-I194)*_xlpm.númerotermosconstantes,_xlpm.somatodostermos,_xlpm.somatermospg+_xlpm.somatermosconstantes,_xlpm.médiatodosostermos,_xlpm.somatodostermos/G194,1 - _xlpm.médiatodosostermos) * H194</f>
        <v>0</v>
      </c>
      <c r="K194" s="110">
        <f ca="1"/>
        <v>0</v>
      </c>
    </row>
    <row r="195" spans="2:11">
      <c r="B195" s="345">
        <v>2</v>
      </c>
      <c r="C195" s="267" t="str">
        <f>'Painel Controle'!C$116</f>
        <v>Veículos Comerciais com 6 Eixos Articulado</v>
      </c>
      <c r="D195" s="481" t="str">
        <f>INDEX('Painel Controle'!D$110:D$121,MATCH(C195,'Painel Controle'!C$110:C$121,0))</f>
        <v>Pesados II</v>
      </c>
      <c r="E195" s="177" t="s">
        <v>596</v>
      </c>
      <c r="F195" s="110" cm="1">
        <f t="array" ref="F195">_xlfn._xlws.FILTER(E$34:E$81,(B$34:B$81 = B195) * (LEFT(C$34:C$81,5) = LEFT(D195,5)) * (D$34:D$81 = E195))</f>
        <v>0.35</v>
      </c>
      <c r="G195" s="565" cm="1">
        <f t="array" ref="G195">_xlfn._xlws.FILTER(F$34:F$81,(B$34:B$81 = B195) * (LEFT(C$34:C$81,5) = LEFT(D195,5)) * (D$34:D$81 = E195))</f>
        <v>4</v>
      </c>
      <c r="H195" s="250" t="b">
        <f t="shared" si="1"/>
        <v>0</v>
      </c>
      <c r="I195" s="219" cm="1">
        <f t="array" aca="1" ref="I195" ca="1">IF(G195&lt;=B$3,(1-((1-INDEX(I$12:I$15,B195))^(G195-1))),(1-((1-INDEX(I$12:I$15,B195))^(B$3-1)))) * H195</f>
        <v>0</v>
      </c>
      <c r="J195" s="219" cm="1">
        <f t="array" aca="1" ref="J195" ca="1">_xlfn.LET(_xlpm.númerotermospg,MIN(B$3,G195),_xlpm.razão,1-INDEX(_xlfn.ANCHORARRAY(I$12),B195),_xlpm.somatermospg,((_xlpm.razão^_xlpm.númerotermospg)-1)/(_xlpm.razão-1),_xlpm.númerotermosconstantes,IF(G195&lt;=B$3,0,G195-B$3),_xlpm.somatermosconstantes,(1-I195)*_xlpm.númerotermosconstantes,_xlpm.somatodostermos,_xlpm.somatermospg+_xlpm.somatermosconstantes,_xlpm.médiatodosostermos,_xlpm.somatodostermos/G195,1 - _xlpm.médiatodosostermos) * H195</f>
        <v>0</v>
      </c>
      <c r="K195" s="110">
        <f ca="1"/>
        <v>0</v>
      </c>
    </row>
    <row r="196" spans="2:11">
      <c r="B196" s="345">
        <v>2</v>
      </c>
      <c r="C196" s="267" t="str">
        <f>'Painel Controle'!C$116</f>
        <v>Veículos Comerciais com 6 Eixos Articulado</v>
      </c>
      <c r="D196" s="481" t="str">
        <f>INDEX('Painel Controle'!D$110:D$121,MATCH(C196,'Painel Controle'!C$110:C$121,0))</f>
        <v>Pesados II</v>
      </c>
      <c r="E196" s="177" t="s">
        <v>597</v>
      </c>
      <c r="F196" s="110" cm="1">
        <f t="array" ref="F196">_xlfn._xlws.FILTER(E$34:E$81,(B$34:B$81 = B196) * (LEFT(C$34:C$81,5) = LEFT(D196,5)) * (D$34:D$81 = E196))</f>
        <v>0.29799999999999999</v>
      </c>
      <c r="G196" s="565" cm="1">
        <f t="array" ref="G196">_xlfn._xlws.FILTER(F$34:F$81,(B$34:B$81 = B196) * (LEFT(C$34:C$81,5) = LEFT(D196,5)) * (D$34:D$81 = E196))</f>
        <v>2</v>
      </c>
      <c r="H196" s="250" t="b">
        <f t="shared" si="1"/>
        <v>0</v>
      </c>
      <c r="I196" s="219" cm="1">
        <f t="array" aca="1" ref="I196" ca="1">IF(G196&lt;=B$3,(1-((1-INDEX(I$12:I$15,B196))^(G196-1))),(1-((1-INDEX(I$12:I$15,B196))^(B$3-1)))) * H196</f>
        <v>0</v>
      </c>
      <c r="J196" s="219" cm="1">
        <f t="array" aca="1" ref="J196" ca="1">_xlfn.LET(_xlpm.númerotermospg,MIN(B$3,G196),_xlpm.razão,1-INDEX(_xlfn.ANCHORARRAY(I$12),B196),_xlpm.somatermospg,((_xlpm.razão^_xlpm.númerotermospg)-1)/(_xlpm.razão-1),_xlpm.númerotermosconstantes,IF(G196&lt;=B$3,0,G196-B$3),_xlpm.somatermosconstantes,(1-I196)*_xlpm.númerotermosconstantes,_xlpm.somatodostermos,_xlpm.somatermospg+_xlpm.somatermosconstantes,_xlpm.médiatodosostermos,_xlpm.somatodostermos/G196,1 - _xlpm.médiatodosostermos) * H196</f>
        <v>0</v>
      </c>
      <c r="K196" s="110">
        <f ca="1"/>
        <v>0</v>
      </c>
    </row>
    <row r="197" spans="2:11">
      <c r="B197" s="345">
        <v>2</v>
      </c>
      <c r="C197" s="267" t="str">
        <f>'Painel Controle'!C$116</f>
        <v>Veículos Comerciais com 6 Eixos Articulado</v>
      </c>
      <c r="D197" s="481" t="str">
        <f>INDEX('Painel Controle'!D$110:D$121,MATCH(C197,'Painel Controle'!C$110:C$121,0))</f>
        <v>Pesados II</v>
      </c>
      <c r="E197" s="177" t="s">
        <v>598</v>
      </c>
      <c r="F197" s="110" cm="1">
        <f t="array" ref="F197">_xlfn._xlws.FILTER(E$34:E$81,(B$34:B$81 = B197) * (LEFT(C$34:C$81,5) = LEFT(D197,5)) * (D$34:D$81 = E197))</f>
        <v>0.113</v>
      </c>
      <c r="G197" s="565" cm="1">
        <f t="array" ref="G197">_xlfn._xlws.FILTER(F$34:F$81,(B$34:B$81 = B197) * (LEFT(C$34:C$81,5) = LEFT(D197,5)) * (D$34:D$81 = E197))</f>
        <v>1</v>
      </c>
      <c r="H197" s="250" t="b">
        <f t="shared" si="1"/>
        <v>0</v>
      </c>
      <c r="I197" s="219" cm="1">
        <f t="array" aca="1" ref="I197" ca="1">IF(G197&lt;=B$3,(1-((1-INDEX(I$12:I$15,B197))^(G197-1))),(1-((1-INDEX(I$12:I$15,B197))^(B$3-1)))) * H197</f>
        <v>0</v>
      </c>
      <c r="J197" s="219" cm="1">
        <f t="array" aca="1" ref="J197" ca="1">_xlfn.LET(_xlpm.númerotermospg,MIN(B$3,G197),_xlpm.razão,1-INDEX(_xlfn.ANCHORARRAY(I$12),B197),_xlpm.somatermospg,((_xlpm.razão^_xlpm.númerotermospg)-1)/(_xlpm.razão-1),_xlpm.númerotermosconstantes,IF(G197&lt;=B$3,0,G197-B$3),_xlpm.somatermosconstantes,(1-I197)*_xlpm.númerotermosconstantes,_xlpm.somatodostermos,_xlpm.somatermospg+_xlpm.somatermosconstantes,_xlpm.médiatodosostermos,_xlpm.somatodostermos/G197,1 - _xlpm.médiatodosostermos) * H197</f>
        <v>0</v>
      </c>
      <c r="K197" s="110">
        <f ca="1"/>
        <v>0</v>
      </c>
    </row>
    <row r="198" spans="2:11">
      <c r="B198" s="345">
        <v>2</v>
      </c>
      <c r="C198" s="267" t="str">
        <f>'Painel Controle'!C$116</f>
        <v>Veículos Comerciais com 6 Eixos Articulado</v>
      </c>
      <c r="D198" s="481" t="str">
        <f>INDEX('Painel Controle'!D$110:D$121,MATCH(C198,'Painel Controle'!C$110:C$121,0))</f>
        <v>Pesados II</v>
      </c>
      <c r="E198" s="177" t="s">
        <v>599</v>
      </c>
      <c r="F198" s="110" cm="1">
        <f t="array" ref="F198">_xlfn._xlws.FILTER(E$34:E$81,(B$34:B$81 = B198) * (LEFT(C$34:C$81,5) = LEFT(D198,5)) * (D$34:D$81 = E198))</f>
        <v>3.5000000000000003E-2</v>
      </c>
      <c r="G198" s="565" cm="1">
        <f t="array" ref="G198">_xlfn._xlws.FILTER(F$34:F$81,(B$34:B$81 = B198) * (LEFT(C$34:C$81,5) = LEFT(D198,5)) * (D$34:D$81 = E198))</f>
        <v>1</v>
      </c>
      <c r="H198" s="250" t="b">
        <f t="shared" si="1"/>
        <v>0</v>
      </c>
      <c r="I198" s="219" cm="1">
        <f t="array" aca="1" ref="I198" ca="1">IF(G198&lt;=B$3,(1-((1-INDEX(I$12:I$15,B198))^(G198-1))),(1-((1-INDEX(I$12:I$15,B198))^(B$3-1)))) * H198</f>
        <v>0</v>
      </c>
      <c r="J198" s="219" cm="1">
        <f t="array" aca="1" ref="J198" ca="1">_xlfn.LET(_xlpm.númerotermospg,MIN(B$3,G198),_xlpm.razão,1-INDEX(_xlfn.ANCHORARRAY(I$12),B198),_xlpm.somatermospg,((_xlpm.razão^_xlpm.númerotermospg)-1)/(_xlpm.razão-1),_xlpm.númerotermosconstantes,IF(G198&lt;=B$3,0,G198-B$3),_xlpm.somatermosconstantes,(1-I198)*_xlpm.númerotermosconstantes,_xlpm.somatodostermos,_xlpm.somatermospg+_xlpm.somatermosconstantes,_xlpm.médiatodosostermos,_xlpm.somatodostermos/G198,1 - _xlpm.médiatodosostermos) * H198</f>
        <v>0</v>
      </c>
      <c r="K198" s="110">
        <f ca="1"/>
        <v>0</v>
      </c>
    </row>
    <row r="199" spans="2:11">
      <c r="B199" s="345">
        <v>2</v>
      </c>
      <c r="C199" s="267" t="str">
        <f>'Painel Controle'!C$116</f>
        <v>Veículos Comerciais com 6 Eixos Articulado</v>
      </c>
      <c r="D199" s="481" t="str">
        <f>INDEX('Painel Controle'!D$110:D$121,MATCH(C199,'Painel Controle'!C$110:C$121,0))</f>
        <v>Pesados II</v>
      </c>
      <c r="E199" s="177" t="s">
        <v>600</v>
      </c>
      <c r="F199" s="110" cm="1">
        <f t="array" ref="F199">_xlfn._xlws.FILTER(E$34:E$81,(B$34:B$81 = B199) * (LEFT(C$34:C$81,5) = LEFT(D199,5)) * (D$34:D$81 = E199))</f>
        <v>2.3E-2</v>
      </c>
      <c r="G199" s="565" cm="1">
        <f t="array" ref="G199">_xlfn._xlws.FILTER(F$34:F$81,(B$34:B$81 = B199) * (LEFT(C$34:C$81,5) = LEFT(D199,5)) * (D$34:D$81 = E199))</f>
        <v>1</v>
      </c>
      <c r="H199" s="250" t="b">
        <f t="shared" si="1"/>
        <v>0</v>
      </c>
      <c r="I199" s="219" cm="1">
        <f t="array" aca="1" ref="I199" ca="1">IF(G199&lt;=B$3,(1-((1-INDEX(I$12:I$15,B199))^(G199-1))),(1-((1-INDEX(I$12:I$15,B199))^(B$3-1)))) * H199</f>
        <v>0</v>
      </c>
      <c r="J199" s="219" cm="1">
        <f t="array" aca="1" ref="J199" ca="1">_xlfn.LET(_xlpm.númerotermospg,MIN(B$3,G199),_xlpm.razão,1-INDEX(_xlfn.ANCHORARRAY(I$12),B199),_xlpm.somatermospg,((_xlpm.razão^_xlpm.númerotermospg)-1)/(_xlpm.razão-1),_xlpm.númerotermosconstantes,IF(G199&lt;=B$3,0,G199-B$3),_xlpm.somatermosconstantes,(1-I199)*_xlpm.númerotermosconstantes,_xlpm.somatodostermos,_xlpm.somatermospg+_xlpm.somatermosconstantes,_xlpm.médiatodosostermos,_xlpm.somatodostermos/G199,1 - _xlpm.médiatodosostermos) * H199</f>
        <v>0</v>
      </c>
      <c r="K199" s="110">
        <f ca="1"/>
        <v>0</v>
      </c>
    </row>
    <row r="200" spans="2:11">
      <c r="B200" s="345">
        <v>2</v>
      </c>
      <c r="C200" s="267" t="str">
        <f>'Painel Controle'!C$117</f>
        <v>Veículos Comerciais com 7 Eixos Articulado</v>
      </c>
      <c r="D200" s="481" t="str">
        <f>INDEX('Painel Controle'!D$110:D$121,MATCH(C200,'Painel Controle'!C$110:C$121,0))</f>
        <v>Pesados II</v>
      </c>
      <c r="E200" s="177" t="s">
        <v>595</v>
      </c>
      <c r="F200" s="110" cm="1">
        <f t="array" ref="F200">_xlfn._xlws.FILTER(E$34:E$81,(B$34:B$81 = B200) * (LEFT(C$34:C$81,5) = LEFT(D200,5)) * (D$34:D$81 = E200))</f>
        <v>0.18190000000000001</v>
      </c>
      <c r="G200" s="565" cm="1">
        <f t="array" ref="G200">_xlfn._xlws.FILTER(F$34:F$81,(B$34:B$81 = B200) * (LEFT(C$34:C$81,5) = LEFT(D200,5)) * (D$34:D$81 = E200))</f>
        <v>20</v>
      </c>
      <c r="H200" s="250" t="b">
        <f t="shared" si="1"/>
        <v>0</v>
      </c>
      <c r="I200" s="219" cm="1">
        <f t="array" aca="1" ref="I200" ca="1">IF(G200&lt;=B$3,(1-((1-INDEX(I$12:I$15,B200))^(G200-1))),(1-((1-INDEX(I$12:I$15,B200))^(B$3-1)))) * H200</f>
        <v>0</v>
      </c>
      <c r="J200" s="219" cm="1">
        <f t="array" aca="1" ref="J200" ca="1">_xlfn.LET(_xlpm.númerotermospg,MIN(B$3,G200),_xlpm.razão,1-INDEX(_xlfn.ANCHORARRAY(I$12),B200),_xlpm.somatermospg,((_xlpm.razão^_xlpm.númerotermospg)-1)/(_xlpm.razão-1),_xlpm.númerotermosconstantes,IF(G200&lt;=B$3,0,G200-B$3),_xlpm.somatermosconstantes,(1-I200)*_xlpm.númerotermosconstantes,_xlpm.somatodostermos,_xlpm.somatermospg+_xlpm.somatermosconstantes,_xlpm.médiatodosostermos,_xlpm.somatodostermos/G200,1 - _xlpm.médiatodosostermos) * H200</f>
        <v>0</v>
      </c>
      <c r="K200" s="110">
        <f ca="1"/>
        <v>0</v>
      </c>
    </row>
    <row r="201" spans="2:11">
      <c r="B201" s="345">
        <v>2</v>
      </c>
      <c r="C201" s="267" t="str">
        <f>'Painel Controle'!C$117</f>
        <v>Veículos Comerciais com 7 Eixos Articulado</v>
      </c>
      <c r="D201" s="481" t="str">
        <f>INDEX('Painel Controle'!D$110:D$121,MATCH(C201,'Painel Controle'!C$110:C$121,0))</f>
        <v>Pesados II</v>
      </c>
      <c r="E201" s="177" t="s">
        <v>596</v>
      </c>
      <c r="F201" s="110" cm="1">
        <f t="array" ref="F201">_xlfn._xlws.FILTER(E$34:E$81,(B$34:B$81 = B201) * (LEFT(C$34:C$81,5) = LEFT(D201,5)) * (D$34:D$81 = E201))</f>
        <v>0.35</v>
      </c>
      <c r="G201" s="565" cm="1">
        <f t="array" ref="G201">_xlfn._xlws.FILTER(F$34:F$81,(B$34:B$81 = B201) * (LEFT(C$34:C$81,5) = LEFT(D201,5)) * (D$34:D$81 = E201))</f>
        <v>4</v>
      </c>
      <c r="H201" s="250" t="b">
        <f t="shared" si="1"/>
        <v>0</v>
      </c>
      <c r="I201" s="219" cm="1">
        <f t="array" aca="1" ref="I201" ca="1">IF(G201&lt;=B$3,(1-((1-INDEX(I$12:I$15,B201))^(G201-1))),(1-((1-INDEX(I$12:I$15,B201))^(B$3-1)))) * H201</f>
        <v>0</v>
      </c>
      <c r="J201" s="219" cm="1">
        <f t="array" aca="1" ref="J201" ca="1">_xlfn.LET(_xlpm.númerotermospg,MIN(B$3,G201),_xlpm.razão,1-INDEX(_xlfn.ANCHORARRAY(I$12),B201),_xlpm.somatermospg,((_xlpm.razão^_xlpm.númerotermospg)-1)/(_xlpm.razão-1),_xlpm.númerotermosconstantes,IF(G201&lt;=B$3,0,G201-B$3),_xlpm.somatermosconstantes,(1-I201)*_xlpm.númerotermosconstantes,_xlpm.somatodostermos,_xlpm.somatermospg+_xlpm.somatermosconstantes,_xlpm.médiatodosostermos,_xlpm.somatodostermos/G201,1 - _xlpm.médiatodosostermos) * H201</f>
        <v>0</v>
      </c>
      <c r="K201" s="110">
        <f ca="1"/>
        <v>0</v>
      </c>
    </row>
    <row r="202" spans="2:11">
      <c r="B202" s="345">
        <v>2</v>
      </c>
      <c r="C202" s="267" t="str">
        <f>'Painel Controle'!C$117</f>
        <v>Veículos Comerciais com 7 Eixos Articulado</v>
      </c>
      <c r="D202" s="481" t="str">
        <f>INDEX('Painel Controle'!D$110:D$121,MATCH(C202,'Painel Controle'!C$110:C$121,0))</f>
        <v>Pesados II</v>
      </c>
      <c r="E202" s="177" t="s">
        <v>597</v>
      </c>
      <c r="F202" s="110" cm="1">
        <f t="array" ref="F202">_xlfn._xlws.FILTER(E$34:E$81,(B$34:B$81 = B202) * (LEFT(C$34:C$81,5) = LEFT(D202,5)) * (D$34:D$81 = E202))</f>
        <v>0.29799999999999999</v>
      </c>
      <c r="G202" s="565" cm="1">
        <f t="array" ref="G202">_xlfn._xlws.FILTER(F$34:F$81,(B$34:B$81 = B202) * (LEFT(C$34:C$81,5) = LEFT(D202,5)) * (D$34:D$81 = E202))</f>
        <v>2</v>
      </c>
      <c r="H202" s="250" t="b">
        <f t="shared" si="1"/>
        <v>0</v>
      </c>
      <c r="I202" s="219" cm="1">
        <f t="array" aca="1" ref="I202" ca="1">IF(G202&lt;=B$3,(1-((1-INDEX(I$12:I$15,B202))^(G202-1))),(1-((1-INDEX(I$12:I$15,B202))^(B$3-1)))) * H202</f>
        <v>0</v>
      </c>
      <c r="J202" s="219" cm="1">
        <f t="array" aca="1" ref="J202" ca="1">_xlfn.LET(_xlpm.númerotermospg,MIN(B$3,G202),_xlpm.razão,1-INDEX(_xlfn.ANCHORARRAY(I$12),B202),_xlpm.somatermospg,((_xlpm.razão^_xlpm.númerotermospg)-1)/(_xlpm.razão-1),_xlpm.númerotermosconstantes,IF(G202&lt;=B$3,0,G202-B$3),_xlpm.somatermosconstantes,(1-I202)*_xlpm.númerotermosconstantes,_xlpm.somatodostermos,_xlpm.somatermospg+_xlpm.somatermosconstantes,_xlpm.médiatodosostermos,_xlpm.somatodostermos/G202,1 - _xlpm.médiatodosostermos) * H202</f>
        <v>0</v>
      </c>
      <c r="K202" s="110">
        <f ca="1"/>
        <v>0</v>
      </c>
    </row>
    <row r="203" spans="2:11">
      <c r="B203" s="345">
        <v>2</v>
      </c>
      <c r="C203" s="267" t="str">
        <f>'Painel Controle'!C$117</f>
        <v>Veículos Comerciais com 7 Eixos Articulado</v>
      </c>
      <c r="D203" s="481" t="str">
        <f>INDEX('Painel Controle'!D$110:D$121,MATCH(C203,'Painel Controle'!C$110:C$121,0))</f>
        <v>Pesados II</v>
      </c>
      <c r="E203" s="177" t="s">
        <v>598</v>
      </c>
      <c r="F203" s="110" cm="1">
        <f t="array" ref="F203">_xlfn._xlws.FILTER(E$34:E$81,(B$34:B$81 = B203) * (LEFT(C$34:C$81,5) = LEFT(D203,5)) * (D$34:D$81 = E203))</f>
        <v>0.113</v>
      </c>
      <c r="G203" s="565" cm="1">
        <f t="array" ref="G203">_xlfn._xlws.FILTER(F$34:F$81,(B$34:B$81 = B203) * (LEFT(C$34:C$81,5) = LEFT(D203,5)) * (D$34:D$81 = E203))</f>
        <v>1</v>
      </c>
      <c r="H203" s="250" t="b">
        <f t="shared" si="1"/>
        <v>0</v>
      </c>
      <c r="I203" s="219" cm="1">
        <f t="array" aca="1" ref="I203" ca="1">IF(G203&lt;=B$3,(1-((1-INDEX(I$12:I$15,B203))^(G203-1))),(1-((1-INDEX(I$12:I$15,B203))^(B$3-1)))) * H203</f>
        <v>0</v>
      </c>
      <c r="J203" s="219" cm="1">
        <f t="array" aca="1" ref="J203" ca="1">_xlfn.LET(_xlpm.númerotermospg,MIN(B$3,G203),_xlpm.razão,1-INDEX(_xlfn.ANCHORARRAY(I$12),B203),_xlpm.somatermospg,((_xlpm.razão^_xlpm.númerotermospg)-1)/(_xlpm.razão-1),_xlpm.númerotermosconstantes,IF(G203&lt;=B$3,0,G203-B$3),_xlpm.somatermosconstantes,(1-I203)*_xlpm.númerotermosconstantes,_xlpm.somatodostermos,_xlpm.somatermospg+_xlpm.somatermosconstantes,_xlpm.médiatodosostermos,_xlpm.somatodostermos/G203,1 - _xlpm.médiatodosostermos) * H203</f>
        <v>0</v>
      </c>
      <c r="K203" s="110">
        <f ca="1"/>
        <v>0</v>
      </c>
    </row>
    <row r="204" spans="2:11">
      <c r="B204" s="345">
        <v>2</v>
      </c>
      <c r="C204" s="267" t="str">
        <f>'Painel Controle'!C$117</f>
        <v>Veículos Comerciais com 7 Eixos Articulado</v>
      </c>
      <c r="D204" s="481" t="str">
        <f>INDEX('Painel Controle'!D$110:D$121,MATCH(C204,'Painel Controle'!C$110:C$121,0))</f>
        <v>Pesados II</v>
      </c>
      <c r="E204" s="177" t="s">
        <v>599</v>
      </c>
      <c r="F204" s="110" cm="1">
        <f t="array" ref="F204">_xlfn._xlws.FILTER(E$34:E$81,(B$34:B$81 = B204) * (LEFT(C$34:C$81,5) = LEFT(D204,5)) * (D$34:D$81 = E204))</f>
        <v>3.5000000000000003E-2</v>
      </c>
      <c r="G204" s="565" cm="1">
        <f t="array" ref="G204">_xlfn._xlws.FILTER(F$34:F$81,(B$34:B$81 = B204) * (LEFT(C$34:C$81,5) = LEFT(D204,5)) * (D$34:D$81 = E204))</f>
        <v>1</v>
      </c>
      <c r="H204" s="250" t="b">
        <f t="shared" si="1"/>
        <v>0</v>
      </c>
      <c r="I204" s="219" cm="1">
        <f t="array" aca="1" ref="I204" ca="1">IF(G204&lt;=B$3,(1-((1-INDEX(I$12:I$15,B204))^(G204-1))),(1-((1-INDEX(I$12:I$15,B204))^(B$3-1)))) * H204</f>
        <v>0</v>
      </c>
      <c r="J204" s="219" cm="1">
        <f t="array" aca="1" ref="J204" ca="1">_xlfn.LET(_xlpm.númerotermospg,MIN(B$3,G204),_xlpm.razão,1-INDEX(_xlfn.ANCHORARRAY(I$12),B204),_xlpm.somatermospg,((_xlpm.razão^_xlpm.númerotermospg)-1)/(_xlpm.razão-1),_xlpm.númerotermosconstantes,IF(G204&lt;=B$3,0,G204-B$3),_xlpm.somatermosconstantes,(1-I204)*_xlpm.númerotermosconstantes,_xlpm.somatodostermos,_xlpm.somatermospg+_xlpm.somatermosconstantes,_xlpm.médiatodosostermos,_xlpm.somatodostermos/G204,1 - _xlpm.médiatodosostermos) * H204</f>
        <v>0</v>
      </c>
      <c r="K204" s="110">
        <f ca="1"/>
        <v>0</v>
      </c>
    </row>
    <row r="205" spans="2:11">
      <c r="B205" s="345">
        <v>2</v>
      </c>
      <c r="C205" s="267" t="str">
        <f>'Painel Controle'!C$117</f>
        <v>Veículos Comerciais com 7 Eixos Articulado</v>
      </c>
      <c r="D205" s="481" t="str">
        <f>INDEX('Painel Controle'!D$110:D$121,MATCH(C205,'Painel Controle'!C$110:C$121,0))</f>
        <v>Pesados II</v>
      </c>
      <c r="E205" s="177" t="s">
        <v>600</v>
      </c>
      <c r="F205" s="110" cm="1">
        <f t="array" ref="F205">_xlfn._xlws.FILTER(E$34:E$81,(B$34:B$81 = B205) * (LEFT(C$34:C$81,5) = LEFT(D205,5)) * (D$34:D$81 = E205))</f>
        <v>2.3E-2</v>
      </c>
      <c r="G205" s="565" cm="1">
        <f t="array" ref="G205">_xlfn._xlws.FILTER(F$34:F$81,(B$34:B$81 = B205) * (LEFT(C$34:C$81,5) = LEFT(D205,5)) * (D$34:D$81 = E205))</f>
        <v>1</v>
      </c>
      <c r="H205" s="250" t="b">
        <f t="shared" si="1"/>
        <v>0</v>
      </c>
      <c r="I205" s="219" cm="1">
        <f t="array" aca="1" ref="I205" ca="1">IF(G205&lt;=B$3,(1-((1-INDEX(I$12:I$15,B205))^(G205-1))),(1-((1-INDEX(I$12:I$15,B205))^(B$3-1)))) * H205</f>
        <v>0</v>
      </c>
      <c r="J205" s="219" cm="1">
        <f t="array" aca="1" ref="J205" ca="1">_xlfn.LET(_xlpm.númerotermospg,MIN(B$3,G205),_xlpm.razão,1-INDEX(_xlfn.ANCHORARRAY(I$12),B205),_xlpm.somatermospg,((_xlpm.razão^_xlpm.númerotermospg)-1)/(_xlpm.razão-1),_xlpm.númerotermosconstantes,IF(G205&lt;=B$3,0,G205-B$3),_xlpm.somatermosconstantes,(1-I205)*_xlpm.númerotermosconstantes,_xlpm.somatodostermos,_xlpm.somatermospg+_xlpm.somatermosconstantes,_xlpm.médiatodosostermos,_xlpm.somatodostermos/G205,1 - _xlpm.médiatodosostermos) * H205</f>
        <v>0</v>
      </c>
      <c r="K205" s="110">
        <f ca="1"/>
        <v>0</v>
      </c>
    </row>
    <row r="206" spans="2:11">
      <c r="B206" s="345">
        <v>2</v>
      </c>
      <c r="C206" s="267" t="str">
        <f>'Painel Controle'!C$118</f>
        <v>Veículos Comerciais com 8 Eixos Articulado</v>
      </c>
      <c r="D206" s="481" t="str">
        <f>INDEX('Painel Controle'!D$110:D$121,MATCH(C206,'Painel Controle'!C$110:C$121,0))</f>
        <v>Pesados II</v>
      </c>
      <c r="E206" s="177" t="s">
        <v>595</v>
      </c>
      <c r="F206" s="110" cm="1">
        <f t="array" ref="F206">_xlfn._xlws.FILTER(E$34:E$81,(B$34:B$81 = B206) * (LEFT(C$34:C$81,5) = LEFT(D206,5)) * (D$34:D$81 = E206))</f>
        <v>0.18190000000000001</v>
      </c>
      <c r="G206" s="565" cm="1">
        <f t="array" ref="G206">_xlfn._xlws.FILTER(F$34:F$81,(B$34:B$81 = B206) * (LEFT(C$34:C$81,5) = LEFT(D206,5)) * (D$34:D$81 = E206))</f>
        <v>20</v>
      </c>
      <c r="H206" s="250" t="b">
        <f t="shared" si="1"/>
        <v>0</v>
      </c>
      <c r="I206" s="219" cm="1">
        <f t="array" aca="1" ref="I206" ca="1">IF(G206&lt;=B$3,(1-((1-INDEX(I$12:I$15,B206))^(G206-1))),(1-((1-INDEX(I$12:I$15,B206))^(B$3-1)))) * H206</f>
        <v>0</v>
      </c>
      <c r="J206" s="219" cm="1">
        <f t="array" aca="1" ref="J206" ca="1">_xlfn.LET(_xlpm.númerotermospg,MIN(B$3,G206),_xlpm.razão,1-INDEX(_xlfn.ANCHORARRAY(I$12),B206),_xlpm.somatermospg,((_xlpm.razão^_xlpm.númerotermospg)-1)/(_xlpm.razão-1),_xlpm.númerotermosconstantes,IF(G206&lt;=B$3,0,G206-B$3),_xlpm.somatermosconstantes,(1-I206)*_xlpm.númerotermosconstantes,_xlpm.somatodostermos,_xlpm.somatermospg+_xlpm.somatermosconstantes,_xlpm.médiatodosostermos,_xlpm.somatodostermos/G206,1 - _xlpm.médiatodosostermos) * H206</f>
        <v>0</v>
      </c>
      <c r="K206" s="110">
        <f ca="1"/>
        <v>0</v>
      </c>
    </row>
    <row r="207" spans="2:11">
      <c r="B207" s="345">
        <v>2</v>
      </c>
      <c r="C207" s="267" t="str">
        <f>'Painel Controle'!C$118</f>
        <v>Veículos Comerciais com 8 Eixos Articulado</v>
      </c>
      <c r="D207" s="481" t="str">
        <f>INDEX('Painel Controle'!D$110:D$121,MATCH(C207,'Painel Controle'!C$110:C$121,0))</f>
        <v>Pesados II</v>
      </c>
      <c r="E207" s="177" t="s">
        <v>596</v>
      </c>
      <c r="F207" s="110" cm="1">
        <f t="array" ref="F207">_xlfn._xlws.FILTER(E$34:E$81,(B$34:B$81 = B207) * (LEFT(C$34:C$81,5) = LEFT(D207,5)) * (D$34:D$81 = E207))</f>
        <v>0.35</v>
      </c>
      <c r="G207" s="565" cm="1">
        <f t="array" ref="G207">_xlfn._xlws.FILTER(F$34:F$81,(B$34:B$81 = B207) * (LEFT(C$34:C$81,5) = LEFT(D207,5)) * (D$34:D$81 = E207))</f>
        <v>4</v>
      </c>
      <c r="H207" s="250" t="b">
        <f t="shared" si="1"/>
        <v>0</v>
      </c>
      <c r="I207" s="219" cm="1">
        <f t="array" aca="1" ref="I207" ca="1">IF(G207&lt;=B$3,(1-((1-INDEX(I$12:I$15,B207))^(G207-1))),(1-((1-INDEX(I$12:I$15,B207))^(B$3-1)))) * H207</f>
        <v>0</v>
      </c>
      <c r="J207" s="219" cm="1">
        <f t="array" aca="1" ref="J207" ca="1">_xlfn.LET(_xlpm.númerotermospg,MIN(B$3,G207),_xlpm.razão,1-INDEX(_xlfn.ANCHORARRAY(I$12),B207),_xlpm.somatermospg,((_xlpm.razão^_xlpm.númerotermospg)-1)/(_xlpm.razão-1),_xlpm.númerotermosconstantes,IF(G207&lt;=B$3,0,G207-B$3),_xlpm.somatermosconstantes,(1-I207)*_xlpm.númerotermosconstantes,_xlpm.somatodostermos,_xlpm.somatermospg+_xlpm.somatermosconstantes,_xlpm.médiatodosostermos,_xlpm.somatodostermos/G207,1 - _xlpm.médiatodosostermos) * H207</f>
        <v>0</v>
      </c>
      <c r="K207" s="110">
        <f ca="1"/>
        <v>0</v>
      </c>
    </row>
    <row r="208" spans="2:11">
      <c r="B208" s="345">
        <v>2</v>
      </c>
      <c r="C208" s="267" t="str">
        <f>'Painel Controle'!C$118</f>
        <v>Veículos Comerciais com 8 Eixos Articulado</v>
      </c>
      <c r="D208" s="481" t="str">
        <f>INDEX('Painel Controle'!D$110:D$121,MATCH(C208,'Painel Controle'!C$110:C$121,0))</f>
        <v>Pesados II</v>
      </c>
      <c r="E208" s="177" t="s">
        <v>597</v>
      </c>
      <c r="F208" s="110" cm="1">
        <f t="array" ref="F208">_xlfn._xlws.FILTER(E$34:E$81,(B$34:B$81 = B208) * (LEFT(C$34:C$81,5) = LEFT(D208,5)) * (D$34:D$81 = E208))</f>
        <v>0.29799999999999999</v>
      </c>
      <c r="G208" s="565" cm="1">
        <f t="array" ref="G208">_xlfn._xlws.FILTER(F$34:F$81,(B$34:B$81 = B208) * (LEFT(C$34:C$81,5) = LEFT(D208,5)) * (D$34:D$81 = E208))</f>
        <v>2</v>
      </c>
      <c r="H208" s="250" t="b">
        <f t="shared" si="1"/>
        <v>0</v>
      </c>
      <c r="I208" s="219" cm="1">
        <f t="array" aca="1" ref="I208" ca="1">IF(G208&lt;=B$3,(1-((1-INDEX(I$12:I$15,B208))^(G208-1))),(1-((1-INDEX(I$12:I$15,B208))^(B$3-1)))) * H208</f>
        <v>0</v>
      </c>
      <c r="J208" s="219" cm="1">
        <f t="array" aca="1" ref="J208" ca="1">_xlfn.LET(_xlpm.númerotermospg,MIN(B$3,G208),_xlpm.razão,1-INDEX(_xlfn.ANCHORARRAY(I$12),B208),_xlpm.somatermospg,((_xlpm.razão^_xlpm.númerotermospg)-1)/(_xlpm.razão-1),_xlpm.númerotermosconstantes,IF(G208&lt;=B$3,0,G208-B$3),_xlpm.somatermosconstantes,(1-I208)*_xlpm.númerotermosconstantes,_xlpm.somatodostermos,_xlpm.somatermospg+_xlpm.somatermosconstantes,_xlpm.médiatodosostermos,_xlpm.somatodostermos/G208,1 - _xlpm.médiatodosostermos) * H208</f>
        <v>0</v>
      </c>
      <c r="K208" s="110">
        <f ca="1"/>
        <v>0</v>
      </c>
    </row>
    <row r="209" spans="2:11">
      <c r="B209" s="345">
        <v>2</v>
      </c>
      <c r="C209" s="267" t="str">
        <f>'Painel Controle'!C$118</f>
        <v>Veículos Comerciais com 8 Eixos Articulado</v>
      </c>
      <c r="D209" s="481" t="str">
        <f>INDEX('Painel Controle'!D$110:D$121,MATCH(C209,'Painel Controle'!C$110:C$121,0))</f>
        <v>Pesados II</v>
      </c>
      <c r="E209" s="177" t="s">
        <v>598</v>
      </c>
      <c r="F209" s="110" cm="1">
        <f t="array" ref="F209">_xlfn._xlws.FILTER(E$34:E$81,(B$34:B$81 = B209) * (LEFT(C$34:C$81,5) = LEFT(D209,5)) * (D$34:D$81 = E209))</f>
        <v>0.113</v>
      </c>
      <c r="G209" s="565" cm="1">
        <f t="array" ref="G209">_xlfn._xlws.FILTER(F$34:F$81,(B$34:B$81 = B209) * (LEFT(C$34:C$81,5) = LEFT(D209,5)) * (D$34:D$81 = E209))</f>
        <v>1</v>
      </c>
      <c r="H209" s="250" t="b">
        <f t="shared" si="1"/>
        <v>0</v>
      </c>
      <c r="I209" s="219" cm="1">
        <f t="array" aca="1" ref="I209" ca="1">IF(G209&lt;=B$3,(1-((1-INDEX(I$12:I$15,B209))^(G209-1))),(1-((1-INDEX(I$12:I$15,B209))^(B$3-1)))) * H209</f>
        <v>0</v>
      </c>
      <c r="J209" s="219" cm="1">
        <f t="array" aca="1" ref="J209" ca="1">_xlfn.LET(_xlpm.númerotermospg,MIN(B$3,G209),_xlpm.razão,1-INDEX(_xlfn.ANCHORARRAY(I$12),B209),_xlpm.somatermospg,((_xlpm.razão^_xlpm.númerotermospg)-1)/(_xlpm.razão-1),_xlpm.númerotermosconstantes,IF(G209&lt;=B$3,0,G209-B$3),_xlpm.somatermosconstantes,(1-I209)*_xlpm.númerotermosconstantes,_xlpm.somatodostermos,_xlpm.somatermospg+_xlpm.somatermosconstantes,_xlpm.médiatodosostermos,_xlpm.somatodostermos/G209,1 - _xlpm.médiatodosostermos) * H209</f>
        <v>0</v>
      </c>
      <c r="K209" s="110">
        <f ca="1"/>
        <v>0</v>
      </c>
    </row>
    <row r="210" spans="2:11">
      <c r="B210" s="345">
        <v>2</v>
      </c>
      <c r="C210" s="267" t="str">
        <f>'Painel Controle'!C$118</f>
        <v>Veículos Comerciais com 8 Eixos Articulado</v>
      </c>
      <c r="D210" s="481" t="str">
        <f>INDEX('Painel Controle'!D$110:D$121,MATCH(C210,'Painel Controle'!C$110:C$121,0))</f>
        <v>Pesados II</v>
      </c>
      <c r="E210" s="177" t="s">
        <v>599</v>
      </c>
      <c r="F210" s="110" cm="1">
        <f t="array" ref="F210">_xlfn._xlws.FILTER(E$34:E$81,(B$34:B$81 = B210) * (LEFT(C$34:C$81,5) = LEFT(D210,5)) * (D$34:D$81 = E210))</f>
        <v>3.5000000000000003E-2</v>
      </c>
      <c r="G210" s="565" cm="1">
        <f t="array" ref="G210">_xlfn._xlws.FILTER(F$34:F$81,(B$34:B$81 = B210) * (LEFT(C$34:C$81,5) = LEFT(D210,5)) * (D$34:D$81 = E210))</f>
        <v>1</v>
      </c>
      <c r="H210" s="250" t="b">
        <f t="shared" si="1"/>
        <v>0</v>
      </c>
      <c r="I210" s="219" cm="1">
        <f t="array" aca="1" ref="I210" ca="1">IF(G210&lt;=B$3,(1-((1-INDEX(I$12:I$15,B210))^(G210-1))),(1-((1-INDEX(I$12:I$15,B210))^(B$3-1)))) * H210</f>
        <v>0</v>
      </c>
      <c r="J210" s="219" cm="1">
        <f t="array" aca="1" ref="J210" ca="1">_xlfn.LET(_xlpm.númerotermospg,MIN(B$3,G210),_xlpm.razão,1-INDEX(_xlfn.ANCHORARRAY(I$12),B210),_xlpm.somatermospg,((_xlpm.razão^_xlpm.númerotermospg)-1)/(_xlpm.razão-1),_xlpm.númerotermosconstantes,IF(G210&lt;=B$3,0,G210-B$3),_xlpm.somatermosconstantes,(1-I210)*_xlpm.númerotermosconstantes,_xlpm.somatodostermos,_xlpm.somatermospg+_xlpm.somatermosconstantes,_xlpm.médiatodosostermos,_xlpm.somatodostermos/G210,1 - _xlpm.médiatodosostermos) * H210</f>
        <v>0</v>
      </c>
      <c r="K210" s="110">
        <f ca="1"/>
        <v>0</v>
      </c>
    </row>
    <row r="211" spans="2:11">
      <c r="B211" s="345">
        <v>2</v>
      </c>
      <c r="C211" s="267" t="str">
        <f>'Painel Controle'!C$118</f>
        <v>Veículos Comerciais com 8 Eixos Articulado</v>
      </c>
      <c r="D211" s="481" t="str">
        <f>INDEX('Painel Controle'!D$110:D$121,MATCH(C211,'Painel Controle'!C$110:C$121,0))</f>
        <v>Pesados II</v>
      </c>
      <c r="E211" s="177" t="s">
        <v>600</v>
      </c>
      <c r="F211" s="110" cm="1">
        <f t="array" ref="F211">_xlfn._xlws.FILTER(E$34:E$81,(B$34:B$81 = B211) * (LEFT(C$34:C$81,5) = LEFT(D211,5)) * (D$34:D$81 = E211))</f>
        <v>2.3E-2</v>
      </c>
      <c r="G211" s="565" cm="1">
        <f t="array" ref="G211">_xlfn._xlws.FILTER(F$34:F$81,(B$34:B$81 = B211) * (LEFT(C$34:C$81,5) = LEFT(D211,5)) * (D$34:D$81 = E211))</f>
        <v>1</v>
      </c>
      <c r="H211" s="250" t="b">
        <f t="shared" si="1"/>
        <v>0</v>
      </c>
      <c r="I211" s="219" cm="1">
        <f t="array" aca="1" ref="I211" ca="1">IF(G211&lt;=B$3,(1-((1-INDEX(I$12:I$15,B211))^(G211-1))),(1-((1-INDEX(I$12:I$15,B211))^(B$3-1)))) * H211</f>
        <v>0</v>
      </c>
      <c r="J211" s="219" cm="1">
        <f t="array" aca="1" ref="J211" ca="1">_xlfn.LET(_xlpm.númerotermospg,MIN(B$3,G211),_xlpm.razão,1-INDEX(_xlfn.ANCHORARRAY(I$12),B211),_xlpm.somatermospg,((_xlpm.razão^_xlpm.númerotermospg)-1)/(_xlpm.razão-1),_xlpm.númerotermosconstantes,IF(G211&lt;=B$3,0,G211-B$3),_xlpm.somatermosconstantes,(1-I211)*_xlpm.númerotermosconstantes,_xlpm.somatodostermos,_xlpm.somatermospg+_xlpm.somatermosconstantes,_xlpm.médiatodosostermos,_xlpm.somatodostermos/G211,1 - _xlpm.médiatodosostermos) * H211</f>
        <v>0</v>
      </c>
      <c r="K211" s="110">
        <f ca="1"/>
        <v>0</v>
      </c>
    </row>
    <row r="212" spans="2:11">
      <c r="B212" s="345">
        <v>2</v>
      </c>
      <c r="C212" s="267" t="str">
        <f>'Painel Controle'!C$119</f>
        <v>Veículos Comerciais com 9 Eixos Articulado</v>
      </c>
      <c r="D212" s="481" t="str">
        <f>INDEX('Painel Controle'!D$110:D$121,MATCH(C212,'Painel Controle'!C$110:C$121,0))</f>
        <v>Pesados II</v>
      </c>
      <c r="E212" s="177" t="s">
        <v>595</v>
      </c>
      <c r="F212" s="110" cm="1">
        <f t="array" ref="F212">_xlfn._xlws.FILTER(E$34:E$81,(B$34:B$81 = B212) * (LEFT(C$34:C$81,5) = LEFT(D212,5)) * (D$34:D$81 = E212))</f>
        <v>0.18190000000000001</v>
      </c>
      <c r="G212" s="565" cm="1">
        <f t="array" ref="G212">_xlfn._xlws.FILTER(F$34:F$81,(B$34:B$81 = B212) * (LEFT(C$34:C$81,5) = LEFT(D212,5)) * (D$34:D$81 = E212))</f>
        <v>20</v>
      </c>
      <c r="H212" s="250" t="b">
        <f t="shared" si="1"/>
        <v>0</v>
      </c>
      <c r="I212" s="219" cm="1">
        <f t="array" aca="1" ref="I212" ca="1">IF(G212&lt;=B$3,(1-((1-INDEX(I$12:I$15,B212))^(G212-1))),(1-((1-INDEX(I$12:I$15,B212))^(B$3-1)))) * H212</f>
        <v>0</v>
      </c>
      <c r="J212" s="219" cm="1">
        <f t="array" aca="1" ref="J212" ca="1">_xlfn.LET(_xlpm.númerotermospg,MIN(B$3,G212),_xlpm.razão,1-INDEX(_xlfn.ANCHORARRAY(I$12),B212),_xlpm.somatermospg,((_xlpm.razão^_xlpm.númerotermospg)-1)/(_xlpm.razão-1),_xlpm.númerotermosconstantes,IF(G212&lt;=B$3,0,G212-B$3),_xlpm.somatermosconstantes,(1-I212)*_xlpm.númerotermosconstantes,_xlpm.somatodostermos,_xlpm.somatermospg+_xlpm.somatermosconstantes,_xlpm.médiatodosostermos,_xlpm.somatodostermos/G212,1 - _xlpm.médiatodosostermos) * H212</f>
        <v>0</v>
      </c>
      <c r="K212" s="110">
        <f ca="1"/>
        <v>0</v>
      </c>
    </row>
    <row r="213" spans="2:11">
      <c r="B213" s="345">
        <v>2</v>
      </c>
      <c r="C213" s="267" t="str">
        <f>'Painel Controle'!C$119</f>
        <v>Veículos Comerciais com 9 Eixos Articulado</v>
      </c>
      <c r="D213" s="481" t="str">
        <f>INDEX('Painel Controle'!D$110:D$121,MATCH(C213,'Painel Controle'!C$110:C$121,0))</f>
        <v>Pesados II</v>
      </c>
      <c r="E213" s="177" t="s">
        <v>596</v>
      </c>
      <c r="F213" s="110" cm="1">
        <f t="array" ref="F213">_xlfn._xlws.FILTER(E$34:E$81,(B$34:B$81 = B213) * (LEFT(C$34:C$81,5) = LEFT(D213,5)) * (D$34:D$81 = E213))</f>
        <v>0.35</v>
      </c>
      <c r="G213" s="565" cm="1">
        <f t="array" ref="G213">_xlfn._xlws.FILTER(F$34:F$81,(B$34:B$81 = B213) * (LEFT(C$34:C$81,5) = LEFT(D213,5)) * (D$34:D$81 = E213))</f>
        <v>4</v>
      </c>
      <c r="H213" s="250" t="b">
        <f t="shared" si="1"/>
        <v>0</v>
      </c>
      <c r="I213" s="219" cm="1">
        <f t="array" aca="1" ref="I213" ca="1">IF(G213&lt;=B$3,(1-((1-INDEX(I$12:I$15,B213))^(G213-1))),(1-((1-INDEX(I$12:I$15,B213))^(B$3-1)))) * H213</f>
        <v>0</v>
      </c>
      <c r="J213" s="219" cm="1">
        <f t="array" aca="1" ref="J213" ca="1">_xlfn.LET(_xlpm.númerotermospg,MIN(B$3,G213),_xlpm.razão,1-INDEX(_xlfn.ANCHORARRAY(I$12),B213),_xlpm.somatermospg,((_xlpm.razão^_xlpm.númerotermospg)-1)/(_xlpm.razão-1),_xlpm.númerotermosconstantes,IF(G213&lt;=B$3,0,G213-B$3),_xlpm.somatermosconstantes,(1-I213)*_xlpm.númerotermosconstantes,_xlpm.somatodostermos,_xlpm.somatermospg+_xlpm.somatermosconstantes,_xlpm.médiatodosostermos,_xlpm.somatodostermos/G213,1 - _xlpm.médiatodosostermos) * H213</f>
        <v>0</v>
      </c>
      <c r="K213" s="110">
        <f ca="1"/>
        <v>0</v>
      </c>
    </row>
    <row r="214" spans="2:11">
      <c r="B214" s="345">
        <v>2</v>
      </c>
      <c r="C214" s="267" t="str">
        <f>'Painel Controle'!C$119</f>
        <v>Veículos Comerciais com 9 Eixos Articulado</v>
      </c>
      <c r="D214" s="481" t="str">
        <f>INDEX('Painel Controle'!D$110:D$121,MATCH(C214,'Painel Controle'!C$110:C$121,0))</f>
        <v>Pesados II</v>
      </c>
      <c r="E214" s="177" t="s">
        <v>597</v>
      </c>
      <c r="F214" s="110" cm="1">
        <f t="array" ref="F214">_xlfn._xlws.FILTER(E$34:E$81,(B$34:B$81 = B214) * (LEFT(C$34:C$81,5) = LEFT(D214,5)) * (D$34:D$81 = E214))</f>
        <v>0.29799999999999999</v>
      </c>
      <c r="G214" s="565" cm="1">
        <f t="array" ref="G214">_xlfn._xlws.FILTER(F$34:F$81,(B$34:B$81 = B214) * (LEFT(C$34:C$81,5) = LEFT(D214,5)) * (D$34:D$81 = E214))</f>
        <v>2</v>
      </c>
      <c r="H214" s="250" t="b">
        <f t="shared" si="1"/>
        <v>0</v>
      </c>
      <c r="I214" s="219" cm="1">
        <f t="array" aca="1" ref="I214" ca="1">IF(G214&lt;=B$3,(1-((1-INDEX(I$12:I$15,B214))^(G214-1))),(1-((1-INDEX(I$12:I$15,B214))^(B$3-1)))) * H214</f>
        <v>0</v>
      </c>
      <c r="J214" s="219" cm="1">
        <f t="array" aca="1" ref="J214" ca="1">_xlfn.LET(_xlpm.númerotermospg,MIN(B$3,G214),_xlpm.razão,1-INDEX(_xlfn.ANCHORARRAY(I$12),B214),_xlpm.somatermospg,((_xlpm.razão^_xlpm.númerotermospg)-1)/(_xlpm.razão-1),_xlpm.númerotermosconstantes,IF(G214&lt;=B$3,0,G214-B$3),_xlpm.somatermosconstantes,(1-I214)*_xlpm.númerotermosconstantes,_xlpm.somatodostermos,_xlpm.somatermospg+_xlpm.somatermosconstantes,_xlpm.médiatodosostermos,_xlpm.somatodostermos/G214,1 - _xlpm.médiatodosostermos) * H214</f>
        <v>0</v>
      </c>
      <c r="K214" s="110">
        <f ca="1"/>
        <v>0</v>
      </c>
    </row>
    <row r="215" spans="2:11">
      <c r="B215" s="345">
        <v>2</v>
      </c>
      <c r="C215" s="267" t="str">
        <f>'Painel Controle'!C$119</f>
        <v>Veículos Comerciais com 9 Eixos Articulado</v>
      </c>
      <c r="D215" s="481" t="str">
        <f>INDEX('Painel Controle'!D$110:D$121,MATCH(C215,'Painel Controle'!C$110:C$121,0))</f>
        <v>Pesados II</v>
      </c>
      <c r="E215" s="177" t="s">
        <v>598</v>
      </c>
      <c r="F215" s="110" cm="1">
        <f t="array" ref="F215">_xlfn._xlws.FILTER(E$34:E$81,(B$34:B$81 = B215) * (LEFT(C$34:C$81,5) = LEFT(D215,5)) * (D$34:D$81 = E215))</f>
        <v>0.113</v>
      </c>
      <c r="G215" s="565" cm="1">
        <f t="array" ref="G215">_xlfn._xlws.FILTER(F$34:F$81,(B$34:B$81 = B215) * (LEFT(C$34:C$81,5) = LEFT(D215,5)) * (D$34:D$81 = E215))</f>
        <v>1</v>
      </c>
      <c r="H215" s="250" t="b">
        <f t="shared" ref="H215:H278" si="2">OR(C215="Automóvel",C215="Motocicleta")</f>
        <v>0</v>
      </c>
      <c r="I215" s="219" cm="1">
        <f t="array" aca="1" ref="I215" ca="1">IF(G215&lt;=B$3,(1-((1-INDEX(I$12:I$15,B215))^(G215-1))),(1-((1-INDEX(I$12:I$15,B215))^(B$3-1)))) * H215</f>
        <v>0</v>
      </c>
      <c r="J215" s="219" cm="1">
        <f t="array" aca="1" ref="J215" ca="1">_xlfn.LET(_xlpm.númerotermospg,MIN(B$3,G215),_xlpm.razão,1-INDEX(_xlfn.ANCHORARRAY(I$12),B215),_xlpm.somatermospg,((_xlpm.razão^_xlpm.númerotermospg)-1)/(_xlpm.razão-1),_xlpm.númerotermosconstantes,IF(G215&lt;=B$3,0,G215-B$3),_xlpm.somatermosconstantes,(1-I215)*_xlpm.númerotermosconstantes,_xlpm.somatodostermos,_xlpm.somatermospg+_xlpm.somatermosconstantes,_xlpm.médiatodosostermos,_xlpm.somatodostermos/G215,1 - _xlpm.médiatodosostermos) * H215</f>
        <v>0</v>
      </c>
      <c r="K215" s="110">
        <f ca="1"/>
        <v>0</v>
      </c>
    </row>
    <row r="216" spans="2:11">
      <c r="B216" s="345">
        <v>2</v>
      </c>
      <c r="C216" s="267" t="str">
        <f>'Painel Controle'!C$119</f>
        <v>Veículos Comerciais com 9 Eixos Articulado</v>
      </c>
      <c r="D216" s="481" t="str">
        <f>INDEX('Painel Controle'!D$110:D$121,MATCH(C216,'Painel Controle'!C$110:C$121,0))</f>
        <v>Pesados II</v>
      </c>
      <c r="E216" s="177" t="s">
        <v>599</v>
      </c>
      <c r="F216" s="110" cm="1">
        <f t="array" ref="F216">_xlfn._xlws.FILTER(E$34:E$81,(B$34:B$81 = B216) * (LEFT(C$34:C$81,5) = LEFT(D216,5)) * (D$34:D$81 = E216))</f>
        <v>3.5000000000000003E-2</v>
      </c>
      <c r="G216" s="565" cm="1">
        <f t="array" ref="G216">_xlfn._xlws.FILTER(F$34:F$81,(B$34:B$81 = B216) * (LEFT(C$34:C$81,5) = LEFT(D216,5)) * (D$34:D$81 = E216))</f>
        <v>1</v>
      </c>
      <c r="H216" s="250" t="b">
        <f t="shared" si="2"/>
        <v>0</v>
      </c>
      <c r="I216" s="219" cm="1">
        <f t="array" aca="1" ref="I216" ca="1">IF(G216&lt;=B$3,(1-((1-INDEX(I$12:I$15,B216))^(G216-1))),(1-((1-INDEX(I$12:I$15,B216))^(B$3-1)))) * H216</f>
        <v>0</v>
      </c>
      <c r="J216" s="219" cm="1">
        <f t="array" aca="1" ref="J216" ca="1">_xlfn.LET(_xlpm.númerotermospg,MIN(B$3,G216),_xlpm.razão,1-INDEX(_xlfn.ANCHORARRAY(I$12),B216),_xlpm.somatermospg,((_xlpm.razão^_xlpm.númerotermospg)-1)/(_xlpm.razão-1),_xlpm.númerotermosconstantes,IF(G216&lt;=B$3,0,G216-B$3),_xlpm.somatermosconstantes,(1-I216)*_xlpm.númerotermosconstantes,_xlpm.somatodostermos,_xlpm.somatermospg+_xlpm.somatermosconstantes,_xlpm.médiatodosostermos,_xlpm.somatodostermos/G216,1 - _xlpm.médiatodosostermos) * H216</f>
        <v>0</v>
      </c>
      <c r="K216" s="110">
        <f ca="1"/>
        <v>0</v>
      </c>
    </row>
    <row r="217" spans="2:11">
      <c r="B217" s="345">
        <v>2</v>
      </c>
      <c r="C217" s="267" t="str">
        <f>'Painel Controle'!C$119</f>
        <v>Veículos Comerciais com 9 Eixos Articulado</v>
      </c>
      <c r="D217" s="481" t="str">
        <f>INDEX('Painel Controle'!D$110:D$121,MATCH(C217,'Painel Controle'!C$110:C$121,0))</f>
        <v>Pesados II</v>
      </c>
      <c r="E217" s="177" t="s">
        <v>600</v>
      </c>
      <c r="F217" s="110" cm="1">
        <f t="array" ref="F217">_xlfn._xlws.FILTER(E$34:E$81,(B$34:B$81 = B217) * (LEFT(C$34:C$81,5) = LEFT(D217,5)) * (D$34:D$81 = E217))</f>
        <v>2.3E-2</v>
      </c>
      <c r="G217" s="565" cm="1">
        <f t="array" ref="G217">_xlfn._xlws.FILTER(F$34:F$81,(B$34:B$81 = B217) * (LEFT(C$34:C$81,5) = LEFT(D217,5)) * (D$34:D$81 = E217))</f>
        <v>1</v>
      </c>
      <c r="H217" s="250" t="b">
        <f t="shared" si="2"/>
        <v>0</v>
      </c>
      <c r="I217" s="219" cm="1">
        <f t="array" aca="1" ref="I217" ca="1">IF(G217&lt;=B$3,(1-((1-INDEX(I$12:I$15,B217))^(G217-1))),(1-((1-INDEX(I$12:I$15,B217))^(B$3-1)))) * H217</f>
        <v>0</v>
      </c>
      <c r="J217" s="219" cm="1">
        <f t="array" aca="1" ref="J217" ca="1">_xlfn.LET(_xlpm.númerotermospg,MIN(B$3,G217),_xlpm.razão,1-INDEX(_xlfn.ANCHORARRAY(I$12),B217),_xlpm.somatermospg,((_xlpm.razão^_xlpm.númerotermospg)-1)/(_xlpm.razão-1),_xlpm.númerotermosconstantes,IF(G217&lt;=B$3,0,G217-B$3),_xlpm.somatermosconstantes,(1-I217)*_xlpm.númerotermosconstantes,_xlpm.somatodostermos,_xlpm.somatermospg+_xlpm.somatermosconstantes,_xlpm.médiatodosostermos,_xlpm.somatodostermos/G217,1 - _xlpm.médiatodosostermos) * H217</f>
        <v>0</v>
      </c>
      <c r="K217" s="110">
        <f ca="1"/>
        <v>0</v>
      </c>
    </row>
    <row r="218" spans="2:11">
      <c r="B218" s="345">
        <v>2</v>
      </c>
      <c r="C218" s="267" t="str">
        <f>'Painel Controle'!C$120</f>
        <v>Motocicleta</v>
      </c>
      <c r="D218" s="481" t="str">
        <f>INDEX('Painel Controle'!D$110:D$121,MATCH(C218,'Painel Controle'!C$110:C$121,0))</f>
        <v>Leves</v>
      </c>
      <c r="E218" s="177" t="s">
        <v>595</v>
      </c>
      <c r="F218" s="110" cm="1">
        <f t="array" ref="F218">_xlfn._xlws.FILTER(E$34:E$81,(B$34:B$81 = B218) * (LEFT(C$34:C$81,5) = LEFT(D218,5)) * (D$34:D$81 = E218))</f>
        <v>0.13100000000000001</v>
      </c>
      <c r="G218" s="565" cm="1">
        <f t="array" ref="G218">_xlfn._xlws.FILTER(F$34:F$81,(B$34:B$81 = B218) * (LEFT(C$34:C$81,5) = LEFT(D218,5)) * (D$34:D$81 = E218))</f>
        <v>20</v>
      </c>
      <c r="H218" s="250" t="b">
        <f t="shared" si="2"/>
        <v>1</v>
      </c>
      <c r="I218" s="219" cm="1">
        <f t="array" aca="1" ref="I218" ca="1">IF(G218&lt;=B$3,(1-((1-INDEX(I$12:I$15,B218))^(G218-1))),(1-((1-INDEX(I$12:I$15,B218))^(B$3-1)))) * H218</f>
        <v>0.38761288446957087</v>
      </c>
      <c r="J218" s="219" cm="1">
        <f t="array" aca="1" ref="J218" ca="1">_xlfn.LET(_xlpm.númerotermospg,MIN(B$3,G218),_xlpm.razão,1-INDEX(_xlfn.ANCHORARRAY(I$12),B218),_xlpm.somatermospg,((_xlpm.razão^_xlpm.númerotermospg)-1)/(_xlpm.razão-1),_xlpm.númerotermosconstantes,IF(G218&lt;=B$3,0,G218-B$3),_xlpm.somatermosconstantes,(1-I218)*_xlpm.númerotermosconstantes,_xlpm.somatodostermos,_xlpm.somatermospg+_xlpm.somatermosconstantes,_xlpm.médiatodosostermos,_xlpm.somatodostermos/G218,1 - _xlpm.médiatodosostermos) * H218</f>
        <v>0.20875292514871346</v>
      </c>
      <c r="K218" s="110">
        <f ca="1"/>
        <v>2.7346633194481464E-2</v>
      </c>
    </row>
    <row r="219" spans="2:11">
      <c r="B219" s="345">
        <v>2</v>
      </c>
      <c r="C219" s="267" t="str">
        <f>'Painel Controle'!C$120</f>
        <v>Motocicleta</v>
      </c>
      <c r="D219" s="481" t="str">
        <f>INDEX('Painel Controle'!D$110:D$121,MATCH(C219,'Painel Controle'!C$110:C$121,0))</f>
        <v>Leves</v>
      </c>
      <c r="E219" s="177" t="s">
        <v>596</v>
      </c>
      <c r="F219" s="110" cm="1">
        <f t="array" ref="F219">_xlfn._xlws.FILTER(E$34:E$81,(B$34:B$81 = B219) * (LEFT(C$34:C$81,5) = LEFT(D219,5)) * (D$34:D$81 = E219))</f>
        <v>0.22900000000000001</v>
      </c>
      <c r="G219" s="565" cm="1">
        <f t="array" ref="G219">_xlfn._xlws.FILTER(F$34:F$81,(B$34:B$81 = B219) * (LEFT(C$34:C$81,5) = LEFT(D219,5)) * (D$34:D$81 = E219))</f>
        <v>4</v>
      </c>
      <c r="H219" s="250" t="b">
        <f t="shared" si="2"/>
        <v>1</v>
      </c>
      <c r="I219" s="219" cm="1">
        <f t="array" aca="1" ref="I219" ca="1">IF(G219&lt;=B$3,(1-((1-INDEX(I$12:I$15,B219))^(G219-1))),(1-((1-INDEX(I$12:I$15,B219))^(B$3-1)))) * H219</f>
        <v>7.4508289119249671E-2</v>
      </c>
      <c r="J219" s="219" cm="1">
        <f t="array" aca="1" ref="J219" ca="1">_xlfn.LET(_xlpm.númerotermospg,MIN(B$3,G219),_xlpm.razão,1-INDEX(_xlfn.ANCHORARRAY(I$12),B219),_xlpm.somatermospg,((_xlpm.razão^_xlpm.númerotermospg)-1)/(_xlpm.razão-1),_xlpm.númerotermosconstantes,IF(G219&lt;=B$3,0,G219-B$3),_xlpm.somatermosconstantes,(1-I219)*_xlpm.númerotermosconstantes,_xlpm.somatodostermos,_xlpm.somatermospg+_xlpm.somatermosconstantes,_xlpm.médiatodosostermos,_xlpm.somatodostermos/G219,1 - _xlpm.médiatodosostermos) * H219</f>
        <v>3.7574619231298567E-2</v>
      </c>
      <c r="K219" s="110">
        <f ca="1"/>
        <v>8.6045878039673722E-3</v>
      </c>
    </row>
    <row r="220" spans="2:11">
      <c r="B220" s="345">
        <v>2</v>
      </c>
      <c r="C220" s="267" t="str">
        <f>'Painel Controle'!C$120</f>
        <v>Motocicleta</v>
      </c>
      <c r="D220" s="481" t="str">
        <f>INDEX('Painel Controle'!D$110:D$121,MATCH(C220,'Painel Controle'!C$110:C$121,0))</f>
        <v>Leves</v>
      </c>
      <c r="E220" s="177" t="s">
        <v>597</v>
      </c>
      <c r="F220" s="110" cm="1">
        <f t="array" ref="F220">_xlfn._xlws.FILTER(E$34:E$81,(B$34:B$81 = B220) * (LEFT(C$34:C$81,5) = LEFT(D220,5)) * (D$34:D$81 = E220))</f>
        <v>0.40500000000000003</v>
      </c>
      <c r="G220" s="565" cm="1">
        <f t="array" ref="G220">_xlfn._xlws.FILTER(F$34:F$81,(B$34:B$81 = B220) * (LEFT(C$34:C$81,5) = LEFT(D220,5)) * (D$34:D$81 = E220))</f>
        <v>2</v>
      </c>
      <c r="H220" s="250" t="b">
        <f t="shared" si="2"/>
        <v>1</v>
      </c>
      <c r="I220" s="219" cm="1">
        <f t="array" aca="1" ref="I220" ca="1">IF(G220&lt;=B$3,(1-((1-INDEX(I$12:I$15,B220))^(G220-1))),(1-((1-INDEX(I$12:I$15,B220))^(B$3-1)))) * H220</f>
        <v>2.5479802717488842E-2</v>
      </c>
      <c r="J220" s="219" cm="1">
        <f t="array" aca="1" ref="J220" ca="1">_xlfn.LET(_xlpm.númerotermospg,MIN(B$3,G220),_xlpm.razão,1-INDEX(_xlfn.ANCHORARRAY(I$12),B220),_xlpm.somatermospg,((_xlpm.razão^_xlpm.númerotermospg)-1)/(_xlpm.razão-1),_xlpm.númerotermosconstantes,IF(G220&lt;=B$3,0,G220-B$3),_xlpm.somatermosconstantes,(1-I220)*_xlpm.númerotermosconstantes,_xlpm.somatodostermos,_xlpm.somatermospg+_xlpm.somatermosconstantes,_xlpm.médiatodosostermos,_xlpm.somatodostermos/G220,1 - _xlpm.médiatodosostermos) * H220</f>
        <v>1.2739901358744365E-2</v>
      </c>
      <c r="K220" s="110">
        <f ca="1"/>
        <v>5.159660050291468E-3</v>
      </c>
    </row>
    <row r="221" spans="2:11">
      <c r="B221" s="345">
        <v>2</v>
      </c>
      <c r="C221" s="267" t="str">
        <f>'Painel Controle'!C$120</f>
        <v>Motocicleta</v>
      </c>
      <c r="D221" s="481" t="str">
        <f>INDEX('Painel Controle'!D$110:D$121,MATCH(C221,'Painel Controle'!C$110:C$121,0))</f>
        <v>Leves</v>
      </c>
      <c r="E221" s="177" t="s">
        <v>598</v>
      </c>
      <c r="F221" s="110" cm="1">
        <f t="array" ref="F221">_xlfn._xlws.FILTER(E$34:E$81,(B$34:B$81 = B221) * (LEFT(C$34:C$81,5) = LEFT(D221,5)) * (D$34:D$81 = E221))</f>
        <v>0.113</v>
      </c>
      <c r="G221" s="565" cm="1">
        <f t="array" ref="G221">_xlfn._xlws.FILTER(F$34:F$81,(B$34:B$81 = B221) * (LEFT(C$34:C$81,5) = LEFT(D221,5)) * (D$34:D$81 = E221))</f>
        <v>1</v>
      </c>
      <c r="H221" s="250" t="b">
        <f t="shared" si="2"/>
        <v>1</v>
      </c>
      <c r="I221" s="219" cm="1">
        <f t="array" aca="1" ref="I221" ca="1">IF(G221&lt;=B$3,(1-((1-INDEX(I$12:I$15,B221))^(G221-1))),(1-((1-INDEX(I$12:I$15,B221))^(B$3-1)))) * H221</f>
        <v>0</v>
      </c>
      <c r="J221" s="219" cm="1">
        <f t="array" aca="1" ref="J221" ca="1">_xlfn.LET(_xlpm.númerotermospg,MIN(B$3,G221),_xlpm.razão,1-INDEX(_xlfn.ANCHORARRAY(I$12),B221),_xlpm.somatermospg,((_xlpm.razão^_xlpm.númerotermospg)-1)/(_xlpm.razão-1),_xlpm.númerotermosconstantes,IF(G221&lt;=B$3,0,G221-B$3),_xlpm.somatermosconstantes,(1-I221)*_xlpm.númerotermosconstantes,_xlpm.somatodostermos,_xlpm.somatermospg+_xlpm.somatermosconstantes,_xlpm.médiatodosostermos,_xlpm.somatodostermos/G221,1 - _xlpm.médiatodosostermos) * H221</f>
        <v>0</v>
      </c>
      <c r="K221" s="110">
        <f ca="1"/>
        <v>0</v>
      </c>
    </row>
    <row r="222" spans="2:11">
      <c r="B222" s="345">
        <v>2</v>
      </c>
      <c r="C222" s="267" t="str">
        <f>'Painel Controle'!C$120</f>
        <v>Motocicleta</v>
      </c>
      <c r="D222" s="481" t="str">
        <f>INDEX('Painel Controle'!D$110:D$121,MATCH(C222,'Painel Controle'!C$110:C$121,0))</f>
        <v>Leves</v>
      </c>
      <c r="E222" s="177" t="s">
        <v>599</v>
      </c>
      <c r="F222" s="110" cm="1">
        <f t="array" ref="F222">_xlfn._xlws.FILTER(E$34:E$81,(B$34:B$81 = B222) * (LEFT(C$34:C$81,5) = LEFT(D222,5)) * (D$34:D$81 = E222))</f>
        <v>7.1999999999999995E-2</v>
      </c>
      <c r="G222" s="565" cm="1">
        <f t="array" ref="G222">_xlfn._xlws.FILTER(F$34:F$81,(B$34:B$81 = B222) * (LEFT(C$34:C$81,5) = LEFT(D222,5)) * (D$34:D$81 = E222))</f>
        <v>1</v>
      </c>
      <c r="H222" s="250" t="b">
        <f t="shared" si="2"/>
        <v>1</v>
      </c>
      <c r="I222" s="219" cm="1">
        <f t="array" aca="1" ref="I222" ca="1">IF(G222&lt;=B$3,(1-((1-INDEX(I$12:I$15,B222))^(G222-1))),(1-((1-INDEX(I$12:I$15,B222))^(B$3-1)))) * H222</f>
        <v>0</v>
      </c>
      <c r="J222" s="219" cm="1">
        <f t="array" aca="1" ref="J222" ca="1">_xlfn.LET(_xlpm.númerotermospg,MIN(B$3,G222),_xlpm.razão,1-INDEX(_xlfn.ANCHORARRAY(I$12),B222),_xlpm.somatermospg,((_xlpm.razão^_xlpm.númerotermospg)-1)/(_xlpm.razão-1),_xlpm.númerotermosconstantes,IF(G222&lt;=B$3,0,G222-B$3),_xlpm.somatermosconstantes,(1-I222)*_xlpm.númerotermosconstantes,_xlpm.somatodostermos,_xlpm.somatermospg+_xlpm.somatermosconstantes,_xlpm.médiatodosostermos,_xlpm.somatodostermos/G222,1 - _xlpm.médiatodosostermos) * H222</f>
        <v>0</v>
      </c>
      <c r="K222" s="110">
        <f ca="1"/>
        <v>0</v>
      </c>
    </row>
    <row r="223" spans="2:11">
      <c r="B223" s="345">
        <v>2</v>
      </c>
      <c r="C223" s="267" t="str">
        <f>'Painel Controle'!C$120</f>
        <v>Motocicleta</v>
      </c>
      <c r="D223" s="481" t="str">
        <f>INDEX('Painel Controle'!D$110:D$121,MATCH(C223,'Painel Controle'!C$110:C$121,0))</f>
        <v>Leves</v>
      </c>
      <c r="E223" s="177" t="s">
        <v>600</v>
      </c>
      <c r="F223" s="110" cm="1">
        <f t="array" ref="F223">_xlfn._xlws.FILTER(E$34:E$81,(B$34:B$81 = B223) * (LEFT(C$34:C$81,5) = LEFT(D223,5)) * (D$34:D$81 = E223))</f>
        <v>0.05</v>
      </c>
      <c r="G223" s="565" cm="1">
        <f t="array" ref="G223">_xlfn._xlws.FILTER(F$34:F$81,(B$34:B$81 = B223) * (LEFT(C$34:C$81,5) = LEFT(D223,5)) * (D$34:D$81 = E223))</f>
        <v>1</v>
      </c>
      <c r="H223" s="250" t="b">
        <f t="shared" si="2"/>
        <v>1</v>
      </c>
      <c r="I223" s="219" cm="1">
        <f t="array" aca="1" ref="I223" ca="1">IF(G223&lt;=B$3,(1-((1-INDEX(I$12:I$15,B223))^(G223-1))),(1-((1-INDEX(I$12:I$15,B223))^(B$3-1)))) * H223</f>
        <v>0</v>
      </c>
      <c r="J223" s="219" cm="1">
        <f t="array" aca="1" ref="J223" ca="1">_xlfn.LET(_xlpm.númerotermospg,MIN(B$3,G223),_xlpm.razão,1-INDEX(_xlfn.ANCHORARRAY(I$12),B223),_xlpm.somatermospg,((_xlpm.razão^_xlpm.númerotermospg)-1)/(_xlpm.razão-1),_xlpm.númerotermosconstantes,IF(G223&lt;=B$3,0,G223-B$3),_xlpm.somatermosconstantes,(1-I223)*_xlpm.númerotermosconstantes,_xlpm.somatodostermos,_xlpm.somatermospg+_xlpm.somatermosconstantes,_xlpm.médiatodosostermos,_xlpm.somatodostermos/G223,1 - _xlpm.médiatodosostermos) * H223</f>
        <v>0</v>
      </c>
      <c r="K223" s="110">
        <f ca="1"/>
        <v>0</v>
      </c>
    </row>
    <row r="224" spans="2:11">
      <c r="B224" s="345">
        <v>2</v>
      </c>
      <c r="C224" s="267" t="str">
        <f>'Painel Controle'!C$121</f>
        <v xml:space="preserve">Veículos do transporte público coletivo intermunicipal e metropolitano </v>
      </c>
      <c r="D224" s="481" t="str">
        <f>INDEX('Painel Controle'!D$110:D$121,MATCH(C224,'Painel Controle'!C$110:C$121,0))</f>
        <v>Pesados I</v>
      </c>
      <c r="E224" s="177" t="s">
        <v>595</v>
      </c>
      <c r="F224" s="110" cm="1">
        <f t="array" ref="F224">_xlfn._xlws.FILTER(E$34:E$81,(B$34:B$81 = B224) * (LEFT(C$34:C$81,5) = LEFT(D224,5)) * (D$34:D$81 = E224))</f>
        <v>0.18190000000000001</v>
      </c>
      <c r="G224" s="565" cm="1">
        <f t="array" ref="G224">_xlfn._xlws.FILTER(F$34:F$81,(B$34:B$81 = B224) * (LEFT(C$34:C$81,5) = LEFT(D224,5)) * (D$34:D$81 = E224))</f>
        <v>20</v>
      </c>
      <c r="H224" s="250" t="b">
        <f t="shared" si="2"/>
        <v>0</v>
      </c>
      <c r="I224" s="219" cm="1">
        <f t="array" aca="1" ref="I224" ca="1">IF(G224&lt;=B$3,(1-((1-INDEX(I$12:I$15,B224))^(G224-1))),(1-((1-INDEX(I$12:I$15,B224))^(B$3-1)))) * H224</f>
        <v>0</v>
      </c>
      <c r="J224" s="219" cm="1">
        <f t="array" aca="1" ref="J224" ca="1">_xlfn.LET(_xlpm.númerotermospg,MIN(B$3,G224),_xlpm.razão,1-INDEX(_xlfn.ANCHORARRAY(I$12),B224),_xlpm.somatermospg,((_xlpm.razão^_xlpm.númerotermospg)-1)/(_xlpm.razão-1),_xlpm.númerotermosconstantes,IF(G224&lt;=B$3,0,G224-B$3),_xlpm.somatermosconstantes,(1-I224)*_xlpm.númerotermosconstantes,_xlpm.somatodostermos,_xlpm.somatermospg+_xlpm.somatermosconstantes,_xlpm.médiatodosostermos,_xlpm.somatodostermos/G224,1 - _xlpm.médiatodosostermos) * H224</f>
        <v>0</v>
      </c>
      <c r="K224" s="110">
        <f ca="1"/>
        <v>0</v>
      </c>
    </row>
    <row r="225" spans="2:11">
      <c r="B225" s="345">
        <v>2</v>
      </c>
      <c r="C225" s="267" t="str">
        <f>'Painel Controle'!C$121</f>
        <v xml:space="preserve">Veículos do transporte público coletivo intermunicipal e metropolitano </v>
      </c>
      <c r="D225" s="481" t="str">
        <f>INDEX('Painel Controle'!D$110:D$121,MATCH(C225,'Painel Controle'!C$110:C$121,0))</f>
        <v>Pesados I</v>
      </c>
      <c r="E225" s="177" t="s">
        <v>596</v>
      </c>
      <c r="F225" s="110" cm="1">
        <f t="array" ref="F225">_xlfn._xlws.FILTER(E$34:E$81,(B$34:B$81 = B225) * (LEFT(C$34:C$81,5) = LEFT(D225,5)) * (D$34:D$81 = E225))</f>
        <v>0.35</v>
      </c>
      <c r="G225" s="565" cm="1">
        <f t="array" ref="G225">_xlfn._xlws.FILTER(F$34:F$81,(B$34:B$81 = B225) * (LEFT(C$34:C$81,5) = LEFT(D225,5)) * (D$34:D$81 = E225))</f>
        <v>4</v>
      </c>
      <c r="H225" s="250" t="b">
        <f t="shared" si="2"/>
        <v>0</v>
      </c>
      <c r="I225" s="219" cm="1">
        <f t="array" aca="1" ref="I225" ca="1">IF(G225&lt;=B$3,(1-((1-INDEX(I$12:I$15,B225))^(G225-1))),(1-((1-INDEX(I$12:I$15,B225))^(B$3-1)))) * H225</f>
        <v>0</v>
      </c>
      <c r="J225" s="219" cm="1">
        <f t="array" aca="1" ref="J225" ca="1">_xlfn.LET(_xlpm.númerotermospg,MIN(B$3,G225),_xlpm.razão,1-INDEX(_xlfn.ANCHORARRAY(I$12),B225),_xlpm.somatermospg,((_xlpm.razão^_xlpm.númerotermospg)-1)/(_xlpm.razão-1),_xlpm.númerotermosconstantes,IF(G225&lt;=B$3,0,G225-B$3),_xlpm.somatermosconstantes,(1-I225)*_xlpm.númerotermosconstantes,_xlpm.somatodostermos,_xlpm.somatermospg+_xlpm.somatermosconstantes,_xlpm.médiatodosostermos,_xlpm.somatodostermos/G225,1 - _xlpm.médiatodosostermos) * H225</f>
        <v>0</v>
      </c>
      <c r="K225" s="110">
        <f ca="1"/>
        <v>0</v>
      </c>
    </row>
    <row r="226" spans="2:11">
      <c r="B226" s="345">
        <v>2</v>
      </c>
      <c r="C226" s="267" t="str">
        <f>'Painel Controle'!C$121</f>
        <v xml:space="preserve">Veículos do transporte público coletivo intermunicipal e metropolitano </v>
      </c>
      <c r="D226" s="481" t="str">
        <f>INDEX('Painel Controle'!D$110:D$121,MATCH(C226,'Painel Controle'!C$110:C$121,0))</f>
        <v>Pesados I</v>
      </c>
      <c r="E226" s="177" t="s">
        <v>597</v>
      </c>
      <c r="F226" s="110" cm="1">
        <f t="array" ref="F226">_xlfn._xlws.FILTER(E$34:E$81,(B$34:B$81 = B226) * (LEFT(C$34:C$81,5) = LEFT(D226,5)) * (D$34:D$81 = E226))</f>
        <v>0.29799999999999999</v>
      </c>
      <c r="G226" s="565" cm="1">
        <f t="array" ref="G226">_xlfn._xlws.FILTER(F$34:F$81,(B$34:B$81 = B226) * (LEFT(C$34:C$81,5) = LEFT(D226,5)) * (D$34:D$81 = E226))</f>
        <v>2</v>
      </c>
      <c r="H226" s="250" t="b">
        <f t="shared" si="2"/>
        <v>0</v>
      </c>
      <c r="I226" s="219" cm="1">
        <f t="array" aca="1" ref="I226" ca="1">IF(G226&lt;=B$3,(1-((1-INDEX(I$12:I$15,B226))^(G226-1))),(1-((1-INDEX(I$12:I$15,B226))^(B$3-1)))) * H226</f>
        <v>0</v>
      </c>
      <c r="J226" s="219" cm="1">
        <f t="array" aca="1" ref="J226" ca="1">_xlfn.LET(_xlpm.númerotermospg,MIN(B$3,G226),_xlpm.razão,1-INDEX(_xlfn.ANCHORARRAY(I$12),B226),_xlpm.somatermospg,((_xlpm.razão^_xlpm.númerotermospg)-1)/(_xlpm.razão-1),_xlpm.númerotermosconstantes,IF(G226&lt;=B$3,0,G226-B$3),_xlpm.somatermosconstantes,(1-I226)*_xlpm.númerotermosconstantes,_xlpm.somatodostermos,_xlpm.somatermospg+_xlpm.somatermosconstantes,_xlpm.médiatodosostermos,_xlpm.somatodostermos/G226,1 - _xlpm.médiatodosostermos) * H226</f>
        <v>0</v>
      </c>
      <c r="K226" s="110">
        <f ca="1"/>
        <v>0</v>
      </c>
    </row>
    <row r="227" spans="2:11">
      <c r="B227" s="345">
        <v>2</v>
      </c>
      <c r="C227" s="267" t="str">
        <f>'Painel Controle'!C$121</f>
        <v xml:space="preserve">Veículos do transporte público coletivo intermunicipal e metropolitano </v>
      </c>
      <c r="D227" s="481" t="str">
        <f>INDEX('Painel Controle'!D$110:D$121,MATCH(C227,'Painel Controle'!C$110:C$121,0))</f>
        <v>Pesados I</v>
      </c>
      <c r="E227" s="177" t="s">
        <v>598</v>
      </c>
      <c r="F227" s="110" cm="1">
        <f t="array" ref="F227">_xlfn._xlws.FILTER(E$34:E$81,(B$34:B$81 = B227) * (LEFT(C$34:C$81,5) = LEFT(D227,5)) * (D$34:D$81 = E227))</f>
        <v>0.113</v>
      </c>
      <c r="G227" s="565" cm="1">
        <f t="array" ref="G227">_xlfn._xlws.FILTER(F$34:F$81,(B$34:B$81 = B227) * (LEFT(C$34:C$81,5) = LEFT(D227,5)) * (D$34:D$81 = E227))</f>
        <v>1</v>
      </c>
      <c r="H227" s="250" t="b">
        <f t="shared" si="2"/>
        <v>0</v>
      </c>
      <c r="I227" s="219" cm="1">
        <f t="array" aca="1" ref="I227" ca="1">IF(G227&lt;=B$3,(1-((1-INDEX(I$12:I$15,B227))^(G227-1))),(1-((1-INDEX(I$12:I$15,B227))^(B$3-1)))) * H227</f>
        <v>0</v>
      </c>
      <c r="J227" s="219" cm="1">
        <f t="array" aca="1" ref="J227" ca="1">_xlfn.LET(_xlpm.númerotermospg,MIN(B$3,G227),_xlpm.razão,1-INDEX(_xlfn.ANCHORARRAY(I$12),B227),_xlpm.somatermospg,((_xlpm.razão^_xlpm.númerotermospg)-1)/(_xlpm.razão-1),_xlpm.númerotermosconstantes,IF(G227&lt;=B$3,0,G227-B$3),_xlpm.somatermosconstantes,(1-I227)*_xlpm.númerotermosconstantes,_xlpm.somatodostermos,_xlpm.somatermospg+_xlpm.somatermosconstantes,_xlpm.médiatodosostermos,_xlpm.somatodostermos/G227,1 - _xlpm.médiatodosostermos) * H227</f>
        <v>0</v>
      </c>
      <c r="K227" s="110">
        <f ca="1"/>
        <v>0</v>
      </c>
    </row>
    <row r="228" spans="2:11">
      <c r="B228" s="345">
        <v>2</v>
      </c>
      <c r="C228" s="267" t="str">
        <f>'Painel Controle'!C$121</f>
        <v xml:space="preserve">Veículos do transporte público coletivo intermunicipal e metropolitano </v>
      </c>
      <c r="D228" s="481" t="str">
        <f>INDEX('Painel Controle'!D$110:D$121,MATCH(C228,'Painel Controle'!C$110:C$121,0))</f>
        <v>Pesados I</v>
      </c>
      <c r="E228" s="177" t="s">
        <v>599</v>
      </c>
      <c r="F228" s="110" cm="1">
        <f t="array" ref="F228">_xlfn._xlws.FILTER(E$34:E$81,(B$34:B$81 = B228) * (LEFT(C$34:C$81,5) = LEFT(D228,5)) * (D$34:D$81 = E228))</f>
        <v>3.5000000000000003E-2</v>
      </c>
      <c r="G228" s="565" cm="1">
        <f t="array" ref="G228">_xlfn._xlws.FILTER(F$34:F$81,(B$34:B$81 = B228) * (LEFT(C$34:C$81,5) = LEFT(D228,5)) * (D$34:D$81 = E228))</f>
        <v>1</v>
      </c>
      <c r="H228" s="250" t="b">
        <f t="shared" si="2"/>
        <v>0</v>
      </c>
      <c r="I228" s="219" cm="1">
        <f t="array" aca="1" ref="I228" ca="1">IF(G228&lt;=B$3,(1-((1-INDEX(I$12:I$15,B228))^(G228-1))),(1-((1-INDEX(I$12:I$15,B228))^(B$3-1)))) * H228</f>
        <v>0</v>
      </c>
      <c r="J228" s="219" cm="1">
        <f t="array" aca="1" ref="J228" ca="1">_xlfn.LET(_xlpm.númerotermospg,MIN(B$3,G228),_xlpm.razão,1-INDEX(_xlfn.ANCHORARRAY(I$12),B228),_xlpm.somatermospg,((_xlpm.razão^_xlpm.númerotermospg)-1)/(_xlpm.razão-1),_xlpm.númerotermosconstantes,IF(G228&lt;=B$3,0,G228-B$3),_xlpm.somatermosconstantes,(1-I228)*_xlpm.númerotermosconstantes,_xlpm.somatodostermos,_xlpm.somatermospg+_xlpm.somatermosconstantes,_xlpm.médiatodosostermos,_xlpm.somatodostermos/G228,1 - _xlpm.médiatodosostermos) * H228</f>
        <v>0</v>
      </c>
      <c r="K228" s="110">
        <f ca="1"/>
        <v>0</v>
      </c>
    </row>
    <row r="229" spans="2:11">
      <c r="B229" s="345">
        <v>2</v>
      </c>
      <c r="C229" s="267" t="str">
        <f>'Painel Controle'!C$121</f>
        <v xml:space="preserve">Veículos do transporte público coletivo intermunicipal e metropolitano </v>
      </c>
      <c r="D229" s="481" t="str">
        <f>INDEX('Painel Controle'!D$110:D$121,MATCH(C229,'Painel Controle'!C$110:C$121,0))</f>
        <v>Pesados I</v>
      </c>
      <c r="E229" s="177" t="s">
        <v>600</v>
      </c>
      <c r="F229" s="110" cm="1">
        <f t="array" ref="F229">_xlfn._xlws.FILTER(E$34:E$81,(B$34:B$81 = B229) * (LEFT(C$34:C$81,5) = LEFT(D229,5)) * (D$34:D$81 = E229))</f>
        <v>2.3E-2</v>
      </c>
      <c r="G229" s="565" cm="1">
        <f t="array" ref="G229">_xlfn._xlws.FILTER(F$34:F$81,(B$34:B$81 = B229) * (LEFT(C$34:C$81,5) = LEFT(D229,5)) * (D$34:D$81 = E229))</f>
        <v>1</v>
      </c>
      <c r="H229" s="250" t="b">
        <f t="shared" si="2"/>
        <v>0</v>
      </c>
      <c r="I229" s="219" cm="1">
        <f t="array" aca="1" ref="I229" ca="1">IF(G229&lt;=B$3,(1-((1-INDEX(I$12:I$15,B229))^(G229-1))),(1-((1-INDEX(I$12:I$15,B229))^(B$3-1)))) * H229</f>
        <v>0</v>
      </c>
      <c r="J229" s="219" cm="1">
        <f t="array" aca="1" ref="J229" ca="1">_xlfn.LET(_xlpm.númerotermospg,MIN(B$3,G229),_xlpm.razão,1-INDEX(_xlfn.ANCHORARRAY(I$12),B229),_xlpm.somatermospg,((_xlpm.razão^_xlpm.númerotermospg)-1)/(_xlpm.razão-1),_xlpm.númerotermosconstantes,IF(G229&lt;=B$3,0,G229-B$3),_xlpm.somatermosconstantes,(1-I229)*_xlpm.númerotermosconstantes,_xlpm.somatodostermos,_xlpm.somatermospg+_xlpm.somatermosconstantes,_xlpm.médiatodosostermos,_xlpm.somatodostermos/G229,1 - _xlpm.médiatodosostermos) * H229</f>
        <v>0</v>
      </c>
      <c r="K229" s="110">
        <f ca="1"/>
        <v>0</v>
      </c>
    </row>
    <row r="230" spans="2:11">
      <c r="B230" s="345">
        <v>3</v>
      </c>
      <c r="C230" s="267" t="str">
        <f>'Painel Controle'!C$110</f>
        <v>Automóvel</v>
      </c>
      <c r="D230" s="481" t="str">
        <f>INDEX('Painel Controle'!D$110:D$121,MATCH(C230,'Painel Controle'!C$110:C$121,0))</f>
        <v>Leves</v>
      </c>
      <c r="E230" s="177" t="s">
        <v>595</v>
      </c>
      <c r="F230" s="110" cm="1">
        <f t="array" ref="F230">_xlfn._xlws.FILTER(E$34:E$81,(B$34:B$81 = B230) * (LEFT(C$34:C$81,5) = LEFT(D230,5)) * (D$34:D$81 = E230))</f>
        <v>9.8000000000000004E-2</v>
      </c>
      <c r="G230" s="565" cm="1">
        <f t="array" ref="G230">_xlfn._xlws.FILTER(F$34:F$81,(B$34:B$81 = B230) * (LEFT(C$34:C$81,5) = LEFT(D230,5)) * (D$34:D$81 = E230))</f>
        <v>20</v>
      </c>
      <c r="H230" s="250" t="b">
        <f t="shared" si="2"/>
        <v>1</v>
      </c>
      <c r="I230" s="219" cm="1">
        <f t="array" aca="1" ref="I230" ca="1">IF(G230&lt;=B$3,(1-((1-INDEX(I$12:I$15,B230))^(G230-1))),(1-((1-INDEX(I$12:I$15,B230))^(B$3-1)))) * H230</f>
        <v>0.19707993666585133</v>
      </c>
      <c r="J230" s="219" cm="1">
        <f t="array" aca="1" ref="J230" ca="1">_xlfn.LET(_xlpm.númerotermospg,MIN(B$3,G230),_xlpm.razão,1-INDEX(_xlfn.ANCHORARRAY(I$12),B230),_xlpm.somatermospg,((_xlpm.razão^_xlpm.númerotermospg)-1)/(_xlpm.razão-1),_xlpm.númerotermosconstantes,IF(G230&lt;=B$3,0,G230-B$3),_xlpm.somatermosconstantes,(1-I230)*_xlpm.númerotermosconstantes,_xlpm.somatodostermos,_xlpm.somatermospg+_xlpm.somatermosconstantes,_xlpm.médiatodosostermos,_xlpm.somatodostermos/G230,1 - _xlpm.médiatodosostermos) * H230</f>
        <v>0.10195241115096909</v>
      </c>
      <c r="K230" s="110">
        <f ca="1"/>
        <v>9.9913362927949705E-3</v>
      </c>
    </row>
    <row r="231" spans="2:11">
      <c r="B231" s="345">
        <v>3</v>
      </c>
      <c r="C231" s="267" t="str">
        <f>'Painel Controle'!C$110</f>
        <v>Automóvel</v>
      </c>
      <c r="D231" s="481" t="str">
        <f>INDEX('Painel Controle'!D$110:D$121,MATCH(C231,'Painel Controle'!C$110:C$121,0))</f>
        <v>Leves</v>
      </c>
      <c r="E231" s="177" t="s">
        <v>596</v>
      </c>
      <c r="F231" s="110" cm="1">
        <f t="array" ref="F231">_xlfn._xlws.FILTER(E$34:E$81,(B$34:B$81 = B231) * (LEFT(C$34:C$81,5) = LEFT(D231,5)) * (D$34:D$81 = E231))</f>
        <v>0.24</v>
      </c>
      <c r="G231" s="565" cm="1">
        <f t="array" ref="G231">_xlfn._xlws.FILTER(F$34:F$81,(B$34:B$81 = B231) * (LEFT(C$34:C$81,5) = LEFT(D231,5)) * (D$34:D$81 = E231))</f>
        <v>4</v>
      </c>
      <c r="H231" s="250" t="b">
        <f t="shared" si="2"/>
        <v>1</v>
      </c>
      <c r="I231" s="219" cm="1">
        <f t="array" aca="1" ref="I231" ca="1">IF(G231&lt;=B$3,(1-((1-INDEX(I$12:I$15,B231))^(G231-1))),(1-((1-INDEX(I$12:I$15,B231))^(B$3-1)))) * H231</f>
        <v>3.4064206459297197E-2</v>
      </c>
      <c r="J231" s="219" cm="1">
        <f t="array" aca="1" ref="J231" ca="1">_xlfn.LET(_xlpm.númerotermospg,MIN(B$3,G231),_xlpm.razão,1-INDEX(_xlfn.ANCHORARRAY(I$12),B231),_xlpm.somatermospg,((_xlpm.razão^_xlpm.númerotermospg)-1)/(_xlpm.razão-1),_xlpm.númerotermosconstantes,IF(G231&lt;=B$3,0,G231-B$3),_xlpm.somatermosconstantes,(1-I231)*_xlpm.númerotermosconstantes,_xlpm.somatodostermos,_xlpm.somatermospg+_xlpm.somatermosconstantes,_xlpm.médiatodosostermos,_xlpm.somatodostermos/G231,1 - _xlpm.médiatodosostermos) * H231</f>
        <v>1.7097690343733651E-2</v>
      </c>
      <c r="K231" s="110">
        <f ca="1"/>
        <v>4.103445682496076E-3</v>
      </c>
    </row>
    <row r="232" spans="2:11">
      <c r="B232" s="345">
        <v>3</v>
      </c>
      <c r="C232" s="267" t="str">
        <f>'Painel Controle'!C$110</f>
        <v>Automóvel</v>
      </c>
      <c r="D232" s="481" t="str">
        <f>INDEX('Painel Controle'!D$110:D$121,MATCH(C232,'Painel Controle'!C$110:C$121,0))</f>
        <v>Leves</v>
      </c>
      <c r="E232" s="177" t="s">
        <v>597</v>
      </c>
      <c r="F232" s="110" cm="1">
        <f t="array" ref="F232">_xlfn._xlws.FILTER(E$34:E$81,(B$34:B$81 = B232) * (LEFT(C$34:C$81,5) = LEFT(D232,5)) * (D$34:D$81 = E232))</f>
        <v>9.8000000000000004E-2</v>
      </c>
      <c r="G232" s="565" cm="1">
        <f t="array" ref="G232">_xlfn._xlws.FILTER(F$34:F$81,(B$34:B$81 = B232) * (LEFT(C$34:C$81,5) = LEFT(D232,5)) * (D$34:D$81 = E232))</f>
        <v>2</v>
      </c>
      <c r="H232" s="250" t="b">
        <f t="shared" si="2"/>
        <v>1</v>
      </c>
      <c r="I232" s="219" cm="1">
        <f t="array" aca="1" ref="I232" ca="1">IF(G232&lt;=B$3,(1-((1-INDEX(I$12:I$15,B232))^(G232-1))),(1-((1-INDEX(I$12:I$15,B232))^(B$3-1)))) * H232</f>
        <v>1.148616227985555E-2</v>
      </c>
      <c r="J232" s="219" cm="1">
        <f t="array" aca="1" ref="J232" ca="1">_xlfn.LET(_xlpm.númerotermospg,MIN(B$3,G232),_xlpm.razão,1-INDEX(_xlfn.ANCHORARRAY(I$12),B232),_xlpm.somatermospg,((_xlpm.razão^_xlpm.númerotermospg)-1)/(_xlpm.razão-1),_xlpm.númerotermosconstantes,IF(G232&lt;=B$3,0,G232-B$3),_xlpm.somatermosconstantes,(1-I232)*_xlpm.númerotermosconstantes,_xlpm.somatodostermos,_xlpm.somatermospg+_xlpm.somatermosconstantes,_xlpm.médiatodosostermos,_xlpm.somatodostermos/G232,1 - _xlpm.médiatodosostermos) * H232</f>
        <v>5.743081139926054E-3</v>
      </c>
      <c r="K232" s="110">
        <f ca="1"/>
        <v>5.6282195171275333E-4</v>
      </c>
    </row>
    <row r="233" spans="2:11">
      <c r="B233" s="345">
        <v>3</v>
      </c>
      <c r="C233" s="267" t="str">
        <f>'Painel Controle'!C$110</f>
        <v>Automóvel</v>
      </c>
      <c r="D233" s="481" t="str">
        <f>INDEX('Painel Controle'!D$110:D$121,MATCH(C233,'Painel Controle'!C$110:C$121,0))</f>
        <v>Leves</v>
      </c>
      <c r="E233" s="177" t="s">
        <v>598</v>
      </c>
      <c r="F233" s="110" cm="1">
        <f t="array" ref="F233">_xlfn._xlws.FILTER(E$34:E$81,(B$34:B$81 = B233) * (LEFT(C$34:C$81,5) = LEFT(D233,5)) * (D$34:D$81 = E233))</f>
        <v>1.9E-2</v>
      </c>
      <c r="G233" s="565" cm="1">
        <f t="array" ref="G233">_xlfn._xlws.FILTER(F$34:F$81,(B$34:B$81 = B233) * (LEFT(C$34:C$81,5) = LEFT(D233,5)) * (D$34:D$81 = E233))</f>
        <v>1</v>
      </c>
      <c r="H233" s="250" t="b">
        <f t="shared" si="2"/>
        <v>1</v>
      </c>
      <c r="I233" s="219" cm="1">
        <f t="array" aca="1" ref="I233" ca="1">IF(G233&lt;=B$3,(1-((1-INDEX(I$12:I$15,B233))^(G233-1))),(1-((1-INDEX(I$12:I$15,B233))^(B$3-1)))) * H233</f>
        <v>0</v>
      </c>
      <c r="J233" s="219" cm="1">
        <f t="array" aca="1" ref="J233" ca="1">_xlfn.LET(_xlpm.númerotermospg,MIN(B$3,G233),_xlpm.razão,1-INDEX(_xlfn.ANCHORARRAY(I$12),B233),_xlpm.somatermospg,((_xlpm.razão^_xlpm.númerotermospg)-1)/(_xlpm.razão-1),_xlpm.númerotermosconstantes,IF(G233&lt;=B$3,0,G233-B$3),_xlpm.somatermosconstantes,(1-I233)*_xlpm.númerotermosconstantes,_xlpm.somatodostermos,_xlpm.somatermospg+_xlpm.somatermosconstantes,_xlpm.médiatodosostermos,_xlpm.somatodostermos/G233,1 - _xlpm.médiatodosostermos) * H233</f>
        <v>0</v>
      </c>
      <c r="K233" s="110">
        <f ca="1"/>
        <v>0</v>
      </c>
    </row>
    <row r="234" spans="2:11">
      <c r="B234" s="345">
        <v>3</v>
      </c>
      <c r="C234" s="267" t="str">
        <f>'Painel Controle'!C$110</f>
        <v>Automóvel</v>
      </c>
      <c r="D234" s="481" t="str">
        <f>INDEX('Painel Controle'!D$110:D$121,MATCH(C234,'Painel Controle'!C$110:C$121,0))</f>
        <v>Leves</v>
      </c>
      <c r="E234" s="177" t="s">
        <v>599</v>
      </c>
      <c r="F234" s="110" cm="1">
        <f t="array" ref="F234">_xlfn._xlws.FILTER(E$34:E$81,(B$34:B$81 = B234) * (LEFT(C$34:C$81,5) = LEFT(D234,5)) * (D$34:D$81 = E234))</f>
        <v>0.49199999999999999</v>
      </c>
      <c r="G234" s="565" cm="1">
        <f t="array" ref="G234">_xlfn._xlws.FILTER(F$34:F$81,(B$34:B$81 = B234) * (LEFT(C$34:C$81,5) = LEFT(D234,5)) * (D$34:D$81 = E234))</f>
        <v>1</v>
      </c>
      <c r="H234" s="250" t="b">
        <f t="shared" si="2"/>
        <v>1</v>
      </c>
      <c r="I234" s="219" cm="1">
        <f t="array" aca="1" ref="I234" ca="1">IF(G234&lt;=B$3,(1-((1-INDEX(I$12:I$15,B234))^(G234-1))),(1-((1-INDEX(I$12:I$15,B234))^(B$3-1)))) * H234</f>
        <v>0</v>
      </c>
      <c r="J234" s="219" cm="1">
        <f t="array" aca="1" ref="J234" ca="1">_xlfn.LET(_xlpm.númerotermospg,MIN(B$3,G234),_xlpm.razão,1-INDEX(_xlfn.ANCHORARRAY(I$12),B234),_xlpm.somatermospg,((_xlpm.razão^_xlpm.númerotermospg)-1)/(_xlpm.razão-1),_xlpm.númerotermosconstantes,IF(G234&lt;=B$3,0,G234-B$3),_xlpm.somatermosconstantes,(1-I234)*_xlpm.númerotermosconstantes,_xlpm.somatodostermos,_xlpm.somatermospg+_xlpm.somatermosconstantes,_xlpm.médiatodosostermos,_xlpm.somatodostermos/G234,1 - _xlpm.médiatodosostermos) * H234</f>
        <v>0</v>
      </c>
      <c r="K234" s="110">
        <f ca="1"/>
        <v>0</v>
      </c>
    </row>
    <row r="235" spans="2:11">
      <c r="B235" s="345">
        <v>3</v>
      </c>
      <c r="C235" s="267" t="str">
        <f>'Painel Controle'!C$110</f>
        <v>Automóvel</v>
      </c>
      <c r="D235" s="481" t="str">
        <f>INDEX('Painel Controle'!D$110:D$121,MATCH(C235,'Painel Controle'!C$110:C$121,0))</f>
        <v>Leves</v>
      </c>
      <c r="E235" s="177" t="s">
        <v>600</v>
      </c>
      <c r="F235" s="110" cm="1">
        <f t="array" ref="F235">_xlfn._xlws.FILTER(E$34:E$81,(B$34:B$81 = B235) * (LEFT(C$34:C$81,5) = LEFT(D235,5)) * (D$34:D$81 = E235))</f>
        <v>5.2999999999999999E-2</v>
      </c>
      <c r="G235" s="565" cm="1">
        <f t="array" ref="G235">_xlfn._xlws.FILTER(F$34:F$81,(B$34:B$81 = B235) * (LEFT(C$34:C$81,5) = LEFT(D235,5)) * (D$34:D$81 = E235))</f>
        <v>1</v>
      </c>
      <c r="H235" s="250" t="b">
        <f t="shared" si="2"/>
        <v>1</v>
      </c>
      <c r="I235" s="219" cm="1">
        <f t="array" aca="1" ref="I235" ca="1">IF(G235&lt;=B$3,(1-((1-INDEX(I$12:I$15,B235))^(G235-1))),(1-((1-INDEX(I$12:I$15,B235))^(B$3-1)))) * H235</f>
        <v>0</v>
      </c>
      <c r="J235" s="219" cm="1">
        <f t="array" aca="1" ref="J235" ca="1">_xlfn.LET(_xlpm.númerotermospg,MIN(B$3,G235),_xlpm.razão,1-INDEX(_xlfn.ANCHORARRAY(I$12),B235),_xlpm.somatermospg,((_xlpm.razão^_xlpm.númerotermospg)-1)/(_xlpm.razão-1),_xlpm.númerotermosconstantes,IF(G235&lt;=B$3,0,G235-B$3),_xlpm.somatermosconstantes,(1-I235)*_xlpm.númerotermosconstantes,_xlpm.somatodostermos,_xlpm.somatermospg+_xlpm.somatermosconstantes,_xlpm.médiatodosostermos,_xlpm.somatodostermos/G235,1 - _xlpm.médiatodosostermos) * H235</f>
        <v>0</v>
      </c>
      <c r="K235" s="110">
        <f ca="1"/>
        <v>0</v>
      </c>
    </row>
    <row r="236" spans="2:11">
      <c r="B236" s="345">
        <v>3</v>
      </c>
      <c r="C236" s="267" t="str">
        <f>'Painel Controle'!C$111</f>
        <v xml:space="preserve">Automóvel com reboque </v>
      </c>
      <c r="D236" s="481" t="str">
        <f>INDEX('Painel Controle'!D$110:D$121,MATCH(C236,'Painel Controle'!C$110:C$121,0))</f>
        <v>Leves</v>
      </c>
      <c r="E236" s="177" t="s">
        <v>595</v>
      </c>
      <c r="F236" s="110" cm="1">
        <f t="array" ref="F236">_xlfn._xlws.FILTER(E$34:E$81,(B$34:B$81 = B236) * (LEFT(C$34:C$81,5) = LEFT(D236,5)) * (D$34:D$81 = E236))</f>
        <v>9.8000000000000004E-2</v>
      </c>
      <c r="G236" s="565" cm="1">
        <f t="array" ref="G236">_xlfn._xlws.FILTER(F$34:F$81,(B$34:B$81 = B236) * (LEFT(C$34:C$81,5) = LEFT(D236,5)) * (D$34:D$81 = E236))</f>
        <v>20</v>
      </c>
      <c r="H236" s="250" t="b">
        <f t="shared" si="2"/>
        <v>0</v>
      </c>
      <c r="I236" s="219" cm="1">
        <f t="array" aca="1" ref="I236" ca="1">IF(G236&lt;=B$3,(1-((1-INDEX(I$12:I$15,B236))^(G236-1))),(1-((1-INDEX(I$12:I$15,B236))^(B$3-1)))) * H236</f>
        <v>0</v>
      </c>
      <c r="J236" s="219" cm="1">
        <f t="array" aca="1" ref="J236" ca="1">_xlfn.LET(_xlpm.númerotermospg,MIN(B$3,G236),_xlpm.razão,1-INDEX(_xlfn.ANCHORARRAY(I$12),B236),_xlpm.somatermospg,((_xlpm.razão^_xlpm.númerotermospg)-1)/(_xlpm.razão-1),_xlpm.númerotermosconstantes,IF(G236&lt;=B$3,0,G236-B$3),_xlpm.somatermosconstantes,(1-I236)*_xlpm.númerotermosconstantes,_xlpm.somatodostermos,_xlpm.somatermospg+_xlpm.somatermosconstantes,_xlpm.médiatodosostermos,_xlpm.somatodostermos/G236,1 - _xlpm.médiatodosostermos) * H236</f>
        <v>0</v>
      </c>
      <c r="K236" s="110">
        <f ca="1"/>
        <v>0</v>
      </c>
    </row>
    <row r="237" spans="2:11">
      <c r="B237" s="345">
        <v>3</v>
      </c>
      <c r="C237" s="267" t="str">
        <f>'Painel Controle'!C$111</f>
        <v xml:space="preserve">Automóvel com reboque </v>
      </c>
      <c r="D237" s="481" t="str">
        <f>INDEX('Painel Controle'!D$110:D$121,MATCH(C237,'Painel Controle'!C$110:C$121,0))</f>
        <v>Leves</v>
      </c>
      <c r="E237" s="177" t="s">
        <v>596</v>
      </c>
      <c r="F237" s="110" cm="1">
        <f t="array" ref="F237">_xlfn._xlws.FILTER(E$34:E$81,(B$34:B$81 = B237) * (LEFT(C$34:C$81,5) = LEFT(D237,5)) * (D$34:D$81 = E237))</f>
        <v>0.24</v>
      </c>
      <c r="G237" s="565" cm="1">
        <f t="array" ref="G237">_xlfn._xlws.FILTER(F$34:F$81,(B$34:B$81 = B237) * (LEFT(C$34:C$81,5) = LEFT(D237,5)) * (D$34:D$81 = E237))</f>
        <v>4</v>
      </c>
      <c r="H237" s="250" t="b">
        <f t="shared" si="2"/>
        <v>0</v>
      </c>
      <c r="I237" s="219" cm="1">
        <f t="array" aca="1" ref="I237" ca="1">IF(G237&lt;=B$3,(1-((1-INDEX(I$12:I$15,B237))^(G237-1))),(1-((1-INDEX(I$12:I$15,B237))^(B$3-1)))) * H237</f>
        <v>0</v>
      </c>
      <c r="J237" s="219" cm="1">
        <f t="array" aca="1" ref="J237" ca="1">_xlfn.LET(_xlpm.númerotermospg,MIN(B$3,G237),_xlpm.razão,1-INDEX(_xlfn.ANCHORARRAY(I$12),B237),_xlpm.somatermospg,((_xlpm.razão^_xlpm.númerotermospg)-1)/(_xlpm.razão-1),_xlpm.númerotermosconstantes,IF(G237&lt;=B$3,0,G237-B$3),_xlpm.somatermosconstantes,(1-I237)*_xlpm.númerotermosconstantes,_xlpm.somatodostermos,_xlpm.somatermospg+_xlpm.somatermosconstantes,_xlpm.médiatodosostermos,_xlpm.somatodostermos/G237,1 - _xlpm.médiatodosostermos) * H237</f>
        <v>0</v>
      </c>
      <c r="K237" s="110">
        <f ca="1"/>
        <v>0</v>
      </c>
    </row>
    <row r="238" spans="2:11">
      <c r="B238" s="345">
        <v>3</v>
      </c>
      <c r="C238" s="267" t="str">
        <f>'Painel Controle'!C$111</f>
        <v xml:space="preserve">Automóvel com reboque </v>
      </c>
      <c r="D238" s="481" t="str">
        <f>INDEX('Painel Controle'!D$110:D$121,MATCH(C238,'Painel Controle'!C$110:C$121,0))</f>
        <v>Leves</v>
      </c>
      <c r="E238" s="177" t="s">
        <v>597</v>
      </c>
      <c r="F238" s="110" cm="1">
        <f t="array" ref="F238">_xlfn._xlws.FILTER(E$34:E$81,(B$34:B$81 = B238) * (LEFT(C$34:C$81,5) = LEFT(D238,5)) * (D$34:D$81 = E238))</f>
        <v>9.8000000000000004E-2</v>
      </c>
      <c r="G238" s="565" cm="1">
        <f t="array" ref="G238">_xlfn._xlws.FILTER(F$34:F$81,(B$34:B$81 = B238) * (LEFT(C$34:C$81,5) = LEFT(D238,5)) * (D$34:D$81 = E238))</f>
        <v>2</v>
      </c>
      <c r="H238" s="250" t="b">
        <f t="shared" si="2"/>
        <v>0</v>
      </c>
      <c r="I238" s="219" cm="1">
        <f t="array" aca="1" ref="I238" ca="1">IF(G238&lt;=B$3,(1-((1-INDEX(I$12:I$15,B238))^(G238-1))),(1-((1-INDEX(I$12:I$15,B238))^(B$3-1)))) * H238</f>
        <v>0</v>
      </c>
      <c r="J238" s="219" cm="1">
        <f t="array" aca="1" ref="J238" ca="1">_xlfn.LET(_xlpm.númerotermospg,MIN(B$3,G238),_xlpm.razão,1-INDEX(_xlfn.ANCHORARRAY(I$12),B238),_xlpm.somatermospg,((_xlpm.razão^_xlpm.númerotermospg)-1)/(_xlpm.razão-1),_xlpm.númerotermosconstantes,IF(G238&lt;=B$3,0,G238-B$3),_xlpm.somatermosconstantes,(1-I238)*_xlpm.númerotermosconstantes,_xlpm.somatodostermos,_xlpm.somatermospg+_xlpm.somatermosconstantes,_xlpm.médiatodosostermos,_xlpm.somatodostermos/G238,1 - _xlpm.médiatodosostermos) * H238</f>
        <v>0</v>
      </c>
      <c r="K238" s="110">
        <f ca="1"/>
        <v>0</v>
      </c>
    </row>
    <row r="239" spans="2:11">
      <c r="B239" s="345">
        <v>3</v>
      </c>
      <c r="C239" s="267" t="str">
        <f>'Painel Controle'!C$111</f>
        <v xml:space="preserve">Automóvel com reboque </v>
      </c>
      <c r="D239" s="481" t="str">
        <f>INDEX('Painel Controle'!D$110:D$121,MATCH(C239,'Painel Controle'!C$110:C$121,0))</f>
        <v>Leves</v>
      </c>
      <c r="E239" s="177" t="s">
        <v>598</v>
      </c>
      <c r="F239" s="110" cm="1">
        <f t="array" ref="F239">_xlfn._xlws.FILTER(E$34:E$81,(B$34:B$81 = B239) * (LEFT(C$34:C$81,5) = LEFT(D239,5)) * (D$34:D$81 = E239))</f>
        <v>1.9E-2</v>
      </c>
      <c r="G239" s="565" cm="1">
        <f t="array" ref="G239">_xlfn._xlws.FILTER(F$34:F$81,(B$34:B$81 = B239) * (LEFT(C$34:C$81,5) = LEFT(D239,5)) * (D$34:D$81 = E239))</f>
        <v>1</v>
      </c>
      <c r="H239" s="250" t="b">
        <f t="shared" si="2"/>
        <v>0</v>
      </c>
      <c r="I239" s="219" cm="1">
        <f t="array" aca="1" ref="I239" ca="1">IF(G239&lt;=B$3,(1-((1-INDEX(I$12:I$15,B239))^(G239-1))),(1-((1-INDEX(I$12:I$15,B239))^(B$3-1)))) * H239</f>
        <v>0</v>
      </c>
      <c r="J239" s="219" cm="1">
        <f t="array" aca="1" ref="J239" ca="1">_xlfn.LET(_xlpm.númerotermospg,MIN(B$3,G239),_xlpm.razão,1-INDEX(_xlfn.ANCHORARRAY(I$12),B239),_xlpm.somatermospg,((_xlpm.razão^_xlpm.númerotermospg)-1)/(_xlpm.razão-1),_xlpm.númerotermosconstantes,IF(G239&lt;=B$3,0,G239-B$3),_xlpm.somatermosconstantes,(1-I239)*_xlpm.númerotermosconstantes,_xlpm.somatodostermos,_xlpm.somatermospg+_xlpm.somatermosconstantes,_xlpm.médiatodosostermos,_xlpm.somatodostermos/G239,1 - _xlpm.médiatodosostermos) * H239</f>
        <v>0</v>
      </c>
      <c r="K239" s="110">
        <f ca="1"/>
        <v>0</v>
      </c>
    </row>
    <row r="240" spans="2:11">
      <c r="B240" s="345">
        <v>3</v>
      </c>
      <c r="C240" s="267" t="str">
        <f>'Painel Controle'!C$111</f>
        <v xml:space="preserve">Automóvel com reboque </v>
      </c>
      <c r="D240" s="481" t="str">
        <f>INDEX('Painel Controle'!D$110:D$121,MATCH(C240,'Painel Controle'!C$110:C$121,0))</f>
        <v>Leves</v>
      </c>
      <c r="E240" s="177" t="s">
        <v>599</v>
      </c>
      <c r="F240" s="110" cm="1">
        <f t="array" ref="F240">_xlfn._xlws.FILTER(E$34:E$81,(B$34:B$81 = B240) * (LEFT(C$34:C$81,5) = LEFT(D240,5)) * (D$34:D$81 = E240))</f>
        <v>0.49199999999999999</v>
      </c>
      <c r="G240" s="565" cm="1">
        <f t="array" ref="G240">_xlfn._xlws.FILTER(F$34:F$81,(B$34:B$81 = B240) * (LEFT(C$34:C$81,5) = LEFT(D240,5)) * (D$34:D$81 = E240))</f>
        <v>1</v>
      </c>
      <c r="H240" s="250" t="b">
        <f t="shared" si="2"/>
        <v>0</v>
      </c>
      <c r="I240" s="219" cm="1">
        <f t="array" aca="1" ref="I240" ca="1">IF(G240&lt;=B$3,(1-((1-INDEX(I$12:I$15,B240))^(G240-1))),(1-((1-INDEX(I$12:I$15,B240))^(B$3-1)))) * H240</f>
        <v>0</v>
      </c>
      <c r="J240" s="219" cm="1">
        <f t="array" aca="1" ref="J240" ca="1">_xlfn.LET(_xlpm.númerotermospg,MIN(B$3,G240),_xlpm.razão,1-INDEX(_xlfn.ANCHORARRAY(I$12),B240),_xlpm.somatermospg,((_xlpm.razão^_xlpm.númerotermospg)-1)/(_xlpm.razão-1),_xlpm.númerotermosconstantes,IF(G240&lt;=B$3,0,G240-B$3),_xlpm.somatermosconstantes,(1-I240)*_xlpm.númerotermosconstantes,_xlpm.somatodostermos,_xlpm.somatermospg+_xlpm.somatermosconstantes,_xlpm.médiatodosostermos,_xlpm.somatodostermos/G240,1 - _xlpm.médiatodosostermos) * H240</f>
        <v>0</v>
      </c>
      <c r="K240" s="110">
        <f ca="1"/>
        <v>0</v>
      </c>
    </row>
    <row r="241" spans="2:11">
      <c r="B241" s="345">
        <v>3</v>
      </c>
      <c r="C241" s="267" t="str">
        <f>'Painel Controle'!C$111</f>
        <v xml:space="preserve">Automóvel com reboque </v>
      </c>
      <c r="D241" s="481" t="str">
        <f>INDEX('Painel Controle'!D$110:D$121,MATCH(C241,'Painel Controle'!C$110:C$121,0))</f>
        <v>Leves</v>
      </c>
      <c r="E241" s="177" t="s">
        <v>600</v>
      </c>
      <c r="F241" s="110" cm="1">
        <f t="array" ref="F241">_xlfn._xlws.FILTER(E$34:E$81,(B$34:B$81 = B241) * (LEFT(C$34:C$81,5) = LEFT(D241,5)) * (D$34:D$81 = E241))</f>
        <v>5.2999999999999999E-2</v>
      </c>
      <c r="G241" s="565" cm="1">
        <f t="array" ref="G241">_xlfn._xlws.FILTER(F$34:F$81,(B$34:B$81 = B241) * (LEFT(C$34:C$81,5) = LEFT(D241,5)) * (D$34:D$81 = E241))</f>
        <v>1</v>
      </c>
      <c r="H241" s="250" t="b">
        <f t="shared" si="2"/>
        <v>0</v>
      </c>
      <c r="I241" s="219" cm="1">
        <f t="array" aca="1" ref="I241" ca="1">IF(G241&lt;=B$3,(1-((1-INDEX(I$12:I$15,B241))^(G241-1))),(1-((1-INDEX(I$12:I$15,B241))^(B$3-1)))) * H241</f>
        <v>0</v>
      </c>
      <c r="J241" s="219" cm="1">
        <f t="array" aca="1" ref="J241" ca="1">_xlfn.LET(_xlpm.númerotermospg,MIN(B$3,G241),_xlpm.razão,1-INDEX(_xlfn.ANCHORARRAY(I$12),B241),_xlpm.somatermospg,((_xlpm.razão^_xlpm.númerotermospg)-1)/(_xlpm.razão-1),_xlpm.númerotermosconstantes,IF(G241&lt;=B$3,0,G241-B$3),_xlpm.somatermosconstantes,(1-I241)*_xlpm.númerotermosconstantes,_xlpm.somatodostermos,_xlpm.somatermospg+_xlpm.somatermosconstantes,_xlpm.médiatodosostermos,_xlpm.somatodostermos/G241,1 - _xlpm.médiatodosostermos) * H241</f>
        <v>0</v>
      </c>
      <c r="K241" s="110">
        <f ca="1"/>
        <v>0</v>
      </c>
    </row>
    <row r="242" spans="2:11">
      <c r="B242" s="345">
        <v>3</v>
      </c>
      <c r="C242" s="267" t="str">
        <f>'Painel Controle'!C$112</f>
        <v>Veículos Comerciais com 2 Eixos</v>
      </c>
      <c r="D242" s="481" t="str">
        <f>INDEX('Painel Controle'!D$110:D$121,MATCH(C242,'Painel Controle'!C$110:C$121,0))</f>
        <v>Pesados I</v>
      </c>
      <c r="E242" s="177" t="s">
        <v>595</v>
      </c>
      <c r="F242" s="110" cm="1">
        <f t="array" ref="F242">_xlfn._xlws.FILTER(E$34:E$81,(B$34:B$81 = B242) * (LEFT(C$34:C$81,5) = LEFT(D242,5)) * (D$34:D$81 = E242))</f>
        <v>0.13489999999999999</v>
      </c>
      <c r="G242" s="565" cm="1">
        <f t="array" ref="G242">_xlfn._xlws.FILTER(F$34:F$81,(B$34:B$81 = B242) * (LEFT(C$34:C$81,5) = LEFT(D242,5)) * (D$34:D$81 = E242))</f>
        <v>20</v>
      </c>
      <c r="H242" s="250" t="b">
        <f t="shared" si="2"/>
        <v>0</v>
      </c>
      <c r="I242" s="219" cm="1">
        <f t="array" aca="1" ref="I242" ca="1">IF(G242&lt;=B$3,(1-((1-INDEX(I$12:I$15,B242))^(G242-1))),(1-((1-INDEX(I$12:I$15,B242))^(B$3-1)))) * H242</f>
        <v>0</v>
      </c>
      <c r="J242" s="219" cm="1">
        <f t="array" aca="1" ref="J242" ca="1">_xlfn.LET(_xlpm.númerotermospg,MIN(B$3,G242),_xlpm.razão,1-INDEX(_xlfn.ANCHORARRAY(I$12),B242),_xlpm.somatermospg,((_xlpm.razão^_xlpm.númerotermospg)-1)/(_xlpm.razão-1),_xlpm.númerotermosconstantes,IF(G242&lt;=B$3,0,G242-B$3),_xlpm.somatermosconstantes,(1-I242)*_xlpm.númerotermosconstantes,_xlpm.somatodostermos,_xlpm.somatermospg+_xlpm.somatermosconstantes,_xlpm.médiatodosostermos,_xlpm.somatodostermos/G242,1 - _xlpm.médiatodosostermos) * H242</f>
        <v>0</v>
      </c>
      <c r="K242" s="110">
        <f ca="1"/>
        <v>0</v>
      </c>
    </row>
    <row r="243" spans="2:11">
      <c r="B243" s="345">
        <v>3</v>
      </c>
      <c r="C243" s="267" t="str">
        <f>'Painel Controle'!C$112</f>
        <v>Veículos Comerciais com 2 Eixos</v>
      </c>
      <c r="D243" s="481" t="str">
        <f>INDEX('Painel Controle'!D$110:D$121,MATCH(C243,'Painel Controle'!C$110:C$121,0))</f>
        <v>Pesados I</v>
      </c>
      <c r="E243" s="177" t="s">
        <v>596</v>
      </c>
      <c r="F243" s="110" cm="1">
        <f t="array" ref="F243">_xlfn._xlws.FILTER(E$34:E$81,(B$34:B$81 = B243) * (LEFT(C$34:C$81,5) = LEFT(D243,5)) * (D$34:D$81 = E243))</f>
        <v>0.28399999999999997</v>
      </c>
      <c r="G243" s="565" cm="1">
        <f t="array" ref="G243">_xlfn._xlws.FILTER(F$34:F$81,(B$34:B$81 = B243) * (LEFT(C$34:C$81,5) = LEFT(D243,5)) * (D$34:D$81 = E243))</f>
        <v>4</v>
      </c>
      <c r="H243" s="250" t="b">
        <f t="shared" si="2"/>
        <v>0</v>
      </c>
      <c r="I243" s="219" cm="1">
        <f t="array" aca="1" ref="I243" ca="1">IF(G243&lt;=B$3,(1-((1-INDEX(I$12:I$15,B243))^(G243-1))),(1-((1-INDEX(I$12:I$15,B243))^(B$3-1)))) * H243</f>
        <v>0</v>
      </c>
      <c r="J243" s="219" cm="1">
        <f t="array" aca="1" ref="J243" ca="1">_xlfn.LET(_xlpm.númerotermospg,MIN(B$3,G243),_xlpm.razão,1-INDEX(_xlfn.ANCHORARRAY(I$12),B243),_xlpm.somatermospg,((_xlpm.razão^_xlpm.númerotermospg)-1)/(_xlpm.razão-1),_xlpm.númerotermosconstantes,IF(G243&lt;=B$3,0,G243-B$3),_xlpm.somatermosconstantes,(1-I243)*_xlpm.númerotermosconstantes,_xlpm.somatodostermos,_xlpm.somatermospg+_xlpm.somatermosconstantes,_xlpm.médiatodosostermos,_xlpm.somatodostermos/G243,1 - _xlpm.médiatodosostermos) * H243</f>
        <v>0</v>
      </c>
      <c r="K243" s="110">
        <f ca="1"/>
        <v>0</v>
      </c>
    </row>
    <row r="244" spans="2:11">
      <c r="B244" s="345">
        <v>3</v>
      </c>
      <c r="C244" s="267" t="str">
        <f>'Painel Controle'!C$112</f>
        <v>Veículos Comerciais com 2 Eixos</v>
      </c>
      <c r="D244" s="481" t="str">
        <f>INDEX('Painel Controle'!D$110:D$121,MATCH(C244,'Painel Controle'!C$110:C$121,0))</f>
        <v>Pesados I</v>
      </c>
      <c r="E244" s="177" t="s">
        <v>597</v>
      </c>
      <c r="F244" s="110" cm="1">
        <f t="array" ref="F244">_xlfn._xlws.FILTER(E$34:E$81,(B$34:B$81 = B244) * (LEFT(C$34:C$81,5) = LEFT(D244,5)) * (D$34:D$81 = E244))</f>
        <v>0.14899999999999999</v>
      </c>
      <c r="G244" s="565" cm="1">
        <f t="array" ref="G244">_xlfn._xlws.FILTER(F$34:F$81,(B$34:B$81 = B244) * (LEFT(C$34:C$81,5) = LEFT(D244,5)) * (D$34:D$81 = E244))</f>
        <v>2</v>
      </c>
      <c r="H244" s="250" t="b">
        <f t="shared" si="2"/>
        <v>0</v>
      </c>
      <c r="I244" s="219" cm="1">
        <f t="array" aca="1" ref="I244" ca="1">IF(G244&lt;=B$3,(1-((1-INDEX(I$12:I$15,B244))^(G244-1))),(1-((1-INDEX(I$12:I$15,B244))^(B$3-1)))) * H244</f>
        <v>0</v>
      </c>
      <c r="J244" s="219" cm="1">
        <f t="array" aca="1" ref="J244" ca="1">_xlfn.LET(_xlpm.númerotermospg,MIN(B$3,G244),_xlpm.razão,1-INDEX(_xlfn.ANCHORARRAY(I$12),B244),_xlpm.somatermospg,((_xlpm.razão^_xlpm.númerotermospg)-1)/(_xlpm.razão-1),_xlpm.númerotermosconstantes,IF(G244&lt;=B$3,0,G244-B$3),_xlpm.somatermosconstantes,(1-I244)*_xlpm.númerotermosconstantes,_xlpm.somatodostermos,_xlpm.somatermospg+_xlpm.somatermosconstantes,_xlpm.médiatodosostermos,_xlpm.somatodostermos/G244,1 - _xlpm.médiatodosostermos) * H244</f>
        <v>0</v>
      </c>
      <c r="K244" s="110">
        <f ca="1"/>
        <v>0</v>
      </c>
    </row>
    <row r="245" spans="2:11">
      <c r="B245" s="345">
        <v>3</v>
      </c>
      <c r="C245" s="267" t="str">
        <f>'Painel Controle'!C$112</f>
        <v>Veículos Comerciais com 2 Eixos</v>
      </c>
      <c r="D245" s="481" t="str">
        <f>INDEX('Painel Controle'!D$110:D$121,MATCH(C245,'Painel Controle'!C$110:C$121,0))</f>
        <v>Pesados I</v>
      </c>
      <c r="E245" s="177" t="s">
        <v>598</v>
      </c>
      <c r="F245" s="110" cm="1">
        <f t="array" ref="F245">_xlfn._xlws.FILTER(E$34:E$81,(B$34:B$81 = B245) * (LEFT(C$34:C$81,5) = LEFT(D245,5)) * (D$34:D$81 = E245))</f>
        <v>1.4E-2</v>
      </c>
      <c r="G245" s="565" cm="1">
        <f t="array" ref="G245">_xlfn._xlws.FILTER(F$34:F$81,(B$34:B$81 = B245) * (LEFT(C$34:C$81,5) = LEFT(D245,5)) * (D$34:D$81 = E245))</f>
        <v>1</v>
      </c>
      <c r="H245" s="250" t="b">
        <f t="shared" si="2"/>
        <v>0</v>
      </c>
      <c r="I245" s="219" cm="1">
        <f t="array" aca="1" ref="I245" ca="1">IF(G245&lt;=B$3,(1-((1-INDEX(I$12:I$15,B245))^(G245-1))),(1-((1-INDEX(I$12:I$15,B245))^(B$3-1)))) * H245</f>
        <v>0</v>
      </c>
      <c r="J245" s="219" cm="1">
        <f t="array" aca="1" ref="J245" ca="1">_xlfn.LET(_xlpm.númerotermospg,MIN(B$3,G245),_xlpm.razão,1-INDEX(_xlfn.ANCHORARRAY(I$12),B245),_xlpm.somatermospg,((_xlpm.razão^_xlpm.númerotermospg)-1)/(_xlpm.razão-1),_xlpm.númerotermosconstantes,IF(G245&lt;=B$3,0,G245-B$3),_xlpm.somatermosconstantes,(1-I245)*_xlpm.númerotermosconstantes,_xlpm.somatodostermos,_xlpm.somatermospg+_xlpm.somatermosconstantes,_xlpm.médiatodosostermos,_xlpm.somatodostermos/G245,1 - _xlpm.médiatodosostermos) * H245</f>
        <v>0</v>
      </c>
      <c r="K245" s="110">
        <f ca="1"/>
        <v>0</v>
      </c>
    </row>
    <row r="246" spans="2:11">
      <c r="B246" s="345">
        <v>3</v>
      </c>
      <c r="C246" s="267" t="str">
        <f>'Painel Controle'!C$112</f>
        <v>Veículos Comerciais com 2 Eixos</v>
      </c>
      <c r="D246" s="481" t="str">
        <f>INDEX('Painel Controle'!D$110:D$121,MATCH(C246,'Painel Controle'!C$110:C$121,0))</f>
        <v>Pesados I</v>
      </c>
      <c r="E246" s="177" t="s">
        <v>599</v>
      </c>
      <c r="F246" s="110" cm="1">
        <f t="array" ref="F246">_xlfn._xlws.FILTER(E$34:E$81,(B$34:B$81 = B246) * (LEFT(C$34:C$81,5) = LEFT(D246,5)) * (D$34:D$81 = E246))</f>
        <v>0.39200000000000002</v>
      </c>
      <c r="G246" s="565" cm="1">
        <f t="array" ref="G246">_xlfn._xlws.FILTER(F$34:F$81,(B$34:B$81 = B246) * (LEFT(C$34:C$81,5) = LEFT(D246,5)) * (D$34:D$81 = E246))</f>
        <v>1</v>
      </c>
      <c r="H246" s="250" t="b">
        <f t="shared" si="2"/>
        <v>0</v>
      </c>
      <c r="I246" s="219" cm="1">
        <f t="array" aca="1" ref="I246" ca="1">IF(G246&lt;=B$3,(1-((1-INDEX(I$12:I$15,B246))^(G246-1))),(1-((1-INDEX(I$12:I$15,B246))^(B$3-1)))) * H246</f>
        <v>0</v>
      </c>
      <c r="J246" s="219" cm="1">
        <f t="array" aca="1" ref="J246" ca="1">_xlfn.LET(_xlpm.númerotermospg,MIN(B$3,G246),_xlpm.razão,1-INDEX(_xlfn.ANCHORARRAY(I$12),B246),_xlpm.somatermospg,((_xlpm.razão^_xlpm.númerotermospg)-1)/(_xlpm.razão-1),_xlpm.númerotermosconstantes,IF(G246&lt;=B$3,0,G246-B$3),_xlpm.somatermosconstantes,(1-I246)*_xlpm.númerotermosconstantes,_xlpm.somatodostermos,_xlpm.somatermospg+_xlpm.somatermosconstantes,_xlpm.médiatodosostermos,_xlpm.somatodostermos/G246,1 - _xlpm.médiatodosostermos) * H246</f>
        <v>0</v>
      </c>
      <c r="K246" s="110">
        <f ca="1"/>
        <v>0</v>
      </c>
    </row>
    <row r="247" spans="2:11">
      <c r="B247" s="345">
        <v>3</v>
      </c>
      <c r="C247" s="267" t="str">
        <f>'Painel Controle'!C$112</f>
        <v>Veículos Comerciais com 2 Eixos</v>
      </c>
      <c r="D247" s="481" t="str">
        <f>INDEX('Painel Controle'!D$110:D$121,MATCH(C247,'Painel Controle'!C$110:C$121,0))</f>
        <v>Pesados I</v>
      </c>
      <c r="E247" s="177" t="s">
        <v>600</v>
      </c>
      <c r="F247" s="110" cm="1">
        <f t="array" ref="F247">_xlfn._xlws.FILTER(E$34:E$81,(B$34:B$81 = B247) * (LEFT(C$34:C$81,5) = LEFT(D247,5)) * (D$34:D$81 = E247))</f>
        <v>2.7E-2</v>
      </c>
      <c r="G247" s="565" cm="1">
        <f t="array" ref="G247">_xlfn._xlws.FILTER(F$34:F$81,(B$34:B$81 = B247) * (LEFT(C$34:C$81,5) = LEFT(D247,5)) * (D$34:D$81 = E247))</f>
        <v>1</v>
      </c>
      <c r="H247" s="250" t="b">
        <f t="shared" si="2"/>
        <v>0</v>
      </c>
      <c r="I247" s="219" cm="1">
        <f t="array" aca="1" ref="I247" ca="1">IF(G247&lt;=B$3,(1-((1-INDEX(I$12:I$15,B247))^(G247-1))),(1-((1-INDEX(I$12:I$15,B247))^(B$3-1)))) * H247</f>
        <v>0</v>
      </c>
      <c r="J247" s="219" cm="1">
        <f t="array" aca="1" ref="J247" ca="1">_xlfn.LET(_xlpm.númerotermospg,MIN(B$3,G247),_xlpm.razão,1-INDEX(_xlfn.ANCHORARRAY(I$12),B247),_xlpm.somatermospg,((_xlpm.razão^_xlpm.númerotermospg)-1)/(_xlpm.razão-1),_xlpm.númerotermosconstantes,IF(G247&lt;=B$3,0,G247-B$3),_xlpm.somatermosconstantes,(1-I247)*_xlpm.númerotermosconstantes,_xlpm.somatodostermos,_xlpm.somatermospg+_xlpm.somatermosconstantes,_xlpm.médiatodosostermos,_xlpm.somatodostermos/G247,1 - _xlpm.médiatodosostermos) * H247</f>
        <v>0</v>
      </c>
      <c r="K247" s="110">
        <f ca="1"/>
        <v>0</v>
      </c>
    </row>
    <row r="248" spans="2:11">
      <c r="B248" s="345">
        <v>3</v>
      </c>
      <c r="C248" s="267" t="str">
        <f>'Painel Controle'!C$113</f>
        <v>Veículos Comerciais com 3 Eixos</v>
      </c>
      <c r="D248" s="481" t="str">
        <f>INDEX('Painel Controle'!D$110:D$121,MATCH(C248,'Painel Controle'!C$110:C$121,0))</f>
        <v>Pesados I</v>
      </c>
      <c r="E248" s="177" t="s">
        <v>595</v>
      </c>
      <c r="F248" s="110" cm="1">
        <f t="array" ref="F248">_xlfn._xlws.FILTER(E$34:E$81,(B$34:B$81 = B248) * (LEFT(C$34:C$81,5) = LEFT(D248,5)) * (D$34:D$81 = E248))</f>
        <v>0.13489999999999999</v>
      </c>
      <c r="G248" s="565" cm="1">
        <f t="array" ref="G248">_xlfn._xlws.FILTER(F$34:F$81,(B$34:B$81 = B248) * (LEFT(C$34:C$81,5) = LEFT(D248,5)) * (D$34:D$81 = E248))</f>
        <v>20</v>
      </c>
      <c r="H248" s="250" t="b">
        <f t="shared" si="2"/>
        <v>0</v>
      </c>
      <c r="I248" s="219" cm="1">
        <f t="array" aca="1" ref="I248" ca="1">IF(G248&lt;=B$3,(1-((1-INDEX(I$12:I$15,B248))^(G248-1))),(1-((1-INDEX(I$12:I$15,B248))^(B$3-1)))) * H248</f>
        <v>0</v>
      </c>
      <c r="J248" s="219" cm="1">
        <f t="array" aca="1" ref="J248" ca="1">_xlfn.LET(_xlpm.númerotermospg,MIN(B$3,G248),_xlpm.razão,1-INDEX(_xlfn.ANCHORARRAY(I$12),B248),_xlpm.somatermospg,((_xlpm.razão^_xlpm.númerotermospg)-1)/(_xlpm.razão-1),_xlpm.númerotermosconstantes,IF(G248&lt;=B$3,0,G248-B$3),_xlpm.somatermosconstantes,(1-I248)*_xlpm.númerotermosconstantes,_xlpm.somatodostermos,_xlpm.somatermospg+_xlpm.somatermosconstantes,_xlpm.médiatodosostermos,_xlpm.somatodostermos/G248,1 - _xlpm.médiatodosostermos) * H248</f>
        <v>0</v>
      </c>
      <c r="K248" s="110">
        <f ca="1"/>
        <v>0</v>
      </c>
    </row>
    <row r="249" spans="2:11">
      <c r="B249" s="345">
        <v>3</v>
      </c>
      <c r="C249" s="267" t="str">
        <f>'Painel Controle'!C$113</f>
        <v>Veículos Comerciais com 3 Eixos</v>
      </c>
      <c r="D249" s="481" t="str">
        <f>INDEX('Painel Controle'!D$110:D$121,MATCH(C249,'Painel Controle'!C$110:C$121,0))</f>
        <v>Pesados I</v>
      </c>
      <c r="E249" s="177" t="s">
        <v>596</v>
      </c>
      <c r="F249" s="110" cm="1">
        <f t="array" ref="F249">_xlfn._xlws.FILTER(E$34:E$81,(B$34:B$81 = B249) * (LEFT(C$34:C$81,5) = LEFT(D249,5)) * (D$34:D$81 = E249))</f>
        <v>0.28399999999999997</v>
      </c>
      <c r="G249" s="565" cm="1">
        <f t="array" ref="G249">_xlfn._xlws.FILTER(F$34:F$81,(B$34:B$81 = B249) * (LEFT(C$34:C$81,5) = LEFT(D249,5)) * (D$34:D$81 = E249))</f>
        <v>4</v>
      </c>
      <c r="H249" s="250" t="b">
        <f t="shared" si="2"/>
        <v>0</v>
      </c>
      <c r="I249" s="219" cm="1">
        <f t="array" aca="1" ref="I249" ca="1">IF(G249&lt;=B$3,(1-((1-INDEX(I$12:I$15,B249))^(G249-1))),(1-((1-INDEX(I$12:I$15,B249))^(B$3-1)))) * H249</f>
        <v>0</v>
      </c>
      <c r="J249" s="219" cm="1">
        <f t="array" aca="1" ref="J249" ca="1">_xlfn.LET(_xlpm.númerotermospg,MIN(B$3,G249),_xlpm.razão,1-INDEX(_xlfn.ANCHORARRAY(I$12),B249),_xlpm.somatermospg,((_xlpm.razão^_xlpm.númerotermospg)-1)/(_xlpm.razão-1),_xlpm.númerotermosconstantes,IF(G249&lt;=B$3,0,G249-B$3),_xlpm.somatermosconstantes,(1-I249)*_xlpm.númerotermosconstantes,_xlpm.somatodostermos,_xlpm.somatermospg+_xlpm.somatermosconstantes,_xlpm.médiatodosostermos,_xlpm.somatodostermos/G249,1 - _xlpm.médiatodosostermos) * H249</f>
        <v>0</v>
      </c>
      <c r="K249" s="110">
        <f ca="1"/>
        <v>0</v>
      </c>
    </row>
    <row r="250" spans="2:11">
      <c r="B250" s="345">
        <v>3</v>
      </c>
      <c r="C250" s="267" t="str">
        <f>'Painel Controle'!C$113</f>
        <v>Veículos Comerciais com 3 Eixos</v>
      </c>
      <c r="D250" s="481" t="str">
        <f>INDEX('Painel Controle'!D$110:D$121,MATCH(C250,'Painel Controle'!C$110:C$121,0))</f>
        <v>Pesados I</v>
      </c>
      <c r="E250" s="177" t="s">
        <v>597</v>
      </c>
      <c r="F250" s="110" cm="1">
        <f t="array" ref="F250">_xlfn._xlws.FILTER(E$34:E$81,(B$34:B$81 = B250) * (LEFT(C$34:C$81,5) = LEFT(D250,5)) * (D$34:D$81 = E250))</f>
        <v>0.14899999999999999</v>
      </c>
      <c r="G250" s="565" cm="1">
        <f t="array" ref="G250">_xlfn._xlws.FILTER(F$34:F$81,(B$34:B$81 = B250) * (LEFT(C$34:C$81,5) = LEFT(D250,5)) * (D$34:D$81 = E250))</f>
        <v>2</v>
      </c>
      <c r="H250" s="250" t="b">
        <f t="shared" si="2"/>
        <v>0</v>
      </c>
      <c r="I250" s="219" cm="1">
        <f t="array" aca="1" ref="I250" ca="1">IF(G250&lt;=B$3,(1-((1-INDEX(I$12:I$15,B250))^(G250-1))),(1-((1-INDEX(I$12:I$15,B250))^(B$3-1)))) * H250</f>
        <v>0</v>
      </c>
      <c r="J250" s="219" cm="1">
        <f t="array" aca="1" ref="J250" ca="1">_xlfn.LET(_xlpm.númerotermospg,MIN(B$3,G250),_xlpm.razão,1-INDEX(_xlfn.ANCHORARRAY(I$12),B250),_xlpm.somatermospg,((_xlpm.razão^_xlpm.númerotermospg)-1)/(_xlpm.razão-1),_xlpm.númerotermosconstantes,IF(G250&lt;=B$3,0,G250-B$3),_xlpm.somatermosconstantes,(1-I250)*_xlpm.númerotermosconstantes,_xlpm.somatodostermos,_xlpm.somatermospg+_xlpm.somatermosconstantes,_xlpm.médiatodosostermos,_xlpm.somatodostermos/G250,1 - _xlpm.médiatodosostermos) * H250</f>
        <v>0</v>
      </c>
      <c r="K250" s="110">
        <f ca="1"/>
        <v>0</v>
      </c>
    </row>
    <row r="251" spans="2:11">
      <c r="B251" s="345">
        <v>3</v>
      </c>
      <c r="C251" s="267" t="str">
        <f>'Painel Controle'!C$113</f>
        <v>Veículos Comerciais com 3 Eixos</v>
      </c>
      <c r="D251" s="481" t="str">
        <f>INDEX('Painel Controle'!D$110:D$121,MATCH(C251,'Painel Controle'!C$110:C$121,0))</f>
        <v>Pesados I</v>
      </c>
      <c r="E251" s="177" t="s">
        <v>598</v>
      </c>
      <c r="F251" s="110" cm="1">
        <f t="array" ref="F251">_xlfn._xlws.FILTER(E$34:E$81,(B$34:B$81 = B251) * (LEFT(C$34:C$81,5) = LEFT(D251,5)) * (D$34:D$81 = E251))</f>
        <v>1.4E-2</v>
      </c>
      <c r="G251" s="565" cm="1">
        <f t="array" ref="G251">_xlfn._xlws.FILTER(F$34:F$81,(B$34:B$81 = B251) * (LEFT(C$34:C$81,5) = LEFT(D251,5)) * (D$34:D$81 = E251))</f>
        <v>1</v>
      </c>
      <c r="H251" s="250" t="b">
        <f t="shared" si="2"/>
        <v>0</v>
      </c>
      <c r="I251" s="219" cm="1">
        <f t="array" aca="1" ref="I251" ca="1">IF(G251&lt;=B$3,(1-((1-INDEX(I$12:I$15,B251))^(G251-1))),(1-((1-INDEX(I$12:I$15,B251))^(B$3-1)))) * H251</f>
        <v>0</v>
      </c>
      <c r="J251" s="219" cm="1">
        <f t="array" aca="1" ref="J251" ca="1">_xlfn.LET(_xlpm.númerotermospg,MIN(B$3,G251),_xlpm.razão,1-INDEX(_xlfn.ANCHORARRAY(I$12),B251),_xlpm.somatermospg,((_xlpm.razão^_xlpm.númerotermospg)-1)/(_xlpm.razão-1),_xlpm.númerotermosconstantes,IF(G251&lt;=B$3,0,G251-B$3),_xlpm.somatermosconstantes,(1-I251)*_xlpm.númerotermosconstantes,_xlpm.somatodostermos,_xlpm.somatermospg+_xlpm.somatermosconstantes,_xlpm.médiatodosostermos,_xlpm.somatodostermos/G251,1 - _xlpm.médiatodosostermos) * H251</f>
        <v>0</v>
      </c>
      <c r="K251" s="110">
        <f ca="1"/>
        <v>0</v>
      </c>
    </row>
    <row r="252" spans="2:11">
      <c r="B252" s="345">
        <v>3</v>
      </c>
      <c r="C252" s="267" t="str">
        <f>'Painel Controle'!C$113</f>
        <v>Veículos Comerciais com 3 Eixos</v>
      </c>
      <c r="D252" s="481" t="str">
        <f>INDEX('Painel Controle'!D$110:D$121,MATCH(C252,'Painel Controle'!C$110:C$121,0))</f>
        <v>Pesados I</v>
      </c>
      <c r="E252" s="177" t="s">
        <v>599</v>
      </c>
      <c r="F252" s="110" cm="1">
        <f t="array" ref="F252">_xlfn._xlws.FILTER(E$34:E$81,(B$34:B$81 = B252) * (LEFT(C$34:C$81,5) = LEFT(D252,5)) * (D$34:D$81 = E252))</f>
        <v>0.39200000000000002</v>
      </c>
      <c r="G252" s="565" cm="1">
        <f t="array" ref="G252">_xlfn._xlws.FILTER(F$34:F$81,(B$34:B$81 = B252) * (LEFT(C$34:C$81,5) = LEFT(D252,5)) * (D$34:D$81 = E252))</f>
        <v>1</v>
      </c>
      <c r="H252" s="250" t="b">
        <f t="shared" si="2"/>
        <v>0</v>
      </c>
      <c r="I252" s="219" cm="1">
        <f t="array" aca="1" ref="I252" ca="1">IF(G252&lt;=B$3,(1-((1-INDEX(I$12:I$15,B252))^(G252-1))),(1-((1-INDEX(I$12:I$15,B252))^(B$3-1)))) * H252</f>
        <v>0</v>
      </c>
      <c r="J252" s="219" cm="1">
        <f t="array" aca="1" ref="J252" ca="1">_xlfn.LET(_xlpm.númerotermospg,MIN(B$3,G252),_xlpm.razão,1-INDEX(_xlfn.ANCHORARRAY(I$12),B252),_xlpm.somatermospg,((_xlpm.razão^_xlpm.númerotermospg)-1)/(_xlpm.razão-1),_xlpm.númerotermosconstantes,IF(G252&lt;=B$3,0,G252-B$3),_xlpm.somatermosconstantes,(1-I252)*_xlpm.númerotermosconstantes,_xlpm.somatodostermos,_xlpm.somatermospg+_xlpm.somatermosconstantes,_xlpm.médiatodosostermos,_xlpm.somatodostermos/G252,1 - _xlpm.médiatodosostermos) * H252</f>
        <v>0</v>
      </c>
      <c r="K252" s="110">
        <f ca="1"/>
        <v>0</v>
      </c>
    </row>
    <row r="253" spans="2:11">
      <c r="B253" s="345">
        <v>3</v>
      </c>
      <c r="C253" s="267" t="str">
        <f>'Painel Controle'!C$113</f>
        <v>Veículos Comerciais com 3 Eixos</v>
      </c>
      <c r="D253" s="481" t="str">
        <f>INDEX('Painel Controle'!D$110:D$121,MATCH(C253,'Painel Controle'!C$110:C$121,0))</f>
        <v>Pesados I</v>
      </c>
      <c r="E253" s="177" t="s">
        <v>600</v>
      </c>
      <c r="F253" s="110" cm="1">
        <f t="array" ref="F253">_xlfn._xlws.FILTER(E$34:E$81,(B$34:B$81 = B253) * (LEFT(C$34:C$81,5) = LEFT(D253,5)) * (D$34:D$81 = E253))</f>
        <v>2.7E-2</v>
      </c>
      <c r="G253" s="565" cm="1">
        <f t="array" ref="G253">_xlfn._xlws.FILTER(F$34:F$81,(B$34:B$81 = B253) * (LEFT(C$34:C$81,5) = LEFT(D253,5)) * (D$34:D$81 = E253))</f>
        <v>1</v>
      </c>
      <c r="H253" s="250" t="b">
        <f t="shared" si="2"/>
        <v>0</v>
      </c>
      <c r="I253" s="219" cm="1">
        <f t="array" aca="1" ref="I253" ca="1">IF(G253&lt;=B$3,(1-((1-INDEX(I$12:I$15,B253))^(G253-1))),(1-((1-INDEX(I$12:I$15,B253))^(B$3-1)))) * H253</f>
        <v>0</v>
      </c>
      <c r="J253" s="219" cm="1">
        <f t="array" aca="1" ref="J253" ca="1">_xlfn.LET(_xlpm.númerotermospg,MIN(B$3,G253),_xlpm.razão,1-INDEX(_xlfn.ANCHORARRAY(I$12),B253),_xlpm.somatermospg,((_xlpm.razão^_xlpm.númerotermospg)-1)/(_xlpm.razão-1),_xlpm.númerotermosconstantes,IF(G253&lt;=B$3,0,G253-B$3),_xlpm.somatermosconstantes,(1-I253)*_xlpm.númerotermosconstantes,_xlpm.somatodostermos,_xlpm.somatermospg+_xlpm.somatermosconstantes,_xlpm.médiatodosostermos,_xlpm.somatodostermos/G253,1 - _xlpm.médiatodosostermos) * H253</f>
        <v>0</v>
      </c>
      <c r="K253" s="110">
        <f ca="1"/>
        <v>0</v>
      </c>
    </row>
    <row r="254" spans="2:11">
      <c r="B254" s="345">
        <v>3</v>
      </c>
      <c r="C254" s="267" t="str">
        <f>'Painel Controle'!C$114</f>
        <v>Veículos Comerciais com 4 Eixos</v>
      </c>
      <c r="D254" s="481" t="str">
        <f>INDEX('Painel Controle'!D$110:D$121,MATCH(C254,'Painel Controle'!C$110:C$121,0))</f>
        <v>Pesados I</v>
      </c>
      <c r="E254" s="177" t="s">
        <v>595</v>
      </c>
      <c r="F254" s="110" cm="1">
        <f t="array" ref="F254">_xlfn._xlws.FILTER(E$34:E$81,(B$34:B$81 = B254) * (LEFT(C$34:C$81,5) = LEFT(D254,5)) * (D$34:D$81 = E254))</f>
        <v>0.13489999999999999</v>
      </c>
      <c r="G254" s="565" cm="1">
        <f t="array" ref="G254">_xlfn._xlws.FILTER(F$34:F$81,(B$34:B$81 = B254) * (LEFT(C$34:C$81,5) = LEFT(D254,5)) * (D$34:D$81 = E254))</f>
        <v>20</v>
      </c>
      <c r="H254" s="250" t="b">
        <f t="shared" si="2"/>
        <v>0</v>
      </c>
      <c r="I254" s="219" cm="1">
        <f t="array" aca="1" ref="I254" ca="1">IF(G254&lt;=B$3,(1-((1-INDEX(I$12:I$15,B254))^(G254-1))),(1-((1-INDEX(I$12:I$15,B254))^(B$3-1)))) * H254</f>
        <v>0</v>
      </c>
      <c r="J254" s="219" cm="1">
        <f t="array" aca="1" ref="J254" ca="1">_xlfn.LET(_xlpm.númerotermospg,MIN(B$3,G254),_xlpm.razão,1-INDEX(_xlfn.ANCHORARRAY(I$12),B254),_xlpm.somatermospg,((_xlpm.razão^_xlpm.númerotermospg)-1)/(_xlpm.razão-1),_xlpm.númerotermosconstantes,IF(G254&lt;=B$3,0,G254-B$3),_xlpm.somatermosconstantes,(1-I254)*_xlpm.númerotermosconstantes,_xlpm.somatodostermos,_xlpm.somatermospg+_xlpm.somatermosconstantes,_xlpm.médiatodosostermos,_xlpm.somatodostermos/G254,1 - _xlpm.médiatodosostermos) * H254</f>
        <v>0</v>
      </c>
      <c r="K254" s="110">
        <f ca="1"/>
        <v>0</v>
      </c>
    </row>
    <row r="255" spans="2:11">
      <c r="B255" s="345">
        <v>3</v>
      </c>
      <c r="C255" s="267" t="str">
        <f>'Painel Controle'!C$114</f>
        <v>Veículos Comerciais com 4 Eixos</v>
      </c>
      <c r="D255" s="481" t="str">
        <f>INDEX('Painel Controle'!D$110:D$121,MATCH(C255,'Painel Controle'!C$110:C$121,0))</f>
        <v>Pesados I</v>
      </c>
      <c r="E255" s="177" t="s">
        <v>596</v>
      </c>
      <c r="F255" s="110" cm="1">
        <f t="array" ref="F255">_xlfn._xlws.FILTER(E$34:E$81,(B$34:B$81 = B255) * (LEFT(C$34:C$81,5) = LEFT(D255,5)) * (D$34:D$81 = E255))</f>
        <v>0.28399999999999997</v>
      </c>
      <c r="G255" s="565" cm="1">
        <f t="array" ref="G255">_xlfn._xlws.FILTER(F$34:F$81,(B$34:B$81 = B255) * (LEFT(C$34:C$81,5) = LEFT(D255,5)) * (D$34:D$81 = E255))</f>
        <v>4</v>
      </c>
      <c r="H255" s="250" t="b">
        <f t="shared" si="2"/>
        <v>0</v>
      </c>
      <c r="I255" s="219" cm="1">
        <f t="array" aca="1" ref="I255" ca="1">IF(G255&lt;=B$3,(1-((1-INDEX(I$12:I$15,B255))^(G255-1))),(1-((1-INDEX(I$12:I$15,B255))^(B$3-1)))) * H255</f>
        <v>0</v>
      </c>
      <c r="J255" s="219" cm="1">
        <f t="array" aca="1" ref="J255" ca="1">_xlfn.LET(_xlpm.númerotermospg,MIN(B$3,G255),_xlpm.razão,1-INDEX(_xlfn.ANCHORARRAY(I$12),B255),_xlpm.somatermospg,((_xlpm.razão^_xlpm.númerotermospg)-1)/(_xlpm.razão-1),_xlpm.númerotermosconstantes,IF(G255&lt;=B$3,0,G255-B$3),_xlpm.somatermosconstantes,(1-I255)*_xlpm.númerotermosconstantes,_xlpm.somatodostermos,_xlpm.somatermospg+_xlpm.somatermosconstantes,_xlpm.médiatodosostermos,_xlpm.somatodostermos/G255,1 - _xlpm.médiatodosostermos) * H255</f>
        <v>0</v>
      </c>
      <c r="K255" s="110">
        <f ca="1"/>
        <v>0</v>
      </c>
    </row>
    <row r="256" spans="2:11">
      <c r="B256" s="345">
        <v>3</v>
      </c>
      <c r="C256" s="267" t="str">
        <f>'Painel Controle'!C$114</f>
        <v>Veículos Comerciais com 4 Eixos</v>
      </c>
      <c r="D256" s="481" t="str">
        <f>INDEX('Painel Controle'!D$110:D$121,MATCH(C256,'Painel Controle'!C$110:C$121,0))</f>
        <v>Pesados I</v>
      </c>
      <c r="E256" s="177" t="s">
        <v>597</v>
      </c>
      <c r="F256" s="110" cm="1">
        <f t="array" ref="F256">_xlfn._xlws.FILTER(E$34:E$81,(B$34:B$81 = B256) * (LEFT(C$34:C$81,5) = LEFT(D256,5)) * (D$34:D$81 = E256))</f>
        <v>0.14899999999999999</v>
      </c>
      <c r="G256" s="565" cm="1">
        <f t="array" ref="G256">_xlfn._xlws.FILTER(F$34:F$81,(B$34:B$81 = B256) * (LEFT(C$34:C$81,5) = LEFT(D256,5)) * (D$34:D$81 = E256))</f>
        <v>2</v>
      </c>
      <c r="H256" s="250" t="b">
        <f t="shared" si="2"/>
        <v>0</v>
      </c>
      <c r="I256" s="219" cm="1">
        <f t="array" aca="1" ref="I256" ca="1">IF(G256&lt;=B$3,(1-((1-INDEX(I$12:I$15,B256))^(G256-1))),(1-((1-INDEX(I$12:I$15,B256))^(B$3-1)))) * H256</f>
        <v>0</v>
      </c>
      <c r="J256" s="219" cm="1">
        <f t="array" aca="1" ref="J256" ca="1">_xlfn.LET(_xlpm.númerotermospg,MIN(B$3,G256),_xlpm.razão,1-INDEX(_xlfn.ANCHORARRAY(I$12),B256),_xlpm.somatermospg,((_xlpm.razão^_xlpm.númerotermospg)-1)/(_xlpm.razão-1),_xlpm.númerotermosconstantes,IF(G256&lt;=B$3,0,G256-B$3),_xlpm.somatermosconstantes,(1-I256)*_xlpm.númerotermosconstantes,_xlpm.somatodostermos,_xlpm.somatermospg+_xlpm.somatermosconstantes,_xlpm.médiatodosostermos,_xlpm.somatodostermos/G256,1 - _xlpm.médiatodosostermos) * H256</f>
        <v>0</v>
      </c>
      <c r="K256" s="110">
        <f ca="1"/>
        <v>0</v>
      </c>
    </row>
    <row r="257" spans="2:11">
      <c r="B257" s="345">
        <v>3</v>
      </c>
      <c r="C257" s="267" t="str">
        <f>'Painel Controle'!C$114</f>
        <v>Veículos Comerciais com 4 Eixos</v>
      </c>
      <c r="D257" s="481" t="str">
        <f>INDEX('Painel Controle'!D$110:D$121,MATCH(C257,'Painel Controle'!C$110:C$121,0))</f>
        <v>Pesados I</v>
      </c>
      <c r="E257" s="177" t="s">
        <v>598</v>
      </c>
      <c r="F257" s="110" cm="1">
        <f t="array" ref="F257">_xlfn._xlws.FILTER(E$34:E$81,(B$34:B$81 = B257) * (LEFT(C$34:C$81,5) = LEFT(D257,5)) * (D$34:D$81 = E257))</f>
        <v>1.4E-2</v>
      </c>
      <c r="G257" s="565" cm="1">
        <f t="array" ref="G257">_xlfn._xlws.FILTER(F$34:F$81,(B$34:B$81 = B257) * (LEFT(C$34:C$81,5) = LEFT(D257,5)) * (D$34:D$81 = E257))</f>
        <v>1</v>
      </c>
      <c r="H257" s="250" t="b">
        <f t="shared" si="2"/>
        <v>0</v>
      </c>
      <c r="I257" s="219" cm="1">
        <f t="array" aca="1" ref="I257" ca="1">IF(G257&lt;=B$3,(1-((1-INDEX(I$12:I$15,B257))^(G257-1))),(1-((1-INDEX(I$12:I$15,B257))^(B$3-1)))) * H257</f>
        <v>0</v>
      </c>
      <c r="J257" s="219" cm="1">
        <f t="array" aca="1" ref="J257" ca="1">_xlfn.LET(_xlpm.númerotermospg,MIN(B$3,G257),_xlpm.razão,1-INDEX(_xlfn.ANCHORARRAY(I$12),B257),_xlpm.somatermospg,((_xlpm.razão^_xlpm.númerotermospg)-1)/(_xlpm.razão-1),_xlpm.númerotermosconstantes,IF(G257&lt;=B$3,0,G257-B$3),_xlpm.somatermosconstantes,(1-I257)*_xlpm.númerotermosconstantes,_xlpm.somatodostermos,_xlpm.somatermospg+_xlpm.somatermosconstantes,_xlpm.médiatodosostermos,_xlpm.somatodostermos/G257,1 - _xlpm.médiatodosostermos) * H257</f>
        <v>0</v>
      </c>
      <c r="K257" s="110">
        <f ca="1"/>
        <v>0</v>
      </c>
    </row>
    <row r="258" spans="2:11">
      <c r="B258" s="345">
        <v>3</v>
      </c>
      <c r="C258" s="267" t="str">
        <f>'Painel Controle'!C$114</f>
        <v>Veículos Comerciais com 4 Eixos</v>
      </c>
      <c r="D258" s="481" t="str">
        <f>INDEX('Painel Controle'!D$110:D$121,MATCH(C258,'Painel Controle'!C$110:C$121,0))</f>
        <v>Pesados I</v>
      </c>
      <c r="E258" s="177" t="s">
        <v>599</v>
      </c>
      <c r="F258" s="110" cm="1">
        <f t="array" ref="F258">_xlfn._xlws.FILTER(E$34:E$81,(B$34:B$81 = B258) * (LEFT(C$34:C$81,5) = LEFT(D258,5)) * (D$34:D$81 = E258))</f>
        <v>0.39200000000000002</v>
      </c>
      <c r="G258" s="565" cm="1">
        <f t="array" ref="G258">_xlfn._xlws.FILTER(F$34:F$81,(B$34:B$81 = B258) * (LEFT(C$34:C$81,5) = LEFT(D258,5)) * (D$34:D$81 = E258))</f>
        <v>1</v>
      </c>
      <c r="H258" s="250" t="b">
        <f t="shared" si="2"/>
        <v>0</v>
      </c>
      <c r="I258" s="219" cm="1">
        <f t="array" aca="1" ref="I258" ca="1">IF(G258&lt;=B$3,(1-((1-INDEX(I$12:I$15,B258))^(G258-1))),(1-((1-INDEX(I$12:I$15,B258))^(B$3-1)))) * H258</f>
        <v>0</v>
      </c>
      <c r="J258" s="219" cm="1">
        <f t="array" aca="1" ref="J258" ca="1">_xlfn.LET(_xlpm.númerotermospg,MIN(B$3,G258),_xlpm.razão,1-INDEX(_xlfn.ANCHORARRAY(I$12),B258),_xlpm.somatermospg,((_xlpm.razão^_xlpm.númerotermospg)-1)/(_xlpm.razão-1),_xlpm.númerotermosconstantes,IF(G258&lt;=B$3,0,G258-B$3),_xlpm.somatermosconstantes,(1-I258)*_xlpm.númerotermosconstantes,_xlpm.somatodostermos,_xlpm.somatermospg+_xlpm.somatermosconstantes,_xlpm.médiatodosostermos,_xlpm.somatodostermos/G258,1 - _xlpm.médiatodosostermos) * H258</f>
        <v>0</v>
      </c>
      <c r="K258" s="110">
        <f ca="1"/>
        <v>0</v>
      </c>
    </row>
    <row r="259" spans="2:11">
      <c r="B259" s="345">
        <v>3</v>
      </c>
      <c r="C259" s="267" t="str">
        <f>'Painel Controle'!C$114</f>
        <v>Veículos Comerciais com 4 Eixos</v>
      </c>
      <c r="D259" s="481" t="str">
        <f>INDEX('Painel Controle'!D$110:D$121,MATCH(C259,'Painel Controle'!C$110:C$121,0))</f>
        <v>Pesados I</v>
      </c>
      <c r="E259" s="177" t="s">
        <v>600</v>
      </c>
      <c r="F259" s="110" cm="1">
        <f t="array" ref="F259">_xlfn._xlws.FILTER(E$34:E$81,(B$34:B$81 = B259) * (LEFT(C$34:C$81,5) = LEFT(D259,5)) * (D$34:D$81 = E259))</f>
        <v>2.7E-2</v>
      </c>
      <c r="G259" s="565" cm="1">
        <f t="array" ref="G259">_xlfn._xlws.FILTER(F$34:F$81,(B$34:B$81 = B259) * (LEFT(C$34:C$81,5) = LEFT(D259,5)) * (D$34:D$81 = E259))</f>
        <v>1</v>
      </c>
      <c r="H259" s="250" t="b">
        <f t="shared" si="2"/>
        <v>0</v>
      </c>
      <c r="I259" s="219" cm="1">
        <f t="array" aca="1" ref="I259" ca="1">IF(G259&lt;=B$3,(1-((1-INDEX(I$12:I$15,B259))^(G259-1))),(1-((1-INDEX(I$12:I$15,B259))^(B$3-1)))) * H259</f>
        <v>0</v>
      </c>
      <c r="J259" s="219" cm="1">
        <f t="array" aca="1" ref="J259" ca="1">_xlfn.LET(_xlpm.númerotermospg,MIN(B$3,G259),_xlpm.razão,1-INDEX(_xlfn.ANCHORARRAY(I$12),B259),_xlpm.somatermospg,((_xlpm.razão^_xlpm.númerotermospg)-1)/(_xlpm.razão-1),_xlpm.númerotermosconstantes,IF(G259&lt;=B$3,0,G259-B$3),_xlpm.somatermosconstantes,(1-I259)*_xlpm.númerotermosconstantes,_xlpm.somatodostermos,_xlpm.somatermospg+_xlpm.somatermosconstantes,_xlpm.médiatodosostermos,_xlpm.somatodostermos/G259,1 - _xlpm.médiatodosostermos) * H259</f>
        <v>0</v>
      </c>
      <c r="K259" s="110">
        <f ca="1"/>
        <v>0</v>
      </c>
    </row>
    <row r="260" spans="2:11">
      <c r="B260" s="345">
        <v>3</v>
      </c>
      <c r="C260" s="267" t="str">
        <f>'Painel Controle'!C$115</f>
        <v>Veículos Comerciais com 5 Eixos Articulado</v>
      </c>
      <c r="D260" s="481" t="str">
        <f>INDEX('Painel Controle'!D$110:D$121,MATCH(C260,'Painel Controle'!C$110:C$121,0))</f>
        <v>Pesados II</v>
      </c>
      <c r="E260" s="177" t="s">
        <v>595</v>
      </c>
      <c r="F260" s="110" cm="1">
        <f t="array" ref="F260">_xlfn._xlws.FILTER(E$34:E$81,(B$34:B$81 = B260) * (LEFT(C$34:C$81,5) = LEFT(D260,5)) * (D$34:D$81 = E260))</f>
        <v>0.13489999999999999</v>
      </c>
      <c r="G260" s="565" cm="1">
        <f t="array" ref="G260">_xlfn._xlws.FILTER(F$34:F$81,(B$34:B$81 = B260) * (LEFT(C$34:C$81,5) = LEFT(D260,5)) * (D$34:D$81 = E260))</f>
        <v>20</v>
      </c>
      <c r="H260" s="250" t="b">
        <f t="shared" si="2"/>
        <v>0</v>
      </c>
      <c r="I260" s="219" cm="1">
        <f t="array" aca="1" ref="I260" ca="1">IF(G260&lt;=B$3,(1-((1-INDEX(I$12:I$15,B260))^(G260-1))),(1-((1-INDEX(I$12:I$15,B260))^(B$3-1)))) * H260</f>
        <v>0</v>
      </c>
      <c r="J260" s="219" cm="1">
        <f t="array" aca="1" ref="J260" ca="1">_xlfn.LET(_xlpm.númerotermospg,MIN(B$3,G260),_xlpm.razão,1-INDEX(_xlfn.ANCHORARRAY(I$12),B260),_xlpm.somatermospg,((_xlpm.razão^_xlpm.númerotermospg)-1)/(_xlpm.razão-1),_xlpm.númerotermosconstantes,IF(G260&lt;=B$3,0,G260-B$3),_xlpm.somatermosconstantes,(1-I260)*_xlpm.númerotermosconstantes,_xlpm.somatodostermos,_xlpm.somatermospg+_xlpm.somatermosconstantes,_xlpm.médiatodosostermos,_xlpm.somatodostermos/G260,1 - _xlpm.médiatodosostermos) * H260</f>
        <v>0</v>
      </c>
      <c r="K260" s="110">
        <f ca="1"/>
        <v>0</v>
      </c>
    </row>
    <row r="261" spans="2:11">
      <c r="B261" s="345">
        <v>3</v>
      </c>
      <c r="C261" s="267" t="str">
        <f>'Painel Controle'!C$115</f>
        <v>Veículos Comerciais com 5 Eixos Articulado</v>
      </c>
      <c r="D261" s="481" t="str">
        <f>INDEX('Painel Controle'!D$110:D$121,MATCH(C261,'Painel Controle'!C$110:C$121,0))</f>
        <v>Pesados II</v>
      </c>
      <c r="E261" s="177" t="s">
        <v>596</v>
      </c>
      <c r="F261" s="110" cm="1">
        <f t="array" ref="F261">_xlfn._xlws.FILTER(E$34:E$81,(B$34:B$81 = B261) * (LEFT(C$34:C$81,5) = LEFT(D261,5)) * (D$34:D$81 = E261))</f>
        <v>0.28399999999999997</v>
      </c>
      <c r="G261" s="565" cm="1">
        <f t="array" ref="G261">_xlfn._xlws.FILTER(F$34:F$81,(B$34:B$81 = B261) * (LEFT(C$34:C$81,5) = LEFT(D261,5)) * (D$34:D$81 = E261))</f>
        <v>4</v>
      </c>
      <c r="H261" s="250" t="b">
        <f t="shared" si="2"/>
        <v>0</v>
      </c>
      <c r="I261" s="219" cm="1">
        <f t="array" aca="1" ref="I261" ca="1">IF(G261&lt;=B$3,(1-((1-INDEX(I$12:I$15,B261))^(G261-1))),(1-((1-INDEX(I$12:I$15,B261))^(B$3-1)))) * H261</f>
        <v>0</v>
      </c>
      <c r="J261" s="219" cm="1">
        <f t="array" aca="1" ref="J261" ca="1">_xlfn.LET(_xlpm.númerotermospg,MIN(B$3,G261),_xlpm.razão,1-INDEX(_xlfn.ANCHORARRAY(I$12),B261),_xlpm.somatermospg,((_xlpm.razão^_xlpm.númerotermospg)-1)/(_xlpm.razão-1),_xlpm.númerotermosconstantes,IF(G261&lt;=B$3,0,G261-B$3),_xlpm.somatermosconstantes,(1-I261)*_xlpm.númerotermosconstantes,_xlpm.somatodostermos,_xlpm.somatermospg+_xlpm.somatermosconstantes,_xlpm.médiatodosostermos,_xlpm.somatodostermos/G261,1 - _xlpm.médiatodosostermos) * H261</f>
        <v>0</v>
      </c>
      <c r="K261" s="110">
        <f ca="1"/>
        <v>0</v>
      </c>
    </row>
    <row r="262" spans="2:11">
      <c r="B262" s="345">
        <v>3</v>
      </c>
      <c r="C262" s="267" t="str">
        <f>'Painel Controle'!C$115</f>
        <v>Veículos Comerciais com 5 Eixos Articulado</v>
      </c>
      <c r="D262" s="481" t="str">
        <f>INDEX('Painel Controle'!D$110:D$121,MATCH(C262,'Painel Controle'!C$110:C$121,0))</f>
        <v>Pesados II</v>
      </c>
      <c r="E262" s="177" t="s">
        <v>597</v>
      </c>
      <c r="F262" s="110" cm="1">
        <f t="array" ref="F262">_xlfn._xlws.FILTER(E$34:E$81,(B$34:B$81 = B262) * (LEFT(C$34:C$81,5) = LEFT(D262,5)) * (D$34:D$81 = E262))</f>
        <v>0.14899999999999999</v>
      </c>
      <c r="G262" s="565" cm="1">
        <f t="array" ref="G262">_xlfn._xlws.FILTER(F$34:F$81,(B$34:B$81 = B262) * (LEFT(C$34:C$81,5) = LEFT(D262,5)) * (D$34:D$81 = E262))</f>
        <v>2</v>
      </c>
      <c r="H262" s="250" t="b">
        <f t="shared" si="2"/>
        <v>0</v>
      </c>
      <c r="I262" s="219" cm="1">
        <f t="array" aca="1" ref="I262" ca="1">IF(G262&lt;=B$3,(1-((1-INDEX(I$12:I$15,B262))^(G262-1))),(1-((1-INDEX(I$12:I$15,B262))^(B$3-1)))) * H262</f>
        <v>0</v>
      </c>
      <c r="J262" s="219" cm="1">
        <f t="array" aca="1" ref="J262" ca="1">_xlfn.LET(_xlpm.númerotermospg,MIN(B$3,G262),_xlpm.razão,1-INDEX(_xlfn.ANCHORARRAY(I$12),B262),_xlpm.somatermospg,((_xlpm.razão^_xlpm.númerotermospg)-1)/(_xlpm.razão-1),_xlpm.númerotermosconstantes,IF(G262&lt;=B$3,0,G262-B$3),_xlpm.somatermosconstantes,(1-I262)*_xlpm.númerotermosconstantes,_xlpm.somatodostermos,_xlpm.somatermospg+_xlpm.somatermosconstantes,_xlpm.médiatodosostermos,_xlpm.somatodostermos/G262,1 - _xlpm.médiatodosostermos) * H262</f>
        <v>0</v>
      </c>
      <c r="K262" s="110">
        <f ca="1"/>
        <v>0</v>
      </c>
    </row>
    <row r="263" spans="2:11">
      <c r="B263" s="345">
        <v>3</v>
      </c>
      <c r="C263" s="267" t="str">
        <f>'Painel Controle'!C$115</f>
        <v>Veículos Comerciais com 5 Eixos Articulado</v>
      </c>
      <c r="D263" s="481" t="str">
        <f>INDEX('Painel Controle'!D$110:D$121,MATCH(C263,'Painel Controle'!C$110:C$121,0))</f>
        <v>Pesados II</v>
      </c>
      <c r="E263" s="177" t="s">
        <v>598</v>
      </c>
      <c r="F263" s="110" cm="1">
        <f t="array" ref="F263">_xlfn._xlws.FILTER(E$34:E$81,(B$34:B$81 = B263) * (LEFT(C$34:C$81,5) = LEFT(D263,5)) * (D$34:D$81 = E263))</f>
        <v>1.4E-2</v>
      </c>
      <c r="G263" s="565" cm="1">
        <f t="array" ref="G263">_xlfn._xlws.FILTER(F$34:F$81,(B$34:B$81 = B263) * (LEFT(C$34:C$81,5) = LEFT(D263,5)) * (D$34:D$81 = E263))</f>
        <v>1</v>
      </c>
      <c r="H263" s="250" t="b">
        <f t="shared" si="2"/>
        <v>0</v>
      </c>
      <c r="I263" s="219" cm="1">
        <f t="array" aca="1" ref="I263" ca="1">IF(G263&lt;=B$3,(1-((1-INDEX(I$12:I$15,B263))^(G263-1))),(1-((1-INDEX(I$12:I$15,B263))^(B$3-1)))) * H263</f>
        <v>0</v>
      </c>
      <c r="J263" s="219" cm="1">
        <f t="array" aca="1" ref="J263" ca="1">_xlfn.LET(_xlpm.númerotermospg,MIN(B$3,G263),_xlpm.razão,1-INDEX(_xlfn.ANCHORARRAY(I$12),B263),_xlpm.somatermospg,((_xlpm.razão^_xlpm.númerotermospg)-1)/(_xlpm.razão-1),_xlpm.númerotermosconstantes,IF(G263&lt;=B$3,0,G263-B$3),_xlpm.somatermosconstantes,(1-I263)*_xlpm.númerotermosconstantes,_xlpm.somatodostermos,_xlpm.somatermospg+_xlpm.somatermosconstantes,_xlpm.médiatodosostermos,_xlpm.somatodostermos/G263,1 - _xlpm.médiatodosostermos) * H263</f>
        <v>0</v>
      </c>
      <c r="K263" s="110">
        <f ca="1"/>
        <v>0</v>
      </c>
    </row>
    <row r="264" spans="2:11">
      <c r="B264" s="345">
        <v>3</v>
      </c>
      <c r="C264" s="267" t="str">
        <f>'Painel Controle'!C$115</f>
        <v>Veículos Comerciais com 5 Eixos Articulado</v>
      </c>
      <c r="D264" s="481" t="str">
        <f>INDEX('Painel Controle'!D$110:D$121,MATCH(C264,'Painel Controle'!C$110:C$121,0))</f>
        <v>Pesados II</v>
      </c>
      <c r="E264" s="177" t="s">
        <v>599</v>
      </c>
      <c r="F264" s="110" cm="1">
        <f t="array" ref="F264">_xlfn._xlws.FILTER(E$34:E$81,(B$34:B$81 = B264) * (LEFT(C$34:C$81,5) = LEFT(D264,5)) * (D$34:D$81 = E264))</f>
        <v>0.39200000000000002</v>
      </c>
      <c r="G264" s="565" cm="1">
        <f t="array" ref="G264">_xlfn._xlws.FILTER(F$34:F$81,(B$34:B$81 = B264) * (LEFT(C$34:C$81,5) = LEFT(D264,5)) * (D$34:D$81 = E264))</f>
        <v>1</v>
      </c>
      <c r="H264" s="250" t="b">
        <f t="shared" si="2"/>
        <v>0</v>
      </c>
      <c r="I264" s="219" cm="1">
        <f t="array" aca="1" ref="I264" ca="1">IF(G264&lt;=B$3,(1-((1-INDEX(I$12:I$15,B264))^(G264-1))),(1-((1-INDEX(I$12:I$15,B264))^(B$3-1)))) * H264</f>
        <v>0</v>
      </c>
      <c r="J264" s="219" cm="1">
        <f t="array" aca="1" ref="J264" ca="1">_xlfn.LET(_xlpm.númerotermospg,MIN(B$3,G264),_xlpm.razão,1-INDEX(_xlfn.ANCHORARRAY(I$12),B264),_xlpm.somatermospg,((_xlpm.razão^_xlpm.númerotermospg)-1)/(_xlpm.razão-1),_xlpm.númerotermosconstantes,IF(G264&lt;=B$3,0,G264-B$3),_xlpm.somatermosconstantes,(1-I264)*_xlpm.númerotermosconstantes,_xlpm.somatodostermos,_xlpm.somatermospg+_xlpm.somatermosconstantes,_xlpm.médiatodosostermos,_xlpm.somatodostermos/G264,1 - _xlpm.médiatodosostermos) * H264</f>
        <v>0</v>
      </c>
      <c r="K264" s="110">
        <f ca="1"/>
        <v>0</v>
      </c>
    </row>
    <row r="265" spans="2:11">
      <c r="B265" s="345">
        <v>3</v>
      </c>
      <c r="C265" s="267" t="str">
        <f>'Painel Controle'!C$115</f>
        <v>Veículos Comerciais com 5 Eixos Articulado</v>
      </c>
      <c r="D265" s="481" t="str">
        <f>INDEX('Painel Controle'!D$110:D$121,MATCH(C265,'Painel Controle'!C$110:C$121,0))</f>
        <v>Pesados II</v>
      </c>
      <c r="E265" s="177" t="s">
        <v>600</v>
      </c>
      <c r="F265" s="110" cm="1">
        <f t="array" ref="F265">_xlfn._xlws.FILTER(E$34:E$81,(B$34:B$81 = B265) * (LEFT(C$34:C$81,5) = LEFT(D265,5)) * (D$34:D$81 = E265))</f>
        <v>2.7E-2</v>
      </c>
      <c r="G265" s="565" cm="1">
        <f t="array" ref="G265">_xlfn._xlws.FILTER(F$34:F$81,(B$34:B$81 = B265) * (LEFT(C$34:C$81,5) = LEFT(D265,5)) * (D$34:D$81 = E265))</f>
        <v>1</v>
      </c>
      <c r="H265" s="250" t="b">
        <f t="shared" si="2"/>
        <v>0</v>
      </c>
      <c r="I265" s="219" cm="1">
        <f t="array" aca="1" ref="I265" ca="1">IF(G265&lt;=B$3,(1-((1-INDEX(I$12:I$15,B265))^(G265-1))),(1-((1-INDEX(I$12:I$15,B265))^(B$3-1)))) * H265</f>
        <v>0</v>
      </c>
      <c r="J265" s="219" cm="1">
        <f t="array" aca="1" ref="J265" ca="1">_xlfn.LET(_xlpm.númerotermospg,MIN(B$3,G265),_xlpm.razão,1-INDEX(_xlfn.ANCHORARRAY(I$12),B265),_xlpm.somatermospg,((_xlpm.razão^_xlpm.númerotermospg)-1)/(_xlpm.razão-1),_xlpm.númerotermosconstantes,IF(G265&lt;=B$3,0,G265-B$3),_xlpm.somatermosconstantes,(1-I265)*_xlpm.númerotermosconstantes,_xlpm.somatodostermos,_xlpm.somatermospg+_xlpm.somatermosconstantes,_xlpm.médiatodosostermos,_xlpm.somatodostermos/G265,1 - _xlpm.médiatodosostermos) * H265</f>
        <v>0</v>
      </c>
      <c r="K265" s="110">
        <f ca="1"/>
        <v>0</v>
      </c>
    </row>
    <row r="266" spans="2:11">
      <c r="B266" s="345">
        <v>3</v>
      </c>
      <c r="C266" s="267" t="str">
        <f>'Painel Controle'!C$116</f>
        <v>Veículos Comerciais com 6 Eixos Articulado</v>
      </c>
      <c r="D266" s="481" t="str">
        <f>INDEX('Painel Controle'!D$110:D$121,MATCH(C266,'Painel Controle'!C$110:C$121,0))</f>
        <v>Pesados II</v>
      </c>
      <c r="E266" s="177" t="s">
        <v>595</v>
      </c>
      <c r="F266" s="110" cm="1">
        <f t="array" ref="F266">_xlfn._xlws.FILTER(E$34:E$81,(B$34:B$81 = B266) * (LEFT(C$34:C$81,5) = LEFT(D266,5)) * (D$34:D$81 = E266))</f>
        <v>0.13489999999999999</v>
      </c>
      <c r="G266" s="565" cm="1">
        <f t="array" ref="G266">_xlfn._xlws.FILTER(F$34:F$81,(B$34:B$81 = B266) * (LEFT(C$34:C$81,5) = LEFT(D266,5)) * (D$34:D$81 = E266))</f>
        <v>20</v>
      </c>
      <c r="H266" s="250" t="b">
        <f t="shared" si="2"/>
        <v>0</v>
      </c>
      <c r="I266" s="219" cm="1">
        <f t="array" aca="1" ref="I266" ca="1">IF(G266&lt;=B$3,(1-((1-INDEX(I$12:I$15,B266))^(G266-1))),(1-((1-INDEX(I$12:I$15,B266))^(B$3-1)))) * H266</f>
        <v>0</v>
      </c>
      <c r="J266" s="219" cm="1">
        <f t="array" aca="1" ref="J266" ca="1">_xlfn.LET(_xlpm.númerotermospg,MIN(B$3,G266),_xlpm.razão,1-INDEX(_xlfn.ANCHORARRAY(I$12),B266),_xlpm.somatermospg,((_xlpm.razão^_xlpm.númerotermospg)-1)/(_xlpm.razão-1),_xlpm.númerotermosconstantes,IF(G266&lt;=B$3,0,G266-B$3),_xlpm.somatermosconstantes,(1-I266)*_xlpm.númerotermosconstantes,_xlpm.somatodostermos,_xlpm.somatermospg+_xlpm.somatermosconstantes,_xlpm.médiatodosostermos,_xlpm.somatodostermos/G266,1 - _xlpm.médiatodosostermos) * H266</f>
        <v>0</v>
      </c>
      <c r="K266" s="110">
        <f ca="1"/>
        <v>0</v>
      </c>
    </row>
    <row r="267" spans="2:11">
      <c r="B267" s="345">
        <v>3</v>
      </c>
      <c r="C267" s="267" t="str">
        <f>'Painel Controle'!C$116</f>
        <v>Veículos Comerciais com 6 Eixos Articulado</v>
      </c>
      <c r="D267" s="481" t="str">
        <f>INDEX('Painel Controle'!D$110:D$121,MATCH(C267,'Painel Controle'!C$110:C$121,0))</f>
        <v>Pesados II</v>
      </c>
      <c r="E267" s="177" t="s">
        <v>596</v>
      </c>
      <c r="F267" s="110" cm="1">
        <f t="array" ref="F267">_xlfn._xlws.FILTER(E$34:E$81,(B$34:B$81 = B267) * (LEFT(C$34:C$81,5) = LEFT(D267,5)) * (D$34:D$81 = E267))</f>
        <v>0.28399999999999997</v>
      </c>
      <c r="G267" s="565" cm="1">
        <f t="array" ref="G267">_xlfn._xlws.FILTER(F$34:F$81,(B$34:B$81 = B267) * (LEFT(C$34:C$81,5) = LEFT(D267,5)) * (D$34:D$81 = E267))</f>
        <v>4</v>
      </c>
      <c r="H267" s="250" t="b">
        <f t="shared" si="2"/>
        <v>0</v>
      </c>
      <c r="I267" s="219" cm="1">
        <f t="array" aca="1" ref="I267" ca="1">IF(G267&lt;=B$3,(1-((1-INDEX(I$12:I$15,B267))^(G267-1))),(1-((1-INDEX(I$12:I$15,B267))^(B$3-1)))) * H267</f>
        <v>0</v>
      </c>
      <c r="J267" s="219" cm="1">
        <f t="array" aca="1" ref="J267" ca="1">_xlfn.LET(_xlpm.númerotermospg,MIN(B$3,G267),_xlpm.razão,1-INDEX(_xlfn.ANCHORARRAY(I$12),B267),_xlpm.somatermospg,((_xlpm.razão^_xlpm.númerotermospg)-1)/(_xlpm.razão-1),_xlpm.númerotermosconstantes,IF(G267&lt;=B$3,0,G267-B$3),_xlpm.somatermosconstantes,(1-I267)*_xlpm.númerotermosconstantes,_xlpm.somatodostermos,_xlpm.somatermospg+_xlpm.somatermosconstantes,_xlpm.médiatodosostermos,_xlpm.somatodostermos/G267,1 - _xlpm.médiatodosostermos) * H267</f>
        <v>0</v>
      </c>
      <c r="K267" s="110">
        <f ca="1"/>
        <v>0</v>
      </c>
    </row>
    <row r="268" spans="2:11">
      <c r="B268" s="345">
        <v>3</v>
      </c>
      <c r="C268" s="267" t="str">
        <f>'Painel Controle'!C$116</f>
        <v>Veículos Comerciais com 6 Eixos Articulado</v>
      </c>
      <c r="D268" s="481" t="str">
        <f>INDEX('Painel Controle'!D$110:D$121,MATCH(C268,'Painel Controle'!C$110:C$121,0))</f>
        <v>Pesados II</v>
      </c>
      <c r="E268" s="177" t="s">
        <v>597</v>
      </c>
      <c r="F268" s="110" cm="1">
        <f t="array" ref="F268">_xlfn._xlws.FILTER(E$34:E$81,(B$34:B$81 = B268) * (LEFT(C$34:C$81,5) = LEFT(D268,5)) * (D$34:D$81 = E268))</f>
        <v>0.14899999999999999</v>
      </c>
      <c r="G268" s="565" cm="1">
        <f t="array" ref="G268">_xlfn._xlws.FILTER(F$34:F$81,(B$34:B$81 = B268) * (LEFT(C$34:C$81,5) = LEFT(D268,5)) * (D$34:D$81 = E268))</f>
        <v>2</v>
      </c>
      <c r="H268" s="250" t="b">
        <f t="shared" si="2"/>
        <v>0</v>
      </c>
      <c r="I268" s="219" cm="1">
        <f t="array" aca="1" ref="I268" ca="1">IF(G268&lt;=B$3,(1-((1-INDEX(I$12:I$15,B268))^(G268-1))),(1-((1-INDEX(I$12:I$15,B268))^(B$3-1)))) * H268</f>
        <v>0</v>
      </c>
      <c r="J268" s="219" cm="1">
        <f t="array" aca="1" ref="J268" ca="1">_xlfn.LET(_xlpm.númerotermospg,MIN(B$3,G268),_xlpm.razão,1-INDEX(_xlfn.ANCHORARRAY(I$12),B268),_xlpm.somatermospg,((_xlpm.razão^_xlpm.númerotermospg)-1)/(_xlpm.razão-1),_xlpm.númerotermosconstantes,IF(G268&lt;=B$3,0,G268-B$3),_xlpm.somatermosconstantes,(1-I268)*_xlpm.númerotermosconstantes,_xlpm.somatodostermos,_xlpm.somatermospg+_xlpm.somatermosconstantes,_xlpm.médiatodosostermos,_xlpm.somatodostermos/G268,1 - _xlpm.médiatodosostermos) * H268</f>
        <v>0</v>
      </c>
      <c r="K268" s="110">
        <f ca="1"/>
        <v>0</v>
      </c>
    </row>
    <row r="269" spans="2:11">
      <c r="B269" s="345">
        <v>3</v>
      </c>
      <c r="C269" s="267" t="str">
        <f>'Painel Controle'!C$116</f>
        <v>Veículos Comerciais com 6 Eixos Articulado</v>
      </c>
      <c r="D269" s="481" t="str">
        <f>INDEX('Painel Controle'!D$110:D$121,MATCH(C269,'Painel Controle'!C$110:C$121,0))</f>
        <v>Pesados II</v>
      </c>
      <c r="E269" s="177" t="s">
        <v>598</v>
      </c>
      <c r="F269" s="110" cm="1">
        <f t="array" ref="F269">_xlfn._xlws.FILTER(E$34:E$81,(B$34:B$81 = B269) * (LEFT(C$34:C$81,5) = LEFT(D269,5)) * (D$34:D$81 = E269))</f>
        <v>1.4E-2</v>
      </c>
      <c r="G269" s="565" cm="1">
        <f t="array" ref="G269">_xlfn._xlws.FILTER(F$34:F$81,(B$34:B$81 = B269) * (LEFT(C$34:C$81,5) = LEFT(D269,5)) * (D$34:D$81 = E269))</f>
        <v>1</v>
      </c>
      <c r="H269" s="250" t="b">
        <f t="shared" si="2"/>
        <v>0</v>
      </c>
      <c r="I269" s="219" cm="1">
        <f t="array" aca="1" ref="I269" ca="1">IF(G269&lt;=B$3,(1-((1-INDEX(I$12:I$15,B269))^(G269-1))),(1-((1-INDEX(I$12:I$15,B269))^(B$3-1)))) * H269</f>
        <v>0</v>
      </c>
      <c r="J269" s="219" cm="1">
        <f t="array" aca="1" ref="J269" ca="1">_xlfn.LET(_xlpm.númerotermospg,MIN(B$3,G269),_xlpm.razão,1-INDEX(_xlfn.ANCHORARRAY(I$12),B269),_xlpm.somatermospg,((_xlpm.razão^_xlpm.númerotermospg)-1)/(_xlpm.razão-1),_xlpm.númerotermosconstantes,IF(G269&lt;=B$3,0,G269-B$3),_xlpm.somatermosconstantes,(1-I269)*_xlpm.númerotermosconstantes,_xlpm.somatodostermos,_xlpm.somatermospg+_xlpm.somatermosconstantes,_xlpm.médiatodosostermos,_xlpm.somatodostermos/G269,1 - _xlpm.médiatodosostermos) * H269</f>
        <v>0</v>
      </c>
      <c r="K269" s="110">
        <f ca="1"/>
        <v>0</v>
      </c>
    </row>
    <row r="270" spans="2:11">
      <c r="B270" s="345">
        <v>3</v>
      </c>
      <c r="C270" s="267" t="str">
        <f>'Painel Controle'!C$116</f>
        <v>Veículos Comerciais com 6 Eixos Articulado</v>
      </c>
      <c r="D270" s="481" t="str">
        <f>INDEX('Painel Controle'!D$110:D$121,MATCH(C270,'Painel Controle'!C$110:C$121,0))</f>
        <v>Pesados II</v>
      </c>
      <c r="E270" s="177" t="s">
        <v>599</v>
      </c>
      <c r="F270" s="110" cm="1">
        <f t="array" ref="F270">_xlfn._xlws.FILTER(E$34:E$81,(B$34:B$81 = B270) * (LEFT(C$34:C$81,5) = LEFT(D270,5)) * (D$34:D$81 = E270))</f>
        <v>0.39200000000000002</v>
      </c>
      <c r="G270" s="565" cm="1">
        <f t="array" ref="G270">_xlfn._xlws.FILTER(F$34:F$81,(B$34:B$81 = B270) * (LEFT(C$34:C$81,5) = LEFT(D270,5)) * (D$34:D$81 = E270))</f>
        <v>1</v>
      </c>
      <c r="H270" s="250" t="b">
        <f t="shared" si="2"/>
        <v>0</v>
      </c>
      <c r="I270" s="219" cm="1">
        <f t="array" aca="1" ref="I270" ca="1">IF(G270&lt;=B$3,(1-((1-INDEX(I$12:I$15,B270))^(G270-1))),(1-((1-INDEX(I$12:I$15,B270))^(B$3-1)))) * H270</f>
        <v>0</v>
      </c>
      <c r="J270" s="219" cm="1">
        <f t="array" aca="1" ref="J270" ca="1">_xlfn.LET(_xlpm.númerotermospg,MIN(B$3,G270),_xlpm.razão,1-INDEX(_xlfn.ANCHORARRAY(I$12),B270),_xlpm.somatermospg,((_xlpm.razão^_xlpm.númerotermospg)-1)/(_xlpm.razão-1),_xlpm.númerotermosconstantes,IF(G270&lt;=B$3,0,G270-B$3),_xlpm.somatermosconstantes,(1-I270)*_xlpm.númerotermosconstantes,_xlpm.somatodostermos,_xlpm.somatermospg+_xlpm.somatermosconstantes,_xlpm.médiatodosostermos,_xlpm.somatodostermos/G270,1 - _xlpm.médiatodosostermos) * H270</f>
        <v>0</v>
      </c>
      <c r="K270" s="110">
        <f ca="1"/>
        <v>0</v>
      </c>
    </row>
    <row r="271" spans="2:11">
      <c r="B271" s="345">
        <v>3</v>
      </c>
      <c r="C271" s="267" t="str">
        <f>'Painel Controle'!C$116</f>
        <v>Veículos Comerciais com 6 Eixos Articulado</v>
      </c>
      <c r="D271" s="481" t="str">
        <f>INDEX('Painel Controle'!D$110:D$121,MATCH(C271,'Painel Controle'!C$110:C$121,0))</f>
        <v>Pesados II</v>
      </c>
      <c r="E271" s="177" t="s">
        <v>600</v>
      </c>
      <c r="F271" s="110" cm="1">
        <f t="array" ref="F271">_xlfn._xlws.FILTER(E$34:E$81,(B$34:B$81 = B271) * (LEFT(C$34:C$81,5) = LEFT(D271,5)) * (D$34:D$81 = E271))</f>
        <v>2.7E-2</v>
      </c>
      <c r="G271" s="565" cm="1">
        <f t="array" ref="G271">_xlfn._xlws.FILTER(F$34:F$81,(B$34:B$81 = B271) * (LEFT(C$34:C$81,5) = LEFT(D271,5)) * (D$34:D$81 = E271))</f>
        <v>1</v>
      </c>
      <c r="H271" s="250" t="b">
        <f t="shared" si="2"/>
        <v>0</v>
      </c>
      <c r="I271" s="219" cm="1">
        <f t="array" aca="1" ref="I271" ca="1">IF(G271&lt;=B$3,(1-((1-INDEX(I$12:I$15,B271))^(G271-1))),(1-((1-INDEX(I$12:I$15,B271))^(B$3-1)))) * H271</f>
        <v>0</v>
      </c>
      <c r="J271" s="219" cm="1">
        <f t="array" aca="1" ref="J271" ca="1">_xlfn.LET(_xlpm.númerotermospg,MIN(B$3,G271),_xlpm.razão,1-INDEX(_xlfn.ANCHORARRAY(I$12),B271),_xlpm.somatermospg,((_xlpm.razão^_xlpm.númerotermospg)-1)/(_xlpm.razão-1),_xlpm.númerotermosconstantes,IF(G271&lt;=B$3,0,G271-B$3),_xlpm.somatermosconstantes,(1-I271)*_xlpm.númerotermosconstantes,_xlpm.somatodostermos,_xlpm.somatermospg+_xlpm.somatermosconstantes,_xlpm.médiatodosostermos,_xlpm.somatodostermos/G271,1 - _xlpm.médiatodosostermos) * H271</f>
        <v>0</v>
      </c>
      <c r="K271" s="110">
        <f ca="1"/>
        <v>0</v>
      </c>
    </row>
    <row r="272" spans="2:11">
      <c r="B272" s="345">
        <v>3</v>
      </c>
      <c r="C272" s="267" t="str">
        <f>'Painel Controle'!C$117</f>
        <v>Veículos Comerciais com 7 Eixos Articulado</v>
      </c>
      <c r="D272" s="481" t="str">
        <f>INDEX('Painel Controle'!D$110:D$121,MATCH(C272,'Painel Controle'!C$110:C$121,0))</f>
        <v>Pesados II</v>
      </c>
      <c r="E272" s="177" t="s">
        <v>595</v>
      </c>
      <c r="F272" s="110" cm="1">
        <f t="array" ref="F272">_xlfn._xlws.FILTER(E$34:E$81,(B$34:B$81 = B272) * (LEFT(C$34:C$81,5) = LEFT(D272,5)) * (D$34:D$81 = E272))</f>
        <v>0.13489999999999999</v>
      </c>
      <c r="G272" s="565" cm="1">
        <f t="array" ref="G272">_xlfn._xlws.FILTER(F$34:F$81,(B$34:B$81 = B272) * (LEFT(C$34:C$81,5) = LEFT(D272,5)) * (D$34:D$81 = E272))</f>
        <v>20</v>
      </c>
      <c r="H272" s="250" t="b">
        <f t="shared" si="2"/>
        <v>0</v>
      </c>
      <c r="I272" s="219" cm="1">
        <f t="array" aca="1" ref="I272" ca="1">IF(G272&lt;=B$3,(1-((1-INDEX(I$12:I$15,B272))^(G272-1))),(1-((1-INDEX(I$12:I$15,B272))^(B$3-1)))) * H272</f>
        <v>0</v>
      </c>
      <c r="J272" s="219" cm="1">
        <f t="array" aca="1" ref="J272" ca="1">_xlfn.LET(_xlpm.númerotermospg,MIN(B$3,G272),_xlpm.razão,1-INDEX(_xlfn.ANCHORARRAY(I$12),B272),_xlpm.somatermospg,((_xlpm.razão^_xlpm.númerotermospg)-1)/(_xlpm.razão-1),_xlpm.númerotermosconstantes,IF(G272&lt;=B$3,0,G272-B$3),_xlpm.somatermosconstantes,(1-I272)*_xlpm.númerotermosconstantes,_xlpm.somatodostermos,_xlpm.somatermospg+_xlpm.somatermosconstantes,_xlpm.médiatodosostermos,_xlpm.somatodostermos/G272,1 - _xlpm.médiatodosostermos) * H272</f>
        <v>0</v>
      </c>
      <c r="K272" s="110">
        <f ca="1"/>
        <v>0</v>
      </c>
    </row>
    <row r="273" spans="2:11">
      <c r="B273" s="345">
        <v>3</v>
      </c>
      <c r="C273" s="267" t="str">
        <f>'Painel Controle'!C$117</f>
        <v>Veículos Comerciais com 7 Eixos Articulado</v>
      </c>
      <c r="D273" s="481" t="str">
        <f>INDEX('Painel Controle'!D$110:D$121,MATCH(C273,'Painel Controle'!C$110:C$121,0))</f>
        <v>Pesados II</v>
      </c>
      <c r="E273" s="177" t="s">
        <v>596</v>
      </c>
      <c r="F273" s="110" cm="1">
        <f t="array" ref="F273">_xlfn._xlws.FILTER(E$34:E$81,(B$34:B$81 = B273) * (LEFT(C$34:C$81,5) = LEFT(D273,5)) * (D$34:D$81 = E273))</f>
        <v>0.28399999999999997</v>
      </c>
      <c r="G273" s="565" cm="1">
        <f t="array" ref="G273">_xlfn._xlws.FILTER(F$34:F$81,(B$34:B$81 = B273) * (LEFT(C$34:C$81,5) = LEFT(D273,5)) * (D$34:D$81 = E273))</f>
        <v>4</v>
      </c>
      <c r="H273" s="250" t="b">
        <f t="shared" si="2"/>
        <v>0</v>
      </c>
      <c r="I273" s="219" cm="1">
        <f t="array" aca="1" ref="I273" ca="1">IF(G273&lt;=B$3,(1-((1-INDEX(I$12:I$15,B273))^(G273-1))),(1-((1-INDEX(I$12:I$15,B273))^(B$3-1)))) * H273</f>
        <v>0</v>
      </c>
      <c r="J273" s="219" cm="1">
        <f t="array" aca="1" ref="J273" ca="1">_xlfn.LET(_xlpm.númerotermospg,MIN(B$3,G273),_xlpm.razão,1-INDEX(_xlfn.ANCHORARRAY(I$12),B273),_xlpm.somatermospg,((_xlpm.razão^_xlpm.númerotermospg)-1)/(_xlpm.razão-1),_xlpm.númerotermosconstantes,IF(G273&lt;=B$3,0,G273-B$3),_xlpm.somatermosconstantes,(1-I273)*_xlpm.númerotermosconstantes,_xlpm.somatodostermos,_xlpm.somatermospg+_xlpm.somatermosconstantes,_xlpm.médiatodosostermos,_xlpm.somatodostermos/G273,1 - _xlpm.médiatodosostermos) * H273</f>
        <v>0</v>
      </c>
      <c r="K273" s="110">
        <f ca="1"/>
        <v>0</v>
      </c>
    </row>
    <row r="274" spans="2:11">
      <c r="B274" s="345">
        <v>3</v>
      </c>
      <c r="C274" s="267" t="str">
        <f>'Painel Controle'!C$117</f>
        <v>Veículos Comerciais com 7 Eixos Articulado</v>
      </c>
      <c r="D274" s="481" t="str">
        <f>INDEX('Painel Controle'!D$110:D$121,MATCH(C274,'Painel Controle'!C$110:C$121,0))</f>
        <v>Pesados II</v>
      </c>
      <c r="E274" s="177" t="s">
        <v>597</v>
      </c>
      <c r="F274" s="110" cm="1">
        <f t="array" ref="F274">_xlfn._xlws.FILTER(E$34:E$81,(B$34:B$81 = B274) * (LEFT(C$34:C$81,5) = LEFT(D274,5)) * (D$34:D$81 = E274))</f>
        <v>0.14899999999999999</v>
      </c>
      <c r="G274" s="565" cm="1">
        <f t="array" ref="G274">_xlfn._xlws.FILTER(F$34:F$81,(B$34:B$81 = B274) * (LEFT(C$34:C$81,5) = LEFT(D274,5)) * (D$34:D$81 = E274))</f>
        <v>2</v>
      </c>
      <c r="H274" s="250" t="b">
        <f t="shared" si="2"/>
        <v>0</v>
      </c>
      <c r="I274" s="219" cm="1">
        <f t="array" aca="1" ref="I274" ca="1">IF(G274&lt;=B$3,(1-((1-INDEX(I$12:I$15,B274))^(G274-1))),(1-((1-INDEX(I$12:I$15,B274))^(B$3-1)))) * H274</f>
        <v>0</v>
      </c>
      <c r="J274" s="219" cm="1">
        <f t="array" aca="1" ref="J274" ca="1">_xlfn.LET(_xlpm.númerotermospg,MIN(B$3,G274),_xlpm.razão,1-INDEX(_xlfn.ANCHORARRAY(I$12),B274),_xlpm.somatermospg,((_xlpm.razão^_xlpm.númerotermospg)-1)/(_xlpm.razão-1),_xlpm.númerotermosconstantes,IF(G274&lt;=B$3,0,G274-B$3),_xlpm.somatermosconstantes,(1-I274)*_xlpm.númerotermosconstantes,_xlpm.somatodostermos,_xlpm.somatermospg+_xlpm.somatermosconstantes,_xlpm.médiatodosostermos,_xlpm.somatodostermos/G274,1 - _xlpm.médiatodosostermos) * H274</f>
        <v>0</v>
      </c>
      <c r="K274" s="110">
        <f ca="1"/>
        <v>0</v>
      </c>
    </row>
    <row r="275" spans="2:11">
      <c r="B275" s="345">
        <v>3</v>
      </c>
      <c r="C275" s="267" t="str">
        <f>'Painel Controle'!C$117</f>
        <v>Veículos Comerciais com 7 Eixos Articulado</v>
      </c>
      <c r="D275" s="481" t="str">
        <f>INDEX('Painel Controle'!D$110:D$121,MATCH(C275,'Painel Controle'!C$110:C$121,0))</f>
        <v>Pesados II</v>
      </c>
      <c r="E275" s="177" t="s">
        <v>598</v>
      </c>
      <c r="F275" s="110" cm="1">
        <f t="array" ref="F275">_xlfn._xlws.FILTER(E$34:E$81,(B$34:B$81 = B275) * (LEFT(C$34:C$81,5) = LEFT(D275,5)) * (D$34:D$81 = E275))</f>
        <v>1.4E-2</v>
      </c>
      <c r="G275" s="565" cm="1">
        <f t="array" ref="G275">_xlfn._xlws.FILTER(F$34:F$81,(B$34:B$81 = B275) * (LEFT(C$34:C$81,5) = LEFT(D275,5)) * (D$34:D$81 = E275))</f>
        <v>1</v>
      </c>
      <c r="H275" s="250" t="b">
        <f t="shared" si="2"/>
        <v>0</v>
      </c>
      <c r="I275" s="219" cm="1">
        <f t="array" aca="1" ref="I275" ca="1">IF(G275&lt;=B$3,(1-((1-INDEX(I$12:I$15,B275))^(G275-1))),(1-((1-INDEX(I$12:I$15,B275))^(B$3-1)))) * H275</f>
        <v>0</v>
      </c>
      <c r="J275" s="219" cm="1">
        <f t="array" aca="1" ref="J275" ca="1">_xlfn.LET(_xlpm.númerotermospg,MIN(B$3,G275),_xlpm.razão,1-INDEX(_xlfn.ANCHORARRAY(I$12),B275),_xlpm.somatermospg,((_xlpm.razão^_xlpm.númerotermospg)-1)/(_xlpm.razão-1),_xlpm.númerotermosconstantes,IF(G275&lt;=B$3,0,G275-B$3),_xlpm.somatermosconstantes,(1-I275)*_xlpm.númerotermosconstantes,_xlpm.somatodostermos,_xlpm.somatermospg+_xlpm.somatermosconstantes,_xlpm.médiatodosostermos,_xlpm.somatodostermos/G275,1 - _xlpm.médiatodosostermos) * H275</f>
        <v>0</v>
      </c>
      <c r="K275" s="110">
        <f ca="1"/>
        <v>0</v>
      </c>
    </row>
    <row r="276" spans="2:11">
      <c r="B276" s="345">
        <v>3</v>
      </c>
      <c r="C276" s="267" t="str">
        <f>'Painel Controle'!C$117</f>
        <v>Veículos Comerciais com 7 Eixos Articulado</v>
      </c>
      <c r="D276" s="481" t="str">
        <f>INDEX('Painel Controle'!D$110:D$121,MATCH(C276,'Painel Controle'!C$110:C$121,0))</f>
        <v>Pesados II</v>
      </c>
      <c r="E276" s="177" t="s">
        <v>599</v>
      </c>
      <c r="F276" s="110" cm="1">
        <f t="array" ref="F276">_xlfn._xlws.FILTER(E$34:E$81,(B$34:B$81 = B276) * (LEFT(C$34:C$81,5) = LEFT(D276,5)) * (D$34:D$81 = E276))</f>
        <v>0.39200000000000002</v>
      </c>
      <c r="G276" s="565" cm="1">
        <f t="array" ref="G276">_xlfn._xlws.FILTER(F$34:F$81,(B$34:B$81 = B276) * (LEFT(C$34:C$81,5) = LEFT(D276,5)) * (D$34:D$81 = E276))</f>
        <v>1</v>
      </c>
      <c r="H276" s="250" t="b">
        <f t="shared" si="2"/>
        <v>0</v>
      </c>
      <c r="I276" s="219" cm="1">
        <f t="array" aca="1" ref="I276" ca="1">IF(G276&lt;=B$3,(1-((1-INDEX(I$12:I$15,B276))^(G276-1))),(1-((1-INDEX(I$12:I$15,B276))^(B$3-1)))) * H276</f>
        <v>0</v>
      </c>
      <c r="J276" s="219" cm="1">
        <f t="array" aca="1" ref="J276" ca="1">_xlfn.LET(_xlpm.númerotermospg,MIN(B$3,G276),_xlpm.razão,1-INDEX(_xlfn.ANCHORARRAY(I$12),B276),_xlpm.somatermospg,((_xlpm.razão^_xlpm.númerotermospg)-1)/(_xlpm.razão-1),_xlpm.númerotermosconstantes,IF(G276&lt;=B$3,0,G276-B$3),_xlpm.somatermosconstantes,(1-I276)*_xlpm.númerotermosconstantes,_xlpm.somatodostermos,_xlpm.somatermospg+_xlpm.somatermosconstantes,_xlpm.médiatodosostermos,_xlpm.somatodostermos/G276,1 - _xlpm.médiatodosostermos) * H276</f>
        <v>0</v>
      </c>
      <c r="K276" s="110">
        <f ca="1"/>
        <v>0</v>
      </c>
    </row>
    <row r="277" spans="2:11">
      <c r="B277" s="345">
        <v>3</v>
      </c>
      <c r="C277" s="267" t="str">
        <f>'Painel Controle'!C$117</f>
        <v>Veículos Comerciais com 7 Eixos Articulado</v>
      </c>
      <c r="D277" s="481" t="str">
        <f>INDEX('Painel Controle'!D$110:D$121,MATCH(C277,'Painel Controle'!C$110:C$121,0))</f>
        <v>Pesados II</v>
      </c>
      <c r="E277" s="177" t="s">
        <v>600</v>
      </c>
      <c r="F277" s="110" cm="1">
        <f t="array" ref="F277">_xlfn._xlws.FILTER(E$34:E$81,(B$34:B$81 = B277) * (LEFT(C$34:C$81,5) = LEFT(D277,5)) * (D$34:D$81 = E277))</f>
        <v>2.7E-2</v>
      </c>
      <c r="G277" s="565" cm="1">
        <f t="array" ref="G277">_xlfn._xlws.FILTER(F$34:F$81,(B$34:B$81 = B277) * (LEFT(C$34:C$81,5) = LEFT(D277,5)) * (D$34:D$81 = E277))</f>
        <v>1</v>
      </c>
      <c r="H277" s="250" t="b">
        <f t="shared" si="2"/>
        <v>0</v>
      </c>
      <c r="I277" s="219" cm="1">
        <f t="array" aca="1" ref="I277" ca="1">IF(G277&lt;=B$3,(1-((1-INDEX(I$12:I$15,B277))^(G277-1))),(1-((1-INDEX(I$12:I$15,B277))^(B$3-1)))) * H277</f>
        <v>0</v>
      </c>
      <c r="J277" s="219" cm="1">
        <f t="array" aca="1" ref="J277" ca="1">_xlfn.LET(_xlpm.númerotermospg,MIN(B$3,G277),_xlpm.razão,1-INDEX(_xlfn.ANCHORARRAY(I$12),B277),_xlpm.somatermospg,((_xlpm.razão^_xlpm.númerotermospg)-1)/(_xlpm.razão-1),_xlpm.númerotermosconstantes,IF(G277&lt;=B$3,0,G277-B$3),_xlpm.somatermosconstantes,(1-I277)*_xlpm.númerotermosconstantes,_xlpm.somatodostermos,_xlpm.somatermospg+_xlpm.somatermosconstantes,_xlpm.médiatodosostermos,_xlpm.somatodostermos/G277,1 - _xlpm.médiatodosostermos) * H277</f>
        <v>0</v>
      </c>
      <c r="K277" s="110">
        <f ca="1"/>
        <v>0</v>
      </c>
    </row>
    <row r="278" spans="2:11">
      <c r="B278" s="345">
        <v>3</v>
      </c>
      <c r="C278" s="267" t="str">
        <f>'Painel Controle'!C$118</f>
        <v>Veículos Comerciais com 8 Eixos Articulado</v>
      </c>
      <c r="D278" s="481" t="str">
        <f>INDEX('Painel Controle'!D$110:D$121,MATCH(C278,'Painel Controle'!C$110:C$121,0))</f>
        <v>Pesados II</v>
      </c>
      <c r="E278" s="177" t="s">
        <v>595</v>
      </c>
      <c r="F278" s="110" cm="1">
        <f t="array" ref="F278">_xlfn._xlws.FILTER(E$34:E$81,(B$34:B$81 = B278) * (LEFT(C$34:C$81,5) = LEFT(D278,5)) * (D$34:D$81 = E278))</f>
        <v>0.13489999999999999</v>
      </c>
      <c r="G278" s="565" cm="1">
        <f t="array" ref="G278">_xlfn._xlws.FILTER(F$34:F$81,(B$34:B$81 = B278) * (LEFT(C$34:C$81,5) = LEFT(D278,5)) * (D$34:D$81 = E278))</f>
        <v>20</v>
      </c>
      <c r="H278" s="250" t="b">
        <f t="shared" si="2"/>
        <v>0</v>
      </c>
      <c r="I278" s="219" cm="1">
        <f t="array" aca="1" ref="I278" ca="1">IF(G278&lt;=B$3,(1-((1-INDEX(I$12:I$15,B278))^(G278-1))),(1-((1-INDEX(I$12:I$15,B278))^(B$3-1)))) * H278</f>
        <v>0</v>
      </c>
      <c r="J278" s="219" cm="1">
        <f t="array" aca="1" ref="J278" ca="1">_xlfn.LET(_xlpm.númerotermospg,MIN(B$3,G278),_xlpm.razão,1-INDEX(_xlfn.ANCHORARRAY(I$12),B278),_xlpm.somatermospg,((_xlpm.razão^_xlpm.númerotermospg)-1)/(_xlpm.razão-1),_xlpm.númerotermosconstantes,IF(G278&lt;=B$3,0,G278-B$3),_xlpm.somatermosconstantes,(1-I278)*_xlpm.númerotermosconstantes,_xlpm.somatodostermos,_xlpm.somatermospg+_xlpm.somatermosconstantes,_xlpm.médiatodosostermos,_xlpm.somatodostermos/G278,1 - _xlpm.médiatodosostermos) * H278</f>
        <v>0</v>
      </c>
      <c r="K278" s="110">
        <f ca="1"/>
        <v>0</v>
      </c>
    </row>
    <row r="279" spans="2:11">
      <c r="B279" s="345">
        <v>3</v>
      </c>
      <c r="C279" s="267" t="str">
        <f>'Painel Controle'!C$118</f>
        <v>Veículos Comerciais com 8 Eixos Articulado</v>
      </c>
      <c r="D279" s="481" t="str">
        <f>INDEX('Painel Controle'!D$110:D$121,MATCH(C279,'Painel Controle'!C$110:C$121,0))</f>
        <v>Pesados II</v>
      </c>
      <c r="E279" s="177" t="s">
        <v>596</v>
      </c>
      <c r="F279" s="110" cm="1">
        <f t="array" ref="F279">_xlfn._xlws.FILTER(E$34:E$81,(B$34:B$81 = B279) * (LEFT(C$34:C$81,5) = LEFT(D279,5)) * (D$34:D$81 = E279))</f>
        <v>0.28399999999999997</v>
      </c>
      <c r="G279" s="565" cm="1">
        <f t="array" ref="G279">_xlfn._xlws.FILTER(F$34:F$81,(B$34:B$81 = B279) * (LEFT(C$34:C$81,5) = LEFT(D279,5)) * (D$34:D$81 = E279))</f>
        <v>4</v>
      </c>
      <c r="H279" s="250" t="b">
        <f t="shared" ref="H279:H342" si="3">OR(C279="Automóvel",C279="Motocicleta")</f>
        <v>0</v>
      </c>
      <c r="I279" s="219" cm="1">
        <f t="array" aca="1" ref="I279" ca="1">IF(G279&lt;=B$3,(1-((1-INDEX(I$12:I$15,B279))^(G279-1))),(1-((1-INDEX(I$12:I$15,B279))^(B$3-1)))) * H279</f>
        <v>0</v>
      </c>
      <c r="J279" s="219" cm="1">
        <f t="array" aca="1" ref="J279" ca="1">_xlfn.LET(_xlpm.númerotermospg,MIN(B$3,G279),_xlpm.razão,1-INDEX(_xlfn.ANCHORARRAY(I$12),B279),_xlpm.somatermospg,((_xlpm.razão^_xlpm.númerotermospg)-1)/(_xlpm.razão-1),_xlpm.númerotermosconstantes,IF(G279&lt;=B$3,0,G279-B$3),_xlpm.somatermosconstantes,(1-I279)*_xlpm.númerotermosconstantes,_xlpm.somatodostermos,_xlpm.somatermospg+_xlpm.somatermosconstantes,_xlpm.médiatodosostermos,_xlpm.somatodostermos/G279,1 - _xlpm.médiatodosostermos) * H279</f>
        <v>0</v>
      </c>
      <c r="K279" s="110">
        <f ca="1"/>
        <v>0</v>
      </c>
    </row>
    <row r="280" spans="2:11">
      <c r="B280" s="345">
        <v>3</v>
      </c>
      <c r="C280" s="267" t="str">
        <f>'Painel Controle'!C$118</f>
        <v>Veículos Comerciais com 8 Eixos Articulado</v>
      </c>
      <c r="D280" s="481" t="str">
        <f>INDEX('Painel Controle'!D$110:D$121,MATCH(C280,'Painel Controle'!C$110:C$121,0))</f>
        <v>Pesados II</v>
      </c>
      <c r="E280" s="177" t="s">
        <v>597</v>
      </c>
      <c r="F280" s="110" cm="1">
        <f t="array" ref="F280">_xlfn._xlws.FILTER(E$34:E$81,(B$34:B$81 = B280) * (LEFT(C$34:C$81,5) = LEFT(D280,5)) * (D$34:D$81 = E280))</f>
        <v>0.14899999999999999</v>
      </c>
      <c r="G280" s="565" cm="1">
        <f t="array" ref="G280">_xlfn._xlws.FILTER(F$34:F$81,(B$34:B$81 = B280) * (LEFT(C$34:C$81,5) = LEFT(D280,5)) * (D$34:D$81 = E280))</f>
        <v>2</v>
      </c>
      <c r="H280" s="250" t="b">
        <f t="shared" si="3"/>
        <v>0</v>
      </c>
      <c r="I280" s="219" cm="1">
        <f t="array" aca="1" ref="I280" ca="1">IF(G280&lt;=B$3,(1-((1-INDEX(I$12:I$15,B280))^(G280-1))),(1-((1-INDEX(I$12:I$15,B280))^(B$3-1)))) * H280</f>
        <v>0</v>
      </c>
      <c r="J280" s="219" cm="1">
        <f t="array" aca="1" ref="J280" ca="1">_xlfn.LET(_xlpm.númerotermospg,MIN(B$3,G280),_xlpm.razão,1-INDEX(_xlfn.ANCHORARRAY(I$12),B280),_xlpm.somatermospg,((_xlpm.razão^_xlpm.númerotermospg)-1)/(_xlpm.razão-1),_xlpm.númerotermosconstantes,IF(G280&lt;=B$3,0,G280-B$3),_xlpm.somatermosconstantes,(1-I280)*_xlpm.númerotermosconstantes,_xlpm.somatodostermos,_xlpm.somatermospg+_xlpm.somatermosconstantes,_xlpm.médiatodosostermos,_xlpm.somatodostermos/G280,1 - _xlpm.médiatodosostermos) * H280</f>
        <v>0</v>
      </c>
      <c r="K280" s="110">
        <f ca="1"/>
        <v>0</v>
      </c>
    </row>
    <row r="281" spans="2:11">
      <c r="B281" s="345">
        <v>3</v>
      </c>
      <c r="C281" s="267" t="str">
        <f>'Painel Controle'!C$118</f>
        <v>Veículos Comerciais com 8 Eixos Articulado</v>
      </c>
      <c r="D281" s="481" t="str">
        <f>INDEX('Painel Controle'!D$110:D$121,MATCH(C281,'Painel Controle'!C$110:C$121,0))</f>
        <v>Pesados II</v>
      </c>
      <c r="E281" s="177" t="s">
        <v>598</v>
      </c>
      <c r="F281" s="110" cm="1">
        <f t="array" ref="F281">_xlfn._xlws.FILTER(E$34:E$81,(B$34:B$81 = B281) * (LEFT(C$34:C$81,5) = LEFT(D281,5)) * (D$34:D$81 = E281))</f>
        <v>1.4E-2</v>
      </c>
      <c r="G281" s="565" cm="1">
        <f t="array" ref="G281">_xlfn._xlws.FILTER(F$34:F$81,(B$34:B$81 = B281) * (LEFT(C$34:C$81,5) = LEFT(D281,5)) * (D$34:D$81 = E281))</f>
        <v>1</v>
      </c>
      <c r="H281" s="250" t="b">
        <f t="shared" si="3"/>
        <v>0</v>
      </c>
      <c r="I281" s="219" cm="1">
        <f t="array" aca="1" ref="I281" ca="1">IF(G281&lt;=B$3,(1-((1-INDEX(I$12:I$15,B281))^(G281-1))),(1-((1-INDEX(I$12:I$15,B281))^(B$3-1)))) * H281</f>
        <v>0</v>
      </c>
      <c r="J281" s="219" cm="1">
        <f t="array" aca="1" ref="J281" ca="1">_xlfn.LET(_xlpm.númerotermospg,MIN(B$3,G281),_xlpm.razão,1-INDEX(_xlfn.ANCHORARRAY(I$12),B281),_xlpm.somatermospg,((_xlpm.razão^_xlpm.númerotermospg)-1)/(_xlpm.razão-1),_xlpm.númerotermosconstantes,IF(G281&lt;=B$3,0,G281-B$3),_xlpm.somatermosconstantes,(1-I281)*_xlpm.númerotermosconstantes,_xlpm.somatodostermos,_xlpm.somatermospg+_xlpm.somatermosconstantes,_xlpm.médiatodosostermos,_xlpm.somatodostermos/G281,1 - _xlpm.médiatodosostermos) * H281</f>
        <v>0</v>
      </c>
      <c r="K281" s="110">
        <f ca="1"/>
        <v>0</v>
      </c>
    </row>
    <row r="282" spans="2:11">
      <c r="B282" s="345">
        <v>3</v>
      </c>
      <c r="C282" s="267" t="str">
        <f>'Painel Controle'!C$118</f>
        <v>Veículos Comerciais com 8 Eixos Articulado</v>
      </c>
      <c r="D282" s="481" t="str">
        <f>INDEX('Painel Controle'!D$110:D$121,MATCH(C282,'Painel Controle'!C$110:C$121,0))</f>
        <v>Pesados II</v>
      </c>
      <c r="E282" s="177" t="s">
        <v>599</v>
      </c>
      <c r="F282" s="110" cm="1">
        <f t="array" ref="F282">_xlfn._xlws.FILTER(E$34:E$81,(B$34:B$81 = B282) * (LEFT(C$34:C$81,5) = LEFT(D282,5)) * (D$34:D$81 = E282))</f>
        <v>0.39200000000000002</v>
      </c>
      <c r="G282" s="565" cm="1">
        <f t="array" ref="G282">_xlfn._xlws.FILTER(F$34:F$81,(B$34:B$81 = B282) * (LEFT(C$34:C$81,5) = LEFT(D282,5)) * (D$34:D$81 = E282))</f>
        <v>1</v>
      </c>
      <c r="H282" s="250" t="b">
        <f t="shared" si="3"/>
        <v>0</v>
      </c>
      <c r="I282" s="219" cm="1">
        <f t="array" aca="1" ref="I282" ca="1">IF(G282&lt;=B$3,(1-((1-INDEX(I$12:I$15,B282))^(G282-1))),(1-((1-INDEX(I$12:I$15,B282))^(B$3-1)))) * H282</f>
        <v>0</v>
      </c>
      <c r="J282" s="219" cm="1">
        <f t="array" aca="1" ref="J282" ca="1">_xlfn.LET(_xlpm.númerotermospg,MIN(B$3,G282),_xlpm.razão,1-INDEX(_xlfn.ANCHORARRAY(I$12),B282),_xlpm.somatermospg,((_xlpm.razão^_xlpm.númerotermospg)-1)/(_xlpm.razão-1),_xlpm.númerotermosconstantes,IF(G282&lt;=B$3,0,G282-B$3),_xlpm.somatermosconstantes,(1-I282)*_xlpm.númerotermosconstantes,_xlpm.somatodostermos,_xlpm.somatermospg+_xlpm.somatermosconstantes,_xlpm.médiatodosostermos,_xlpm.somatodostermos/G282,1 - _xlpm.médiatodosostermos) * H282</f>
        <v>0</v>
      </c>
      <c r="K282" s="110">
        <f ca="1"/>
        <v>0</v>
      </c>
    </row>
    <row r="283" spans="2:11">
      <c r="B283" s="345">
        <v>3</v>
      </c>
      <c r="C283" s="267" t="str">
        <f>'Painel Controle'!C$118</f>
        <v>Veículos Comerciais com 8 Eixos Articulado</v>
      </c>
      <c r="D283" s="481" t="str">
        <f>INDEX('Painel Controle'!D$110:D$121,MATCH(C283,'Painel Controle'!C$110:C$121,0))</f>
        <v>Pesados II</v>
      </c>
      <c r="E283" s="177" t="s">
        <v>600</v>
      </c>
      <c r="F283" s="110" cm="1">
        <f t="array" ref="F283">_xlfn._xlws.FILTER(E$34:E$81,(B$34:B$81 = B283) * (LEFT(C$34:C$81,5) = LEFT(D283,5)) * (D$34:D$81 = E283))</f>
        <v>2.7E-2</v>
      </c>
      <c r="G283" s="565" cm="1">
        <f t="array" ref="G283">_xlfn._xlws.FILTER(F$34:F$81,(B$34:B$81 = B283) * (LEFT(C$34:C$81,5) = LEFT(D283,5)) * (D$34:D$81 = E283))</f>
        <v>1</v>
      </c>
      <c r="H283" s="250" t="b">
        <f t="shared" si="3"/>
        <v>0</v>
      </c>
      <c r="I283" s="219" cm="1">
        <f t="array" aca="1" ref="I283" ca="1">IF(G283&lt;=B$3,(1-((1-INDEX(I$12:I$15,B283))^(G283-1))),(1-((1-INDEX(I$12:I$15,B283))^(B$3-1)))) * H283</f>
        <v>0</v>
      </c>
      <c r="J283" s="219" cm="1">
        <f t="array" aca="1" ref="J283" ca="1">_xlfn.LET(_xlpm.númerotermospg,MIN(B$3,G283),_xlpm.razão,1-INDEX(_xlfn.ANCHORARRAY(I$12),B283),_xlpm.somatermospg,((_xlpm.razão^_xlpm.númerotermospg)-1)/(_xlpm.razão-1),_xlpm.númerotermosconstantes,IF(G283&lt;=B$3,0,G283-B$3),_xlpm.somatermosconstantes,(1-I283)*_xlpm.númerotermosconstantes,_xlpm.somatodostermos,_xlpm.somatermospg+_xlpm.somatermosconstantes,_xlpm.médiatodosostermos,_xlpm.somatodostermos/G283,1 - _xlpm.médiatodosostermos) * H283</f>
        <v>0</v>
      </c>
      <c r="K283" s="110">
        <f ca="1"/>
        <v>0</v>
      </c>
    </row>
    <row r="284" spans="2:11">
      <c r="B284" s="345">
        <v>3</v>
      </c>
      <c r="C284" s="267" t="str">
        <f>'Painel Controle'!C$119</f>
        <v>Veículos Comerciais com 9 Eixos Articulado</v>
      </c>
      <c r="D284" s="481" t="str">
        <f>INDEX('Painel Controle'!D$110:D$121,MATCH(C284,'Painel Controle'!C$110:C$121,0))</f>
        <v>Pesados II</v>
      </c>
      <c r="E284" s="177" t="s">
        <v>595</v>
      </c>
      <c r="F284" s="110" cm="1">
        <f t="array" ref="F284">_xlfn._xlws.FILTER(E$34:E$81,(B$34:B$81 = B284) * (LEFT(C$34:C$81,5) = LEFT(D284,5)) * (D$34:D$81 = E284))</f>
        <v>0.13489999999999999</v>
      </c>
      <c r="G284" s="565" cm="1">
        <f t="array" ref="G284">_xlfn._xlws.FILTER(F$34:F$81,(B$34:B$81 = B284) * (LEFT(C$34:C$81,5) = LEFT(D284,5)) * (D$34:D$81 = E284))</f>
        <v>20</v>
      </c>
      <c r="H284" s="250" t="b">
        <f t="shared" si="3"/>
        <v>0</v>
      </c>
      <c r="I284" s="219" cm="1">
        <f t="array" aca="1" ref="I284" ca="1">IF(G284&lt;=B$3,(1-((1-INDEX(I$12:I$15,B284))^(G284-1))),(1-((1-INDEX(I$12:I$15,B284))^(B$3-1)))) * H284</f>
        <v>0</v>
      </c>
      <c r="J284" s="219" cm="1">
        <f t="array" aca="1" ref="J284" ca="1">_xlfn.LET(_xlpm.númerotermospg,MIN(B$3,G284),_xlpm.razão,1-INDEX(_xlfn.ANCHORARRAY(I$12),B284),_xlpm.somatermospg,((_xlpm.razão^_xlpm.númerotermospg)-1)/(_xlpm.razão-1),_xlpm.númerotermosconstantes,IF(G284&lt;=B$3,0,G284-B$3),_xlpm.somatermosconstantes,(1-I284)*_xlpm.númerotermosconstantes,_xlpm.somatodostermos,_xlpm.somatermospg+_xlpm.somatermosconstantes,_xlpm.médiatodosostermos,_xlpm.somatodostermos/G284,1 - _xlpm.médiatodosostermos) * H284</f>
        <v>0</v>
      </c>
      <c r="K284" s="110">
        <f ca="1"/>
        <v>0</v>
      </c>
    </row>
    <row r="285" spans="2:11">
      <c r="B285" s="345">
        <v>3</v>
      </c>
      <c r="C285" s="267" t="str">
        <f>'Painel Controle'!C$119</f>
        <v>Veículos Comerciais com 9 Eixos Articulado</v>
      </c>
      <c r="D285" s="481" t="str">
        <f>INDEX('Painel Controle'!D$110:D$121,MATCH(C285,'Painel Controle'!C$110:C$121,0))</f>
        <v>Pesados II</v>
      </c>
      <c r="E285" s="177" t="s">
        <v>596</v>
      </c>
      <c r="F285" s="110" cm="1">
        <f t="array" ref="F285">_xlfn._xlws.FILTER(E$34:E$81,(B$34:B$81 = B285) * (LEFT(C$34:C$81,5) = LEFT(D285,5)) * (D$34:D$81 = E285))</f>
        <v>0.28399999999999997</v>
      </c>
      <c r="G285" s="565" cm="1">
        <f t="array" ref="G285">_xlfn._xlws.FILTER(F$34:F$81,(B$34:B$81 = B285) * (LEFT(C$34:C$81,5) = LEFT(D285,5)) * (D$34:D$81 = E285))</f>
        <v>4</v>
      </c>
      <c r="H285" s="250" t="b">
        <f t="shared" si="3"/>
        <v>0</v>
      </c>
      <c r="I285" s="219" cm="1">
        <f t="array" aca="1" ref="I285" ca="1">IF(G285&lt;=B$3,(1-((1-INDEX(I$12:I$15,B285))^(G285-1))),(1-((1-INDEX(I$12:I$15,B285))^(B$3-1)))) * H285</f>
        <v>0</v>
      </c>
      <c r="J285" s="219" cm="1">
        <f t="array" aca="1" ref="J285" ca="1">_xlfn.LET(_xlpm.númerotermospg,MIN(B$3,G285),_xlpm.razão,1-INDEX(_xlfn.ANCHORARRAY(I$12),B285),_xlpm.somatermospg,((_xlpm.razão^_xlpm.númerotermospg)-1)/(_xlpm.razão-1),_xlpm.númerotermosconstantes,IF(G285&lt;=B$3,0,G285-B$3),_xlpm.somatermosconstantes,(1-I285)*_xlpm.númerotermosconstantes,_xlpm.somatodostermos,_xlpm.somatermospg+_xlpm.somatermosconstantes,_xlpm.médiatodosostermos,_xlpm.somatodostermos/G285,1 - _xlpm.médiatodosostermos) * H285</f>
        <v>0</v>
      </c>
      <c r="K285" s="110">
        <f ca="1"/>
        <v>0</v>
      </c>
    </row>
    <row r="286" spans="2:11">
      <c r="B286" s="345">
        <v>3</v>
      </c>
      <c r="C286" s="267" t="str">
        <f>'Painel Controle'!C$119</f>
        <v>Veículos Comerciais com 9 Eixos Articulado</v>
      </c>
      <c r="D286" s="481" t="str">
        <f>INDEX('Painel Controle'!D$110:D$121,MATCH(C286,'Painel Controle'!C$110:C$121,0))</f>
        <v>Pesados II</v>
      </c>
      <c r="E286" s="177" t="s">
        <v>597</v>
      </c>
      <c r="F286" s="110" cm="1">
        <f t="array" ref="F286">_xlfn._xlws.FILTER(E$34:E$81,(B$34:B$81 = B286) * (LEFT(C$34:C$81,5) = LEFT(D286,5)) * (D$34:D$81 = E286))</f>
        <v>0.14899999999999999</v>
      </c>
      <c r="G286" s="565" cm="1">
        <f t="array" ref="G286">_xlfn._xlws.FILTER(F$34:F$81,(B$34:B$81 = B286) * (LEFT(C$34:C$81,5) = LEFT(D286,5)) * (D$34:D$81 = E286))</f>
        <v>2</v>
      </c>
      <c r="H286" s="250" t="b">
        <f t="shared" si="3"/>
        <v>0</v>
      </c>
      <c r="I286" s="219" cm="1">
        <f t="array" aca="1" ref="I286" ca="1">IF(G286&lt;=B$3,(1-((1-INDEX(I$12:I$15,B286))^(G286-1))),(1-((1-INDEX(I$12:I$15,B286))^(B$3-1)))) * H286</f>
        <v>0</v>
      </c>
      <c r="J286" s="219" cm="1">
        <f t="array" aca="1" ref="J286" ca="1">_xlfn.LET(_xlpm.númerotermospg,MIN(B$3,G286),_xlpm.razão,1-INDEX(_xlfn.ANCHORARRAY(I$12),B286),_xlpm.somatermospg,((_xlpm.razão^_xlpm.númerotermospg)-1)/(_xlpm.razão-1),_xlpm.númerotermosconstantes,IF(G286&lt;=B$3,0,G286-B$3),_xlpm.somatermosconstantes,(1-I286)*_xlpm.númerotermosconstantes,_xlpm.somatodostermos,_xlpm.somatermospg+_xlpm.somatermosconstantes,_xlpm.médiatodosostermos,_xlpm.somatodostermos/G286,1 - _xlpm.médiatodosostermos) * H286</f>
        <v>0</v>
      </c>
      <c r="K286" s="110">
        <f ca="1"/>
        <v>0</v>
      </c>
    </row>
    <row r="287" spans="2:11">
      <c r="B287" s="345">
        <v>3</v>
      </c>
      <c r="C287" s="267" t="str">
        <f>'Painel Controle'!C$119</f>
        <v>Veículos Comerciais com 9 Eixos Articulado</v>
      </c>
      <c r="D287" s="481" t="str">
        <f>INDEX('Painel Controle'!D$110:D$121,MATCH(C287,'Painel Controle'!C$110:C$121,0))</f>
        <v>Pesados II</v>
      </c>
      <c r="E287" s="177" t="s">
        <v>598</v>
      </c>
      <c r="F287" s="110" cm="1">
        <f t="array" ref="F287">_xlfn._xlws.FILTER(E$34:E$81,(B$34:B$81 = B287) * (LEFT(C$34:C$81,5) = LEFT(D287,5)) * (D$34:D$81 = E287))</f>
        <v>1.4E-2</v>
      </c>
      <c r="G287" s="565" cm="1">
        <f t="array" ref="G287">_xlfn._xlws.FILTER(F$34:F$81,(B$34:B$81 = B287) * (LEFT(C$34:C$81,5) = LEFT(D287,5)) * (D$34:D$81 = E287))</f>
        <v>1</v>
      </c>
      <c r="H287" s="250" t="b">
        <f t="shared" si="3"/>
        <v>0</v>
      </c>
      <c r="I287" s="219" cm="1">
        <f t="array" aca="1" ref="I287" ca="1">IF(G287&lt;=B$3,(1-((1-INDEX(I$12:I$15,B287))^(G287-1))),(1-((1-INDEX(I$12:I$15,B287))^(B$3-1)))) * H287</f>
        <v>0</v>
      </c>
      <c r="J287" s="219" cm="1">
        <f t="array" aca="1" ref="J287" ca="1">_xlfn.LET(_xlpm.númerotermospg,MIN(B$3,G287),_xlpm.razão,1-INDEX(_xlfn.ANCHORARRAY(I$12),B287),_xlpm.somatermospg,((_xlpm.razão^_xlpm.númerotermospg)-1)/(_xlpm.razão-1),_xlpm.númerotermosconstantes,IF(G287&lt;=B$3,0,G287-B$3),_xlpm.somatermosconstantes,(1-I287)*_xlpm.númerotermosconstantes,_xlpm.somatodostermos,_xlpm.somatermospg+_xlpm.somatermosconstantes,_xlpm.médiatodosostermos,_xlpm.somatodostermos/G287,1 - _xlpm.médiatodosostermos) * H287</f>
        <v>0</v>
      </c>
      <c r="K287" s="110">
        <f ca="1"/>
        <v>0</v>
      </c>
    </row>
    <row r="288" spans="2:11">
      <c r="B288" s="345">
        <v>3</v>
      </c>
      <c r="C288" s="267" t="str">
        <f>'Painel Controle'!C$119</f>
        <v>Veículos Comerciais com 9 Eixos Articulado</v>
      </c>
      <c r="D288" s="481" t="str">
        <f>INDEX('Painel Controle'!D$110:D$121,MATCH(C288,'Painel Controle'!C$110:C$121,0))</f>
        <v>Pesados II</v>
      </c>
      <c r="E288" s="177" t="s">
        <v>599</v>
      </c>
      <c r="F288" s="110" cm="1">
        <f t="array" ref="F288">_xlfn._xlws.FILTER(E$34:E$81,(B$34:B$81 = B288) * (LEFT(C$34:C$81,5) = LEFT(D288,5)) * (D$34:D$81 = E288))</f>
        <v>0.39200000000000002</v>
      </c>
      <c r="G288" s="565" cm="1">
        <f t="array" ref="G288">_xlfn._xlws.FILTER(F$34:F$81,(B$34:B$81 = B288) * (LEFT(C$34:C$81,5) = LEFT(D288,5)) * (D$34:D$81 = E288))</f>
        <v>1</v>
      </c>
      <c r="H288" s="250" t="b">
        <f t="shared" si="3"/>
        <v>0</v>
      </c>
      <c r="I288" s="219" cm="1">
        <f t="array" aca="1" ref="I288" ca="1">IF(G288&lt;=B$3,(1-((1-INDEX(I$12:I$15,B288))^(G288-1))),(1-((1-INDEX(I$12:I$15,B288))^(B$3-1)))) * H288</f>
        <v>0</v>
      </c>
      <c r="J288" s="219" cm="1">
        <f t="array" aca="1" ref="J288" ca="1">_xlfn.LET(_xlpm.númerotermospg,MIN(B$3,G288),_xlpm.razão,1-INDEX(_xlfn.ANCHORARRAY(I$12),B288),_xlpm.somatermospg,((_xlpm.razão^_xlpm.númerotermospg)-1)/(_xlpm.razão-1),_xlpm.númerotermosconstantes,IF(G288&lt;=B$3,0,G288-B$3),_xlpm.somatermosconstantes,(1-I288)*_xlpm.númerotermosconstantes,_xlpm.somatodostermos,_xlpm.somatermospg+_xlpm.somatermosconstantes,_xlpm.médiatodosostermos,_xlpm.somatodostermos/G288,1 - _xlpm.médiatodosostermos) * H288</f>
        <v>0</v>
      </c>
      <c r="K288" s="110">
        <f ca="1"/>
        <v>0</v>
      </c>
    </row>
    <row r="289" spans="2:11">
      <c r="B289" s="345">
        <v>3</v>
      </c>
      <c r="C289" s="267" t="str">
        <f>'Painel Controle'!C$119</f>
        <v>Veículos Comerciais com 9 Eixos Articulado</v>
      </c>
      <c r="D289" s="481" t="str">
        <f>INDEX('Painel Controle'!D$110:D$121,MATCH(C289,'Painel Controle'!C$110:C$121,0))</f>
        <v>Pesados II</v>
      </c>
      <c r="E289" s="177" t="s">
        <v>600</v>
      </c>
      <c r="F289" s="110" cm="1">
        <f t="array" ref="F289">_xlfn._xlws.FILTER(E$34:E$81,(B$34:B$81 = B289) * (LEFT(C$34:C$81,5) = LEFT(D289,5)) * (D$34:D$81 = E289))</f>
        <v>2.7E-2</v>
      </c>
      <c r="G289" s="565" cm="1">
        <f t="array" ref="G289">_xlfn._xlws.FILTER(F$34:F$81,(B$34:B$81 = B289) * (LEFT(C$34:C$81,5) = LEFT(D289,5)) * (D$34:D$81 = E289))</f>
        <v>1</v>
      </c>
      <c r="H289" s="250" t="b">
        <f t="shared" si="3"/>
        <v>0</v>
      </c>
      <c r="I289" s="219" cm="1">
        <f t="array" aca="1" ref="I289" ca="1">IF(G289&lt;=B$3,(1-((1-INDEX(I$12:I$15,B289))^(G289-1))),(1-((1-INDEX(I$12:I$15,B289))^(B$3-1)))) * H289</f>
        <v>0</v>
      </c>
      <c r="J289" s="219" cm="1">
        <f t="array" aca="1" ref="J289" ca="1">_xlfn.LET(_xlpm.númerotermospg,MIN(B$3,G289),_xlpm.razão,1-INDEX(_xlfn.ANCHORARRAY(I$12),B289),_xlpm.somatermospg,((_xlpm.razão^_xlpm.númerotermospg)-1)/(_xlpm.razão-1),_xlpm.númerotermosconstantes,IF(G289&lt;=B$3,0,G289-B$3),_xlpm.somatermosconstantes,(1-I289)*_xlpm.númerotermosconstantes,_xlpm.somatodostermos,_xlpm.somatermospg+_xlpm.somatermosconstantes,_xlpm.médiatodosostermos,_xlpm.somatodostermos/G289,1 - _xlpm.médiatodosostermos) * H289</f>
        <v>0</v>
      </c>
      <c r="K289" s="110">
        <f ca="1"/>
        <v>0</v>
      </c>
    </row>
    <row r="290" spans="2:11">
      <c r="B290" s="345">
        <v>3</v>
      </c>
      <c r="C290" s="267" t="str">
        <f>'Painel Controle'!C$120</f>
        <v>Motocicleta</v>
      </c>
      <c r="D290" s="481" t="str">
        <f>INDEX('Painel Controle'!D$110:D$121,MATCH(C290,'Painel Controle'!C$110:C$121,0))</f>
        <v>Leves</v>
      </c>
      <c r="E290" s="177" t="s">
        <v>595</v>
      </c>
      <c r="F290" s="110" cm="1">
        <f t="array" ref="F290">_xlfn._xlws.FILTER(E$34:E$81,(B$34:B$81 = B290) * (LEFT(C$34:C$81,5) = LEFT(D290,5)) * (D$34:D$81 = E290))</f>
        <v>9.8000000000000004E-2</v>
      </c>
      <c r="G290" s="565" cm="1">
        <f t="array" ref="G290">_xlfn._xlws.FILTER(F$34:F$81,(B$34:B$81 = B290) * (LEFT(C$34:C$81,5) = LEFT(D290,5)) * (D$34:D$81 = E290))</f>
        <v>20</v>
      </c>
      <c r="H290" s="250" t="b">
        <f t="shared" si="3"/>
        <v>1</v>
      </c>
      <c r="I290" s="219" cm="1">
        <f t="array" aca="1" ref="I290" ca="1">IF(G290&lt;=B$3,(1-((1-INDEX(I$12:I$15,B290))^(G290-1))),(1-((1-INDEX(I$12:I$15,B290))^(B$3-1)))) * H290</f>
        <v>0.19707993666585133</v>
      </c>
      <c r="J290" s="219" cm="1">
        <f t="array" aca="1" ref="J290" ca="1">_xlfn.LET(_xlpm.númerotermospg,MIN(B$3,G290),_xlpm.razão,1-INDEX(_xlfn.ANCHORARRAY(I$12),B290),_xlpm.somatermospg,((_xlpm.razão^_xlpm.númerotermospg)-1)/(_xlpm.razão-1),_xlpm.númerotermosconstantes,IF(G290&lt;=B$3,0,G290-B$3),_xlpm.somatermosconstantes,(1-I290)*_xlpm.númerotermosconstantes,_xlpm.somatodostermos,_xlpm.somatermospg+_xlpm.somatermosconstantes,_xlpm.médiatodosostermos,_xlpm.somatodostermos/G290,1 - _xlpm.médiatodosostermos) * H290</f>
        <v>0.10195241115096909</v>
      </c>
      <c r="K290" s="110">
        <f ca="1"/>
        <v>9.9913362927949705E-3</v>
      </c>
    </row>
    <row r="291" spans="2:11">
      <c r="B291" s="345">
        <v>3</v>
      </c>
      <c r="C291" s="267" t="str">
        <f>'Painel Controle'!C$120</f>
        <v>Motocicleta</v>
      </c>
      <c r="D291" s="481" t="str">
        <f>INDEX('Painel Controle'!D$110:D$121,MATCH(C291,'Painel Controle'!C$110:C$121,0))</f>
        <v>Leves</v>
      </c>
      <c r="E291" s="177" t="s">
        <v>596</v>
      </c>
      <c r="F291" s="110" cm="1">
        <f t="array" ref="F291">_xlfn._xlws.FILTER(E$34:E$81,(B$34:B$81 = B291) * (LEFT(C$34:C$81,5) = LEFT(D291,5)) * (D$34:D$81 = E291))</f>
        <v>0.24</v>
      </c>
      <c r="G291" s="565" cm="1">
        <f t="array" ref="G291">_xlfn._xlws.FILTER(F$34:F$81,(B$34:B$81 = B291) * (LEFT(C$34:C$81,5) = LEFT(D291,5)) * (D$34:D$81 = E291))</f>
        <v>4</v>
      </c>
      <c r="H291" s="250" t="b">
        <f t="shared" si="3"/>
        <v>1</v>
      </c>
      <c r="I291" s="219" cm="1">
        <f t="array" aca="1" ref="I291" ca="1">IF(G291&lt;=B$3,(1-((1-INDEX(I$12:I$15,B291))^(G291-1))),(1-((1-INDEX(I$12:I$15,B291))^(B$3-1)))) * H291</f>
        <v>3.4064206459297197E-2</v>
      </c>
      <c r="J291" s="219" cm="1">
        <f t="array" aca="1" ref="J291" ca="1">_xlfn.LET(_xlpm.númerotermospg,MIN(B$3,G291),_xlpm.razão,1-INDEX(_xlfn.ANCHORARRAY(I$12),B291),_xlpm.somatermospg,((_xlpm.razão^_xlpm.númerotermospg)-1)/(_xlpm.razão-1),_xlpm.númerotermosconstantes,IF(G291&lt;=B$3,0,G291-B$3),_xlpm.somatermosconstantes,(1-I291)*_xlpm.númerotermosconstantes,_xlpm.somatodostermos,_xlpm.somatermospg+_xlpm.somatermosconstantes,_xlpm.médiatodosostermos,_xlpm.somatodostermos/G291,1 - _xlpm.médiatodosostermos) * H291</f>
        <v>1.7097690343733651E-2</v>
      </c>
      <c r="K291" s="110">
        <f ca="1"/>
        <v>4.103445682496076E-3</v>
      </c>
    </row>
    <row r="292" spans="2:11">
      <c r="B292" s="345">
        <v>3</v>
      </c>
      <c r="C292" s="267" t="str">
        <f>'Painel Controle'!C$120</f>
        <v>Motocicleta</v>
      </c>
      <c r="D292" s="481" t="str">
        <f>INDEX('Painel Controle'!D$110:D$121,MATCH(C292,'Painel Controle'!C$110:C$121,0))</f>
        <v>Leves</v>
      </c>
      <c r="E292" s="177" t="s">
        <v>597</v>
      </c>
      <c r="F292" s="110" cm="1">
        <f t="array" ref="F292">_xlfn._xlws.FILTER(E$34:E$81,(B$34:B$81 = B292) * (LEFT(C$34:C$81,5) = LEFT(D292,5)) * (D$34:D$81 = E292))</f>
        <v>9.8000000000000004E-2</v>
      </c>
      <c r="G292" s="565" cm="1">
        <f t="array" ref="G292">_xlfn._xlws.FILTER(F$34:F$81,(B$34:B$81 = B292) * (LEFT(C$34:C$81,5) = LEFT(D292,5)) * (D$34:D$81 = E292))</f>
        <v>2</v>
      </c>
      <c r="H292" s="250" t="b">
        <f t="shared" si="3"/>
        <v>1</v>
      </c>
      <c r="I292" s="219" cm="1">
        <f t="array" aca="1" ref="I292" ca="1">IF(G292&lt;=B$3,(1-((1-INDEX(I$12:I$15,B292))^(G292-1))),(1-((1-INDEX(I$12:I$15,B292))^(B$3-1)))) * H292</f>
        <v>1.148616227985555E-2</v>
      </c>
      <c r="J292" s="219" cm="1">
        <f t="array" aca="1" ref="J292" ca="1">_xlfn.LET(_xlpm.númerotermospg,MIN(B$3,G292),_xlpm.razão,1-INDEX(_xlfn.ANCHORARRAY(I$12),B292),_xlpm.somatermospg,((_xlpm.razão^_xlpm.númerotermospg)-1)/(_xlpm.razão-1),_xlpm.númerotermosconstantes,IF(G292&lt;=B$3,0,G292-B$3),_xlpm.somatermosconstantes,(1-I292)*_xlpm.númerotermosconstantes,_xlpm.somatodostermos,_xlpm.somatermospg+_xlpm.somatermosconstantes,_xlpm.médiatodosostermos,_xlpm.somatodostermos/G292,1 - _xlpm.médiatodosostermos) * H292</f>
        <v>5.743081139926054E-3</v>
      </c>
      <c r="K292" s="110">
        <f ca="1"/>
        <v>5.6282195171275333E-4</v>
      </c>
    </row>
    <row r="293" spans="2:11">
      <c r="B293" s="345">
        <v>3</v>
      </c>
      <c r="C293" s="267" t="str">
        <f>'Painel Controle'!C$120</f>
        <v>Motocicleta</v>
      </c>
      <c r="D293" s="481" t="str">
        <f>INDEX('Painel Controle'!D$110:D$121,MATCH(C293,'Painel Controle'!C$110:C$121,0))</f>
        <v>Leves</v>
      </c>
      <c r="E293" s="177" t="s">
        <v>598</v>
      </c>
      <c r="F293" s="110" cm="1">
        <f t="array" ref="F293">_xlfn._xlws.FILTER(E$34:E$81,(B$34:B$81 = B293) * (LEFT(C$34:C$81,5) = LEFT(D293,5)) * (D$34:D$81 = E293))</f>
        <v>1.9E-2</v>
      </c>
      <c r="G293" s="565" cm="1">
        <f t="array" ref="G293">_xlfn._xlws.FILTER(F$34:F$81,(B$34:B$81 = B293) * (LEFT(C$34:C$81,5) = LEFT(D293,5)) * (D$34:D$81 = E293))</f>
        <v>1</v>
      </c>
      <c r="H293" s="250" t="b">
        <f t="shared" si="3"/>
        <v>1</v>
      </c>
      <c r="I293" s="219" cm="1">
        <f t="array" aca="1" ref="I293" ca="1">IF(G293&lt;=B$3,(1-((1-INDEX(I$12:I$15,B293))^(G293-1))),(1-((1-INDEX(I$12:I$15,B293))^(B$3-1)))) * H293</f>
        <v>0</v>
      </c>
      <c r="J293" s="219" cm="1">
        <f t="array" aca="1" ref="J293" ca="1">_xlfn.LET(_xlpm.númerotermospg,MIN(B$3,G293),_xlpm.razão,1-INDEX(_xlfn.ANCHORARRAY(I$12),B293),_xlpm.somatermospg,((_xlpm.razão^_xlpm.númerotermospg)-1)/(_xlpm.razão-1),_xlpm.númerotermosconstantes,IF(G293&lt;=B$3,0,G293-B$3),_xlpm.somatermosconstantes,(1-I293)*_xlpm.númerotermosconstantes,_xlpm.somatodostermos,_xlpm.somatermospg+_xlpm.somatermosconstantes,_xlpm.médiatodosostermos,_xlpm.somatodostermos/G293,1 - _xlpm.médiatodosostermos) * H293</f>
        <v>0</v>
      </c>
      <c r="K293" s="110">
        <f ca="1"/>
        <v>0</v>
      </c>
    </row>
    <row r="294" spans="2:11">
      <c r="B294" s="345">
        <v>3</v>
      </c>
      <c r="C294" s="267" t="str">
        <f>'Painel Controle'!C$120</f>
        <v>Motocicleta</v>
      </c>
      <c r="D294" s="481" t="str">
        <f>INDEX('Painel Controle'!D$110:D$121,MATCH(C294,'Painel Controle'!C$110:C$121,0))</f>
        <v>Leves</v>
      </c>
      <c r="E294" s="177" t="s">
        <v>599</v>
      </c>
      <c r="F294" s="110" cm="1">
        <f t="array" ref="F294">_xlfn._xlws.FILTER(E$34:E$81,(B$34:B$81 = B294) * (LEFT(C$34:C$81,5) = LEFT(D294,5)) * (D$34:D$81 = E294))</f>
        <v>0.49199999999999999</v>
      </c>
      <c r="G294" s="565" cm="1">
        <f t="array" ref="G294">_xlfn._xlws.FILTER(F$34:F$81,(B$34:B$81 = B294) * (LEFT(C$34:C$81,5) = LEFT(D294,5)) * (D$34:D$81 = E294))</f>
        <v>1</v>
      </c>
      <c r="H294" s="250" t="b">
        <f t="shared" si="3"/>
        <v>1</v>
      </c>
      <c r="I294" s="219" cm="1">
        <f t="array" aca="1" ref="I294" ca="1">IF(G294&lt;=B$3,(1-((1-INDEX(I$12:I$15,B294))^(G294-1))),(1-((1-INDEX(I$12:I$15,B294))^(B$3-1)))) * H294</f>
        <v>0</v>
      </c>
      <c r="J294" s="219" cm="1">
        <f t="array" aca="1" ref="J294" ca="1">_xlfn.LET(_xlpm.númerotermospg,MIN(B$3,G294),_xlpm.razão,1-INDEX(_xlfn.ANCHORARRAY(I$12),B294),_xlpm.somatermospg,((_xlpm.razão^_xlpm.númerotermospg)-1)/(_xlpm.razão-1),_xlpm.númerotermosconstantes,IF(G294&lt;=B$3,0,G294-B$3),_xlpm.somatermosconstantes,(1-I294)*_xlpm.númerotermosconstantes,_xlpm.somatodostermos,_xlpm.somatermospg+_xlpm.somatermosconstantes,_xlpm.médiatodosostermos,_xlpm.somatodostermos/G294,1 - _xlpm.médiatodosostermos) * H294</f>
        <v>0</v>
      </c>
      <c r="K294" s="110">
        <f ca="1"/>
        <v>0</v>
      </c>
    </row>
    <row r="295" spans="2:11">
      <c r="B295" s="345">
        <v>3</v>
      </c>
      <c r="C295" s="267" t="str">
        <f>'Painel Controle'!C$120</f>
        <v>Motocicleta</v>
      </c>
      <c r="D295" s="481" t="str">
        <f>INDEX('Painel Controle'!D$110:D$121,MATCH(C295,'Painel Controle'!C$110:C$121,0))</f>
        <v>Leves</v>
      </c>
      <c r="E295" s="177" t="s">
        <v>600</v>
      </c>
      <c r="F295" s="110" cm="1">
        <f t="array" ref="F295">_xlfn._xlws.FILTER(E$34:E$81,(B$34:B$81 = B295) * (LEFT(C$34:C$81,5) = LEFT(D295,5)) * (D$34:D$81 = E295))</f>
        <v>5.2999999999999999E-2</v>
      </c>
      <c r="G295" s="565" cm="1">
        <f t="array" ref="G295">_xlfn._xlws.FILTER(F$34:F$81,(B$34:B$81 = B295) * (LEFT(C$34:C$81,5) = LEFT(D295,5)) * (D$34:D$81 = E295))</f>
        <v>1</v>
      </c>
      <c r="H295" s="250" t="b">
        <f t="shared" si="3"/>
        <v>1</v>
      </c>
      <c r="I295" s="219" cm="1">
        <f t="array" aca="1" ref="I295" ca="1">IF(G295&lt;=B$3,(1-((1-INDEX(I$12:I$15,B295))^(G295-1))),(1-((1-INDEX(I$12:I$15,B295))^(B$3-1)))) * H295</f>
        <v>0</v>
      </c>
      <c r="J295" s="219" cm="1">
        <f t="array" aca="1" ref="J295" ca="1">_xlfn.LET(_xlpm.númerotermospg,MIN(B$3,G295),_xlpm.razão,1-INDEX(_xlfn.ANCHORARRAY(I$12),B295),_xlpm.somatermospg,((_xlpm.razão^_xlpm.númerotermospg)-1)/(_xlpm.razão-1),_xlpm.númerotermosconstantes,IF(G295&lt;=B$3,0,G295-B$3),_xlpm.somatermosconstantes,(1-I295)*_xlpm.númerotermosconstantes,_xlpm.somatodostermos,_xlpm.somatermospg+_xlpm.somatermosconstantes,_xlpm.médiatodosostermos,_xlpm.somatodostermos/G295,1 - _xlpm.médiatodosostermos) * H295</f>
        <v>0</v>
      </c>
      <c r="K295" s="110">
        <f ca="1"/>
        <v>0</v>
      </c>
    </row>
    <row r="296" spans="2:11">
      <c r="B296" s="345">
        <v>3</v>
      </c>
      <c r="C296" s="267" t="str">
        <f>'Painel Controle'!C$121</f>
        <v xml:space="preserve">Veículos do transporte público coletivo intermunicipal e metropolitano </v>
      </c>
      <c r="D296" s="481" t="str">
        <f>INDEX('Painel Controle'!D$110:D$121,MATCH(C296,'Painel Controle'!C$110:C$121,0))</f>
        <v>Pesados I</v>
      </c>
      <c r="E296" s="177" t="s">
        <v>595</v>
      </c>
      <c r="F296" s="110" cm="1">
        <f t="array" ref="F296">_xlfn._xlws.FILTER(E$34:E$81,(B$34:B$81 = B296) * (LEFT(C$34:C$81,5) = LEFT(D296,5)) * (D$34:D$81 = E296))</f>
        <v>0.13489999999999999</v>
      </c>
      <c r="G296" s="565" cm="1">
        <f t="array" ref="G296">_xlfn._xlws.FILTER(F$34:F$81,(B$34:B$81 = B296) * (LEFT(C$34:C$81,5) = LEFT(D296,5)) * (D$34:D$81 = E296))</f>
        <v>20</v>
      </c>
      <c r="H296" s="250" t="b">
        <f t="shared" si="3"/>
        <v>0</v>
      </c>
      <c r="I296" s="219" cm="1">
        <f t="array" aca="1" ref="I296" ca="1">IF(G296&lt;=B$3,(1-((1-INDEX(I$12:I$15,B296))^(G296-1))),(1-((1-INDEX(I$12:I$15,B296))^(B$3-1)))) * H296</f>
        <v>0</v>
      </c>
      <c r="J296" s="219" cm="1">
        <f t="array" aca="1" ref="J296" ca="1">_xlfn.LET(_xlpm.númerotermospg,MIN(B$3,G296),_xlpm.razão,1-INDEX(_xlfn.ANCHORARRAY(I$12),B296),_xlpm.somatermospg,((_xlpm.razão^_xlpm.númerotermospg)-1)/(_xlpm.razão-1),_xlpm.númerotermosconstantes,IF(G296&lt;=B$3,0,G296-B$3),_xlpm.somatermosconstantes,(1-I296)*_xlpm.númerotermosconstantes,_xlpm.somatodostermos,_xlpm.somatermospg+_xlpm.somatermosconstantes,_xlpm.médiatodosostermos,_xlpm.somatodostermos/G296,1 - _xlpm.médiatodosostermos) * H296</f>
        <v>0</v>
      </c>
      <c r="K296" s="110">
        <f ca="1"/>
        <v>0</v>
      </c>
    </row>
    <row r="297" spans="2:11">
      <c r="B297" s="345">
        <v>3</v>
      </c>
      <c r="C297" s="267" t="str">
        <f>'Painel Controle'!C$121</f>
        <v xml:space="preserve">Veículos do transporte público coletivo intermunicipal e metropolitano </v>
      </c>
      <c r="D297" s="481" t="str">
        <f>INDEX('Painel Controle'!D$110:D$121,MATCH(C297,'Painel Controle'!C$110:C$121,0))</f>
        <v>Pesados I</v>
      </c>
      <c r="E297" s="177" t="s">
        <v>596</v>
      </c>
      <c r="F297" s="110" cm="1">
        <f t="array" ref="F297">_xlfn._xlws.FILTER(E$34:E$81,(B$34:B$81 = B297) * (LEFT(C$34:C$81,5) = LEFT(D297,5)) * (D$34:D$81 = E297))</f>
        <v>0.28399999999999997</v>
      </c>
      <c r="G297" s="565" cm="1">
        <f t="array" ref="G297">_xlfn._xlws.FILTER(F$34:F$81,(B$34:B$81 = B297) * (LEFT(C$34:C$81,5) = LEFT(D297,5)) * (D$34:D$81 = E297))</f>
        <v>4</v>
      </c>
      <c r="H297" s="250" t="b">
        <f t="shared" si="3"/>
        <v>0</v>
      </c>
      <c r="I297" s="219" cm="1">
        <f t="array" aca="1" ref="I297" ca="1">IF(G297&lt;=B$3,(1-((1-INDEX(I$12:I$15,B297))^(G297-1))),(1-((1-INDEX(I$12:I$15,B297))^(B$3-1)))) * H297</f>
        <v>0</v>
      </c>
      <c r="J297" s="219" cm="1">
        <f t="array" aca="1" ref="J297" ca="1">_xlfn.LET(_xlpm.númerotermospg,MIN(B$3,G297),_xlpm.razão,1-INDEX(_xlfn.ANCHORARRAY(I$12),B297),_xlpm.somatermospg,((_xlpm.razão^_xlpm.númerotermospg)-1)/(_xlpm.razão-1),_xlpm.númerotermosconstantes,IF(G297&lt;=B$3,0,G297-B$3),_xlpm.somatermosconstantes,(1-I297)*_xlpm.númerotermosconstantes,_xlpm.somatodostermos,_xlpm.somatermospg+_xlpm.somatermosconstantes,_xlpm.médiatodosostermos,_xlpm.somatodostermos/G297,1 - _xlpm.médiatodosostermos) * H297</f>
        <v>0</v>
      </c>
      <c r="K297" s="110">
        <f ca="1"/>
        <v>0</v>
      </c>
    </row>
    <row r="298" spans="2:11">
      <c r="B298" s="345">
        <v>3</v>
      </c>
      <c r="C298" s="267" t="str">
        <f>'Painel Controle'!C$121</f>
        <v xml:space="preserve">Veículos do transporte público coletivo intermunicipal e metropolitano </v>
      </c>
      <c r="D298" s="481" t="str">
        <f>INDEX('Painel Controle'!D$110:D$121,MATCH(C298,'Painel Controle'!C$110:C$121,0))</f>
        <v>Pesados I</v>
      </c>
      <c r="E298" s="177" t="s">
        <v>597</v>
      </c>
      <c r="F298" s="110" cm="1">
        <f t="array" ref="F298">_xlfn._xlws.FILTER(E$34:E$81,(B$34:B$81 = B298) * (LEFT(C$34:C$81,5) = LEFT(D298,5)) * (D$34:D$81 = E298))</f>
        <v>0.14899999999999999</v>
      </c>
      <c r="G298" s="565" cm="1">
        <f t="array" ref="G298">_xlfn._xlws.FILTER(F$34:F$81,(B$34:B$81 = B298) * (LEFT(C$34:C$81,5) = LEFT(D298,5)) * (D$34:D$81 = E298))</f>
        <v>2</v>
      </c>
      <c r="H298" s="250" t="b">
        <f t="shared" si="3"/>
        <v>0</v>
      </c>
      <c r="I298" s="219" cm="1">
        <f t="array" aca="1" ref="I298" ca="1">IF(G298&lt;=B$3,(1-((1-INDEX(I$12:I$15,B298))^(G298-1))),(1-((1-INDEX(I$12:I$15,B298))^(B$3-1)))) * H298</f>
        <v>0</v>
      </c>
      <c r="J298" s="219" cm="1">
        <f t="array" aca="1" ref="J298" ca="1">_xlfn.LET(_xlpm.númerotermospg,MIN(B$3,G298),_xlpm.razão,1-INDEX(_xlfn.ANCHORARRAY(I$12),B298),_xlpm.somatermospg,((_xlpm.razão^_xlpm.númerotermospg)-1)/(_xlpm.razão-1),_xlpm.númerotermosconstantes,IF(G298&lt;=B$3,0,G298-B$3),_xlpm.somatermosconstantes,(1-I298)*_xlpm.númerotermosconstantes,_xlpm.somatodostermos,_xlpm.somatermospg+_xlpm.somatermosconstantes,_xlpm.médiatodosostermos,_xlpm.somatodostermos/G298,1 - _xlpm.médiatodosostermos) * H298</f>
        <v>0</v>
      </c>
      <c r="K298" s="110">
        <f ca="1"/>
        <v>0</v>
      </c>
    </row>
    <row r="299" spans="2:11">
      <c r="B299" s="345">
        <v>3</v>
      </c>
      <c r="C299" s="267" t="str">
        <f>'Painel Controle'!C$121</f>
        <v xml:space="preserve">Veículos do transporte público coletivo intermunicipal e metropolitano </v>
      </c>
      <c r="D299" s="481" t="str">
        <f>INDEX('Painel Controle'!D$110:D$121,MATCH(C299,'Painel Controle'!C$110:C$121,0))</f>
        <v>Pesados I</v>
      </c>
      <c r="E299" s="177" t="s">
        <v>598</v>
      </c>
      <c r="F299" s="110" cm="1">
        <f t="array" ref="F299">_xlfn._xlws.FILTER(E$34:E$81,(B$34:B$81 = B299) * (LEFT(C$34:C$81,5) = LEFT(D299,5)) * (D$34:D$81 = E299))</f>
        <v>1.4E-2</v>
      </c>
      <c r="G299" s="565" cm="1">
        <f t="array" ref="G299">_xlfn._xlws.FILTER(F$34:F$81,(B$34:B$81 = B299) * (LEFT(C$34:C$81,5) = LEFT(D299,5)) * (D$34:D$81 = E299))</f>
        <v>1</v>
      </c>
      <c r="H299" s="250" t="b">
        <f t="shared" si="3"/>
        <v>0</v>
      </c>
      <c r="I299" s="219" cm="1">
        <f t="array" aca="1" ref="I299" ca="1">IF(G299&lt;=B$3,(1-((1-INDEX(I$12:I$15,B299))^(G299-1))),(1-((1-INDEX(I$12:I$15,B299))^(B$3-1)))) * H299</f>
        <v>0</v>
      </c>
      <c r="J299" s="219" cm="1">
        <f t="array" aca="1" ref="J299" ca="1">_xlfn.LET(_xlpm.númerotermospg,MIN(B$3,G299),_xlpm.razão,1-INDEX(_xlfn.ANCHORARRAY(I$12),B299),_xlpm.somatermospg,((_xlpm.razão^_xlpm.númerotermospg)-1)/(_xlpm.razão-1),_xlpm.númerotermosconstantes,IF(G299&lt;=B$3,0,G299-B$3),_xlpm.somatermosconstantes,(1-I299)*_xlpm.númerotermosconstantes,_xlpm.somatodostermos,_xlpm.somatermospg+_xlpm.somatermosconstantes,_xlpm.médiatodosostermos,_xlpm.somatodostermos/G299,1 - _xlpm.médiatodosostermos) * H299</f>
        <v>0</v>
      </c>
      <c r="K299" s="110">
        <f ca="1"/>
        <v>0</v>
      </c>
    </row>
    <row r="300" spans="2:11">
      <c r="B300" s="345">
        <v>3</v>
      </c>
      <c r="C300" s="267" t="str">
        <f>'Painel Controle'!C$121</f>
        <v xml:space="preserve">Veículos do transporte público coletivo intermunicipal e metropolitano </v>
      </c>
      <c r="D300" s="481" t="str">
        <f>INDEX('Painel Controle'!D$110:D$121,MATCH(C300,'Painel Controle'!C$110:C$121,0))</f>
        <v>Pesados I</v>
      </c>
      <c r="E300" s="177" t="s">
        <v>599</v>
      </c>
      <c r="F300" s="110" cm="1">
        <f t="array" ref="F300">_xlfn._xlws.FILTER(E$34:E$81,(B$34:B$81 = B300) * (LEFT(C$34:C$81,5) = LEFT(D300,5)) * (D$34:D$81 = E300))</f>
        <v>0.39200000000000002</v>
      </c>
      <c r="G300" s="565" cm="1">
        <f t="array" ref="G300">_xlfn._xlws.FILTER(F$34:F$81,(B$34:B$81 = B300) * (LEFT(C$34:C$81,5) = LEFT(D300,5)) * (D$34:D$81 = E300))</f>
        <v>1</v>
      </c>
      <c r="H300" s="250" t="b">
        <f t="shared" si="3"/>
        <v>0</v>
      </c>
      <c r="I300" s="219" cm="1">
        <f t="array" aca="1" ref="I300" ca="1">IF(G300&lt;=B$3,(1-((1-INDEX(I$12:I$15,B300))^(G300-1))),(1-((1-INDEX(I$12:I$15,B300))^(B$3-1)))) * H300</f>
        <v>0</v>
      </c>
      <c r="J300" s="219" cm="1">
        <f t="array" aca="1" ref="J300" ca="1">_xlfn.LET(_xlpm.númerotermospg,MIN(B$3,G300),_xlpm.razão,1-INDEX(_xlfn.ANCHORARRAY(I$12),B300),_xlpm.somatermospg,((_xlpm.razão^_xlpm.númerotermospg)-1)/(_xlpm.razão-1),_xlpm.númerotermosconstantes,IF(G300&lt;=B$3,0,G300-B$3),_xlpm.somatermosconstantes,(1-I300)*_xlpm.númerotermosconstantes,_xlpm.somatodostermos,_xlpm.somatermospg+_xlpm.somatermosconstantes,_xlpm.médiatodosostermos,_xlpm.somatodostermos/G300,1 - _xlpm.médiatodosostermos) * H300</f>
        <v>0</v>
      </c>
      <c r="K300" s="110">
        <f ca="1"/>
        <v>0</v>
      </c>
    </row>
    <row r="301" spans="2:11">
      <c r="B301" s="345">
        <v>3</v>
      </c>
      <c r="C301" s="267" t="str">
        <f>'Painel Controle'!C$121</f>
        <v xml:space="preserve">Veículos do transporte público coletivo intermunicipal e metropolitano </v>
      </c>
      <c r="D301" s="481" t="str">
        <f>INDEX('Painel Controle'!D$110:D$121,MATCH(C301,'Painel Controle'!C$110:C$121,0))</f>
        <v>Pesados I</v>
      </c>
      <c r="E301" s="177" t="s">
        <v>600</v>
      </c>
      <c r="F301" s="110" cm="1">
        <f t="array" ref="F301">_xlfn._xlws.FILTER(E$34:E$81,(B$34:B$81 = B301) * (LEFT(C$34:C$81,5) = LEFT(D301,5)) * (D$34:D$81 = E301))</f>
        <v>2.7E-2</v>
      </c>
      <c r="G301" s="565" cm="1">
        <f t="array" ref="G301">_xlfn._xlws.FILTER(F$34:F$81,(B$34:B$81 = B301) * (LEFT(C$34:C$81,5) = LEFT(D301,5)) * (D$34:D$81 = E301))</f>
        <v>1</v>
      </c>
      <c r="H301" s="250" t="b">
        <f t="shared" si="3"/>
        <v>0</v>
      </c>
      <c r="I301" s="219" cm="1">
        <f t="array" aca="1" ref="I301" ca="1">IF(G301&lt;=B$3,(1-((1-INDEX(I$12:I$15,B301))^(G301-1))),(1-((1-INDEX(I$12:I$15,B301))^(B$3-1)))) * H301</f>
        <v>0</v>
      </c>
      <c r="J301" s="219" cm="1">
        <f t="array" aca="1" ref="J301" ca="1">_xlfn.LET(_xlpm.númerotermospg,MIN(B$3,G301),_xlpm.razão,1-INDEX(_xlfn.ANCHORARRAY(I$12),B301),_xlpm.somatermospg,((_xlpm.razão^_xlpm.númerotermospg)-1)/(_xlpm.razão-1),_xlpm.númerotermosconstantes,IF(G301&lt;=B$3,0,G301-B$3),_xlpm.somatermosconstantes,(1-I301)*_xlpm.númerotermosconstantes,_xlpm.somatodostermos,_xlpm.somatermospg+_xlpm.somatermosconstantes,_xlpm.médiatodosostermos,_xlpm.somatodostermos/G301,1 - _xlpm.médiatodosostermos) * H301</f>
        <v>0</v>
      </c>
      <c r="K301" s="110">
        <f ca="1"/>
        <v>0</v>
      </c>
    </row>
    <row r="302" spans="2:11">
      <c r="B302" s="345">
        <v>4</v>
      </c>
      <c r="C302" s="267" t="str">
        <f>'Painel Controle'!C$110</f>
        <v>Automóvel</v>
      </c>
      <c r="D302" s="481" t="str">
        <f>INDEX('Painel Controle'!D$110:D$121,MATCH(C302,'Painel Controle'!C$110:C$121,0))</f>
        <v>Leves</v>
      </c>
      <c r="E302" s="177" t="s">
        <v>595</v>
      </c>
      <c r="F302" s="110" cm="1">
        <f t="array" ref="F302">_xlfn._xlws.FILTER(E$34:E$81,(B$34:B$81 = B302) * (LEFT(C$34:C$81,5) = LEFT(D302,5)) * (D$34:D$81 = E302))</f>
        <v>0.107</v>
      </c>
      <c r="G302" s="565" cm="1">
        <f t="array" ref="G302">_xlfn._xlws.FILTER(F$34:F$81,(B$34:B$81 = B302) * (LEFT(C$34:C$81,5) = LEFT(D302,5)) * (D$34:D$81 = E302))</f>
        <v>20</v>
      </c>
      <c r="H302" s="250" t="b">
        <f t="shared" si="3"/>
        <v>1</v>
      </c>
      <c r="I302" s="219" cm="1">
        <f t="array" aca="1" ref="I302" ca="1">IF(G302&lt;=B$3,(1-((1-INDEX(I$12:I$15,B302))^(G302-1))),(1-((1-INDEX(I$12:I$15,B302))^(B$3-1)))) * H302</f>
        <v>0.19707993666585311</v>
      </c>
      <c r="J302" s="219" cm="1">
        <f t="array" aca="1" ref="J302" ca="1">_xlfn.LET(_xlpm.númerotermospg,MIN(B$3,G302),_xlpm.razão,1-INDEX(_xlfn.ANCHORARRAY(I$12),B302),_xlpm.somatermospg,((_xlpm.razão^_xlpm.númerotermospg)-1)/(_xlpm.razão-1),_xlpm.númerotermosconstantes,IF(G302&lt;=B$3,0,G302-B$3),_xlpm.somatermosconstantes,(1-I302)*_xlpm.númerotermosconstantes,_xlpm.somatodostermos,_xlpm.somatermospg+_xlpm.somatermosconstantes,_xlpm.médiatodosostermos,_xlpm.somatodostermos/G302,1 - _xlpm.médiatodosostermos) * H302</f>
        <v>0.10195241115096965</v>
      </c>
      <c r="K302" s="110">
        <f ca="1"/>
        <v>1.0908907993153753E-2</v>
      </c>
    </row>
    <row r="303" spans="2:11">
      <c r="B303" s="345">
        <v>4</v>
      </c>
      <c r="C303" s="267" t="str">
        <f>'Painel Controle'!C$110</f>
        <v>Automóvel</v>
      </c>
      <c r="D303" s="481" t="str">
        <f>INDEX('Painel Controle'!D$110:D$121,MATCH(C303,'Painel Controle'!C$110:C$121,0))</f>
        <v>Leves</v>
      </c>
      <c r="E303" s="177" t="s">
        <v>596</v>
      </c>
      <c r="F303" s="110" cm="1">
        <f t="array" ref="F303">_xlfn._xlws.FILTER(E$34:E$81,(B$34:B$81 = B303) * (LEFT(C$34:C$81,5) = LEFT(D303,5)) * (D$34:D$81 = E303))</f>
        <v>0.252</v>
      </c>
      <c r="G303" s="565" cm="1">
        <f t="array" ref="G303">_xlfn._xlws.FILTER(F$34:F$81,(B$34:B$81 = B303) * (LEFT(C$34:C$81,5) = LEFT(D303,5)) * (D$34:D$81 = E303))</f>
        <v>4</v>
      </c>
      <c r="H303" s="250" t="b">
        <f t="shared" si="3"/>
        <v>1</v>
      </c>
      <c r="I303" s="219" cm="1">
        <f t="array" aca="1" ref="I303" ca="1">IF(G303&lt;=B$3,(1-((1-INDEX(I$12:I$15,B303))^(G303-1))),(1-((1-INDEX(I$12:I$15,B303))^(B$3-1)))) * H303</f>
        <v>3.406420645929753E-2</v>
      </c>
      <c r="J303" s="219" cm="1">
        <f t="array" aca="1" ref="J303" ca="1">_xlfn.LET(_xlpm.númerotermospg,MIN(B$3,G303),_xlpm.razão,1-INDEX(_xlfn.ANCHORARRAY(I$12),B303),_xlpm.somatermospg,((_xlpm.razão^_xlpm.númerotermospg)-1)/(_xlpm.razão-1),_xlpm.númerotermosconstantes,IF(G303&lt;=B$3,0,G303-B$3),_xlpm.somatermosconstantes,(1-I303)*_xlpm.númerotermosconstantes,_xlpm.somatodostermos,_xlpm.somatermospg+_xlpm.somatermosconstantes,_xlpm.médiatodosostermos,_xlpm.somatodostermos/G303,1 - _xlpm.médiatodosostermos) * H303</f>
        <v>1.7097690343733429E-2</v>
      </c>
      <c r="K303" s="110">
        <f ca="1"/>
        <v>4.308617966620824E-3</v>
      </c>
    </row>
    <row r="304" spans="2:11">
      <c r="B304" s="345">
        <v>4</v>
      </c>
      <c r="C304" s="267" t="str">
        <f>'Painel Controle'!C$110</f>
        <v>Automóvel</v>
      </c>
      <c r="D304" s="481" t="str">
        <f>INDEX('Painel Controle'!D$110:D$121,MATCH(C304,'Painel Controle'!C$110:C$121,0))</f>
        <v>Leves</v>
      </c>
      <c r="E304" s="177" t="s">
        <v>597</v>
      </c>
      <c r="F304" s="110" cm="1">
        <f t="array" ref="F304">_xlfn._xlws.FILTER(E$34:E$81,(B$34:B$81 = B304) * (LEFT(C$34:C$81,5) = LEFT(D304,5)) * (D$34:D$81 = E304))</f>
        <v>0.11700000000000001</v>
      </c>
      <c r="G304" s="565" cm="1">
        <f t="array" ref="G304">_xlfn._xlws.FILTER(F$34:F$81,(B$34:B$81 = B304) * (LEFT(C$34:C$81,5) = LEFT(D304,5)) * (D$34:D$81 = E304))</f>
        <v>2</v>
      </c>
      <c r="H304" s="250" t="b">
        <f t="shared" si="3"/>
        <v>1</v>
      </c>
      <c r="I304" s="219" cm="1">
        <f t="array" aca="1" ref="I304" ca="1">IF(G304&lt;=B$3,(1-((1-INDEX(I$12:I$15,B304))^(G304-1))),(1-((1-INDEX(I$12:I$15,B304))^(B$3-1)))) * H304</f>
        <v>1.1486162279855661E-2</v>
      </c>
      <c r="J304" s="219" cm="1">
        <f t="array" aca="1" ref="J304" ca="1">_xlfn.LET(_xlpm.númerotermospg,MIN(B$3,G304),_xlpm.razão,1-INDEX(_xlfn.ANCHORARRAY(I$12),B304),_xlpm.somatermospg,((_xlpm.razão^_xlpm.númerotermospg)-1)/(_xlpm.razão-1),_xlpm.númerotermosconstantes,IF(G304&lt;=B$3,0,G304-B$3),_xlpm.somatermosconstantes,(1-I304)*_xlpm.númerotermosconstantes,_xlpm.somatodostermos,_xlpm.somatermospg+_xlpm.somatermosconstantes,_xlpm.médiatodosostermos,_xlpm.somatodostermos/G304,1 - _xlpm.médiatodosostermos) * H304</f>
        <v>5.743081139926054E-3</v>
      </c>
      <c r="K304" s="110">
        <f ca="1"/>
        <v>6.7194049337134833E-4</v>
      </c>
    </row>
    <row r="305" spans="2:11">
      <c r="B305" s="345">
        <v>4</v>
      </c>
      <c r="C305" s="267" t="str">
        <f>'Painel Controle'!C$110</f>
        <v>Automóvel</v>
      </c>
      <c r="D305" s="481" t="str">
        <f>INDEX('Painel Controle'!D$110:D$121,MATCH(C305,'Painel Controle'!C$110:C$121,0))</f>
        <v>Leves</v>
      </c>
      <c r="E305" s="177" t="s">
        <v>598</v>
      </c>
      <c r="F305" s="110" cm="1">
        <f t="array" ref="F305">_xlfn._xlws.FILTER(E$34:E$81,(B$34:B$81 = B305) * (LEFT(C$34:C$81,5) = LEFT(D305,5)) * (D$34:D$81 = E305))</f>
        <v>2.1999999999999999E-2</v>
      </c>
      <c r="G305" s="565" cm="1">
        <f t="array" ref="G305">_xlfn._xlws.FILTER(F$34:F$81,(B$34:B$81 = B305) * (LEFT(C$34:C$81,5) = LEFT(D305,5)) * (D$34:D$81 = E305))</f>
        <v>1</v>
      </c>
      <c r="H305" s="250" t="b">
        <f t="shared" si="3"/>
        <v>1</v>
      </c>
      <c r="I305" s="219" cm="1">
        <f t="array" aca="1" ref="I305" ca="1">IF(G305&lt;=B$3,(1-((1-INDEX(I$12:I$15,B305))^(G305-1))),(1-((1-INDEX(I$12:I$15,B305))^(B$3-1)))) * H305</f>
        <v>0</v>
      </c>
      <c r="J305" s="219" cm="1">
        <f t="array" aca="1" ref="J305" ca="1">_xlfn.LET(_xlpm.númerotermospg,MIN(B$3,G305),_xlpm.razão,1-INDEX(_xlfn.ANCHORARRAY(I$12),B305),_xlpm.somatermospg,((_xlpm.razão^_xlpm.númerotermospg)-1)/(_xlpm.razão-1),_xlpm.númerotermosconstantes,IF(G305&lt;=B$3,0,G305-B$3),_xlpm.somatermosconstantes,(1-I305)*_xlpm.númerotermosconstantes,_xlpm.somatodostermos,_xlpm.somatermospg+_xlpm.somatermosconstantes,_xlpm.médiatodosostermos,_xlpm.somatodostermos/G305,1 - _xlpm.médiatodosostermos) * H305</f>
        <v>0</v>
      </c>
      <c r="K305" s="110">
        <f ca="1"/>
        <v>0</v>
      </c>
    </row>
    <row r="306" spans="2:11">
      <c r="B306" s="345">
        <v>4</v>
      </c>
      <c r="C306" s="267" t="str">
        <f>'Painel Controle'!C$110</f>
        <v>Automóvel</v>
      </c>
      <c r="D306" s="481" t="str">
        <f>INDEX('Painel Controle'!D$110:D$121,MATCH(C306,'Painel Controle'!C$110:C$121,0))</f>
        <v>Leves</v>
      </c>
      <c r="E306" s="177" t="s">
        <v>599</v>
      </c>
      <c r="F306" s="110" cm="1">
        <f t="array" ref="F306">_xlfn._xlws.FILTER(E$34:E$81,(B$34:B$81 = B306) * (LEFT(C$34:C$81,5) = LEFT(D306,5)) * (D$34:D$81 = E306))</f>
        <v>0.46700000000000003</v>
      </c>
      <c r="G306" s="565" cm="1">
        <f t="array" ref="G306">_xlfn._xlws.FILTER(F$34:F$81,(B$34:B$81 = B306) * (LEFT(C$34:C$81,5) = LEFT(D306,5)) * (D$34:D$81 = E306))</f>
        <v>1</v>
      </c>
      <c r="H306" s="250" t="b">
        <f t="shared" si="3"/>
        <v>1</v>
      </c>
      <c r="I306" s="219" cm="1">
        <f t="array" aca="1" ref="I306" ca="1">IF(G306&lt;=B$3,(1-((1-INDEX(I$12:I$15,B306))^(G306-1))),(1-((1-INDEX(I$12:I$15,B306))^(B$3-1)))) * H306</f>
        <v>0</v>
      </c>
      <c r="J306" s="219" cm="1">
        <f t="array" aca="1" ref="J306" ca="1">_xlfn.LET(_xlpm.númerotermospg,MIN(B$3,G306),_xlpm.razão,1-INDEX(_xlfn.ANCHORARRAY(I$12),B306),_xlpm.somatermospg,((_xlpm.razão^_xlpm.númerotermospg)-1)/(_xlpm.razão-1),_xlpm.númerotermosconstantes,IF(G306&lt;=B$3,0,G306-B$3),_xlpm.somatermosconstantes,(1-I306)*_xlpm.númerotermosconstantes,_xlpm.somatodostermos,_xlpm.somatermospg+_xlpm.somatermosconstantes,_xlpm.médiatodosostermos,_xlpm.somatodostermos/G306,1 - _xlpm.médiatodosostermos) * H306</f>
        <v>0</v>
      </c>
      <c r="K306" s="110">
        <f ca="1"/>
        <v>0</v>
      </c>
    </row>
    <row r="307" spans="2:11">
      <c r="B307" s="345">
        <v>4</v>
      </c>
      <c r="C307" s="267" t="str">
        <f>'Painel Controle'!C$110</f>
        <v>Automóvel</v>
      </c>
      <c r="D307" s="481" t="str">
        <f>INDEX('Painel Controle'!D$110:D$121,MATCH(C307,'Painel Controle'!C$110:C$121,0))</f>
        <v>Leves</v>
      </c>
      <c r="E307" s="177" t="s">
        <v>600</v>
      </c>
      <c r="F307" s="110" cm="1">
        <f t="array" ref="F307">_xlfn._xlws.FILTER(E$34:E$81,(B$34:B$81 = B307) * (LEFT(C$34:C$81,5) = LEFT(D307,5)) * (D$34:D$81 = E307))</f>
        <v>3.5000000000000003E-2</v>
      </c>
      <c r="G307" s="565" cm="1">
        <f t="array" ref="G307">_xlfn._xlws.FILTER(F$34:F$81,(B$34:B$81 = B307) * (LEFT(C$34:C$81,5) = LEFT(D307,5)) * (D$34:D$81 = E307))</f>
        <v>1</v>
      </c>
      <c r="H307" s="250" t="b">
        <f t="shared" si="3"/>
        <v>1</v>
      </c>
      <c r="I307" s="219" cm="1">
        <f t="array" aca="1" ref="I307" ca="1">IF(G307&lt;=B$3,(1-((1-INDEX(I$12:I$15,B307))^(G307-1))),(1-((1-INDEX(I$12:I$15,B307))^(B$3-1)))) * H307</f>
        <v>0</v>
      </c>
      <c r="J307" s="219" cm="1">
        <f t="array" aca="1" ref="J307" ca="1">_xlfn.LET(_xlpm.númerotermospg,MIN(B$3,G307),_xlpm.razão,1-INDEX(_xlfn.ANCHORARRAY(I$12),B307),_xlpm.somatermospg,((_xlpm.razão^_xlpm.númerotermospg)-1)/(_xlpm.razão-1),_xlpm.númerotermosconstantes,IF(G307&lt;=B$3,0,G307-B$3),_xlpm.somatermosconstantes,(1-I307)*_xlpm.númerotermosconstantes,_xlpm.somatodostermos,_xlpm.somatermospg+_xlpm.somatermosconstantes,_xlpm.médiatodosostermos,_xlpm.somatodostermos/G307,1 - _xlpm.médiatodosostermos) * H307</f>
        <v>0</v>
      </c>
      <c r="K307" s="110">
        <f ca="1"/>
        <v>0</v>
      </c>
    </row>
    <row r="308" spans="2:11">
      <c r="B308" s="345">
        <v>4</v>
      </c>
      <c r="C308" s="267" t="str">
        <f>'Painel Controle'!C$111</f>
        <v xml:space="preserve">Automóvel com reboque </v>
      </c>
      <c r="D308" s="481" t="str">
        <f>INDEX('Painel Controle'!D$110:D$121,MATCH(C308,'Painel Controle'!C$110:C$121,0))</f>
        <v>Leves</v>
      </c>
      <c r="E308" s="177" t="s">
        <v>595</v>
      </c>
      <c r="F308" s="110" cm="1">
        <f t="array" ref="F308">_xlfn._xlws.FILTER(E$34:E$81,(B$34:B$81 = B308) * (LEFT(C$34:C$81,5) = LEFT(D308,5)) * (D$34:D$81 = E308))</f>
        <v>0.107</v>
      </c>
      <c r="G308" s="565" cm="1">
        <f t="array" ref="G308">_xlfn._xlws.FILTER(F$34:F$81,(B$34:B$81 = B308) * (LEFT(C$34:C$81,5) = LEFT(D308,5)) * (D$34:D$81 = E308))</f>
        <v>20</v>
      </c>
      <c r="H308" s="250" t="b">
        <f t="shared" si="3"/>
        <v>0</v>
      </c>
      <c r="I308" s="219" cm="1">
        <f t="array" aca="1" ref="I308" ca="1">IF(G308&lt;=B$3,(1-((1-INDEX(I$12:I$15,B308))^(G308-1))),(1-((1-INDEX(I$12:I$15,B308))^(B$3-1)))) * H308</f>
        <v>0</v>
      </c>
      <c r="J308" s="219" cm="1">
        <f t="array" aca="1" ref="J308" ca="1">_xlfn.LET(_xlpm.númerotermospg,MIN(B$3,G308),_xlpm.razão,1-INDEX(_xlfn.ANCHORARRAY(I$12),B308),_xlpm.somatermospg,((_xlpm.razão^_xlpm.númerotermospg)-1)/(_xlpm.razão-1),_xlpm.númerotermosconstantes,IF(G308&lt;=B$3,0,G308-B$3),_xlpm.somatermosconstantes,(1-I308)*_xlpm.númerotermosconstantes,_xlpm.somatodostermos,_xlpm.somatermospg+_xlpm.somatermosconstantes,_xlpm.médiatodosostermos,_xlpm.somatodostermos/G308,1 - _xlpm.médiatodosostermos) * H308</f>
        <v>0</v>
      </c>
      <c r="K308" s="110">
        <f ca="1"/>
        <v>0</v>
      </c>
    </row>
    <row r="309" spans="2:11">
      <c r="B309" s="345">
        <v>4</v>
      </c>
      <c r="C309" s="267" t="str">
        <f>'Painel Controle'!C$111</f>
        <v xml:space="preserve">Automóvel com reboque </v>
      </c>
      <c r="D309" s="481" t="str">
        <f>INDEX('Painel Controle'!D$110:D$121,MATCH(C309,'Painel Controle'!C$110:C$121,0))</f>
        <v>Leves</v>
      </c>
      <c r="E309" s="177" t="s">
        <v>596</v>
      </c>
      <c r="F309" s="110" cm="1">
        <f t="array" ref="F309">_xlfn._xlws.FILTER(E$34:E$81,(B$34:B$81 = B309) * (LEFT(C$34:C$81,5) = LEFT(D309,5)) * (D$34:D$81 = E309))</f>
        <v>0.252</v>
      </c>
      <c r="G309" s="565" cm="1">
        <f t="array" ref="G309">_xlfn._xlws.FILTER(F$34:F$81,(B$34:B$81 = B309) * (LEFT(C$34:C$81,5) = LEFT(D309,5)) * (D$34:D$81 = E309))</f>
        <v>4</v>
      </c>
      <c r="H309" s="250" t="b">
        <f t="shared" si="3"/>
        <v>0</v>
      </c>
      <c r="I309" s="219" cm="1">
        <f t="array" aca="1" ref="I309" ca="1">IF(G309&lt;=B$3,(1-((1-INDEX(I$12:I$15,B309))^(G309-1))),(1-((1-INDEX(I$12:I$15,B309))^(B$3-1)))) * H309</f>
        <v>0</v>
      </c>
      <c r="J309" s="219" cm="1">
        <f t="array" aca="1" ref="J309" ca="1">_xlfn.LET(_xlpm.númerotermospg,MIN(B$3,G309),_xlpm.razão,1-INDEX(_xlfn.ANCHORARRAY(I$12),B309),_xlpm.somatermospg,((_xlpm.razão^_xlpm.númerotermospg)-1)/(_xlpm.razão-1),_xlpm.númerotermosconstantes,IF(G309&lt;=B$3,0,G309-B$3),_xlpm.somatermosconstantes,(1-I309)*_xlpm.númerotermosconstantes,_xlpm.somatodostermos,_xlpm.somatermospg+_xlpm.somatermosconstantes,_xlpm.médiatodosostermos,_xlpm.somatodostermos/G309,1 - _xlpm.médiatodosostermos) * H309</f>
        <v>0</v>
      </c>
      <c r="K309" s="110">
        <f ca="1"/>
        <v>0</v>
      </c>
    </row>
    <row r="310" spans="2:11">
      <c r="B310" s="345">
        <v>4</v>
      </c>
      <c r="C310" s="267" t="str">
        <f>'Painel Controle'!C$111</f>
        <v xml:space="preserve">Automóvel com reboque </v>
      </c>
      <c r="D310" s="481" t="str">
        <f>INDEX('Painel Controle'!D$110:D$121,MATCH(C310,'Painel Controle'!C$110:C$121,0))</f>
        <v>Leves</v>
      </c>
      <c r="E310" s="177" t="s">
        <v>597</v>
      </c>
      <c r="F310" s="110" cm="1">
        <f t="array" ref="F310">_xlfn._xlws.FILTER(E$34:E$81,(B$34:B$81 = B310) * (LEFT(C$34:C$81,5) = LEFT(D310,5)) * (D$34:D$81 = E310))</f>
        <v>0.11700000000000001</v>
      </c>
      <c r="G310" s="565" cm="1">
        <f t="array" ref="G310">_xlfn._xlws.FILTER(F$34:F$81,(B$34:B$81 = B310) * (LEFT(C$34:C$81,5) = LEFT(D310,5)) * (D$34:D$81 = E310))</f>
        <v>2</v>
      </c>
      <c r="H310" s="250" t="b">
        <f t="shared" si="3"/>
        <v>0</v>
      </c>
      <c r="I310" s="219" cm="1">
        <f t="array" aca="1" ref="I310" ca="1">IF(G310&lt;=B$3,(1-((1-INDEX(I$12:I$15,B310))^(G310-1))),(1-((1-INDEX(I$12:I$15,B310))^(B$3-1)))) * H310</f>
        <v>0</v>
      </c>
      <c r="J310" s="219" cm="1">
        <f t="array" aca="1" ref="J310" ca="1">_xlfn.LET(_xlpm.númerotermospg,MIN(B$3,G310),_xlpm.razão,1-INDEX(_xlfn.ANCHORARRAY(I$12),B310),_xlpm.somatermospg,((_xlpm.razão^_xlpm.númerotermospg)-1)/(_xlpm.razão-1),_xlpm.númerotermosconstantes,IF(G310&lt;=B$3,0,G310-B$3),_xlpm.somatermosconstantes,(1-I310)*_xlpm.númerotermosconstantes,_xlpm.somatodostermos,_xlpm.somatermospg+_xlpm.somatermosconstantes,_xlpm.médiatodosostermos,_xlpm.somatodostermos/G310,1 - _xlpm.médiatodosostermos) * H310</f>
        <v>0</v>
      </c>
      <c r="K310" s="110">
        <f ca="1"/>
        <v>0</v>
      </c>
    </row>
    <row r="311" spans="2:11">
      <c r="B311" s="345">
        <v>4</v>
      </c>
      <c r="C311" s="267" t="str">
        <f>'Painel Controle'!C$111</f>
        <v xml:space="preserve">Automóvel com reboque </v>
      </c>
      <c r="D311" s="481" t="str">
        <f>INDEX('Painel Controle'!D$110:D$121,MATCH(C311,'Painel Controle'!C$110:C$121,0))</f>
        <v>Leves</v>
      </c>
      <c r="E311" s="177" t="s">
        <v>598</v>
      </c>
      <c r="F311" s="110" cm="1">
        <f t="array" ref="F311">_xlfn._xlws.FILTER(E$34:E$81,(B$34:B$81 = B311) * (LEFT(C$34:C$81,5) = LEFT(D311,5)) * (D$34:D$81 = E311))</f>
        <v>2.1999999999999999E-2</v>
      </c>
      <c r="G311" s="565" cm="1">
        <f t="array" ref="G311">_xlfn._xlws.FILTER(F$34:F$81,(B$34:B$81 = B311) * (LEFT(C$34:C$81,5) = LEFT(D311,5)) * (D$34:D$81 = E311))</f>
        <v>1</v>
      </c>
      <c r="H311" s="250" t="b">
        <f t="shared" si="3"/>
        <v>0</v>
      </c>
      <c r="I311" s="219" cm="1">
        <f t="array" aca="1" ref="I311" ca="1">IF(G311&lt;=B$3,(1-((1-INDEX(I$12:I$15,B311))^(G311-1))),(1-((1-INDEX(I$12:I$15,B311))^(B$3-1)))) * H311</f>
        <v>0</v>
      </c>
      <c r="J311" s="219" cm="1">
        <f t="array" aca="1" ref="J311" ca="1">_xlfn.LET(_xlpm.númerotermospg,MIN(B$3,G311),_xlpm.razão,1-INDEX(_xlfn.ANCHORARRAY(I$12),B311),_xlpm.somatermospg,((_xlpm.razão^_xlpm.númerotermospg)-1)/(_xlpm.razão-1),_xlpm.númerotermosconstantes,IF(G311&lt;=B$3,0,G311-B$3),_xlpm.somatermosconstantes,(1-I311)*_xlpm.númerotermosconstantes,_xlpm.somatodostermos,_xlpm.somatermospg+_xlpm.somatermosconstantes,_xlpm.médiatodosostermos,_xlpm.somatodostermos/G311,1 - _xlpm.médiatodosostermos) * H311</f>
        <v>0</v>
      </c>
      <c r="K311" s="110">
        <f ca="1"/>
        <v>0</v>
      </c>
    </row>
    <row r="312" spans="2:11">
      <c r="B312" s="345">
        <v>4</v>
      </c>
      <c r="C312" s="267" t="str">
        <f>'Painel Controle'!C$111</f>
        <v xml:space="preserve">Automóvel com reboque </v>
      </c>
      <c r="D312" s="481" t="str">
        <f>INDEX('Painel Controle'!D$110:D$121,MATCH(C312,'Painel Controle'!C$110:C$121,0))</f>
        <v>Leves</v>
      </c>
      <c r="E312" s="177" t="s">
        <v>599</v>
      </c>
      <c r="F312" s="110" cm="1">
        <f t="array" ref="F312">_xlfn._xlws.FILTER(E$34:E$81,(B$34:B$81 = B312) * (LEFT(C$34:C$81,5) = LEFT(D312,5)) * (D$34:D$81 = E312))</f>
        <v>0.46700000000000003</v>
      </c>
      <c r="G312" s="565" cm="1">
        <f t="array" ref="G312">_xlfn._xlws.FILTER(F$34:F$81,(B$34:B$81 = B312) * (LEFT(C$34:C$81,5) = LEFT(D312,5)) * (D$34:D$81 = E312))</f>
        <v>1</v>
      </c>
      <c r="H312" s="250" t="b">
        <f t="shared" si="3"/>
        <v>0</v>
      </c>
      <c r="I312" s="219" cm="1">
        <f t="array" aca="1" ref="I312" ca="1">IF(G312&lt;=B$3,(1-((1-INDEX(I$12:I$15,B312))^(G312-1))),(1-((1-INDEX(I$12:I$15,B312))^(B$3-1)))) * H312</f>
        <v>0</v>
      </c>
      <c r="J312" s="219" cm="1">
        <f t="array" aca="1" ref="J312" ca="1">_xlfn.LET(_xlpm.númerotermospg,MIN(B$3,G312),_xlpm.razão,1-INDEX(_xlfn.ANCHORARRAY(I$12),B312),_xlpm.somatermospg,((_xlpm.razão^_xlpm.númerotermospg)-1)/(_xlpm.razão-1),_xlpm.númerotermosconstantes,IF(G312&lt;=B$3,0,G312-B$3),_xlpm.somatermosconstantes,(1-I312)*_xlpm.númerotermosconstantes,_xlpm.somatodostermos,_xlpm.somatermospg+_xlpm.somatermosconstantes,_xlpm.médiatodosostermos,_xlpm.somatodostermos/G312,1 - _xlpm.médiatodosostermos) * H312</f>
        <v>0</v>
      </c>
      <c r="K312" s="110">
        <f ca="1"/>
        <v>0</v>
      </c>
    </row>
    <row r="313" spans="2:11">
      <c r="B313" s="345">
        <v>4</v>
      </c>
      <c r="C313" s="267" t="str">
        <f>'Painel Controle'!C$111</f>
        <v xml:space="preserve">Automóvel com reboque </v>
      </c>
      <c r="D313" s="481" t="str">
        <f>INDEX('Painel Controle'!D$110:D$121,MATCH(C313,'Painel Controle'!C$110:C$121,0))</f>
        <v>Leves</v>
      </c>
      <c r="E313" s="177" t="s">
        <v>600</v>
      </c>
      <c r="F313" s="110" cm="1">
        <f t="array" ref="F313">_xlfn._xlws.FILTER(E$34:E$81,(B$34:B$81 = B313) * (LEFT(C$34:C$81,5) = LEFT(D313,5)) * (D$34:D$81 = E313))</f>
        <v>3.5000000000000003E-2</v>
      </c>
      <c r="G313" s="565" cm="1">
        <f t="array" ref="G313">_xlfn._xlws.FILTER(F$34:F$81,(B$34:B$81 = B313) * (LEFT(C$34:C$81,5) = LEFT(D313,5)) * (D$34:D$81 = E313))</f>
        <v>1</v>
      </c>
      <c r="H313" s="250" t="b">
        <f t="shared" si="3"/>
        <v>0</v>
      </c>
      <c r="I313" s="219" cm="1">
        <f t="array" aca="1" ref="I313" ca="1">IF(G313&lt;=B$3,(1-((1-INDEX(I$12:I$15,B313))^(G313-1))),(1-((1-INDEX(I$12:I$15,B313))^(B$3-1)))) * H313</f>
        <v>0</v>
      </c>
      <c r="J313" s="219" cm="1">
        <f t="array" aca="1" ref="J313" ca="1">_xlfn.LET(_xlpm.númerotermospg,MIN(B$3,G313),_xlpm.razão,1-INDEX(_xlfn.ANCHORARRAY(I$12),B313),_xlpm.somatermospg,((_xlpm.razão^_xlpm.númerotermospg)-1)/(_xlpm.razão-1),_xlpm.númerotermosconstantes,IF(G313&lt;=B$3,0,G313-B$3),_xlpm.somatermosconstantes,(1-I313)*_xlpm.númerotermosconstantes,_xlpm.somatodostermos,_xlpm.somatermospg+_xlpm.somatermosconstantes,_xlpm.médiatodosostermos,_xlpm.somatodostermos/G313,1 - _xlpm.médiatodosostermos) * H313</f>
        <v>0</v>
      </c>
      <c r="K313" s="110">
        <f ca="1"/>
        <v>0</v>
      </c>
    </row>
    <row r="314" spans="2:11">
      <c r="B314" s="345">
        <v>4</v>
      </c>
      <c r="C314" s="267" t="str">
        <f>'Painel Controle'!C$112</f>
        <v>Veículos Comerciais com 2 Eixos</v>
      </c>
      <c r="D314" s="481" t="str">
        <f>INDEX('Painel Controle'!D$110:D$121,MATCH(C314,'Painel Controle'!C$110:C$121,0))</f>
        <v>Pesados I</v>
      </c>
      <c r="E314" s="177" t="s">
        <v>595</v>
      </c>
      <c r="F314" s="110" cm="1">
        <f t="array" ref="F314">_xlfn._xlws.FILTER(E$34:E$81,(B$34:B$81 = B314) * (LEFT(C$34:C$81,5) = LEFT(D314,5)) * (D$34:D$81 = E314))</f>
        <v>0.14599999999999999</v>
      </c>
      <c r="G314" s="565" cm="1">
        <f t="array" ref="G314">_xlfn._xlws.FILTER(F$34:F$81,(B$34:B$81 = B314) * (LEFT(C$34:C$81,5) = LEFT(D314,5)) * (D$34:D$81 = E314))</f>
        <v>20</v>
      </c>
      <c r="H314" s="250" t="b">
        <f t="shared" si="3"/>
        <v>0</v>
      </c>
      <c r="I314" s="219" cm="1">
        <f t="array" aca="1" ref="I314" ca="1">IF(G314&lt;=B$3,(1-((1-INDEX(I$12:I$15,B314))^(G314-1))),(1-((1-INDEX(I$12:I$15,B314))^(B$3-1)))) * H314</f>
        <v>0</v>
      </c>
      <c r="J314" s="219" cm="1">
        <f t="array" aca="1" ref="J314" ca="1">_xlfn.LET(_xlpm.númerotermospg,MIN(B$3,G314),_xlpm.razão,1-INDEX(_xlfn.ANCHORARRAY(I$12),B314),_xlpm.somatermospg,((_xlpm.razão^_xlpm.númerotermospg)-1)/(_xlpm.razão-1),_xlpm.númerotermosconstantes,IF(G314&lt;=B$3,0,G314-B$3),_xlpm.somatermosconstantes,(1-I314)*_xlpm.númerotermosconstantes,_xlpm.somatodostermos,_xlpm.somatermospg+_xlpm.somatermosconstantes,_xlpm.médiatodosostermos,_xlpm.somatodostermos/G314,1 - _xlpm.médiatodosostermos) * H314</f>
        <v>0</v>
      </c>
      <c r="K314" s="110">
        <f ca="1"/>
        <v>0</v>
      </c>
    </row>
    <row r="315" spans="2:11">
      <c r="B315" s="345">
        <v>4</v>
      </c>
      <c r="C315" s="267" t="str">
        <f>'Painel Controle'!C$112</f>
        <v>Veículos Comerciais com 2 Eixos</v>
      </c>
      <c r="D315" s="481" t="str">
        <f>INDEX('Painel Controle'!D$110:D$121,MATCH(C315,'Painel Controle'!C$110:C$121,0))</f>
        <v>Pesados I</v>
      </c>
      <c r="E315" s="177" t="s">
        <v>596</v>
      </c>
      <c r="F315" s="110" cm="1">
        <f t="array" ref="F315">_xlfn._xlws.FILTER(E$34:E$81,(B$34:B$81 = B315) * (LEFT(C$34:C$81,5) = LEFT(D315,5)) * (D$34:D$81 = E315))</f>
        <v>0.35799999999999998</v>
      </c>
      <c r="G315" s="565" cm="1">
        <f t="array" ref="G315">_xlfn._xlws.FILTER(F$34:F$81,(B$34:B$81 = B315) * (LEFT(C$34:C$81,5) = LEFT(D315,5)) * (D$34:D$81 = E315))</f>
        <v>4</v>
      </c>
      <c r="H315" s="250" t="b">
        <f t="shared" si="3"/>
        <v>0</v>
      </c>
      <c r="I315" s="219" cm="1">
        <f t="array" aca="1" ref="I315" ca="1">IF(G315&lt;=B$3,(1-((1-INDEX(I$12:I$15,B315))^(G315-1))),(1-((1-INDEX(I$12:I$15,B315))^(B$3-1)))) * H315</f>
        <v>0</v>
      </c>
      <c r="J315" s="219" cm="1">
        <f t="array" aca="1" ref="J315" ca="1">_xlfn.LET(_xlpm.númerotermospg,MIN(B$3,G315),_xlpm.razão,1-INDEX(_xlfn.ANCHORARRAY(I$12),B315),_xlpm.somatermospg,((_xlpm.razão^_xlpm.númerotermospg)-1)/(_xlpm.razão-1),_xlpm.númerotermosconstantes,IF(G315&lt;=B$3,0,G315-B$3),_xlpm.somatermosconstantes,(1-I315)*_xlpm.númerotermosconstantes,_xlpm.somatodostermos,_xlpm.somatermospg+_xlpm.somatermosconstantes,_xlpm.médiatodosostermos,_xlpm.somatodostermos/G315,1 - _xlpm.médiatodosostermos) * H315</f>
        <v>0</v>
      </c>
      <c r="K315" s="110">
        <f ca="1"/>
        <v>0</v>
      </c>
    </row>
    <row r="316" spans="2:11">
      <c r="B316" s="345">
        <v>4</v>
      </c>
      <c r="C316" s="267" t="str">
        <f>'Painel Controle'!C$112</f>
        <v>Veículos Comerciais com 2 Eixos</v>
      </c>
      <c r="D316" s="481" t="str">
        <f>INDEX('Painel Controle'!D$110:D$121,MATCH(C316,'Painel Controle'!C$110:C$121,0))</f>
        <v>Pesados I</v>
      </c>
      <c r="E316" s="177" t="s">
        <v>597</v>
      </c>
      <c r="F316" s="110" cm="1">
        <f t="array" ref="F316">_xlfn._xlws.FILTER(E$34:E$81,(B$34:B$81 = B316) * (LEFT(C$34:C$81,5) = LEFT(D316,5)) * (D$34:D$81 = E316))</f>
        <v>0.17499999999999999</v>
      </c>
      <c r="G316" s="565" cm="1">
        <f t="array" ref="G316">_xlfn._xlws.FILTER(F$34:F$81,(B$34:B$81 = B316) * (LEFT(C$34:C$81,5) = LEFT(D316,5)) * (D$34:D$81 = E316))</f>
        <v>2</v>
      </c>
      <c r="H316" s="250" t="b">
        <f t="shared" si="3"/>
        <v>0</v>
      </c>
      <c r="I316" s="219" cm="1">
        <f t="array" aca="1" ref="I316" ca="1">IF(G316&lt;=B$3,(1-((1-INDEX(I$12:I$15,B316))^(G316-1))),(1-((1-INDEX(I$12:I$15,B316))^(B$3-1)))) * H316</f>
        <v>0</v>
      </c>
      <c r="J316" s="219" cm="1">
        <f t="array" aca="1" ref="J316" ca="1">_xlfn.LET(_xlpm.númerotermospg,MIN(B$3,G316),_xlpm.razão,1-INDEX(_xlfn.ANCHORARRAY(I$12),B316),_xlpm.somatermospg,((_xlpm.razão^_xlpm.númerotermospg)-1)/(_xlpm.razão-1),_xlpm.númerotermosconstantes,IF(G316&lt;=B$3,0,G316-B$3),_xlpm.somatermosconstantes,(1-I316)*_xlpm.númerotermosconstantes,_xlpm.somatodostermos,_xlpm.somatermospg+_xlpm.somatermosconstantes,_xlpm.médiatodosostermos,_xlpm.somatodostermos/G316,1 - _xlpm.médiatodosostermos) * H316</f>
        <v>0</v>
      </c>
      <c r="K316" s="110">
        <f ca="1"/>
        <v>0</v>
      </c>
    </row>
    <row r="317" spans="2:11">
      <c r="B317" s="345">
        <v>4</v>
      </c>
      <c r="C317" s="267" t="str">
        <f>'Painel Controle'!C$112</f>
        <v>Veículos Comerciais com 2 Eixos</v>
      </c>
      <c r="D317" s="481" t="str">
        <f>INDEX('Painel Controle'!D$110:D$121,MATCH(C317,'Painel Controle'!C$110:C$121,0))</f>
        <v>Pesados I</v>
      </c>
      <c r="E317" s="177" t="s">
        <v>598</v>
      </c>
      <c r="F317" s="110" cm="1">
        <f t="array" ref="F317">_xlfn._xlws.FILTER(E$34:E$81,(B$34:B$81 = B317) * (LEFT(C$34:C$81,5) = LEFT(D317,5)) * (D$34:D$81 = E317))</f>
        <v>1.2999999999999999E-2</v>
      </c>
      <c r="G317" s="565" cm="1">
        <f t="array" ref="G317">_xlfn._xlws.FILTER(F$34:F$81,(B$34:B$81 = B317) * (LEFT(C$34:C$81,5) = LEFT(D317,5)) * (D$34:D$81 = E317))</f>
        <v>1</v>
      </c>
      <c r="H317" s="250" t="b">
        <f t="shared" si="3"/>
        <v>0</v>
      </c>
      <c r="I317" s="219" cm="1">
        <f t="array" aca="1" ref="I317" ca="1">IF(G317&lt;=B$3,(1-((1-INDEX(I$12:I$15,B317))^(G317-1))),(1-((1-INDEX(I$12:I$15,B317))^(B$3-1)))) * H317</f>
        <v>0</v>
      </c>
      <c r="J317" s="219" cm="1">
        <f t="array" aca="1" ref="J317" ca="1">_xlfn.LET(_xlpm.númerotermospg,MIN(B$3,G317),_xlpm.razão,1-INDEX(_xlfn.ANCHORARRAY(I$12),B317),_xlpm.somatermospg,((_xlpm.razão^_xlpm.númerotermospg)-1)/(_xlpm.razão-1),_xlpm.númerotermosconstantes,IF(G317&lt;=B$3,0,G317-B$3),_xlpm.somatermosconstantes,(1-I317)*_xlpm.númerotermosconstantes,_xlpm.somatodostermos,_xlpm.somatermospg+_xlpm.somatermosconstantes,_xlpm.médiatodosostermos,_xlpm.somatodostermos/G317,1 - _xlpm.médiatodosostermos) * H317</f>
        <v>0</v>
      </c>
      <c r="K317" s="110">
        <f ca="1"/>
        <v>0</v>
      </c>
    </row>
    <row r="318" spans="2:11">
      <c r="B318" s="345">
        <v>4</v>
      </c>
      <c r="C318" s="267" t="str">
        <f>'Painel Controle'!C$112</f>
        <v>Veículos Comerciais com 2 Eixos</v>
      </c>
      <c r="D318" s="481" t="str">
        <f>INDEX('Painel Controle'!D$110:D$121,MATCH(C318,'Painel Controle'!C$110:C$121,0))</f>
        <v>Pesados I</v>
      </c>
      <c r="E318" s="177" t="s">
        <v>599</v>
      </c>
      <c r="F318" s="110" cm="1">
        <f t="array" ref="F318">_xlfn._xlws.FILTER(E$34:E$81,(B$34:B$81 = B318) * (LEFT(C$34:C$81,5) = LEFT(D318,5)) * (D$34:D$81 = E318))</f>
        <v>0.26800000000000002</v>
      </c>
      <c r="G318" s="565" cm="1">
        <f t="array" ref="G318">_xlfn._xlws.FILTER(F$34:F$81,(B$34:B$81 = B318) * (LEFT(C$34:C$81,5) = LEFT(D318,5)) * (D$34:D$81 = E318))</f>
        <v>1</v>
      </c>
      <c r="H318" s="250" t="b">
        <f t="shared" si="3"/>
        <v>0</v>
      </c>
      <c r="I318" s="219" cm="1">
        <f t="array" aca="1" ref="I318" ca="1">IF(G318&lt;=B$3,(1-((1-INDEX(I$12:I$15,B318))^(G318-1))),(1-((1-INDEX(I$12:I$15,B318))^(B$3-1)))) * H318</f>
        <v>0</v>
      </c>
      <c r="J318" s="219" cm="1">
        <f t="array" aca="1" ref="J318" ca="1">_xlfn.LET(_xlpm.númerotermospg,MIN(B$3,G318),_xlpm.razão,1-INDEX(_xlfn.ANCHORARRAY(I$12),B318),_xlpm.somatermospg,((_xlpm.razão^_xlpm.númerotermospg)-1)/(_xlpm.razão-1),_xlpm.númerotermosconstantes,IF(G318&lt;=B$3,0,G318-B$3),_xlpm.somatermosconstantes,(1-I318)*_xlpm.númerotermosconstantes,_xlpm.somatodostermos,_xlpm.somatermospg+_xlpm.somatermosconstantes,_xlpm.médiatodosostermos,_xlpm.somatodostermos/G318,1 - _xlpm.médiatodosostermos) * H318</f>
        <v>0</v>
      </c>
      <c r="K318" s="110">
        <f ca="1"/>
        <v>0</v>
      </c>
    </row>
    <row r="319" spans="2:11">
      <c r="B319" s="345">
        <v>4</v>
      </c>
      <c r="C319" s="267" t="str">
        <f>'Painel Controle'!C$112</f>
        <v>Veículos Comerciais com 2 Eixos</v>
      </c>
      <c r="D319" s="481" t="str">
        <f>INDEX('Painel Controle'!D$110:D$121,MATCH(C319,'Painel Controle'!C$110:C$121,0))</f>
        <v>Pesados I</v>
      </c>
      <c r="E319" s="177" t="s">
        <v>600</v>
      </c>
      <c r="F319" s="110" cm="1">
        <f t="array" ref="F319">_xlfn._xlws.FILTER(E$34:E$81,(B$34:B$81 = B319) * (LEFT(C$34:C$81,5) = LEFT(D319,5)) * (D$34:D$81 = E319))</f>
        <v>0.04</v>
      </c>
      <c r="G319" s="565" cm="1">
        <f t="array" ref="G319">_xlfn._xlws.FILTER(F$34:F$81,(B$34:B$81 = B319) * (LEFT(C$34:C$81,5) = LEFT(D319,5)) * (D$34:D$81 = E319))</f>
        <v>1</v>
      </c>
      <c r="H319" s="250" t="b">
        <f t="shared" si="3"/>
        <v>0</v>
      </c>
      <c r="I319" s="219" cm="1">
        <f t="array" aca="1" ref="I319" ca="1">IF(G319&lt;=B$3,(1-((1-INDEX(I$12:I$15,B319))^(G319-1))),(1-((1-INDEX(I$12:I$15,B319))^(B$3-1)))) * H319</f>
        <v>0</v>
      </c>
      <c r="J319" s="219" cm="1">
        <f t="array" aca="1" ref="J319" ca="1">_xlfn.LET(_xlpm.númerotermospg,MIN(B$3,G319),_xlpm.razão,1-INDEX(_xlfn.ANCHORARRAY(I$12),B319),_xlpm.somatermospg,((_xlpm.razão^_xlpm.númerotermospg)-1)/(_xlpm.razão-1),_xlpm.númerotermosconstantes,IF(G319&lt;=B$3,0,G319-B$3),_xlpm.somatermosconstantes,(1-I319)*_xlpm.númerotermosconstantes,_xlpm.somatodostermos,_xlpm.somatermospg+_xlpm.somatermosconstantes,_xlpm.médiatodosostermos,_xlpm.somatodostermos/G319,1 - _xlpm.médiatodosostermos) * H319</f>
        <v>0</v>
      </c>
      <c r="K319" s="110">
        <f ca="1"/>
        <v>0</v>
      </c>
    </row>
    <row r="320" spans="2:11">
      <c r="B320" s="345">
        <v>4</v>
      </c>
      <c r="C320" s="267" t="str">
        <f>'Painel Controle'!C$113</f>
        <v>Veículos Comerciais com 3 Eixos</v>
      </c>
      <c r="D320" s="481" t="str">
        <f>INDEX('Painel Controle'!D$110:D$121,MATCH(C320,'Painel Controle'!C$110:C$121,0))</f>
        <v>Pesados I</v>
      </c>
      <c r="E320" s="177" t="s">
        <v>595</v>
      </c>
      <c r="F320" s="110" cm="1">
        <f t="array" ref="F320">_xlfn._xlws.FILTER(E$34:E$81,(B$34:B$81 = B320) * (LEFT(C$34:C$81,5) = LEFT(D320,5)) * (D$34:D$81 = E320))</f>
        <v>0.14599999999999999</v>
      </c>
      <c r="G320" s="565" cm="1">
        <f t="array" ref="G320">_xlfn._xlws.FILTER(F$34:F$81,(B$34:B$81 = B320) * (LEFT(C$34:C$81,5) = LEFT(D320,5)) * (D$34:D$81 = E320))</f>
        <v>20</v>
      </c>
      <c r="H320" s="250" t="b">
        <f t="shared" si="3"/>
        <v>0</v>
      </c>
      <c r="I320" s="219" cm="1">
        <f t="array" aca="1" ref="I320" ca="1">IF(G320&lt;=B$3,(1-((1-INDEX(I$12:I$15,B320))^(G320-1))),(1-((1-INDEX(I$12:I$15,B320))^(B$3-1)))) * H320</f>
        <v>0</v>
      </c>
      <c r="J320" s="219" cm="1">
        <f t="array" aca="1" ref="J320" ca="1">_xlfn.LET(_xlpm.númerotermospg,MIN(B$3,G320),_xlpm.razão,1-INDEX(_xlfn.ANCHORARRAY(I$12),B320),_xlpm.somatermospg,((_xlpm.razão^_xlpm.númerotermospg)-1)/(_xlpm.razão-1),_xlpm.númerotermosconstantes,IF(G320&lt;=B$3,0,G320-B$3),_xlpm.somatermosconstantes,(1-I320)*_xlpm.númerotermosconstantes,_xlpm.somatodostermos,_xlpm.somatermospg+_xlpm.somatermosconstantes,_xlpm.médiatodosostermos,_xlpm.somatodostermos/G320,1 - _xlpm.médiatodosostermos) * H320</f>
        <v>0</v>
      </c>
      <c r="K320" s="110">
        <f ca="1"/>
        <v>0</v>
      </c>
    </row>
    <row r="321" spans="2:11">
      <c r="B321" s="345">
        <v>4</v>
      </c>
      <c r="C321" s="267" t="str">
        <f>'Painel Controle'!C$113</f>
        <v>Veículos Comerciais com 3 Eixos</v>
      </c>
      <c r="D321" s="481" t="str">
        <f>INDEX('Painel Controle'!D$110:D$121,MATCH(C321,'Painel Controle'!C$110:C$121,0))</f>
        <v>Pesados I</v>
      </c>
      <c r="E321" s="177" t="s">
        <v>596</v>
      </c>
      <c r="F321" s="110" cm="1">
        <f t="array" ref="F321">_xlfn._xlws.FILTER(E$34:E$81,(B$34:B$81 = B321) * (LEFT(C$34:C$81,5) = LEFT(D321,5)) * (D$34:D$81 = E321))</f>
        <v>0.35799999999999998</v>
      </c>
      <c r="G321" s="565" cm="1">
        <f t="array" ref="G321">_xlfn._xlws.FILTER(F$34:F$81,(B$34:B$81 = B321) * (LEFT(C$34:C$81,5) = LEFT(D321,5)) * (D$34:D$81 = E321))</f>
        <v>4</v>
      </c>
      <c r="H321" s="250" t="b">
        <f t="shared" si="3"/>
        <v>0</v>
      </c>
      <c r="I321" s="219" cm="1">
        <f t="array" aca="1" ref="I321" ca="1">IF(G321&lt;=B$3,(1-((1-INDEX(I$12:I$15,B321))^(G321-1))),(1-((1-INDEX(I$12:I$15,B321))^(B$3-1)))) * H321</f>
        <v>0</v>
      </c>
      <c r="J321" s="219" cm="1">
        <f t="array" aca="1" ref="J321" ca="1">_xlfn.LET(_xlpm.númerotermospg,MIN(B$3,G321),_xlpm.razão,1-INDEX(_xlfn.ANCHORARRAY(I$12),B321),_xlpm.somatermospg,((_xlpm.razão^_xlpm.númerotermospg)-1)/(_xlpm.razão-1),_xlpm.númerotermosconstantes,IF(G321&lt;=B$3,0,G321-B$3),_xlpm.somatermosconstantes,(1-I321)*_xlpm.númerotermosconstantes,_xlpm.somatodostermos,_xlpm.somatermospg+_xlpm.somatermosconstantes,_xlpm.médiatodosostermos,_xlpm.somatodostermos/G321,1 - _xlpm.médiatodosostermos) * H321</f>
        <v>0</v>
      </c>
      <c r="K321" s="110">
        <f ca="1"/>
        <v>0</v>
      </c>
    </row>
    <row r="322" spans="2:11">
      <c r="B322" s="345">
        <v>4</v>
      </c>
      <c r="C322" s="267" t="str">
        <f>'Painel Controle'!C$113</f>
        <v>Veículos Comerciais com 3 Eixos</v>
      </c>
      <c r="D322" s="481" t="str">
        <f>INDEX('Painel Controle'!D$110:D$121,MATCH(C322,'Painel Controle'!C$110:C$121,0))</f>
        <v>Pesados I</v>
      </c>
      <c r="E322" s="177" t="s">
        <v>597</v>
      </c>
      <c r="F322" s="110" cm="1">
        <f t="array" ref="F322">_xlfn._xlws.FILTER(E$34:E$81,(B$34:B$81 = B322) * (LEFT(C$34:C$81,5) = LEFT(D322,5)) * (D$34:D$81 = E322))</f>
        <v>0.17499999999999999</v>
      </c>
      <c r="G322" s="565" cm="1">
        <f t="array" ref="G322">_xlfn._xlws.FILTER(F$34:F$81,(B$34:B$81 = B322) * (LEFT(C$34:C$81,5) = LEFT(D322,5)) * (D$34:D$81 = E322))</f>
        <v>2</v>
      </c>
      <c r="H322" s="250" t="b">
        <f t="shared" si="3"/>
        <v>0</v>
      </c>
      <c r="I322" s="219" cm="1">
        <f t="array" aca="1" ref="I322" ca="1">IF(G322&lt;=B$3,(1-((1-INDEX(I$12:I$15,B322))^(G322-1))),(1-((1-INDEX(I$12:I$15,B322))^(B$3-1)))) * H322</f>
        <v>0</v>
      </c>
      <c r="J322" s="219" cm="1">
        <f t="array" aca="1" ref="J322" ca="1">_xlfn.LET(_xlpm.númerotermospg,MIN(B$3,G322),_xlpm.razão,1-INDEX(_xlfn.ANCHORARRAY(I$12),B322),_xlpm.somatermospg,((_xlpm.razão^_xlpm.númerotermospg)-1)/(_xlpm.razão-1),_xlpm.númerotermosconstantes,IF(G322&lt;=B$3,0,G322-B$3),_xlpm.somatermosconstantes,(1-I322)*_xlpm.númerotermosconstantes,_xlpm.somatodostermos,_xlpm.somatermospg+_xlpm.somatermosconstantes,_xlpm.médiatodosostermos,_xlpm.somatodostermos/G322,1 - _xlpm.médiatodosostermos) * H322</f>
        <v>0</v>
      </c>
      <c r="K322" s="110">
        <f ca="1"/>
        <v>0</v>
      </c>
    </row>
    <row r="323" spans="2:11">
      <c r="B323" s="345">
        <v>4</v>
      </c>
      <c r="C323" s="267" t="str">
        <f>'Painel Controle'!C$113</f>
        <v>Veículos Comerciais com 3 Eixos</v>
      </c>
      <c r="D323" s="481" t="str">
        <f>INDEX('Painel Controle'!D$110:D$121,MATCH(C323,'Painel Controle'!C$110:C$121,0))</f>
        <v>Pesados I</v>
      </c>
      <c r="E323" s="177" t="s">
        <v>598</v>
      </c>
      <c r="F323" s="110" cm="1">
        <f t="array" ref="F323">_xlfn._xlws.FILTER(E$34:E$81,(B$34:B$81 = B323) * (LEFT(C$34:C$81,5) = LEFT(D323,5)) * (D$34:D$81 = E323))</f>
        <v>1.2999999999999999E-2</v>
      </c>
      <c r="G323" s="565" cm="1">
        <f t="array" ref="G323">_xlfn._xlws.FILTER(F$34:F$81,(B$34:B$81 = B323) * (LEFT(C$34:C$81,5) = LEFT(D323,5)) * (D$34:D$81 = E323))</f>
        <v>1</v>
      </c>
      <c r="H323" s="250" t="b">
        <f t="shared" si="3"/>
        <v>0</v>
      </c>
      <c r="I323" s="219" cm="1">
        <f t="array" aca="1" ref="I323" ca="1">IF(G323&lt;=B$3,(1-((1-INDEX(I$12:I$15,B323))^(G323-1))),(1-((1-INDEX(I$12:I$15,B323))^(B$3-1)))) * H323</f>
        <v>0</v>
      </c>
      <c r="J323" s="219" cm="1">
        <f t="array" aca="1" ref="J323" ca="1">_xlfn.LET(_xlpm.númerotermospg,MIN(B$3,G323),_xlpm.razão,1-INDEX(_xlfn.ANCHORARRAY(I$12),B323),_xlpm.somatermospg,((_xlpm.razão^_xlpm.númerotermospg)-1)/(_xlpm.razão-1),_xlpm.númerotermosconstantes,IF(G323&lt;=B$3,0,G323-B$3),_xlpm.somatermosconstantes,(1-I323)*_xlpm.númerotermosconstantes,_xlpm.somatodostermos,_xlpm.somatermospg+_xlpm.somatermosconstantes,_xlpm.médiatodosostermos,_xlpm.somatodostermos/G323,1 - _xlpm.médiatodosostermos) * H323</f>
        <v>0</v>
      </c>
      <c r="K323" s="110">
        <f ca="1"/>
        <v>0</v>
      </c>
    </row>
    <row r="324" spans="2:11">
      <c r="B324" s="345">
        <v>4</v>
      </c>
      <c r="C324" s="267" t="str">
        <f>'Painel Controle'!C$113</f>
        <v>Veículos Comerciais com 3 Eixos</v>
      </c>
      <c r="D324" s="481" t="str">
        <f>INDEX('Painel Controle'!D$110:D$121,MATCH(C324,'Painel Controle'!C$110:C$121,0))</f>
        <v>Pesados I</v>
      </c>
      <c r="E324" s="177" t="s">
        <v>599</v>
      </c>
      <c r="F324" s="110" cm="1">
        <f t="array" ref="F324">_xlfn._xlws.FILTER(E$34:E$81,(B$34:B$81 = B324) * (LEFT(C$34:C$81,5) = LEFT(D324,5)) * (D$34:D$81 = E324))</f>
        <v>0.26800000000000002</v>
      </c>
      <c r="G324" s="565" cm="1">
        <f t="array" ref="G324">_xlfn._xlws.FILTER(F$34:F$81,(B$34:B$81 = B324) * (LEFT(C$34:C$81,5) = LEFT(D324,5)) * (D$34:D$81 = E324))</f>
        <v>1</v>
      </c>
      <c r="H324" s="250" t="b">
        <f t="shared" si="3"/>
        <v>0</v>
      </c>
      <c r="I324" s="219" cm="1">
        <f t="array" aca="1" ref="I324" ca="1">IF(G324&lt;=B$3,(1-((1-INDEX(I$12:I$15,B324))^(G324-1))),(1-((1-INDEX(I$12:I$15,B324))^(B$3-1)))) * H324</f>
        <v>0</v>
      </c>
      <c r="J324" s="219" cm="1">
        <f t="array" aca="1" ref="J324" ca="1">_xlfn.LET(_xlpm.númerotermospg,MIN(B$3,G324),_xlpm.razão,1-INDEX(_xlfn.ANCHORARRAY(I$12),B324),_xlpm.somatermospg,((_xlpm.razão^_xlpm.númerotermospg)-1)/(_xlpm.razão-1),_xlpm.númerotermosconstantes,IF(G324&lt;=B$3,0,G324-B$3),_xlpm.somatermosconstantes,(1-I324)*_xlpm.númerotermosconstantes,_xlpm.somatodostermos,_xlpm.somatermospg+_xlpm.somatermosconstantes,_xlpm.médiatodosostermos,_xlpm.somatodostermos/G324,1 - _xlpm.médiatodosostermos) * H324</f>
        <v>0</v>
      </c>
      <c r="K324" s="110">
        <f ca="1"/>
        <v>0</v>
      </c>
    </row>
    <row r="325" spans="2:11">
      <c r="B325" s="345">
        <v>4</v>
      </c>
      <c r="C325" s="267" t="str">
        <f>'Painel Controle'!C$113</f>
        <v>Veículos Comerciais com 3 Eixos</v>
      </c>
      <c r="D325" s="481" t="str">
        <f>INDEX('Painel Controle'!D$110:D$121,MATCH(C325,'Painel Controle'!C$110:C$121,0))</f>
        <v>Pesados I</v>
      </c>
      <c r="E325" s="177" t="s">
        <v>600</v>
      </c>
      <c r="F325" s="110" cm="1">
        <f t="array" ref="F325">_xlfn._xlws.FILTER(E$34:E$81,(B$34:B$81 = B325) * (LEFT(C$34:C$81,5) = LEFT(D325,5)) * (D$34:D$81 = E325))</f>
        <v>0.04</v>
      </c>
      <c r="G325" s="565" cm="1">
        <f t="array" ref="G325">_xlfn._xlws.FILTER(F$34:F$81,(B$34:B$81 = B325) * (LEFT(C$34:C$81,5) = LEFT(D325,5)) * (D$34:D$81 = E325))</f>
        <v>1</v>
      </c>
      <c r="H325" s="250" t="b">
        <f t="shared" si="3"/>
        <v>0</v>
      </c>
      <c r="I325" s="219" cm="1">
        <f t="array" aca="1" ref="I325" ca="1">IF(G325&lt;=B$3,(1-((1-INDEX(I$12:I$15,B325))^(G325-1))),(1-((1-INDEX(I$12:I$15,B325))^(B$3-1)))) * H325</f>
        <v>0</v>
      </c>
      <c r="J325" s="219" cm="1">
        <f t="array" aca="1" ref="J325" ca="1">_xlfn.LET(_xlpm.númerotermospg,MIN(B$3,G325),_xlpm.razão,1-INDEX(_xlfn.ANCHORARRAY(I$12),B325),_xlpm.somatermospg,((_xlpm.razão^_xlpm.númerotermospg)-1)/(_xlpm.razão-1),_xlpm.númerotermosconstantes,IF(G325&lt;=B$3,0,G325-B$3),_xlpm.somatermosconstantes,(1-I325)*_xlpm.númerotermosconstantes,_xlpm.somatodostermos,_xlpm.somatermospg+_xlpm.somatermosconstantes,_xlpm.médiatodosostermos,_xlpm.somatodostermos/G325,1 - _xlpm.médiatodosostermos) * H325</f>
        <v>0</v>
      </c>
      <c r="K325" s="110">
        <f ca="1"/>
        <v>0</v>
      </c>
    </row>
    <row r="326" spans="2:11">
      <c r="B326" s="345">
        <v>4</v>
      </c>
      <c r="C326" s="267" t="str">
        <f>'Painel Controle'!C$114</f>
        <v>Veículos Comerciais com 4 Eixos</v>
      </c>
      <c r="D326" s="481" t="str">
        <f>INDEX('Painel Controle'!D$110:D$121,MATCH(C326,'Painel Controle'!C$110:C$121,0))</f>
        <v>Pesados I</v>
      </c>
      <c r="E326" s="177" t="s">
        <v>595</v>
      </c>
      <c r="F326" s="110" cm="1">
        <f t="array" ref="F326">_xlfn._xlws.FILTER(E$34:E$81,(B$34:B$81 = B326) * (LEFT(C$34:C$81,5) = LEFT(D326,5)) * (D$34:D$81 = E326))</f>
        <v>0.14599999999999999</v>
      </c>
      <c r="G326" s="565" cm="1">
        <f t="array" ref="G326">_xlfn._xlws.FILTER(F$34:F$81,(B$34:B$81 = B326) * (LEFT(C$34:C$81,5) = LEFT(D326,5)) * (D$34:D$81 = E326))</f>
        <v>20</v>
      </c>
      <c r="H326" s="250" t="b">
        <f t="shared" si="3"/>
        <v>0</v>
      </c>
      <c r="I326" s="219" cm="1">
        <f t="array" aca="1" ref="I326" ca="1">IF(G326&lt;=B$3,(1-((1-INDEX(I$12:I$15,B326))^(G326-1))),(1-((1-INDEX(I$12:I$15,B326))^(B$3-1)))) * H326</f>
        <v>0</v>
      </c>
      <c r="J326" s="219" cm="1">
        <f t="array" aca="1" ref="J326" ca="1">_xlfn.LET(_xlpm.númerotermospg,MIN(B$3,G326),_xlpm.razão,1-INDEX(_xlfn.ANCHORARRAY(I$12),B326),_xlpm.somatermospg,((_xlpm.razão^_xlpm.númerotermospg)-1)/(_xlpm.razão-1),_xlpm.númerotermosconstantes,IF(G326&lt;=B$3,0,G326-B$3),_xlpm.somatermosconstantes,(1-I326)*_xlpm.númerotermosconstantes,_xlpm.somatodostermos,_xlpm.somatermospg+_xlpm.somatermosconstantes,_xlpm.médiatodosostermos,_xlpm.somatodostermos/G326,1 - _xlpm.médiatodosostermos) * H326</f>
        <v>0</v>
      </c>
      <c r="K326" s="110">
        <f ca="1"/>
        <v>0</v>
      </c>
    </row>
    <row r="327" spans="2:11">
      <c r="B327" s="345">
        <v>4</v>
      </c>
      <c r="C327" s="267" t="str">
        <f>'Painel Controle'!C$114</f>
        <v>Veículos Comerciais com 4 Eixos</v>
      </c>
      <c r="D327" s="481" t="str">
        <f>INDEX('Painel Controle'!D$110:D$121,MATCH(C327,'Painel Controle'!C$110:C$121,0))</f>
        <v>Pesados I</v>
      </c>
      <c r="E327" s="177" t="s">
        <v>596</v>
      </c>
      <c r="F327" s="110" cm="1">
        <f t="array" ref="F327">_xlfn._xlws.FILTER(E$34:E$81,(B$34:B$81 = B327) * (LEFT(C$34:C$81,5) = LEFT(D327,5)) * (D$34:D$81 = E327))</f>
        <v>0.35799999999999998</v>
      </c>
      <c r="G327" s="565" cm="1">
        <f t="array" ref="G327">_xlfn._xlws.FILTER(F$34:F$81,(B$34:B$81 = B327) * (LEFT(C$34:C$81,5) = LEFT(D327,5)) * (D$34:D$81 = E327))</f>
        <v>4</v>
      </c>
      <c r="H327" s="250" t="b">
        <f t="shared" si="3"/>
        <v>0</v>
      </c>
      <c r="I327" s="219" cm="1">
        <f t="array" aca="1" ref="I327" ca="1">IF(G327&lt;=B$3,(1-((1-INDEX(I$12:I$15,B327))^(G327-1))),(1-((1-INDEX(I$12:I$15,B327))^(B$3-1)))) * H327</f>
        <v>0</v>
      </c>
      <c r="J327" s="219" cm="1">
        <f t="array" aca="1" ref="J327" ca="1">_xlfn.LET(_xlpm.númerotermospg,MIN(B$3,G327),_xlpm.razão,1-INDEX(_xlfn.ANCHORARRAY(I$12),B327),_xlpm.somatermospg,((_xlpm.razão^_xlpm.númerotermospg)-1)/(_xlpm.razão-1),_xlpm.númerotermosconstantes,IF(G327&lt;=B$3,0,G327-B$3),_xlpm.somatermosconstantes,(1-I327)*_xlpm.númerotermosconstantes,_xlpm.somatodostermos,_xlpm.somatermospg+_xlpm.somatermosconstantes,_xlpm.médiatodosostermos,_xlpm.somatodostermos/G327,1 - _xlpm.médiatodosostermos) * H327</f>
        <v>0</v>
      </c>
      <c r="K327" s="110">
        <f ca="1"/>
        <v>0</v>
      </c>
    </row>
    <row r="328" spans="2:11">
      <c r="B328" s="345">
        <v>4</v>
      </c>
      <c r="C328" s="267" t="str">
        <f>'Painel Controle'!C$114</f>
        <v>Veículos Comerciais com 4 Eixos</v>
      </c>
      <c r="D328" s="481" t="str">
        <f>INDEX('Painel Controle'!D$110:D$121,MATCH(C328,'Painel Controle'!C$110:C$121,0))</f>
        <v>Pesados I</v>
      </c>
      <c r="E328" s="177" t="s">
        <v>597</v>
      </c>
      <c r="F328" s="110" cm="1">
        <f t="array" ref="F328">_xlfn._xlws.FILTER(E$34:E$81,(B$34:B$81 = B328) * (LEFT(C$34:C$81,5) = LEFT(D328,5)) * (D$34:D$81 = E328))</f>
        <v>0.17499999999999999</v>
      </c>
      <c r="G328" s="565" cm="1">
        <f t="array" ref="G328">_xlfn._xlws.FILTER(F$34:F$81,(B$34:B$81 = B328) * (LEFT(C$34:C$81,5) = LEFT(D328,5)) * (D$34:D$81 = E328))</f>
        <v>2</v>
      </c>
      <c r="H328" s="250" t="b">
        <f t="shared" si="3"/>
        <v>0</v>
      </c>
      <c r="I328" s="219" cm="1">
        <f t="array" aca="1" ref="I328" ca="1">IF(G328&lt;=B$3,(1-((1-INDEX(I$12:I$15,B328))^(G328-1))),(1-((1-INDEX(I$12:I$15,B328))^(B$3-1)))) * H328</f>
        <v>0</v>
      </c>
      <c r="J328" s="219" cm="1">
        <f t="array" aca="1" ref="J328" ca="1">_xlfn.LET(_xlpm.númerotermospg,MIN(B$3,G328),_xlpm.razão,1-INDEX(_xlfn.ANCHORARRAY(I$12),B328),_xlpm.somatermospg,((_xlpm.razão^_xlpm.númerotermospg)-1)/(_xlpm.razão-1),_xlpm.númerotermosconstantes,IF(G328&lt;=B$3,0,G328-B$3),_xlpm.somatermosconstantes,(1-I328)*_xlpm.númerotermosconstantes,_xlpm.somatodostermos,_xlpm.somatermospg+_xlpm.somatermosconstantes,_xlpm.médiatodosostermos,_xlpm.somatodostermos/G328,1 - _xlpm.médiatodosostermos) * H328</f>
        <v>0</v>
      </c>
      <c r="K328" s="110">
        <f ca="1"/>
        <v>0</v>
      </c>
    </row>
    <row r="329" spans="2:11">
      <c r="B329" s="345">
        <v>4</v>
      </c>
      <c r="C329" s="267" t="str">
        <f>'Painel Controle'!C$114</f>
        <v>Veículos Comerciais com 4 Eixos</v>
      </c>
      <c r="D329" s="481" t="str">
        <f>INDEX('Painel Controle'!D$110:D$121,MATCH(C329,'Painel Controle'!C$110:C$121,0))</f>
        <v>Pesados I</v>
      </c>
      <c r="E329" s="177" t="s">
        <v>598</v>
      </c>
      <c r="F329" s="110" cm="1">
        <f t="array" ref="F329">_xlfn._xlws.FILTER(E$34:E$81,(B$34:B$81 = B329) * (LEFT(C$34:C$81,5) = LEFT(D329,5)) * (D$34:D$81 = E329))</f>
        <v>1.2999999999999999E-2</v>
      </c>
      <c r="G329" s="565" cm="1">
        <f t="array" ref="G329">_xlfn._xlws.FILTER(F$34:F$81,(B$34:B$81 = B329) * (LEFT(C$34:C$81,5) = LEFT(D329,5)) * (D$34:D$81 = E329))</f>
        <v>1</v>
      </c>
      <c r="H329" s="250" t="b">
        <f t="shared" si="3"/>
        <v>0</v>
      </c>
      <c r="I329" s="219" cm="1">
        <f t="array" aca="1" ref="I329" ca="1">IF(G329&lt;=B$3,(1-((1-INDEX(I$12:I$15,B329))^(G329-1))),(1-((1-INDEX(I$12:I$15,B329))^(B$3-1)))) * H329</f>
        <v>0</v>
      </c>
      <c r="J329" s="219" cm="1">
        <f t="array" aca="1" ref="J329" ca="1">_xlfn.LET(_xlpm.númerotermospg,MIN(B$3,G329),_xlpm.razão,1-INDEX(_xlfn.ANCHORARRAY(I$12),B329),_xlpm.somatermospg,((_xlpm.razão^_xlpm.númerotermospg)-1)/(_xlpm.razão-1),_xlpm.númerotermosconstantes,IF(G329&lt;=B$3,0,G329-B$3),_xlpm.somatermosconstantes,(1-I329)*_xlpm.númerotermosconstantes,_xlpm.somatodostermos,_xlpm.somatermospg+_xlpm.somatermosconstantes,_xlpm.médiatodosostermos,_xlpm.somatodostermos/G329,1 - _xlpm.médiatodosostermos) * H329</f>
        <v>0</v>
      </c>
      <c r="K329" s="110">
        <f ca="1"/>
        <v>0</v>
      </c>
    </row>
    <row r="330" spans="2:11">
      <c r="B330" s="345">
        <v>4</v>
      </c>
      <c r="C330" s="267" t="str">
        <f>'Painel Controle'!C$114</f>
        <v>Veículos Comerciais com 4 Eixos</v>
      </c>
      <c r="D330" s="481" t="str">
        <f>INDEX('Painel Controle'!D$110:D$121,MATCH(C330,'Painel Controle'!C$110:C$121,0))</f>
        <v>Pesados I</v>
      </c>
      <c r="E330" s="177" t="s">
        <v>599</v>
      </c>
      <c r="F330" s="110" cm="1">
        <f t="array" ref="F330">_xlfn._xlws.FILTER(E$34:E$81,(B$34:B$81 = B330) * (LEFT(C$34:C$81,5) = LEFT(D330,5)) * (D$34:D$81 = E330))</f>
        <v>0.26800000000000002</v>
      </c>
      <c r="G330" s="565" cm="1">
        <f t="array" ref="G330">_xlfn._xlws.FILTER(F$34:F$81,(B$34:B$81 = B330) * (LEFT(C$34:C$81,5) = LEFT(D330,5)) * (D$34:D$81 = E330))</f>
        <v>1</v>
      </c>
      <c r="H330" s="250" t="b">
        <f t="shared" si="3"/>
        <v>0</v>
      </c>
      <c r="I330" s="219" cm="1">
        <f t="array" aca="1" ref="I330" ca="1">IF(G330&lt;=B$3,(1-((1-INDEX(I$12:I$15,B330))^(G330-1))),(1-((1-INDEX(I$12:I$15,B330))^(B$3-1)))) * H330</f>
        <v>0</v>
      </c>
      <c r="J330" s="219" cm="1">
        <f t="array" aca="1" ref="J330" ca="1">_xlfn.LET(_xlpm.númerotermospg,MIN(B$3,G330),_xlpm.razão,1-INDEX(_xlfn.ANCHORARRAY(I$12),B330),_xlpm.somatermospg,((_xlpm.razão^_xlpm.númerotermospg)-1)/(_xlpm.razão-1),_xlpm.númerotermosconstantes,IF(G330&lt;=B$3,0,G330-B$3),_xlpm.somatermosconstantes,(1-I330)*_xlpm.númerotermosconstantes,_xlpm.somatodostermos,_xlpm.somatermospg+_xlpm.somatermosconstantes,_xlpm.médiatodosostermos,_xlpm.somatodostermos/G330,1 - _xlpm.médiatodosostermos) * H330</f>
        <v>0</v>
      </c>
      <c r="K330" s="110">
        <f ca="1"/>
        <v>0</v>
      </c>
    </row>
    <row r="331" spans="2:11">
      <c r="B331" s="345">
        <v>4</v>
      </c>
      <c r="C331" s="267" t="str">
        <f>'Painel Controle'!C$114</f>
        <v>Veículos Comerciais com 4 Eixos</v>
      </c>
      <c r="D331" s="481" t="str">
        <f>INDEX('Painel Controle'!D$110:D$121,MATCH(C331,'Painel Controle'!C$110:C$121,0))</f>
        <v>Pesados I</v>
      </c>
      <c r="E331" s="177" t="s">
        <v>600</v>
      </c>
      <c r="F331" s="110" cm="1">
        <f t="array" ref="F331">_xlfn._xlws.FILTER(E$34:E$81,(B$34:B$81 = B331) * (LEFT(C$34:C$81,5) = LEFT(D331,5)) * (D$34:D$81 = E331))</f>
        <v>0.04</v>
      </c>
      <c r="G331" s="565" cm="1">
        <f t="array" ref="G331">_xlfn._xlws.FILTER(F$34:F$81,(B$34:B$81 = B331) * (LEFT(C$34:C$81,5) = LEFT(D331,5)) * (D$34:D$81 = E331))</f>
        <v>1</v>
      </c>
      <c r="H331" s="250" t="b">
        <f t="shared" si="3"/>
        <v>0</v>
      </c>
      <c r="I331" s="219" cm="1">
        <f t="array" aca="1" ref="I331" ca="1">IF(G331&lt;=B$3,(1-((1-INDEX(I$12:I$15,B331))^(G331-1))),(1-((1-INDEX(I$12:I$15,B331))^(B$3-1)))) * H331</f>
        <v>0</v>
      </c>
      <c r="J331" s="219" cm="1">
        <f t="array" aca="1" ref="J331" ca="1">_xlfn.LET(_xlpm.númerotermospg,MIN(B$3,G331),_xlpm.razão,1-INDEX(_xlfn.ANCHORARRAY(I$12),B331),_xlpm.somatermospg,((_xlpm.razão^_xlpm.númerotermospg)-1)/(_xlpm.razão-1),_xlpm.númerotermosconstantes,IF(G331&lt;=B$3,0,G331-B$3),_xlpm.somatermosconstantes,(1-I331)*_xlpm.númerotermosconstantes,_xlpm.somatodostermos,_xlpm.somatermospg+_xlpm.somatermosconstantes,_xlpm.médiatodosostermos,_xlpm.somatodostermos/G331,1 - _xlpm.médiatodosostermos) * H331</f>
        <v>0</v>
      </c>
      <c r="K331" s="110">
        <f ca="1"/>
        <v>0</v>
      </c>
    </row>
    <row r="332" spans="2:11">
      <c r="B332" s="345">
        <v>4</v>
      </c>
      <c r="C332" s="267" t="str">
        <f>'Painel Controle'!C$115</f>
        <v>Veículos Comerciais com 5 Eixos Articulado</v>
      </c>
      <c r="D332" s="481" t="str">
        <f>INDEX('Painel Controle'!D$110:D$121,MATCH(C332,'Painel Controle'!C$110:C$121,0))</f>
        <v>Pesados II</v>
      </c>
      <c r="E332" s="177" t="s">
        <v>595</v>
      </c>
      <c r="F332" s="110" cm="1">
        <f t="array" ref="F332">_xlfn._xlws.FILTER(E$34:E$81,(B$34:B$81 = B332) * (LEFT(C$34:C$81,5) = LEFT(D332,5)) * (D$34:D$81 = E332))</f>
        <v>0.14599999999999999</v>
      </c>
      <c r="G332" s="565" cm="1">
        <f t="array" ref="G332">_xlfn._xlws.FILTER(F$34:F$81,(B$34:B$81 = B332) * (LEFT(C$34:C$81,5) = LEFT(D332,5)) * (D$34:D$81 = E332))</f>
        <v>20</v>
      </c>
      <c r="H332" s="250" t="b">
        <f t="shared" si="3"/>
        <v>0</v>
      </c>
      <c r="I332" s="219" cm="1">
        <f t="array" aca="1" ref="I332" ca="1">IF(G332&lt;=B$3,(1-((1-INDEX(I$12:I$15,B332))^(G332-1))),(1-((1-INDEX(I$12:I$15,B332))^(B$3-1)))) * H332</f>
        <v>0</v>
      </c>
      <c r="J332" s="219" cm="1">
        <f t="array" aca="1" ref="J332" ca="1">_xlfn.LET(_xlpm.númerotermospg,MIN(B$3,G332),_xlpm.razão,1-INDEX(_xlfn.ANCHORARRAY(I$12),B332),_xlpm.somatermospg,((_xlpm.razão^_xlpm.númerotermospg)-1)/(_xlpm.razão-1),_xlpm.númerotermosconstantes,IF(G332&lt;=B$3,0,G332-B$3),_xlpm.somatermosconstantes,(1-I332)*_xlpm.númerotermosconstantes,_xlpm.somatodostermos,_xlpm.somatermospg+_xlpm.somatermosconstantes,_xlpm.médiatodosostermos,_xlpm.somatodostermos/G332,1 - _xlpm.médiatodosostermos) * H332</f>
        <v>0</v>
      </c>
      <c r="K332" s="110">
        <f ca="1"/>
        <v>0</v>
      </c>
    </row>
    <row r="333" spans="2:11">
      <c r="B333" s="345">
        <v>4</v>
      </c>
      <c r="C333" s="267" t="str">
        <f>'Painel Controle'!C$115</f>
        <v>Veículos Comerciais com 5 Eixos Articulado</v>
      </c>
      <c r="D333" s="481" t="str">
        <f>INDEX('Painel Controle'!D$110:D$121,MATCH(C333,'Painel Controle'!C$110:C$121,0))</f>
        <v>Pesados II</v>
      </c>
      <c r="E333" s="177" t="s">
        <v>596</v>
      </c>
      <c r="F333" s="110" cm="1">
        <f t="array" ref="F333">_xlfn._xlws.FILTER(E$34:E$81,(B$34:B$81 = B333) * (LEFT(C$34:C$81,5) = LEFT(D333,5)) * (D$34:D$81 = E333))</f>
        <v>0.35799999999999998</v>
      </c>
      <c r="G333" s="565" cm="1">
        <f t="array" ref="G333">_xlfn._xlws.FILTER(F$34:F$81,(B$34:B$81 = B333) * (LEFT(C$34:C$81,5) = LEFT(D333,5)) * (D$34:D$81 = E333))</f>
        <v>4</v>
      </c>
      <c r="H333" s="250" t="b">
        <f t="shared" si="3"/>
        <v>0</v>
      </c>
      <c r="I333" s="219" cm="1">
        <f t="array" aca="1" ref="I333" ca="1">IF(G333&lt;=B$3,(1-((1-INDEX(I$12:I$15,B333))^(G333-1))),(1-((1-INDEX(I$12:I$15,B333))^(B$3-1)))) * H333</f>
        <v>0</v>
      </c>
      <c r="J333" s="219" cm="1">
        <f t="array" aca="1" ref="J333" ca="1">_xlfn.LET(_xlpm.númerotermospg,MIN(B$3,G333),_xlpm.razão,1-INDEX(_xlfn.ANCHORARRAY(I$12),B333),_xlpm.somatermospg,((_xlpm.razão^_xlpm.númerotermospg)-1)/(_xlpm.razão-1),_xlpm.númerotermosconstantes,IF(G333&lt;=B$3,0,G333-B$3),_xlpm.somatermosconstantes,(1-I333)*_xlpm.númerotermosconstantes,_xlpm.somatodostermos,_xlpm.somatermospg+_xlpm.somatermosconstantes,_xlpm.médiatodosostermos,_xlpm.somatodostermos/G333,1 - _xlpm.médiatodosostermos) * H333</f>
        <v>0</v>
      </c>
      <c r="K333" s="110">
        <f ca="1"/>
        <v>0</v>
      </c>
    </row>
    <row r="334" spans="2:11">
      <c r="B334" s="345">
        <v>4</v>
      </c>
      <c r="C334" s="267" t="str">
        <f>'Painel Controle'!C$115</f>
        <v>Veículos Comerciais com 5 Eixos Articulado</v>
      </c>
      <c r="D334" s="481" t="str">
        <f>INDEX('Painel Controle'!D$110:D$121,MATCH(C334,'Painel Controle'!C$110:C$121,0))</f>
        <v>Pesados II</v>
      </c>
      <c r="E334" s="177" t="s">
        <v>597</v>
      </c>
      <c r="F334" s="110" cm="1">
        <f t="array" ref="F334">_xlfn._xlws.FILTER(E$34:E$81,(B$34:B$81 = B334) * (LEFT(C$34:C$81,5) = LEFT(D334,5)) * (D$34:D$81 = E334))</f>
        <v>0.17499999999999999</v>
      </c>
      <c r="G334" s="565" cm="1">
        <f t="array" ref="G334">_xlfn._xlws.FILTER(F$34:F$81,(B$34:B$81 = B334) * (LEFT(C$34:C$81,5) = LEFT(D334,5)) * (D$34:D$81 = E334))</f>
        <v>2</v>
      </c>
      <c r="H334" s="250" t="b">
        <f t="shared" si="3"/>
        <v>0</v>
      </c>
      <c r="I334" s="219" cm="1">
        <f t="array" aca="1" ref="I334" ca="1">IF(G334&lt;=B$3,(1-((1-INDEX(I$12:I$15,B334))^(G334-1))),(1-((1-INDEX(I$12:I$15,B334))^(B$3-1)))) * H334</f>
        <v>0</v>
      </c>
      <c r="J334" s="219" cm="1">
        <f t="array" aca="1" ref="J334" ca="1">_xlfn.LET(_xlpm.númerotermospg,MIN(B$3,G334),_xlpm.razão,1-INDEX(_xlfn.ANCHORARRAY(I$12),B334),_xlpm.somatermospg,((_xlpm.razão^_xlpm.númerotermospg)-1)/(_xlpm.razão-1),_xlpm.númerotermosconstantes,IF(G334&lt;=B$3,0,G334-B$3),_xlpm.somatermosconstantes,(1-I334)*_xlpm.númerotermosconstantes,_xlpm.somatodostermos,_xlpm.somatermospg+_xlpm.somatermosconstantes,_xlpm.médiatodosostermos,_xlpm.somatodostermos/G334,1 - _xlpm.médiatodosostermos) * H334</f>
        <v>0</v>
      </c>
      <c r="K334" s="110">
        <f ca="1"/>
        <v>0</v>
      </c>
    </row>
    <row r="335" spans="2:11">
      <c r="B335" s="345">
        <v>4</v>
      </c>
      <c r="C335" s="267" t="str">
        <f>'Painel Controle'!C$115</f>
        <v>Veículos Comerciais com 5 Eixos Articulado</v>
      </c>
      <c r="D335" s="481" t="str">
        <f>INDEX('Painel Controle'!D$110:D$121,MATCH(C335,'Painel Controle'!C$110:C$121,0))</f>
        <v>Pesados II</v>
      </c>
      <c r="E335" s="177" t="s">
        <v>598</v>
      </c>
      <c r="F335" s="110" cm="1">
        <f t="array" ref="F335">_xlfn._xlws.FILTER(E$34:E$81,(B$34:B$81 = B335) * (LEFT(C$34:C$81,5) = LEFT(D335,5)) * (D$34:D$81 = E335))</f>
        <v>1.2999999999999999E-2</v>
      </c>
      <c r="G335" s="565" cm="1">
        <f t="array" ref="G335">_xlfn._xlws.FILTER(F$34:F$81,(B$34:B$81 = B335) * (LEFT(C$34:C$81,5) = LEFT(D335,5)) * (D$34:D$81 = E335))</f>
        <v>1</v>
      </c>
      <c r="H335" s="250" t="b">
        <f t="shared" si="3"/>
        <v>0</v>
      </c>
      <c r="I335" s="219" cm="1">
        <f t="array" aca="1" ref="I335" ca="1">IF(G335&lt;=B$3,(1-((1-INDEX(I$12:I$15,B335))^(G335-1))),(1-((1-INDEX(I$12:I$15,B335))^(B$3-1)))) * H335</f>
        <v>0</v>
      </c>
      <c r="J335" s="219" cm="1">
        <f t="array" aca="1" ref="J335" ca="1">_xlfn.LET(_xlpm.númerotermospg,MIN(B$3,G335),_xlpm.razão,1-INDEX(_xlfn.ANCHORARRAY(I$12),B335),_xlpm.somatermospg,((_xlpm.razão^_xlpm.númerotermospg)-1)/(_xlpm.razão-1),_xlpm.númerotermosconstantes,IF(G335&lt;=B$3,0,G335-B$3),_xlpm.somatermosconstantes,(1-I335)*_xlpm.númerotermosconstantes,_xlpm.somatodostermos,_xlpm.somatermospg+_xlpm.somatermosconstantes,_xlpm.médiatodosostermos,_xlpm.somatodostermos/G335,1 - _xlpm.médiatodosostermos) * H335</f>
        <v>0</v>
      </c>
      <c r="K335" s="110">
        <f ca="1"/>
        <v>0</v>
      </c>
    </row>
    <row r="336" spans="2:11">
      <c r="B336" s="345">
        <v>4</v>
      </c>
      <c r="C336" s="267" t="str">
        <f>'Painel Controle'!C$115</f>
        <v>Veículos Comerciais com 5 Eixos Articulado</v>
      </c>
      <c r="D336" s="481" t="str">
        <f>INDEX('Painel Controle'!D$110:D$121,MATCH(C336,'Painel Controle'!C$110:C$121,0))</f>
        <v>Pesados II</v>
      </c>
      <c r="E336" s="177" t="s">
        <v>599</v>
      </c>
      <c r="F336" s="110" cm="1">
        <f t="array" ref="F336">_xlfn._xlws.FILTER(E$34:E$81,(B$34:B$81 = B336) * (LEFT(C$34:C$81,5) = LEFT(D336,5)) * (D$34:D$81 = E336))</f>
        <v>0.26800000000000002</v>
      </c>
      <c r="G336" s="565" cm="1">
        <f t="array" ref="G336">_xlfn._xlws.FILTER(F$34:F$81,(B$34:B$81 = B336) * (LEFT(C$34:C$81,5) = LEFT(D336,5)) * (D$34:D$81 = E336))</f>
        <v>1</v>
      </c>
      <c r="H336" s="250" t="b">
        <f t="shared" si="3"/>
        <v>0</v>
      </c>
      <c r="I336" s="219" cm="1">
        <f t="array" aca="1" ref="I336" ca="1">IF(G336&lt;=B$3,(1-((1-INDEX(I$12:I$15,B336))^(G336-1))),(1-((1-INDEX(I$12:I$15,B336))^(B$3-1)))) * H336</f>
        <v>0</v>
      </c>
      <c r="J336" s="219" cm="1">
        <f t="array" aca="1" ref="J336" ca="1">_xlfn.LET(_xlpm.númerotermospg,MIN(B$3,G336),_xlpm.razão,1-INDEX(_xlfn.ANCHORARRAY(I$12),B336),_xlpm.somatermospg,((_xlpm.razão^_xlpm.númerotermospg)-1)/(_xlpm.razão-1),_xlpm.númerotermosconstantes,IF(G336&lt;=B$3,0,G336-B$3),_xlpm.somatermosconstantes,(1-I336)*_xlpm.númerotermosconstantes,_xlpm.somatodostermos,_xlpm.somatermospg+_xlpm.somatermosconstantes,_xlpm.médiatodosostermos,_xlpm.somatodostermos/G336,1 - _xlpm.médiatodosostermos) * H336</f>
        <v>0</v>
      </c>
      <c r="K336" s="110">
        <f ca="1"/>
        <v>0</v>
      </c>
    </row>
    <row r="337" spans="2:11">
      <c r="B337" s="345">
        <v>4</v>
      </c>
      <c r="C337" s="267" t="str">
        <f>'Painel Controle'!C$115</f>
        <v>Veículos Comerciais com 5 Eixos Articulado</v>
      </c>
      <c r="D337" s="481" t="str">
        <f>INDEX('Painel Controle'!D$110:D$121,MATCH(C337,'Painel Controle'!C$110:C$121,0))</f>
        <v>Pesados II</v>
      </c>
      <c r="E337" s="177" t="s">
        <v>600</v>
      </c>
      <c r="F337" s="110" cm="1">
        <f t="array" ref="F337">_xlfn._xlws.FILTER(E$34:E$81,(B$34:B$81 = B337) * (LEFT(C$34:C$81,5) = LEFT(D337,5)) * (D$34:D$81 = E337))</f>
        <v>0.04</v>
      </c>
      <c r="G337" s="565" cm="1">
        <f t="array" ref="G337">_xlfn._xlws.FILTER(F$34:F$81,(B$34:B$81 = B337) * (LEFT(C$34:C$81,5) = LEFT(D337,5)) * (D$34:D$81 = E337))</f>
        <v>1</v>
      </c>
      <c r="H337" s="250" t="b">
        <f t="shared" si="3"/>
        <v>0</v>
      </c>
      <c r="I337" s="219" cm="1">
        <f t="array" aca="1" ref="I337" ca="1">IF(G337&lt;=B$3,(1-((1-INDEX(I$12:I$15,B337))^(G337-1))),(1-((1-INDEX(I$12:I$15,B337))^(B$3-1)))) * H337</f>
        <v>0</v>
      </c>
      <c r="J337" s="219" cm="1">
        <f t="array" aca="1" ref="J337" ca="1">_xlfn.LET(_xlpm.númerotermospg,MIN(B$3,G337),_xlpm.razão,1-INDEX(_xlfn.ANCHORARRAY(I$12),B337),_xlpm.somatermospg,((_xlpm.razão^_xlpm.númerotermospg)-1)/(_xlpm.razão-1),_xlpm.númerotermosconstantes,IF(G337&lt;=B$3,0,G337-B$3),_xlpm.somatermosconstantes,(1-I337)*_xlpm.númerotermosconstantes,_xlpm.somatodostermos,_xlpm.somatermospg+_xlpm.somatermosconstantes,_xlpm.médiatodosostermos,_xlpm.somatodostermos/G337,1 - _xlpm.médiatodosostermos) * H337</f>
        <v>0</v>
      </c>
      <c r="K337" s="110">
        <f ca="1"/>
        <v>0</v>
      </c>
    </row>
    <row r="338" spans="2:11">
      <c r="B338" s="345">
        <v>4</v>
      </c>
      <c r="C338" s="267" t="str">
        <f>'Painel Controle'!C$116</f>
        <v>Veículos Comerciais com 6 Eixos Articulado</v>
      </c>
      <c r="D338" s="481" t="str">
        <f>INDEX('Painel Controle'!D$110:D$121,MATCH(C338,'Painel Controle'!C$110:C$121,0))</f>
        <v>Pesados II</v>
      </c>
      <c r="E338" s="177" t="s">
        <v>595</v>
      </c>
      <c r="F338" s="110" cm="1">
        <f t="array" ref="F338">_xlfn._xlws.FILTER(E$34:E$81,(B$34:B$81 = B338) * (LEFT(C$34:C$81,5) = LEFT(D338,5)) * (D$34:D$81 = E338))</f>
        <v>0.14599999999999999</v>
      </c>
      <c r="G338" s="565" cm="1">
        <f t="array" ref="G338">_xlfn._xlws.FILTER(F$34:F$81,(B$34:B$81 = B338) * (LEFT(C$34:C$81,5) = LEFT(D338,5)) * (D$34:D$81 = E338))</f>
        <v>20</v>
      </c>
      <c r="H338" s="250" t="b">
        <f t="shared" si="3"/>
        <v>0</v>
      </c>
      <c r="I338" s="219" cm="1">
        <f t="array" aca="1" ref="I338" ca="1">IF(G338&lt;=B$3,(1-((1-INDEX(I$12:I$15,B338))^(G338-1))),(1-((1-INDEX(I$12:I$15,B338))^(B$3-1)))) * H338</f>
        <v>0</v>
      </c>
      <c r="J338" s="219" cm="1">
        <f t="array" aca="1" ref="J338" ca="1">_xlfn.LET(_xlpm.númerotermospg,MIN(B$3,G338),_xlpm.razão,1-INDEX(_xlfn.ANCHORARRAY(I$12),B338),_xlpm.somatermospg,((_xlpm.razão^_xlpm.númerotermospg)-1)/(_xlpm.razão-1),_xlpm.númerotermosconstantes,IF(G338&lt;=B$3,0,G338-B$3),_xlpm.somatermosconstantes,(1-I338)*_xlpm.númerotermosconstantes,_xlpm.somatodostermos,_xlpm.somatermospg+_xlpm.somatermosconstantes,_xlpm.médiatodosostermos,_xlpm.somatodostermos/G338,1 - _xlpm.médiatodosostermos) * H338</f>
        <v>0</v>
      </c>
      <c r="K338" s="110">
        <f ca="1"/>
        <v>0</v>
      </c>
    </row>
    <row r="339" spans="2:11">
      <c r="B339" s="345">
        <v>4</v>
      </c>
      <c r="C339" s="267" t="str">
        <f>'Painel Controle'!C$116</f>
        <v>Veículos Comerciais com 6 Eixos Articulado</v>
      </c>
      <c r="D339" s="481" t="str">
        <f>INDEX('Painel Controle'!D$110:D$121,MATCH(C339,'Painel Controle'!C$110:C$121,0))</f>
        <v>Pesados II</v>
      </c>
      <c r="E339" s="177" t="s">
        <v>596</v>
      </c>
      <c r="F339" s="110" cm="1">
        <f t="array" ref="F339">_xlfn._xlws.FILTER(E$34:E$81,(B$34:B$81 = B339) * (LEFT(C$34:C$81,5) = LEFT(D339,5)) * (D$34:D$81 = E339))</f>
        <v>0.35799999999999998</v>
      </c>
      <c r="G339" s="565" cm="1">
        <f t="array" ref="G339">_xlfn._xlws.FILTER(F$34:F$81,(B$34:B$81 = B339) * (LEFT(C$34:C$81,5) = LEFT(D339,5)) * (D$34:D$81 = E339))</f>
        <v>4</v>
      </c>
      <c r="H339" s="250" t="b">
        <f t="shared" si="3"/>
        <v>0</v>
      </c>
      <c r="I339" s="219" cm="1">
        <f t="array" aca="1" ref="I339" ca="1">IF(G339&lt;=B$3,(1-((1-INDEX(I$12:I$15,B339))^(G339-1))),(1-((1-INDEX(I$12:I$15,B339))^(B$3-1)))) * H339</f>
        <v>0</v>
      </c>
      <c r="J339" s="219" cm="1">
        <f t="array" aca="1" ref="J339" ca="1">_xlfn.LET(_xlpm.númerotermospg,MIN(B$3,G339),_xlpm.razão,1-INDEX(_xlfn.ANCHORARRAY(I$12),B339),_xlpm.somatermospg,((_xlpm.razão^_xlpm.númerotermospg)-1)/(_xlpm.razão-1),_xlpm.númerotermosconstantes,IF(G339&lt;=B$3,0,G339-B$3),_xlpm.somatermosconstantes,(1-I339)*_xlpm.númerotermosconstantes,_xlpm.somatodostermos,_xlpm.somatermospg+_xlpm.somatermosconstantes,_xlpm.médiatodosostermos,_xlpm.somatodostermos/G339,1 - _xlpm.médiatodosostermos) * H339</f>
        <v>0</v>
      </c>
      <c r="K339" s="110">
        <f ca="1"/>
        <v>0</v>
      </c>
    </row>
    <row r="340" spans="2:11">
      <c r="B340" s="345">
        <v>4</v>
      </c>
      <c r="C340" s="267" t="str">
        <f>'Painel Controle'!C$116</f>
        <v>Veículos Comerciais com 6 Eixos Articulado</v>
      </c>
      <c r="D340" s="481" t="str">
        <f>INDEX('Painel Controle'!D$110:D$121,MATCH(C340,'Painel Controle'!C$110:C$121,0))</f>
        <v>Pesados II</v>
      </c>
      <c r="E340" s="177" t="s">
        <v>597</v>
      </c>
      <c r="F340" s="110" cm="1">
        <f t="array" ref="F340">_xlfn._xlws.FILTER(E$34:E$81,(B$34:B$81 = B340) * (LEFT(C$34:C$81,5) = LEFT(D340,5)) * (D$34:D$81 = E340))</f>
        <v>0.17499999999999999</v>
      </c>
      <c r="G340" s="565" cm="1">
        <f t="array" ref="G340">_xlfn._xlws.FILTER(F$34:F$81,(B$34:B$81 = B340) * (LEFT(C$34:C$81,5) = LEFT(D340,5)) * (D$34:D$81 = E340))</f>
        <v>2</v>
      </c>
      <c r="H340" s="250" t="b">
        <f t="shared" si="3"/>
        <v>0</v>
      </c>
      <c r="I340" s="219" cm="1">
        <f t="array" aca="1" ref="I340" ca="1">IF(G340&lt;=B$3,(1-((1-INDEX(I$12:I$15,B340))^(G340-1))),(1-((1-INDEX(I$12:I$15,B340))^(B$3-1)))) * H340</f>
        <v>0</v>
      </c>
      <c r="J340" s="219" cm="1">
        <f t="array" aca="1" ref="J340" ca="1">_xlfn.LET(_xlpm.númerotermospg,MIN(B$3,G340),_xlpm.razão,1-INDEX(_xlfn.ANCHORARRAY(I$12),B340),_xlpm.somatermospg,((_xlpm.razão^_xlpm.númerotermospg)-1)/(_xlpm.razão-1),_xlpm.númerotermosconstantes,IF(G340&lt;=B$3,0,G340-B$3),_xlpm.somatermosconstantes,(1-I340)*_xlpm.númerotermosconstantes,_xlpm.somatodostermos,_xlpm.somatermospg+_xlpm.somatermosconstantes,_xlpm.médiatodosostermos,_xlpm.somatodostermos/G340,1 - _xlpm.médiatodosostermos) * H340</f>
        <v>0</v>
      </c>
      <c r="K340" s="110">
        <f ca="1"/>
        <v>0</v>
      </c>
    </row>
    <row r="341" spans="2:11">
      <c r="B341" s="345">
        <v>4</v>
      </c>
      <c r="C341" s="267" t="str">
        <f>'Painel Controle'!C$116</f>
        <v>Veículos Comerciais com 6 Eixos Articulado</v>
      </c>
      <c r="D341" s="481" t="str">
        <f>INDEX('Painel Controle'!D$110:D$121,MATCH(C341,'Painel Controle'!C$110:C$121,0))</f>
        <v>Pesados II</v>
      </c>
      <c r="E341" s="177" t="s">
        <v>598</v>
      </c>
      <c r="F341" s="110" cm="1">
        <f t="array" ref="F341">_xlfn._xlws.FILTER(E$34:E$81,(B$34:B$81 = B341) * (LEFT(C$34:C$81,5) = LEFT(D341,5)) * (D$34:D$81 = E341))</f>
        <v>1.2999999999999999E-2</v>
      </c>
      <c r="G341" s="565" cm="1">
        <f t="array" ref="G341">_xlfn._xlws.FILTER(F$34:F$81,(B$34:B$81 = B341) * (LEFT(C$34:C$81,5) = LEFT(D341,5)) * (D$34:D$81 = E341))</f>
        <v>1</v>
      </c>
      <c r="H341" s="250" t="b">
        <f t="shared" si="3"/>
        <v>0</v>
      </c>
      <c r="I341" s="219" cm="1">
        <f t="array" aca="1" ref="I341" ca="1">IF(G341&lt;=B$3,(1-((1-INDEX(I$12:I$15,B341))^(G341-1))),(1-((1-INDEX(I$12:I$15,B341))^(B$3-1)))) * H341</f>
        <v>0</v>
      </c>
      <c r="J341" s="219" cm="1">
        <f t="array" aca="1" ref="J341" ca="1">_xlfn.LET(_xlpm.númerotermospg,MIN(B$3,G341),_xlpm.razão,1-INDEX(_xlfn.ANCHORARRAY(I$12),B341),_xlpm.somatermospg,((_xlpm.razão^_xlpm.númerotermospg)-1)/(_xlpm.razão-1),_xlpm.númerotermosconstantes,IF(G341&lt;=B$3,0,G341-B$3),_xlpm.somatermosconstantes,(1-I341)*_xlpm.númerotermosconstantes,_xlpm.somatodostermos,_xlpm.somatermospg+_xlpm.somatermosconstantes,_xlpm.médiatodosostermos,_xlpm.somatodostermos/G341,1 - _xlpm.médiatodosostermos) * H341</f>
        <v>0</v>
      </c>
      <c r="K341" s="110">
        <f ca="1"/>
        <v>0</v>
      </c>
    </row>
    <row r="342" spans="2:11">
      <c r="B342" s="345">
        <v>4</v>
      </c>
      <c r="C342" s="267" t="str">
        <f>'Painel Controle'!C$116</f>
        <v>Veículos Comerciais com 6 Eixos Articulado</v>
      </c>
      <c r="D342" s="481" t="str">
        <f>INDEX('Painel Controle'!D$110:D$121,MATCH(C342,'Painel Controle'!C$110:C$121,0))</f>
        <v>Pesados II</v>
      </c>
      <c r="E342" s="177" t="s">
        <v>599</v>
      </c>
      <c r="F342" s="110" cm="1">
        <f t="array" ref="F342">_xlfn._xlws.FILTER(E$34:E$81,(B$34:B$81 = B342) * (LEFT(C$34:C$81,5) = LEFT(D342,5)) * (D$34:D$81 = E342))</f>
        <v>0.26800000000000002</v>
      </c>
      <c r="G342" s="565" cm="1">
        <f t="array" ref="G342">_xlfn._xlws.FILTER(F$34:F$81,(B$34:B$81 = B342) * (LEFT(C$34:C$81,5) = LEFT(D342,5)) * (D$34:D$81 = E342))</f>
        <v>1</v>
      </c>
      <c r="H342" s="250" t="b">
        <f t="shared" si="3"/>
        <v>0</v>
      </c>
      <c r="I342" s="219" cm="1">
        <f t="array" aca="1" ref="I342" ca="1">IF(G342&lt;=B$3,(1-((1-INDEX(I$12:I$15,B342))^(G342-1))),(1-((1-INDEX(I$12:I$15,B342))^(B$3-1)))) * H342</f>
        <v>0</v>
      </c>
      <c r="J342" s="219" cm="1">
        <f t="array" aca="1" ref="J342" ca="1">_xlfn.LET(_xlpm.númerotermospg,MIN(B$3,G342),_xlpm.razão,1-INDEX(_xlfn.ANCHORARRAY(I$12),B342),_xlpm.somatermospg,((_xlpm.razão^_xlpm.númerotermospg)-1)/(_xlpm.razão-1),_xlpm.númerotermosconstantes,IF(G342&lt;=B$3,0,G342-B$3),_xlpm.somatermosconstantes,(1-I342)*_xlpm.númerotermosconstantes,_xlpm.somatodostermos,_xlpm.somatermospg+_xlpm.somatermosconstantes,_xlpm.médiatodosostermos,_xlpm.somatodostermos/G342,1 - _xlpm.médiatodosostermos) * H342</f>
        <v>0</v>
      </c>
      <c r="K342" s="110">
        <f ca="1"/>
        <v>0</v>
      </c>
    </row>
    <row r="343" spans="2:11">
      <c r="B343" s="345">
        <v>4</v>
      </c>
      <c r="C343" s="267" t="str">
        <f>'Painel Controle'!C$116</f>
        <v>Veículos Comerciais com 6 Eixos Articulado</v>
      </c>
      <c r="D343" s="481" t="str">
        <f>INDEX('Painel Controle'!D$110:D$121,MATCH(C343,'Painel Controle'!C$110:C$121,0))</f>
        <v>Pesados II</v>
      </c>
      <c r="E343" s="177" t="s">
        <v>600</v>
      </c>
      <c r="F343" s="110" cm="1">
        <f t="array" ref="F343">_xlfn._xlws.FILTER(E$34:E$81,(B$34:B$81 = B343) * (LEFT(C$34:C$81,5) = LEFT(D343,5)) * (D$34:D$81 = E343))</f>
        <v>0.04</v>
      </c>
      <c r="G343" s="565" cm="1">
        <f t="array" ref="G343">_xlfn._xlws.FILTER(F$34:F$81,(B$34:B$81 = B343) * (LEFT(C$34:C$81,5) = LEFT(D343,5)) * (D$34:D$81 = E343))</f>
        <v>1</v>
      </c>
      <c r="H343" s="250" t="b">
        <f t="shared" ref="H343:H373" si="4">OR(C343="Automóvel",C343="Motocicleta")</f>
        <v>0</v>
      </c>
      <c r="I343" s="219" cm="1">
        <f t="array" aca="1" ref="I343" ca="1">IF(G343&lt;=B$3,(1-((1-INDEX(I$12:I$15,B343))^(G343-1))),(1-((1-INDEX(I$12:I$15,B343))^(B$3-1)))) * H343</f>
        <v>0</v>
      </c>
      <c r="J343" s="219" cm="1">
        <f t="array" aca="1" ref="J343" ca="1">_xlfn.LET(_xlpm.númerotermospg,MIN(B$3,G343),_xlpm.razão,1-INDEX(_xlfn.ANCHORARRAY(I$12),B343),_xlpm.somatermospg,((_xlpm.razão^_xlpm.númerotermospg)-1)/(_xlpm.razão-1),_xlpm.númerotermosconstantes,IF(G343&lt;=B$3,0,G343-B$3),_xlpm.somatermosconstantes,(1-I343)*_xlpm.númerotermosconstantes,_xlpm.somatodostermos,_xlpm.somatermospg+_xlpm.somatermosconstantes,_xlpm.médiatodosostermos,_xlpm.somatodostermos/G343,1 - _xlpm.médiatodosostermos) * H343</f>
        <v>0</v>
      </c>
      <c r="K343" s="110">
        <f ca="1"/>
        <v>0</v>
      </c>
    </row>
    <row r="344" spans="2:11">
      <c r="B344" s="345">
        <v>4</v>
      </c>
      <c r="C344" s="267" t="str">
        <f>'Painel Controle'!C$117</f>
        <v>Veículos Comerciais com 7 Eixos Articulado</v>
      </c>
      <c r="D344" s="481" t="str">
        <f>INDEX('Painel Controle'!D$110:D$121,MATCH(C344,'Painel Controle'!C$110:C$121,0))</f>
        <v>Pesados II</v>
      </c>
      <c r="E344" s="177" t="s">
        <v>595</v>
      </c>
      <c r="F344" s="110" cm="1">
        <f t="array" ref="F344">_xlfn._xlws.FILTER(E$34:E$81,(B$34:B$81 = B344) * (LEFT(C$34:C$81,5) = LEFT(D344,5)) * (D$34:D$81 = E344))</f>
        <v>0.14599999999999999</v>
      </c>
      <c r="G344" s="565" cm="1">
        <f t="array" ref="G344">_xlfn._xlws.FILTER(F$34:F$81,(B$34:B$81 = B344) * (LEFT(C$34:C$81,5) = LEFT(D344,5)) * (D$34:D$81 = E344))</f>
        <v>20</v>
      </c>
      <c r="H344" s="250" t="b">
        <f t="shared" si="4"/>
        <v>0</v>
      </c>
      <c r="I344" s="219" cm="1">
        <f t="array" aca="1" ref="I344" ca="1">IF(G344&lt;=B$3,(1-((1-INDEX(I$12:I$15,B344))^(G344-1))),(1-((1-INDEX(I$12:I$15,B344))^(B$3-1)))) * H344</f>
        <v>0</v>
      </c>
      <c r="J344" s="219" cm="1">
        <f t="array" aca="1" ref="J344" ca="1">_xlfn.LET(_xlpm.númerotermospg,MIN(B$3,G344),_xlpm.razão,1-INDEX(_xlfn.ANCHORARRAY(I$12),B344),_xlpm.somatermospg,((_xlpm.razão^_xlpm.númerotermospg)-1)/(_xlpm.razão-1),_xlpm.númerotermosconstantes,IF(G344&lt;=B$3,0,G344-B$3),_xlpm.somatermosconstantes,(1-I344)*_xlpm.númerotermosconstantes,_xlpm.somatodostermos,_xlpm.somatermospg+_xlpm.somatermosconstantes,_xlpm.médiatodosostermos,_xlpm.somatodostermos/G344,1 - _xlpm.médiatodosostermos) * H344</f>
        <v>0</v>
      </c>
      <c r="K344" s="110">
        <f ca="1"/>
        <v>0</v>
      </c>
    </row>
    <row r="345" spans="2:11">
      <c r="B345" s="345">
        <v>4</v>
      </c>
      <c r="C345" s="267" t="str">
        <f>'Painel Controle'!C$117</f>
        <v>Veículos Comerciais com 7 Eixos Articulado</v>
      </c>
      <c r="D345" s="481" t="str">
        <f>INDEX('Painel Controle'!D$110:D$121,MATCH(C345,'Painel Controle'!C$110:C$121,0))</f>
        <v>Pesados II</v>
      </c>
      <c r="E345" s="177" t="s">
        <v>596</v>
      </c>
      <c r="F345" s="110" cm="1">
        <f t="array" ref="F345">_xlfn._xlws.FILTER(E$34:E$81,(B$34:B$81 = B345) * (LEFT(C$34:C$81,5) = LEFT(D345,5)) * (D$34:D$81 = E345))</f>
        <v>0.35799999999999998</v>
      </c>
      <c r="G345" s="565" cm="1">
        <f t="array" ref="G345">_xlfn._xlws.FILTER(F$34:F$81,(B$34:B$81 = B345) * (LEFT(C$34:C$81,5) = LEFT(D345,5)) * (D$34:D$81 = E345))</f>
        <v>4</v>
      </c>
      <c r="H345" s="250" t="b">
        <f t="shared" si="4"/>
        <v>0</v>
      </c>
      <c r="I345" s="219" cm="1">
        <f t="array" aca="1" ref="I345" ca="1">IF(G345&lt;=B$3,(1-((1-INDEX(I$12:I$15,B345))^(G345-1))),(1-((1-INDEX(I$12:I$15,B345))^(B$3-1)))) * H345</f>
        <v>0</v>
      </c>
      <c r="J345" s="219" cm="1">
        <f t="array" aca="1" ref="J345" ca="1">_xlfn.LET(_xlpm.númerotermospg,MIN(B$3,G345),_xlpm.razão,1-INDEX(_xlfn.ANCHORARRAY(I$12),B345),_xlpm.somatermospg,((_xlpm.razão^_xlpm.númerotermospg)-1)/(_xlpm.razão-1),_xlpm.númerotermosconstantes,IF(G345&lt;=B$3,0,G345-B$3),_xlpm.somatermosconstantes,(1-I345)*_xlpm.númerotermosconstantes,_xlpm.somatodostermos,_xlpm.somatermospg+_xlpm.somatermosconstantes,_xlpm.médiatodosostermos,_xlpm.somatodostermos/G345,1 - _xlpm.médiatodosostermos) * H345</f>
        <v>0</v>
      </c>
      <c r="K345" s="110">
        <f ca="1"/>
        <v>0</v>
      </c>
    </row>
    <row r="346" spans="2:11">
      <c r="B346" s="345">
        <v>4</v>
      </c>
      <c r="C346" s="267" t="str">
        <f>'Painel Controle'!C$117</f>
        <v>Veículos Comerciais com 7 Eixos Articulado</v>
      </c>
      <c r="D346" s="481" t="str">
        <f>INDEX('Painel Controle'!D$110:D$121,MATCH(C346,'Painel Controle'!C$110:C$121,0))</f>
        <v>Pesados II</v>
      </c>
      <c r="E346" s="177" t="s">
        <v>597</v>
      </c>
      <c r="F346" s="110" cm="1">
        <f t="array" ref="F346">_xlfn._xlws.FILTER(E$34:E$81,(B$34:B$81 = B346) * (LEFT(C$34:C$81,5) = LEFT(D346,5)) * (D$34:D$81 = E346))</f>
        <v>0.17499999999999999</v>
      </c>
      <c r="G346" s="565" cm="1">
        <f t="array" ref="G346">_xlfn._xlws.FILTER(F$34:F$81,(B$34:B$81 = B346) * (LEFT(C$34:C$81,5) = LEFT(D346,5)) * (D$34:D$81 = E346))</f>
        <v>2</v>
      </c>
      <c r="H346" s="250" t="b">
        <f t="shared" si="4"/>
        <v>0</v>
      </c>
      <c r="I346" s="219" cm="1">
        <f t="array" aca="1" ref="I346" ca="1">IF(G346&lt;=B$3,(1-((1-INDEX(I$12:I$15,B346))^(G346-1))),(1-((1-INDEX(I$12:I$15,B346))^(B$3-1)))) * H346</f>
        <v>0</v>
      </c>
      <c r="J346" s="219" cm="1">
        <f t="array" aca="1" ref="J346" ca="1">_xlfn.LET(_xlpm.númerotermospg,MIN(B$3,G346),_xlpm.razão,1-INDEX(_xlfn.ANCHORARRAY(I$12),B346),_xlpm.somatermospg,((_xlpm.razão^_xlpm.númerotermospg)-1)/(_xlpm.razão-1),_xlpm.númerotermosconstantes,IF(G346&lt;=B$3,0,G346-B$3),_xlpm.somatermosconstantes,(1-I346)*_xlpm.númerotermosconstantes,_xlpm.somatodostermos,_xlpm.somatermospg+_xlpm.somatermosconstantes,_xlpm.médiatodosostermos,_xlpm.somatodostermos/G346,1 - _xlpm.médiatodosostermos) * H346</f>
        <v>0</v>
      </c>
      <c r="K346" s="110">
        <f ca="1"/>
        <v>0</v>
      </c>
    </row>
    <row r="347" spans="2:11">
      <c r="B347" s="345">
        <v>4</v>
      </c>
      <c r="C347" s="267" t="str">
        <f>'Painel Controle'!C$117</f>
        <v>Veículos Comerciais com 7 Eixos Articulado</v>
      </c>
      <c r="D347" s="481" t="str">
        <f>INDEX('Painel Controle'!D$110:D$121,MATCH(C347,'Painel Controle'!C$110:C$121,0))</f>
        <v>Pesados II</v>
      </c>
      <c r="E347" s="177" t="s">
        <v>598</v>
      </c>
      <c r="F347" s="110" cm="1">
        <f t="array" ref="F347">_xlfn._xlws.FILTER(E$34:E$81,(B$34:B$81 = B347) * (LEFT(C$34:C$81,5) = LEFT(D347,5)) * (D$34:D$81 = E347))</f>
        <v>1.2999999999999999E-2</v>
      </c>
      <c r="G347" s="565" cm="1">
        <f t="array" ref="G347">_xlfn._xlws.FILTER(F$34:F$81,(B$34:B$81 = B347) * (LEFT(C$34:C$81,5) = LEFT(D347,5)) * (D$34:D$81 = E347))</f>
        <v>1</v>
      </c>
      <c r="H347" s="250" t="b">
        <f t="shared" si="4"/>
        <v>0</v>
      </c>
      <c r="I347" s="219" cm="1">
        <f t="array" aca="1" ref="I347" ca="1">IF(G347&lt;=B$3,(1-((1-INDEX(I$12:I$15,B347))^(G347-1))),(1-((1-INDEX(I$12:I$15,B347))^(B$3-1)))) * H347</f>
        <v>0</v>
      </c>
      <c r="J347" s="219" cm="1">
        <f t="array" aca="1" ref="J347" ca="1">_xlfn.LET(_xlpm.númerotermospg,MIN(B$3,G347),_xlpm.razão,1-INDEX(_xlfn.ANCHORARRAY(I$12),B347),_xlpm.somatermospg,((_xlpm.razão^_xlpm.númerotermospg)-1)/(_xlpm.razão-1),_xlpm.númerotermosconstantes,IF(G347&lt;=B$3,0,G347-B$3),_xlpm.somatermosconstantes,(1-I347)*_xlpm.númerotermosconstantes,_xlpm.somatodostermos,_xlpm.somatermospg+_xlpm.somatermosconstantes,_xlpm.médiatodosostermos,_xlpm.somatodostermos/G347,1 - _xlpm.médiatodosostermos) * H347</f>
        <v>0</v>
      </c>
      <c r="K347" s="110">
        <f ca="1"/>
        <v>0</v>
      </c>
    </row>
    <row r="348" spans="2:11">
      <c r="B348" s="345">
        <v>4</v>
      </c>
      <c r="C348" s="267" t="str">
        <f>'Painel Controle'!C$117</f>
        <v>Veículos Comerciais com 7 Eixos Articulado</v>
      </c>
      <c r="D348" s="481" t="str">
        <f>INDEX('Painel Controle'!D$110:D$121,MATCH(C348,'Painel Controle'!C$110:C$121,0))</f>
        <v>Pesados II</v>
      </c>
      <c r="E348" s="177" t="s">
        <v>599</v>
      </c>
      <c r="F348" s="110" cm="1">
        <f t="array" ref="F348">_xlfn._xlws.FILTER(E$34:E$81,(B$34:B$81 = B348) * (LEFT(C$34:C$81,5) = LEFT(D348,5)) * (D$34:D$81 = E348))</f>
        <v>0.26800000000000002</v>
      </c>
      <c r="G348" s="565" cm="1">
        <f t="array" ref="G348">_xlfn._xlws.FILTER(F$34:F$81,(B$34:B$81 = B348) * (LEFT(C$34:C$81,5) = LEFT(D348,5)) * (D$34:D$81 = E348))</f>
        <v>1</v>
      </c>
      <c r="H348" s="250" t="b">
        <f t="shared" si="4"/>
        <v>0</v>
      </c>
      <c r="I348" s="219" cm="1">
        <f t="array" aca="1" ref="I348" ca="1">IF(G348&lt;=B$3,(1-((1-INDEX(I$12:I$15,B348))^(G348-1))),(1-((1-INDEX(I$12:I$15,B348))^(B$3-1)))) * H348</f>
        <v>0</v>
      </c>
      <c r="J348" s="219" cm="1">
        <f t="array" aca="1" ref="J348" ca="1">_xlfn.LET(_xlpm.númerotermospg,MIN(B$3,G348),_xlpm.razão,1-INDEX(_xlfn.ANCHORARRAY(I$12),B348),_xlpm.somatermospg,((_xlpm.razão^_xlpm.númerotermospg)-1)/(_xlpm.razão-1),_xlpm.númerotermosconstantes,IF(G348&lt;=B$3,0,G348-B$3),_xlpm.somatermosconstantes,(1-I348)*_xlpm.númerotermosconstantes,_xlpm.somatodostermos,_xlpm.somatermospg+_xlpm.somatermosconstantes,_xlpm.médiatodosostermos,_xlpm.somatodostermos/G348,1 - _xlpm.médiatodosostermos) * H348</f>
        <v>0</v>
      </c>
      <c r="K348" s="110">
        <f ca="1"/>
        <v>0</v>
      </c>
    </row>
    <row r="349" spans="2:11">
      <c r="B349" s="345">
        <v>4</v>
      </c>
      <c r="C349" s="267" t="str">
        <f>'Painel Controle'!C$117</f>
        <v>Veículos Comerciais com 7 Eixos Articulado</v>
      </c>
      <c r="D349" s="481" t="str">
        <f>INDEX('Painel Controle'!D$110:D$121,MATCH(C349,'Painel Controle'!C$110:C$121,0))</f>
        <v>Pesados II</v>
      </c>
      <c r="E349" s="177" t="s">
        <v>600</v>
      </c>
      <c r="F349" s="110" cm="1">
        <f t="array" ref="F349">_xlfn._xlws.FILTER(E$34:E$81,(B$34:B$81 = B349) * (LEFT(C$34:C$81,5) = LEFT(D349,5)) * (D$34:D$81 = E349))</f>
        <v>0.04</v>
      </c>
      <c r="G349" s="565" cm="1">
        <f t="array" ref="G349">_xlfn._xlws.FILTER(F$34:F$81,(B$34:B$81 = B349) * (LEFT(C$34:C$81,5) = LEFT(D349,5)) * (D$34:D$81 = E349))</f>
        <v>1</v>
      </c>
      <c r="H349" s="250" t="b">
        <f t="shared" si="4"/>
        <v>0</v>
      </c>
      <c r="I349" s="219" cm="1">
        <f t="array" aca="1" ref="I349" ca="1">IF(G349&lt;=B$3,(1-((1-INDEX(I$12:I$15,B349))^(G349-1))),(1-((1-INDEX(I$12:I$15,B349))^(B$3-1)))) * H349</f>
        <v>0</v>
      </c>
      <c r="J349" s="219" cm="1">
        <f t="array" aca="1" ref="J349" ca="1">_xlfn.LET(_xlpm.númerotermospg,MIN(B$3,G349),_xlpm.razão,1-INDEX(_xlfn.ANCHORARRAY(I$12),B349),_xlpm.somatermospg,((_xlpm.razão^_xlpm.númerotermospg)-1)/(_xlpm.razão-1),_xlpm.númerotermosconstantes,IF(G349&lt;=B$3,0,G349-B$3),_xlpm.somatermosconstantes,(1-I349)*_xlpm.númerotermosconstantes,_xlpm.somatodostermos,_xlpm.somatermospg+_xlpm.somatermosconstantes,_xlpm.médiatodosostermos,_xlpm.somatodostermos/G349,1 - _xlpm.médiatodosostermos) * H349</f>
        <v>0</v>
      </c>
      <c r="K349" s="110">
        <f ca="1"/>
        <v>0</v>
      </c>
    </row>
    <row r="350" spans="2:11">
      <c r="B350" s="345">
        <v>4</v>
      </c>
      <c r="C350" s="267" t="str">
        <f>'Painel Controle'!C$118</f>
        <v>Veículos Comerciais com 8 Eixos Articulado</v>
      </c>
      <c r="D350" s="481" t="str">
        <f>INDEX('Painel Controle'!D$110:D$121,MATCH(C350,'Painel Controle'!C$110:C$121,0))</f>
        <v>Pesados II</v>
      </c>
      <c r="E350" s="177" t="s">
        <v>595</v>
      </c>
      <c r="F350" s="110" cm="1">
        <f t="array" ref="F350">_xlfn._xlws.FILTER(E$34:E$81,(B$34:B$81 = B350) * (LEFT(C$34:C$81,5) = LEFT(D350,5)) * (D$34:D$81 = E350))</f>
        <v>0.14599999999999999</v>
      </c>
      <c r="G350" s="565" cm="1">
        <f t="array" ref="G350">_xlfn._xlws.FILTER(F$34:F$81,(B$34:B$81 = B350) * (LEFT(C$34:C$81,5) = LEFT(D350,5)) * (D$34:D$81 = E350))</f>
        <v>20</v>
      </c>
      <c r="H350" s="250" t="b">
        <f t="shared" si="4"/>
        <v>0</v>
      </c>
      <c r="I350" s="219" cm="1">
        <f t="array" aca="1" ref="I350" ca="1">IF(G350&lt;=B$3,(1-((1-INDEX(I$12:I$15,B350))^(G350-1))),(1-((1-INDEX(I$12:I$15,B350))^(B$3-1)))) * H350</f>
        <v>0</v>
      </c>
      <c r="J350" s="219" cm="1">
        <f t="array" aca="1" ref="J350" ca="1">_xlfn.LET(_xlpm.númerotermospg,MIN(B$3,G350),_xlpm.razão,1-INDEX(_xlfn.ANCHORARRAY(I$12),B350),_xlpm.somatermospg,((_xlpm.razão^_xlpm.númerotermospg)-1)/(_xlpm.razão-1),_xlpm.númerotermosconstantes,IF(G350&lt;=B$3,0,G350-B$3),_xlpm.somatermosconstantes,(1-I350)*_xlpm.númerotermosconstantes,_xlpm.somatodostermos,_xlpm.somatermospg+_xlpm.somatermosconstantes,_xlpm.médiatodosostermos,_xlpm.somatodostermos/G350,1 - _xlpm.médiatodosostermos) * H350</f>
        <v>0</v>
      </c>
      <c r="K350" s="110">
        <f ca="1"/>
        <v>0</v>
      </c>
    </row>
    <row r="351" spans="2:11">
      <c r="B351" s="345">
        <v>4</v>
      </c>
      <c r="C351" s="267" t="str">
        <f>'Painel Controle'!C$118</f>
        <v>Veículos Comerciais com 8 Eixos Articulado</v>
      </c>
      <c r="D351" s="481" t="str">
        <f>INDEX('Painel Controle'!D$110:D$121,MATCH(C351,'Painel Controle'!C$110:C$121,0))</f>
        <v>Pesados II</v>
      </c>
      <c r="E351" s="177" t="s">
        <v>596</v>
      </c>
      <c r="F351" s="110" cm="1">
        <f t="array" ref="F351">_xlfn._xlws.FILTER(E$34:E$81,(B$34:B$81 = B351) * (LEFT(C$34:C$81,5) = LEFT(D351,5)) * (D$34:D$81 = E351))</f>
        <v>0.35799999999999998</v>
      </c>
      <c r="G351" s="565" cm="1">
        <f t="array" ref="G351">_xlfn._xlws.FILTER(F$34:F$81,(B$34:B$81 = B351) * (LEFT(C$34:C$81,5) = LEFT(D351,5)) * (D$34:D$81 = E351))</f>
        <v>4</v>
      </c>
      <c r="H351" s="250" t="b">
        <f t="shared" si="4"/>
        <v>0</v>
      </c>
      <c r="I351" s="219" cm="1">
        <f t="array" aca="1" ref="I351" ca="1">IF(G351&lt;=B$3,(1-((1-INDEX(I$12:I$15,B351))^(G351-1))),(1-((1-INDEX(I$12:I$15,B351))^(B$3-1)))) * H351</f>
        <v>0</v>
      </c>
      <c r="J351" s="219" cm="1">
        <f t="array" aca="1" ref="J351" ca="1">_xlfn.LET(_xlpm.númerotermospg,MIN(B$3,G351),_xlpm.razão,1-INDEX(_xlfn.ANCHORARRAY(I$12),B351),_xlpm.somatermospg,((_xlpm.razão^_xlpm.númerotermospg)-1)/(_xlpm.razão-1),_xlpm.númerotermosconstantes,IF(G351&lt;=B$3,0,G351-B$3),_xlpm.somatermosconstantes,(1-I351)*_xlpm.númerotermosconstantes,_xlpm.somatodostermos,_xlpm.somatermospg+_xlpm.somatermosconstantes,_xlpm.médiatodosostermos,_xlpm.somatodostermos/G351,1 - _xlpm.médiatodosostermos) * H351</f>
        <v>0</v>
      </c>
      <c r="K351" s="110">
        <f ca="1"/>
        <v>0</v>
      </c>
    </row>
    <row r="352" spans="2:11">
      <c r="B352" s="345">
        <v>4</v>
      </c>
      <c r="C352" s="267" t="str">
        <f>'Painel Controle'!C$118</f>
        <v>Veículos Comerciais com 8 Eixos Articulado</v>
      </c>
      <c r="D352" s="481" t="str">
        <f>INDEX('Painel Controle'!D$110:D$121,MATCH(C352,'Painel Controle'!C$110:C$121,0))</f>
        <v>Pesados II</v>
      </c>
      <c r="E352" s="177" t="s">
        <v>597</v>
      </c>
      <c r="F352" s="110" cm="1">
        <f t="array" ref="F352">_xlfn._xlws.FILTER(E$34:E$81,(B$34:B$81 = B352) * (LEFT(C$34:C$81,5) = LEFT(D352,5)) * (D$34:D$81 = E352))</f>
        <v>0.17499999999999999</v>
      </c>
      <c r="G352" s="565" cm="1">
        <f t="array" ref="G352">_xlfn._xlws.FILTER(F$34:F$81,(B$34:B$81 = B352) * (LEFT(C$34:C$81,5) = LEFT(D352,5)) * (D$34:D$81 = E352))</f>
        <v>2</v>
      </c>
      <c r="H352" s="250" t="b">
        <f t="shared" si="4"/>
        <v>0</v>
      </c>
      <c r="I352" s="219" cm="1">
        <f t="array" aca="1" ref="I352" ca="1">IF(G352&lt;=B$3,(1-((1-INDEX(I$12:I$15,B352))^(G352-1))),(1-((1-INDEX(I$12:I$15,B352))^(B$3-1)))) * H352</f>
        <v>0</v>
      </c>
      <c r="J352" s="219" cm="1">
        <f t="array" aca="1" ref="J352" ca="1">_xlfn.LET(_xlpm.númerotermospg,MIN(B$3,G352),_xlpm.razão,1-INDEX(_xlfn.ANCHORARRAY(I$12),B352),_xlpm.somatermospg,((_xlpm.razão^_xlpm.númerotermospg)-1)/(_xlpm.razão-1),_xlpm.númerotermosconstantes,IF(G352&lt;=B$3,0,G352-B$3),_xlpm.somatermosconstantes,(1-I352)*_xlpm.númerotermosconstantes,_xlpm.somatodostermos,_xlpm.somatermospg+_xlpm.somatermosconstantes,_xlpm.médiatodosostermos,_xlpm.somatodostermos/G352,1 - _xlpm.médiatodosostermos) * H352</f>
        <v>0</v>
      </c>
      <c r="K352" s="110">
        <f ca="1"/>
        <v>0</v>
      </c>
    </row>
    <row r="353" spans="2:11">
      <c r="B353" s="345">
        <v>4</v>
      </c>
      <c r="C353" s="267" t="str">
        <f>'Painel Controle'!C$118</f>
        <v>Veículos Comerciais com 8 Eixos Articulado</v>
      </c>
      <c r="D353" s="481" t="str">
        <f>INDEX('Painel Controle'!D$110:D$121,MATCH(C353,'Painel Controle'!C$110:C$121,0))</f>
        <v>Pesados II</v>
      </c>
      <c r="E353" s="177" t="s">
        <v>598</v>
      </c>
      <c r="F353" s="110" cm="1">
        <f t="array" ref="F353">_xlfn._xlws.FILTER(E$34:E$81,(B$34:B$81 = B353) * (LEFT(C$34:C$81,5) = LEFT(D353,5)) * (D$34:D$81 = E353))</f>
        <v>1.2999999999999999E-2</v>
      </c>
      <c r="G353" s="565" cm="1">
        <f t="array" ref="G353">_xlfn._xlws.FILTER(F$34:F$81,(B$34:B$81 = B353) * (LEFT(C$34:C$81,5) = LEFT(D353,5)) * (D$34:D$81 = E353))</f>
        <v>1</v>
      </c>
      <c r="H353" s="250" t="b">
        <f t="shared" si="4"/>
        <v>0</v>
      </c>
      <c r="I353" s="219" cm="1">
        <f t="array" aca="1" ref="I353" ca="1">IF(G353&lt;=B$3,(1-((1-INDEX(I$12:I$15,B353))^(G353-1))),(1-((1-INDEX(I$12:I$15,B353))^(B$3-1)))) * H353</f>
        <v>0</v>
      </c>
      <c r="J353" s="219" cm="1">
        <f t="array" aca="1" ref="J353" ca="1">_xlfn.LET(_xlpm.númerotermospg,MIN(B$3,G353),_xlpm.razão,1-INDEX(_xlfn.ANCHORARRAY(I$12),B353),_xlpm.somatermospg,((_xlpm.razão^_xlpm.númerotermospg)-1)/(_xlpm.razão-1),_xlpm.númerotermosconstantes,IF(G353&lt;=B$3,0,G353-B$3),_xlpm.somatermosconstantes,(1-I353)*_xlpm.númerotermosconstantes,_xlpm.somatodostermos,_xlpm.somatermospg+_xlpm.somatermosconstantes,_xlpm.médiatodosostermos,_xlpm.somatodostermos/G353,1 - _xlpm.médiatodosostermos) * H353</f>
        <v>0</v>
      </c>
      <c r="K353" s="110">
        <f ca="1"/>
        <v>0</v>
      </c>
    </row>
    <row r="354" spans="2:11">
      <c r="B354" s="345">
        <v>4</v>
      </c>
      <c r="C354" s="267" t="str">
        <f>'Painel Controle'!C$118</f>
        <v>Veículos Comerciais com 8 Eixos Articulado</v>
      </c>
      <c r="D354" s="481" t="str">
        <f>INDEX('Painel Controle'!D$110:D$121,MATCH(C354,'Painel Controle'!C$110:C$121,0))</f>
        <v>Pesados II</v>
      </c>
      <c r="E354" s="177" t="s">
        <v>599</v>
      </c>
      <c r="F354" s="110" cm="1">
        <f t="array" ref="F354">_xlfn._xlws.FILTER(E$34:E$81,(B$34:B$81 = B354) * (LEFT(C$34:C$81,5) = LEFT(D354,5)) * (D$34:D$81 = E354))</f>
        <v>0.26800000000000002</v>
      </c>
      <c r="G354" s="565" cm="1">
        <f t="array" ref="G354">_xlfn._xlws.FILTER(F$34:F$81,(B$34:B$81 = B354) * (LEFT(C$34:C$81,5) = LEFT(D354,5)) * (D$34:D$81 = E354))</f>
        <v>1</v>
      </c>
      <c r="H354" s="250" t="b">
        <f t="shared" si="4"/>
        <v>0</v>
      </c>
      <c r="I354" s="219" cm="1">
        <f t="array" aca="1" ref="I354" ca="1">IF(G354&lt;=B$3,(1-((1-INDEX(I$12:I$15,B354))^(G354-1))),(1-((1-INDEX(I$12:I$15,B354))^(B$3-1)))) * H354</f>
        <v>0</v>
      </c>
      <c r="J354" s="219" cm="1">
        <f t="array" aca="1" ref="J354" ca="1">_xlfn.LET(_xlpm.númerotermospg,MIN(B$3,G354),_xlpm.razão,1-INDEX(_xlfn.ANCHORARRAY(I$12),B354),_xlpm.somatermospg,((_xlpm.razão^_xlpm.númerotermospg)-1)/(_xlpm.razão-1),_xlpm.númerotermosconstantes,IF(G354&lt;=B$3,0,G354-B$3),_xlpm.somatermosconstantes,(1-I354)*_xlpm.númerotermosconstantes,_xlpm.somatodostermos,_xlpm.somatermospg+_xlpm.somatermosconstantes,_xlpm.médiatodosostermos,_xlpm.somatodostermos/G354,1 - _xlpm.médiatodosostermos) * H354</f>
        <v>0</v>
      </c>
      <c r="K354" s="110">
        <f ca="1"/>
        <v>0</v>
      </c>
    </row>
    <row r="355" spans="2:11">
      <c r="B355" s="345">
        <v>4</v>
      </c>
      <c r="C355" s="267" t="str">
        <f>'Painel Controle'!C$118</f>
        <v>Veículos Comerciais com 8 Eixos Articulado</v>
      </c>
      <c r="D355" s="481" t="str">
        <f>INDEX('Painel Controle'!D$110:D$121,MATCH(C355,'Painel Controle'!C$110:C$121,0))</f>
        <v>Pesados II</v>
      </c>
      <c r="E355" s="177" t="s">
        <v>600</v>
      </c>
      <c r="F355" s="110" cm="1">
        <f t="array" ref="F355">_xlfn._xlws.FILTER(E$34:E$81,(B$34:B$81 = B355) * (LEFT(C$34:C$81,5) = LEFT(D355,5)) * (D$34:D$81 = E355))</f>
        <v>0.04</v>
      </c>
      <c r="G355" s="565" cm="1">
        <f t="array" ref="G355">_xlfn._xlws.FILTER(F$34:F$81,(B$34:B$81 = B355) * (LEFT(C$34:C$81,5) = LEFT(D355,5)) * (D$34:D$81 = E355))</f>
        <v>1</v>
      </c>
      <c r="H355" s="250" t="b">
        <f t="shared" si="4"/>
        <v>0</v>
      </c>
      <c r="I355" s="219" cm="1">
        <f t="array" aca="1" ref="I355" ca="1">IF(G355&lt;=B$3,(1-((1-INDEX(I$12:I$15,B355))^(G355-1))),(1-((1-INDEX(I$12:I$15,B355))^(B$3-1)))) * H355</f>
        <v>0</v>
      </c>
      <c r="J355" s="219" cm="1">
        <f t="array" aca="1" ref="J355" ca="1">_xlfn.LET(_xlpm.númerotermospg,MIN(B$3,G355),_xlpm.razão,1-INDEX(_xlfn.ANCHORARRAY(I$12),B355),_xlpm.somatermospg,((_xlpm.razão^_xlpm.númerotermospg)-1)/(_xlpm.razão-1),_xlpm.númerotermosconstantes,IF(G355&lt;=B$3,0,G355-B$3),_xlpm.somatermosconstantes,(1-I355)*_xlpm.númerotermosconstantes,_xlpm.somatodostermos,_xlpm.somatermospg+_xlpm.somatermosconstantes,_xlpm.médiatodosostermos,_xlpm.somatodostermos/G355,1 - _xlpm.médiatodosostermos) * H355</f>
        <v>0</v>
      </c>
      <c r="K355" s="110">
        <f ca="1"/>
        <v>0</v>
      </c>
    </row>
    <row r="356" spans="2:11">
      <c r="B356" s="345">
        <v>4</v>
      </c>
      <c r="C356" s="267" t="str">
        <f>'Painel Controle'!C$119</f>
        <v>Veículos Comerciais com 9 Eixos Articulado</v>
      </c>
      <c r="D356" s="481" t="str">
        <f>INDEX('Painel Controle'!D$110:D$121,MATCH(C356,'Painel Controle'!C$110:C$121,0))</f>
        <v>Pesados II</v>
      </c>
      <c r="E356" s="177" t="s">
        <v>595</v>
      </c>
      <c r="F356" s="110" cm="1">
        <f t="array" ref="F356">_xlfn._xlws.FILTER(E$34:E$81,(B$34:B$81 = B356) * (LEFT(C$34:C$81,5) = LEFT(D356,5)) * (D$34:D$81 = E356))</f>
        <v>0.14599999999999999</v>
      </c>
      <c r="G356" s="565" cm="1">
        <f t="array" ref="G356">_xlfn._xlws.FILTER(F$34:F$81,(B$34:B$81 = B356) * (LEFT(C$34:C$81,5) = LEFT(D356,5)) * (D$34:D$81 = E356))</f>
        <v>20</v>
      </c>
      <c r="H356" s="250" t="b">
        <f t="shared" si="4"/>
        <v>0</v>
      </c>
      <c r="I356" s="219" cm="1">
        <f t="array" aca="1" ref="I356" ca="1">IF(G356&lt;=B$3,(1-((1-INDEX(I$12:I$15,B356))^(G356-1))),(1-((1-INDEX(I$12:I$15,B356))^(B$3-1)))) * H356</f>
        <v>0</v>
      </c>
      <c r="J356" s="219" cm="1">
        <f t="array" aca="1" ref="J356" ca="1">_xlfn.LET(_xlpm.númerotermospg,MIN(B$3,G356),_xlpm.razão,1-INDEX(_xlfn.ANCHORARRAY(I$12),B356),_xlpm.somatermospg,((_xlpm.razão^_xlpm.númerotermospg)-1)/(_xlpm.razão-1),_xlpm.númerotermosconstantes,IF(G356&lt;=B$3,0,G356-B$3),_xlpm.somatermosconstantes,(1-I356)*_xlpm.númerotermosconstantes,_xlpm.somatodostermos,_xlpm.somatermospg+_xlpm.somatermosconstantes,_xlpm.médiatodosostermos,_xlpm.somatodostermos/G356,1 - _xlpm.médiatodosostermos) * H356</f>
        <v>0</v>
      </c>
      <c r="K356" s="110">
        <f ca="1"/>
        <v>0</v>
      </c>
    </row>
    <row r="357" spans="2:11">
      <c r="B357" s="345">
        <v>4</v>
      </c>
      <c r="C357" s="267" t="str">
        <f>'Painel Controle'!C$119</f>
        <v>Veículos Comerciais com 9 Eixos Articulado</v>
      </c>
      <c r="D357" s="481" t="str">
        <f>INDEX('Painel Controle'!D$110:D$121,MATCH(C357,'Painel Controle'!C$110:C$121,0))</f>
        <v>Pesados II</v>
      </c>
      <c r="E357" s="177" t="s">
        <v>596</v>
      </c>
      <c r="F357" s="110" cm="1">
        <f t="array" ref="F357">_xlfn._xlws.FILTER(E$34:E$81,(B$34:B$81 = B357) * (LEFT(C$34:C$81,5) = LEFT(D357,5)) * (D$34:D$81 = E357))</f>
        <v>0.35799999999999998</v>
      </c>
      <c r="G357" s="565" cm="1">
        <f t="array" ref="G357">_xlfn._xlws.FILTER(F$34:F$81,(B$34:B$81 = B357) * (LEFT(C$34:C$81,5) = LEFT(D357,5)) * (D$34:D$81 = E357))</f>
        <v>4</v>
      </c>
      <c r="H357" s="250" t="b">
        <f t="shared" si="4"/>
        <v>0</v>
      </c>
      <c r="I357" s="219" cm="1">
        <f t="array" aca="1" ref="I357" ca="1">IF(G357&lt;=B$3,(1-((1-INDEX(I$12:I$15,B357))^(G357-1))),(1-((1-INDEX(I$12:I$15,B357))^(B$3-1)))) * H357</f>
        <v>0</v>
      </c>
      <c r="J357" s="219" cm="1">
        <f t="array" aca="1" ref="J357" ca="1">_xlfn.LET(_xlpm.númerotermospg,MIN(B$3,G357),_xlpm.razão,1-INDEX(_xlfn.ANCHORARRAY(I$12),B357),_xlpm.somatermospg,((_xlpm.razão^_xlpm.númerotermospg)-1)/(_xlpm.razão-1),_xlpm.númerotermosconstantes,IF(G357&lt;=B$3,0,G357-B$3),_xlpm.somatermosconstantes,(1-I357)*_xlpm.númerotermosconstantes,_xlpm.somatodostermos,_xlpm.somatermospg+_xlpm.somatermosconstantes,_xlpm.médiatodosostermos,_xlpm.somatodostermos/G357,1 - _xlpm.médiatodosostermos) * H357</f>
        <v>0</v>
      </c>
      <c r="K357" s="110">
        <f ca="1"/>
        <v>0</v>
      </c>
    </row>
    <row r="358" spans="2:11">
      <c r="B358" s="345">
        <v>4</v>
      </c>
      <c r="C358" s="267" t="str">
        <f>'Painel Controle'!C$119</f>
        <v>Veículos Comerciais com 9 Eixos Articulado</v>
      </c>
      <c r="D358" s="481" t="str">
        <f>INDEX('Painel Controle'!D$110:D$121,MATCH(C358,'Painel Controle'!C$110:C$121,0))</f>
        <v>Pesados II</v>
      </c>
      <c r="E358" s="177" t="s">
        <v>597</v>
      </c>
      <c r="F358" s="110" cm="1">
        <f t="array" ref="F358">_xlfn._xlws.FILTER(E$34:E$81,(B$34:B$81 = B358) * (LEFT(C$34:C$81,5) = LEFT(D358,5)) * (D$34:D$81 = E358))</f>
        <v>0.17499999999999999</v>
      </c>
      <c r="G358" s="565" cm="1">
        <f t="array" ref="G358">_xlfn._xlws.FILTER(F$34:F$81,(B$34:B$81 = B358) * (LEFT(C$34:C$81,5) = LEFT(D358,5)) * (D$34:D$81 = E358))</f>
        <v>2</v>
      </c>
      <c r="H358" s="250" t="b">
        <f t="shared" si="4"/>
        <v>0</v>
      </c>
      <c r="I358" s="219" cm="1">
        <f t="array" aca="1" ref="I358" ca="1">IF(G358&lt;=B$3,(1-((1-INDEX(I$12:I$15,B358))^(G358-1))),(1-((1-INDEX(I$12:I$15,B358))^(B$3-1)))) * H358</f>
        <v>0</v>
      </c>
      <c r="J358" s="219" cm="1">
        <f t="array" aca="1" ref="J358" ca="1">_xlfn.LET(_xlpm.númerotermospg,MIN(B$3,G358),_xlpm.razão,1-INDEX(_xlfn.ANCHORARRAY(I$12),B358),_xlpm.somatermospg,((_xlpm.razão^_xlpm.númerotermospg)-1)/(_xlpm.razão-1),_xlpm.númerotermosconstantes,IF(G358&lt;=B$3,0,G358-B$3),_xlpm.somatermosconstantes,(1-I358)*_xlpm.númerotermosconstantes,_xlpm.somatodostermos,_xlpm.somatermospg+_xlpm.somatermosconstantes,_xlpm.médiatodosostermos,_xlpm.somatodostermos/G358,1 - _xlpm.médiatodosostermos) * H358</f>
        <v>0</v>
      </c>
      <c r="K358" s="110">
        <f ca="1"/>
        <v>0</v>
      </c>
    </row>
    <row r="359" spans="2:11">
      <c r="B359" s="345">
        <v>4</v>
      </c>
      <c r="C359" s="267" t="str">
        <f>'Painel Controle'!C$119</f>
        <v>Veículos Comerciais com 9 Eixos Articulado</v>
      </c>
      <c r="D359" s="481" t="str">
        <f>INDEX('Painel Controle'!D$110:D$121,MATCH(C359,'Painel Controle'!C$110:C$121,0))</f>
        <v>Pesados II</v>
      </c>
      <c r="E359" s="177" t="s">
        <v>598</v>
      </c>
      <c r="F359" s="110" cm="1">
        <f t="array" ref="F359">_xlfn._xlws.FILTER(E$34:E$81,(B$34:B$81 = B359) * (LEFT(C$34:C$81,5) = LEFT(D359,5)) * (D$34:D$81 = E359))</f>
        <v>1.2999999999999999E-2</v>
      </c>
      <c r="G359" s="565" cm="1">
        <f t="array" ref="G359">_xlfn._xlws.FILTER(F$34:F$81,(B$34:B$81 = B359) * (LEFT(C$34:C$81,5) = LEFT(D359,5)) * (D$34:D$81 = E359))</f>
        <v>1</v>
      </c>
      <c r="H359" s="250" t="b">
        <f t="shared" si="4"/>
        <v>0</v>
      </c>
      <c r="I359" s="219" cm="1">
        <f t="array" aca="1" ref="I359" ca="1">IF(G359&lt;=B$3,(1-((1-INDEX(I$12:I$15,B359))^(G359-1))),(1-((1-INDEX(I$12:I$15,B359))^(B$3-1)))) * H359</f>
        <v>0</v>
      </c>
      <c r="J359" s="219" cm="1">
        <f t="array" aca="1" ref="J359" ca="1">_xlfn.LET(_xlpm.númerotermospg,MIN(B$3,G359),_xlpm.razão,1-INDEX(_xlfn.ANCHORARRAY(I$12),B359),_xlpm.somatermospg,((_xlpm.razão^_xlpm.númerotermospg)-1)/(_xlpm.razão-1),_xlpm.númerotermosconstantes,IF(G359&lt;=B$3,0,G359-B$3),_xlpm.somatermosconstantes,(1-I359)*_xlpm.númerotermosconstantes,_xlpm.somatodostermos,_xlpm.somatermospg+_xlpm.somatermosconstantes,_xlpm.médiatodosostermos,_xlpm.somatodostermos/G359,1 - _xlpm.médiatodosostermos) * H359</f>
        <v>0</v>
      </c>
      <c r="K359" s="110">
        <f ca="1"/>
        <v>0</v>
      </c>
    </row>
    <row r="360" spans="2:11">
      <c r="B360" s="345">
        <v>4</v>
      </c>
      <c r="C360" s="267" t="str">
        <f>'Painel Controle'!C$119</f>
        <v>Veículos Comerciais com 9 Eixos Articulado</v>
      </c>
      <c r="D360" s="481" t="str">
        <f>INDEX('Painel Controle'!D$110:D$121,MATCH(C360,'Painel Controle'!C$110:C$121,0))</f>
        <v>Pesados II</v>
      </c>
      <c r="E360" s="177" t="s">
        <v>599</v>
      </c>
      <c r="F360" s="110" cm="1">
        <f t="array" ref="F360">_xlfn._xlws.FILTER(E$34:E$81,(B$34:B$81 = B360) * (LEFT(C$34:C$81,5) = LEFT(D360,5)) * (D$34:D$81 = E360))</f>
        <v>0.26800000000000002</v>
      </c>
      <c r="G360" s="565" cm="1">
        <f t="array" ref="G360">_xlfn._xlws.FILTER(F$34:F$81,(B$34:B$81 = B360) * (LEFT(C$34:C$81,5) = LEFT(D360,5)) * (D$34:D$81 = E360))</f>
        <v>1</v>
      </c>
      <c r="H360" s="250" t="b">
        <f t="shared" si="4"/>
        <v>0</v>
      </c>
      <c r="I360" s="219" cm="1">
        <f t="array" aca="1" ref="I360" ca="1">IF(G360&lt;=B$3,(1-((1-INDEX(I$12:I$15,B360))^(G360-1))),(1-((1-INDEX(I$12:I$15,B360))^(B$3-1)))) * H360</f>
        <v>0</v>
      </c>
      <c r="J360" s="219" cm="1">
        <f t="array" aca="1" ref="J360" ca="1">_xlfn.LET(_xlpm.númerotermospg,MIN(B$3,G360),_xlpm.razão,1-INDEX(_xlfn.ANCHORARRAY(I$12),B360),_xlpm.somatermospg,((_xlpm.razão^_xlpm.númerotermospg)-1)/(_xlpm.razão-1),_xlpm.númerotermosconstantes,IF(G360&lt;=B$3,0,G360-B$3),_xlpm.somatermosconstantes,(1-I360)*_xlpm.númerotermosconstantes,_xlpm.somatodostermos,_xlpm.somatermospg+_xlpm.somatermosconstantes,_xlpm.médiatodosostermos,_xlpm.somatodostermos/G360,1 - _xlpm.médiatodosostermos) * H360</f>
        <v>0</v>
      </c>
      <c r="K360" s="110">
        <f ca="1"/>
        <v>0</v>
      </c>
    </row>
    <row r="361" spans="2:11">
      <c r="B361" s="345">
        <v>4</v>
      </c>
      <c r="C361" s="267" t="str">
        <f>'Painel Controle'!C$119</f>
        <v>Veículos Comerciais com 9 Eixos Articulado</v>
      </c>
      <c r="D361" s="481" t="str">
        <f>INDEX('Painel Controle'!D$110:D$121,MATCH(C361,'Painel Controle'!C$110:C$121,0))</f>
        <v>Pesados II</v>
      </c>
      <c r="E361" s="177" t="s">
        <v>600</v>
      </c>
      <c r="F361" s="110" cm="1">
        <f t="array" ref="F361">_xlfn._xlws.FILTER(E$34:E$81,(B$34:B$81 = B361) * (LEFT(C$34:C$81,5) = LEFT(D361,5)) * (D$34:D$81 = E361))</f>
        <v>0.04</v>
      </c>
      <c r="G361" s="565" cm="1">
        <f t="array" ref="G361">_xlfn._xlws.FILTER(F$34:F$81,(B$34:B$81 = B361) * (LEFT(C$34:C$81,5) = LEFT(D361,5)) * (D$34:D$81 = E361))</f>
        <v>1</v>
      </c>
      <c r="H361" s="250" t="b">
        <f t="shared" si="4"/>
        <v>0</v>
      </c>
      <c r="I361" s="219" cm="1">
        <f t="array" aca="1" ref="I361" ca="1">IF(G361&lt;=B$3,(1-((1-INDEX(I$12:I$15,B361))^(G361-1))),(1-((1-INDEX(I$12:I$15,B361))^(B$3-1)))) * H361</f>
        <v>0</v>
      </c>
      <c r="J361" s="219" cm="1">
        <f t="array" aca="1" ref="J361" ca="1">_xlfn.LET(_xlpm.númerotermospg,MIN(B$3,G361),_xlpm.razão,1-INDEX(_xlfn.ANCHORARRAY(I$12),B361),_xlpm.somatermospg,((_xlpm.razão^_xlpm.númerotermospg)-1)/(_xlpm.razão-1),_xlpm.númerotermosconstantes,IF(G361&lt;=B$3,0,G361-B$3),_xlpm.somatermosconstantes,(1-I361)*_xlpm.númerotermosconstantes,_xlpm.somatodostermos,_xlpm.somatermospg+_xlpm.somatermosconstantes,_xlpm.médiatodosostermos,_xlpm.somatodostermos/G361,1 - _xlpm.médiatodosostermos) * H361</f>
        <v>0</v>
      </c>
      <c r="K361" s="110">
        <f ca="1"/>
        <v>0</v>
      </c>
    </row>
    <row r="362" spans="2:11">
      <c r="B362" s="345">
        <v>4</v>
      </c>
      <c r="C362" s="267" t="str">
        <f>'Painel Controle'!C$120</f>
        <v>Motocicleta</v>
      </c>
      <c r="D362" s="481" t="str">
        <f>INDEX('Painel Controle'!D$110:D$121,MATCH(C362,'Painel Controle'!C$110:C$121,0))</f>
        <v>Leves</v>
      </c>
      <c r="E362" s="177" t="s">
        <v>595</v>
      </c>
      <c r="F362" s="110" cm="1">
        <f t="array" ref="F362">_xlfn._xlws.FILTER(E$34:E$81,(B$34:B$81 = B362) * (LEFT(C$34:C$81,5) = LEFT(D362,5)) * (D$34:D$81 = E362))</f>
        <v>0.107</v>
      </c>
      <c r="G362" s="565" cm="1">
        <f t="array" ref="G362">_xlfn._xlws.FILTER(F$34:F$81,(B$34:B$81 = B362) * (LEFT(C$34:C$81,5) = LEFT(D362,5)) * (D$34:D$81 = E362))</f>
        <v>20</v>
      </c>
      <c r="H362" s="250" t="b">
        <f t="shared" si="4"/>
        <v>1</v>
      </c>
      <c r="I362" s="219" cm="1">
        <f t="array" aca="1" ref="I362" ca="1">IF(G362&lt;=B$3,(1-((1-INDEX(I$12:I$15,B362))^(G362-1))),(1-((1-INDEX(I$12:I$15,B362))^(B$3-1)))) * H362</f>
        <v>0.19707993666585311</v>
      </c>
      <c r="J362" s="219" cm="1">
        <f t="array" aca="1" ref="J362" ca="1">_xlfn.LET(_xlpm.númerotermospg,MIN(B$3,G362),_xlpm.razão,1-INDEX(_xlfn.ANCHORARRAY(I$12),B362),_xlpm.somatermospg,((_xlpm.razão^_xlpm.númerotermospg)-1)/(_xlpm.razão-1),_xlpm.númerotermosconstantes,IF(G362&lt;=B$3,0,G362-B$3),_xlpm.somatermosconstantes,(1-I362)*_xlpm.númerotermosconstantes,_xlpm.somatodostermos,_xlpm.somatermospg+_xlpm.somatermosconstantes,_xlpm.médiatodosostermos,_xlpm.somatodostermos/G362,1 - _xlpm.médiatodosostermos) * H362</f>
        <v>0.10195241115096965</v>
      </c>
      <c r="K362" s="110">
        <f ca="1"/>
        <v>1.0908907993153753E-2</v>
      </c>
    </row>
    <row r="363" spans="2:11">
      <c r="B363" s="345">
        <v>4</v>
      </c>
      <c r="C363" s="267" t="str">
        <f>'Painel Controle'!C$120</f>
        <v>Motocicleta</v>
      </c>
      <c r="D363" s="481" t="str">
        <f>INDEX('Painel Controle'!D$110:D$121,MATCH(C363,'Painel Controle'!C$110:C$121,0))</f>
        <v>Leves</v>
      </c>
      <c r="E363" s="177" t="s">
        <v>596</v>
      </c>
      <c r="F363" s="110" cm="1">
        <f t="array" ref="F363">_xlfn._xlws.FILTER(E$34:E$81,(B$34:B$81 = B363) * (LEFT(C$34:C$81,5) = LEFT(D363,5)) * (D$34:D$81 = E363))</f>
        <v>0.252</v>
      </c>
      <c r="G363" s="565" cm="1">
        <f t="array" ref="G363">_xlfn._xlws.FILTER(F$34:F$81,(B$34:B$81 = B363) * (LEFT(C$34:C$81,5) = LEFT(D363,5)) * (D$34:D$81 = E363))</f>
        <v>4</v>
      </c>
      <c r="H363" s="250" t="b">
        <f t="shared" si="4"/>
        <v>1</v>
      </c>
      <c r="I363" s="219" cm="1">
        <f t="array" aca="1" ref="I363" ca="1">IF(G363&lt;=B$3,(1-((1-INDEX(I$12:I$15,B363))^(G363-1))),(1-((1-INDEX(I$12:I$15,B363))^(B$3-1)))) * H363</f>
        <v>3.406420645929753E-2</v>
      </c>
      <c r="J363" s="219" cm="1">
        <f t="array" aca="1" ref="J363" ca="1">_xlfn.LET(_xlpm.númerotermospg,MIN(B$3,G363),_xlpm.razão,1-INDEX(_xlfn.ANCHORARRAY(I$12),B363),_xlpm.somatermospg,((_xlpm.razão^_xlpm.númerotermospg)-1)/(_xlpm.razão-1),_xlpm.númerotermosconstantes,IF(G363&lt;=B$3,0,G363-B$3),_xlpm.somatermosconstantes,(1-I363)*_xlpm.númerotermosconstantes,_xlpm.somatodostermos,_xlpm.somatermospg+_xlpm.somatermosconstantes,_xlpm.médiatodosostermos,_xlpm.somatodostermos/G363,1 - _xlpm.médiatodosostermos) * H363</f>
        <v>1.7097690343733429E-2</v>
      </c>
      <c r="K363" s="110">
        <f ca="1"/>
        <v>4.308617966620824E-3</v>
      </c>
    </row>
    <row r="364" spans="2:11">
      <c r="B364" s="345">
        <v>4</v>
      </c>
      <c r="C364" s="267" t="str">
        <f>'Painel Controle'!C$120</f>
        <v>Motocicleta</v>
      </c>
      <c r="D364" s="481" t="str">
        <f>INDEX('Painel Controle'!D$110:D$121,MATCH(C364,'Painel Controle'!C$110:C$121,0))</f>
        <v>Leves</v>
      </c>
      <c r="E364" s="177" t="s">
        <v>597</v>
      </c>
      <c r="F364" s="110" cm="1">
        <f t="array" ref="F364">_xlfn._xlws.FILTER(E$34:E$81,(B$34:B$81 = B364) * (LEFT(C$34:C$81,5) = LEFT(D364,5)) * (D$34:D$81 = E364))</f>
        <v>0.11700000000000001</v>
      </c>
      <c r="G364" s="565" cm="1">
        <f t="array" ref="G364">_xlfn._xlws.FILTER(F$34:F$81,(B$34:B$81 = B364) * (LEFT(C$34:C$81,5) = LEFT(D364,5)) * (D$34:D$81 = E364))</f>
        <v>2</v>
      </c>
      <c r="H364" s="250" t="b">
        <f t="shared" si="4"/>
        <v>1</v>
      </c>
      <c r="I364" s="219" cm="1">
        <f t="array" aca="1" ref="I364" ca="1">IF(G364&lt;=B$3,(1-((1-INDEX(I$12:I$15,B364))^(G364-1))),(1-((1-INDEX(I$12:I$15,B364))^(B$3-1)))) * H364</f>
        <v>1.1486162279855661E-2</v>
      </c>
      <c r="J364" s="219" cm="1">
        <f t="array" aca="1" ref="J364" ca="1">_xlfn.LET(_xlpm.númerotermospg,MIN(B$3,G364),_xlpm.razão,1-INDEX(_xlfn.ANCHORARRAY(I$12),B364),_xlpm.somatermospg,((_xlpm.razão^_xlpm.númerotermospg)-1)/(_xlpm.razão-1),_xlpm.númerotermosconstantes,IF(G364&lt;=B$3,0,G364-B$3),_xlpm.somatermosconstantes,(1-I364)*_xlpm.númerotermosconstantes,_xlpm.somatodostermos,_xlpm.somatermospg+_xlpm.somatermosconstantes,_xlpm.médiatodosostermos,_xlpm.somatodostermos/G364,1 - _xlpm.médiatodosostermos) * H364</f>
        <v>5.743081139926054E-3</v>
      </c>
      <c r="K364" s="110">
        <f ca="1"/>
        <v>6.7194049337134833E-4</v>
      </c>
    </row>
    <row r="365" spans="2:11">
      <c r="B365" s="345">
        <v>4</v>
      </c>
      <c r="C365" s="267" t="str">
        <f>'Painel Controle'!C$120</f>
        <v>Motocicleta</v>
      </c>
      <c r="D365" s="481" t="str">
        <f>INDEX('Painel Controle'!D$110:D$121,MATCH(C365,'Painel Controle'!C$110:C$121,0))</f>
        <v>Leves</v>
      </c>
      <c r="E365" s="177" t="s">
        <v>598</v>
      </c>
      <c r="F365" s="110" cm="1">
        <f t="array" ref="F365">_xlfn._xlws.FILTER(E$34:E$81,(B$34:B$81 = B365) * (LEFT(C$34:C$81,5) = LEFT(D365,5)) * (D$34:D$81 = E365))</f>
        <v>2.1999999999999999E-2</v>
      </c>
      <c r="G365" s="565" cm="1">
        <f t="array" ref="G365">_xlfn._xlws.FILTER(F$34:F$81,(B$34:B$81 = B365) * (LEFT(C$34:C$81,5) = LEFT(D365,5)) * (D$34:D$81 = E365))</f>
        <v>1</v>
      </c>
      <c r="H365" s="250" t="b">
        <f t="shared" si="4"/>
        <v>1</v>
      </c>
      <c r="I365" s="219" cm="1">
        <f t="array" aca="1" ref="I365" ca="1">IF(G365&lt;=B$3,(1-((1-INDEX(I$12:I$15,B365))^(G365-1))),(1-((1-INDEX(I$12:I$15,B365))^(B$3-1)))) * H365</f>
        <v>0</v>
      </c>
      <c r="J365" s="219" cm="1">
        <f t="array" aca="1" ref="J365" ca="1">_xlfn.LET(_xlpm.númerotermospg,MIN(B$3,G365),_xlpm.razão,1-INDEX(_xlfn.ANCHORARRAY(I$12),B365),_xlpm.somatermospg,((_xlpm.razão^_xlpm.númerotermospg)-1)/(_xlpm.razão-1),_xlpm.númerotermosconstantes,IF(G365&lt;=B$3,0,G365-B$3),_xlpm.somatermosconstantes,(1-I365)*_xlpm.númerotermosconstantes,_xlpm.somatodostermos,_xlpm.somatermospg+_xlpm.somatermosconstantes,_xlpm.médiatodosostermos,_xlpm.somatodostermos/G365,1 - _xlpm.médiatodosostermos) * H365</f>
        <v>0</v>
      </c>
      <c r="K365" s="110">
        <f ca="1"/>
        <v>0</v>
      </c>
    </row>
    <row r="366" spans="2:11">
      <c r="B366" s="345">
        <v>4</v>
      </c>
      <c r="C366" s="267" t="str">
        <f>'Painel Controle'!C$120</f>
        <v>Motocicleta</v>
      </c>
      <c r="D366" s="481" t="str">
        <f>INDEX('Painel Controle'!D$110:D$121,MATCH(C366,'Painel Controle'!C$110:C$121,0))</f>
        <v>Leves</v>
      </c>
      <c r="E366" s="177" t="s">
        <v>599</v>
      </c>
      <c r="F366" s="110" cm="1">
        <f t="array" ref="F366">_xlfn._xlws.FILTER(E$34:E$81,(B$34:B$81 = B366) * (LEFT(C$34:C$81,5) = LEFT(D366,5)) * (D$34:D$81 = E366))</f>
        <v>0.46700000000000003</v>
      </c>
      <c r="G366" s="565" cm="1">
        <f t="array" ref="G366">_xlfn._xlws.FILTER(F$34:F$81,(B$34:B$81 = B366) * (LEFT(C$34:C$81,5) = LEFT(D366,5)) * (D$34:D$81 = E366))</f>
        <v>1</v>
      </c>
      <c r="H366" s="250" t="b">
        <f t="shared" si="4"/>
        <v>1</v>
      </c>
      <c r="I366" s="219" cm="1">
        <f t="array" aca="1" ref="I366" ca="1">IF(G366&lt;=B$3,(1-((1-INDEX(I$12:I$15,B366))^(G366-1))),(1-((1-INDEX(I$12:I$15,B366))^(B$3-1)))) * H366</f>
        <v>0</v>
      </c>
      <c r="J366" s="219" cm="1">
        <f t="array" aca="1" ref="J366" ca="1">_xlfn.LET(_xlpm.númerotermospg,MIN(B$3,G366),_xlpm.razão,1-INDEX(_xlfn.ANCHORARRAY(I$12),B366),_xlpm.somatermospg,((_xlpm.razão^_xlpm.númerotermospg)-1)/(_xlpm.razão-1),_xlpm.númerotermosconstantes,IF(G366&lt;=B$3,0,G366-B$3),_xlpm.somatermosconstantes,(1-I366)*_xlpm.númerotermosconstantes,_xlpm.somatodostermos,_xlpm.somatermospg+_xlpm.somatermosconstantes,_xlpm.médiatodosostermos,_xlpm.somatodostermos/G366,1 - _xlpm.médiatodosostermos) * H366</f>
        <v>0</v>
      </c>
      <c r="K366" s="110">
        <f ca="1"/>
        <v>0</v>
      </c>
    </row>
    <row r="367" spans="2:11">
      <c r="B367" s="345">
        <v>4</v>
      </c>
      <c r="C367" s="267" t="str">
        <f>'Painel Controle'!C$120</f>
        <v>Motocicleta</v>
      </c>
      <c r="D367" s="481" t="str">
        <f>INDEX('Painel Controle'!D$110:D$121,MATCH(C367,'Painel Controle'!C$110:C$121,0))</f>
        <v>Leves</v>
      </c>
      <c r="E367" s="177" t="s">
        <v>600</v>
      </c>
      <c r="F367" s="110" cm="1">
        <f t="array" ref="F367">_xlfn._xlws.FILTER(E$34:E$81,(B$34:B$81 = B367) * (LEFT(C$34:C$81,5) = LEFT(D367,5)) * (D$34:D$81 = E367))</f>
        <v>3.5000000000000003E-2</v>
      </c>
      <c r="G367" s="565" cm="1">
        <f t="array" ref="G367">_xlfn._xlws.FILTER(F$34:F$81,(B$34:B$81 = B367) * (LEFT(C$34:C$81,5) = LEFT(D367,5)) * (D$34:D$81 = E367))</f>
        <v>1</v>
      </c>
      <c r="H367" s="250" t="b">
        <f t="shared" si="4"/>
        <v>1</v>
      </c>
      <c r="I367" s="219" cm="1">
        <f t="array" aca="1" ref="I367" ca="1">IF(G367&lt;=B$3,(1-((1-INDEX(I$12:I$15,B367))^(G367-1))),(1-((1-INDEX(I$12:I$15,B367))^(B$3-1)))) * H367</f>
        <v>0</v>
      </c>
      <c r="J367" s="219" cm="1">
        <f t="array" aca="1" ref="J367" ca="1">_xlfn.LET(_xlpm.númerotermospg,MIN(B$3,G367),_xlpm.razão,1-INDEX(_xlfn.ANCHORARRAY(I$12),B367),_xlpm.somatermospg,((_xlpm.razão^_xlpm.númerotermospg)-1)/(_xlpm.razão-1),_xlpm.númerotermosconstantes,IF(G367&lt;=B$3,0,G367-B$3),_xlpm.somatermosconstantes,(1-I367)*_xlpm.númerotermosconstantes,_xlpm.somatodostermos,_xlpm.somatermospg+_xlpm.somatermosconstantes,_xlpm.médiatodosostermos,_xlpm.somatodostermos/G367,1 - _xlpm.médiatodosostermos) * H367</f>
        <v>0</v>
      </c>
      <c r="K367" s="110">
        <f ca="1"/>
        <v>0</v>
      </c>
    </row>
    <row r="368" spans="2:11">
      <c r="B368" s="345">
        <v>4</v>
      </c>
      <c r="C368" s="267" t="str">
        <f>'Painel Controle'!C$121</f>
        <v xml:space="preserve">Veículos do transporte público coletivo intermunicipal e metropolitano </v>
      </c>
      <c r="D368" s="481" t="str">
        <f>INDEX('Painel Controle'!D$110:D$121,MATCH(C368,'Painel Controle'!C$110:C$121,0))</f>
        <v>Pesados I</v>
      </c>
      <c r="E368" s="177" t="s">
        <v>595</v>
      </c>
      <c r="F368" s="110" cm="1">
        <f t="array" ref="F368">_xlfn._xlws.FILTER(E$34:E$81,(B$34:B$81 = B368) * (LEFT(C$34:C$81,5) = LEFT(D368,5)) * (D$34:D$81 = E368))</f>
        <v>0.14599999999999999</v>
      </c>
      <c r="G368" s="565" cm="1">
        <f t="array" ref="G368">_xlfn._xlws.FILTER(F$34:F$81,(B$34:B$81 = B368) * (LEFT(C$34:C$81,5) = LEFT(D368,5)) * (D$34:D$81 = E368))</f>
        <v>20</v>
      </c>
      <c r="H368" s="250" t="b">
        <f t="shared" si="4"/>
        <v>0</v>
      </c>
      <c r="I368" s="219" cm="1">
        <f t="array" aca="1" ref="I368" ca="1">IF(G368&lt;=B$3,(1-((1-INDEX(I$12:I$15,B368))^(G368-1))),(1-((1-INDEX(I$12:I$15,B368))^(B$3-1)))) * H368</f>
        <v>0</v>
      </c>
      <c r="J368" s="219" cm="1">
        <f t="array" aca="1" ref="J368" ca="1">_xlfn.LET(_xlpm.númerotermospg,MIN(B$3,G368),_xlpm.razão,1-INDEX(_xlfn.ANCHORARRAY(I$12),B368),_xlpm.somatermospg,((_xlpm.razão^_xlpm.númerotermospg)-1)/(_xlpm.razão-1),_xlpm.númerotermosconstantes,IF(G368&lt;=B$3,0,G368-B$3),_xlpm.somatermosconstantes,(1-I368)*_xlpm.númerotermosconstantes,_xlpm.somatodostermos,_xlpm.somatermospg+_xlpm.somatermosconstantes,_xlpm.médiatodosostermos,_xlpm.somatodostermos/G368,1 - _xlpm.médiatodosostermos) * H368</f>
        <v>0</v>
      </c>
      <c r="K368" s="110">
        <f ca="1"/>
        <v>0</v>
      </c>
    </row>
    <row r="369" spans="2:33">
      <c r="B369" s="345">
        <v>4</v>
      </c>
      <c r="C369" s="267" t="str">
        <f>'Painel Controle'!C$121</f>
        <v xml:space="preserve">Veículos do transporte público coletivo intermunicipal e metropolitano </v>
      </c>
      <c r="D369" s="481" t="str">
        <f>INDEX('Painel Controle'!D$110:D$121,MATCH(C369,'Painel Controle'!C$110:C$121,0))</f>
        <v>Pesados I</v>
      </c>
      <c r="E369" s="177" t="s">
        <v>596</v>
      </c>
      <c r="F369" s="110" cm="1">
        <f t="array" ref="F369">_xlfn._xlws.FILTER(E$34:E$81,(B$34:B$81 = B369) * (LEFT(C$34:C$81,5) = LEFT(D369,5)) * (D$34:D$81 = E369))</f>
        <v>0.35799999999999998</v>
      </c>
      <c r="G369" s="565" cm="1">
        <f t="array" ref="G369">_xlfn._xlws.FILTER(F$34:F$81,(B$34:B$81 = B369) * (LEFT(C$34:C$81,5) = LEFT(D369,5)) * (D$34:D$81 = E369))</f>
        <v>4</v>
      </c>
      <c r="H369" s="250" t="b">
        <f t="shared" si="4"/>
        <v>0</v>
      </c>
      <c r="I369" s="219" cm="1">
        <f t="array" aca="1" ref="I369" ca="1">IF(G369&lt;=B$3,(1-((1-INDEX(I$12:I$15,B369))^(G369-1))),(1-((1-INDEX(I$12:I$15,B369))^(B$3-1)))) * H369</f>
        <v>0</v>
      </c>
      <c r="J369" s="219" cm="1">
        <f t="array" aca="1" ref="J369" ca="1">_xlfn.LET(_xlpm.númerotermospg,MIN(B$3,G369),_xlpm.razão,1-INDEX(_xlfn.ANCHORARRAY(I$12),B369),_xlpm.somatermospg,((_xlpm.razão^_xlpm.númerotermospg)-1)/(_xlpm.razão-1),_xlpm.númerotermosconstantes,IF(G369&lt;=B$3,0,G369-B$3),_xlpm.somatermosconstantes,(1-I369)*_xlpm.númerotermosconstantes,_xlpm.somatodostermos,_xlpm.somatermospg+_xlpm.somatermosconstantes,_xlpm.médiatodosostermos,_xlpm.somatodostermos/G369,1 - _xlpm.médiatodosostermos) * H369</f>
        <v>0</v>
      </c>
      <c r="K369" s="110">
        <f ca="1"/>
        <v>0</v>
      </c>
    </row>
    <row r="370" spans="2:33">
      <c r="B370" s="345">
        <v>4</v>
      </c>
      <c r="C370" s="267" t="str">
        <f>'Painel Controle'!C$121</f>
        <v xml:space="preserve">Veículos do transporte público coletivo intermunicipal e metropolitano </v>
      </c>
      <c r="D370" s="481" t="str">
        <f>INDEX('Painel Controle'!D$110:D$121,MATCH(C370,'Painel Controle'!C$110:C$121,0))</f>
        <v>Pesados I</v>
      </c>
      <c r="E370" s="177" t="s">
        <v>597</v>
      </c>
      <c r="F370" s="110" cm="1">
        <f t="array" ref="F370">_xlfn._xlws.FILTER(E$34:E$81,(B$34:B$81 = B370) * (LEFT(C$34:C$81,5) = LEFT(D370,5)) * (D$34:D$81 = E370))</f>
        <v>0.17499999999999999</v>
      </c>
      <c r="G370" s="565" cm="1">
        <f t="array" ref="G370">_xlfn._xlws.FILTER(F$34:F$81,(B$34:B$81 = B370) * (LEFT(C$34:C$81,5) = LEFT(D370,5)) * (D$34:D$81 = E370))</f>
        <v>2</v>
      </c>
      <c r="H370" s="250" t="b">
        <f t="shared" si="4"/>
        <v>0</v>
      </c>
      <c r="I370" s="219" cm="1">
        <f t="array" aca="1" ref="I370" ca="1">IF(G370&lt;=B$3,(1-((1-INDEX(I$12:I$15,B370))^(G370-1))),(1-((1-INDEX(I$12:I$15,B370))^(B$3-1)))) * H370</f>
        <v>0</v>
      </c>
      <c r="J370" s="219" cm="1">
        <f t="array" aca="1" ref="J370" ca="1">_xlfn.LET(_xlpm.númerotermospg,MIN(B$3,G370),_xlpm.razão,1-INDEX(_xlfn.ANCHORARRAY(I$12),B370),_xlpm.somatermospg,((_xlpm.razão^_xlpm.númerotermospg)-1)/(_xlpm.razão-1),_xlpm.númerotermosconstantes,IF(G370&lt;=B$3,0,G370-B$3),_xlpm.somatermosconstantes,(1-I370)*_xlpm.númerotermosconstantes,_xlpm.somatodostermos,_xlpm.somatermospg+_xlpm.somatermosconstantes,_xlpm.médiatodosostermos,_xlpm.somatodostermos/G370,1 - _xlpm.médiatodosostermos) * H370</f>
        <v>0</v>
      </c>
      <c r="K370" s="110">
        <f ca="1"/>
        <v>0</v>
      </c>
    </row>
    <row r="371" spans="2:33">
      <c r="B371" s="345">
        <v>4</v>
      </c>
      <c r="C371" s="267" t="str">
        <f>'Painel Controle'!C$121</f>
        <v xml:space="preserve">Veículos do transporte público coletivo intermunicipal e metropolitano </v>
      </c>
      <c r="D371" s="481" t="str">
        <f>INDEX('Painel Controle'!D$110:D$121,MATCH(C371,'Painel Controle'!C$110:C$121,0))</f>
        <v>Pesados I</v>
      </c>
      <c r="E371" s="177" t="s">
        <v>598</v>
      </c>
      <c r="F371" s="110" cm="1">
        <f t="array" ref="F371">_xlfn._xlws.FILTER(E$34:E$81,(B$34:B$81 = B371) * (LEFT(C$34:C$81,5) = LEFT(D371,5)) * (D$34:D$81 = E371))</f>
        <v>1.2999999999999999E-2</v>
      </c>
      <c r="G371" s="565" cm="1">
        <f t="array" ref="G371">_xlfn._xlws.FILTER(F$34:F$81,(B$34:B$81 = B371) * (LEFT(C$34:C$81,5) = LEFT(D371,5)) * (D$34:D$81 = E371))</f>
        <v>1</v>
      </c>
      <c r="H371" s="250" t="b">
        <f t="shared" si="4"/>
        <v>0</v>
      </c>
      <c r="I371" s="219" cm="1">
        <f t="array" aca="1" ref="I371" ca="1">IF(G371&lt;=B$3,(1-((1-INDEX(I$12:I$15,B371))^(G371-1))),(1-((1-INDEX(I$12:I$15,B371))^(B$3-1)))) * H371</f>
        <v>0</v>
      </c>
      <c r="J371" s="219" cm="1">
        <f t="array" aca="1" ref="J371" ca="1">_xlfn.LET(_xlpm.númerotermospg,MIN(B$3,G371),_xlpm.razão,1-INDEX(_xlfn.ANCHORARRAY(I$12),B371),_xlpm.somatermospg,((_xlpm.razão^_xlpm.númerotermospg)-1)/(_xlpm.razão-1),_xlpm.númerotermosconstantes,IF(G371&lt;=B$3,0,G371-B$3),_xlpm.somatermosconstantes,(1-I371)*_xlpm.númerotermosconstantes,_xlpm.somatodostermos,_xlpm.somatermospg+_xlpm.somatermosconstantes,_xlpm.médiatodosostermos,_xlpm.somatodostermos/G371,1 - _xlpm.médiatodosostermos) * H371</f>
        <v>0</v>
      </c>
      <c r="K371" s="110">
        <f ca="1"/>
        <v>0</v>
      </c>
    </row>
    <row r="372" spans="2:33">
      <c r="B372" s="345">
        <v>4</v>
      </c>
      <c r="C372" s="267" t="str">
        <f>'Painel Controle'!C$121</f>
        <v xml:space="preserve">Veículos do transporte público coletivo intermunicipal e metropolitano </v>
      </c>
      <c r="D372" s="481" t="str">
        <f>INDEX('Painel Controle'!D$110:D$121,MATCH(C372,'Painel Controle'!C$110:C$121,0))</f>
        <v>Pesados I</v>
      </c>
      <c r="E372" s="177" t="s">
        <v>599</v>
      </c>
      <c r="F372" s="110" cm="1">
        <f t="array" ref="F372">_xlfn._xlws.FILTER(E$34:E$81,(B$34:B$81 = B372) * (LEFT(C$34:C$81,5) = LEFT(D372,5)) * (D$34:D$81 = E372))</f>
        <v>0.26800000000000002</v>
      </c>
      <c r="G372" s="565" cm="1">
        <f t="array" ref="G372">_xlfn._xlws.FILTER(F$34:F$81,(B$34:B$81 = B372) * (LEFT(C$34:C$81,5) = LEFT(D372,5)) * (D$34:D$81 = E372))</f>
        <v>1</v>
      </c>
      <c r="H372" s="250" t="b">
        <f t="shared" si="4"/>
        <v>0</v>
      </c>
      <c r="I372" s="219" cm="1">
        <f t="array" aca="1" ref="I372" ca="1">IF(G372&lt;=B$3,(1-((1-INDEX(I$12:I$15,B372))^(G372-1))),(1-((1-INDEX(I$12:I$15,B372))^(B$3-1)))) * H372</f>
        <v>0</v>
      </c>
      <c r="J372" s="219" cm="1">
        <f t="array" aca="1" ref="J372" ca="1">_xlfn.LET(_xlpm.númerotermospg,MIN(B$3,G372),_xlpm.razão,1-INDEX(_xlfn.ANCHORARRAY(I$12),B372),_xlpm.somatermospg,((_xlpm.razão^_xlpm.númerotermospg)-1)/(_xlpm.razão-1),_xlpm.númerotermosconstantes,IF(G372&lt;=B$3,0,G372-B$3),_xlpm.somatermosconstantes,(1-I372)*_xlpm.númerotermosconstantes,_xlpm.somatodostermos,_xlpm.somatermospg+_xlpm.somatermosconstantes,_xlpm.médiatodosostermos,_xlpm.somatodostermos/G372,1 - _xlpm.médiatodosostermos) * H372</f>
        <v>0</v>
      </c>
      <c r="K372" s="110">
        <f ca="1"/>
        <v>0</v>
      </c>
    </row>
    <row r="373" spans="2:33">
      <c r="B373" s="345">
        <v>4</v>
      </c>
      <c r="C373" s="267" t="str">
        <f>'Painel Controle'!C$121</f>
        <v xml:space="preserve">Veículos do transporte público coletivo intermunicipal e metropolitano </v>
      </c>
      <c r="D373" s="481" t="str">
        <f>INDEX('Painel Controle'!D$110:D$121,MATCH(C373,'Painel Controle'!C$110:C$121,0))</f>
        <v>Pesados I</v>
      </c>
      <c r="E373" s="177" t="s">
        <v>600</v>
      </c>
      <c r="F373" s="110" cm="1">
        <f t="array" ref="F373">_xlfn._xlws.FILTER(E$34:E$81,(B$34:B$81 = B373) * (LEFT(C$34:C$81,5) = LEFT(D373,5)) * (D$34:D$81 = E373))</f>
        <v>0.04</v>
      </c>
      <c r="G373" s="565" cm="1">
        <f t="array" ref="G373">_xlfn._xlws.FILTER(F$34:F$81,(B$34:B$81 = B373) * (LEFT(C$34:C$81,5) = LEFT(D373,5)) * (D$34:D$81 = E373))</f>
        <v>1</v>
      </c>
      <c r="H373" s="250" t="b">
        <f t="shared" si="4"/>
        <v>0</v>
      </c>
      <c r="I373" s="219" cm="1">
        <f t="array" aca="1" ref="I373" ca="1">IF(G373&lt;=B$3,(1-((1-INDEX(I$12:I$15,B373))^(G373-1))),(1-((1-INDEX(I$12:I$15,B373))^(B$3-1)))) * H373</f>
        <v>0</v>
      </c>
      <c r="J373" s="219" cm="1">
        <f t="array" aca="1" ref="J373" ca="1">_xlfn.LET(_xlpm.númerotermospg,MIN(B$3,G373),_xlpm.razão,1-INDEX(_xlfn.ANCHORARRAY(I$12),B373),_xlpm.somatermospg,((_xlpm.razão^_xlpm.númerotermospg)-1)/(_xlpm.razão-1),_xlpm.númerotermosconstantes,IF(G373&lt;=B$3,0,G373-B$3),_xlpm.somatermosconstantes,(1-I373)*_xlpm.númerotermosconstantes,_xlpm.somatodostermos,_xlpm.somatermospg+_xlpm.somatermosconstantes,_xlpm.médiatodosostermos,_xlpm.somatodostermos/G373,1 - _xlpm.médiatodosostermos) * H373</f>
        <v>0</v>
      </c>
      <c r="K373" s="110">
        <f ca="1"/>
        <v>0</v>
      </c>
    </row>
    <row r="375" spans="2:33">
      <c r="B375" s="2" t="s">
        <v>607</v>
      </c>
    </row>
    <row r="376" spans="2:33">
      <c r="B376" s="150" t="str" cm="1">
        <f t="array" ref="B376:C388">'Painel Controle'!C109:D121</f>
        <v>Categoria de Veículo</v>
      </c>
      <c r="C376" s="150" t="str">
        <v>Grupo</v>
      </c>
      <c r="D376" s="566" cm="1">
        <f t="array" ref="D376:AG376">'TAG e inad.'!C3:AF3</f>
        <v>1</v>
      </c>
      <c r="E376" s="46">
        <v>2</v>
      </c>
      <c r="F376" s="46">
        <v>3</v>
      </c>
      <c r="G376" s="46">
        <v>4</v>
      </c>
      <c r="H376" s="46">
        <v>5</v>
      </c>
      <c r="I376" s="46">
        <v>6</v>
      </c>
      <c r="J376" s="46">
        <v>7</v>
      </c>
      <c r="K376" s="46">
        <v>8</v>
      </c>
      <c r="L376" s="46">
        <v>9</v>
      </c>
      <c r="M376" s="46">
        <v>10</v>
      </c>
      <c r="N376" s="46">
        <v>11</v>
      </c>
      <c r="O376" s="46">
        <v>12</v>
      </c>
      <c r="P376" s="46">
        <v>13</v>
      </c>
      <c r="Q376" s="46">
        <v>14</v>
      </c>
      <c r="R376" s="46">
        <v>15</v>
      </c>
      <c r="S376" s="46">
        <v>16</v>
      </c>
      <c r="T376" s="46">
        <v>17</v>
      </c>
      <c r="U376" s="46">
        <v>18</v>
      </c>
      <c r="V376" s="46">
        <v>19</v>
      </c>
      <c r="W376" s="46">
        <v>20</v>
      </c>
      <c r="X376" s="46">
        <v>21</v>
      </c>
      <c r="Y376" s="46">
        <v>22</v>
      </c>
      <c r="Z376" s="46">
        <v>23</v>
      </c>
      <c r="AA376" s="46">
        <v>24</v>
      </c>
      <c r="AB376" s="46">
        <v>25</v>
      </c>
      <c r="AC376" s="46">
        <v>26</v>
      </c>
      <c r="AD376" s="46">
        <v>27</v>
      </c>
      <c r="AE376" s="46">
        <v>28</v>
      </c>
      <c r="AF376" s="46">
        <v>29</v>
      </c>
      <c r="AG376" s="46">
        <v>30</v>
      </c>
    </row>
    <row r="377" spans="2:33">
      <c r="B377" s="250" t="str">
        <v>Automóvel</v>
      </c>
      <c r="C377" s="250" t="str">
        <v>Leves</v>
      </c>
      <c r="D377" s="110" cm="1">
        <f t="array" ref="D377">INDEX('TAG e inad.'!$C$4:$AF$6,MATCH($C377,'TAG e inad.'!$B$4:$B$6,0),DUF!D$376)</f>
        <v>0.22999999999999998</v>
      </c>
      <c r="E377" s="110" cm="1">
        <f t="array" ref="E377">INDEX('TAG e inad.'!$C$4:$AF$6,MATCH($C377,'TAG e inad.'!$B$4:$B$6,0),DUF!E$376)</f>
        <v>0.30000000000000004</v>
      </c>
      <c r="F377" s="110" cm="1">
        <f t="array" ref="F377">INDEX('TAG e inad.'!$C$4:$AF$6,MATCH($C377,'TAG e inad.'!$B$4:$B$6,0),DUF!F$376)</f>
        <v>0.41000000000000003</v>
      </c>
      <c r="G377" s="110" cm="1">
        <f t="array" ref="G377">INDEX('TAG e inad.'!$C$4:$AF$6,MATCH($C377,'TAG e inad.'!$B$4:$B$6,0),DUF!G$376)</f>
        <v>0.5</v>
      </c>
      <c r="H377" s="110" cm="1">
        <f t="array" ref="H377">INDEX('TAG e inad.'!$C$4:$AF$6,MATCH($C377,'TAG e inad.'!$B$4:$B$6,0),DUF!H$376)</f>
        <v>0.58000000000000007</v>
      </c>
      <c r="I377" s="110" cm="1">
        <f t="array" ref="I377">INDEX('TAG e inad.'!$C$4:$AF$6,MATCH($C377,'TAG e inad.'!$B$4:$B$6,0),DUF!I$376)</f>
        <v>0.64</v>
      </c>
      <c r="J377" s="110" cm="1">
        <f t="array" ref="J377">INDEX('TAG e inad.'!$C$4:$AF$6,MATCH($C377,'TAG e inad.'!$B$4:$B$6,0),DUF!J$376)</f>
        <v>0.69</v>
      </c>
      <c r="K377" s="110" cm="1">
        <f t="array" ref="K377">INDEX('TAG e inad.'!$C$4:$AF$6,MATCH($C377,'TAG e inad.'!$B$4:$B$6,0),DUF!K$376)</f>
        <v>0.74</v>
      </c>
      <c r="L377" s="110" cm="1">
        <f t="array" ref="L377">INDEX('TAG e inad.'!$C$4:$AF$6,MATCH($C377,'TAG e inad.'!$B$4:$B$6,0),DUF!L$376)</f>
        <v>0.78</v>
      </c>
      <c r="M377" s="110" cm="1">
        <f t="array" ref="M377">INDEX('TAG e inad.'!$C$4:$AF$6,MATCH($C377,'TAG e inad.'!$B$4:$B$6,0),DUF!M$376)</f>
        <v>0.8</v>
      </c>
      <c r="N377" s="110" cm="1">
        <f t="array" ref="N377">INDEX('TAG e inad.'!$C$4:$AF$6,MATCH($C377,'TAG e inad.'!$B$4:$B$6,0),DUF!N$376)</f>
        <v>0.81</v>
      </c>
      <c r="O377" s="110" cm="1">
        <f t="array" ref="O377">INDEX('TAG e inad.'!$C$4:$AF$6,MATCH($C377,'TAG e inad.'!$B$4:$B$6,0),DUF!O$376)</f>
        <v>0.81</v>
      </c>
      <c r="P377" s="110" cm="1">
        <f t="array" ref="P377">INDEX('TAG e inad.'!$C$4:$AF$6,MATCH($C377,'TAG e inad.'!$B$4:$B$6,0),DUF!P$376)</f>
        <v>0.81</v>
      </c>
      <c r="Q377" s="110" cm="1">
        <f t="array" ref="Q377">INDEX('TAG e inad.'!$C$4:$AF$6,MATCH($C377,'TAG e inad.'!$B$4:$B$6,0),DUF!Q$376)</f>
        <v>0.81</v>
      </c>
      <c r="R377" s="110" cm="1">
        <f t="array" ref="R377">INDEX('TAG e inad.'!$C$4:$AF$6,MATCH($C377,'TAG e inad.'!$B$4:$B$6,0),DUF!R$376)</f>
        <v>0.81</v>
      </c>
      <c r="S377" s="110" cm="1">
        <f t="array" ref="S377">INDEX('TAG e inad.'!$C$4:$AF$6,MATCH($C377,'TAG e inad.'!$B$4:$B$6,0),DUF!S$376)</f>
        <v>0.81</v>
      </c>
      <c r="T377" s="110" cm="1">
        <f t="array" ref="T377">INDEX('TAG e inad.'!$C$4:$AF$6,MATCH($C377,'TAG e inad.'!$B$4:$B$6,0),DUF!T$376)</f>
        <v>0.81</v>
      </c>
      <c r="U377" s="110" cm="1">
        <f t="array" ref="U377">INDEX('TAG e inad.'!$C$4:$AF$6,MATCH($C377,'TAG e inad.'!$B$4:$B$6,0),DUF!U$376)</f>
        <v>0.81</v>
      </c>
      <c r="V377" s="110" cm="1">
        <f t="array" ref="V377">INDEX('TAG e inad.'!$C$4:$AF$6,MATCH($C377,'TAG e inad.'!$B$4:$B$6,0),DUF!V$376)</f>
        <v>0.81</v>
      </c>
      <c r="W377" s="110" cm="1">
        <f t="array" ref="W377">INDEX('TAG e inad.'!$C$4:$AF$6,MATCH($C377,'TAG e inad.'!$B$4:$B$6,0),DUF!W$376)</f>
        <v>0.81</v>
      </c>
      <c r="X377" s="110" cm="1">
        <f t="array" ref="X377">INDEX('TAG e inad.'!$C$4:$AF$6,MATCH($C377,'TAG e inad.'!$B$4:$B$6,0),DUF!X$376)</f>
        <v>0.81</v>
      </c>
      <c r="Y377" s="110" cm="1">
        <f t="array" ref="Y377">INDEX('TAG e inad.'!$C$4:$AF$6,MATCH($C377,'TAG e inad.'!$B$4:$B$6,0),DUF!Y$376)</f>
        <v>0.81</v>
      </c>
      <c r="Z377" s="110" cm="1">
        <f t="array" ref="Z377">INDEX('TAG e inad.'!$C$4:$AF$6,MATCH($C377,'TAG e inad.'!$B$4:$B$6,0),DUF!Z$376)</f>
        <v>0.81</v>
      </c>
      <c r="AA377" s="110" cm="1">
        <f t="array" ref="AA377">INDEX('TAG e inad.'!$C$4:$AF$6,MATCH($C377,'TAG e inad.'!$B$4:$B$6,0),DUF!AA$376)</f>
        <v>0.81</v>
      </c>
      <c r="AB377" s="110" cm="1">
        <f t="array" ref="AB377">INDEX('TAG e inad.'!$C$4:$AF$6,MATCH($C377,'TAG e inad.'!$B$4:$B$6,0),DUF!AB$376)</f>
        <v>0.81</v>
      </c>
      <c r="AC377" s="110" cm="1">
        <f t="array" ref="AC377">INDEX('TAG e inad.'!$C$4:$AF$6,MATCH($C377,'TAG e inad.'!$B$4:$B$6,0),DUF!AC$376)</f>
        <v>0.81</v>
      </c>
      <c r="AD377" s="110" cm="1">
        <f t="array" ref="AD377">INDEX('TAG e inad.'!$C$4:$AF$6,MATCH($C377,'TAG e inad.'!$B$4:$B$6,0),DUF!AD$376)</f>
        <v>0.81</v>
      </c>
      <c r="AE377" s="110" cm="1">
        <f t="array" ref="AE377">INDEX('TAG e inad.'!$C$4:$AF$6,MATCH($C377,'TAG e inad.'!$B$4:$B$6,0),DUF!AE$376)</f>
        <v>0.81</v>
      </c>
      <c r="AF377" s="110" cm="1">
        <f t="array" ref="AF377">INDEX('TAG e inad.'!$C$4:$AF$6,MATCH($C377,'TAG e inad.'!$B$4:$B$6,0),DUF!AF$376)</f>
        <v>0.81</v>
      </c>
      <c r="AG377" s="110" cm="1">
        <f t="array" ref="AG377">INDEX('TAG e inad.'!$C$4:$AF$6,MATCH($C377,'TAG e inad.'!$B$4:$B$6,0),DUF!AG$376)</f>
        <v>0.81</v>
      </c>
    </row>
    <row r="378" spans="2:33">
      <c r="B378" s="250" t="str">
        <v xml:space="preserve">Automóvel com reboque </v>
      </c>
      <c r="C378" s="122" t="str">
        <v>Leves</v>
      </c>
      <c r="D378" s="110" cm="1">
        <f t="array" ref="D378">INDEX('TAG e inad.'!$C$4:$AF$6,MATCH($C378,'TAG e inad.'!$B$4:$B$6,0),DUF!D$376)</f>
        <v>0.22999999999999998</v>
      </c>
      <c r="E378" s="110" cm="1">
        <f t="array" ref="E378">INDEX('TAG e inad.'!$C$4:$AF$6,MATCH($C378,'TAG e inad.'!$B$4:$B$6,0),DUF!E$376)</f>
        <v>0.30000000000000004</v>
      </c>
      <c r="F378" s="110" cm="1">
        <f t="array" ref="F378">INDEX('TAG e inad.'!$C$4:$AF$6,MATCH($C378,'TAG e inad.'!$B$4:$B$6,0),DUF!F$376)</f>
        <v>0.41000000000000003</v>
      </c>
      <c r="G378" s="110" cm="1">
        <f t="array" ref="G378">INDEX('TAG e inad.'!$C$4:$AF$6,MATCH($C378,'TAG e inad.'!$B$4:$B$6,0),DUF!G$376)</f>
        <v>0.5</v>
      </c>
      <c r="H378" s="110" cm="1">
        <f t="array" ref="H378">INDEX('TAG e inad.'!$C$4:$AF$6,MATCH($C378,'TAG e inad.'!$B$4:$B$6,0),DUF!H$376)</f>
        <v>0.58000000000000007</v>
      </c>
      <c r="I378" s="110" cm="1">
        <f t="array" ref="I378">INDEX('TAG e inad.'!$C$4:$AF$6,MATCH($C378,'TAG e inad.'!$B$4:$B$6,0),DUF!I$376)</f>
        <v>0.64</v>
      </c>
      <c r="J378" s="110" cm="1">
        <f t="array" ref="J378">INDEX('TAG e inad.'!$C$4:$AF$6,MATCH($C378,'TAG e inad.'!$B$4:$B$6,0),DUF!J$376)</f>
        <v>0.69</v>
      </c>
      <c r="K378" s="110" cm="1">
        <f t="array" ref="K378">INDEX('TAG e inad.'!$C$4:$AF$6,MATCH($C378,'TAG e inad.'!$B$4:$B$6,0),DUF!K$376)</f>
        <v>0.74</v>
      </c>
      <c r="L378" s="110" cm="1">
        <f t="array" ref="L378">INDEX('TAG e inad.'!$C$4:$AF$6,MATCH($C378,'TAG e inad.'!$B$4:$B$6,0),DUF!L$376)</f>
        <v>0.78</v>
      </c>
      <c r="M378" s="110" cm="1">
        <f t="array" ref="M378">INDEX('TAG e inad.'!$C$4:$AF$6,MATCH($C378,'TAG e inad.'!$B$4:$B$6,0),DUF!M$376)</f>
        <v>0.8</v>
      </c>
      <c r="N378" s="110" cm="1">
        <f t="array" ref="N378">INDEX('TAG e inad.'!$C$4:$AF$6,MATCH($C378,'TAG e inad.'!$B$4:$B$6,0),DUF!N$376)</f>
        <v>0.81</v>
      </c>
      <c r="O378" s="110" cm="1">
        <f t="array" ref="O378">INDEX('TAG e inad.'!$C$4:$AF$6,MATCH($C378,'TAG e inad.'!$B$4:$B$6,0),DUF!O$376)</f>
        <v>0.81</v>
      </c>
      <c r="P378" s="110" cm="1">
        <f t="array" ref="P378">INDEX('TAG e inad.'!$C$4:$AF$6,MATCH($C378,'TAG e inad.'!$B$4:$B$6,0),DUF!P$376)</f>
        <v>0.81</v>
      </c>
      <c r="Q378" s="110" cm="1">
        <f t="array" ref="Q378">INDEX('TAG e inad.'!$C$4:$AF$6,MATCH($C378,'TAG e inad.'!$B$4:$B$6,0),DUF!Q$376)</f>
        <v>0.81</v>
      </c>
      <c r="R378" s="110" cm="1">
        <f t="array" ref="R378">INDEX('TAG e inad.'!$C$4:$AF$6,MATCH($C378,'TAG e inad.'!$B$4:$B$6,0),DUF!R$376)</f>
        <v>0.81</v>
      </c>
      <c r="S378" s="110" cm="1">
        <f t="array" ref="S378">INDEX('TAG e inad.'!$C$4:$AF$6,MATCH($C378,'TAG e inad.'!$B$4:$B$6,0),DUF!S$376)</f>
        <v>0.81</v>
      </c>
      <c r="T378" s="110" cm="1">
        <f t="array" ref="T378">INDEX('TAG e inad.'!$C$4:$AF$6,MATCH($C378,'TAG e inad.'!$B$4:$B$6,0),DUF!T$376)</f>
        <v>0.81</v>
      </c>
      <c r="U378" s="110" cm="1">
        <f t="array" ref="U378">INDEX('TAG e inad.'!$C$4:$AF$6,MATCH($C378,'TAG e inad.'!$B$4:$B$6,0),DUF!U$376)</f>
        <v>0.81</v>
      </c>
      <c r="V378" s="110" cm="1">
        <f t="array" ref="V378">INDEX('TAG e inad.'!$C$4:$AF$6,MATCH($C378,'TAG e inad.'!$B$4:$B$6,0),DUF!V$376)</f>
        <v>0.81</v>
      </c>
      <c r="W378" s="110" cm="1">
        <f t="array" ref="W378">INDEX('TAG e inad.'!$C$4:$AF$6,MATCH($C378,'TAG e inad.'!$B$4:$B$6,0),DUF!W$376)</f>
        <v>0.81</v>
      </c>
      <c r="X378" s="110" cm="1">
        <f t="array" ref="X378">INDEX('TAG e inad.'!$C$4:$AF$6,MATCH($C378,'TAG e inad.'!$B$4:$B$6,0),DUF!X$376)</f>
        <v>0.81</v>
      </c>
      <c r="Y378" s="110" cm="1">
        <f t="array" ref="Y378">INDEX('TAG e inad.'!$C$4:$AF$6,MATCH($C378,'TAG e inad.'!$B$4:$B$6,0),DUF!Y$376)</f>
        <v>0.81</v>
      </c>
      <c r="Z378" s="110" cm="1">
        <f t="array" ref="Z378">INDEX('TAG e inad.'!$C$4:$AF$6,MATCH($C378,'TAG e inad.'!$B$4:$B$6,0),DUF!Z$376)</f>
        <v>0.81</v>
      </c>
      <c r="AA378" s="110" cm="1">
        <f t="array" ref="AA378">INDEX('TAG e inad.'!$C$4:$AF$6,MATCH($C378,'TAG e inad.'!$B$4:$B$6,0),DUF!AA$376)</f>
        <v>0.81</v>
      </c>
      <c r="AB378" s="110" cm="1">
        <f t="array" ref="AB378">INDEX('TAG e inad.'!$C$4:$AF$6,MATCH($C378,'TAG e inad.'!$B$4:$B$6,0),DUF!AB$376)</f>
        <v>0.81</v>
      </c>
      <c r="AC378" s="110" cm="1">
        <f t="array" ref="AC378">INDEX('TAG e inad.'!$C$4:$AF$6,MATCH($C378,'TAG e inad.'!$B$4:$B$6,0),DUF!AC$376)</f>
        <v>0.81</v>
      </c>
      <c r="AD378" s="110" cm="1">
        <f t="array" ref="AD378">INDEX('TAG e inad.'!$C$4:$AF$6,MATCH($C378,'TAG e inad.'!$B$4:$B$6,0),DUF!AD$376)</f>
        <v>0.81</v>
      </c>
      <c r="AE378" s="110" cm="1">
        <f t="array" ref="AE378">INDEX('TAG e inad.'!$C$4:$AF$6,MATCH($C378,'TAG e inad.'!$B$4:$B$6,0),DUF!AE$376)</f>
        <v>0.81</v>
      </c>
      <c r="AF378" s="110" cm="1">
        <f t="array" ref="AF378">INDEX('TAG e inad.'!$C$4:$AF$6,MATCH($C378,'TAG e inad.'!$B$4:$B$6,0),DUF!AF$376)</f>
        <v>0.81</v>
      </c>
      <c r="AG378" s="110" cm="1">
        <f t="array" ref="AG378">INDEX('TAG e inad.'!$C$4:$AF$6,MATCH($C378,'TAG e inad.'!$B$4:$B$6,0),DUF!AG$376)</f>
        <v>0.81</v>
      </c>
    </row>
    <row r="379" spans="2:33">
      <c r="B379" s="250" t="str">
        <v>Veículos Comerciais com 2 Eixos</v>
      </c>
      <c r="C379" s="122" t="str">
        <v>Pesados I</v>
      </c>
      <c r="D379" s="110" cm="1">
        <f t="array" ref="D379">INDEX('TAG e inad.'!$C$4:$AF$6,MATCH($C379,'TAG e inad.'!$B$4:$B$6,0),DUF!D$376)</f>
        <v>0.5</v>
      </c>
      <c r="E379" s="110" cm="1">
        <f t="array" ref="E379">INDEX('TAG e inad.'!$C$4:$AF$6,MATCH($C379,'TAG e inad.'!$B$4:$B$6,0),DUF!E$376)</f>
        <v>0.56999999999999995</v>
      </c>
      <c r="F379" s="110" cm="1">
        <f t="array" ref="F379">INDEX('TAG e inad.'!$C$4:$AF$6,MATCH($C379,'TAG e inad.'!$B$4:$B$6,0),DUF!F$376)</f>
        <v>0.65</v>
      </c>
      <c r="G379" s="110" cm="1">
        <f t="array" ref="G379">INDEX('TAG e inad.'!$C$4:$AF$6,MATCH($C379,'TAG e inad.'!$B$4:$B$6,0),DUF!G$376)</f>
        <v>0.72</v>
      </c>
      <c r="H379" s="110" cm="1">
        <f t="array" ref="H379">INDEX('TAG e inad.'!$C$4:$AF$6,MATCH($C379,'TAG e inad.'!$B$4:$B$6,0),DUF!H$376)</f>
        <v>0.78</v>
      </c>
      <c r="I379" s="110" cm="1">
        <f t="array" ref="I379">INDEX('TAG e inad.'!$C$4:$AF$6,MATCH($C379,'TAG e inad.'!$B$4:$B$6,0),DUF!I$376)</f>
        <v>0.82</v>
      </c>
      <c r="J379" s="110" cm="1">
        <f t="array" ref="J379">INDEX('TAG e inad.'!$C$4:$AF$6,MATCH($C379,'TAG e inad.'!$B$4:$B$6,0),DUF!J$376)</f>
        <v>0.86</v>
      </c>
      <c r="K379" s="110" cm="1">
        <f t="array" ref="K379">INDEX('TAG e inad.'!$C$4:$AF$6,MATCH($C379,'TAG e inad.'!$B$4:$B$6,0),DUF!K$376)</f>
        <v>0.89</v>
      </c>
      <c r="L379" s="110" cm="1">
        <f t="array" ref="L379">INDEX('TAG e inad.'!$C$4:$AF$6,MATCH($C379,'TAG e inad.'!$B$4:$B$6,0),DUF!L$376)</f>
        <v>0.9</v>
      </c>
      <c r="M379" s="110" cm="1">
        <f t="array" ref="M379">INDEX('TAG e inad.'!$C$4:$AF$6,MATCH($C379,'TAG e inad.'!$B$4:$B$6,0),DUF!M$376)</f>
        <v>0.9</v>
      </c>
      <c r="N379" s="110" cm="1">
        <f t="array" ref="N379">INDEX('TAG e inad.'!$C$4:$AF$6,MATCH($C379,'TAG e inad.'!$B$4:$B$6,0),DUF!N$376)</f>
        <v>0.9</v>
      </c>
      <c r="O379" s="110" cm="1">
        <f t="array" ref="O379">INDEX('TAG e inad.'!$C$4:$AF$6,MATCH($C379,'TAG e inad.'!$B$4:$B$6,0),DUF!O$376)</f>
        <v>0.9</v>
      </c>
      <c r="P379" s="110" cm="1">
        <f t="array" ref="P379">INDEX('TAG e inad.'!$C$4:$AF$6,MATCH($C379,'TAG e inad.'!$B$4:$B$6,0),DUF!P$376)</f>
        <v>0.9</v>
      </c>
      <c r="Q379" s="110" cm="1">
        <f t="array" ref="Q379">INDEX('TAG e inad.'!$C$4:$AF$6,MATCH($C379,'TAG e inad.'!$B$4:$B$6,0),DUF!Q$376)</f>
        <v>0.9</v>
      </c>
      <c r="R379" s="110" cm="1">
        <f t="array" ref="R379">INDEX('TAG e inad.'!$C$4:$AF$6,MATCH($C379,'TAG e inad.'!$B$4:$B$6,0),DUF!R$376)</f>
        <v>0.9</v>
      </c>
      <c r="S379" s="110" cm="1">
        <f t="array" ref="S379">INDEX('TAG e inad.'!$C$4:$AF$6,MATCH($C379,'TAG e inad.'!$B$4:$B$6,0),DUF!S$376)</f>
        <v>0.9</v>
      </c>
      <c r="T379" s="110" cm="1">
        <f t="array" ref="T379">INDEX('TAG e inad.'!$C$4:$AF$6,MATCH($C379,'TAG e inad.'!$B$4:$B$6,0),DUF!T$376)</f>
        <v>0.9</v>
      </c>
      <c r="U379" s="110" cm="1">
        <f t="array" ref="U379">INDEX('TAG e inad.'!$C$4:$AF$6,MATCH($C379,'TAG e inad.'!$B$4:$B$6,0),DUF!U$376)</f>
        <v>0.9</v>
      </c>
      <c r="V379" s="110" cm="1">
        <f t="array" ref="V379">INDEX('TAG e inad.'!$C$4:$AF$6,MATCH($C379,'TAG e inad.'!$B$4:$B$6,0),DUF!V$376)</f>
        <v>0.9</v>
      </c>
      <c r="W379" s="110" cm="1">
        <f t="array" ref="W379">INDEX('TAG e inad.'!$C$4:$AF$6,MATCH($C379,'TAG e inad.'!$B$4:$B$6,0),DUF!W$376)</f>
        <v>0.9</v>
      </c>
      <c r="X379" s="110" cm="1">
        <f t="array" ref="X379">INDEX('TAG e inad.'!$C$4:$AF$6,MATCH($C379,'TAG e inad.'!$B$4:$B$6,0),DUF!X$376)</f>
        <v>0.9</v>
      </c>
      <c r="Y379" s="110" cm="1">
        <f t="array" ref="Y379">INDEX('TAG e inad.'!$C$4:$AF$6,MATCH($C379,'TAG e inad.'!$B$4:$B$6,0),DUF!Y$376)</f>
        <v>0.9</v>
      </c>
      <c r="Z379" s="110" cm="1">
        <f t="array" ref="Z379">INDEX('TAG e inad.'!$C$4:$AF$6,MATCH($C379,'TAG e inad.'!$B$4:$B$6,0),DUF!Z$376)</f>
        <v>0.9</v>
      </c>
      <c r="AA379" s="110" cm="1">
        <f t="array" ref="AA379">INDEX('TAG e inad.'!$C$4:$AF$6,MATCH($C379,'TAG e inad.'!$B$4:$B$6,0),DUF!AA$376)</f>
        <v>0.9</v>
      </c>
      <c r="AB379" s="110" cm="1">
        <f t="array" ref="AB379">INDEX('TAG e inad.'!$C$4:$AF$6,MATCH($C379,'TAG e inad.'!$B$4:$B$6,0),DUF!AB$376)</f>
        <v>0.9</v>
      </c>
      <c r="AC379" s="110" cm="1">
        <f t="array" ref="AC379">INDEX('TAG e inad.'!$C$4:$AF$6,MATCH($C379,'TAG e inad.'!$B$4:$B$6,0),DUF!AC$376)</f>
        <v>0.9</v>
      </c>
      <c r="AD379" s="110" cm="1">
        <f t="array" ref="AD379">INDEX('TAG e inad.'!$C$4:$AF$6,MATCH($C379,'TAG e inad.'!$B$4:$B$6,0),DUF!AD$376)</f>
        <v>0.9</v>
      </c>
      <c r="AE379" s="110" cm="1">
        <f t="array" ref="AE379">INDEX('TAG e inad.'!$C$4:$AF$6,MATCH($C379,'TAG e inad.'!$B$4:$B$6,0),DUF!AE$376)</f>
        <v>0.9</v>
      </c>
      <c r="AF379" s="110" cm="1">
        <f t="array" ref="AF379">INDEX('TAG e inad.'!$C$4:$AF$6,MATCH($C379,'TAG e inad.'!$B$4:$B$6,0),DUF!AF$376)</f>
        <v>0.9</v>
      </c>
      <c r="AG379" s="110" cm="1">
        <f t="array" ref="AG379">INDEX('TAG e inad.'!$C$4:$AF$6,MATCH($C379,'TAG e inad.'!$B$4:$B$6,0),DUF!AG$376)</f>
        <v>0.9</v>
      </c>
    </row>
    <row r="380" spans="2:33">
      <c r="B380" s="250" t="str">
        <v>Veículos Comerciais com 3 Eixos</v>
      </c>
      <c r="C380" s="122" t="str">
        <v>Pesados I</v>
      </c>
      <c r="D380" s="110" cm="1">
        <f t="array" ref="D380">INDEX('TAG e inad.'!$C$4:$AF$6,MATCH($C380,'TAG e inad.'!$B$4:$B$6,0),DUF!D$376)</f>
        <v>0.5</v>
      </c>
      <c r="E380" s="110" cm="1">
        <f t="array" ref="E380">INDEX('TAG e inad.'!$C$4:$AF$6,MATCH($C380,'TAG e inad.'!$B$4:$B$6,0),DUF!E$376)</f>
        <v>0.56999999999999995</v>
      </c>
      <c r="F380" s="110" cm="1">
        <f t="array" ref="F380">INDEX('TAG e inad.'!$C$4:$AF$6,MATCH($C380,'TAG e inad.'!$B$4:$B$6,0),DUF!F$376)</f>
        <v>0.65</v>
      </c>
      <c r="G380" s="110" cm="1">
        <f t="array" ref="G380">INDEX('TAG e inad.'!$C$4:$AF$6,MATCH($C380,'TAG e inad.'!$B$4:$B$6,0),DUF!G$376)</f>
        <v>0.72</v>
      </c>
      <c r="H380" s="110" cm="1">
        <f t="array" ref="H380">INDEX('TAG e inad.'!$C$4:$AF$6,MATCH($C380,'TAG e inad.'!$B$4:$B$6,0),DUF!H$376)</f>
        <v>0.78</v>
      </c>
      <c r="I380" s="110" cm="1">
        <f t="array" ref="I380">INDEX('TAG e inad.'!$C$4:$AF$6,MATCH($C380,'TAG e inad.'!$B$4:$B$6,0),DUF!I$376)</f>
        <v>0.82</v>
      </c>
      <c r="J380" s="110" cm="1">
        <f t="array" ref="J380">INDEX('TAG e inad.'!$C$4:$AF$6,MATCH($C380,'TAG e inad.'!$B$4:$B$6,0),DUF!J$376)</f>
        <v>0.86</v>
      </c>
      <c r="K380" s="110" cm="1">
        <f t="array" ref="K380">INDEX('TAG e inad.'!$C$4:$AF$6,MATCH($C380,'TAG e inad.'!$B$4:$B$6,0),DUF!K$376)</f>
        <v>0.89</v>
      </c>
      <c r="L380" s="110" cm="1">
        <f t="array" ref="L380">INDEX('TAG e inad.'!$C$4:$AF$6,MATCH($C380,'TAG e inad.'!$B$4:$B$6,0),DUF!L$376)</f>
        <v>0.9</v>
      </c>
      <c r="M380" s="110" cm="1">
        <f t="array" ref="M380">INDEX('TAG e inad.'!$C$4:$AF$6,MATCH($C380,'TAG e inad.'!$B$4:$B$6,0),DUF!M$376)</f>
        <v>0.9</v>
      </c>
      <c r="N380" s="110" cm="1">
        <f t="array" ref="N380">INDEX('TAG e inad.'!$C$4:$AF$6,MATCH($C380,'TAG e inad.'!$B$4:$B$6,0),DUF!N$376)</f>
        <v>0.9</v>
      </c>
      <c r="O380" s="110" cm="1">
        <f t="array" ref="O380">INDEX('TAG e inad.'!$C$4:$AF$6,MATCH($C380,'TAG e inad.'!$B$4:$B$6,0),DUF!O$376)</f>
        <v>0.9</v>
      </c>
      <c r="P380" s="110" cm="1">
        <f t="array" ref="P380">INDEX('TAG e inad.'!$C$4:$AF$6,MATCH($C380,'TAG e inad.'!$B$4:$B$6,0),DUF!P$376)</f>
        <v>0.9</v>
      </c>
      <c r="Q380" s="110" cm="1">
        <f t="array" ref="Q380">INDEX('TAG e inad.'!$C$4:$AF$6,MATCH($C380,'TAG e inad.'!$B$4:$B$6,0),DUF!Q$376)</f>
        <v>0.9</v>
      </c>
      <c r="R380" s="110" cm="1">
        <f t="array" ref="R380">INDEX('TAG e inad.'!$C$4:$AF$6,MATCH($C380,'TAG e inad.'!$B$4:$B$6,0),DUF!R$376)</f>
        <v>0.9</v>
      </c>
      <c r="S380" s="110" cm="1">
        <f t="array" ref="S380">INDEX('TAG e inad.'!$C$4:$AF$6,MATCH($C380,'TAG e inad.'!$B$4:$B$6,0),DUF!S$376)</f>
        <v>0.9</v>
      </c>
      <c r="T380" s="110" cm="1">
        <f t="array" ref="T380">INDEX('TAG e inad.'!$C$4:$AF$6,MATCH($C380,'TAG e inad.'!$B$4:$B$6,0),DUF!T$376)</f>
        <v>0.9</v>
      </c>
      <c r="U380" s="110" cm="1">
        <f t="array" ref="U380">INDEX('TAG e inad.'!$C$4:$AF$6,MATCH($C380,'TAG e inad.'!$B$4:$B$6,0),DUF!U$376)</f>
        <v>0.9</v>
      </c>
      <c r="V380" s="110" cm="1">
        <f t="array" ref="V380">INDEX('TAG e inad.'!$C$4:$AF$6,MATCH($C380,'TAG e inad.'!$B$4:$B$6,0),DUF!V$376)</f>
        <v>0.9</v>
      </c>
      <c r="W380" s="110" cm="1">
        <f t="array" ref="W380">INDEX('TAG e inad.'!$C$4:$AF$6,MATCH($C380,'TAG e inad.'!$B$4:$B$6,0),DUF!W$376)</f>
        <v>0.9</v>
      </c>
      <c r="X380" s="110" cm="1">
        <f t="array" ref="X380">INDEX('TAG e inad.'!$C$4:$AF$6,MATCH($C380,'TAG e inad.'!$B$4:$B$6,0),DUF!X$376)</f>
        <v>0.9</v>
      </c>
      <c r="Y380" s="110" cm="1">
        <f t="array" ref="Y380">INDEX('TAG e inad.'!$C$4:$AF$6,MATCH($C380,'TAG e inad.'!$B$4:$B$6,0),DUF!Y$376)</f>
        <v>0.9</v>
      </c>
      <c r="Z380" s="110" cm="1">
        <f t="array" ref="Z380">INDEX('TAG e inad.'!$C$4:$AF$6,MATCH($C380,'TAG e inad.'!$B$4:$B$6,0),DUF!Z$376)</f>
        <v>0.9</v>
      </c>
      <c r="AA380" s="110" cm="1">
        <f t="array" ref="AA380">INDEX('TAG e inad.'!$C$4:$AF$6,MATCH($C380,'TAG e inad.'!$B$4:$B$6,0),DUF!AA$376)</f>
        <v>0.9</v>
      </c>
      <c r="AB380" s="110" cm="1">
        <f t="array" ref="AB380">INDEX('TAG e inad.'!$C$4:$AF$6,MATCH($C380,'TAG e inad.'!$B$4:$B$6,0),DUF!AB$376)</f>
        <v>0.9</v>
      </c>
      <c r="AC380" s="110" cm="1">
        <f t="array" ref="AC380">INDEX('TAG e inad.'!$C$4:$AF$6,MATCH($C380,'TAG e inad.'!$B$4:$B$6,0),DUF!AC$376)</f>
        <v>0.9</v>
      </c>
      <c r="AD380" s="110" cm="1">
        <f t="array" ref="AD380">INDEX('TAG e inad.'!$C$4:$AF$6,MATCH($C380,'TAG e inad.'!$B$4:$B$6,0),DUF!AD$376)</f>
        <v>0.9</v>
      </c>
      <c r="AE380" s="110" cm="1">
        <f t="array" ref="AE380">INDEX('TAG e inad.'!$C$4:$AF$6,MATCH($C380,'TAG e inad.'!$B$4:$B$6,0),DUF!AE$376)</f>
        <v>0.9</v>
      </c>
      <c r="AF380" s="110" cm="1">
        <f t="array" ref="AF380">INDEX('TAG e inad.'!$C$4:$AF$6,MATCH($C380,'TAG e inad.'!$B$4:$B$6,0),DUF!AF$376)</f>
        <v>0.9</v>
      </c>
      <c r="AG380" s="110" cm="1">
        <f t="array" ref="AG380">INDEX('TAG e inad.'!$C$4:$AF$6,MATCH($C380,'TAG e inad.'!$B$4:$B$6,0),DUF!AG$376)</f>
        <v>0.9</v>
      </c>
    </row>
    <row r="381" spans="2:33">
      <c r="B381" s="250" t="str">
        <v>Veículos Comerciais com 4 Eixos</v>
      </c>
      <c r="C381" s="122" t="str">
        <v>Pesados I</v>
      </c>
      <c r="D381" s="110" cm="1">
        <f t="array" ref="D381">INDEX('TAG e inad.'!$C$4:$AF$6,MATCH($C381,'TAG e inad.'!$B$4:$B$6,0),DUF!D$376)</f>
        <v>0.5</v>
      </c>
      <c r="E381" s="110" cm="1">
        <f t="array" ref="E381">INDEX('TAG e inad.'!$C$4:$AF$6,MATCH($C381,'TAG e inad.'!$B$4:$B$6,0),DUF!E$376)</f>
        <v>0.56999999999999995</v>
      </c>
      <c r="F381" s="110" cm="1">
        <f t="array" ref="F381">INDEX('TAG e inad.'!$C$4:$AF$6,MATCH($C381,'TAG e inad.'!$B$4:$B$6,0),DUF!F$376)</f>
        <v>0.65</v>
      </c>
      <c r="G381" s="110" cm="1">
        <f t="array" ref="G381">INDEX('TAG e inad.'!$C$4:$AF$6,MATCH($C381,'TAG e inad.'!$B$4:$B$6,0),DUF!G$376)</f>
        <v>0.72</v>
      </c>
      <c r="H381" s="110" cm="1">
        <f t="array" ref="H381">INDEX('TAG e inad.'!$C$4:$AF$6,MATCH($C381,'TAG e inad.'!$B$4:$B$6,0),DUF!H$376)</f>
        <v>0.78</v>
      </c>
      <c r="I381" s="110" cm="1">
        <f t="array" ref="I381">INDEX('TAG e inad.'!$C$4:$AF$6,MATCH($C381,'TAG e inad.'!$B$4:$B$6,0),DUF!I$376)</f>
        <v>0.82</v>
      </c>
      <c r="J381" s="110" cm="1">
        <f t="array" ref="J381">INDEX('TAG e inad.'!$C$4:$AF$6,MATCH($C381,'TAG e inad.'!$B$4:$B$6,0),DUF!J$376)</f>
        <v>0.86</v>
      </c>
      <c r="K381" s="110" cm="1">
        <f t="array" ref="K381">INDEX('TAG e inad.'!$C$4:$AF$6,MATCH($C381,'TAG e inad.'!$B$4:$B$6,0),DUF!K$376)</f>
        <v>0.89</v>
      </c>
      <c r="L381" s="110" cm="1">
        <f t="array" ref="L381">INDEX('TAG e inad.'!$C$4:$AF$6,MATCH($C381,'TAG e inad.'!$B$4:$B$6,0),DUF!L$376)</f>
        <v>0.9</v>
      </c>
      <c r="M381" s="110" cm="1">
        <f t="array" ref="M381">INDEX('TAG e inad.'!$C$4:$AF$6,MATCH($C381,'TAG e inad.'!$B$4:$B$6,0),DUF!M$376)</f>
        <v>0.9</v>
      </c>
      <c r="N381" s="110" cm="1">
        <f t="array" ref="N381">INDEX('TAG e inad.'!$C$4:$AF$6,MATCH($C381,'TAG e inad.'!$B$4:$B$6,0),DUF!N$376)</f>
        <v>0.9</v>
      </c>
      <c r="O381" s="110" cm="1">
        <f t="array" ref="O381">INDEX('TAG e inad.'!$C$4:$AF$6,MATCH($C381,'TAG e inad.'!$B$4:$B$6,0),DUF!O$376)</f>
        <v>0.9</v>
      </c>
      <c r="P381" s="110" cm="1">
        <f t="array" ref="P381">INDEX('TAG e inad.'!$C$4:$AF$6,MATCH($C381,'TAG e inad.'!$B$4:$B$6,0),DUF!P$376)</f>
        <v>0.9</v>
      </c>
      <c r="Q381" s="110" cm="1">
        <f t="array" ref="Q381">INDEX('TAG e inad.'!$C$4:$AF$6,MATCH($C381,'TAG e inad.'!$B$4:$B$6,0),DUF!Q$376)</f>
        <v>0.9</v>
      </c>
      <c r="R381" s="110" cm="1">
        <f t="array" ref="R381">INDEX('TAG e inad.'!$C$4:$AF$6,MATCH($C381,'TAG e inad.'!$B$4:$B$6,0),DUF!R$376)</f>
        <v>0.9</v>
      </c>
      <c r="S381" s="110" cm="1">
        <f t="array" ref="S381">INDEX('TAG e inad.'!$C$4:$AF$6,MATCH($C381,'TAG e inad.'!$B$4:$B$6,0),DUF!S$376)</f>
        <v>0.9</v>
      </c>
      <c r="T381" s="110" cm="1">
        <f t="array" ref="T381">INDEX('TAG e inad.'!$C$4:$AF$6,MATCH($C381,'TAG e inad.'!$B$4:$B$6,0),DUF!T$376)</f>
        <v>0.9</v>
      </c>
      <c r="U381" s="110" cm="1">
        <f t="array" ref="U381">INDEX('TAG e inad.'!$C$4:$AF$6,MATCH($C381,'TAG e inad.'!$B$4:$B$6,0),DUF!U$376)</f>
        <v>0.9</v>
      </c>
      <c r="V381" s="110" cm="1">
        <f t="array" ref="V381">INDEX('TAG e inad.'!$C$4:$AF$6,MATCH($C381,'TAG e inad.'!$B$4:$B$6,0),DUF!V$376)</f>
        <v>0.9</v>
      </c>
      <c r="W381" s="110" cm="1">
        <f t="array" ref="W381">INDEX('TAG e inad.'!$C$4:$AF$6,MATCH($C381,'TAG e inad.'!$B$4:$B$6,0),DUF!W$376)</f>
        <v>0.9</v>
      </c>
      <c r="X381" s="110" cm="1">
        <f t="array" ref="X381">INDEX('TAG e inad.'!$C$4:$AF$6,MATCH($C381,'TAG e inad.'!$B$4:$B$6,0),DUF!X$376)</f>
        <v>0.9</v>
      </c>
      <c r="Y381" s="110" cm="1">
        <f t="array" ref="Y381">INDEX('TAG e inad.'!$C$4:$AF$6,MATCH($C381,'TAG e inad.'!$B$4:$B$6,0),DUF!Y$376)</f>
        <v>0.9</v>
      </c>
      <c r="Z381" s="110" cm="1">
        <f t="array" ref="Z381">INDEX('TAG e inad.'!$C$4:$AF$6,MATCH($C381,'TAG e inad.'!$B$4:$B$6,0),DUF!Z$376)</f>
        <v>0.9</v>
      </c>
      <c r="AA381" s="110" cm="1">
        <f t="array" ref="AA381">INDEX('TAG e inad.'!$C$4:$AF$6,MATCH($C381,'TAG e inad.'!$B$4:$B$6,0),DUF!AA$376)</f>
        <v>0.9</v>
      </c>
      <c r="AB381" s="110" cm="1">
        <f t="array" ref="AB381">INDEX('TAG e inad.'!$C$4:$AF$6,MATCH($C381,'TAG e inad.'!$B$4:$B$6,0),DUF!AB$376)</f>
        <v>0.9</v>
      </c>
      <c r="AC381" s="110" cm="1">
        <f t="array" ref="AC381">INDEX('TAG e inad.'!$C$4:$AF$6,MATCH($C381,'TAG e inad.'!$B$4:$B$6,0),DUF!AC$376)</f>
        <v>0.9</v>
      </c>
      <c r="AD381" s="110" cm="1">
        <f t="array" ref="AD381">INDEX('TAG e inad.'!$C$4:$AF$6,MATCH($C381,'TAG e inad.'!$B$4:$B$6,0),DUF!AD$376)</f>
        <v>0.9</v>
      </c>
      <c r="AE381" s="110" cm="1">
        <f t="array" ref="AE381">INDEX('TAG e inad.'!$C$4:$AF$6,MATCH($C381,'TAG e inad.'!$B$4:$B$6,0),DUF!AE$376)</f>
        <v>0.9</v>
      </c>
      <c r="AF381" s="110" cm="1">
        <f t="array" ref="AF381">INDEX('TAG e inad.'!$C$4:$AF$6,MATCH($C381,'TAG e inad.'!$B$4:$B$6,0),DUF!AF$376)</f>
        <v>0.9</v>
      </c>
      <c r="AG381" s="110" cm="1">
        <f t="array" ref="AG381">INDEX('TAG e inad.'!$C$4:$AF$6,MATCH($C381,'TAG e inad.'!$B$4:$B$6,0),DUF!AG$376)</f>
        <v>0.9</v>
      </c>
    </row>
    <row r="382" spans="2:33">
      <c r="B382" s="250" t="str">
        <v>Veículos Comerciais com 5 Eixos Articulado</v>
      </c>
      <c r="C382" s="122" t="str">
        <v>Pesados II</v>
      </c>
      <c r="D382" s="110" cm="1">
        <f t="array" ref="D382">INDEX('TAG e inad.'!$C$4:$AF$6,MATCH($C382,'TAG e inad.'!$B$4:$B$6,0),DUF!D$376)</f>
        <v>0.5</v>
      </c>
      <c r="E382" s="110" cm="1">
        <f t="array" ref="E382">INDEX('TAG e inad.'!$C$4:$AF$6,MATCH($C382,'TAG e inad.'!$B$4:$B$6,0),DUF!E$376)</f>
        <v>0.56999999999999995</v>
      </c>
      <c r="F382" s="110" cm="1">
        <f t="array" ref="F382">INDEX('TAG e inad.'!$C$4:$AF$6,MATCH($C382,'TAG e inad.'!$B$4:$B$6,0),DUF!F$376)</f>
        <v>0.65</v>
      </c>
      <c r="G382" s="110" cm="1">
        <f t="array" ref="G382">INDEX('TAG e inad.'!$C$4:$AF$6,MATCH($C382,'TAG e inad.'!$B$4:$B$6,0),DUF!G$376)</f>
        <v>0.72</v>
      </c>
      <c r="H382" s="110" cm="1">
        <f t="array" ref="H382">INDEX('TAG e inad.'!$C$4:$AF$6,MATCH($C382,'TAG e inad.'!$B$4:$B$6,0),DUF!H$376)</f>
        <v>0.78</v>
      </c>
      <c r="I382" s="110" cm="1">
        <f t="array" ref="I382">INDEX('TAG e inad.'!$C$4:$AF$6,MATCH($C382,'TAG e inad.'!$B$4:$B$6,0),DUF!I$376)</f>
        <v>0.82</v>
      </c>
      <c r="J382" s="110" cm="1">
        <f t="array" ref="J382">INDEX('TAG e inad.'!$C$4:$AF$6,MATCH($C382,'TAG e inad.'!$B$4:$B$6,0),DUF!J$376)</f>
        <v>0.86</v>
      </c>
      <c r="K382" s="110" cm="1">
        <f t="array" ref="K382">INDEX('TAG e inad.'!$C$4:$AF$6,MATCH($C382,'TAG e inad.'!$B$4:$B$6,0),DUF!K$376)</f>
        <v>0.89</v>
      </c>
      <c r="L382" s="110" cm="1">
        <f t="array" ref="L382">INDEX('TAG e inad.'!$C$4:$AF$6,MATCH($C382,'TAG e inad.'!$B$4:$B$6,0),DUF!L$376)</f>
        <v>0.9</v>
      </c>
      <c r="M382" s="110" cm="1">
        <f t="array" ref="M382">INDEX('TAG e inad.'!$C$4:$AF$6,MATCH($C382,'TAG e inad.'!$B$4:$B$6,0),DUF!M$376)</f>
        <v>0.9</v>
      </c>
      <c r="N382" s="110" cm="1">
        <f t="array" ref="N382">INDEX('TAG e inad.'!$C$4:$AF$6,MATCH($C382,'TAG e inad.'!$B$4:$B$6,0),DUF!N$376)</f>
        <v>0.9</v>
      </c>
      <c r="O382" s="110" cm="1">
        <f t="array" ref="O382">INDEX('TAG e inad.'!$C$4:$AF$6,MATCH($C382,'TAG e inad.'!$B$4:$B$6,0),DUF!O$376)</f>
        <v>0.9</v>
      </c>
      <c r="P382" s="110" cm="1">
        <f t="array" ref="P382">INDEX('TAG e inad.'!$C$4:$AF$6,MATCH($C382,'TAG e inad.'!$B$4:$B$6,0),DUF!P$376)</f>
        <v>0.9</v>
      </c>
      <c r="Q382" s="110" cm="1">
        <f t="array" ref="Q382">INDEX('TAG e inad.'!$C$4:$AF$6,MATCH($C382,'TAG e inad.'!$B$4:$B$6,0),DUF!Q$376)</f>
        <v>0.9</v>
      </c>
      <c r="R382" s="110" cm="1">
        <f t="array" ref="R382">INDEX('TAG e inad.'!$C$4:$AF$6,MATCH($C382,'TAG e inad.'!$B$4:$B$6,0),DUF!R$376)</f>
        <v>0.9</v>
      </c>
      <c r="S382" s="110" cm="1">
        <f t="array" ref="S382">INDEX('TAG e inad.'!$C$4:$AF$6,MATCH($C382,'TAG e inad.'!$B$4:$B$6,0),DUF!S$376)</f>
        <v>0.9</v>
      </c>
      <c r="T382" s="110" cm="1">
        <f t="array" ref="T382">INDEX('TAG e inad.'!$C$4:$AF$6,MATCH($C382,'TAG e inad.'!$B$4:$B$6,0),DUF!T$376)</f>
        <v>0.9</v>
      </c>
      <c r="U382" s="110" cm="1">
        <f t="array" ref="U382">INDEX('TAG e inad.'!$C$4:$AF$6,MATCH($C382,'TAG e inad.'!$B$4:$B$6,0),DUF!U$376)</f>
        <v>0.9</v>
      </c>
      <c r="V382" s="110" cm="1">
        <f t="array" ref="V382">INDEX('TAG e inad.'!$C$4:$AF$6,MATCH($C382,'TAG e inad.'!$B$4:$B$6,0),DUF!V$376)</f>
        <v>0.9</v>
      </c>
      <c r="W382" s="110" cm="1">
        <f t="array" ref="W382">INDEX('TAG e inad.'!$C$4:$AF$6,MATCH($C382,'TAG e inad.'!$B$4:$B$6,0),DUF!W$376)</f>
        <v>0.9</v>
      </c>
      <c r="X382" s="110" cm="1">
        <f t="array" ref="X382">INDEX('TAG e inad.'!$C$4:$AF$6,MATCH($C382,'TAG e inad.'!$B$4:$B$6,0),DUF!X$376)</f>
        <v>0.9</v>
      </c>
      <c r="Y382" s="110" cm="1">
        <f t="array" ref="Y382">INDEX('TAG e inad.'!$C$4:$AF$6,MATCH($C382,'TAG e inad.'!$B$4:$B$6,0),DUF!Y$376)</f>
        <v>0.9</v>
      </c>
      <c r="Z382" s="110" cm="1">
        <f t="array" ref="Z382">INDEX('TAG e inad.'!$C$4:$AF$6,MATCH($C382,'TAG e inad.'!$B$4:$B$6,0),DUF!Z$376)</f>
        <v>0.9</v>
      </c>
      <c r="AA382" s="110" cm="1">
        <f t="array" ref="AA382">INDEX('TAG e inad.'!$C$4:$AF$6,MATCH($C382,'TAG e inad.'!$B$4:$B$6,0),DUF!AA$376)</f>
        <v>0.9</v>
      </c>
      <c r="AB382" s="110" cm="1">
        <f t="array" ref="AB382">INDEX('TAG e inad.'!$C$4:$AF$6,MATCH($C382,'TAG e inad.'!$B$4:$B$6,0),DUF!AB$376)</f>
        <v>0.9</v>
      </c>
      <c r="AC382" s="110" cm="1">
        <f t="array" ref="AC382">INDEX('TAG e inad.'!$C$4:$AF$6,MATCH($C382,'TAG e inad.'!$B$4:$B$6,0),DUF!AC$376)</f>
        <v>0.9</v>
      </c>
      <c r="AD382" s="110" cm="1">
        <f t="array" ref="AD382">INDEX('TAG e inad.'!$C$4:$AF$6,MATCH($C382,'TAG e inad.'!$B$4:$B$6,0),DUF!AD$376)</f>
        <v>0.9</v>
      </c>
      <c r="AE382" s="110" cm="1">
        <f t="array" ref="AE382">INDEX('TAG e inad.'!$C$4:$AF$6,MATCH($C382,'TAG e inad.'!$B$4:$B$6,0),DUF!AE$376)</f>
        <v>0.9</v>
      </c>
      <c r="AF382" s="110" cm="1">
        <f t="array" ref="AF382">INDEX('TAG e inad.'!$C$4:$AF$6,MATCH($C382,'TAG e inad.'!$B$4:$B$6,0),DUF!AF$376)</f>
        <v>0.9</v>
      </c>
      <c r="AG382" s="110" cm="1">
        <f t="array" ref="AG382">INDEX('TAG e inad.'!$C$4:$AF$6,MATCH($C382,'TAG e inad.'!$B$4:$B$6,0),DUF!AG$376)</f>
        <v>0.9</v>
      </c>
    </row>
    <row r="383" spans="2:33">
      <c r="B383" s="250" t="str">
        <v>Veículos Comerciais com 6 Eixos Articulado</v>
      </c>
      <c r="C383" s="122" t="str">
        <v>Pesados II</v>
      </c>
      <c r="D383" s="110" cm="1">
        <f t="array" ref="D383">INDEX('TAG e inad.'!$C$4:$AF$6,MATCH($C383,'TAG e inad.'!$B$4:$B$6,0),DUF!D$376)</f>
        <v>0.5</v>
      </c>
      <c r="E383" s="110" cm="1">
        <f t="array" ref="E383">INDEX('TAG e inad.'!$C$4:$AF$6,MATCH($C383,'TAG e inad.'!$B$4:$B$6,0),DUF!E$376)</f>
        <v>0.56999999999999995</v>
      </c>
      <c r="F383" s="110" cm="1">
        <f t="array" ref="F383">INDEX('TAG e inad.'!$C$4:$AF$6,MATCH($C383,'TAG e inad.'!$B$4:$B$6,0),DUF!F$376)</f>
        <v>0.65</v>
      </c>
      <c r="G383" s="110" cm="1">
        <f t="array" ref="G383">INDEX('TAG e inad.'!$C$4:$AF$6,MATCH($C383,'TAG e inad.'!$B$4:$B$6,0),DUF!G$376)</f>
        <v>0.72</v>
      </c>
      <c r="H383" s="110" cm="1">
        <f t="array" ref="H383">INDEX('TAG e inad.'!$C$4:$AF$6,MATCH($C383,'TAG e inad.'!$B$4:$B$6,0),DUF!H$376)</f>
        <v>0.78</v>
      </c>
      <c r="I383" s="110" cm="1">
        <f t="array" ref="I383">INDEX('TAG e inad.'!$C$4:$AF$6,MATCH($C383,'TAG e inad.'!$B$4:$B$6,0),DUF!I$376)</f>
        <v>0.82</v>
      </c>
      <c r="J383" s="110" cm="1">
        <f t="array" ref="J383">INDEX('TAG e inad.'!$C$4:$AF$6,MATCH($C383,'TAG e inad.'!$B$4:$B$6,0),DUF!J$376)</f>
        <v>0.86</v>
      </c>
      <c r="K383" s="110" cm="1">
        <f t="array" ref="K383">INDEX('TAG e inad.'!$C$4:$AF$6,MATCH($C383,'TAG e inad.'!$B$4:$B$6,0),DUF!K$376)</f>
        <v>0.89</v>
      </c>
      <c r="L383" s="110" cm="1">
        <f t="array" ref="L383">INDEX('TAG e inad.'!$C$4:$AF$6,MATCH($C383,'TAG e inad.'!$B$4:$B$6,0),DUF!L$376)</f>
        <v>0.9</v>
      </c>
      <c r="M383" s="110" cm="1">
        <f t="array" ref="M383">INDEX('TAG e inad.'!$C$4:$AF$6,MATCH($C383,'TAG e inad.'!$B$4:$B$6,0),DUF!M$376)</f>
        <v>0.9</v>
      </c>
      <c r="N383" s="110" cm="1">
        <f t="array" ref="N383">INDEX('TAG e inad.'!$C$4:$AF$6,MATCH($C383,'TAG e inad.'!$B$4:$B$6,0),DUF!N$376)</f>
        <v>0.9</v>
      </c>
      <c r="O383" s="110" cm="1">
        <f t="array" ref="O383">INDEX('TAG e inad.'!$C$4:$AF$6,MATCH($C383,'TAG e inad.'!$B$4:$B$6,0),DUF!O$376)</f>
        <v>0.9</v>
      </c>
      <c r="P383" s="110" cm="1">
        <f t="array" ref="P383">INDEX('TAG e inad.'!$C$4:$AF$6,MATCH($C383,'TAG e inad.'!$B$4:$B$6,0),DUF!P$376)</f>
        <v>0.9</v>
      </c>
      <c r="Q383" s="110" cm="1">
        <f t="array" ref="Q383">INDEX('TAG e inad.'!$C$4:$AF$6,MATCH($C383,'TAG e inad.'!$B$4:$B$6,0),DUF!Q$376)</f>
        <v>0.9</v>
      </c>
      <c r="R383" s="110" cm="1">
        <f t="array" ref="R383">INDEX('TAG e inad.'!$C$4:$AF$6,MATCH($C383,'TAG e inad.'!$B$4:$B$6,0),DUF!R$376)</f>
        <v>0.9</v>
      </c>
      <c r="S383" s="110" cm="1">
        <f t="array" ref="S383">INDEX('TAG e inad.'!$C$4:$AF$6,MATCH($C383,'TAG e inad.'!$B$4:$B$6,0),DUF!S$376)</f>
        <v>0.9</v>
      </c>
      <c r="T383" s="110" cm="1">
        <f t="array" ref="T383">INDEX('TAG e inad.'!$C$4:$AF$6,MATCH($C383,'TAG e inad.'!$B$4:$B$6,0),DUF!T$376)</f>
        <v>0.9</v>
      </c>
      <c r="U383" s="110" cm="1">
        <f t="array" ref="U383">INDEX('TAG e inad.'!$C$4:$AF$6,MATCH($C383,'TAG e inad.'!$B$4:$B$6,0),DUF!U$376)</f>
        <v>0.9</v>
      </c>
      <c r="V383" s="110" cm="1">
        <f t="array" ref="V383">INDEX('TAG e inad.'!$C$4:$AF$6,MATCH($C383,'TAG e inad.'!$B$4:$B$6,0),DUF!V$376)</f>
        <v>0.9</v>
      </c>
      <c r="W383" s="110" cm="1">
        <f t="array" ref="W383">INDEX('TAG e inad.'!$C$4:$AF$6,MATCH($C383,'TAG e inad.'!$B$4:$B$6,0),DUF!W$376)</f>
        <v>0.9</v>
      </c>
      <c r="X383" s="110" cm="1">
        <f t="array" ref="X383">INDEX('TAG e inad.'!$C$4:$AF$6,MATCH($C383,'TAG e inad.'!$B$4:$B$6,0),DUF!X$376)</f>
        <v>0.9</v>
      </c>
      <c r="Y383" s="110" cm="1">
        <f t="array" ref="Y383">INDEX('TAG e inad.'!$C$4:$AF$6,MATCH($C383,'TAG e inad.'!$B$4:$B$6,0),DUF!Y$376)</f>
        <v>0.9</v>
      </c>
      <c r="Z383" s="110" cm="1">
        <f t="array" ref="Z383">INDEX('TAG e inad.'!$C$4:$AF$6,MATCH($C383,'TAG e inad.'!$B$4:$B$6,0),DUF!Z$376)</f>
        <v>0.9</v>
      </c>
      <c r="AA383" s="110" cm="1">
        <f t="array" ref="AA383">INDEX('TAG e inad.'!$C$4:$AF$6,MATCH($C383,'TAG e inad.'!$B$4:$B$6,0),DUF!AA$376)</f>
        <v>0.9</v>
      </c>
      <c r="AB383" s="110" cm="1">
        <f t="array" ref="AB383">INDEX('TAG e inad.'!$C$4:$AF$6,MATCH($C383,'TAG e inad.'!$B$4:$B$6,0),DUF!AB$376)</f>
        <v>0.9</v>
      </c>
      <c r="AC383" s="110" cm="1">
        <f t="array" ref="AC383">INDEX('TAG e inad.'!$C$4:$AF$6,MATCH($C383,'TAG e inad.'!$B$4:$B$6,0),DUF!AC$376)</f>
        <v>0.9</v>
      </c>
      <c r="AD383" s="110" cm="1">
        <f t="array" ref="AD383">INDEX('TAG e inad.'!$C$4:$AF$6,MATCH($C383,'TAG e inad.'!$B$4:$B$6,0),DUF!AD$376)</f>
        <v>0.9</v>
      </c>
      <c r="AE383" s="110" cm="1">
        <f t="array" ref="AE383">INDEX('TAG e inad.'!$C$4:$AF$6,MATCH($C383,'TAG e inad.'!$B$4:$B$6,0),DUF!AE$376)</f>
        <v>0.9</v>
      </c>
      <c r="AF383" s="110" cm="1">
        <f t="array" ref="AF383">INDEX('TAG e inad.'!$C$4:$AF$6,MATCH($C383,'TAG e inad.'!$B$4:$B$6,0),DUF!AF$376)</f>
        <v>0.9</v>
      </c>
      <c r="AG383" s="110" cm="1">
        <f t="array" ref="AG383">INDEX('TAG e inad.'!$C$4:$AF$6,MATCH($C383,'TAG e inad.'!$B$4:$B$6,0),DUF!AG$376)</f>
        <v>0.9</v>
      </c>
    </row>
    <row r="384" spans="2:33">
      <c r="B384" s="250" t="str">
        <v>Veículos Comerciais com 7 Eixos Articulado</v>
      </c>
      <c r="C384" s="122" t="str">
        <v>Pesados II</v>
      </c>
      <c r="D384" s="110" cm="1">
        <f t="array" ref="D384">INDEX('TAG e inad.'!$C$4:$AF$6,MATCH($C384,'TAG e inad.'!$B$4:$B$6,0),DUF!D$376)</f>
        <v>0.5</v>
      </c>
      <c r="E384" s="110" cm="1">
        <f t="array" ref="E384">INDEX('TAG e inad.'!$C$4:$AF$6,MATCH($C384,'TAG e inad.'!$B$4:$B$6,0),DUF!E$376)</f>
        <v>0.56999999999999995</v>
      </c>
      <c r="F384" s="110" cm="1">
        <f t="array" ref="F384">INDEX('TAG e inad.'!$C$4:$AF$6,MATCH($C384,'TAG e inad.'!$B$4:$B$6,0),DUF!F$376)</f>
        <v>0.65</v>
      </c>
      <c r="G384" s="110" cm="1">
        <f t="array" ref="G384">INDEX('TAG e inad.'!$C$4:$AF$6,MATCH($C384,'TAG e inad.'!$B$4:$B$6,0),DUF!G$376)</f>
        <v>0.72</v>
      </c>
      <c r="H384" s="110" cm="1">
        <f t="array" ref="H384">INDEX('TAG e inad.'!$C$4:$AF$6,MATCH($C384,'TAG e inad.'!$B$4:$B$6,0),DUF!H$376)</f>
        <v>0.78</v>
      </c>
      <c r="I384" s="110" cm="1">
        <f t="array" ref="I384">INDEX('TAG e inad.'!$C$4:$AF$6,MATCH($C384,'TAG e inad.'!$B$4:$B$6,0),DUF!I$376)</f>
        <v>0.82</v>
      </c>
      <c r="J384" s="110" cm="1">
        <f t="array" ref="J384">INDEX('TAG e inad.'!$C$4:$AF$6,MATCH($C384,'TAG e inad.'!$B$4:$B$6,0),DUF!J$376)</f>
        <v>0.86</v>
      </c>
      <c r="K384" s="110" cm="1">
        <f t="array" ref="K384">INDEX('TAG e inad.'!$C$4:$AF$6,MATCH($C384,'TAG e inad.'!$B$4:$B$6,0),DUF!K$376)</f>
        <v>0.89</v>
      </c>
      <c r="L384" s="110" cm="1">
        <f t="array" ref="L384">INDEX('TAG e inad.'!$C$4:$AF$6,MATCH($C384,'TAG e inad.'!$B$4:$B$6,0),DUF!L$376)</f>
        <v>0.9</v>
      </c>
      <c r="M384" s="110" cm="1">
        <f t="array" ref="M384">INDEX('TAG e inad.'!$C$4:$AF$6,MATCH($C384,'TAG e inad.'!$B$4:$B$6,0),DUF!M$376)</f>
        <v>0.9</v>
      </c>
      <c r="N384" s="110" cm="1">
        <f t="array" ref="N384">INDEX('TAG e inad.'!$C$4:$AF$6,MATCH($C384,'TAG e inad.'!$B$4:$B$6,0),DUF!N$376)</f>
        <v>0.9</v>
      </c>
      <c r="O384" s="110" cm="1">
        <f t="array" ref="O384">INDEX('TAG e inad.'!$C$4:$AF$6,MATCH($C384,'TAG e inad.'!$B$4:$B$6,0),DUF!O$376)</f>
        <v>0.9</v>
      </c>
      <c r="P384" s="110" cm="1">
        <f t="array" ref="P384">INDEX('TAG e inad.'!$C$4:$AF$6,MATCH($C384,'TAG e inad.'!$B$4:$B$6,0),DUF!P$376)</f>
        <v>0.9</v>
      </c>
      <c r="Q384" s="110" cm="1">
        <f t="array" ref="Q384">INDEX('TAG e inad.'!$C$4:$AF$6,MATCH($C384,'TAG e inad.'!$B$4:$B$6,0),DUF!Q$376)</f>
        <v>0.9</v>
      </c>
      <c r="R384" s="110" cm="1">
        <f t="array" ref="R384">INDEX('TAG e inad.'!$C$4:$AF$6,MATCH($C384,'TAG e inad.'!$B$4:$B$6,0),DUF!R$376)</f>
        <v>0.9</v>
      </c>
      <c r="S384" s="110" cm="1">
        <f t="array" ref="S384">INDEX('TAG e inad.'!$C$4:$AF$6,MATCH($C384,'TAG e inad.'!$B$4:$B$6,0),DUF!S$376)</f>
        <v>0.9</v>
      </c>
      <c r="T384" s="110" cm="1">
        <f t="array" ref="T384">INDEX('TAG e inad.'!$C$4:$AF$6,MATCH($C384,'TAG e inad.'!$B$4:$B$6,0),DUF!T$376)</f>
        <v>0.9</v>
      </c>
      <c r="U384" s="110" cm="1">
        <f t="array" ref="U384">INDEX('TAG e inad.'!$C$4:$AF$6,MATCH($C384,'TAG e inad.'!$B$4:$B$6,0),DUF!U$376)</f>
        <v>0.9</v>
      </c>
      <c r="V384" s="110" cm="1">
        <f t="array" ref="V384">INDEX('TAG e inad.'!$C$4:$AF$6,MATCH($C384,'TAG e inad.'!$B$4:$B$6,0),DUF!V$376)</f>
        <v>0.9</v>
      </c>
      <c r="W384" s="110" cm="1">
        <f t="array" ref="W384">INDEX('TAG e inad.'!$C$4:$AF$6,MATCH($C384,'TAG e inad.'!$B$4:$B$6,0),DUF!W$376)</f>
        <v>0.9</v>
      </c>
      <c r="X384" s="110" cm="1">
        <f t="array" ref="X384">INDEX('TAG e inad.'!$C$4:$AF$6,MATCH($C384,'TAG e inad.'!$B$4:$B$6,0),DUF!X$376)</f>
        <v>0.9</v>
      </c>
      <c r="Y384" s="110" cm="1">
        <f t="array" ref="Y384">INDEX('TAG e inad.'!$C$4:$AF$6,MATCH($C384,'TAG e inad.'!$B$4:$B$6,0),DUF!Y$376)</f>
        <v>0.9</v>
      </c>
      <c r="Z384" s="110" cm="1">
        <f t="array" ref="Z384">INDEX('TAG e inad.'!$C$4:$AF$6,MATCH($C384,'TAG e inad.'!$B$4:$B$6,0),DUF!Z$376)</f>
        <v>0.9</v>
      </c>
      <c r="AA384" s="110" cm="1">
        <f t="array" ref="AA384">INDEX('TAG e inad.'!$C$4:$AF$6,MATCH($C384,'TAG e inad.'!$B$4:$B$6,0),DUF!AA$376)</f>
        <v>0.9</v>
      </c>
      <c r="AB384" s="110" cm="1">
        <f t="array" ref="AB384">INDEX('TAG e inad.'!$C$4:$AF$6,MATCH($C384,'TAG e inad.'!$B$4:$B$6,0),DUF!AB$376)</f>
        <v>0.9</v>
      </c>
      <c r="AC384" s="110" cm="1">
        <f t="array" ref="AC384">INDEX('TAG e inad.'!$C$4:$AF$6,MATCH($C384,'TAG e inad.'!$B$4:$B$6,0),DUF!AC$376)</f>
        <v>0.9</v>
      </c>
      <c r="AD384" s="110" cm="1">
        <f t="array" ref="AD384">INDEX('TAG e inad.'!$C$4:$AF$6,MATCH($C384,'TAG e inad.'!$B$4:$B$6,0),DUF!AD$376)</f>
        <v>0.9</v>
      </c>
      <c r="AE384" s="110" cm="1">
        <f t="array" ref="AE384">INDEX('TAG e inad.'!$C$4:$AF$6,MATCH($C384,'TAG e inad.'!$B$4:$B$6,0),DUF!AE$376)</f>
        <v>0.9</v>
      </c>
      <c r="AF384" s="110" cm="1">
        <f t="array" ref="AF384">INDEX('TAG e inad.'!$C$4:$AF$6,MATCH($C384,'TAG e inad.'!$B$4:$B$6,0),DUF!AF$376)</f>
        <v>0.9</v>
      </c>
      <c r="AG384" s="110" cm="1">
        <f t="array" ref="AG384">INDEX('TAG e inad.'!$C$4:$AF$6,MATCH($C384,'TAG e inad.'!$B$4:$B$6,0),DUF!AG$376)</f>
        <v>0.9</v>
      </c>
    </row>
    <row r="385" spans="2:35">
      <c r="B385" s="250" t="str">
        <v>Veículos Comerciais com 8 Eixos Articulado</v>
      </c>
      <c r="C385" s="122" t="str">
        <v>Pesados II</v>
      </c>
      <c r="D385" s="110" cm="1">
        <f t="array" ref="D385">INDEX('TAG e inad.'!$C$4:$AF$6,MATCH($C385,'TAG e inad.'!$B$4:$B$6,0),DUF!D$376)</f>
        <v>0.5</v>
      </c>
      <c r="E385" s="110" cm="1">
        <f t="array" ref="E385">INDEX('TAG e inad.'!$C$4:$AF$6,MATCH($C385,'TAG e inad.'!$B$4:$B$6,0),DUF!E$376)</f>
        <v>0.56999999999999995</v>
      </c>
      <c r="F385" s="110" cm="1">
        <f t="array" ref="F385">INDEX('TAG e inad.'!$C$4:$AF$6,MATCH($C385,'TAG e inad.'!$B$4:$B$6,0),DUF!F$376)</f>
        <v>0.65</v>
      </c>
      <c r="G385" s="110" cm="1">
        <f t="array" ref="G385">INDEX('TAG e inad.'!$C$4:$AF$6,MATCH($C385,'TAG e inad.'!$B$4:$B$6,0),DUF!G$376)</f>
        <v>0.72</v>
      </c>
      <c r="H385" s="110" cm="1">
        <f t="array" ref="H385">INDEX('TAG e inad.'!$C$4:$AF$6,MATCH($C385,'TAG e inad.'!$B$4:$B$6,0),DUF!H$376)</f>
        <v>0.78</v>
      </c>
      <c r="I385" s="110" cm="1">
        <f t="array" ref="I385">INDEX('TAG e inad.'!$C$4:$AF$6,MATCH($C385,'TAG e inad.'!$B$4:$B$6,0),DUF!I$376)</f>
        <v>0.82</v>
      </c>
      <c r="J385" s="110" cm="1">
        <f t="array" ref="J385">INDEX('TAG e inad.'!$C$4:$AF$6,MATCH($C385,'TAG e inad.'!$B$4:$B$6,0),DUF!J$376)</f>
        <v>0.86</v>
      </c>
      <c r="K385" s="110" cm="1">
        <f t="array" ref="K385">INDEX('TAG e inad.'!$C$4:$AF$6,MATCH($C385,'TAG e inad.'!$B$4:$B$6,0),DUF!K$376)</f>
        <v>0.89</v>
      </c>
      <c r="L385" s="110" cm="1">
        <f t="array" ref="L385">INDEX('TAG e inad.'!$C$4:$AF$6,MATCH($C385,'TAG e inad.'!$B$4:$B$6,0),DUF!L$376)</f>
        <v>0.9</v>
      </c>
      <c r="M385" s="110" cm="1">
        <f t="array" ref="M385">INDEX('TAG e inad.'!$C$4:$AF$6,MATCH($C385,'TAG e inad.'!$B$4:$B$6,0),DUF!M$376)</f>
        <v>0.9</v>
      </c>
      <c r="N385" s="110" cm="1">
        <f t="array" ref="N385">INDEX('TAG e inad.'!$C$4:$AF$6,MATCH($C385,'TAG e inad.'!$B$4:$B$6,0),DUF!N$376)</f>
        <v>0.9</v>
      </c>
      <c r="O385" s="110" cm="1">
        <f t="array" ref="O385">INDEX('TAG e inad.'!$C$4:$AF$6,MATCH($C385,'TAG e inad.'!$B$4:$B$6,0),DUF!O$376)</f>
        <v>0.9</v>
      </c>
      <c r="P385" s="110" cm="1">
        <f t="array" ref="P385">INDEX('TAG e inad.'!$C$4:$AF$6,MATCH($C385,'TAG e inad.'!$B$4:$B$6,0),DUF!P$376)</f>
        <v>0.9</v>
      </c>
      <c r="Q385" s="110" cm="1">
        <f t="array" ref="Q385">INDEX('TAG e inad.'!$C$4:$AF$6,MATCH($C385,'TAG e inad.'!$B$4:$B$6,0),DUF!Q$376)</f>
        <v>0.9</v>
      </c>
      <c r="R385" s="110" cm="1">
        <f t="array" ref="R385">INDEX('TAG e inad.'!$C$4:$AF$6,MATCH($C385,'TAG e inad.'!$B$4:$B$6,0),DUF!R$376)</f>
        <v>0.9</v>
      </c>
      <c r="S385" s="110" cm="1">
        <f t="array" ref="S385">INDEX('TAG e inad.'!$C$4:$AF$6,MATCH($C385,'TAG e inad.'!$B$4:$B$6,0),DUF!S$376)</f>
        <v>0.9</v>
      </c>
      <c r="T385" s="110" cm="1">
        <f t="array" ref="T385">INDEX('TAG e inad.'!$C$4:$AF$6,MATCH($C385,'TAG e inad.'!$B$4:$B$6,0),DUF!T$376)</f>
        <v>0.9</v>
      </c>
      <c r="U385" s="110" cm="1">
        <f t="array" ref="U385">INDEX('TAG e inad.'!$C$4:$AF$6,MATCH($C385,'TAG e inad.'!$B$4:$B$6,0),DUF!U$376)</f>
        <v>0.9</v>
      </c>
      <c r="V385" s="110" cm="1">
        <f t="array" ref="V385">INDEX('TAG e inad.'!$C$4:$AF$6,MATCH($C385,'TAG e inad.'!$B$4:$B$6,0),DUF!V$376)</f>
        <v>0.9</v>
      </c>
      <c r="W385" s="110" cm="1">
        <f t="array" ref="W385">INDEX('TAG e inad.'!$C$4:$AF$6,MATCH($C385,'TAG e inad.'!$B$4:$B$6,0),DUF!W$376)</f>
        <v>0.9</v>
      </c>
      <c r="X385" s="110" cm="1">
        <f t="array" ref="X385">INDEX('TAG e inad.'!$C$4:$AF$6,MATCH($C385,'TAG e inad.'!$B$4:$B$6,0),DUF!X$376)</f>
        <v>0.9</v>
      </c>
      <c r="Y385" s="110" cm="1">
        <f t="array" ref="Y385">INDEX('TAG e inad.'!$C$4:$AF$6,MATCH($C385,'TAG e inad.'!$B$4:$B$6,0),DUF!Y$376)</f>
        <v>0.9</v>
      </c>
      <c r="Z385" s="110" cm="1">
        <f t="array" ref="Z385">INDEX('TAG e inad.'!$C$4:$AF$6,MATCH($C385,'TAG e inad.'!$B$4:$B$6,0),DUF!Z$376)</f>
        <v>0.9</v>
      </c>
      <c r="AA385" s="110" cm="1">
        <f t="array" ref="AA385">INDEX('TAG e inad.'!$C$4:$AF$6,MATCH($C385,'TAG e inad.'!$B$4:$B$6,0),DUF!AA$376)</f>
        <v>0.9</v>
      </c>
      <c r="AB385" s="110" cm="1">
        <f t="array" ref="AB385">INDEX('TAG e inad.'!$C$4:$AF$6,MATCH($C385,'TAG e inad.'!$B$4:$B$6,0),DUF!AB$376)</f>
        <v>0.9</v>
      </c>
      <c r="AC385" s="110" cm="1">
        <f t="array" ref="AC385">INDEX('TAG e inad.'!$C$4:$AF$6,MATCH($C385,'TAG e inad.'!$B$4:$B$6,0),DUF!AC$376)</f>
        <v>0.9</v>
      </c>
      <c r="AD385" s="110" cm="1">
        <f t="array" ref="AD385">INDEX('TAG e inad.'!$C$4:$AF$6,MATCH($C385,'TAG e inad.'!$B$4:$B$6,0),DUF!AD$376)</f>
        <v>0.9</v>
      </c>
      <c r="AE385" s="110" cm="1">
        <f t="array" ref="AE385">INDEX('TAG e inad.'!$C$4:$AF$6,MATCH($C385,'TAG e inad.'!$B$4:$B$6,0),DUF!AE$376)</f>
        <v>0.9</v>
      </c>
      <c r="AF385" s="110" cm="1">
        <f t="array" ref="AF385">INDEX('TAG e inad.'!$C$4:$AF$6,MATCH($C385,'TAG e inad.'!$B$4:$B$6,0),DUF!AF$376)</f>
        <v>0.9</v>
      </c>
      <c r="AG385" s="110" cm="1">
        <f t="array" ref="AG385">INDEX('TAG e inad.'!$C$4:$AF$6,MATCH($C385,'TAG e inad.'!$B$4:$B$6,0),DUF!AG$376)</f>
        <v>0.9</v>
      </c>
    </row>
    <row r="386" spans="2:35">
      <c r="B386" s="250" t="str">
        <v>Veículos Comerciais com 9 Eixos Articulado</v>
      </c>
      <c r="C386" s="122" t="str">
        <v>Pesados II</v>
      </c>
      <c r="D386" s="110" cm="1">
        <f t="array" ref="D386">INDEX('TAG e inad.'!$C$4:$AF$6,MATCH($C386,'TAG e inad.'!$B$4:$B$6,0),DUF!D$376)</f>
        <v>0.5</v>
      </c>
      <c r="E386" s="110" cm="1">
        <f t="array" ref="E386">INDEX('TAG e inad.'!$C$4:$AF$6,MATCH($C386,'TAG e inad.'!$B$4:$B$6,0),DUF!E$376)</f>
        <v>0.56999999999999995</v>
      </c>
      <c r="F386" s="110" cm="1">
        <f t="array" ref="F386">INDEX('TAG e inad.'!$C$4:$AF$6,MATCH($C386,'TAG e inad.'!$B$4:$B$6,0),DUF!F$376)</f>
        <v>0.65</v>
      </c>
      <c r="G386" s="110" cm="1">
        <f t="array" ref="G386">INDEX('TAG e inad.'!$C$4:$AF$6,MATCH($C386,'TAG e inad.'!$B$4:$B$6,0),DUF!G$376)</f>
        <v>0.72</v>
      </c>
      <c r="H386" s="110" cm="1">
        <f t="array" ref="H386">INDEX('TAG e inad.'!$C$4:$AF$6,MATCH($C386,'TAG e inad.'!$B$4:$B$6,0),DUF!H$376)</f>
        <v>0.78</v>
      </c>
      <c r="I386" s="110" cm="1">
        <f t="array" ref="I386">INDEX('TAG e inad.'!$C$4:$AF$6,MATCH($C386,'TAG e inad.'!$B$4:$B$6,0),DUF!I$376)</f>
        <v>0.82</v>
      </c>
      <c r="J386" s="110" cm="1">
        <f t="array" ref="J386">INDEX('TAG e inad.'!$C$4:$AF$6,MATCH($C386,'TAG e inad.'!$B$4:$B$6,0),DUF!J$376)</f>
        <v>0.86</v>
      </c>
      <c r="K386" s="110" cm="1">
        <f t="array" ref="K386">INDEX('TAG e inad.'!$C$4:$AF$6,MATCH($C386,'TAG e inad.'!$B$4:$B$6,0),DUF!K$376)</f>
        <v>0.89</v>
      </c>
      <c r="L386" s="110" cm="1">
        <f t="array" ref="L386">INDEX('TAG e inad.'!$C$4:$AF$6,MATCH($C386,'TAG e inad.'!$B$4:$B$6,0),DUF!L$376)</f>
        <v>0.9</v>
      </c>
      <c r="M386" s="110" cm="1">
        <f t="array" ref="M386">INDEX('TAG e inad.'!$C$4:$AF$6,MATCH($C386,'TAG e inad.'!$B$4:$B$6,0),DUF!M$376)</f>
        <v>0.9</v>
      </c>
      <c r="N386" s="110" cm="1">
        <f t="array" ref="N386">INDEX('TAG e inad.'!$C$4:$AF$6,MATCH($C386,'TAG e inad.'!$B$4:$B$6,0),DUF!N$376)</f>
        <v>0.9</v>
      </c>
      <c r="O386" s="110" cm="1">
        <f t="array" ref="O386">INDEX('TAG e inad.'!$C$4:$AF$6,MATCH($C386,'TAG e inad.'!$B$4:$B$6,0),DUF!O$376)</f>
        <v>0.9</v>
      </c>
      <c r="P386" s="110" cm="1">
        <f t="array" ref="P386">INDEX('TAG e inad.'!$C$4:$AF$6,MATCH($C386,'TAG e inad.'!$B$4:$B$6,0),DUF!P$376)</f>
        <v>0.9</v>
      </c>
      <c r="Q386" s="110" cm="1">
        <f t="array" ref="Q386">INDEX('TAG e inad.'!$C$4:$AF$6,MATCH($C386,'TAG e inad.'!$B$4:$B$6,0),DUF!Q$376)</f>
        <v>0.9</v>
      </c>
      <c r="R386" s="110" cm="1">
        <f t="array" ref="R386">INDEX('TAG e inad.'!$C$4:$AF$6,MATCH($C386,'TAG e inad.'!$B$4:$B$6,0),DUF!R$376)</f>
        <v>0.9</v>
      </c>
      <c r="S386" s="110" cm="1">
        <f t="array" ref="S386">INDEX('TAG e inad.'!$C$4:$AF$6,MATCH($C386,'TAG e inad.'!$B$4:$B$6,0),DUF!S$376)</f>
        <v>0.9</v>
      </c>
      <c r="T386" s="110" cm="1">
        <f t="array" ref="T386">INDEX('TAG e inad.'!$C$4:$AF$6,MATCH($C386,'TAG e inad.'!$B$4:$B$6,0),DUF!T$376)</f>
        <v>0.9</v>
      </c>
      <c r="U386" s="110" cm="1">
        <f t="array" ref="U386">INDEX('TAG e inad.'!$C$4:$AF$6,MATCH($C386,'TAG e inad.'!$B$4:$B$6,0),DUF!U$376)</f>
        <v>0.9</v>
      </c>
      <c r="V386" s="110" cm="1">
        <f t="array" ref="V386">INDEX('TAG e inad.'!$C$4:$AF$6,MATCH($C386,'TAG e inad.'!$B$4:$B$6,0),DUF!V$376)</f>
        <v>0.9</v>
      </c>
      <c r="W386" s="110" cm="1">
        <f t="array" ref="W386">INDEX('TAG e inad.'!$C$4:$AF$6,MATCH($C386,'TAG e inad.'!$B$4:$B$6,0),DUF!W$376)</f>
        <v>0.9</v>
      </c>
      <c r="X386" s="110" cm="1">
        <f t="array" ref="X386">INDEX('TAG e inad.'!$C$4:$AF$6,MATCH($C386,'TAG e inad.'!$B$4:$B$6,0),DUF!X$376)</f>
        <v>0.9</v>
      </c>
      <c r="Y386" s="110" cm="1">
        <f t="array" ref="Y386">INDEX('TAG e inad.'!$C$4:$AF$6,MATCH($C386,'TAG e inad.'!$B$4:$B$6,0),DUF!Y$376)</f>
        <v>0.9</v>
      </c>
      <c r="Z386" s="110" cm="1">
        <f t="array" ref="Z386">INDEX('TAG e inad.'!$C$4:$AF$6,MATCH($C386,'TAG e inad.'!$B$4:$B$6,0),DUF!Z$376)</f>
        <v>0.9</v>
      </c>
      <c r="AA386" s="110" cm="1">
        <f t="array" ref="AA386">INDEX('TAG e inad.'!$C$4:$AF$6,MATCH($C386,'TAG e inad.'!$B$4:$B$6,0),DUF!AA$376)</f>
        <v>0.9</v>
      </c>
      <c r="AB386" s="110" cm="1">
        <f t="array" ref="AB386">INDEX('TAG e inad.'!$C$4:$AF$6,MATCH($C386,'TAG e inad.'!$B$4:$B$6,0),DUF!AB$376)</f>
        <v>0.9</v>
      </c>
      <c r="AC386" s="110" cm="1">
        <f t="array" ref="AC386">INDEX('TAG e inad.'!$C$4:$AF$6,MATCH($C386,'TAG e inad.'!$B$4:$B$6,0),DUF!AC$376)</f>
        <v>0.9</v>
      </c>
      <c r="AD386" s="110" cm="1">
        <f t="array" ref="AD386">INDEX('TAG e inad.'!$C$4:$AF$6,MATCH($C386,'TAG e inad.'!$B$4:$B$6,0),DUF!AD$376)</f>
        <v>0.9</v>
      </c>
      <c r="AE386" s="110" cm="1">
        <f t="array" ref="AE386">INDEX('TAG e inad.'!$C$4:$AF$6,MATCH($C386,'TAG e inad.'!$B$4:$B$6,0),DUF!AE$376)</f>
        <v>0.9</v>
      </c>
      <c r="AF386" s="110" cm="1">
        <f t="array" ref="AF386">INDEX('TAG e inad.'!$C$4:$AF$6,MATCH($C386,'TAG e inad.'!$B$4:$B$6,0),DUF!AF$376)</f>
        <v>0.9</v>
      </c>
      <c r="AG386" s="110" cm="1">
        <f t="array" ref="AG386">INDEX('TAG e inad.'!$C$4:$AF$6,MATCH($C386,'TAG e inad.'!$B$4:$B$6,0),DUF!AG$376)</f>
        <v>0.9</v>
      </c>
    </row>
    <row r="387" spans="2:35">
      <c r="B387" s="251" t="str">
        <v>Motocicleta</v>
      </c>
      <c r="C387" s="122" t="str">
        <v>Leves</v>
      </c>
      <c r="D387" s="110" cm="1">
        <f t="array" ref="D387">INDEX('TAG e inad.'!$C$4:$AF$6,MATCH($C387,'TAG e inad.'!$B$4:$B$6,0),DUF!D$376)</f>
        <v>0.22999999999999998</v>
      </c>
      <c r="E387" s="110" cm="1">
        <f t="array" ref="E387">INDEX('TAG e inad.'!$C$4:$AF$6,MATCH($C387,'TAG e inad.'!$B$4:$B$6,0),DUF!E$376)</f>
        <v>0.30000000000000004</v>
      </c>
      <c r="F387" s="110" cm="1">
        <f t="array" ref="F387">INDEX('TAG e inad.'!$C$4:$AF$6,MATCH($C387,'TAG e inad.'!$B$4:$B$6,0),DUF!F$376)</f>
        <v>0.41000000000000003</v>
      </c>
      <c r="G387" s="110" cm="1">
        <f t="array" ref="G387">INDEX('TAG e inad.'!$C$4:$AF$6,MATCH($C387,'TAG e inad.'!$B$4:$B$6,0),DUF!G$376)</f>
        <v>0.5</v>
      </c>
      <c r="H387" s="110" cm="1">
        <f t="array" ref="H387">INDEX('TAG e inad.'!$C$4:$AF$6,MATCH($C387,'TAG e inad.'!$B$4:$B$6,0),DUF!H$376)</f>
        <v>0.58000000000000007</v>
      </c>
      <c r="I387" s="110" cm="1">
        <f t="array" ref="I387">INDEX('TAG e inad.'!$C$4:$AF$6,MATCH($C387,'TAG e inad.'!$B$4:$B$6,0),DUF!I$376)</f>
        <v>0.64</v>
      </c>
      <c r="J387" s="110" cm="1">
        <f t="array" ref="J387">INDEX('TAG e inad.'!$C$4:$AF$6,MATCH($C387,'TAG e inad.'!$B$4:$B$6,0),DUF!J$376)</f>
        <v>0.69</v>
      </c>
      <c r="K387" s="110" cm="1">
        <f t="array" ref="K387">INDEX('TAG e inad.'!$C$4:$AF$6,MATCH($C387,'TAG e inad.'!$B$4:$B$6,0),DUF!K$376)</f>
        <v>0.74</v>
      </c>
      <c r="L387" s="110" cm="1">
        <f t="array" ref="L387">INDEX('TAG e inad.'!$C$4:$AF$6,MATCH($C387,'TAG e inad.'!$B$4:$B$6,0),DUF!L$376)</f>
        <v>0.78</v>
      </c>
      <c r="M387" s="110" cm="1">
        <f t="array" ref="M387">INDEX('TAG e inad.'!$C$4:$AF$6,MATCH($C387,'TAG e inad.'!$B$4:$B$6,0),DUF!M$376)</f>
        <v>0.8</v>
      </c>
      <c r="N387" s="110" cm="1">
        <f t="array" ref="N387">INDEX('TAG e inad.'!$C$4:$AF$6,MATCH($C387,'TAG e inad.'!$B$4:$B$6,0),DUF!N$376)</f>
        <v>0.81</v>
      </c>
      <c r="O387" s="110" cm="1">
        <f t="array" ref="O387">INDEX('TAG e inad.'!$C$4:$AF$6,MATCH($C387,'TAG e inad.'!$B$4:$B$6,0),DUF!O$376)</f>
        <v>0.81</v>
      </c>
      <c r="P387" s="110" cm="1">
        <f t="array" ref="P387">INDEX('TAG e inad.'!$C$4:$AF$6,MATCH($C387,'TAG e inad.'!$B$4:$B$6,0),DUF!P$376)</f>
        <v>0.81</v>
      </c>
      <c r="Q387" s="110" cm="1">
        <f t="array" ref="Q387">INDEX('TAG e inad.'!$C$4:$AF$6,MATCH($C387,'TAG e inad.'!$B$4:$B$6,0),DUF!Q$376)</f>
        <v>0.81</v>
      </c>
      <c r="R387" s="110" cm="1">
        <f t="array" ref="R387">INDEX('TAG e inad.'!$C$4:$AF$6,MATCH($C387,'TAG e inad.'!$B$4:$B$6,0),DUF!R$376)</f>
        <v>0.81</v>
      </c>
      <c r="S387" s="110" cm="1">
        <f t="array" ref="S387">INDEX('TAG e inad.'!$C$4:$AF$6,MATCH($C387,'TAG e inad.'!$B$4:$B$6,0),DUF!S$376)</f>
        <v>0.81</v>
      </c>
      <c r="T387" s="110" cm="1">
        <f t="array" ref="T387">INDEX('TAG e inad.'!$C$4:$AF$6,MATCH($C387,'TAG e inad.'!$B$4:$B$6,0),DUF!T$376)</f>
        <v>0.81</v>
      </c>
      <c r="U387" s="110" cm="1">
        <f t="array" ref="U387">INDEX('TAG e inad.'!$C$4:$AF$6,MATCH($C387,'TAG e inad.'!$B$4:$B$6,0),DUF!U$376)</f>
        <v>0.81</v>
      </c>
      <c r="V387" s="110" cm="1">
        <f t="array" ref="V387">INDEX('TAG e inad.'!$C$4:$AF$6,MATCH($C387,'TAG e inad.'!$B$4:$B$6,0),DUF!V$376)</f>
        <v>0.81</v>
      </c>
      <c r="W387" s="110" cm="1">
        <f t="array" ref="W387">INDEX('TAG e inad.'!$C$4:$AF$6,MATCH($C387,'TAG e inad.'!$B$4:$B$6,0),DUF!W$376)</f>
        <v>0.81</v>
      </c>
      <c r="X387" s="110" cm="1">
        <f t="array" ref="X387">INDEX('TAG e inad.'!$C$4:$AF$6,MATCH($C387,'TAG e inad.'!$B$4:$B$6,0),DUF!X$376)</f>
        <v>0.81</v>
      </c>
      <c r="Y387" s="110" cm="1">
        <f t="array" ref="Y387">INDEX('TAG e inad.'!$C$4:$AF$6,MATCH($C387,'TAG e inad.'!$B$4:$B$6,0),DUF!Y$376)</f>
        <v>0.81</v>
      </c>
      <c r="Z387" s="110" cm="1">
        <f t="array" ref="Z387">INDEX('TAG e inad.'!$C$4:$AF$6,MATCH($C387,'TAG e inad.'!$B$4:$B$6,0),DUF!Z$376)</f>
        <v>0.81</v>
      </c>
      <c r="AA387" s="110" cm="1">
        <f t="array" ref="AA387">INDEX('TAG e inad.'!$C$4:$AF$6,MATCH($C387,'TAG e inad.'!$B$4:$B$6,0),DUF!AA$376)</f>
        <v>0.81</v>
      </c>
      <c r="AB387" s="110" cm="1">
        <f t="array" ref="AB387">INDEX('TAG e inad.'!$C$4:$AF$6,MATCH($C387,'TAG e inad.'!$B$4:$B$6,0),DUF!AB$376)</f>
        <v>0.81</v>
      </c>
      <c r="AC387" s="110" cm="1">
        <f t="array" ref="AC387">INDEX('TAG e inad.'!$C$4:$AF$6,MATCH($C387,'TAG e inad.'!$B$4:$B$6,0),DUF!AC$376)</f>
        <v>0.81</v>
      </c>
      <c r="AD387" s="110" cm="1">
        <f t="array" ref="AD387">INDEX('TAG e inad.'!$C$4:$AF$6,MATCH($C387,'TAG e inad.'!$B$4:$B$6,0),DUF!AD$376)</f>
        <v>0.81</v>
      </c>
      <c r="AE387" s="110" cm="1">
        <f t="array" ref="AE387">INDEX('TAG e inad.'!$C$4:$AF$6,MATCH($C387,'TAG e inad.'!$B$4:$B$6,0),DUF!AE$376)</f>
        <v>0.81</v>
      </c>
      <c r="AF387" s="110" cm="1">
        <f t="array" ref="AF387">INDEX('TAG e inad.'!$C$4:$AF$6,MATCH($C387,'TAG e inad.'!$B$4:$B$6,0),DUF!AF$376)</f>
        <v>0.81</v>
      </c>
      <c r="AG387" s="110" cm="1">
        <f t="array" ref="AG387">INDEX('TAG e inad.'!$C$4:$AF$6,MATCH($C387,'TAG e inad.'!$B$4:$B$6,0),DUF!AG$376)</f>
        <v>0.81</v>
      </c>
    </row>
    <row r="388" spans="2:35">
      <c r="B388" s="250" t="str">
        <v xml:space="preserve">Veículos do transporte público coletivo intermunicipal e metropolitano </v>
      </c>
      <c r="C388" s="122" t="str">
        <v>Pesados I</v>
      </c>
      <c r="D388" s="110" cm="1">
        <f t="array" ref="D388">INDEX('TAG e inad.'!$C$4:$AF$6,MATCH($C388,'TAG e inad.'!$B$4:$B$6,0),DUF!D$376)</f>
        <v>0.5</v>
      </c>
      <c r="E388" s="110" cm="1">
        <f t="array" ref="E388">INDEX('TAG e inad.'!$C$4:$AF$6,MATCH($C388,'TAG e inad.'!$B$4:$B$6,0),DUF!E$376)</f>
        <v>0.56999999999999995</v>
      </c>
      <c r="F388" s="110" cm="1">
        <f t="array" ref="F388">INDEX('TAG e inad.'!$C$4:$AF$6,MATCH($C388,'TAG e inad.'!$B$4:$B$6,0),DUF!F$376)</f>
        <v>0.65</v>
      </c>
      <c r="G388" s="110" cm="1">
        <f t="array" ref="G388">INDEX('TAG e inad.'!$C$4:$AF$6,MATCH($C388,'TAG e inad.'!$B$4:$B$6,0),DUF!G$376)</f>
        <v>0.72</v>
      </c>
      <c r="H388" s="110" cm="1">
        <f t="array" ref="H388">INDEX('TAG e inad.'!$C$4:$AF$6,MATCH($C388,'TAG e inad.'!$B$4:$B$6,0),DUF!H$376)</f>
        <v>0.78</v>
      </c>
      <c r="I388" s="110" cm="1">
        <f t="array" ref="I388">INDEX('TAG e inad.'!$C$4:$AF$6,MATCH($C388,'TAG e inad.'!$B$4:$B$6,0),DUF!I$376)</f>
        <v>0.82</v>
      </c>
      <c r="J388" s="110" cm="1">
        <f t="array" ref="J388">INDEX('TAG e inad.'!$C$4:$AF$6,MATCH($C388,'TAG e inad.'!$B$4:$B$6,0),DUF!J$376)</f>
        <v>0.86</v>
      </c>
      <c r="K388" s="110" cm="1">
        <f t="array" ref="K388">INDEX('TAG e inad.'!$C$4:$AF$6,MATCH($C388,'TAG e inad.'!$B$4:$B$6,0),DUF!K$376)</f>
        <v>0.89</v>
      </c>
      <c r="L388" s="110" cm="1">
        <f t="array" ref="L388">INDEX('TAG e inad.'!$C$4:$AF$6,MATCH($C388,'TAG e inad.'!$B$4:$B$6,0),DUF!L$376)</f>
        <v>0.9</v>
      </c>
      <c r="M388" s="110" cm="1">
        <f t="array" ref="M388">INDEX('TAG e inad.'!$C$4:$AF$6,MATCH($C388,'TAG e inad.'!$B$4:$B$6,0),DUF!M$376)</f>
        <v>0.9</v>
      </c>
      <c r="N388" s="110" cm="1">
        <f t="array" ref="N388">INDEX('TAG e inad.'!$C$4:$AF$6,MATCH($C388,'TAG e inad.'!$B$4:$B$6,0),DUF!N$376)</f>
        <v>0.9</v>
      </c>
      <c r="O388" s="110" cm="1">
        <f t="array" ref="O388">INDEX('TAG e inad.'!$C$4:$AF$6,MATCH($C388,'TAG e inad.'!$B$4:$B$6,0),DUF!O$376)</f>
        <v>0.9</v>
      </c>
      <c r="P388" s="110" cm="1">
        <f t="array" ref="P388">INDEX('TAG e inad.'!$C$4:$AF$6,MATCH($C388,'TAG e inad.'!$B$4:$B$6,0),DUF!P$376)</f>
        <v>0.9</v>
      </c>
      <c r="Q388" s="110" cm="1">
        <f t="array" ref="Q388">INDEX('TAG e inad.'!$C$4:$AF$6,MATCH($C388,'TAG e inad.'!$B$4:$B$6,0),DUF!Q$376)</f>
        <v>0.9</v>
      </c>
      <c r="R388" s="110" cm="1">
        <f t="array" ref="R388">INDEX('TAG e inad.'!$C$4:$AF$6,MATCH($C388,'TAG e inad.'!$B$4:$B$6,0),DUF!R$376)</f>
        <v>0.9</v>
      </c>
      <c r="S388" s="110" cm="1">
        <f t="array" ref="S388">INDEX('TAG e inad.'!$C$4:$AF$6,MATCH($C388,'TAG e inad.'!$B$4:$B$6,0),DUF!S$376)</f>
        <v>0.9</v>
      </c>
      <c r="T388" s="110" cm="1">
        <f t="array" ref="T388">INDEX('TAG e inad.'!$C$4:$AF$6,MATCH($C388,'TAG e inad.'!$B$4:$B$6,0),DUF!T$376)</f>
        <v>0.9</v>
      </c>
      <c r="U388" s="110" cm="1">
        <f t="array" ref="U388">INDEX('TAG e inad.'!$C$4:$AF$6,MATCH($C388,'TAG e inad.'!$B$4:$B$6,0),DUF!U$376)</f>
        <v>0.9</v>
      </c>
      <c r="V388" s="110" cm="1">
        <f t="array" ref="V388">INDEX('TAG e inad.'!$C$4:$AF$6,MATCH($C388,'TAG e inad.'!$B$4:$B$6,0),DUF!V$376)</f>
        <v>0.9</v>
      </c>
      <c r="W388" s="110" cm="1">
        <f t="array" ref="W388">INDEX('TAG e inad.'!$C$4:$AF$6,MATCH($C388,'TAG e inad.'!$B$4:$B$6,0),DUF!W$376)</f>
        <v>0.9</v>
      </c>
      <c r="X388" s="110" cm="1">
        <f t="array" ref="X388">INDEX('TAG e inad.'!$C$4:$AF$6,MATCH($C388,'TAG e inad.'!$B$4:$B$6,0),DUF!X$376)</f>
        <v>0.9</v>
      </c>
      <c r="Y388" s="110" cm="1">
        <f t="array" ref="Y388">INDEX('TAG e inad.'!$C$4:$AF$6,MATCH($C388,'TAG e inad.'!$B$4:$B$6,0),DUF!Y$376)</f>
        <v>0.9</v>
      </c>
      <c r="Z388" s="110" cm="1">
        <f t="array" ref="Z388">INDEX('TAG e inad.'!$C$4:$AF$6,MATCH($C388,'TAG e inad.'!$B$4:$B$6,0),DUF!Z$376)</f>
        <v>0.9</v>
      </c>
      <c r="AA388" s="110" cm="1">
        <f t="array" ref="AA388">INDEX('TAG e inad.'!$C$4:$AF$6,MATCH($C388,'TAG e inad.'!$B$4:$B$6,0),DUF!AA$376)</f>
        <v>0.9</v>
      </c>
      <c r="AB388" s="110" cm="1">
        <f t="array" ref="AB388">INDEX('TAG e inad.'!$C$4:$AF$6,MATCH($C388,'TAG e inad.'!$B$4:$B$6,0),DUF!AB$376)</f>
        <v>0.9</v>
      </c>
      <c r="AC388" s="110" cm="1">
        <f t="array" ref="AC388">INDEX('TAG e inad.'!$C$4:$AF$6,MATCH($C388,'TAG e inad.'!$B$4:$B$6,0),DUF!AC$376)</f>
        <v>0.9</v>
      </c>
      <c r="AD388" s="110" cm="1">
        <f t="array" ref="AD388">INDEX('TAG e inad.'!$C$4:$AF$6,MATCH($C388,'TAG e inad.'!$B$4:$B$6,0),DUF!AD$376)</f>
        <v>0.9</v>
      </c>
      <c r="AE388" s="110" cm="1">
        <f t="array" ref="AE388">INDEX('TAG e inad.'!$C$4:$AF$6,MATCH($C388,'TAG e inad.'!$B$4:$B$6,0),DUF!AE$376)</f>
        <v>0.9</v>
      </c>
      <c r="AF388" s="110" cm="1">
        <f t="array" ref="AF388">INDEX('TAG e inad.'!$C$4:$AF$6,MATCH($C388,'TAG e inad.'!$B$4:$B$6,0),DUF!AF$376)</f>
        <v>0.9</v>
      </c>
      <c r="AG388" s="110" cm="1">
        <f t="array" ref="AG388">INDEX('TAG e inad.'!$C$4:$AF$6,MATCH($C388,'TAG e inad.'!$B$4:$B$6,0),DUF!AG$376)</f>
        <v>0.9</v>
      </c>
    </row>
    <row r="390" spans="2:35">
      <c r="B390" s="2" t="s">
        <v>608</v>
      </c>
    </row>
    <row r="391" spans="2:35">
      <c r="B391" s="46" t="str" cm="1">
        <f t="array" ref="B391:E439">_xlfn.ANCHORARRAY('Receitas Tarifárias'!B119)</f>
        <v>Pórtico</v>
      </c>
      <c r="C391" s="46" t="str">
        <v>Categoria</v>
      </c>
      <c r="D391" s="46" t="str">
        <v>Categoria de Veículo</v>
      </c>
      <c r="E391" s="179" t="str">
        <v>Grupo</v>
      </c>
      <c r="F391" s="150" t="str" cm="1">
        <f t="array" ref="F391:AI391">_xlfn.ANCHORARRAY('Receitas Tarifárias'!F119)</f>
        <v>Ano 1</v>
      </c>
      <c r="G391" s="46" t="str">
        <v>Ano 2</v>
      </c>
      <c r="H391" s="46" t="str">
        <v>Ano 3</v>
      </c>
      <c r="I391" s="46" t="str">
        <v>Ano 4</v>
      </c>
      <c r="J391" s="46" t="str">
        <v>Ano 5</v>
      </c>
      <c r="K391" s="46" t="str">
        <v>Ano 6</v>
      </c>
      <c r="L391" s="46" t="str">
        <v>Ano 7</v>
      </c>
      <c r="M391" s="46" t="str">
        <v>Ano 8</v>
      </c>
      <c r="N391" s="46" t="str">
        <v>Ano 9</v>
      </c>
      <c r="O391" s="46" t="str">
        <v>Ano 10</v>
      </c>
      <c r="P391" s="46" t="str">
        <v>Ano 11</v>
      </c>
      <c r="Q391" s="46" t="str">
        <v>Ano 12</v>
      </c>
      <c r="R391" s="46" t="str">
        <v>Ano 13</v>
      </c>
      <c r="S391" s="46" t="str">
        <v>Ano 14</v>
      </c>
      <c r="T391" s="46" t="str">
        <v>Ano 15</v>
      </c>
      <c r="U391" s="46" t="str">
        <v>Ano 16</v>
      </c>
      <c r="V391" s="46" t="str">
        <v>Ano 17</v>
      </c>
      <c r="W391" s="46" t="str">
        <v>Ano 18</v>
      </c>
      <c r="X391" s="46" t="str">
        <v>Ano 19</v>
      </c>
      <c r="Y391" s="46" t="str">
        <v>Ano 20</v>
      </c>
      <c r="Z391" s="46" t="str">
        <v>Ano 21</v>
      </c>
      <c r="AA391" s="46" t="str">
        <v>Ano 22</v>
      </c>
      <c r="AB391" s="46" t="str">
        <v>Ano 23</v>
      </c>
      <c r="AC391" s="46" t="str">
        <v>Ano 24</v>
      </c>
      <c r="AD391" s="46" t="str">
        <v>Ano 25</v>
      </c>
      <c r="AE391" s="46" t="str">
        <v>Ano 26</v>
      </c>
      <c r="AF391" s="46" t="str">
        <v>Ano 27</v>
      </c>
      <c r="AG391" s="46" t="str">
        <v>Ano 28</v>
      </c>
      <c r="AH391" s="46" t="str">
        <v>Ano 29</v>
      </c>
      <c r="AI391" s="46" t="str">
        <v>Ano 30</v>
      </c>
    </row>
    <row r="392" spans="2:35">
      <c r="B392" s="149">
        <v>1</v>
      </c>
      <c r="C392" s="149">
        <v>1</v>
      </c>
      <c r="D392" s="122" t="str">
        <v>Automóvel</v>
      </c>
      <c r="E392" s="250" t="str">
        <v>Leves</v>
      </c>
      <c r="F392" s="110">
        <f t="shared" ref="F392:O401" ca="1" si="5">SUMIFS($K$86:$K$373,$B$86:$B$373,$B392,$C$86:$C$373,$D392)</f>
        <v>5.4864743866894716E-2</v>
      </c>
      <c r="G392" s="110">
        <f t="shared" ca="1" si="5"/>
        <v>5.4864743866894716E-2</v>
      </c>
      <c r="H392" s="110">
        <f t="shared" ca="1" si="5"/>
        <v>5.4864743866894716E-2</v>
      </c>
      <c r="I392" s="110">
        <f t="shared" ca="1" si="5"/>
        <v>5.4864743866894716E-2</v>
      </c>
      <c r="J392" s="110">
        <f t="shared" ca="1" si="5"/>
        <v>5.4864743866894716E-2</v>
      </c>
      <c r="K392" s="110">
        <f t="shared" ca="1" si="5"/>
        <v>5.4864743866894716E-2</v>
      </c>
      <c r="L392" s="110">
        <f t="shared" ca="1" si="5"/>
        <v>5.4864743866894716E-2</v>
      </c>
      <c r="M392" s="110">
        <f t="shared" ca="1" si="5"/>
        <v>5.4864743866894716E-2</v>
      </c>
      <c r="N392" s="110">
        <f t="shared" ca="1" si="5"/>
        <v>5.4864743866894716E-2</v>
      </c>
      <c r="O392" s="110">
        <f t="shared" ca="1" si="5"/>
        <v>5.4864743866894716E-2</v>
      </c>
      <c r="P392" s="110">
        <f t="shared" ref="P392:Y401" ca="1" si="6">SUMIFS($K$86:$K$373,$B$86:$B$373,$B392,$C$86:$C$373,$D392)</f>
        <v>5.4864743866894716E-2</v>
      </c>
      <c r="Q392" s="110">
        <f t="shared" ca="1" si="6"/>
        <v>5.4864743866894716E-2</v>
      </c>
      <c r="R392" s="110">
        <f t="shared" ca="1" si="6"/>
        <v>5.4864743866894716E-2</v>
      </c>
      <c r="S392" s="110">
        <f t="shared" ca="1" si="6"/>
        <v>5.4864743866894716E-2</v>
      </c>
      <c r="T392" s="110">
        <f t="shared" ca="1" si="6"/>
        <v>5.4864743866894716E-2</v>
      </c>
      <c r="U392" s="110">
        <f t="shared" ca="1" si="6"/>
        <v>5.4864743866894716E-2</v>
      </c>
      <c r="V392" s="110">
        <f t="shared" ca="1" si="6"/>
        <v>5.4864743866894716E-2</v>
      </c>
      <c r="W392" s="110">
        <f t="shared" ca="1" si="6"/>
        <v>5.4864743866894716E-2</v>
      </c>
      <c r="X392" s="110">
        <f t="shared" ca="1" si="6"/>
        <v>5.4864743866894716E-2</v>
      </c>
      <c r="Y392" s="110">
        <f t="shared" ca="1" si="6"/>
        <v>5.4864743866894716E-2</v>
      </c>
      <c r="Z392" s="110">
        <f t="shared" ref="Z392:AI401" ca="1" si="7">SUMIFS($K$86:$K$373,$B$86:$B$373,$B392,$C$86:$C$373,$D392)</f>
        <v>5.4864743866894716E-2</v>
      </c>
      <c r="AA392" s="110">
        <f t="shared" ca="1" si="7"/>
        <v>5.4864743866894716E-2</v>
      </c>
      <c r="AB392" s="110">
        <f t="shared" ca="1" si="7"/>
        <v>5.4864743866894716E-2</v>
      </c>
      <c r="AC392" s="110">
        <f t="shared" ca="1" si="7"/>
        <v>5.4864743866894716E-2</v>
      </c>
      <c r="AD392" s="110">
        <f t="shared" ca="1" si="7"/>
        <v>5.4864743866894716E-2</v>
      </c>
      <c r="AE392" s="110">
        <f t="shared" ca="1" si="7"/>
        <v>5.4864743866894716E-2</v>
      </c>
      <c r="AF392" s="110">
        <f t="shared" ca="1" si="7"/>
        <v>5.4864743866894716E-2</v>
      </c>
      <c r="AG392" s="110">
        <f t="shared" ca="1" si="7"/>
        <v>5.4864743866894716E-2</v>
      </c>
      <c r="AH392" s="110">
        <f t="shared" ca="1" si="7"/>
        <v>5.4864743866894716E-2</v>
      </c>
      <c r="AI392" s="110">
        <f t="shared" ca="1" si="7"/>
        <v>5.4864743866894716E-2</v>
      </c>
    </row>
    <row r="393" spans="2:35">
      <c r="B393" s="149">
        <v>1</v>
      </c>
      <c r="C393" s="149">
        <v>2</v>
      </c>
      <c r="D393" s="122" t="str">
        <v xml:space="preserve">Automóvel com reboque </v>
      </c>
      <c r="E393" s="122" t="str">
        <v>Leves</v>
      </c>
      <c r="F393" s="110">
        <f t="shared" ca="1" si="5"/>
        <v>0</v>
      </c>
      <c r="G393" s="110">
        <f t="shared" ca="1" si="5"/>
        <v>0</v>
      </c>
      <c r="H393" s="110">
        <f t="shared" ca="1" si="5"/>
        <v>0</v>
      </c>
      <c r="I393" s="110">
        <f t="shared" ca="1" si="5"/>
        <v>0</v>
      </c>
      <c r="J393" s="110">
        <f t="shared" ca="1" si="5"/>
        <v>0</v>
      </c>
      <c r="K393" s="110">
        <f t="shared" ca="1" si="5"/>
        <v>0</v>
      </c>
      <c r="L393" s="110">
        <f t="shared" ca="1" si="5"/>
        <v>0</v>
      </c>
      <c r="M393" s="110">
        <f t="shared" ca="1" si="5"/>
        <v>0</v>
      </c>
      <c r="N393" s="110">
        <f t="shared" ca="1" si="5"/>
        <v>0</v>
      </c>
      <c r="O393" s="110">
        <f t="shared" ca="1" si="5"/>
        <v>0</v>
      </c>
      <c r="P393" s="110">
        <f t="shared" ca="1" si="6"/>
        <v>0</v>
      </c>
      <c r="Q393" s="110">
        <f t="shared" ca="1" si="6"/>
        <v>0</v>
      </c>
      <c r="R393" s="110">
        <f t="shared" ca="1" si="6"/>
        <v>0</v>
      </c>
      <c r="S393" s="110">
        <f t="shared" ca="1" si="6"/>
        <v>0</v>
      </c>
      <c r="T393" s="110">
        <f t="shared" ca="1" si="6"/>
        <v>0</v>
      </c>
      <c r="U393" s="110">
        <f t="shared" ca="1" si="6"/>
        <v>0</v>
      </c>
      <c r="V393" s="110">
        <f t="shared" ca="1" si="6"/>
        <v>0</v>
      </c>
      <c r="W393" s="110">
        <f t="shared" ca="1" si="6"/>
        <v>0</v>
      </c>
      <c r="X393" s="110">
        <f t="shared" ca="1" si="6"/>
        <v>0</v>
      </c>
      <c r="Y393" s="110">
        <f t="shared" ca="1" si="6"/>
        <v>0</v>
      </c>
      <c r="Z393" s="110">
        <f t="shared" ca="1" si="7"/>
        <v>0</v>
      </c>
      <c r="AA393" s="110">
        <f t="shared" ca="1" si="7"/>
        <v>0</v>
      </c>
      <c r="AB393" s="110">
        <f t="shared" ca="1" si="7"/>
        <v>0</v>
      </c>
      <c r="AC393" s="110">
        <f t="shared" ca="1" si="7"/>
        <v>0</v>
      </c>
      <c r="AD393" s="110">
        <f t="shared" ca="1" si="7"/>
        <v>0</v>
      </c>
      <c r="AE393" s="110">
        <f t="shared" ca="1" si="7"/>
        <v>0</v>
      </c>
      <c r="AF393" s="110">
        <f t="shared" ca="1" si="7"/>
        <v>0</v>
      </c>
      <c r="AG393" s="110">
        <f t="shared" ca="1" si="7"/>
        <v>0</v>
      </c>
      <c r="AH393" s="110">
        <f t="shared" ca="1" si="7"/>
        <v>0</v>
      </c>
      <c r="AI393" s="110">
        <f t="shared" ca="1" si="7"/>
        <v>0</v>
      </c>
    </row>
    <row r="394" spans="2:35">
      <c r="B394" s="149">
        <v>1</v>
      </c>
      <c r="C394" s="149">
        <v>3</v>
      </c>
      <c r="D394" s="122" t="str">
        <v>Veículos Comerciais com 2 Eixos</v>
      </c>
      <c r="E394" s="122" t="str">
        <v>Pesados I</v>
      </c>
      <c r="F394" s="110">
        <f t="shared" ca="1" si="5"/>
        <v>0</v>
      </c>
      <c r="G394" s="110">
        <f t="shared" ca="1" si="5"/>
        <v>0</v>
      </c>
      <c r="H394" s="110">
        <f t="shared" ca="1" si="5"/>
        <v>0</v>
      </c>
      <c r="I394" s="110">
        <f t="shared" ca="1" si="5"/>
        <v>0</v>
      </c>
      <c r="J394" s="110">
        <f t="shared" ca="1" si="5"/>
        <v>0</v>
      </c>
      <c r="K394" s="110">
        <f t="shared" ca="1" si="5"/>
        <v>0</v>
      </c>
      <c r="L394" s="110">
        <f t="shared" ca="1" si="5"/>
        <v>0</v>
      </c>
      <c r="M394" s="110">
        <f t="shared" ca="1" si="5"/>
        <v>0</v>
      </c>
      <c r="N394" s="110">
        <f t="shared" ca="1" si="5"/>
        <v>0</v>
      </c>
      <c r="O394" s="110">
        <f t="shared" ca="1" si="5"/>
        <v>0</v>
      </c>
      <c r="P394" s="110">
        <f t="shared" ca="1" si="6"/>
        <v>0</v>
      </c>
      <c r="Q394" s="110">
        <f t="shared" ca="1" si="6"/>
        <v>0</v>
      </c>
      <c r="R394" s="110">
        <f t="shared" ca="1" si="6"/>
        <v>0</v>
      </c>
      <c r="S394" s="110">
        <f t="shared" ca="1" si="6"/>
        <v>0</v>
      </c>
      <c r="T394" s="110">
        <f t="shared" ca="1" si="6"/>
        <v>0</v>
      </c>
      <c r="U394" s="110">
        <f t="shared" ca="1" si="6"/>
        <v>0</v>
      </c>
      <c r="V394" s="110">
        <f t="shared" ca="1" si="6"/>
        <v>0</v>
      </c>
      <c r="W394" s="110">
        <f t="shared" ca="1" si="6"/>
        <v>0</v>
      </c>
      <c r="X394" s="110">
        <f t="shared" ca="1" si="6"/>
        <v>0</v>
      </c>
      <c r="Y394" s="110">
        <f t="shared" ca="1" si="6"/>
        <v>0</v>
      </c>
      <c r="Z394" s="110">
        <f t="shared" ca="1" si="7"/>
        <v>0</v>
      </c>
      <c r="AA394" s="110">
        <f t="shared" ca="1" si="7"/>
        <v>0</v>
      </c>
      <c r="AB394" s="110">
        <f t="shared" ca="1" si="7"/>
        <v>0</v>
      </c>
      <c r="AC394" s="110">
        <f t="shared" ca="1" si="7"/>
        <v>0</v>
      </c>
      <c r="AD394" s="110">
        <f t="shared" ca="1" si="7"/>
        <v>0</v>
      </c>
      <c r="AE394" s="110">
        <f t="shared" ca="1" si="7"/>
        <v>0</v>
      </c>
      <c r="AF394" s="110">
        <f t="shared" ca="1" si="7"/>
        <v>0</v>
      </c>
      <c r="AG394" s="110">
        <f t="shared" ca="1" si="7"/>
        <v>0</v>
      </c>
      <c r="AH394" s="110">
        <f t="shared" ca="1" si="7"/>
        <v>0</v>
      </c>
      <c r="AI394" s="110">
        <f t="shared" ca="1" si="7"/>
        <v>0</v>
      </c>
    </row>
    <row r="395" spans="2:35">
      <c r="B395" s="149">
        <v>1</v>
      </c>
      <c r="C395" s="149">
        <v>4</v>
      </c>
      <c r="D395" s="122" t="str">
        <v>Veículos Comerciais com 3 Eixos</v>
      </c>
      <c r="E395" s="122" t="str">
        <v>Pesados I</v>
      </c>
      <c r="F395" s="110">
        <f t="shared" ca="1" si="5"/>
        <v>0</v>
      </c>
      <c r="G395" s="110">
        <f t="shared" ca="1" si="5"/>
        <v>0</v>
      </c>
      <c r="H395" s="110">
        <f t="shared" ca="1" si="5"/>
        <v>0</v>
      </c>
      <c r="I395" s="110">
        <f t="shared" ca="1" si="5"/>
        <v>0</v>
      </c>
      <c r="J395" s="110">
        <f t="shared" ca="1" si="5"/>
        <v>0</v>
      </c>
      <c r="K395" s="110">
        <f t="shared" ca="1" si="5"/>
        <v>0</v>
      </c>
      <c r="L395" s="110">
        <f t="shared" ca="1" si="5"/>
        <v>0</v>
      </c>
      <c r="M395" s="110">
        <f t="shared" ca="1" si="5"/>
        <v>0</v>
      </c>
      <c r="N395" s="110">
        <f t="shared" ca="1" si="5"/>
        <v>0</v>
      </c>
      <c r="O395" s="110">
        <f t="shared" ca="1" si="5"/>
        <v>0</v>
      </c>
      <c r="P395" s="110">
        <f t="shared" ca="1" si="6"/>
        <v>0</v>
      </c>
      <c r="Q395" s="110">
        <f t="shared" ca="1" si="6"/>
        <v>0</v>
      </c>
      <c r="R395" s="110">
        <f t="shared" ca="1" si="6"/>
        <v>0</v>
      </c>
      <c r="S395" s="110">
        <f t="shared" ca="1" si="6"/>
        <v>0</v>
      </c>
      <c r="T395" s="110">
        <f t="shared" ca="1" si="6"/>
        <v>0</v>
      </c>
      <c r="U395" s="110">
        <f t="shared" ca="1" si="6"/>
        <v>0</v>
      </c>
      <c r="V395" s="110">
        <f t="shared" ca="1" si="6"/>
        <v>0</v>
      </c>
      <c r="W395" s="110">
        <f t="shared" ca="1" si="6"/>
        <v>0</v>
      </c>
      <c r="X395" s="110">
        <f t="shared" ca="1" si="6"/>
        <v>0</v>
      </c>
      <c r="Y395" s="110">
        <f t="shared" ca="1" si="6"/>
        <v>0</v>
      </c>
      <c r="Z395" s="110">
        <f t="shared" ca="1" si="7"/>
        <v>0</v>
      </c>
      <c r="AA395" s="110">
        <f t="shared" ca="1" si="7"/>
        <v>0</v>
      </c>
      <c r="AB395" s="110">
        <f t="shared" ca="1" si="7"/>
        <v>0</v>
      </c>
      <c r="AC395" s="110">
        <f t="shared" ca="1" si="7"/>
        <v>0</v>
      </c>
      <c r="AD395" s="110">
        <f t="shared" ca="1" si="7"/>
        <v>0</v>
      </c>
      <c r="AE395" s="110">
        <f t="shared" ca="1" si="7"/>
        <v>0</v>
      </c>
      <c r="AF395" s="110">
        <f t="shared" ca="1" si="7"/>
        <v>0</v>
      </c>
      <c r="AG395" s="110">
        <f t="shared" ca="1" si="7"/>
        <v>0</v>
      </c>
      <c r="AH395" s="110">
        <f t="shared" ca="1" si="7"/>
        <v>0</v>
      </c>
      <c r="AI395" s="110">
        <f t="shared" ca="1" si="7"/>
        <v>0</v>
      </c>
    </row>
    <row r="396" spans="2:35">
      <c r="B396" s="149">
        <v>1</v>
      </c>
      <c r="C396" s="149">
        <v>5</v>
      </c>
      <c r="D396" s="122" t="str">
        <v>Veículos Comerciais com 4 Eixos</v>
      </c>
      <c r="E396" s="122" t="str">
        <v>Pesados I</v>
      </c>
      <c r="F396" s="110">
        <f t="shared" ca="1" si="5"/>
        <v>0</v>
      </c>
      <c r="G396" s="110">
        <f t="shared" ca="1" si="5"/>
        <v>0</v>
      </c>
      <c r="H396" s="110">
        <f t="shared" ca="1" si="5"/>
        <v>0</v>
      </c>
      <c r="I396" s="110">
        <f t="shared" ca="1" si="5"/>
        <v>0</v>
      </c>
      <c r="J396" s="110">
        <f t="shared" ca="1" si="5"/>
        <v>0</v>
      </c>
      <c r="K396" s="110">
        <f t="shared" ca="1" si="5"/>
        <v>0</v>
      </c>
      <c r="L396" s="110">
        <f t="shared" ca="1" si="5"/>
        <v>0</v>
      </c>
      <c r="M396" s="110">
        <f t="shared" ca="1" si="5"/>
        <v>0</v>
      </c>
      <c r="N396" s="110">
        <f t="shared" ca="1" si="5"/>
        <v>0</v>
      </c>
      <c r="O396" s="110">
        <f t="shared" ca="1" si="5"/>
        <v>0</v>
      </c>
      <c r="P396" s="110">
        <f t="shared" ca="1" si="6"/>
        <v>0</v>
      </c>
      <c r="Q396" s="110">
        <f t="shared" ca="1" si="6"/>
        <v>0</v>
      </c>
      <c r="R396" s="110">
        <f t="shared" ca="1" si="6"/>
        <v>0</v>
      </c>
      <c r="S396" s="110">
        <f t="shared" ca="1" si="6"/>
        <v>0</v>
      </c>
      <c r="T396" s="110">
        <f t="shared" ca="1" si="6"/>
        <v>0</v>
      </c>
      <c r="U396" s="110">
        <f t="shared" ca="1" si="6"/>
        <v>0</v>
      </c>
      <c r="V396" s="110">
        <f t="shared" ca="1" si="6"/>
        <v>0</v>
      </c>
      <c r="W396" s="110">
        <f t="shared" ca="1" si="6"/>
        <v>0</v>
      </c>
      <c r="X396" s="110">
        <f t="shared" ca="1" si="6"/>
        <v>0</v>
      </c>
      <c r="Y396" s="110">
        <f t="shared" ca="1" si="6"/>
        <v>0</v>
      </c>
      <c r="Z396" s="110">
        <f t="shared" ca="1" si="7"/>
        <v>0</v>
      </c>
      <c r="AA396" s="110">
        <f t="shared" ca="1" si="7"/>
        <v>0</v>
      </c>
      <c r="AB396" s="110">
        <f t="shared" ca="1" si="7"/>
        <v>0</v>
      </c>
      <c r="AC396" s="110">
        <f t="shared" ca="1" si="7"/>
        <v>0</v>
      </c>
      <c r="AD396" s="110">
        <f t="shared" ca="1" si="7"/>
        <v>0</v>
      </c>
      <c r="AE396" s="110">
        <f t="shared" ca="1" si="7"/>
        <v>0</v>
      </c>
      <c r="AF396" s="110">
        <f t="shared" ca="1" si="7"/>
        <v>0</v>
      </c>
      <c r="AG396" s="110">
        <f t="shared" ca="1" si="7"/>
        <v>0</v>
      </c>
      <c r="AH396" s="110">
        <f t="shared" ca="1" si="7"/>
        <v>0</v>
      </c>
      <c r="AI396" s="110">
        <f t="shared" ca="1" si="7"/>
        <v>0</v>
      </c>
    </row>
    <row r="397" spans="2:35">
      <c r="B397" s="149">
        <v>1</v>
      </c>
      <c r="C397" s="149">
        <v>6</v>
      </c>
      <c r="D397" s="122" t="str">
        <v>Veículos Comerciais com 5 Eixos Articulado</v>
      </c>
      <c r="E397" s="122" t="str">
        <v>Pesados II</v>
      </c>
      <c r="F397" s="110">
        <f t="shared" ca="1" si="5"/>
        <v>0</v>
      </c>
      <c r="G397" s="110">
        <f t="shared" ca="1" si="5"/>
        <v>0</v>
      </c>
      <c r="H397" s="110">
        <f t="shared" ca="1" si="5"/>
        <v>0</v>
      </c>
      <c r="I397" s="110">
        <f t="shared" ca="1" si="5"/>
        <v>0</v>
      </c>
      <c r="J397" s="110">
        <f t="shared" ca="1" si="5"/>
        <v>0</v>
      </c>
      <c r="K397" s="110">
        <f t="shared" ca="1" si="5"/>
        <v>0</v>
      </c>
      <c r="L397" s="110">
        <f t="shared" ca="1" si="5"/>
        <v>0</v>
      </c>
      <c r="M397" s="110">
        <f t="shared" ca="1" si="5"/>
        <v>0</v>
      </c>
      <c r="N397" s="110">
        <f t="shared" ca="1" si="5"/>
        <v>0</v>
      </c>
      <c r="O397" s="110">
        <f t="shared" ca="1" si="5"/>
        <v>0</v>
      </c>
      <c r="P397" s="110">
        <f t="shared" ca="1" si="6"/>
        <v>0</v>
      </c>
      <c r="Q397" s="110">
        <f t="shared" ca="1" si="6"/>
        <v>0</v>
      </c>
      <c r="R397" s="110">
        <f t="shared" ca="1" si="6"/>
        <v>0</v>
      </c>
      <c r="S397" s="110">
        <f t="shared" ca="1" si="6"/>
        <v>0</v>
      </c>
      <c r="T397" s="110">
        <f t="shared" ca="1" si="6"/>
        <v>0</v>
      </c>
      <c r="U397" s="110">
        <f t="shared" ca="1" si="6"/>
        <v>0</v>
      </c>
      <c r="V397" s="110">
        <f t="shared" ca="1" si="6"/>
        <v>0</v>
      </c>
      <c r="W397" s="110">
        <f t="shared" ca="1" si="6"/>
        <v>0</v>
      </c>
      <c r="X397" s="110">
        <f t="shared" ca="1" si="6"/>
        <v>0</v>
      </c>
      <c r="Y397" s="110">
        <f t="shared" ca="1" si="6"/>
        <v>0</v>
      </c>
      <c r="Z397" s="110">
        <f t="shared" ca="1" si="7"/>
        <v>0</v>
      </c>
      <c r="AA397" s="110">
        <f t="shared" ca="1" si="7"/>
        <v>0</v>
      </c>
      <c r="AB397" s="110">
        <f t="shared" ca="1" si="7"/>
        <v>0</v>
      </c>
      <c r="AC397" s="110">
        <f t="shared" ca="1" si="7"/>
        <v>0</v>
      </c>
      <c r="AD397" s="110">
        <f t="shared" ca="1" si="7"/>
        <v>0</v>
      </c>
      <c r="AE397" s="110">
        <f t="shared" ca="1" si="7"/>
        <v>0</v>
      </c>
      <c r="AF397" s="110">
        <f t="shared" ca="1" si="7"/>
        <v>0</v>
      </c>
      <c r="AG397" s="110">
        <f t="shared" ca="1" si="7"/>
        <v>0</v>
      </c>
      <c r="AH397" s="110">
        <f t="shared" ca="1" si="7"/>
        <v>0</v>
      </c>
      <c r="AI397" s="110">
        <f t="shared" ca="1" si="7"/>
        <v>0</v>
      </c>
    </row>
    <row r="398" spans="2:35">
      <c r="B398" s="149">
        <v>1</v>
      </c>
      <c r="C398" s="149">
        <v>7</v>
      </c>
      <c r="D398" s="122" t="str">
        <v>Veículos Comerciais com 6 Eixos Articulado</v>
      </c>
      <c r="E398" s="122" t="str">
        <v>Pesados II</v>
      </c>
      <c r="F398" s="110">
        <f t="shared" ca="1" si="5"/>
        <v>0</v>
      </c>
      <c r="G398" s="110">
        <f t="shared" ca="1" si="5"/>
        <v>0</v>
      </c>
      <c r="H398" s="110">
        <f t="shared" ca="1" si="5"/>
        <v>0</v>
      </c>
      <c r="I398" s="110">
        <f t="shared" ca="1" si="5"/>
        <v>0</v>
      </c>
      <c r="J398" s="110">
        <f t="shared" ca="1" si="5"/>
        <v>0</v>
      </c>
      <c r="K398" s="110">
        <f t="shared" ca="1" si="5"/>
        <v>0</v>
      </c>
      <c r="L398" s="110">
        <f t="shared" ca="1" si="5"/>
        <v>0</v>
      </c>
      <c r="M398" s="110">
        <f t="shared" ca="1" si="5"/>
        <v>0</v>
      </c>
      <c r="N398" s="110">
        <f t="shared" ca="1" si="5"/>
        <v>0</v>
      </c>
      <c r="O398" s="110">
        <f t="shared" ca="1" si="5"/>
        <v>0</v>
      </c>
      <c r="P398" s="110">
        <f t="shared" ca="1" si="6"/>
        <v>0</v>
      </c>
      <c r="Q398" s="110">
        <f t="shared" ca="1" si="6"/>
        <v>0</v>
      </c>
      <c r="R398" s="110">
        <f t="shared" ca="1" si="6"/>
        <v>0</v>
      </c>
      <c r="S398" s="110">
        <f t="shared" ca="1" si="6"/>
        <v>0</v>
      </c>
      <c r="T398" s="110">
        <f t="shared" ca="1" si="6"/>
        <v>0</v>
      </c>
      <c r="U398" s="110">
        <f t="shared" ca="1" si="6"/>
        <v>0</v>
      </c>
      <c r="V398" s="110">
        <f t="shared" ca="1" si="6"/>
        <v>0</v>
      </c>
      <c r="W398" s="110">
        <f t="shared" ca="1" si="6"/>
        <v>0</v>
      </c>
      <c r="X398" s="110">
        <f t="shared" ca="1" si="6"/>
        <v>0</v>
      </c>
      <c r="Y398" s="110">
        <f t="shared" ca="1" si="6"/>
        <v>0</v>
      </c>
      <c r="Z398" s="110">
        <f t="shared" ca="1" si="7"/>
        <v>0</v>
      </c>
      <c r="AA398" s="110">
        <f t="shared" ca="1" si="7"/>
        <v>0</v>
      </c>
      <c r="AB398" s="110">
        <f t="shared" ca="1" si="7"/>
        <v>0</v>
      </c>
      <c r="AC398" s="110">
        <f t="shared" ca="1" si="7"/>
        <v>0</v>
      </c>
      <c r="AD398" s="110">
        <f t="shared" ca="1" si="7"/>
        <v>0</v>
      </c>
      <c r="AE398" s="110">
        <f t="shared" ca="1" si="7"/>
        <v>0</v>
      </c>
      <c r="AF398" s="110">
        <f t="shared" ca="1" si="7"/>
        <v>0</v>
      </c>
      <c r="AG398" s="110">
        <f t="shared" ca="1" si="7"/>
        <v>0</v>
      </c>
      <c r="AH398" s="110">
        <f t="shared" ca="1" si="7"/>
        <v>0</v>
      </c>
      <c r="AI398" s="110">
        <f t="shared" ca="1" si="7"/>
        <v>0</v>
      </c>
    </row>
    <row r="399" spans="2:35">
      <c r="B399" s="149">
        <v>1</v>
      </c>
      <c r="C399" s="149">
        <v>8</v>
      </c>
      <c r="D399" s="122" t="str">
        <v>Veículos Comerciais com 7 Eixos Articulado</v>
      </c>
      <c r="E399" s="122" t="str">
        <v>Pesados II</v>
      </c>
      <c r="F399" s="110">
        <f t="shared" ca="1" si="5"/>
        <v>0</v>
      </c>
      <c r="G399" s="110">
        <f t="shared" ca="1" si="5"/>
        <v>0</v>
      </c>
      <c r="H399" s="110">
        <f t="shared" ca="1" si="5"/>
        <v>0</v>
      </c>
      <c r="I399" s="110">
        <f t="shared" ca="1" si="5"/>
        <v>0</v>
      </c>
      <c r="J399" s="110">
        <f t="shared" ca="1" si="5"/>
        <v>0</v>
      </c>
      <c r="K399" s="110">
        <f t="shared" ca="1" si="5"/>
        <v>0</v>
      </c>
      <c r="L399" s="110">
        <f t="shared" ca="1" si="5"/>
        <v>0</v>
      </c>
      <c r="M399" s="110">
        <f t="shared" ca="1" si="5"/>
        <v>0</v>
      </c>
      <c r="N399" s="110">
        <f t="shared" ca="1" si="5"/>
        <v>0</v>
      </c>
      <c r="O399" s="110">
        <f t="shared" ca="1" si="5"/>
        <v>0</v>
      </c>
      <c r="P399" s="110">
        <f t="shared" ca="1" si="6"/>
        <v>0</v>
      </c>
      <c r="Q399" s="110">
        <f t="shared" ca="1" si="6"/>
        <v>0</v>
      </c>
      <c r="R399" s="110">
        <f t="shared" ca="1" si="6"/>
        <v>0</v>
      </c>
      <c r="S399" s="110">
        <f t="shared" ca="1" si="6"/>
        <v>0</v>
      </c>
      <c r="T399" s="110">
        <f t="shared" ca="1" si="6"/>
        <v>0</v>
      </c>
      <c r="U399" s="110">
        <f t="shared" ca="1" si="6"/>
        <v>0</v>
      </c>
      <c r="V399" s="110">
        <f t="shared" ca="1" si="6"/>
        <v>0</v>
      </c>
      <c r="W399" s="110">
        <f t="shared" ca="1" si="6"/>
        <v>0</v>
      </c>
      <c r="X399" s="110">
        <f t="shared" ca="1" si="6"/>
        <v>0</v>
      </c>
      <c r="Y399" s="110">
        <f t="shared" ca="1" si="6"/>
        <v>0</v>
      </c>
      <c r="Z399" s="110">
        <f t="shared" ca="1" si="7"/>
        <v>0</v>
      </c>
      <c r="AA399" s="110">
        <f t="shared" ca="1" si="7"/>
        <v>0</v>
      </c>
      <c r="AB399" s="110">
        <f t="shared" ca="1" si="7"/>
        <v>0</v>
      </c>
      <c r="AC399" s="110">
        <f t="shared" ca="1" si="7"/>
        <v>0</v>
      </c>
      <c r="AD399" s="110">
        <f t="shared" ca="1" si="7"/>
        <v>0</v>
      </c>
      <c r="AE399" s="110">
        <f t="shared" ca="1" si="7"/>
        <v>0</v>
      </c>
      <c r="AF399" s="110">
        <f t="shared" ca="1" si="7"/>
        <v>0</v>
      </c>
      <c r="AG399" s="110">
        <f t="shared" ca="1" si="7"/>
        <v>0</v>
      </c>
      <c r="AH399" s="110">
        <f t="shared" ca="1" si="7"/>
        <v>0</v>
      </c>
      <c r="AI399" s="110">
        <f t="shared" ca="1" si="7"/>
        <v>0</v>
      </c>
    </row>
    <row r="400" spans="2:35">
      <c r="B400" s="149">
        <v>1</v>
      </c>
      <c r="C400" s="149">
        <v>9</v>
      </c>
      <c r="D400" s="122" t="str">
        <v>Veículos Comerciais com 8 Eixos Articulado</v>
      </c>
      <c r="E400" s="122" t="str">
        <v>Pesados II</v>
      </c>
      <c r="F400" s="110">
        <f t="shared" ca="1" si="5"/>
        <v>0</v>
      </c>
      <c r="G400" s="110">
        <f t="shared" ca="1" si="5"/>
        <v>0</v>
      </c>
      <c r="H400" s="110">
        <f t="shared" ca="1" si="5"/>
        <v>0</v>
      </c>
      <c r="I400" s="110">
        <f t="shared" ca="1" si="5"/>
        <v>0</v>
      </c>
      <c r="J400" s="110">
        <f t="shared" ca="1" si="5"/>
        <v>0</v>
      </c>
      <c r="K400" s="110">
        <f t="shared" ca="1" si="5"/>
        <v>0</v>
      </c>
      <c r="L400" s="110">
        <f t="shared" ca="1" si="5"/>
        <v>0</v>
      </c>
      <c r="M400" s="110">
        <f t="shared" ca="1" si="5"/>
        <v>0</v>
      </c>
      <c r="N400" s="110">
        <f t="shared" ca="1" si="5"/>
        <v>0</v>
      </c>
      <c r="O400" s="110">
        <f t="shared" ca="1" si="5"/>
        <v>0</v>
      </c>
      <c r="P400" s="110">
        <f t="shared" ca="1" si="6"/>
        <v>0</v>
      </c>
      <c r="Q400" s="110">
        <f t="shared" ca="1" si="6"/>
        <v>0</v>
      </c>
      <c r="R400" s="110">
        <f t="shared" ca="1" si="6"/>
        <v>0</v>
      </c>
      <c r="S400" s="110">
        <f t="shared" ca="1" si="6"/>
        <v>0</v>
      </c>
      <c r="T400" s="110">
        <f t="shared" ca="1" si="6"/>
        <v>0</v>
      </c>
      <c r="U400" s="110">
        <f t="shared" ca="1" si="6"/>
        <v>0</v>
      </c>
      <c r="V400" s="110">
        <f t="shared" ca="1" si="6"/>
        <v>0</v>
      </c>
      <c r="W400" s="110">
        <f t="shared" ca="1" si="6"/>
        <v>0</v>
      </c>
      <c r="X400" s="110">
        <f t="shared" ca="1" si="6"/>
        <v>0</v>
      </c>
      <c r="Y400" s="110">
        <f t="shared" ca="1" si="6"/>
        <v>0</v>
      </c>
      <c r="Z400" s="110">
        <f t="shared" ca="1" si="7"/>
        <v>0</v>
      </c>
      <c r="AA400" s="110">
        <f t="shared" ca="1" si="7"/>
        <v>0</v>
      </c>
      <c r="AB400" s="110">
        <f t="shared" ca="1" si="7"/>
        <v>0</v>
      </c>
      <c r="AC400" s="110">
        <f t="shared" ca="1" si="7"/>
        <v>0</v>
      </c>
      <c r="AD400" s="110">
        <f t="shared" ca="1" si="7"/>
        <v>0</v>
      </c>
      <c r="AE400" s="110">
        <f t="shared" ca="1" si="7"/>
        <v>0</v>
      </c>
      <c r="AF400" s="110">
        <f t="shared" ca="1" si="7"/>
        <v>0</v>
      </c>
      <c r="AG400" s="110">
        <f t="shared" ca="1" si="7"/>
        <v>0</v>
      </c>
      <c r="AH400" s="110">
        <f t="shared" ca="1" si="7"/>
        <v>0</v>
      </c>
      <c r="AI400" s="110">
        <f t="shared" ca="1" si="7"/>
        <v>0</v>
      </c>
    </row>
    <row r="401" spans="2:35">
      <c r="B401" s="149">
        <v>1</v>
      </c>
      <c r="C401" s="149">
        <v>10</v>
      </c>
      <c r="D401" s="122" t="str">
        <v>Veículos Comerciais com 9 Eixos Articulado</v>
      </c>
      <c r="E401" s="122" t="str">
        <v>Pesados II</v>
      </c>
      <c r="F401" s="110">
        <f t="shared" ca="1" si="5"/>
        <v>0</v>
      </c>
      <c r="G401" s="110">
        <f t="shared" ca="1" si="5"/>
        <v>0</v>
      </c>
      <c r="H401" s="110">
        <f t="shared" ca="1" si="5"/>
        <v>0</v>
      </c>
      <c r="I401" s="110">
        <f t="shared" ca="1" si="5"/>
        <v>0</v>
      </c>
      <c r="J401" s="110">
        <f t="shared" ca="1" si="5"/>
        <v>0</v>
      </c>
      <c r="K401" s="110">
        <f t="shared" ca="1" si="5"/>
        <v>0</v>
      </c>
      <c r="L401" s="110">
        <f t="shared" ca="1" si="5"/>
        <v>0</v>
      </c>
      <c r="M401" s="110">
        <f t="shared" ca="1" si="5"/>
        <v>0</v>
      </c>
      <c r="N401" s="110">
        <f t="shared" ca="1" si="5"/>
        <v>0</v>
      </c>
      <c r="O401" s="110">
        <f t="shared" ca="1" si="5"/>
        <v>0</v>
      </c>
      <c r="P401" s="110">
        <f t="shared" ca="1" si="6"/>
        <v>0</v>
      </c>
      <c r="Q401" s="110">
        <f t="shared" ca="1" si="6"/>
        <v>0</v>
      </c>
      <c r="R401" s="110">
        <f t="shared" ca="1" si="6"/>
        <v>0</v>
      </c>
      <c r="S401" s="110">
        <f t="shared" ca="1" si="6"/>
        <v>0</v>
      </c>
      <c r="T401" s="110">
        <f t="shared" ca="1" si="6"/>
        <v>0</v>
      </c>
      <c r="U401" s="110">
        <f t="shared" ca="1" si="6"/>
        <v>0</v>
      </c>
      <c r="V401" s="110">
        <f t="shared" ca="1" si="6"/>
        <v>0</v>
      </c>
      <c r="W401" s="110">
        <f t="shared" ca="1" si="6"/>
        <v>0</v>
      </c>
      <c r="X401" s="110">
        <f t="shared" ca="1" si="6"/>
        <v>0</v>
      </c>
      <c r="Y401" s="110">
        <f t="shared" ca="1" si="6"/>
        <v>0</v>
      </c>
      <c r="Z401" s="110">
        <f t="shared" ca="1" si="7"/>
        <v>0</v>
      </c>
      <c r="AA401" s="110">
        <f t="shared" ca="1" si="7"/>
        <v>0</v>
      </c>
      <c r="AB401" s="110">
        <f t="shared" ca="1" si="7"/>
        <v>0</v>
      </c>
      <c r="AC401" s="110">
        <f t="shared" ca="1" si="7"/>
        <v>0</v>
      </c>
      <c r="AD401" s="110">
        <f t="shared" ca="1" si="7"/>
        <v>0</v>
      </c>
      <c r="AE401" s="110">
        <f t="shared" ca="1" si="7"/>
        <v>0</v>
      </c>
      <c r="AF401" s="110">
        <f t="shared" ca="1" si="7"/>
        <v>0</v>
      </c>
      <c r="AG401" s="110">
        <f t="shared" ca="1" si="7"/>
        <v>0</v>
      </c>
      <c r="AH401" s="110">
        <f t="shared" ca="1" si="7"/>
        <v>0</v>
      </c>
      <c r="AI401" s="110">
        <f t="shared" ca="1" si="7"/>
        <v>0</v>
      </c>
    </row>
    <row r="402" spans="2:35">
      <c r="B402" s="149">
        <v>1</v>
      </c>
      <c r="C402" s="149">
        <v>11</v>
      </c>
      <c r="D402" s="122" t="str">
        <v>Motocicleta</v>
      </c>
      <c r="E402" s="122" t="str">
        <v>Leves</v>
      </c>
      <c r="F402" s="110">
        <f t="shared" ref="F402:O411" ca="1" si="8">SUMIFS($K$86:$K$373,$B$86:$B$373,$B402,$C$86:$C$373,$D402)</f>
        <v>5.4864743866894716E-2</v>
      </c>
      <c r="G402" s="110">
        <f t="shared" ca="1" si="8"/>
        <v>5.4864743866894716E-2</v>
      </c>
      <c r="H402" s="110">
        <f t="shared" ca="1" si="8"/>
        <v>5.4864743866894716E-2</v>
      </c>
      <c r="I402" s="110">
        <f t="shared" ca="1" si="8"/>
        <v>5.4864743866894716E-2</v>
      </c>
      <c r="J402" s="110">
        <f t="shared" ca="1" si="8"/>
        <v>5.4864743866894716E-2</v>
      </c>
      <c r="K402" s="110">
        <f t="shared" ca="1" si="8"/>
        <v>5.4864743866894716E-2</v>
      </c>
      <c r="L402" s="110">
        <f t="shared" ca="1" si="8"/>
        <v>5.4864743866894716E-2</v>
      </c>
      <c r="M402" s="110">
        <f t="shared" ca="1" si="8"/>
        <v>5.4864743866894716E-2</v>
      </c>
      <c r="N402" s="110">
        <f t="shared" ca="1" si="8"/>
        <v>5.4864743866894716E-2</v>
      </c>
      <c r="O402" s="110">
        <f t="shared" ca="1" si="8"/>
        <v>5.4864743866894716E-2</v>
      </c>
      <c r="P402" s="110">
        <f t="shared" ref="P402:Y411" ca="1" si="9">SUMIFS($K$86:$K$373,$B$86:$B$373,$B402,$C$86:$C$373,$D402)</f>
        <v>5.4864743866894716E-2</v>
      </c>
      <c r="Q402" s="110">
        <f t="shared" ca="1" si="9"/>
        <v>5.4864743866894716E-2</v>
      </c>
      <c r="R402" s="110">
        <f t="shared" ca="1" si="9"/>
        <v>5.4864743866894716E-2</v>
      </c>
      <c r="S402" s="110">
        <f t="shared" ca="1" si="9"/>
        <v>5.4864743866894716E-2</v>
      </c>
      <c r="T402" s="110">
        <f t="shared" ca="1" si="9"/>
        <v>5.4864743866894716E-2</v>
      </c>
      <c r="U402" s="110">
        <f t="shared" ca="1" si="9"/>
        <v>5.4864743866894716E-2</v>
      </c>
      <c r="V402" s="110">
        <f t="shared" ca="1" si="9"/>
        <v>5.4864743866894716E-2</v>
      </c>
      <c r="W402" s="110">
        <f t="shared" ca="1" si="9"/>
        <v>5.4864743866894716E-2</v>
      </c>
      <c r="X402" s="110">
        <f t="shared" ca="1" si="9"/>
        <v>5.4864743866894716E-2</v>
      </c>
      <c r="Y402" s="110">
        <f t="shared" ca="1" si="9"/>
        <v>5.4864743866894716E-2</v>
      </c>
      <c r="Z402" s="110">
        <f t="shared" ref="Z402:AI411" ca="1" si="10">SUMIFS($K$86:$K$373,$B$86:$B$373,$B402,$C$86:$C$373,$D402)</f>
        <v>5.4864743866894716E-2</v>
      </c>
      <c r="AA402" s="110">
        <f t="shared" ca="1" si="10"/>
        <v>5.4864743866894716E-2</v>
      </c>
      <c r="AB402" s="110">
        <f t="shared" ca="1" si="10"/>
        <v>5.4864743866894716E-2</v>
      </c>
      <c r="AC402" s="110">
        <f t="shared" ca="1" si="10"/>
        <v>5.4864743866894716E-2</v>
      </c>
      <c r="AD402" s="110">
        <f t="shared" ca="1" si="10"/>
        <v>5.4864743866894716E-2</v>
      </c>
      <c r="AE402" s="110">
        <f t="shared" ca="1" si="10"/>
        <v>5.4864743866894716E-2</v>
      </c>
      <c r="AF402" s="110">
        <f t="shared" ca="1" si="10"/>
        <v>5.4864743866894716E-2</v>
      </c>
      <c r="AG402" s="110">
        <f t="shared" ca="1" si="10"/>
        <v>5.4864743866894716E-2</v>
      </c>
      <c r="AH402" s="110">
        <f t="shared" ca="1" si="10"/>
        <v>5.4864743866894716E-2</v>
      </c>
      <c r="AI402" s="110">
        <f t="shared" ca="1" si="10"/>
        <v>5.4864743866894716E-2</v>
      </c>
    </row>
    <row r="403" spans="2:35">
      <c r="B403" s="149">
        <v>1</v>
      </c>
      <c r="C403" s="149">
        <v>12</v>
      </c>
      <c r="D403" s="122" t="str">
        <v xml:space="preserve">Veículos do transporte público coletivo intermunicipal e metropolitano </v>
      </c>
      <c r="E403" s="122" t="str">
        <v>Pesados I</v>
      </c>
      <c r="F403" s="110">
        <f t="shared" ca="1" si="8"/>
        <v>0</v>
      </c>
      <c r="G403" s="110">
        <f t="shared" ca="1" si="8"/>
        <v>0</v>
      </c>
      <c r="H403" s="110">
        <f t="shared" ca="1" si="8"/>
        <v>0</v>
      </c>
      <c r="I403" s="110">
        <f t="shared" ca="1" si="8"/>
        <v>0</v>
      </c>
      <c r="J403" s="110">
        <f t="shared" ca="1" si="8"/>
        <v>0</v>
      </c>
      <c r="K403" s="110">
        <f t="shared" ca="1" si="8"/>
        <v>0</v>
      </c>
      <c r="L403" s="110">
        <f t="shared" ca="1" si="8"/>
        <v>0</v>
      </c>
      <c r="M403" s="110">
        <f t="shared" ca="1" si="8"/>
        <v>0</v>
      </c>
      <c r="N403" s="110">
        <f t="shared" ca="1" si="8"/>
        <v>0</v>
      </c>
      <c r="O403" s="110">
        <f t="shared" ca="1" si="8"/>
        <v>0</v>
      </c>
      <c r="P403" s="110">
        <f t="shared" ca="1" si="9"/>
        <v>0</v>
      </c>
      <c r="Q403" s="110">
        <f t="shared" ca="1" si="9"/>
        <v>0</v>
      </c>
      <c r="R403" s="110">
        <f t="shared" ca="1" si="9"/>
        <v>0</v>
      </c>
      <c r="S403" s="110">
        <f t="shared" ca="1" si="9"/>
        <v>0</v>
      </c>
      <c r="T403" s="110">
        <f t="shared" ca="1" si="9"/>
        <v>0</v>
      </c>
      <c r="U403" s="110">
        <f t="shared" ca="1" si="9"/>
        <v>0</v>
      </c>
      <c r="V403" s="110">
        <f t="shared" ca="1" si="9"/>
        <v>0</v>
      </c>
      <c r="W403" s="110">
        <f t="shared" ca="1" si="9"/>
        <v>0</v>
      </c>
      <c r="X403" s="110">
        <f t="shared" ca="1" si="9"/>
        <v>0</v>
      </c>
      <c r="Y403" s="110">
        <f t="shared" ca="1" si="9"/>
        <v>0</v>
      </c>
      <c r="Z403" s="110">
        <f t="shared" ca="1" si="10"/>
        <v>0</v>
      </c>
      <c r="AA403" s="110">
        <f t="shared" ca="1" si="10"/>
        <v>0</v>
      </c>
      <c r="AB403" s="110">
        <f t="shared" ca="1" si="10"/>
        <v>0</v>
      </c>
      <c r="AC403" s="110">
        <f t="shared" ca="1" si="10"/>
        <v>0</v>
      </c>
      <c r="AD403" s="110">
        <f t="shared" ca="1" si="10"/>
        <v>0</v>
      </c>
      <c r="AE403" s="110">
        <f t="shared" ca="1" si="10"/>
        <v>0</v>
      </c>
      <c r="AF403" s="110">
        <f t="shared" ca="1" si="10"/>
        <v>0</v>
      </c>
      <c r="AG403" s="110">
        <f t="shared" ca="1" si="10"/>
        <v>0</v>
      </c>
      <c r="AH403" s="110">
        <f t="shared" ca="1" si="10"/>
        <v>0</v>
      </c>
      <c r="AI403" s="110">
        <f t="shared" ca="1" si="10"/>
        <v>0</v>
      </c>
    </row>
    <row r="404" spans="2:35">
      <c r="B404" s="149">
        <v>2</v>
      </c>
      <c r="C404" s="149">
        <v>1</v>
      </c>
      <c r="D404" s="122" t="str">
        <v>Automóvel</v>
      </c>
      <c r="E404" s="122" t="str">
        <v>Leves</v>
      </c>
      <c r="F404" s="110">
        <f t="shared" ca="1" si="8"/>
        <v>4.1110881048740305E-2</v>
      </c>
      <c r="G404" s="110">
        <f t="shared" ca="1" si="8"/>
        <v>4.1110881048740305E-2</v>
      </c>
      <c r="H404" s="110">
        <f t="shared" ca="1" si="8"/>
        <v>4.1110881048740305E-2</v>
      </c>
      <c r="I404" s="110">
        <f t="shared" ca="1" si="8"/>
        <v>4.1110881048740305E-2</v>
      </c>
      <c r="J404" s="110">
        <f t="shared" ca="1" si="8"/>
        <v>4.1110881048740305E-2</v>
      </c>
      <c r="K404" s="110">
        <f t="shared" ca="1" si="8"/>
        <v>4.1110881048740305E-2</v>
      </c>
      <c r="L404" s="110">
        <f t="shared" ca="1" si="8"/>
        <v>4.1110881048740305E-2</v>
      </c>
      <c r="M404" s="110">
        <f t="shared" ca="1" si="8"/>
        <v>4.1110881048740305E-2</v>
      </c>
      <c r="N404" s="110">
        <f t="shared" ca="1" si="8"/>
        <v>4.1110881048740305E-2</v>
      </c>
      <c r="O404" s="110">
        <f t="shared" ca="1" si="8"/>
        <v>4.1110881048740305E-2</v>
      </c>
      <c r="P404" s="110">
        <f t="shared" ca="1" si="9"/>
        <v>4.1110881048740305E-2</v>
      </c>
      <c r="Q404" s="110">
        <f t="shared" ca="1" si="9"/>
        <v>4.1110881048740305E-2</v>
      </c>
      <c r="R404" s="110">
        <f t="shared" ca="1" si="9"/>
        <v>4.1110881048740305E-2</v>
      </c>
      <c r="S404" s="110">
        <f t="shared" ca="1" si="9"/>
        <v>4.1110881048740305E-2</v>
      </c>
      <c r="T404" s="110">
        <f t="shared" ca="1" si="9"/>
        <v>4.1110881048740305E-2</v>
      </c>
      <c r="U404" s="110">
        <f t="shared" ca="1" si="9"/>
        <v>4.1110881048740305E-2</v>
      </c>
      <c r="V404" s="110">
        <f t="shared" ca="1" si="9"/>
        <v>4.1110881048740305E-2</v>
      </c>
      <c r="W404" s="110">
        <f t="shared" ca="1" si="9"/>
        <v>4.1110881048740305E-2</v>
      </c>
      <c r="X404" s="110">
        <f t="shared" ca="1" si="9"/>
        <v>4.1110881048740305E-2</v>
      </c>
      <c r="Y404" s="110">
        <f t="shared" ca="1" si="9"/>
        <v>4.1110881048740305E-2</v>
      </c>
      <c r="Z404" s="110">
        <f t="shared" ca="1" si="10"/>
        <v>4.1110881048740305E-2</v>
      </c>
      <c r="AA404" s="110">
        <f t="shared" ca="1" si="10"/>
        <v>4.1110881048740305E-2</v>
      </c>
      <c r="AB404" s="110">
        <f t="shared" ca="1" si="10"/>
        <v>4.1110881048740305E-2</v>
      </c>
      <c r="AC404" s="110">
        <f t="shared" ca="1" si="10"/>
        <v>4.1110881048740305E-2</v>
      </c>
      <c r="AD404" s="110">
        <f t="shared" ca="1" si="10"/>
        <v>4.1110881048740305E-2</v>
      </c>
      <c r="AE404" s="110">
        <f t="shared" ca="1" si="10"/>
        <v>4.1110881048740305E-2</v>
      </c>
      <c r="AF404" s="110">
        <f t="shared" ca="1" si="10"/>
        <v>4.1110881048740305E-2</v>
      </c>
      <c r="AG404" s="110">
        <f t="shared" ca="1" si="10"/>
        <v>4.1110881048740305E-2</v>
      </c>
      <c r="AH404" s="110">
        <f t="shared" ca="1" si="10"/>
        <v>4.1110881048740305E-2</v>
      </c>
      <c r="AI404" s="110">
        <f t="shared" ca="1" si="10"/>
        <v>4.1110881048740305E-2</v>
      </c>
    </row>
    <row r="405" spans="2:35">
      <c r="B405" s="149">
        <v>2</v>
      </c>
      <c r="C405" s="149">
        <v>2</v>
      </c>
      <c r="D405" s="122" t="str">
        <v xml:space="preserve">Automóvel com reboque </v>
      </c>
      <c r="E405" s="122" t="str">
        <v>Leves</v>
      </c>
      <c r="F405" s="110">
        <f t="shared" ca="1" si="8"/>
        <v>0</v>
      </c>
      <c r="G405" s="110">
        <f t="shared" ca="1" si="8"/>
        <v>0</v>
      </c>
      <c r="H405" s="110">
        <f t="shared" ca="1" si="8"/>
        <v>0</v>
      </c>
      <c r="I405" s="110">
        <f t="shared" ca="1" si="8"/>
        <v>0</v>
      </c>
      <c r="J405" s="110">
        <f t="shared" ca="1" si="8"/>
        <v>0</v>
      </c>
      <c r="K405" s="110">
        <f t="shared" ca="1" si="8"/>
        <v>0</v>
      </c>
      <c r="L405" s="110">
        <f t="shared" ca="1" si="8"/>
        <v>0</v>
      </c>
      <c r="M405" s="110">
        <f t="shared" ca="1" si="8"/>
        <v>0</v>
      </c>
      <c r="N405" s="110">
        <f t="shared" ca="1" si="8"/>
        <v>0</v>
      </c>
      <c r="O405" s="110">
        <f t="shared" ca="1" si="8"/>
        <v>0</v>
      </c>
      <c r="P405" s="110">
        <f t="shared" ca="1" si="9"/>
        <v>0</v>
      </c>
      <c r="Q405" s="110">
        <f t="shared" ca="1" si="9"/>
        <v>0</v>
      </c>
      <c r="R405" s="110">
        <f t="shared" ca="1" si="9"/>
        <v>0</v>
      </c>
      <c r="S405" s="110">
        <f t="shared" ca="1" si="9"/>
        <v>0</v>
      </c>
      <c r="T405" s="110">
        <f t="shared" ca="1" si="9"/>
        <v>0</v>
      </c>
      <c r="U405" s="110">
        <f t="shared" ca="1" si="9"/>
        <v>0</v>
      </c>
      <c r="V405" s="110">
        <f t="shared" ca="1" si="9"/>
        <v>0</v>
      </c>
      <c r="W405" s="110">
        <f t="shared" ca="1" si="9"/>
        <v>0</v>
      </c>
      <c r="X405" s="110">
        <f t="shared" ca="1" si="9"/>
        <v>0</v>
      </c>
      <c r="Y405" s="110">
        <f t="shared" ca="1" si="9"/>
        <v>0</v>
      </c>
      <c r="Z405" s="110">
        <f t="shared" ca="1" si="10"/>
        <v>0</v>
      </c>
      <c r="AA405" s="110">
        <f t="shared" ca="1" si="10"/>
        <v>0</v>
      </c>
      <c r="AB405" s="110">
        <f t="shared" ca="1" si="10"/>
        <v>0</v>
      </c>
      <c r="AC405" s="110">
        <f t="shared" ca="1" si="10"/>
        <v>0</v>
      </c>
      <c r="AD405" s="110">
        <f t="shared" ca="1" si="10"/>
        <v>0</v>
      </c>
      <c r="AE405" s="110">
        <f t="shared" ca="1" si="10"/>
        <v>0</v>
      </c>
      <c r="AF405" s="110">
        <f t="shared" ca="1" si="10"/>
        <v>0</v>
      </c>
      <c r="AG405" s="110">
        <f t="shared" ca="1" si="10"/>
        <v>0</v>
      </c>
      <c r="AH405" s="110">
        <f t="shared" ca="1" si="10"/>
        <v>0</v>
      </c>
      <c r="AI405" s="110">
        <f t="shared" ca="1" si="10"/>
        <v>0</v>
      </c>
    </row>
    <row r="406" spans="2:35">
      <c r="B406" s="149">
        <v>2</v>
      </c>
      <c r="C406" s="149">
        <v>3</v>
      </c>
      <c r="D406" s="122" t="str">
        <v>Veículos Comerciais com 2 Eixos</v>
      </c>
      <c r="E406" s="122" t="str">
        <v>Pesados I</v>
      </c>
      <c r="F406" s="110">
        <f t="shared" ca="1" si="8"/>
        <v>0</v>
      </c>
      <c r="G406" s="110">
        <f t="shared" ca="1" si="8"/>
        <v>0</v>
      </c>
      <c r="H406" s="110">
        <f t="shared" ca="1" si="8"/>
        <v>0</v>
      </c>
      <c r="I406" s="110">
        <f t="shared" ca="1" si="8"/>
        <v>0</v>
      </c>
      <c r="J406" s="110">
        <f t="shared" ca="1" si="8"/>
        <v>0</v>
      </c>
      <c r="K406" s="110">
        <f t="shared" ca="1" si="8"/>
        <v>0</v>
      </c>
      <c r="L406" s="110">
        <f t="shared" ca="1" si="8"/>
        <v>0</v>
      </c>
      <c r="M406" s="110">
        <f t="shared" ca="1" si="8"/>
        <v>0</v>
      </c>
      <c r="N406" s="110">
        <f t="shared" ca="1" si="8"/>
        <v>0</v>
      </c>
      <c r="O406" s="110">
        <f t="shared" ca="1" si="8"/>
        <v>0</v>
      </c>
      <c r="P406" s="110">
        <f t="shared" ca="1" si="9"/>
        <v>0</v>
      </c>
      <c r="Q406" s="110">
        <f t="shared" ca="1" si="9"/>
        <v>0</v>
      </c>
      <c r="R406" s="110">
        <f t="shared" ca="1" si="9"/>
        <v>0</v>
      </c>
      <c r="S406" s="110">
        <f t="shared" ca="1" si="9"/>
        <v>0</v>
      </c>
      <c r="T406" s="110">
        <f t="shared" ca="1" si="9"/>
        <v>0</v>
      </c>
      <c r="U406" s="110">
        <f t="shared" ca="1" si="9"/>
        <v>0</v>
      </c>
      <c r="V406" s="110">
        <f t="shared" ca="1" si="9"/>
        <v>0</v>
      </c>
      <c r="W406" s="110">
        <f t="shared" ca="1" si="9"/>
        <v>0</v>
      </c>
      <c r="X406" s="110">
        <f t="shared" ca="1" si="9"/>
        <v>0</v>
      </c>
      <c r="Y406" s="110">
        <f t="shared" ca="1" si="9"/>
        <v>0</v>
      </c>
      <c r="Z406" s="110">
        <f t="shared" ca="1" si="10"/>
        <v>0</v>
      </c>
      <c r="AA406" s="110">
        <f t="shared" ca="1" si="10"/>
        <v>0</v>
      </c>
      <c r="AB406" s="110">
        <f t="shared" ca="1" si="10"/>
        <v>0</v>
      </c>
      <c r="AC406" s="110">
        <f t="shared" ca="1" si="10"/>
        <v>0</v>
      </c>
      <c r="AD406" s="110">
        <f t="shared" ca="1" si="10"/>
        <v>0</v>
      </c>
      <c r="AE406" s="110">
        <f t="shared" ca="1" si="10"/>
        <v>0</v>
      </c>
      <c r="AF406" s="110">
        <f t="shared" ca="1" si="10"/>
        <v>0</v>
      </c>
      <c r="AG406" s="110">
        <f t="shared" ca="1" si="10"/>
        <v>0</v>
      </c>
      <c r="AH406" s="110">
        <f t="shared" ca="1" si="10"/>
        <v>0</v>
      </c>
      <c r="AI406" s="110">
        <f t="shared" ca="1" si="10"/>
        <v>0</v>
      </c>
    </row>
    <row r="407" spans="2:35">
      <c r="B407" s="149">
        <v>2</v>
      </c>
      <c r="C407" s="149">
        <v>4</v>
      </c>
      <c r="D407" s="122" t="str">
        <v>Veículos Comerciais com 3 Eixos</v>
      </c>
      <c r="E407" s="122" t="str">
        <v>Pesados I</v>
      </c>
      <c r="F407" s="110">
        <f t="shared" ca="1" si="8"/>
        <v>0</v>
      </c>
      <c r="G407" s="110">
        <f t="shared" ca="1" si="8"/>
        <v>0</v>
      </c>
      <c r="H407" s="110">
        <f t="shared" ca="1" si="8"/>
        <v>0</v>
      </c>
      <c r="I407" s="110">
        <f t="shared" ca="1" si="8"/>
        <v>0</v>
      </c>
      <c r="J407" s="110">
        <f t="shared" ca="1" si="8"/>
        <v>0</v>
      </c>
      <c r="K407" s="110">
        <f t="shared" ca="1" si="8"/>
        <v>0</v>
      </c>
      <c r="L407" s="110">
        <f t="shared" ca="1" si="8"/>
        <v>0</v>
      </c>
      <c r="M407" s="110">
        <f t="shared" ca="1" si="8"/>
        <v>0</v>
      </c>
      <c r="N407" s="110">
        <f t="shared" ca="1" si="8"/>
        <v>0</v>
      </c>
      <c r="O407" s="110">
        <f t="shared" ca="1" si="8"/>
        <v>0</v>
      </c>
      <c r="P407" s="110">
        <f t="shared" ca="1" si="9"/>
        <v>0</v>
      </c>
      <c r="Q407" s="110">
        <f t="shared" ca="1" si="9"/>
        <v>0</v>
      </c>
      <c r="R407" s="110">
        <f t="shared" ca="1" si="9"/>
        <v>0</v>
      </c>
      <c r="S407" s="110">
        <f t="shared" ca="1" si="9"/>
        <v>0</v>
      </c>
      <c r="T407" s="110">
        <f t="shared" ca="1" si="9"/>
        <v>0</v>
      </c>
      <c r="U407" s="110">
        <f t="shared" ca="1" si="9"/>
        <v>0</v>
      </c>
      <c r="V407" s="110">
        <f t="shared" ca="1" si="9"/>
        <v>0</v>
      </c>
      <c r="W407" s="110">
        <f t="shared" ca="1" si="9"/>
        <v>0</v>
      </c>
      <c r="X407" s="110">
        <f t="shared" ca="1" si="9"/>
        <v>0</v>
      </c>
      <c r="Y407" s="110">
        <f t="shared" ca="1" si="9"/>
        <v>0</v>
      </c>
      <c r="Z407" s="110">
        <f t="shared" ca="1" si="10"/>
        <v>0</v>
      </c>
      <c r="AA407" s="110">
        <f t="shared" ca="1" si="10"/>
        <v>0</v>
      </c>
      <c r="AB407" s="110">
        <f t="shared" ca="1" si="10"/>
        <v>0</v>
      </c>
      <c r="AC407" s="110">
        <f t="shared" ca="1" si="10"/>
        <v>0</v>
      </c>
      <c r="AD407" s="110">
        <f t="shared" ca="1" si="10"/>
        <v>0</v>
      </c>
      <c r="AE407" s="110">
        <f t="shared" ca="1" si="10"/>
        <v>0</v>
      </c>
      <c r="AF407" s="110">
        <f t="shared" ca="1" si="10"/>
        <v>0</v>
      </c>
      <c r="AG407" s="110">
        <f t="shared" ca="1" si="10"/>
        <v>0</v>
      </c>
      <c r="AH407" s="110">
        <f t="shared" ca="1" si="10"/>
        <v>0</v>
      </c>
      <c r="AI407" s="110">
        <f t="shared" ca="1" si="10"/>
        <v>0</v>
      </c>
    </row>
    <row r="408" spans="2:35">
      <c r="B408" s="149">
        <v>2</v>
      </c>
      <c r="C408" s="149">
        <v>5</v>
      </c>
      <c r="D408" s="122" t="str">
        <v>Veículos Comerciais com 4 Eixos</v>
      </c>
      <c r="E408" s="122" t="str">
        <v>Pesados I</v>
      </c>
      <c r="F408" s="110">
        <f t="shared" ca="1" si="8"/>
        <v>0</v>
      </c>
      <c r="G408" s="110">
        <f t="shared" ca="1" si="8"/>
        <v>0</v>
      </c>
      <c r="H408" s="110">
        <f t="shared" ca="1" si="8"/>
        <v>0</v>
      </c>
      <c r="I408" s="110">
        <f t="shared" ca="1" si="8"/>
        <v>0</v>
      </c>
      <c r="J408" s="110">
        <f t="shared" ca="1" si="8"/>
        <v>0</v>
      </c>
      <c r="K408" s="110">
        <f t="shared" ca="1" si="8"/>
        <v>0</v>
      </c>
      <c r="L408" s="110">
        <f t="shared" ca="1" si="8"/>
        <v>0</v>
      </c>
      <c r="M408" s="110">
        <f t="shared" ca="1" si="8"/>
        <v>0</v>
      </c>
      <c r="N408" s="110">
        <f t="shared" ca="1" si="8"/>
        <v>0</v>
      </c>
      <c r="O408" s="110">
        <f t="shared" ca="1" si="8"/>
        <v>0</v>
      </c>
      <c r="P408" s="110">
        <f t="shared" ca="1" si="9"/>
        <v>0</v>
      </c>
      <c r="Q408" s="110">
        <f t="shared" ca="1" si="9"/>
        <v>0</v>
      </c>
      <c r="R408" s="110">
        <f t="shared" ca="1" si="9"/>
        <v>0</v>
      </c>
      <c r="S408" s="110">
        <f t="shared" ca="1" si="9"/>
        <v>0</v>
      </c>
      <c r="T408" s="110">
        <f t="shared" ca="1" si="9"/>
        <v>0</v>
      </c>
      <c r="U408" s="110">
        <f t="shared" ca="1" si="9"/>
        <v>0</v>
      </c>
      <c r="V408" s="110">
        <f t="shared" ca="1" si="9"/>
        <v>0</v>
      </c>
      <c r="W408" s="110">
        <f t="shared" ca="1" si="9"/>
        <v>0</v>
      </c>
      <c r="X408" s="110">
        <f t="shared" ca="1" si="9"/>
        <v>0</v>
      </c>
      <c r="Y408" s="110">
        <f t="shared" ca="1" si="9"/>
        <v>0</v>
      </c>
      <c r="Z408" s="110">
        <f t="shared" ca="1" si="10"/>
        <v>0</v>
      </c>
      <c r="AA408" s="110">
        <f t="shared" ca="1" si="10"/>
        <v>0</v>
      </c>
      <c r="AB408" s="110">
        <f t="shared" ca="1" si="10"/>
        <v>0</v>
      </c>
      <c r="AC408" s="110">
        <f t="shared" ca="1" si="10"/>
        <v>0</v>
      </c>
      <c r="AD408" s="110">
        <f t="shared" ca="1" si="10"/>
        <v>0</v>
      </c>
      <c r="AE408" s="110">
        <f t="shared" ca="1" si="10"/>
        <v>0</v>
      </c>
      <c r="AF408" s="110">
        <f t="shared" ca="1" si="10"/>
        <v>0</v>
      </c>
      <c r="AG408" s="110">
        <f t="shared" ca="1" si="10"/>
        <v>0</v>
      </c>
      <c r="AH408" s="110">
        <f t="shared" ca="1" si="10"/>
        <v>0</v>
      </c>
      <c r="AI408" s="110">
        <f t="shared" ca="1" si="10"/>
        <v>0</v>
      </c>
    </row>
    <row r="409" spans="2:35">
      <c r="B409" s="149">
        <v>2</v>
      </c>
      <c r="C409" s="149">
        <v>6</v>
      </c>
      <c r="D409" s="122" t="str">
        <v>Veículos Comerciais com 5 Eixos Articulado</v>
      </c>
      <c r="E409" s="122" t="str">
        <v>Pesados II</v>
      </c>
      <c r="F409" s="110">
        <f t="shared" ca="1" si="8"/>
        <v>0</v>
      </c>
      <c r="G409" s="110">
        <f t="shared" ca="1" si="8"/>
        <v>0</v>
      </c>
      <c r="H409" s="110">
        <f t="shared" ca="1" si="8"/>
        <v>0</v>
      </c>
      <c r="I409" s="110">
        <f t="shared" ca="1" si="8"/>
        <v>0</v>
      </c>
      <c r="J409" s="110">
        <f t="shared" ca="1" si="8"/>
        <v>0</v>
      </c>
      <c r="K409" s="110">
        <f t="shared" ca="1" si="8"/>
        <v>0</v>
      </c>
      <c r="L409" s="110">
        <f t="shared" ca="1" si="8"/>
        <v>0</v>
      </c>
      <c r="M409" s="110">
        <f t="shared" ca="1" si="8"/>
        <v>0</v>
      </c>
      <c r="N409" s="110">
        <f t="shared" ca="1" si="8"/>
        <v>0</v>
      </c>
      <c r="O409" s="110">
        <f t="shared" ca="1" si="8"/>
        <v>0</v>
      </c>
      <c r="P409" s="110">
        <f t="shared" ca="1" si="9"/>
        <v>0</v>
      </c>
      <c r="Q409" s="110">
        <f t="shared" ca="1" si="9"/>
        <v>0</v>
      </c>
      <c r="R409" s="110">
        <f t="shared" ca="1" si="9"/>
        <v>0</v>
      </c>
      <c r="S409" s="110">
        <f t="shared" ca="1" si="9"/>
        <v>0</v>
      </c>
      <c r="T409" s="110">
        <f t="shared" ca="1" si="9"/>
        <v>0</v>
      </c>
      <c r="U409" s="110">
        <f t="shared" ca="1" si="9"/>
        <v>0</v>
      </c>
      <c r="V409" s="110">
        <f t="shared" ca="1" si="9"/>
        <v>0</v>
      </c>
      <c r="W409" s="110">
        <f t="shared" ca="1" si="9"/>
        <v>0</v>
      </c>
      <c r="X409" s="110">
        <f t="shared" ca="1" si="9"/>
        <v>0</v>
      </c>
      <c r="Y409" s="110">
        <f t="shared" ca="1" si="9"/>
        <v>0</v>
      </c>
      <c r="Z409" s="110">
        <f t="shared" ca="1" si="10"/>
        <v>0</v>
      </c>
      <c r="AA409" s="110">
        <f t="shared" ca="1" si="10"/>
        <v>0</v>
      </c>
      <c r="AB409" s="110">
        <f t="shared" ca="1" si="10"/>
        <v>0</v>
      </c>
      <c r="AC409" s="110">
        <f t="shared" ca="1" si="10"/>
        <v>0</v>
      </c>
      <c r="AD409" s="110">
        <f t="shared" ca="1" si="10"/>
        <v>0</v>
      </c>
      <c r="AE409" s="110">
        <f t="shared" ca="1" si="10"/>
        <v>0</v>
      </c>
      <c r="AF409" s="110">
        <f t="shared" ca="1" si="10"/>
        <v>0</v>
      </c>
      <c r="AG409" s="110">
        <f t="shared" ca="1" si="10"/>
        <v>0</v>
      </c>
      <c r="AH409" s="110">
        <f t="shared" ca="1" si="10"/>
        <v>0</v>
      </c>
      <c r="AI409" s="110">
        <f t="shared" ca="1" si="10"/>
        <v>0</v>
      </c>
    </row>
    <row r="410" spans="2:35">
      <c r="B410" s="149">
        <v>2</v>
      </c>
      <c r="C410" s="149">
        <v>7</v>
      </c>
      <c r="D410" s="122" t="str">
        <v>Veículos Comerciais com 6 Eixos Articulado</v>
      </c>
      <c r="E410" s="122" t="str">
        <v>Pesados II</v>
      </c>
      <c r="F410" s="110">
        <f t="shared" ca="1" si="8"/>
        <v>0</v>
      </c>
      <c r="G410" s="110">
        <f t="shared" ca="1" si="8"/>
        <v>0</v>
      </c>
      <c r="H410" s="110">
        <f t="shared" ca="1" si="8"/>
        <v>0</v>
      </c>
      <c r="I410" s="110">
        <f t="shared" ca="1" si="8"/>
        <v>0</v>
      </c>
      <c r="J410" s="110">
        <f t="shared" ca="1" si="8"/>
        <v>0</v>
      </c>
      <c r="K410" s="110">
        <f t="shared" ca="1" si="8"/>
        <v>0</v>
      </c>
      <c r="L410" s="110">
        <f t="shared" ca="1" si="8"/>
        <v>0</v>
      </c>
      <c r="M410" s="110">
        <f t="shared" ca="1" si="8"/>
        <v>0</v>
      </c>
      <c r="N410" s="110">
        <f t="shared" ca="1" si="8"/>
        <v>0</v>
      </c>
      <c r="O410" s="110">
        <f t="shared" ca="1" si="8"/>
        <v>0</v>
      </c>
      <c r="P410" s="110">
        <f t="shared" ca="1" si="9"/>
        <v>0</v>
      </c>
      <c r="Q410" s="110">
        <f t="shared" ca="1" si="9"/>
        <v>0</v>
      </c>
      <c r="R410" s="110">
        <f t="shared" ca="1" si="9"/>
        <v>0</v>
      </c>
      <c r="S410" s="110">
        <f t="shared" ca="1" si="9"/>
        <v>0</v>
      </c>
      <c r="T410" s="110">
        <f t="shared" ca="1" si="9"/>
        <v>0</v>
      </c>
      <c r="U410" s="110">
        <f t="shared" ca="1" si="9"/>
        <v>0</v>
      </c>
      <c r="V410" s="110">
        <f t="shared" ca="1" si="9"/>
        <v>0</v>
      </c>
      <c r="W410" s="110">
        <f t="shared" ca="1" si="9"/>
        <v>0</v>
      </c>
      <c r="X410" s="110">
        <f t="shared" ca="1" si="9"/>
        <v>0</v>
      </c>
      <c r="Y410" s="110">
        <f t="shared" ca="1" si="9"/>
        <v>0</v>
      </c>
      <c r="Z410" s="110">
        <f t="shared" ca="1" si="10"/>
        <v>0</v>
      </c>
      <c r="AA410" s="110">
        <f t="shared" ca="1" si="10"/>
        <v>0</v>
      </c>
      <c r="AB410" s="110">
        <f t="shared" ca="1" si="10"/>
        <v>0</v>
      </c>
      <c r="AC410" s="110">
        <f t="shared" ca="1" si="10"/>
        <v>0</v>
      </c>
      <c r="AD410" s="110">
        <f t="shared" ca="1" si="10"/>
        <v>0</v>
      </c>
      <c r="AE410" s="110">
        <f t="shared" ca="1" si="10"/>
        <v>0</v>
      </c>
      <c r="AF410" s="110">
        <f t="shared" ca="1" si="10"/>
        <v>0</v>
      </c>
      <c r="AG410" s="110">
        <f t="shared" ca="1" si="10"/>
        <v>0</v>
      </c>
      <c r="AH410" s="110">
        <f t="shared" ca="1" si="10"/>
        <v>0</v>
      </c>
      <c r="AI410" s="110">
        <f t="shared" ca="1" si="10"/>
        <v>0</v>
      </c>
    </row>
    <row r="411" spans="2:35">
      <c r="B411" s="149">
        <v>2</v>
      </c>
      <c r="C411" s="149">
        <v>8</v>
      </c>
      <c r="D411" s="122" t="str">
        <v>Veículos Comerciais com 7 Eixos Articulado</v>
      </c>
      <c r="E411" s="122" t="str">
        <v>Pesados II</v>
      </c>
      <c r="F411" s="110">
        <f t="shared" ca="1" si="8"/>
        <v>0</v>
      </c>
      <c r="G411" s="110">
        <f t="shared" ca="1" si="8"/>
        <v>0</v>
      </c>
      <c r="H411" s="110">
        <f t="shared" ca="1" si="8"/>
        <v>0</v>
      </c>
      <c r="I411" s="110">
        <f t="shared" ca="1" si="8"/>
        <v>0</v>
      </c>
      <c r="J411" s="110">
        <f t="shared" ca="1" si="8"/>
        <v>0</v>
      </c>
      <c r="K411" s="110">
        <f t="shared" ca="1" si="8"/>
        <v>0</v>
      </c>
      <c r="L411" s="110">
        <f t="shared" ca="1" si="8"/>
        <v>0</v>
      </c>
      <c r="M411" s="110">
        <f t="shared" ca="1" si="8"/>
        <v>0</v>
      </c>
      <c r="N411" s="110">
        <f t="shared" ca="1" si="8"/>
        <v>0</v>
      </c>
      <c r="O411" s="110">
        <f t="shared" ca="1" si="8"/>
        <v>0</v>
      </c>
      <c r="P411" s="110">
        <f t="shared" ca="1" si="9"/>
        <v>0</v>
      </c>
      <c r="Q411" s="110">
        <f t="shared" ca="1" si="9"/>
        <v>0</v>
      </c>
      <c r="R411" s="110">
        <f t="shared" ca="1" si="9"/>
        <v>0</v>
      </c>
      <c r="S411" s="110">
        <f t="shared" ca="1" si="9"/>
        <v>0</v>
      </c>
      <c r="T411" s="110">
        <f t="shared" ca="1" si="9"/>
        <v>0</v>
      </c>
      <c r="U411" s="110">
        <f t="shared" ca="1" si="9"/>
        <v>0</v>
      </c>
      <c r="V411" s="110">
        <f t="shared" ca="1" si="9"/>
        <v>0</v>
      </c>
      <c r="W411" s="110">
        <f t="shared" ca="1" si="9"/>
        <v>0</v>
      </c>
      <c r="X411" s="110">
        <f t="shared" ca="1" si="9"/>
        <v>0</v>
      </c>
      <c r="Y411" s="110">
        <f t="shared" ca="1" si="9"/>
        <v>0</v>
      </c>
      <c r="Z411" s="110">
        <f t="shared" ca="1" si="10"/>
        <v>0</v>
      </c>
      <c r="AA411" s="110">
        <f t="shared" ca="1" si="10"/>
        <v>0</v>
      </c>
      <c r="AB411" s="110">
        <f t="shared" ca="1" si="10"/>
        <v>0</v>
      </c>
      <c r="AC411" s="110">
        <f t="shared" ca="1" si="10"/>
        <v>0</v>
      </c>
      <c r="AD411" s="110">
        <f t="shared" ca="1" si="10"/>
        <v>0</v>
      </c>
      <c r="AE411" s="110">
        <f t="shared" ca="1" si="10"/>
        <v>0</v>
      </c>
      <c r="AF411" s="110">
        <f t="shared" ca="1" si="10"/>
        <v>0</v>
      </c>
      <c r="AG411" s="110">
        <f t="shared" ca="1" si="10"/>
        <v>0</v>
      </c>
      <c r="AH411" s="110">
        <f t="shared" ca="1" si="10"/>
        <v>0</v>
      </c>
      <c r="AI411" s="110">
        <f t="shared" ca="1" si="10"/>
        <v>0</v>
      </c>
    </row>
    <row r="412" spans="2:35">
      <c r="B412" s="149">
        <v>2</v>
      </c>
      <c r="C412" s="149">
        <v>9</v>
      </c>
      <c r="D412" s="122" t="str">
        <v>Veículos Comerciais com 8 Eixos Articulado</v>
      </c>
      <c r="E412" s="122" t="str">
        <v>Pesados II</v>
      </c>
      <c r="F412" s="110">
        <f t="shared" ref="F412:O421" ca="1" si="11">SUMIFS($K$86:$K$373,$B$86:$B$373,$B412,$C$86:$C$373,$D412)</f>
        <v>0</v>
      </c>
      <c r="G412" s="110">
        <f t="shared" ca="1" si="11"/>
        <v>0</v>
      </c>
      <c r="H412" s="110">
        <f t="shared" ca="1" si="11"/>
        <v>0</v>
      </c>
      <c r="I412" s="110">
        <f t="shared" ca="1" si="11"/>
        <v>0</v>
      </c>
      <c r="J412" s="110">
        <f t="shared" ca="1" si="11"/>
        <v>0</v>
      </c>
      <c r="K412" s="110">
        <f t="shared" ca="1" si="11"/>
        <v>0</v>
      </c>
      <c r="L412" s="110">
        <f t="shared" ca="1" si="11"/>
        <v>0</v>
      </c>
      <c r="M412" s="110">
        <f t="shared" ca="1" si="11"/>
        <v>0</v>
      </c>
      <c r="N412" s="110">
        <f t="shared" ca="1" si="11"/>
        <v>0</v>
      </c>
      <c r="O412" s="110">
        <f t="shared" ca="1" si="11"/>
        <v>0</v>
      </c>
      <c r="P412" s="110">
        <f t="shared" ref="P412:Y421" ca="1" si="12">SUMIFS($K$86:$K$373,$B$86:$B$373,$B412,$C$86:$C$373,$D412)</f>
        <v>0</v>
      </c>
      <c r="Q412" s="110">
        <f t="shared" ca="1" si="12"/>
        <v>0</v>
      </c>
      <c r="R412" s="110">
        <f t="shared" ca="1" si="12"/>
        <v>0</v>
      </c>
      <c r="S412" s="110">
        <f t="shared" ca="1" si="12"/>
        <v>0</v>
      </c>
      <c r="T412" s="110">
        <f t="shared" ca="1" si="12"/>
        <v>0</v>
      </c>
      <c r="U412" s="110">
        <f t="shared" ca="1" si="12"/>
        <v>0</v>
      </c>
      <c r="V412" s="110">
        <f t="shared" ca="1" si="12"/>
        <v>0</v>
      </c>
      <c r="W412" s="110">
        <f t="shared" ca="1" si="12"/>
        <v>0</v>
      </c>
      <c r="X412" s="110">
        <f t="shared" ca="1" si="12"/>
        <v>0</v>
      </c>
      <c r="Y412" s="110">
        <f t="shared" ca="1" si="12"/>
        <v>0</v>
      </c>
      <c r="Z412" s="110">
        <f t="shared" ref="Z412:AI421" ca="1" si="13">SUMIFS($K$86:$K$373,$B$86:$B$373,$B412,$C$86:$C$373,$D412)</f>
        <v>0</v>
      </c>
      <c r="AA412" s="110">
        <f t="shared" ca="1" si="13"/>
        <v>0</v>
      </c>
      <c r="AB412" s="110">
        <f t="shared" ca="1" si="13"/>
        <v>0</v>
      </c>
      <c r="AC412" s="110">
        <f t="shared" ca="1" si="13"/>
        <v>0</v>
      </c>
      <c r="AD412" s="110">
        <f t="shared" ca="1" si="13"/>
        <v>0</v>
      </c>
      <c r="AE412" s="110">
        <f t="shared" ca="1" si="13"/>
        <v>0</v>
      </c>
      <c r="AF412" s="110">
        <f t="shared" ca="1" si="13"/>
        <v>0</v>
      </c>
      <c r="AG412" s="110">
        <f t="shared" ca="1" si="13"/>
        <v>0</v>
      </c>
      <c r="AH412" s="110">
        <f t="shared" ca="1" si="13"/>
        <v>0</v>
      </c>
      <c r="AI412" s="110">
        <f t="shared" ca="1" si="13"/>
        <v>0</v>
      </c>
    </row>
    <row r="413" spans="2:35">
      <c r="B413" s="149">
        <v>2</v>
      </c>
      <c r="C413" s="149">
        <v>10</v>
      </c>
      <c r="D413" s="122" t="str">
        <v>Veículos Comerciais com 9 Eixos Articulado</v>
      </c>
      <c r="E413" s="122" t="str">
        <v>Pesados II</v>
      </c>
      <c r="F413" s="110">
        <f t="shared" ca="1" si="11"/>
        <v>0</v>
      </c>
      <c r="G413" s="110">
        <f t="shared" ca="1" si="11"/>
        <v>0</v>
      </c>
      <c r="H413" s="110">
        <f t="shared" ca="1" si="11"/>
        <v>0</v>
      </c>
      <c r="I413" s="110">
        <f t="shared" ca="1" si="11"/>
        <v>0</v>
      </c>
      <c r="J413" s="110">
        <f t="shared" ca="1" si="11"/>
        <v>0</v>
      </c>
      <c r="K413" s="110">
        <f t="shared" ca="1" si="11"/>
        <v>0</v>
      </c>
      <c r="L413" s="110">
        <f t="shared" ca="1" si="11"/>
        <v>0</v>
      </c>
      <c r="M413" s="110">
        <f t="shared" ca="1" si="11"/>
        <v>0</v>
      </c>
      <c r="N413" s="110">
        <f t="shared" ca="1" si="11"/>
        <v>0</v>
      </c>
      <c r="O413" s="110">
        <f t="shared" ca="1" si="11"/>
        <v>0</v>
      </c>
      <c r="P413" s="110">
        <f t="shared" ca="1" si="12"/>
        <v>0</v>
      </c>
      <c r="Q413" s="110">
        <f t="shared" ca="1" si="12"/>
        <v>0</v>
      </c>
      <c r="R413" s="110">
        <f t="shared" ca="1" si="12"/>
        <v>0</v>
      </c>
      <c r="S413" s="110">
        <f t="shared" ca="1" si="12"/>
        <v>0</v>
      </c>
      <c r="T413" s="110">
        <f t="shared" ca="1" si="12"/>
        <v>0</v>
      </c>
      <c r="U413" s="110">
        <f t="shared" ca="1" si="12"/>
        <v>0</v>
      </c>
      <c r="V413" s="110">
        <f t="shared" ca="1" si="12"/>
        <v>0</v>
      </c>
      <c r="W413" s="110">
        <f t="shared" ca="1" si="12"/>
        <v>0</v>
      </c>
      <c r="X413" s="110">
        <f t="shared" ca="1" si="12"/>
        <v>0</v>
      </c>
      <c r="Y413" s="110">
        <f t="shared" ca="1" si="12"/>
        <v>0</v>
      </c>
      <c r="Z413" s="110">
        <f t="shared" ca="1" si="13"/>
        <v>0</v>
      </c>
      <c r="AA413" s="110">
        <f t="shared" ca="1" si="13"/>
        <v>0</v>
      </c>
      <c r="AB413" s="110">
        <f t="shared" ca="1" si="13"/>
        <v>0</v>
      </c>
      <c r="AC413" s="110">
        <f t="shared" ca="1" si="13"/>
        <v>0</v>
      </c>
      <c r="AD413" s="110">
        <f t="shared" ca="1" si="13"/>
        <v>0</v>
      </c>
      <c r="AE413" s="110">
        <f t="shared" ca="1" si="13"/>
        <v>0</v>
      </c>
      <c r="AF413" s="110">
        <f t="shared" ca="1" si="13"/>
        <v>0</v>
      </c>
      <c r="AG413" s="110">
        <f t="shared" ca="1" si="13"/>
        <v>0</v>
      </c>
      <c r="AH413" s="110">
        <f t="shared" ca="1" si="13"/>
        <v>0</v>
      </c>
      <c r="AI413" s="110">
        <f t="shared" ca="1" si="13"/>
        <v>0</v>
      </c>
    </row>
    <row r="414" spans="2:35">
      <c r="B414" s="149">
        <v>2</v>
      </c>
      <c r="C414" s="149">
        <v>11</v>
      </c>
      <c r="D414" s="122" t="str">
        <v>Motocicleta</v>
      </c>
      <c r="E414" s="122" t="str">
        <v>Leves</v>
      </c>
      <c r="F414" s="110">
        <f t="shared" ca="1" si="11"/>
        <v>4.1110881048740305E-2</v>
      </c>
      <c r="G414" s="110">
        <f t="shared" ca="1" si="11"/>
        <v>4.1110881048740305E-2</v>
      </c>
      <c r="H414" s="110">
        <f t="shared" ca="1" si="11"/>
        <v>4.1110881048740305E-2</v>
      </c>
      <c r="I414" s="110">
        <f t="shared" ca="1" si="11"/>
        <v>4.1110881048740305E-2</v>
      </c>
      <c r="J414" s="110">
        <f t="shared" ca="1" si="11"/>
        <v>4.1110881048740305E-2</v>
      </c>
      <c r="K414" s="110">
        <f t="shared" ca="1" si="11"/>
        <v>4.1110881048740305E-2</v>
      </c>
      <c r="L414" s="110">
        <f t="shared" ca="1" si="11"/>
        <v>4.1110881048740305E-2</v>
      </c>
      <c r="M414" s="110">
        <f t="shared" ca="1" si="11"/>
        <v>4.1110881048740305E-2</v>
      </c>
      <c r="N414" s="110">
        <f t="shared" ca="1" si="11"/>
        <v>4.1110881048740305E-2</v>
      </c>
      <c r="O414" s="110">
        <f t="shared" ca="1" si="11"/>
        <v>4.1110881048740305E-2</v>
      </c>
      <c r="P414" s="110">
        <f t="shared" ca="1" si="12"/>
        <v>4.1110881048740305E-2</v>
      </c>
      <c r="Q414" s="110">
        <f t="shared" ca="1" si="12"/>
        <v>4.1110881048740305E-2</v>
      </c>
      <c r="R414" s="110">
        <f t="shared" ca="1" si="12"/>
        <v>4.1110881048740305E-2</v>
      </c>
      <c r="S414" s="110">
        <f t="shared" ca="1" si="12"/>
        <v>4.1110881048740305E-2</v>
      </c>
      <c r="T414" s="110">
        <f t="shared" ca="1" si="12"/>
        <v>4.1110881048740305E-2</v>
      </c>
      <c r="U414" s="110">
        <f t="shared" ca="1" si="12"/>
        <v>4.1110881048740305E-2</v>
      </c>
      <c r="V414" s="110">
        <f t="shared" ca="1" si="12"/>
        <v>4.1110881048740305E-2</v>
      </c>
      <c r="W414" s="110">
        <f t="shared" ca="1" si="12"/>
        <v>4.1110881048740305E-2</v>
      </c>
      <c r="X414" s="110">
        <f t="shared" ca="1" si="12"/>
        <v>4.1110881048740305E-2</v>
      </c>
      <c r="Y414" s="110">
        <f t="shared" ca="1" si="12"/>
        <v>4.1110881048740305E-2</v>
      </c>
      <c r="Z414" s="110">
        <f t="shared" ca="1" si="13"/>
        <v>4.1110881048740305E-2</v>
      </c>
      <c r="AA414" s="110">
        <f t="shared" ca="1" si="13"/>
        <v>4.1110881048740305E-2</v>
      </c>
      <c r="AB414" s="110">
        <f t="shared" ca="1" si="13"/>
        <v>4.1110881048740305E-2</v>
      </c>
      <c r="AC414" s="110">
        <f t="shared" ca="1" si="13"/>
        <v>4.1110881048740305E-2</v>
      </c>
      <c r="AD414" s="110">
        <f t="shared" ca="1" si="13"/>
        <v>4.1110881048740305E-2</v>
      </c>
      <c r="AE414" s="110">
        <f t="shared" ca="1" si="13"/>
        <v>4.1110881048740305E-2</v>
      </c>
      <c r="AF414" s="110">
        <f t="shared" ca="1" si="13"/>
        <v>4.1110881048740305E-2</v>
      </c>
      <c r="AG414" s="110">
        <f t="shared" ca="1" si="13"/>
        <v>4.1110881048740305E-2</v>
      </c>
      <c r="AH414" s="110">
        <f t="shared" ca="1" si="13"/>
        <v>4.1110881048740305E-2</v>
      </c>
      <c r="AI414" s="110">
        <f t="shared" ca="1" si="13"/>
        <v>4.1110881048740305E-2</v>
      </c>
    </row>
    <row r="415" spans="2:35">
      <c r="B415" s="149">
        <v>2</v>
      </c>
      <c r="C415" s="149">
        <v>12</v>
      </c>
      <c r="D415" s="122" t="str">
        <v xml:space="preserve">Veículos do transporte público coletivo intermunicipal e metropolitano </v>
      </c>
      <c r="E415" s="122" t="str">
        <v>Pesados I</v>
      </c>
      <c r="F415" s="110">
        <f t="shared" ca="1" si="11"/>
        <v>0</v>
      </c>
      <c r="G415" s="110">
        <f t="shared" ca="1" si="11"/>
        <v>0</v>
      </c>
      <c r="H415" s="110">
        <f t="shared" ca="1" si="11"/>
        <v>0</v>
      </c>
      <c r="I415" s="110">
        <f t="shared" ca="1" si="11"/>
        <v>0</v>
      </c>
      <c r="J415" s="110">
        <f t="shared" ca="1" si="11"/>
        <v>0</v>
      </c>
      <c r="K415" s="110">
        <f t="shared" ca="1" si="11"/>
        <v>0</v>
      </c>
      <c r="L415" s="110">
        <f t="shared" ca="1" si="11"/>
        <v>0</v>
      </c>
      <c r="M415" s="110">
        <f t="shared" ca="1" si="11"/>
        <v>0</v>
      </c>
      <c r="N415" s="110">
        <f t="shared" ca="1" si="11"/>
        <v>0</v>
      </c>
      <c r="O415" s="110">
        <f t="shared" ca="1" si="11"/>
        <v>0</v>
      </c>
      <c r="P415" s="110">
        <f t="shared" ca="1" si="12"/>
        <v>0</v>
      </c>
      <c r="Q415" s="110">
        <f t="shared" ca="1" si="12"/>
        <v>0</v>
      </c>
      <c r="R415" s="110">
        <f t="shared" ca="1" si="12"/>
        <v>0</v>
      </c>
      <c r="S415" s="110">
        <f t="shared" ca="1" si="12"/>
        <v>0</v>
      </c>
      <c r="T415" s="110">
        <f t="shared" ca="1" si="12"/>
        <v>0</v>
      </c>
      <c r="U415" s="110">
        <f t="shared" ca="1" si="12"/>
        <v>0</v>
      </c>
      <c r="V415" s="110">
        <f t="shared" ca="1" si="12"/>
        <v>0</v>
      </c>
      <c r="W415" s="110">
        <f t="shared" ca="1" si="12"/>
        <v>0</v>
      </c>
      <c r="X415" s="110">
        <f t="shared" ca="1" si="12"/>
        <v>0</v>
      </c>
      <c r="Y415" s="110">
        <f t="shared" ca="1" si="12"/>
        <v>0</v>
      </c>
      <c r="Z415" s="110">
        <f t="shared" ca="1" si="13"/>
        <v>0</v>
      </c>
      <c r="AA415" s="110">
        <f t="shared" ca="1" si="13"/>
        <v>0</v>
      </c>
      <c r="AB415" s="110">
        <f t="shared" ca="1" si="13"/>
        <v>0</v>
      </c>
      <c r="AC415" s="110">
        <f t="shared" ca="1" si="13"/>
        <v>0</v>
      </c>
      <c r="AD415" s="110">
        <f t="shared" ca="1" si="13"/>
        <v>0</v>
      </c>
      <c r="AE415" s="110">
        <f t="shared" ca="1" si="13"/>
        <v>0</v>
      </c>
      <c r="AF415" s="110">
        <f t="shared" ca="1" si="13"/>
        <v>0</v>
      </c>
      <c r="AG415" s="110">
        <f t="shared" ca="1" si="13"/>
        <v>0</v>
      </c>
      <c r="AH415" s="110">
        <f t="shared" ca="1" si="13"/>
        <v>0</v>
      </c>
      <c r="AI415" s="110">
        <f t="shared" ca="1" si="13"/>
        <v>0</v>
      </c>
    </row>
    <row r="416" spans="2:35">
      <c r="B416" s="149">
        <v>3</v>
      </c>
      <c r="C416" s="149">
        <v>1</v>
      </c>
      <c r="D416" s="122" t="str">
        <v>Automóvel</v>
      </c>
      <c r="E416" s="122" t="str">
        <v>Leves</v>
      </c>
      <c r="F416" s="110">
        <f t="shared" ca="1" si="11"/>
        <v>1.46576039270038E-2</v>
      </c>
      <c r="G416" s="110">
        <f t="shared" ca="1" si="11"/>
        <v>1.46576039270038E-2</v>
      </c>
      <c r="H416" s="110">
        <f t="shared" ca="1" si="11"/>
        <v>1.46576039270038E-2</v>
      </c>
      <c r="I416" s="110">
        <f t="shared" ca="1" si="11"/>
        <v>1.46576039270038E-2</v>
      </c>
      <c r="J416" s="110">
        <f t="shared" ca="1" si="11"/>
        <v>1.46576039270038E-2</v>
      </c>
      <c r="K416" s="110">
        <f t="shared" ca="1" si="11"/>
        <v>1.46576039270038E-2</v>
      </c>
      <c r="L416" s="110">
        <f t="shared" ca="1" si="11"/>
        <v>1.46576039270038E-2</v>
      </c>
      <c r="M416" s="110">
        <f t="shared" ca="1" si="11"/>
        <v>1.46576039270038E-2</v>
      </c>
      <c r="N416" s="110">
        <f t="shared" ca="1" si="11"/>
        <v>1.46576039270038E-2</v>
      </c>
      <c r="O416" s="110">
        <f t="shared" ca="1" si="11"/>
        <v>1.46576039270038E-2</v>
      </c>
      <c r="P416" s="110">
        <f t="shared" ca="1" si="12"/>
        <v>1.46576039270038E-2</v>
      </c>
      <c r="Q416" s="110">
        <f t="shared" ca="1" si="12"/>
        <v>1.46576039270038E-2</v>
      </c>
      <c r="R416" s="110">
        <f t="shared" ca="1" si="12"/>
        <v>1.46576039270038E-2</v>
      </c>
      <c r="S416" s="110">
        <f t="shared" ca="1" si="12"/>
        <v>1.46576039270038E-2</v>
      </c>
      <c r="T416" s="110">
        <f t="shared" ca="1" si="12"/>
        <v>1.46576039270038E-2</v>
      </c>
      <c r="U416" s="110">
        <f t="shared" ca="1" si="12"/>
        <v>1.46576039270038E-2</v>
      </c>
      <c r="V416" s="110">
        <f t="shared" ca="1" si="12"/>
        <v>1.46576039270038E-2</v>
      </c>
      <c r="W416" s="110">
        <f t="shared" ca="1" si="12"/>
        <v>1.46576039270038E-2</v>
      </c>
      <c r="X416" s="110">
        <f t="shared" ca="1" si="12"/>
        <v>1.46576039270038E-2</v>
      </c>
      <c r="Y416" s="110">
        <f t="shared" ca="1" si="12"/>
        <v>1.46576039270038E-2</v>
      </c>
      <c r="Z416" s="110">
        <f t="shared" ca="1" si="13"/>
        <v>1.46576039270038E-2</v>
      </c>
      <c r="AA416" s="110">
        <f t="shared" ca="1" si="13"/>
        <v>1.46576039270038E-2</v>
      </c>
      <c r="AB416" s="110">
        <f t="shared" ca="1" si="13"/>
        <v>1.46576039270038E-2</v>
      </c>
      <c r="AC416" s="110">
        <f t="shared" ca="1" si="13"/>
        <v>1.46576039270038E-2</v>
      </c>
      <c r="AD416" s="110">
        <f t="shared" ca="1" si="13"/>
        <v>1.46576039270038E-2</v>
      </c>
      <c r="AE416" s="110">
        <f t="shared" ca="1" si="13"/>
        <v>1.46576039270038E-2</v>
      </c>
      <c r="AF416" s="110">
        <f t="shared" ca="1" si="13"/>
        <v>1.46576039270038E-2</v>
      </c>
      <c r="AG416" s="110">
        <f t="shared" ca="1" si="13"/>
        <v>1.46576039270038E-2</v>
      </c>
      <c r="AH416" s="110">
        <f t="shared" ca="1" si="13"/>
        <v>1.46576039270038E-2</v>
      </c>
      <c r="AI416" s="110">
        <f t="shared" ca="1" si="13"/>
        <v>1.46576039270038E-2</v>
      </c>
    </row>
    <row r="417" spans="2:35">
      <c r="B417" s="149">
        <v>3</v>
      </c>
      <c r="C417" s="149">
        <v>2</v>
      </c>
      <c r="D417" s="122" t="str">
        <v xml:space="preserve">Automóvel com reboque </v>
      </c>
      <c r="E417" s="122" t="str">
        <v>Leves</v>
      </c>
      <c r="F417" s="110">
        <f t="shared" ca="1" si="11"/>
        <v>0</v>
      </c>
      <c r="G417" s="110">
        <f t="shared" ca="1" si="11"/>
        <v>0</v>
      </c>
      <c r="H417" s="110">
        <f t="shared" ca="1" si="11"/>
        <v>0</v>
      </c>
      <c r="I417" s="110">
        <f t="shared" ca="1" si="11"/>
        <v>0</v>
      </c>
      <c r="J417" s="110">
        <f t="shared" ca="1" si="11"/>
        <v>0</v>
      </c>
      <c r="K417" s="110">
        <f t="shared" ca="1" si="11"/>
        <v>0</v>
      </c>
      <c r="L417" s="110">
        <f t="shared" ca="1" si="11"/>
        <v>0</v>
      </c>
      <c r="M417" s="110">
        <f t="shared" ca="1" si="11"/>
        <v>0</v>
      </c>
      <c r="N417" s="110">
        <f t="shared" ca="1" si="11"/>
        <v>0</v>
      </c>
      <c r="O417" s="110">
        <f t="shared" ca="1" si="11"/>
        <v>0</v>
      </c>
      <c r="P417" s="110">
        <f t="shared" ca="1" si="12"/>
        <v>0</v>
      </c>
      <c r="Q417" s="110">
        <f t="shared" ca="1" si="12"/>
        <v>0</v>
      </c>
      <c r="R417" s="110">
        <f t="shared" ca="1" si="12"/>
        <v>0</v>
      </c>
      <c r="S417" s="110">
        <f t="shared" ca="1" si="12"/>
        <v>0</v>
      </c>
      <c r="T417" s="110">
        <f t="shared" ca="1" si="12"/>
        <v>0</v>
      </c>
      <c r="U417" s="110">
        <f t="shared" ca="1" si="12"/>
        <v>0</v>
      </c>
      <c r="V417" s="110">
        <f t="shared" ca="1" si="12"/>
        <v>0</v>
      </c>
      <c r="W417" s="110">
        <f t="shared" ca="1" si="12"/>
        <v>0</v>
      </c>
      <c r="X417" s="110">
        <f t="shared" ca="1" si="12"/>
        <v>0</v>
      </c>
      <c r="Y417" s="110">
        <f t="shared" ca="1" si="12"/>
        <v>0</v>
      </c>
      <c r="Z417" s="110">
        <f t="shared" ca="1" si="13"/>
        <v>0</v>
      </c>
      <c r="AA417" s="110">
        <f t="shared" ca="1" si="13"/>
        <v>0</v>
      </c>
      <c r="AB417" s="110">
        <f t="shared" ca="1" si="13"/>
        <v>0</v>
      </c>
      <c r="AC417" s="110">
        <f t="shared" ca="1" si="13"/>
        <v>0</v>
      </c>
      <c r="AD417" s="110">
        <f t="shared" ca="1" si="13"/>
        <v>0</v>
      </c>
      <c r="AE417" s="110">
        <f t="shared" ca="1" si="13"/>
        <v>0</v>
      </c>
      <c r="AF417" s="110">
        <f t="shared" ca="1" si="13"/>
        <v>0</v>
      </c>
      <c r="AG417" s="110">
        <f t="shared" ca="1" si="13"/>
        <v>0</v>
      </c>
      <c r="AH417" s="110">
        <f t="shared" ca="1" si="13"/>
        <v>0</v>
      </c>
      <c r="AI417" s="110">
        <f t="shared" ca="1" si="13"/>
        <v>0</v>
      </c>
    </row>
    <row r="418" spans="2:35">
      <c r="B418" s="149">
        <v>3</v>
      </c>
      <c r="C418" s="149">
        <v>3</v>
      </c>
      <c r="D418" s="122" t="str">
        <v>Veículos Comerciais com 2 Eixos</v>
      </c>
      <c r="E418" s="122" t="str">
        <v>Pesados I</v>
      </c>
      <c r="F418" s="110">
        <f t="shared" ca="1" si="11"/>
        <v>0</v>
      </c>
      <c r="G418" s="110">
        <f t="shared" ca="1" si="11"/>
        <v>0</v>
      </c>
      <c r="H418" s="110">
        <f t="shared" ca="1" si="11"/>
        <v>0</v>
      </c>
      <c r="I418" s="110">
        <f t="shared" ca="1" si="11"/>
        <v>0</v>
      </c>
      <c r="J418" s="110">
        <f t="shared" ca="1" si="11"/>
        <v>0</v>
      </c>
      <c r="K418" s="110">
        <f t="shared" ca="1" si="11"/>
        <v>0</v>
      </c>
      <c r="L418" s="110">
        <f t="shared" ca="1" si="11"/>
        <v>0</v>
      </c>
      <c r="M418" s="110">
        <f t="shared" ca="1" si="11"/>
        <v>0</v>
      </c>
      <c r="N418" s="110">
        <f t="shared" ca="1" si="11"/>
        <v>0</v>
      </c>
      <c r="O418" s="110">
        <f t="shared" ca="1" si="11"/>
        <v>0</v>
      </c>
      <c r="P418" s="110">
        <f t="shared" ca="1" si="12"/>
        <v>0</v>
      </c>
      <c r="Q418" s="110">
        <f t="shared" ca="1" si="12"/>
        <v>0</v>
      </c>
      <c r="R418" s="110">
        <f t="shared" ca="1" si="12"/>
        <v>0</v>
      </c>
      <c r="S418" s="110">
        <f t="shared" ca="1" si="12"/>
        <v>0</v>
      </c>
      <c r="T418" s="110">
        <f t="shared" ca="1" si="12"/>
        <v>0</v>
      </c>
      <c r="U418" s="110">
        <f t="shared" ca="1" si="12"/>
        <v>0</v>
      </c>
      <c r="V418" s="110">
        <f t="shared" ca="1" si="12"/>
        <v>0</v>
      </c>
      <c r="W418" s="110">
        <f t="shared" ca="1" si="12"/>
        <v>0</v>
      </c>
      <c r="X418" s="110">
        <f t="shared" ca="1" si="12"/>
        <v>0</v>
      </c>
      <c r="Y418" s="110">
        <f t="shared" ca="1" si="12"/>
        <v>0</v>
      </c>
      <c r="Z418" s="110">
        <f t="shared" ca="1" si="13"/>
        <v>0</v>
      </c>
      <c r="AA418" s="110">
        <f t="shared" ca="1" si="13"/>
        <v>0</v>
      </c>
      <c r="AB418" s="110">
        <f t="shared" ca="1" si="13"/>
        <v>0</v>
      </c>
      <c r="AC418" s="110">
        <f t="shared" ca="1" si="13"/>
        <v>0</v>
      </c>
      <c r="AD418" s="110">
        <f t="shared" ca="1" si="13"/>
        <v>0</v>
      </c>
      <c r="AE418" s="110">
        <f t="shared" ca="1" si="13"/>
        <v>0</v>
      </c>
      <c r="AF418" s="110">
        <f t="shared" ca="1" si="13"/>
        <v>0</v>
      </c>
      <c r="AG418" s="110">
        <f t="shared" ca="1" si="13"/>
        <v>0</v>
      </c>
      <c r="AH418" s="110">
        <f t="shared" ca="1" si="13"/>
        <v>0</v>
      </c>
      <c r="AI418" s="110">
        <f t="shared" ca="1" si="13"/>
        <v>0</v>
      </c>
    </row>
    <row r="419" spans="2:35">
      <c r="B419" s="149">
        <v>3</v>
      </c>
      <c r="C419" s="149">
        <v>4</v>
      </c>
      <c r="D419" s="122" t="str">
        <v>Veículos Comerciais com 3 Eixos</v>
      </c>
      <c r="E419" s="122" t="str">
        <v>Pesados I</v>
      </c>
      <c r="F419" s="110">
        <f t="shared" ca="1" si="11"/>
        <v>0</v>
      </c>
      <c r="G419" s="110">
        <f t="shared" ca="1" si="11"/>
        <v>0</v>
      </c>
      <c r="H419" s="110">
        <f t="shared" ca="1" si="11"/>
        <v>0</v>
      </c>
      <c r="I419" s="110">
        <f t="shared" ca="1" si="11"/>
        <v>0</v>
      </c>
      <c r="J419" s="110">
        <f t="shared" ca="1" si="11"/>
        <v>0</v>
      </c>
      <c r="K419" s="110">
        <f t="shared" ca="1" si="11"/>
        <v>0</v>
      </c>
      <c r="L419" s="110">
        <f t="shared" ca="1" si="11"/>
        <v>0</v>
      </c>
      <c r="M419" s="110">
        <f t="shared" ca="1" si="11"/>
        <v>0</v>
      </c>
      <c r="N419" s="110">
        <f t="shared" ca="1" si="11"/>
        <v>0</v>
      </c>
      <c r="O419" s="110">
        <f t="shared" ca="1" si="11"/>
        <v>0</v>
      </c>
      <c r="P419" s="110">
        <f t="shared" ca="1" si="12"/>
        <v>0</v>
      </c>
      <c r="Q419" s="110">
        <f t="shared" ca="1" si="12"/>
        <v>0</v>
      </c>
      <c r="R419" s="110">
        <f t="shared" ca="1" si="12"/>
        <v>0</v>
      </c>
      <c r="S419" s="110">
        <f t="shared" ca="1" si="12"/>
        <v>0</v>
      </c>
      <c r="T419" s="110">
        <f t="shared" ca="1" si="12"/>
        <v>0</v>
      </c>
      <c r="U419" s="110">
        <f t="shared" ca="1" si="12"/>
        <v>0</v>
      </c>
      <c r="V419" s="110">
        <f t="shared" ca="1" si="12"/>
        <v>0</v>
      </c>
      <c r="W419" s="110">
        <f t="shared" ca="1" si="12"/>
        <v>0</v>
      </c>
      <c r="X419" s="110">
        <f t="shared" ca="1" si="12"/>
        <v>0</v>
      </c>
      <c r="Y419" s="110">
        <f t="shared" ca="1" si="12"/>
        <v>0</v>
      </c>
      <c r="Z419" s="110">
        <f t="shared" ca="1" si="13"/>
        <v>0</v>
      </c>
      <c r="AA419" s="110">
        <f t="shared" ca="1" si="13"/>
        <v>0</v>
      </c>
      <c r="AB419" s="110">
        <f t="shared" ca="1" si="13"/>
        <v>0</v>
      </c>
      <c r="AC419" s="110">
        <f t="shared" ca="1" si="13"/>
        <v>0</v>
      </c>
      <c r="AD419" s="110">
        <f t="shared" ca="1" si="13"/>
        <v>0</v>
      </c>
      <c r="AE419" s="110">
        <f t="shared" ca="1" si="13"/>
        <v>0</v>
      </c>
      <c r="AF419" s="110">
        <f t="shared" ca="1" si="13"/>
        <v>0</v>
      </c>
      <c r="AG419" s="110">
        <f t="shared" ca="1" si="13"/>
        <v>0</v>
      </c>
      <c r="AH419" s="110">
        <f t="shared" ca="1" si="13"/>
        <v>0</v>
      </c>
      <c r="AI419" s="110">
        <f t="shared" ca="1" si="13"/>
        <v>0</v>
      </c>
    </row>
    <row r="420" spans="2:35">
      <c r="B420" s="149">
        <v>3</v>
      </c>
      <c r="C420" s="149">
        <v>5</v>
      </c>
      <c r="D420" s="122" t="str">
        <v>Veículos Comerciais com 4 Eixos</v>
      </c>
      <c r="E420" s="122" t="str">
        <v>Pesados I</v>
      </c>
      <c r="F420" s="110">
        <f t="shared" ca="1" si="11"/>
        <v>0</v>
      </c>
      <c r="G420" s="110">
        <f t="shared" ca="1" si="11"/>
        <v>0</v>
      </c>
      <c r="H420" s="110">
        <f t="shared" ca="1" si="11"/>
        <v>0</v>
      </c>
      <c r="I420" s="110">
        <f t="shared" ca="1" si="11"/>
        <v>0</v>
      </c>
      <c r="J420" s="110">
        <f t="shared" ca="1" si="11"/>
        <v>0</v>
      </c>
      <c r="K420" s="110">
        <f t="shared" ca="1" si="11"/>
        <v>0</v>
      </c>
      <c r="L420" s="110">
        <f t="shared" ca="1" si="11"/>
        <v>0</v>
      </c>
      <c r="M420" s="110">
        <f t="shared" ca="1" si="11"/>
        <v>0</v>
      </c>
      <c r="N420" s="110">
        <f t="shared" ca="1" si="11"/>
        <v>0</v>
      </c>
      <c r="O420" s="110">
        <f t="shared" ca="1" si="11"/>
        <v>0</v>
      </c>
      <c r="P420" s="110">
        <f t="shared" ca="1" si="12"/>
        <v>0</v>
      </c>
      <c r="Q420" s="110">
        <f t="shared" ca="1" si="12"/>
        <v>0</v>
      </c>
      <c r="R420" s="110">
        <f t="shared" ca="1" si="12"/>
        <v>0</v>
      </c>
      <c r="S420" s="110">
        <f t="shared" ca="1" si="12"/>
        <v>0</v>
      </c>
      <c r="T420" s="110">
        <f t="shared" ca="1" si="12"/>
        <v>0</v>
      </c>
      <c r="U420" s="110">
        <f t="shared" ca="1" si="12"/>
        <v>0</v>
      </c>
      <c r="V420" s="110">
        <f t="shared" ca="1" si="12"/>
        <v>0</v>
      </c>
      <c r="W420" s="110">
        <f t="shared" ca="1" si="12"/>
        <v>0</v>
      </c>
      <c r="X420" s="110">
        <f t="shared" ca="1" si="12"/>
        <v>0</v>
      </c>
      <c r="Y420" s="110">
        <f t="shared" ca="1" si="12"/>
        <v>0</v>
      </c>
      <c r="Z420" s="110">
        <f t="shared" ca="1" si="13"/>
        <v>0</v>
      </c>
      <c r="AA420" s="110">
        <f t="shared" ca="1" si="13"/>
        <v>0</v>
      </c>
      <c r="AB420" s="110">
        <f t="shared" ca="1" si="13"/>
        <v>0</v>
      </c>
      <c r="AC420" s="110">
        <f t="shared" ca="1" si="13"/>
        <v>0</v>
      </c>
      <c r="AD420" s="110">
        <f t="shared" ca="1" si="13"/>
        <v>0</v>
      </c>
      <c r="AE420" s="110">
        <f t="shared" ca="1" si="13"/>
        <v>0</v>
      </c>
      <c r="AF420" s="110">
        <f t="shared" ca="1" si="13"/>
        <v>0</v>
      </c>
      <c r="AG420" s="110">
        <f t="shared" ca="1" si="13"/>
        <v>0</v>
      </c>
      <c r="AH420" s="110">
        <f t="shared" ca="1" si="13"/>
        <v>0</v>
      </c>
      <c r="AI420" s="110">
        <f t="shared" ca="1" si="13"/>
        <v>0</v>
      </c>
    </row>
    <row r="421" spans="2:35">
      <c r="B421" s="149">
        <v>3</v>
      </c>
      <c r="C421" s="149">
        <v>6</v>
      </c>
      <c r="D421" s="122" t="str">
        <v>Veículos Comerciais com 5 Eixos Articulado</v>
      </c>
      <c r="E421" s="122" t="str">
        <v>Pesados II</v>
      </c>
      <c r="F421" s="110">
        <f t="shared" ca="1" si="11"/>
        <v>0</v>
      </c>
      <c r="G421" s="110">
        <f t="shared" ca="1" si="11"/>
        <v>0</v>
      </c>
      <c r="H421" s="110">
        <f t="shared" ca="1" si="11"/>
        <v>0</v>
      </c>
      <c r="I421" s="110">
        <f t="shared" ca="1" si="11"/>
        <v>0</v>
      </c>
      <c r="J421" s="110">
        <f t="shared" ca="1" si="11"/>
        <v>0</v>
      </c>
      <c r="K421" s="110">
        <f t="shared" ca="1" si="11"/>
        <v>0</v>
      </c>
      <c r="L421" s="110">
        <f t="shared" ca="1" si="11"/>
        <v>0</v>
      </c>
      <c r="M421" s="110">
        <f t="shared" ca="1" si="11"/>
        <v>0</v>
      </c>
      <c r="N421" s="110">
        <f t="shared" ca="1" si="11"/>
        <v>0</v>
      </c>
      <c r="O421" s="110">
        <f t="shared" ca="1" si="11"/>
        <v>0</v>
      </c>
      <c r="P421" s="110">
        <f t="shared" ca="1" si="12"/>
        <v>0</v>
      </c>
      <c r="Q421" s="110">
        <f t="shared" ca="1" si="12"/>
        <v>0</v>
      </c>
      <c r="R421" s="110">
        <f t="shared" ca="1" si="12"/>
        <v>0</v>
      </c>
      <c r="S421" s="110">
        <f t="shared" ca="1" si="12"/>
        <v>0</v>
      </c>
      <c r="T421" s="110">
        <f t="shared" ca="1" si="12"/>
        <v>0</v>
      </c>
      <c r="U421" s="110">
        <f t="shared" ca="1" si="12"/>
        <v>0</v>
      </c>
      <c r="V421" s="110">
        <f t="shared" ca="1" si="12"/>
        <v>0</v>
      </c>
      <c r="W421" s="110">
        <f t="shared" ca="1" si="12"/>
        <v>0</v>
      </c>
      <c r="X421" s="110">
        <f t="shared" ca="1" si="12"/>
        <v>0</v>
      </c>
      <c r="Y421" s="110">
        <f t="shared" ca="1" si="12"/>
        <v>0</v>
      </c>
      <c r="Z421" s="110">
        <f t="shared" ca="1" si="13"/>
        <v>0</v>
      </c>
      <c r="AA421" s="110">
        <f t="shared" ca="1" si="13"/>
        <v>0</v>
      </c>
      <c r="AB421" s="110">
        <f t="shared" ca="1" si="13"/>
        <v>0</v>
      </c>
      <c r="AC421" s="110">
        <f t="shared" ca="1" si="13"/>
        <v>0</v>
      </c>
      <c r="AD421" s="110">
        <f t="shared" ca="1" si="13"/>
        <v>0</v>
      </c>
      <c r="AE421" s="110">
        <f t="shared" ca="1" si="13"/>
        <v>0</v>
      </c>
      <c r="AF421" s="110">
        <f t="shared" ca="1" si="13"/>
        <v>0</v>
      </c>
      <c r="AG421" s="110">
        <f t="shared" ca="1" si="13"/>
        <v>0</v>
      </c>
      <c r="AH421" s="110">
        <f t="shared" ca="1" si="13"/>
        <v>0</v>
      </c>
      <c r="AI421" s="110">
        <f t="shared" ca="1" si="13"/>
        <v>0</v>
      </c>
    </row>
    <row r="422" spans="2:35">
      <c r="B422" s="149">
        <v>3</v>
      </c>
      <c r="C422" s="149">
        <v>7</v>
      </c>
      <c r="D422" s="122" t="str">
        <v>Veículos Comerciais com 6 Eixos Articulado</v>
      </c>
      <c r="E422" s="122" t="str">
        <v>Pesados II</v>
      </c>
      <c r="F422" s="110">
        <f t="shared" ref="F422:O431" ca="1" si="14">SUMIFS($K$86:$K$373,$B$86:$B$373,$B422,$C$86:$C$373,$D422)</f>
        <v>0</v>
      </c>
      <c r="G422" s="110">
        <f t="shared" ca="1" si="14"/>
        <v>0</v>
      </c>
      <c r="H422" s="110">
        <f t="shared" ca="1" si="14"/>
        <v>0</v>
      </c>
      <c r="I422" s="110">
        <f t="shared" ca="1" si="14"/>
        <v>0</v>
      </c>
      <c r="J422" s="110">
        <f t="shared" ca="1" si="14"/>
        <v>0</v>
      </c>
      <c r="K422" s="110">
        <f t="shared" ca="1" si="14"/>
        <v>0</v>
      </c>
      <c r="L422" s="110">
        <f t="shared" ca="1" si="14"/>
        <v>0</v>
      </c>
      <c r="M422" s="110">
        <f t="shared" ca="1" si="14"/>
        <v>0</v>
      </c>
      <c r="N422" s="110">
        <f t="shared" ca="1" si="14"/>
        <v>0</v>
      </c>
      <c r="O422" s="110">
        <f t="shared" ca="1" si="14"/>
        <v>0</v>
      </c>
      <c r="P422" s="110">
        <f t="shared" ref="P422:Y431" ca="1" si="15">SUMIFS($K$86:$K$373,$B$86:$B$373,$B422,$C$86:$C$373,$D422)</f>
        <v>0</v>
      </c>
      <c r="Q422" s="110">
        <f t="shared" ca="1" si="15"/>
        <v>0</v>
      </c>
      <c r="R422" s="110">
        <f t="shared" ca="1" si="15"/>
        <v>0</v>
      </c>
      <c r="S422" s="110">
        <f t="shared" ca="1" si="15"/>
        <v>0</v>
      </c>
      <c r="T422" s="110">
        <f t="shared" ca="1" si="15"/>
        <v>0</v>
      </c>
      <c r="U422" s="110">
        <f t="shared" ca="1" si="15"/>
        <v>0</v>
      </c>
      <c r="V422" s="110">
        <f t="shared" ca="1" si="15"/>
        <v>0</v>
      </c>
      <c r="W422" s="110">
        <f t="shared" ca="1" si="15"/>
        <v>0</v>
      </c>
      <c r="X422" s="110">
        <f t="shared" ca="1" si="15"/>
        <v>0</v>
      </c>
      <c r="Y422" s="110">
        <f t="shared" ca="1" si="15"/>
        <v>0</v>
      </c>
      <c r="Z422" s="110">
        <f t="shared" ref="Z422:AI431" ca="1" si="16">SUMIFS($K$86:$K$373,$B$86:$B$373,$B422,$C$86:$C$373,$D422)</f>
        <v>0</v>
      </c>
      <c r="AA422" s="110">
        <f t="shared" ca="1" si="16"/>
        <v>0</v>
      </c>
      <c r="AB422" s="110">
        <f t="shared" ca="1" si="16"/>
        <v>0</v>
      </c>
      <c r="AC422" s="110">
        <f t="shared" ca="1" si="16"/>
        <v>0</v>
      </c>
      <c r="AD422" s="110">
        <f t="shared" ca="1" si="16"/>
        <v>0</v>
      </c>
      <c r="AE422" s="110">
        <f t="shared" ca="1" si="16"/>
        <v>0</v>
      </c>
      <c r="AF422" s="110">
        <f t="shared" ca="1" si="16"/>
        <v>0</v>
      </c>
      <c r="AG422" s="110">
        <f t="shared" ca="1" si="16"/>
        <v>0</v>
      </c>
      <c r="AH422" s="110">
        <f t="shared" ca="1" si="16"/>
        <v>0</v>
      </c>
      <c r="AI422" s="110">
        <f t="shared" ca="1" si="16"/>
        <v>0</v>
      </c>
    </row>
    <row r="423" spans="2:35">
      <c r="B423" s="149">
        <v>3</v>
      </c>
      <c r="C423" s="149">
        <v>8</v>
      </c>
      <c r="D423" s="122" t="str">
        <v>Veículos Comerciais com 7 Eixos Articulado</v>
      </c>
      <c r="E423" s="122" t="str">
        <v>Pesados II</v>
      </c>
      <c r="F423" s="110">
        <f t="shared" ca="1" si="14"/>
        <v>0</v>
      </c>
      <c r="G423" s="110">
        <f t="shared" ca="1" si="14"/>
        <v>0</v>
      </c>
      <c r="H423" s="110">
        <f t="shared" ca="1" si="14"/>
        <v>0</v>
      </c>
      <c r="I423" s="110">
        <f t="shared" ca="1" si="14"/>
        <v>0</v>
      </c>
      <c r="J423" s="110">
        <f t="shared" ca="1" si="14"/>
        <v>0</v>
      </c>
      <c r="K423" s="110">
        <f t="shared" ca="1" si="14"/>
        <v>0</v>
      </c>
      <c r="L423" s="110">
        <f t="shared" ca="1" si="14"/>
        <v>0</v>
      </c>
      <c r="M423" s="110">
        <f t="shared" ca="1" si="14"/>
        <v>0</v>
      </c>
      <c r="N423" s="110">
        <f t="shared" ca="1" si="14"/>
        <v>0</v>
      </c>
      <c r="O423" s="110">
        <f t="shared" ca="1" si="14"/>
        <v>0</v>
      </c>
      <c r="P423" s="110">
        <f t="shared" ca="1" si="15"/>
        <v>0</v>
      </c>
      <c r="Q423" s="110">
        <f t="shared" ca="1" si="15"/>
        <v>0</v>
      </c>
      <c r="R423" s="110">
        <f t="shared" ca="1" si="15"/>
        <v>0</v>
      </c>
      <c r="S423" s="110">
        <f t="shared" ca="1" si="15"/>
        <v>0</v>
      </c>
      <c r="T423" s="110">
        <f t="shared" ca="1" si="15"/>
        <v>0</v>
      </c>
      <c r="U423" s="110">
        <f t="shared" ca="1" si="15"/>
        <v>0</v>
      </c>
      <c r="V423" s="110">
        <f t="shared" ca="1" si="15"/>
        <v>0</v>
      </c>
      <c r="W423" s="110">
        <f t="shared" ca="1" si="15"/>
        <v>0</v>
      </c>
      <c r="X423" s="110">
        <f t="shared" ca="1" si="15"/>
        <v>0</v>
      </c>
      <c r="Y423" s="110">
        <f t="shared" ca="1" si="15"/>
        <v>0</v>
      </c>
      <c r="Z423" s="110">
        <f t="shared" ca="1" si="16"/>
        <v>0</v>
      </c>
      <c r="AA423" s="110">
        <f t="shared" ca="1" si="16"/>
        <v>0</v>
      </c>
      <c r="AB423" s="110">
        <f t="shared" ca="1" si="16"/>
        <v>0</v>
      </c>
      <c r="AC423" s="110">
        <f t="shared" ca="1" si="16"/>
        <v>0</v>
      </c>
      <c r="AD423" s="110">
        <f t="shared" ca="1" si="16"/>
        <v>0</v>
      </c>
      <c r="AE423" s="110">
        <f t="shared" ca="1" si="16"/>
        <v>0</v>
      </c>
      <c r="AF423" s="110">
        <f t="shared" ca="1" si="16"/>
        <v>0</v>
      </c>
      <c r="AG423" s="110">
        <f t="shared" ca="1" si="16"/>
        <v>0</v>
      </c>
      <c r="AH423" s="110">
        <f t="shared" ca="1" si="16"/>
        <v>0</v>
      </c>
      <c r="AI423" s="110">
        <f t="shared" ca="1" si="16"/>
        <v>0</v>
      </c>
    </row>
    <row r="424" spans="2:35">
      <c r="B424" s="149">
        <v>3</v>
      </c>
      <c r="C424" s="149">
        <v>9</v>
      </c>
      <c r="D424" s="122" t="str">
        <v>Veículos Comerciais com 8 Eixos Articulado</v>
      </c>
      <c r="E424" s="122" t="str">
        <v>Pesados II</v>
      </c>
      <c r="F424" s="110">
        <f t="shared" ca="1" si="14"/>
        <v>0</v>
      </c>
      <c r="G424" s="110">
        <f t="shared" ca="1" si="14"/>
        <v>0</v>
      </c>
      <c r="H424" s="110">
        <f t="shared" ca="1" si="14"/>
        <v>0</v>
      </c>
      <c r="I424" s="110">
        <f t="shared" ca="1" si="14"/>
        <v>0</v>
      </c>
      <c r="J424" s="110">
        <f t="shared" ca="1" si="14"/>
        <v>0</v>
      </c>
      <c r="K424" s="110">
        <f t="shared" ca="1" si="14"/>
        <v>0</v>
      </c>
      <c r="L424" s="110">
        <f t="shared" ca="1" si="14"/>
        <v>0</v>
      </c>
      <c r="M424" s="110">
        <f t="shared" ca="1" si="14"/>
        <v>0</v>
      </c>
      <c r="N424" s="110">
        <f t="shared" ca="1" si="14"/>
        <v>0</v>
      </c>
      <c r="O424" s="110">
        <f t="shared" ca="1" si="14"/>
        <v>0</v>
      </c>
      <c r="P424" s="110">
        <f t="shared" ca="1" si="15"/>
        <v>0</v>
      </c>
      <c r="Q424" s="110">
        <f t="shared" ca="1" si="15"/>
        <v>0</v>
      </c>
      <c r="R424" s="110">
        <f t="shared" ca="1" si="15"/>
        <v>0</v>
      </c>
      <c r="S424" s="110">
        <f t="shared" ca="1" si="15"/>
        <v>0</v>
      </c>
      <c r="T424" s="110">
        <f t="shared" ca="1" si="15"/>
        <v>0</v>
      </c>
      <c r="U424" s="110">
        <f t="shared" ca="1" si="15"/>
        <v>0</v>
      </c>
      <c r="V424" s="110">
        <f t="shared" ca="1" si="15"/>
        <v>0</v>
      </c>
      <c r="W424" s="110">
        <f t="shared" ca="1" si="15"/>
        <v>0</v>
      </c>
      <c r="X424" s="110">
        <f t="shared" ca="1" si="15"/>
        <v>0</v>
      </c>
      <c r="Y424" s="110">
        <f t="shared" ca="1" si="15"/>
        <v>0</v>
      </c>
      <c r="Z424" s="110">
        <f t="shared" ca="1" si="16"/>
        <v>0</v>
      </c>
      <c r="AA424" s="110">
        <f t="shared" ca="1" si="16"/>
        <v>0</v>
      </c>
      <c r="AB424" s="110">
        <f t="shared" ca="1" si="16"/>
        <v>0</v>
      </c>
      <c r="AC424" s="110">
        <f t="shared" ca="1" si="16"/>
        <v>0</v>
      </c>
      <c r="AD424" s="110">
        <f t="shared" ca="1" si="16"/>
        <v>0</v>
      </c>
      <c r="AE424" s="110">
        <f t="shared" ca="1" si="16"/>
        <v>0</v>
      </c>
      <c r="AF424" s="110">
        <f t="shared" ca="1" si="16"/>
        <v>0</v>
      </c>
      <c r="AG424" s="110">
        <f t="shared" ca="1" si="16"/>
        <v>0</v>
      </c>
      <c r="AH424" s="110">
        <f t="shared" ca="1" si="16"/>
        <v>0</v>
      </c>
      <c r="AI424" s="110">
        <f t="shared" ca="1" si="16"/>
        <v>0</v>
      </c>
    </row>
    <row r="425" spans="2:35">
      <c r="B425" s="149">
        <v>3</v>
      </c>
      <c r="C425" s="149">
        <v>10</v>
      </c>
      <c r="D425" s="122" t="str">
        <v>Veículos Comerciais com 9 Eixos Articulado</v>
      </c>
      <c r="E425" s="122" t="str">
        <v>Pesados II</v>
      </c>
      <c r="F425" s="110">
        <f t="shared" ca="1" si="14"/>
        <v>0</v>
      </c>
      <c r="G425" s="110">
        <f t="shared" ca="1" si="14"/>
        <v>0</v>
      </c>
      <c r="H425" s="110">
        <f t="shared" ca="1" si="14"/>
        <v>0</v>
      </c>
      <c r="I425" s="110">
        <f t="shared" ca="1" si="14"/>
        <v>0</v>
      </c>
      <c r="J425" s="110">
        <f t="shared" ca="1" si="14"/>
        <v>0</v>
      </c>
      <c r="K425" s="110">
        <f t="shared" ca="1" si="14"/>
        <v>0</v>
      </c>
      <c r="L425" s="110">
        <f t="shared" ca="1" si="14"/>
        <v>0</v>
      </c>
      <c r="M425" s="110">
        <f t="shared" ca="1" si="14"/>
        <v>0</v>
      </c>
      <c r="N425" s="110">
        <f t="shared" ca="1" si="14"/>
        <v>0</v>
      </c>
      <c r="O425" s="110">
        <f t="shared" ca="1" si="14"/>
        <v>0</v>
      </c>
      <c r="P425" s="110">
        <f t="shared" ca="1" si="15"/>
        <v>0</v>
      </c>
      <c r="Q425" s="110">
        <f t="shared" ca="1" si="15"/>
        <v>0</v>
      </c>
      <c r="R425" s="110">
        <f t="shared" ca="1" si="15"/>
        <v>0</v>
      </c>
      <c r="S425" s="110">
        <f t="shared" ca="1" si="15"/>
        <v>0</v>
      </c>
      <c r="T425" s="110">
        <f t="shared" ca="1" si="15"/>
        <v>0</v>
      </c>
      <c r="U425" s="110">
        <f t="shared" ca="1" si="15"/>
        <v>0</v>
      </c>
      <c r="V425" s="110">
        <f t="shared" ca="1" si="15"/>
        <v>0</v>
      </c>
      <c r="W425" s="110">
        <f t="shared" ca="1" si="15"/>
        <v>0</v>
      </c>
      <c r="X425" s="110">
        <f t="shared" ca="1" si="15"/>
        <v>0</v>
      </c>
      <c r="Y425" s="110">
        <f t="shared" ca="1" si="15"/>
        <v>0</v>
      </c>
      <c r="Z425" s="110">
        <f t="shared" ca="1" si="16"/>
        <v>0</v>
      </c>
      <c r="AA425" s="110">
        <f t="shared" ca="1" si="16"/>
        <v>0</v>
      </c>
      <c r="AB425" s="110">
        <f t="shared" ca="1" si="16"/>
        <v>0</v>
      </c>
      <c r="AC425" s="110">
        <f t="shared" ca="1" si="16"/>
        <v>0</v>
      </c>
      <c r="AD425" s="110">
        <f t="shared" ca="1" si="16"/>
        <v>0</v>
      </c>
      <c r="AE425" s="110">
        <f t="shared" ca="1" si="16"/>
        <v>0</v>
      </c>
      <c r="AF425" s="110">
        <f t="shared" ca="1" si="16"/>
        <v>0</v>
      </c>
      <c r="AG425" s="110">
        <f t="shared" ca="1" si="16"/>
        <v>0</v>
      </c>
      <c r="AH425" s="110">
        <f t="shared" ca="1" si="16"/>
        <v>0</v>
      </c>
      <c r="AI425" s="110">
        <f t="shared" ca="1" si="16"/>
        <v>0</v>
      </c>
    </row>
    <row r="426" spans="2:35">
      <c r="B426" s="149">
        <v>3</v>
      </c>
      <c r="C426" s="149">
        <v>11</v>
      </c>
      <c r="D426" s="122" t="str">
        <v>Motocicleta</v>
      </c>
      <c r="E426" s="122" t="str">
        <v>Leves</v>
      </c>
      <c r="F426" s="110">
        <f t="shared" ca="1" si="14"/>
        <v>1.46576039270038E-2</v>
      </c>
      <c r="G426" s="110">
        <f t="shared" ca="1" si="14"/>
        <v>1.46576039270038E-2</v>
      </c>
      <c r="H426" s="110">
        <f t="shared" ca="1" si="14"/>
        <v>1.46576039270038E-2</v>
      </c>
      <c r="I426" s="110">
        <f t="shared" ca="1" si="14"/>
        <v>1.46576039270038E-2</v>
      </c>
      <c r="J426" s="110">
        <f t="shared" ca="1" si="14"/>
        <v>1.46576039270038E-2</v>
      </c>
      <c r="K426" s="110">
        <f t="shared" ca="1" si="14"/>
        <v>1.46576039270038E-2</v>
      </c>
      <c r="L426" s="110">
        <f t="shared" ca="1" si="14"/>
        <v>1.46576039270038E-2</v>
      </c>
      <c r="M426" s="110">
        <f t="shared" ca="1" si="14"/>
        <v>1.46576039270038E-2</v>
      </c>
      <c r="N426" s="110">
        <f t="shared" ca="1" si="14"/>
        <v>1.46576039270038E-2</v>
      </c>
      <c r="O426" s="110">
        <f t="shared" ca="1" si="14"/>
        <v>1.46576039270038E-2</v>
      </c>
      <c r="P426" s="110">
        <f t="shared" ca="1" si="15"/>
        <v>1.46576039270038E-2</v>
      </c>
      <c r="Q426" s="110">
        <f t="shared" ca="1" si="15"/>
        <v>1.46576039270038E-2</v>
      </c>
      <c r="R426" s="110">
        <f t="shared" ca="1" si="15"/>
        <v>1.46576039270038E-2</v>
      </c>
      <c r="S426" s="110">
        <f t="shared" ca="1" si="15"/>
        <v>1.46576039270038E-2</v>
      </c>
      <c r="T426" s="110">
        <f t="shared" ca="1" si="15"/>
        <v>1.46576039270038E-2</v>
      </c>
      <c r="U426" s="110">
        <f t="shared" ca="1" si="15"/>
        <v>1.46576039270038E-2</v>
      </c>
      <c r="V426" s="110">
        <f t="shared" ca="1" si="15"/>
        <v>1.46576039270038E-2</v>
      </c>
      <c r="W426" s="110">
        <f t="shared" ca="1" si="15"/>
        <v>1.46576039270038E-2</v>
      </c>
      <c r="X426" s="110">
        <f t="shared" ca="1" si="15"/>
        <v>1.46576039270038E-2</v>
      </c>
      <c r="Y426" s="110">
        <f t="shared" ca="1" si="15"/>
        <v>1.46576039270038E-2</v>
      </c>
      <c r="Z426" s="110">
        <f t="shared" ca="1" si="16"/>
        <v>1.46576039270038E-2</v>
      </c>
      <c r="AA426" s="110">
        <f t="shared" ca="1" si="16"/>
        <v>1.46576039270038E-2</v>
      </c>
      <c r="AB426" s="110">
        <f t="shared" ca="1" si="16"/>
        <v>1.46576039270038E-2</v>
      </c>
      <c r="AC426" s="110">
        <f t="shared" ca="1" si="16"/>
        <v>1.46576039270038E-2</v>
      </c>
      <c r="AD426" s="110">
        <f t="shared" ca="1" si="16"/>
        <v>1.46576039270038E-2</v>
      </c>
      <c r="AE426" s="110">
        <f t="shared" ca="1" si="16"/>
        <v>1.46576039270038E-2</v>
      </c>
      <c r="AF426" s="110">
        <f t="shared" ca="1" si="16"/>
        <v>1.46576039270038E-2</v>
      </c>
      <c r="AG426" s="110">
        <f t="shared" ca="1" si="16"/>
        <v>1.46576039270038E-2</v>
      </c>
      <c r="AH426" s="110">
        <f t="shared" ca="1" si="16"/>
        <v>1.46576039270038E-2</v>
      </c>
      <c r="AI426" s="110">
        <f t="shared" ca="1" si="16"/>
        <v>1.46576039270038E-2</v>
      </c>
    </row>
    <row r="427" spans="2:35">
      <c r="B427" s="149">
        <v>3</v>
      </c>
      <c r="C427" s="149">
        <v>12</v>
      </c>
      <c r="D427" s="122" t="str">
        <v xml:space="preserve">Veículos do transporte público coletivo intermunicipal e metropolitano </v>
      </c>
      <c r="E427" s="122" t="str">
        <v>Pesados I</v>
      </c>
      <c r="F427" s="110">
        <f t="shared" ca="1" si="14"/>
        <v>0</v>
      </c>
      <c r="G427" s="110">
        <f t="shared" ca="1" si="14"/>
        <v>0</v>
      </c>
      <c r="H427" s="110">
        <f t="shared" ca="1" si="14"/>
        <v>0</v>
      </c>
      <c r="I427" s="110">
        <f t="shared" ca="1" si="14"/>
        <v>0</v>
      </c>
      <c r="J427" s="110">
        <f t="shared" ca="1" si="14"/>
        <v>0</v>
      </c>
      <c r="K427" s="110">
        <f t="shared" ca="1" si="14"/>
        <v>0</v>
      </c>
      <c r="L427" s="110">
        <f t="shared" ca="1" si="14"/>
        <v>0</v>
      </c>
      <c r="M427" s="110">
        <f t="shared" ca="1" si="14"/>
        <v>0</v>
      </c>
      <c r="N427" s="110">
        <f t="shared" ca="1" si="14"/>
        <v>0</v>
      </c>
      <c r="O427" s="110">
        <f t="shared" ca="1" si="14"/>
        <v>0</v>
      </c>
      <c r="P427" s="110">
        <f t="shared" ca="1" si="15"/>
        <v>0</v>
      </c>
      <c r="Q427" s="110">
        <f t="shared" ca="1" si="15"/>
        <v>0</v>
      </c>
      <c r="R427" s="110">
        <f t="shared" ca="1" si="15"/>
        <v>0</v>
      </c>
      <c r="S427" s="110">
        <f t="shared" ca="1" si="15"/>
        <v>0</v>
      </c>
      <c r="T427" s="110">
        <f t="shared" ca="1" si="15"/>
        <v>0</v>
      </c>
      <c r="U427" s="110">
        <f t="shared" ca="1" si="15"/>
        <v>0</v>
      </c>
      <c r="V427" s="110">
        <f t="shared" ca="1" si="15"/>
        <v>0</v>
      </c>
      <c r="W427" s="110">
        <f t="shared" ca="1" si="15"/>
        <v>0</v>
      </c>
      <c r="X427" s="110">
        <f t="shared" ca="1" si="15"/>
        <v>0</v>
      </c>
      <c r="Y427" s="110">
        <f t="shared" ca="1" si="15"/>
        <v>0</v>
      </c>
      <c r="Z427" s="110">
        <f t="shared" ca="1" si="16"/>
        <v>0</v>
      </c>
      <c r="AA427" s="110">
        <f t="shared" ca="1" si="16"/>
        <v>0</v>
      </c>
      <c r="AB427" s="110">
        <f t="shared" ca="1" si="16"/>
        <v>0</v>
      </c>
      <c r="AC427" s="110">
        <f t="shared" ca="1" si="16"/>
        <v>0</v>
      </c>
      <c r="AD427" s="110">
        <f t="shared" ca="1" si="16"/>
        <v>0</v>
      </c>
      <c r="AE427" s="110">
        <f t="shared" ca="1" si="16"/>
        <v>0</v>
      </c>
      <c r="AF427" s="110">
        <f t="shared" ca="1" si="16"/>
        <v>0</v>
      </c>
      <c r="AG427" s="110">
        <f t="shared" ca="1" si="16"/>
        <v>0</v>
      </c>
      <c r="AH427" s="110">
        <f t="shared" ca="1" si="16"/>
        <v>0</v>
      </c>
      <c r="AI427" s="110">
        <f t="shared" ca="1" si="16"/>
        <v>0</v>
      </c>
    </row>
    <row r="428" spans="2:35">
      <c r="B428" s="149">
        <v>4</v>
      </c>
      <c r="C428" s="149">
        <v>1</v>
      </c>
      <c r="D428" s="122" t="str">
        <v>Automóvel</v>
      </c>
      <c r="E428" s="122" t="str">
        <v>Leves</v>
      </c>
      <c r="F428" s="110">
        <f t="shared" ca="1" si="14"/>
        <v>1.5889466453145925E-2</v>
      </c>
      <c r="G428" s="110">
        <f t="shared" ca="1" si="14"/>
        <v>1.5889466453145925E-2</v>
      </c>
      <c r="H428" s="110">
        <f t="shared" ca="1" si="14"/>
        <v>1.5889466453145925E-2</v>
      </c>
      <c r="I428" s="110">
        <f t="shared" ca="1" si="14"/>
        <v>1.5889466453145925E-2</v>
      </c>
      <c r="J428" s="110">
        <f t="shared" ca="1" si="14"/>
        <v>1.5889466453145925E-2</v>
      </c>
      <c r="K428" s="110">
        <f t="shared" ca="1" si="14"/>
        <v>1.5889466453145925E-2</v>
      </c>
      <c r="L428" s="110">
        <f t="shared" ca="1" si="14"/>
        <v>1.5889466453145925E-2</v>
      </c>
      <c r="M428" s="110">
        <f t="shared" ca="1" si="14"/>
        <v>1.5889466453145925E-2</v>
      </c>
      <c r="N428" s="110">
        <f t="shared" ca="1" si="14"/>
        <v>1.5889466453145925E-2</v>
      </c>
      <c r="O428" s="110">
        <f t="shared" ca="1" si="14"/>
        <v>1.5889466453145925E-2</v>
      </c>
      <c r="P428" s="110">
        <f t="shared" ca="1" si="15"/>
        <v>1.5889466453145925E-2</v>
      </c>
      <c r="Q428" s="110">
        <f t="shared" ca="1" si="15"/>
        <v>1.5889466453145925E-2</v>
      </c>
      <c r="R428" s="110">
        <f t="shared" ca="1" si="15"/>
        <v>1.5889466453145925E-2</v>
      </c>
      <c r="S428" s="110">
        <f t="shared" ca="1" si="15"/>
        <v>1.5889466453145925E-2</v>
      </c>
      <c r="T428" s="110">
        <f t="shared" ca="1" si="15"/>
        <v>1.5889466453145925E-2</v>
      </c>
      <c r="U428" s="110">
        <f t="shared" ca="1" si="15"/>
        <v>1.5889466453145925E-2</v>
      </c>
      <c r="V428" s="110">
        <f t="shared" ca="1" si="15"/>
        <v>1.5889466453145925E-2</v>
      </c>
      <c r="W428" s="110">
        <f t="shared" ca="1" si="15"/>
        <v>1.5889466453145925E-2</v>
      </c>
      <c r="X428" s="110">
        <f t="shared" ca="1" si="15"/>
        <v>1.5889466453145925E-2</v>
      </c>
      <c r="Y428" s="110">
        <f t="shared" ca="1" si="15"/>
        <v>1.5889466453145925E-2</v>
      </c>
      <c r="Z428" s="110">
        <f t="shared" ca="1" si="16"/>
        <v>1.5889466453145925E-2</v>
      </c>
      <c r="AA428" s="110">
        <f t="shared" ca="1" si="16"/>
        <v>1.5889466453145925E-2</v>
      </c>
      <c r="AB428" s="110">
        <f t="shared" ca="1" si="16"/>
        <v>1.5889466453145925E-2</v>
      </c>
      <c r="AC428" s="110">
        <f t="shared" ca="1" si="16"/>
        <v>1.5889466453145925E-2</v>
      </c>
      <c r="AD428" s="110">
        <f t="shared" ca="1" si="16"/>
        <v>1.5889466453145925E-2</v>
      </c>
      <c r="AE428" s="110">
        <f t="shared" ca="1" si="16"/>
        <v>1.5889466453145925E-2</v>
      </c>
      <c r="AF428" s="110">
        <f t="shared" ca="1" si="16"/>
        <v>1.5889466453145925E-2</v>
      </c>
      <c r="AG428" s="110">
        <f t="shared" ca="1" si="16"/>
        <v>1.5889466453145925E-2</v>
      </c>
      <c r="AH428" s="110">
        <f t="shared" ca="1" si="16"/>
        <v>1.5889466453145925E-2</v>
      </c>
      <c r="AI428" s="110">
        <f t="shared" ca="1" si="16"/>
        <v>1.5889466453145925E-2</v>
      </c>
    </row>
    <row r="429" spans="2:35">
      <c r="B429" s="149">
        <v>4</v>
      </c>
      <c r="C429" s="149">
        <v>2</v>
      </c>
      <c r="D429" s="122" t="str">
        <v xml:space="preserve">Automóvel com reboque </v>
      </c>
      <c r="E429" s="122" t="str">
        <v>Leves</v>
      </c>
      <c r="F429" s="110">
        <f t="shared" ca="1" si="14"/>
        <v>0</v>
      </c>
      <c r="G429" s="110">
        <f t="shared" ca="1" si="14"/>
        <v>0</v>
      </c>
      <c r="H429" s="110">
        <f t="shared" ca="1" si="14"/>
        <v>0</v>
      </c>
      <c r="I429" s="110">
        <f t="shared" ca="1" si="14"/>
        <v>0</v>
      </c>
      <c r="J429" s="110">
        <f t="shared" ca="1" si="14"/>
        <v>0</v>
      </c>
      <c r="K429" s="110">
        <f t="shared" ca="1" si="14"/>
        <v>0</v>
      </c>
      <c r="L429" s="110">
        <f t="shared" ca="1" si="14"/>
        <v>0</v>
      </c>
      <c r="M429" s="110">
        <f t="shared" ca="1" si="14"/>
        <v>0</v>
      </c>
      <c r="N429" s="110">
        <f t="shared" ca="1" si="14"/>
        <v>0</v>
      </c>
      <c r="O429" s="110">
        <f t="shared" ca="1" si="14"/>
        <v>0</v>
      </c>
      <c r="P429" s="110">
        <f t="shared" ca="1" si="15"/>
        <v>0</v>
      </c>
      <c r="Q429" s="110">
        <f t="shared" ca="1" si="15"/>
        <v>0</v>
      </c>
      <c r="R429" s="110">
        <f t="shared" ca="1" si="15"/>
        <v>0</v>
      </c>
      <c r="S429" s="110">
        <f t="shared" ca="1" si="15"/>
        <v>0</v>
      </c>
      <c r="T429" s="110">
        <f t="shared" ca="1" si="15"/>
        <v>0</v>
      </c>
      <c r="U429" s="110">
        <f t="shared" ca="1" si="15"/>
        <v>0</v>
      </c>
      <c r="V429" s="110">
        <f t="shared" ca="1" si="15"/>
        <v>0</v>
      </c>
      <c r="W429" s="110">
        <f t="shared" ca="1" si="15"/>
        <v>0</v>
      </c>
      <c r="X429" s="110">
        <f t="shared" ca="1" si="15"/>
        <v>0</v>
      </c>
      <c r="Y429" s="110">
        <f t="shared" ca="1" si="15"/>
        <v>0</v>
      </c>
      <c r="Z429" s="110">
        <f t="shared" ca="1" si="16"/>
        <v>0</v>
      </c>
      <c r="AA429" s="110">
        <f t="shared" ca="1" si="16"/>
        <v>0</v>
      </c>
      <c r="AB429" s="110">
        <f t="shared" ca="1" si="16"/>
        <v>0</v>
      </c>
      <c r="AC429" s="110">
        <f t="shared" ca="1" si="16"/>
        <v>0</v>
      </c>
      <c r="AD429" s="110">
        <f t="shared" ca="1" si="16"/>
        <v>0</v>
      </c>
      <c r="AE429" s="110">
        <f t="shared" ca="1" si="16"/>
        <v>0</v>
      </c>
      <c r="AF429" s="110">
        <f t="shared" ca="1" si="16"/>
        <v>0</v>
      </c>
      <c r="AG429" s="110">
        <f t="shared" ca="1" si="16"/>
        <v>0</v>
      </c>
      <c r="AH429" s="110">
        <f t="shared" ca="1" si="16"/>
        <v>0</v>
      </c>
      <c r="AI429" s="110">
        <f t="shared" ca="1" si="16"/>
        <v>0</v>
      </c>
    </row>
    <row r="430" spans="2:35">
      <c r="B430" s="149">
        <v>4</v>
      </c>
      <c r="C430" s="149">
        <v>3</v>
      </c>
      <c r="D430" s="122" t="str">
        <v>Veículos Comerciais com 2 Eixos</v>
      </c>
      <c r="E430" s="122" t="str">
        <v>Pesados I</v>
      </c>
      <c r="F430" s="110">
        <f t="shared" ca="1" si="14"/>
        <v>0</v>
      </c>
      <c r="G430" s="110">
        <f t="shared" ca="1" si="14"/>
        <v>0</v>
      </c>
      <c r="H430" s="110">
        <f t="shared" ca="1" si="14"/>
        <v>0</v>
      </c>
      <c r="I430" s="110">
        <f t="shared" ca="1" si="14"/>
        <v>0</v>
      </c>
      <c r="J430" s="110">
        <f t="shared" ca="1" si="14"/>
        <v>0</v>
      </c>
      <c r="K430" s="110">
        <f t="shared" ca="1" si="14"/>
        <v>0</v>
      </c>
      <c r="L430" s="110">
        <f t="shared" ca="1" si="14"/>
        <v>0</v>
      </c>
      <c r="M430" s="110">
        <f t="shared" ca="1" si="14"/>
        <v>0</v>
      </c>
      <c r="N430" s="110">
        <f t="shared" ca="1" si="14"/>
        <v>0</v>
      </c>
      <c r="O430" s="110">
        <f t="shared" ca="1" si="14"/>
        <v>0</v>
      </c>
      <c r="P430" s="110">
        <f t="shared" ca="1" si="15"/>
        <v>0</v>
      </c>
      <c r="Q430" s="110">
        <f t="shared" ca="1" si="15"/>
        <v>0</v>
      </c>
      <c r="R430" s="110">
        <f t="shared" ca="1" si="15"/>
        <v>0</v>
      </c>
      <c r="S430" s="110">
        <f t="shared" ca="1" si="15"/>
        <v>0</v>
      </c>
      <c r="T430" s="110">
        <f t="shared" ca="1" si="15"/>
        <v>0</v>
      </c>
      <c r="U430" s="110">
        <f t="shared" ca="1" si="15"/>
        <v>0</v>
      </c>
      <c r="V430" s="110">
        <f t="shared" ca="1" si="15"/>
        <v>0</v>
      </c>
      <c r="W430" s="110">
        <f t="shared" ca="1" si="15"/>
        <v>0</v>
      </c>
      <c r="X430" s="110">
        <f t="shared" ca="1" si="15"/>
        <v>0</v>
      </c>
      <c r="Y430" s="110">
        <f t="shared" ca="1" si="15"/>
        <v>0</v>
      </c>
      <c r="Z430" s="110">
        <f t="shared" ca="1" si="16"/>
        <v>0</v>
      </c>
      <c r="AA430" s="110">
        <f t="shared" ca="1" si="16"/>
        <v>0</v>
      </c>
      <c r="AB430" s="110">
        <f t="shared" ca="1" si="16"/>
        <v>0</v>
      </c>
      <c r="AC430" s="110">
        <f t="shared" ca="1" si="16"/>
        <v>0</v>
      </c>
      <c r="AD430" s="110">
        <f t="shared" ca="1" si="16"/>
        <v>0</v>
      </c>
      <c r="AE430" s="110">
        <f t="shared" ca="1" si="16"/>
        <v>0</v>
      </c>
      <c r="AF430" s="110">
        <f t="shared" ca="1" si="16"/>
        <v>0</v>
      </c>
      <c r="AG430" s="110">
        <f t="shared" ca="1" si="16"/>
        <v>0</v>
      </c>
      <c r="AH430" s="110">
        <f t="shared" ca="1" si="16"/>
        <v>0</v>
      </c>
      <c r="AI430" s="110">
        <f t="shared" ca="1" si="16"/>
        <v>0</v>
      </c>
    </row>
    <row r="431" spans="2:35">
      <c r="B431" s="149">
        <v>4</v>
      </c>
      <c r="C431" s="149">
        <v>4</v>
      </c>
      <c r="D431" s="122" t="str">
        <v>Veículos Comerciais com 3 Eixos</v>
      </c>
      <c r="E431" s="122" t="str">
        <v>Pesados I</v>
      </c>
      <c r="F431" s="110">
        <f t="shared" ca="1" si="14"/>
        <v>0</v>
      </c>
      <c r="G431" s="110">
        <f t="shared" ca="1" si="14"/>
        <v>0</v>
      </c>
      <c r="H431" s="110">
        <f t="shared" ca="1" si="14"/>
        <v>0</v>
      </c>
      <c r="I431" s="110">
        <f t="shared" ca="1" si="14"/>
        <v>0</v>
      </c>
      <c r="J431" s="110">
        <f t="shared" ca="1" si="14"/>
        <v>0</v>
      </c>
      <c r="K431" s="110">
        <f t="shared" ca="1" si="14"/>
        <v>0</v>
      </c>
      <c r="L431" s="110">
        <f t="shared" ca="1" si="14"/>
        <v>0</v>
      </c>
      <c r="M431" s="110">
        <f t="shared" ca="1" si="14"/>
        <v>0</v>
      </c>
      <c r="N431" s="110">
        <f t="shared" ca="1" si="14"/>
        <v>0</v>
      </c>
      <c r="O431" s="110">
        <f t="shared" ca="1" si="14"/>
        <v>0</v>
      </c>
      <c r="P431" s="110">
        <f t="shared" ca="1" si="15"/>
        <v>0</v>
      </c>
      <c r="Q431" s="110">
        <f t="shared" ca="1" si="15"/>
        <v>0</v>
      </c>
      <c r="R431" s="110">
        <f t="shared" ca="1" si="15"/>
        <v>0</v>
      </c>
      <c r="S431" s="110">
        <f t="shared" ca="1" si="15"/>
        <v>0</v>
      </c>
      <c r="T431" s="110">
        <f t="shared" ca="1" si="15"/>
        <v>0</v>
      </c>
      <c r="U431" s="110">
        <f t="shared" ca="1" si="15"/>
        <v>0</v>
      </c>
      <c r="V431" s="110">
        <f t="shared" ca="1" si="15"/>
        <v>0</v>
      </c>
      <c r="W431" s="110">
        <f t="shared" ca="1" si="15"/>
        <v>0</v>
      </c>
      <c r="X431" s="110">
        <f t="shared" ca="1" si="15"/>
        <v>0</v>
      </c>
      <c r="Y431" s="110">
        <f t="shared" ca="1" si="15"/>
        <v>0</v>
      </c>
      <c r="Z431" s="110">
        <f t="shared" ca="1" si="16"/>
        <v>0</v>
      </c>
      <c r="AA431" s="110">
        <f t="shared" ca="1" si="16"/>
        <v>0</v>
      </c>
      <c r="AB431" s="110">
        <f t="shared" ca="1" si="16"/>
        <v>0</v>
      </c>
      <c r="AC431" s="110">
        <f t="shared" ca="1" si="16"/>
        <v>0</v>
      </c>
      <c r="AD431" s="110">
        <f t="shared" ca="1" si="16"/>
        <v>0</v>
      </c>
      <c r="AE431" s="110">
        <f t="shared" ca="1" si="16"/>
        <v>0</v>
      </c>
      <c r="AF431" s="110">
        <f t="shared" ca="1" si="16"/>
        <v>0</v>
      </c>
      <c r="AG431" s="110">
        <f t="shared" ca="1" si="16"/>
        <v>0</v>
      </c>
      <c r="AH431" s="110">
        <f t="shared" ca="1" si="16"/>
        <v>0</v>
      </c>
      <c r="AI431" s="110">
        <f t="shared" ca="1" si="16"/>
        <v>0</v>
      </c>
    </row>
    <row r="432" spans="2:35">
      <c r="B432" s="149">
        <v>4</v>
      </c>
      <c r="C432" s="149">
        <v>5</v>
      </c>
      <c r="D432" s="122" t="str">
        <v>Veículos Comerciais com 4 Eixos</v>
      </c>
      <c r="E432" s="122" t="str">
        <v>Pesados I</v>
      </c>
      <c r="F432" s="110">
        <f t="shared" ref="F432:O439" ca="1" si="17">SUMIFS($K$86:$K$373,$B$86:$B$373,$B432,$C$86:$C$373,$D432)</f>
        <v>0</v>
      </c>
      <c r="G432" s="110">
        <f t="shared" ca="1" si="17"/>
        <v>0</v>
      </c>
      <c r="H432" s="110">
        <f t="shared" ca="1" si="17"/>
        <v>0</v>
      </c>
      <c r="I432" s="110">
        <f t="shared" ca="1" si="17"/>
        <v>0</v>
      </c>
      <c r="J432" s="110">
        <f t="shared" ca="1" si="17"/>
        <v>0</v>
      </c>
      <c r="K432" s="110">
        <f t="shared" ca="1" si="17"/>
        <v>0</v>
      </c>
      <c r="L432" s="110">
        <f t="shared" ca="1" si="17"/>
        <v>0</v>
      </c>
      <c r="M432" s="110">
        <f t="shared" ca="1" si="17"/>
        <v>0</v>
      </c>
      <c r="N432" s="110">
        <f t="shared" ca="1" si="17"/>
        <v>0</v>
      </c>
      <c r="O432" s="110">
        <f t="shared" ca="1" si="17"/>
        <v>0</v>
      </c>
      <c r="P432" s="110">
        <f t="shared" ref="P432:Y439" ca="1" si="18">SUMIFS($K$86:$K$373,$B$86:$B$373,$B432,$C$86:$C$373,$D432)</f>
        <v>0</v>
      </c>
      <c r="Q432" s="110">
        <f t="shared" ca="1" si="18"/>
        <v>0</v>
      </c>
      <c r="R432" s="110">
        <f t="shared" ca="1" si="18"/>
        <v>0</v>
      </c>
      <c r="S432" s="110">
        <f t="shared" ca="1" si="18"/>
        <v>0</v>
      </c>
      <c r="T432" s="110">
        <f t="shared" ca="1" si="18"/>
        <v>0</v>
      </c>
      <c r="U432" s="110">
        <f t="shared" ca="1" si="18"/>
        <v>0</v>
      </c>
      <c r="V432" s="110">
        <f t="shared" ca="1" si="18"/>
        <v>0</v>
      </c>
      <c r="W432" s="110">
        <f t="shared" ca="1" si="18"/>
        <v>0</v>
      </c>
      <c r="X432" s="110">
        <f t="shared" ca="1" si="18"/>
        <v>0</v>
      </c>
      <c r="Y432" s="110">
        <f t="shared" ca="1" si="18"/>
        <v>0</v>
      </c>
      <c r="Z432" s="110">
        <f t="shared" ref="Z432:AI439" ca="1" si="19">SUMIFS($K$86:$K$373,$B$86:$B$373,$B432,$C$86:$C$373,$D432)</f>
        <v>0</v>
      </c>
      <c r="AA432" s="110">
        <f t="shared" ca="1" si="19"/>
        <v>0</v>
      </c>
      <c r="AB432" s="110">
        <f t="shared" ca="1" si="19"/>
        <v>0</v>
      </c>
      <c r="AC432" s="110">
        <f t="shared" ca="1" si="19"/>
        <v>0</v>
      </c>
      <c r="AD432" s="110">
        <f t="shared" ca="1" si="19"/>
        <v>0</v>
      </c>
      <c r="AE432" s="110">
        <f t="shared" ca="1" si="19"/>
        <v>0</v>
      </c>
      <c r="AF432" s="110">
        <f t="shared" ca="1" si="19"/>
        <v>0</v>
      </c>
      <c r="AG432" s="110">
        <f t="shared" ca="1" si="19"/>
        <v>0</v>
      </c>
      <c r="AH432" s="110">
        <f t="shared" ca="1" si="19"/>
        <v>0</v>
      </c>
      <c r="AI432" s="110">
        <f t="shared" ca="1" si="19"/>
        <v>0</v>
      </c>
    </row>
    <row r="433" spans="2:35">
      <c r="B433" s="149">
        <v>4</v>
      </c>
      <c r="C433" s="149">
        <v>6</v>
      </c>
      <c r="D433" s="122" t="str">
        <v>Veículos Comerciais com 5 Eixos Articulado</v>
      </c>
      <c r="E433" s="122" t="str">
        <v>Pesados II</v>
      </c>
      <c r="F433" s="110">
        <f t="shared" ca="1" si="17"/>
        <v>0</v>
      </c>
      <c r="G433" s="110">
        <f t="shared" ca="1" si="17"/>
        <v>0</v>
      </c>
      <c r="H433" s="110">
        <f t="shared" ca="1" si="17"/>
        <v>0</v>
      </c>
      <c r="I433" s="110">
        <f t="shared" ca="1" si="17"/>
        <v>0</v>
      </c>
      <c r="J433" s="110">
        <f t="shared" ca="1" si="17"/>
        <v>0</v>
      </c>
      <c r="K433" s="110">
        <f t="shared" ca="1" si="17"/>
        <v>0</v>
      </c>
      <c r="L433" s="110">
        <f t="shared" ca="1" si="17"/>
        <v>0</v>
      </c>
      <c r="M433" s="110">
        <f t="shared" ca="1" si="17"/>
        <v>0</v>
      </c>
      <c r="N433" s="110">
        <f t="shared" ca="1" si="17"/>
        <v>0</v>
      </c>
      <c r="O433" s="110">
        <f t="shared" ca="1" si="17"/>
        <v>0</v>
      </c>
      <c r="P433" s="110">
        <f t="shared" ca="1" si="18"/>
        <v>0</v>
      </c>
      <c r="Q433" s="110">
        <f t="shared" ca="1" si="18"/>
        <v>0</v>
      </c>
      <c r="R433" s="110">
        <f t="shared" ca="1" si="18"/>
        <v>0</v>
      </c>
      <c r="S433" s="110">
        <f t="shared" ca="1" si="18"/>
        <v>0</v>
      </c>
      <c r="T433" s="110">
        <f t="shared" ca="1" si="18"/>
        <v>0</v>
      </c>
      <c r="U433" s="110">
        <f t="shared" ca="1" si="18"/>
        <v>0</v>
      </c>
      <c r="V433" s="110">
        <f t="shared" ca="1" si="18"/>
        <v>0</v>
      </c>
      <c r="W433" s="110">
        <f t="shared" ca="1" si="18"/>
        <v>0</v>
      </c>
      <c r="X433" s="110">
        <f t="shared" ca="1" si="18"/>
        <v>0</v>
      </c>
      <c r="Y433" s="110">
        <f t="shared" ca="1" si="18"/>
        <v>0</v>
      </c>
      <c r="Z433" s="110">
        <f t="shared" ca="1" si="19"/>
        <v>0</v>
      </c>
      <c r="AA433" s="110">
        <f t="shared" ca="1" si="19"/>
        <v>0</v>
      </c>
      <c r="AB433" s="110">
        <f t="shared" ca="1" si="19"/>
        <v>0</v>
      </c>
      <c r="AC433" s="110">
        <f t="shared" ca="1" si="19"/>
        <v>0</v>
      </c>
      <c r="AD433" s="110">
        <f t="shared" ca="1" si="19"/>
        <v>0</v>
      </c>
      <c r="AE433" s="110">
        <f t="shared" ca="1" si="19"/>
        <v>0</v>
      </c>
      <c r="AF433" s="110">
        <f t="shared" ca="1" si="19"/>
        <v>0</v>
      </c>
      <c r="AG433" s="110">
        <f t="shared" ca="1" si="19"/>
        <v>0</v>
      </c>
      <c r="AH433" s="110">
        <f t="shared" ca="1" si="19"/>
        <v>0</v>
      </c>
      <c r="AI433" s="110">
        <f t="shared" ca="1" si="19"/>
        <v>0</v>
      </c>
    </row>
    <row r="434" spans="2:35">
      <c r="B434" s="149">
        <v>4</v>
      </c>
      <c r="C434" s="149">
        <v>7</v>
      </c>
      <c r="D434" s="122" t="str">
        <v>Veículos Comerciais com 6 Eixos Articulado</v>
      </c>
      <c r="E434" s="122" t="str">
        <v>Pesados II</v>
      </c>
      <c r="F434" s="110">
        <f t="shared" ca="1" si="17"/>
        <v>0</v>
      </c>
      <c r="G434" s="110">
        <f t="shared" ca="1" si="17"/>
        <v>0</v>
      </c>
      <c r="H434" s="110">
        <f t="shared" ca="1" si="17"/>
        <v>0</v>
      </c>
      <c r="I434" s="110">
        <f t="shared" ca="1" si="17"/>
        <v>0</v>
      </c>
      <c r="J434" s="110">
        <f t="shared" ca="1" si="17"/>
        <v>0</v>
      </c>
      <c r="K434" s="110">
        <f t="shared" ca="1" si="17"/>
        <v>0</v>
      </c>
      <c r="L434" s="110">
        <f t="shared" ca="1" si="17"/>
        <v>0</v>
      </c>
      <c r="M434" s="110">
        <f t="shared" ca="1" si="17"/>
        <v>0</v>
      </c>
      <c r="N434" s="110">
        <f t="shared" ca="1" si="17"/>
        <v>0</v>
      </c>
      <c r="O434" s="110">
        <f t="shared" ca="1" si="17"/>
        <v>0</v>
      </c>
      <c r="P434" s="110">
        <f t="shared" ca="1" si="18"/>
        <v>0</v>
      </c>
      <c r="Q434" s="110">
        <f t="shared" ca="1" si="18"/>
        <v>0</v>
      </c>
      <c r="R434" s="110">
        <f t="shared" ca="1" si="18"/>
        <v>0</v>
      </c>
      <c r="S434" s="110">
        <f t="shared" ca="1" si="18"/>
        <v>0</v>
      </c>
      <c r="T434" s="110">
        <f t="shared" ca="1" si="18"/>
        <v>0</v>
      </c>
      <c r="U434" s="110">
        <f t="shared" ca="1" si="18"/>
        <v>0</v>
      </c>
      <c r="V434" s="110">
        <f t="shared" ca="1" si="18"/>
        <v>0</v>
      </c>
      <c r="W434" s="110">
        <f t="shared" ca="1" si="18"/>
        <v>0</v>
      </c>
      <c r="X434" s="110">
        <f t="shared" ca="1" si="18"/>
        <v>0</v>
      </c>
      <c r="Y434" s="110">
        <f t="shared" ca="1" si="18"/>
        <v>0</v>
      </c>
      <c r="Z434" s="110">
        <f t="shared" ca="1" si="19"/>
        <v>0</v>
      </c>
      <c r="AA434" s="110">
        <f t="shared" ca="1" si="19"/>
        <v>0</v>
      </c>
      <c r="AB434" s="110">
        <f t="shared" ca="1" si="19"/>
        <v>0</v>
      </c>
      <c r="AC434" s="110">
        <f t="shared" ca="1" si="19"/>
        <v>0</v>
      </c>
      <c r="AD434" s="110">
        <f t="shared" ca="1" si="19"/>
        <v>0</v>
      </c>
      <c r="AE434" s="110">
        <f t="shared" ca="1" si="19"/>
        <v>0</v>
      </c>
      <c r="AF434" s="110">
        <f t="shared" ca="1" si="19"/>
        <v>0</v>
      </c>
      <c r="AG434" s="110">
        <f t="shared" ca="1" si="19"/>
        <v>0</v>
      </c>
      <c r="AH434" s="110">
        <f t="shared" ca="1" si="19"/>
        <v>0</v>
      </c>
      <c r="AI434" s="110">
        <f t="shared" ca="1" si="19"/>
        <v>0</v>
      </c>
    </row>
    <row r="435" spans="2:35">
      <c r="B435" s="149">
        <v>4</v>
      </c>
      <c r="C435" s="149">
        <v>8</v>
      </c>
      <c r="D435" s="122" t="str">
        <v>Veículos Comerciais com 7 Eixos Articulado</v>
      </c>
      <c r="E435" s="122" t="str">
        <v>Pesados II</v>
      </c>
      <c r="F435" s="110">
        <f t="shared" ca="1" si="17"/>
        <v>0</v>
      </c>
      <c r="G435" s="110">
        <f t="shared" ca="1" si="17"/>
        <v>0</v>
      </c>
      <c r="H435" s="110">
        <f t="shared" ca="1" si="17"/>
        <v>0</v>
      </c>
      <c r="I435" s="110">
        <f t="shared" ca="1" si="17"/>
        <v>0</v>
      </c>
      <c r="J435" s="110">
        <f t="shared" ca="1" si="17"/>
        <v>0</v>
      </c>
      <c r="K435" s="110">
        <f t="shared" ca="1" si="17"/>
        <v>0</v>
      </c>
      <c r="L435" s="110">
        <f t="shared" ca="1" si="17"/>
        <v>0</v>
      </c>
      <c r="M435" s="110">
        <f t="shared" ca="1" si="17"/>
        <v>0</v>
      </c>
      <c r="N435" s="110">
        <f t="shared" ca="1" si="17"/>
        <v>0</v>
      </c>
      <c r="O435" s="110">
        <f t="shared" ca="1" si="17"/>
        <v>0</v>
      </c>
      <c r="P435" s="110">
        <f t="shared" ca="1" si="18"/>
        <v>0</v>
      </c>
      <c r="Q435" s="110">
        <f t="shared" ca="1" si="18"/>
        <v>0</v>
      </c>
      <c r="R435" s="110">
        <f t="shared" ca="1" si="18"/>
        <v>0</v>
      </c>
      <c r="S435" s="110">
        <f t="shared" ca="1" si="18"/>
        <v>0</v>
      </c>
      <c r="T435" s="110">
        <f t="shared" ca="1" si="18"/>
        <v>0</v>
      </c>
      <c r="U435" s="110">
        <f t="shared" ca="1" si="18"/>
        <v>0</v>
      </c>
      <c r="V435" s="110">
        <f t="shared" ca="1" si="18"/>
        <v>0</v>
      </c>
      <c r="W435" s="110">
        <f t="shared" ca="1" si="18"/>
        <v>0</v>
      </c>
      <c r="X435" s="110">
        <f t="shared" ca="1" si="18"/>
        <v>0</v>
      </c>
      <c r="Y435" s="110">
        <f t="shared" ca="1" si="18"/>
        <v>0</v>
      </c>
      <c r="Z435" s="110">
        <f t="shared" ca="1" si="19"/>
        <v>0</v>
      </c>
      <c r="AA435" s="110">
        <f t="shared" ca="1" si="19"/>
        <v>0</v>
      </c>
      <c r="AB435" s="110">
        <f t="shared" ca="1" si="19"/>
        <v>0</v>
      </c>
      <c r="AC435" s="110">
        <f t="shared" ca="1" si="19"/>
        <v>0</v>
      </c>
      <c r="AD435" s="110">
        <f t="shared" ca="1" si="19"/>
        <v>0</v>
      </c>
      <c r="AE435" s="110">
        <f t="shared" ca="1" si="19"/>
        <v>0</v>
      </c>
      <c r="AF435" s="110">
        <f t="shared" ca="1" si="19"/>
        <v>0</v>
      </c>
      <c r="AG435" s="110">
        <f t="shared" ca="1" si="19"/>
        <v>0</v>
      </c>
      <c r="AH435" s="110">
        <f t="shared" ca="1" si="19"/>
        <v>0</v>
      </c>
      <c r="AI435" s="110">
        <f t="shared" ca="1" si="19"/>
        <v>0</v>
      </c>
    </row>
    <row r="436" spans="2:35">
      <c r="B436" s="149">
        <v>4</v>
      </c>
      <c r="C436" s="149">
        <v>9</v>
      </c>
      <c r="D436" s="122" t="str">
        <v>Veículos Comerciais com 8 Eixos Articulado</v>
      </c>
      <c r="E436" s="122" t="str">
        <v>Pesados II</v>
      </c>
      <c r="F436" s="110">
        <f t="shared" ca="1" si="17"/>
        <v>0</v>
      </c>
      <c r="G436" s="110">
        <f t="shared" ca="1" si="17"/>
        <v>0</v>
      </c>
      <c r="H436" s="110">
        <f t="shared" ca="1" si="17"/>
        <v>0</v>
      </c>
      <c r="I436" s="110">
        <f t="shared" ca="1" si="17"/>
        <v>0</v>
      </c>
      <c r="J436" s="110">
        <f t="shared" ca="1" si="17"/>
        <v>0</v>
      </c>
      <c r="K436" s="110">
        <f t="shared" ca="1" si="17"/>
        <v>0</v>
      </c>
      <c r="L436" s="110">
        <f t="shared" ca="1" si="17"/>
        <v>0</v>
      </c>
      <c r="M436" s="110">
        <f t="shared" ca="1" si="17"/>
        <v>0</v>
      </c>
      <c r="N436" s="110">
        <f t="shared" ca="1" si="17"/>
        <v>0</v>
      </c>
      <c r="O436" s="110">
        <f t="shared" ca="1" si="17"/>
        <v>0</v>
      </c>
      <c r="P436" s="110">
        <f t="shared" ca="1" si="18"/>
        <v>0</v>
      </c>
      <c r="Q436" s="110">
        <f t="shared" ca="1" si="18"/>
        <v>0</v>
      </c>
      <c r="R436" s="110">
        <f t="shared" ca="1" si="18"/>
        <v>0</v>
      </c>
      <c r="S436" s="110">
        <f t="shared" ca="1" si="18"/>
        <v>0</v>
      </c>
      <c r="T436" s="110">
        <f t="shared" ca="1" si="18"/>
        <v>0</v>
      </c>
      <c r="U436" s="110">
        <f t="shared" ca="1" si="18"/>
        <v>0</v>
      </c>
      <c r="V436" s="110">
        <f t="shared" ca="1" si="18"/>
        <v>0</v>
      </c>
      <c r="W436" s="110">
        <f t="shared" ca="1" si="18"/>
        <v>0</v>
      </c>
      <c r="X436" s="110">
        <f t="shared" ca="1" si="18"/>
        <v>0</v>
      </c>
      <c r="Y436" s="110">
        <f t="shared" ca="1" si="18"/>
        <v>0</v>
      </c>
      <c r="Z436" s="110">
        <f t="shared" ca="1" si="19"/>
        <v>0</v>
      </c>
      <c r="AA436" s="110">
        <f t="shared" ca="1" si="19"/>
        <v>0</v>
      </c>
      <c r="AB436" s="110">
        <f t="shared" ca="1" si="19"/>
        <v>0</v>
      </c>
      <c r="AC436" s="110">
        <f t="shared" ca="1" si="19"/>
        <v>0</v>
      </c>
      <c r="AD436" s="110">
        <f t="shared" ca="1" si="19"/>
        <v>0</v>
      </c>
      <c r="AE436" s="110">
        <f t="shared" ca="1" si="19"/>
        <v>0</v>
      </c>
      <c r="AF436" s="110">
        <f t="shared" ca="1" si="19"/>
        <v>0</v>
      </c>
      <c r="AG436" s="110">
        <f t="shared" ca="1" si="19"/>
        <v>0</v>
      </c>
      <c r="AH436" s="110">
        <f t="shared" ca="1" si="19"/>
        <v>0</v>
      </c>
      <c r="AI436" s="110">
        <f t="shared" ca="1" si="19"/>
        <v>0</v>
      </c>
    </row>
    <row r="437" spans="2:35">
      <c r="B437" s="149">
        <v>4</v>
      </c>
      <c r="C437" s="149">
        <v>10</v>
      </c>
      <c r="D437" s="122" t="str">
        <v>Veículos Comerciais com 9 Eixos Articulado</v>
      </c>
      <c r="E437" s="122" t="str">
        <v>Pesados II</v>
      </c>
      <c r="F437" s="110">
        <f t="shared" ca="1" si="17"/>
        <v>0</v>
      </c>
      <c r="G437" s="110">
        <f t="shared" ca="1" si="17"/>
        <v>0</v>
      </c>
      <c r="H437" s="110">
        <f t="shared" ca="1" si="17"/>
        <v>0</v>
      </c>
      <c r="I437" s="110">
        <f t="shared" ca="1" si="17"/>
        <v>0</v>
      </c>
      <c r="J437" s="110">
        <f t="shared" ca="1" si="17"/>
        <v>0</v>
      </c>
      <c r="K437" s="110">
        <f t="shared" ca="1" si="17"/>
        <v>0</v>
      </c>
      <c r="L437" s="110">
        <f t="shared" ca="1" si="17"/>
        <v>0</v>
      </c>
      <c r="M437" s="110">
        <f t="shared" ca="1" si="17"/>
        <v>0</v>
      </c>
      <c r="N437" s="110">
        <f t="shared" ca="1" si="17"/>
        <v>0</v>
      </c>
      <c r="O437" s="110">
        <f t="shared" ca="1" si="17"/>
        <v>0</v>
      </c>
      <c r="P437" s="110">
        <f t="shared" ca="1" si="18"/>
        <v>0</v>
      </c>
      <c r="Q437" s="110">
        <f t="shared" ca="1" si="18"/>
        <v>0</v>
      </c>
      <c r="R437" s="110">
        <f t="shared" ca="1" si="18"/>
        <v>0</v>
      </c>
      <c r="S437" s="110">
        <f t="shared" ca="1" si="18"/>
        <v>0</v>
      </c>
      <c r="T437" s="110">
        <f t="shared" ca="1" si="18"/>
        <v>0</v>
      </c>
      <c r="U437" s="110">
        <f t="shared" ca="1" si="18"/>
        <v>0</v>
      </c>
      <c r="V437" s="110">
        <f t="shared" ca="1" si="18"/>
        <v>0</v>
      </c>
      <c r="W437" s="110">
        <f t="shared" ca="1" si="18"/>
        <v>0</v>
      </c>
      <c r="X437" s="110">
        <f t="shared" ca="1" si="18"/>
        <v>0</v>
      </c>
      <c r="Y437" s="110">
        <f t="shared" ca="1" si="18"/>
        <v>0</v>
      </c>
      <c r="Z437" s="110">
        <f t="shared" ca="1" si="19"/>
        <v>0</v>
      </c>
      <c r="AA437" s="110">
        <f t="shared" ca="1" si="19"/>
        <v>0</v>
      </c>
      <c r="AB437" s="110">
        <f t="shared" ca="1" si="19"/>
        <v>0</v>
      </c>
      <c r="AC437" s="110">
        <f t="shared" ca="1" si="19"/>
        <v>0</v>
      </c>
      <c r="AD437" s="110">
        <f t="shared" ca="1" si="19"/>
        <v>0</v>
      </c>
      <c r="AE437" s="110">
        <f t="shared" ca="1" si="19"/>
        <v>0</v>
      </c>
      <c r="AF437" s="110">
        <f t="shared" ca="1" si="19"/>
        <v>0</v>
      </c>
      <c r="AG437" s="110">
        <f t="shared" ca="1" si="19"/>
        <v>0</v>
      </c>
      <c r="AH437" s="110">
        <f t="shared" ca="1" si="19"/>
        <v>0</v>
      </c>
      <c r="AI437" s="110">
        <f t="shared" ca="1" si="19"/>
        <v>0</v>
      </c>
    </row>
    <row r="438" spans="2:35">
      <c r="B438" s="149">
        <v>4</v>
      </c>
      <c r="C438" s="149">
        <v>11</v>
      </c>
      <c r="D438" s="122" t="str">
        <v>Motocicleta</v>
      </c>
      <c r="E438" s="122" t="str">
        <v>Leves</v>
      </c>
      <c r="F438" s="110">
        <f t="shared" ca="1" si="17"/>
        <v>1.5889466453145925E-2</v>
      </c>
      <c r="G438" s="110">
        <f t="shared" ca="1" si="17"/>
        <v>1.5889466453145925E-2</v>
      </c>
      <c r="H438" s="110">
        <f t="shared" ca="1" si="17"/>
        <v>1.5889466453145925E-2</v>
      </c>
      <c r="I438" s="110">
        <f t="shared" ca="1" si="17"/>
        <v>1.5889466453145925E-2</v>
      </c>
      <c r="J438" s="110">
        <f t="shared" ca="1" si="17"/>
        <v>1.5889466453145925E-2</v>
      </c>
      <c r="K438" s="110">
        <f t="shared" ca="1" si="17"/>
        <v>1.5889466453145925E-2</v>
      </c>
      <c r="L438" s="110">
        <f t="shared" ca="1" si="17"/>
        <v>1.5889466453145925E-2</v>
      </c>
      <c r="M438" s="110">
        <f t="shared" ca="1" si="17"/>
        <v>1.5889466453145925E-2</v>
      </c>
      <c r="N438" s="110">
        <f t="shared" ca="1" si="17"/>
        <v>1.5889466453145925E-2</v>
      </c>
      <c r="O438" s="110">
        <f t="shared" ca="1" si="17"/>
        <v>1.5889466453145925E-2</v>
      </c>
      <c r="P438" s="110">
        <f t="shared" ca="1" si="18"/>
        <v>1.5889466453145925E-2</v>
      </c>
      <c r="Q438" s="110">
        <f t="shared" ca="1" si="18"/>
        <v>1.5889466453145925E-2</v>
      </c>
      <c r="R438" s="110">
        <f t="shared" ca="1" si="18"/>
        <v>1.5889466453145925E-2</v>
      </c>
      <c r="S438" s="110">
        <f t="shared" ca="1" si="18"/>
        <v>1.5889466453145925E-2</v>
      </c>
      <c r="T438" s="110">
        <f t="shared" ca="1" si="18"/>
        <v>1.5889466453145925E-2</v>
      </c>
      <c r="U438" s="110">
        <f t="shared" ca="1" si="18"/>
        <v>1.5889466453145925E-2</v>
      </c>
      <c r="V438" s="110">
        <f t="shared" ca="1" si="18"/>
        <v>1.5889466453145925E-2</v>
      </c>
      <c r="W438" s="110">
        <f t="shared" ca="1" si="18"/>
        <v>1.5889466453145925E-2</v>
      </c>
      <c r="X438" s="110">
        <f t="shared" ca="1" si="18"/>
        <v>1.5889466453145925E-2</v>
      </c>
      <c r="Y438" s="110">
        <f t="shared" ca="1" si="18"/>
        <v>1.5889466453145925E-2</v>
      </c>
      <c r="Z438" s="110">
        <f t="shared" ca="1" si="19"/>
        <v>1.5889466453145925E-2</v>
      </c>
      <c r="AA438" s="110">
        <f t="shared" ca="1" si="19"/>
        <v>1.5889466453145925E-2</v>
      </c>
      <c r="AB438" s="110">
        <f t="shared" ca="1" si="19"/>
        <v>1.5889466453145925E-2</v>
      </c>
      <c r="AC438" s="110">
        <f t="shared" ca="1" si="19"/>
        <v>1.5889466453145925E-2</v>
      </c>
      <c r="AD438" s="110">
        <f t="shared" ca="1" si="19"/>
        <v>1.5889466453145925E-2</v>
      </c>
      <c r="AE438" s="110">
        <f t="shared" ca="1" si="19"/>
        <v>1.5889466453145925E-2</v>
      </c>
      <c r="AF438" s="110">
        <f t="shared" ca="1" si="19"/>
        <v>1.5889466453145925E-2</v>
      </c>
      <c r="AG438" s="110">
        <f t="shared" ca="1" si="19"/>
        <v>1.5889466453145925E-2</v>
      </c>
      <c r="AH438" s="110">
        <f t="shared" ca="1" si="19"/>
        <v>1.5889466453145925E-2</v>
      </c>
      <c r="AI438" s="110">
        <f t="shared" ca="1" si="19"/>
        <v>1.5889466453145925E-2</v>
      </c>
    </row>
    <row r="439" spans="2:35">
      <c r="B439" s="149">
        <v>4</v>
      </c>
      <c r="C439" s="149">
        <v>12</v>
      </c>
      <c r="D439" s="122" t="str">
        <v xml:space="preserve">Veículos do transporte público coletivo intermunicipal e metropolitano </v>
      </c>
      <c r="E439" s="122" t="str">
        <v>Pesados I</v>
      </c>
      <c r="F439" s="110">
        <f t="shared" ca="1" si="17"/>
        <v>0</v>
      </c>
      <c r="G439" s="110">
        <f t="shared" ca="1" si="17"/>
        <v>0</v>
      </c>
      <c r="H439" s="110">
        <f t="shared" ca="1" si="17"/>
        <v>0</v>
      </c>
      <c r="I439" s="110">
        <f t="shared" ca="1" si="17"/>
        <v>0</v>
      </c>
      <c r="J439" s="110">
        <f t="shared" ca="1" si="17"/>
        <v>0</v>
      </c>
      <c r="K439" s="110">
        <f t="shared" ca="1" si="17"/>
        <v>0</v>
      </c>
      <c r="L439" s="110">
        <f t="shared" ca="1" si="17"/>
        <v>0</v>
      </c>
      <c r="M439" s="110">
        <f t="shared" ca="1" si="17"/>
        <v>0</v>
      </c>
      <c r="N439" s="110">
        <f t="shared" ca="1" si="17"/>
        <v>0</v>
      </c>
      <c r="O439" s="110">
        <f t="shared" ca="1" si="17"/>
        <v>0</v>
      </c>
      <c r="P439" s="110">
        <f t="shared" ca="1" si="18"/>
        <v>0</v>
      </c>
      <c r="Q439" s="110">
        <f t="shared" ca="1" si="18"/>
        <v>0</v>
      </c>
      <c r="R439" s="110">
        <f t="shared" ca="1" si="18"/>
        <v>0</v>
      </c>
      <c r="S439" s="110">
        <f t="shared" ca="1" si="18"/>
        <v>0</v>
      </c>
      <c r="T439" s="110">
        <f t="shared" ca="1" si="18"/>
        <v>0</v>
      </c>
      <c r="U439" s="110">
        <f t="shared" ca="1" si="18"/>
        <v>0</v>
      </c>
      <c r="V439" s="110">
        <f t="shared" ca="1" si="18"/>
        <v>0</v>
      </c>
      <c r="W439" s="110">
        <f t="shared" ca="1" si="18"/>
        <v>0</v>
      </c>
      <c r="X439" s="110">
        <f t="shared" ca="1" si="18"/>
        <v>0</v>
      </c>
      <c r="Y439" s="110">
        <f t="shared" ca="1" si="18"/>
        <v>0</v>
      </c>
      <c r="Z439" s="110">
        <f t="shared" ca="1" si="19"/>
        <v>0</v>
      </c>
      <c r="AA439" s="110">
        <f t="shared" ca="1" si="19"/>
        <v>0</v>
      </c>
      <c r="AB439" s="110">
        <f t="shared" ca="1" si="19"/>
        <v>0</v>
      </c>
      <c r="AC439" s="110">
        <f t="shared" ca="1" si="19"/>
        <v>0</v>
      </c>
      <c r="AD439" s="110">
        <f t="shared" ca="1" si="19"/>
        <v>0</v>
      </c>
      <c r="AE439" s="110">
        <f t="shared" ca="1" si="19"/>
        <v>0</v>
      </c>
      <c r="AF439" s="110">
        <f t="shared" ca="1" si="19"/>
        <v>0</v>
      </c>
      <c r="AG439" s="110">
        <f t="shared" ca="1" si="19"/>
        <v>0</v>
      </c>
      <c r="AH439" s="110">
        <f t="shared" ca="1" si="19"/>
        <v>0</v>
      </c>
      <c r="AI439" s="110">
        <f t="shared" ca="1" si="19"/>
        <v>0</v>
      </c>
    </row>
    <row r="441" spans="2:35">
      <c r="B441" s="2" t="s">
        <v>609</v>
      </c>
    </row>
    <row r="442" spans="2:35">
      <c r="B442" s="46" t="str" cm="1">
        <f t="array" ref="B442:E490">_xlfn.ANCHORARRAY(B391)</f>
        <v>Pórtico</v>
      </c>
      <c r="C442" s="46" t="str">
        <v>Categoria</v>
      </c>
      <c r="D442" s="46" t="str">
        <v>Categoria de Veículo</v>
      </c>
      <c r="E442" s="179" t="str">
        <v>Grupo</v>
      </c>
      <c r="F442" s="150" t="str" cm="1">
        <f t="array" ref="F442:AI442">_xlfn.ANCHORARRAY(F391)</f>
        <v>Ano 1</v>
      </c>
      <c r="G442" s="46" t="str">
        <v>Ano 2</v>
      </c>
      <c r="H442" s="46" t="str">
        <v>Ano 3</v>
      </c>
      <c r="I442" s="46" t="str">
        <v>Ano 4</v>
      </c>
      <c r="J442" s="46" t="str">
        <v>Ano 5</v>
      </c>
      <c r="K442" s="46" t="str">
        <v>Ano 6</v>
      </c>
      <c r="L442" s="46" t="str">
        <v>Ano 7</v>
      </c>
      <c r="M442" s="46" t="str">
        <v>Ano 8</v>
      </c>
      <c r="N442" s="46" t="str">
        <v>Ano 9</v>
      </c>
      <c r="O442" s="46" t="str">
        <v>Ano 10</v>
      </c>
      <c r="P442" s="46" t="str">
        <v>Ano 11</v>
      </c>
      <c r="Q442" s="46" t="str">
        <v>Ano 12</v>
      </c>
      <c r="R442" s="46" t="str">
        <v>Ano 13</v>
      </c>
      <c r="S442" s="46" t="str">
        <v>Ano 14</v>
      </c>
      <c r="T442" s="46" t="str">
        <v>Ano 15</v>
      </c>
      <c r="U442" s="46" t="str">
        <v>Ano 16</v>
      </c>
      <c r="V442" s="46" t="str">
        <v>Ano 17</v>
      </c>
      <c r="W442" s="46" t="str">
        <v>Ano 18</v>
      </c>
      <c r="X442" s="46" t="str">
        <v>Ano 19</v>
      </c>
      <c r="Y442" s="46" t="str">
        <v>Ano 20</v>
      </c>
      <c r="Z442" s="46" t="str">
        <v>Ano 21</v>
      </c>
      <c r="AA442" s="46" t="str">
        <v>Ano 22</v>
      </c>
      <c r="AB442" s="46" t="str">
        <v>Ano 23</v>
      </c>
      <c r="AC442" s="46" t="str">
        <v>Ano 24</v>
      </c>
      <c r="AD442" s="46" t="str">
        <v>Ano 25</v>
      </c>
      <c r="AE442" s="46" t="str">
        <v>Ano 26</v>
      </c>
      <c r="AF442" s="46" t="str">
        <v>Ano 27</v>
      </c>
      <c r="AG442" s="46" t="str">
        <v>Ano 28</v>
      </c>
      <c r="AH442" s="46" t="str">
        <v>Ano 29</v>
      </c>
      <c r="AI442" s="46" t="str">
        <v>Ano 30</v>
      </c>
    </row>
    <row r="443" spans="2:35">
      <c r="B443" s="149">
        <v>1</v>
      </c>
      <c r="C443" s="149">
        <v>1</v>
      </c>
      <c r="D443" s="122" t="str">
        <v>Automóvel</v>
      </c>
      <c r="E443" s="250" t="str">
        <v>Leves</v>
      </c>
      <c r="F443" s="110" cm="1">
        <f t="array" aca="1" ref="F443:AI490" ca="1">_xlfn.VSTACK(D377:AG388,D377:AG388,D377:AG388,D377:AG388) * F392:AI439</f>
        <v>1.2618891089385784E-2</v>
      </c>
      <c r="G443" s="110">
        <f ca="1"/>
        <v>1.6459423160068418E-2</v>
      </c>
      <c r="H443" s="110">
        <f ca="1"/>
        <v>2.2494544985426836E-2</v>
      </c>
      <c r="I443" s="110">
        <f ca="1"/>
        <v>2.7432371933447358E-2</v>
      </c>
      <c r="J443" s="110">
        <f ca="1"/>
        <v>3.182155144279894E-2</v>
      </c>
      <c r="K443" s="110">
        <f ca="1"/>
        <v>3.5113436074812619E-2</v>
      </c>
      <c r="L443" s="110">
        <f ca="1"/>
        <v>3.7856673268157351E-2</v>
      </c>
      <c r="M443" s="110">
        <f ca="1"/>
        <v>4.0599910461502089E-2</v>
      </c>
      <c r="N443" s="110">
        <f ca="1"/>
        <v>4.279450021617788E-2</v>
      </c>
      <c r="O443" s="110">
        <f ca="1"/>
        <v>4.3891795093515776E-2</v>
      </c>
      <c r="P443" s="110">
        <f ca="1"/>
        <v>4.4440442532184724E-2</v>
      </c>
      <c r="Q443" s="110">
        <f ca="1"/>
        <v>4.4440442532184724E-2</v>
      </c>
      <c r="R443" s="110">
        <f ca="1"/>
        <v>4.4440442532184724E-2</v>
      </c>
      <c r="S443" s="110">
        <f ca="1"/>
        <v>4.4440442532184724E-2</v>
      </c>
      <c r="T443" s="110">
        <f ca="1"/>
        <v>4.4440442532184724E-2</v>
      </c>
      <c r="U443" s="110">
        <f ca="1"/>
        <v>4.4440442532184724E-2</v>
      </c>
      <c r="V443" s="110">
        <f ca="1"/>
        <v>4.4440442532184724E-2</v>
      </c>
      <c r="W443" s="110">
        <f ca="1"/>
        <v>4.4440442532184724E-2</v>
      </c>
      <c r="X443" s="110">
        <f ca="1"/>
        <v>4.4440442532184724E-2</v>
      </c>
      <c r="Y443" s="110">
        <f ca="1"/>
        <v>4.4440442532184724E-2</v>
      </c>
      <c r="Z443" s="110">
        <f ca="1"/>
        <v>4.4440442532184724E-2</v>
      </c>
      <c r="AA443" s="110">
        <f ca="1"/>
        <v>4.4440442532184724E-2</v>
      </c>
      <c r="AB443" s="110">
        <f ca="1"/>
        <v>4.4440442532184724E-2</v>
      </c>
      <c r="AC443" s="110">
        <f ca="1"/>
        <v>4.4440442532184724E-2</v>
      </c>
      <c r="AD443" s="110">
        <f ca="1"/>
        <v>4.4440442532184724E-2</v>
      </c>
      <c r="AE443" s="110">
        <f ca="1"/>
        <v>4.4440442532184724E-2</v>
      </c>
      <c r="AF443" s="110">
        <f ca="1"/>
        <v>4.4440442532184724E-2</v>
      </c>
      <c r="AG443" s="110">
        <f ca="1"/>
        <v>4.4440442532184724E-2</v>
      </c>
      <c r="AH443" s="110">
        <f ca="1"/>
        <v>4.4440442532184724E-2</v>
      </c>
      <c r="AI443" s="110">
        <f ca="1"/>
        <v>4.4440442532184724E-2</v>
      </c>
    </row>
    <row r="444" spans="2:35">
      <c r="B444" s="149">
        <v>1</v>
      </c>
      <c r="C444" s="149">
        <v>2</v>
      </c>
      <c r="D444" s="122" t="str">
        <v xml:space="preserve">Automóvel com reboque </v>
      </c>
      <c r="E444" s="122" t="str">
        <v>Leves</v>
      </c>
      <c r="F444" s="110">
        <f ca="1"/>
        <v>0</v>
      </c>
      <c r="G444" s="110">
        <f ca="1"/>
        <v>0</v>
      </c>
      <c r="H444" s="110">
        <f ca="1"/>
        <v>0</v>
      </c>
      <c r="I444" s="110">
        <f ca="1"/>
        <v>0</v>
      </c>
      <c r="J444" s="110">
        <f ca="1"/>
        <v>0</v>
      </c>
      <c r="K444" s="110">
        <f ca="1"/>
        <v>0</v>
      </c>
      <c r="L444" s="110">
        <f ca="1"/>
        <v>0</v>
      </c>
      <c r="M444" s="110">
        <f ca="1"/>
        <v>0</v>
      </c>
      <c r="N444" s="110">
        <f ca="1"/>
        <v>0</v>
      </c>
      <c r="O444" s="110">
        <f ca="1"/>
        <v>0</v>
      </c>
      <c r="P444" s="110">
        <f ca="1"/>
        <v>0</v>
      </c>
      <c r="Q444" s="110">
        <f ca="1"/>
        <v>0</v>
      </c>
      <c r="R444" s="110">
        <f ca="1"/>
        <v>0</v>
      </c>
      <c r="S444" s="110">
        <f ca="1"/>
        <v>0</v>
      </c>
      <c r="T444" s="110">
        <f ca="1"/>
        <v>0</v>
      </c>
      <c r="U444" s="110">
        <f ca="1"/>
        <v>0</v>
      </c>
      <c r="V444" s="110">
        <f ca="1"/>
        <v>0</v>
      </c>
      <c r="W444" s="110">
        <f ca="1"/>
        <v>0</v>
      </c>
      <c r="X444" s="110">
        <f ca="1"/>
        <v>0</v>
      </c>
      <c r="Y444" s="110">
        <f ca="1"/>
        <v>0</v>
      </c>
      <c r="Z444" s="110">
        <f ca="1"/>
        <v>0</v>
      </c>
      <c r="AA444" s="110">
        <f ca="1"/>
        <v>0</v>
      </c>
      <c r="AB444" s="110">
        <f ca="1"/>
        <v>0</v>
      </c>
      <c r="AC444" s="110">
        <f ca="1"/>
        <v>0</v>
      </c>
      <c r="AD444" s="110">
        <f ca="1"/>
        <v>0</v>
      </c>
      <c r="AE444" s="110">
        <f ca="1"/>
        <v>0</v>
      </c>
      <c r="AF444" s="110">
        <f ca="1"/>
        <v>0</v>
      </c>
      <c r="AG444" s="110">
        <f ca="1"/>
        <v>0</v>
      </c>
      <c r="AH444" s="110">
        <f ca="1"/>
        <v>0</v>
      </c>
      <c r="AI444" s="110">
        <f ca="1"/>
        <v>0</v>
      </c>
    </row>
    <row r="445" spans="2:35">
      <c r="B445" s="149">
        <v>1</v>
      </c>
      <c r="C445" s="149">
        <v>3</v>
      </c>
      <c r="D445" s="122" t="str">
        <v>Veículos Comerciais com 2 Eixos</v>
      </c>
      <c r="E445" s="122" t="str">
        <v>Pesados I</v>
      </c>
      <c r="F445" s="110">
        <f ca="1"/>
        <v>0</v>
      </c>
      <c r="G445" s="110">
        <f ca="1"/>
        <v>0</v>
      </c>
      <c r="H445" s="110">
        <f ca="1"/>
        <v>0</v>
      </c>
      <c r="I445" s="110">
        <f ca="1"/>
        <v>0</v>
      </c>
      <c r="J445" s="110">
        <f ca="1"/>
        <v>0</v>
      </c>
      <c r="K445" s="110">
        <f ca="1"/>
        <v>0</v>
      </c>
      <c r="L445" s="110">
        <f ca="1"/>
        <v>0</v>
      </c>
      <c r="M445" s="110">
        <f ca="1"/>
        <v>0</v>
      </c>
      <c r="N445" s="110">
        <f ca="1"/>
        <v>0</v>
      </c>
      <c r="O445" s="110">
        <f ca="1"/>
        <v>0</v>
      </c>
      <c r="P445" s="110">
        <f ca="1"/>
        <v>0</v>
      </c>
      <c r="Q445" s="110">
        <f ca="1"/>
        <v>0</v>
      </c>
      <c r="R445" s="110">
        <f ca="1"/>
        <v>0</v>
      </c>
      <c r="S445" s="110">
        <f ca="1"/>
        <v>0</v>
      </c>
      <c r="T445" s="110">
        <f ca="1"/>
        <v>0</v>
      </c>
      <c r="U445" s="110">
        <f ca="1"/>
        <v>0</v>
      </c>
      <c r="V445" s="110">
        <f ca="1"/>
        <v>0</v>
      </c>
      <c r="W445" s="110">
        <f ca="1"/>
        <v>0</v>
      </c>
      <c r="X445" s="110">
        <f ca="1"/>
        <v>0</v>
      </c>
      <c r="Y445" s="110">
        <f ca="1"/>
        <v>0</v>
      </c>
      <c r="Z445" s="110">
        <f ca="1"/>
        <v>0</v>
      </c>
      <c r="AA445" s="110">
        <f ca="1"/>
        <v>0</v>
      </c>
      <c r="AB445" s="110">
        <f ca="1"/>
        <v>0</v>
      </c>
      <c r="AC445" s="110">
        <f ca="1"/>
        <v>0</v>
      </c>
      <c r="AD445" s="110">
        <f ca="1"/>
        <v>0</v>
      </c>
      <c r="AE445" s="110">
        <f ca="1"/>
        <v>0</v>
      </c>
      <c r="AF445" s="110">
        <f ca="1"/>
        <v>0</v>
      </c>
      <c r="AG445" s="110">
        <f ca="1"/>
        <v>0</v>
      </c>
      <c r="AH445" s="110">
        <f ca="1"/>
        <v>0</v>
      </c>
      <c r="AI445" s="110">
        <f ca="1"/>
        <v>0</v>
      </c>
    </row>
    <row r="446" spans="2:35">
      <c r="B446" s="149">
        <v>1</v>
      </c>
      <c r="C446" s="149">
        <v>4</v>
      </c>
      <c r="D446" s="122" t="str">
        <v>Veículos Comerciais com 3 Eixos</v>
      </c>
      <c r="E446" s="122" t="str">
        <v>Pesados I</v>
      </c>
      <c r="F446" s="110">
        <f ca="1"/>
        <v>0</v>
      </c>
      <c r="G446" s="110">
        <f ca="1"/>
        <v>0</v>
      </c>
      <c r="H446" s="110">
        <f ca="1"/>
        <v>0</v>
      </c>
      <c r="I446" s="110">
        <f ca="1"/>
        <v>0</v>
      </c>
      <c r="J446" s="110">
        <f ca="1"/>
        <v>0</v>
      </c>
      <c r="K446" s="110">
        <f ca="1"/>
        <v>0</v>
      </c>
      <c r="L446" s="110">
        <f ca="1"/>
        <v>0</v>
      </c>
      <c r="M446" s="110">
        <f ca="1"/>
        <v>0</v>
      </c>
      <c r="N446" s="110">
        <f ca="1"/>
        <v>0</v>
      </c>
      <c r="O446" s="110">
        <f ca="1"/>
        <v>0</v>
      </c>
      <c r="P446" s="110">
        <f ca="1"/>
        <v>0</v>
      </c>
      <c r="Q446" s="110">
        <f ca="1"/>
        <v>0</v>
      </c>
      <c r="R446" s="110">
        <f ca="1"/>
        <v>0</v>
      </c>
      <c r="S446" s="110">
        <f ca="1"/>
        <v>0</v>
      </c>
      <c r="T446" s="110">
        <f ca="1"/>
        <v>0</v>
      </c>
      <c r="U446" s="110">
        <f ca="1"/>
        <v>0</v>
      </c>
      <c r="V446" s="110">
        <f ca="1"/>
        <v>0</v>
      </c>
      <c r="W446" s="110">
        <f ca="1"/>
        <v>0</v>
      </c>
      <c r="X446" s="110">
        <f ca="1"/>
        <v>0</v>
      </c>
      <c r="Y446" s="110">
        <f ca="1"/>
        <v>0</v>
      </c>
      <c r="Z446" s="110">
        <f ca="1"/>
        <v>0</v>
      </c>
      <c r="AA446" s="110">
        <f ca="1"/>
        <v>0</v>
      </c>
      <c r="AB446" s="110">
        <f ca="1"/>
        <v>0</v>
      </c>
      <c r="AC446" s="110">
        <f ca="1"/>
        <v>0</v>
      </c>
      <c r="AD446" s="110">
        <f ca="1"/>
        <v>0</v>
      </c>
      <c r="AE446" s="110">
        <f ca="1"/>
        <v>0</v>
      </c>
      <c r="AF446" s="110">
        <f ca="1"/>
        <v>0</v>
      </c>
      <c r="AG446" s="110">
        <f ca="1"/>
        <v>0</v>
      </c>
      <c r="AH446" s="110">
        <f ca="1"/>
        <v>0</v>
      </c>
      <c r="AI446" s="110">
        <f ca="1"/>
        <v>0</v>
      </c>
    </row>
    <row r="447" spans="2:35">
      <c r="B447" s="149">
        <v>1</v>
      </c>
      <c r="C447" s="149">
        <v>5</v>
      </c>
      <c r="D447" s="122" t="str">
        <v>Veículos Comerciais com 4 Eixos</v>
      </c>
      <c r="E447" s="122" t="str">
        <v>Pesados I</v>
      </c>
      <c r="F447" s="110">
        <f ca="1"/>
        <v>0</v>
      </c>
      <c r="G447" s="110">
        <f ca="1"/>
        <v>0</v>
      </c>
      <c r="H447" s="110">
        <f ca="1"/>
        <v>0</v>
      </c>
      <c r="I447" s="110">
        <f ca="1"/>
        <v>0</v>
      </c>
      <c r="J447" s="110">
        <f ca="1"/>
        <v>0</v>
      </c>
      <c r="K447" s="110">
        <f ca="1"/>
        <v>0</v>
      </c>
      <c r="L447" s="110">
        <f ca="1"/>
        <v>0</v>
      </c>
      <c r="M447" s="110">
        <f ca="1"/>
        <v>0</v>
      </c>
      <c r="N447" s="110">
        <f ca="1"/>
        <v>0</v>
      </c>
      <c r="O447" s="110">
        <f ca="1"/>
        <v>0</v>
      </c>
      <c r="P447" s="110">
        <f ca="1"/>
        <v>0</v>
      </c>
      <c r="Q447" s="110">
        <f ca="1"/>
        <v>0</v>
      </c>
      <c r="R447" s="110">
        <f ca="1"/>
        <v>0</v>
      </c>
      <c r="S447" s="110">
        <f ca="1"/>
        <v>0</v>
      </c>
      <c r="T447" s="110">
        <f ca="1"/>
        <v>0</v>
      </c>
      <c r="U447" s="110">
        <f ca="1"/>
        <v>0</v>
      </c>
      <c r="V447" s="110">
        <f ca="1"/>
        <v>0</v>
      </c>
      <c r="W447" s="110">
        <f ca="1"/>
        <v>0</v>
      </c>
      <c r="X447" s="110">
        <f ca="1"/>
        <v>0</v>
      </c>
      <c r="Y447" s="110">
        <f ca="1"/>
        <v>0</v>
      </c>
      <c r="Z447" s="110">
        <f ca="1"/>
        <v>0</v>
      </c>
      <c r="AA447" s="110">
        <f ca="1"/>
        <v>0</v>
      </c>
      <c r="AB447" s="110">
        <f ca="1"/>
        <v>0</v>
      </c>
      <c r="AC447" s="110">
        <f ca="1"/>
        <v>0</v>
      </c>
      <c r="AD447" s="110">
        <f ca="1"/>
        <v>0</v>
      </c>
      <c r="AE447" s="110">
        <f ca="1"/>
        <v>0</v>
      </c>
      <c r="AF447" s="110">
        <f ca="1"/>
        <v>0</v>
      </c>
      <c r="AG447" s="110">
        <f ca="1"/>
        <v>0</v>
      </c>
      <c r="AH447" s="110">
        <f ca="1"/>
        <v>0</v>
      </c>
      <c r="AI447" s="110">
        <f ca="1"/>
        <v>0</v>
      </c>
    </row>
    <row r="448" spans="2:35">
      <c r="B448" s="149">
        <v>1</v>
      </c>
      <c r="C448" s="149">
        <v>6</v>
      </c>
      <c r="D448" s="122" t="str">
        <v>Veículos Comerciais com 5 Eixos Articulado</v>
      </c>
      <c r="E448" s="122" t="str">
        <v>Pesados II</v>
      </c>
      <c r="F448" s="110">
        <f ca="1"/>
        <v>0</v>
      </c>
      <c r="G448" s="110">
        <f ca="1"/>
        <v>0</v>
      </c>
      <c r="H448" s="110">
        <f ca="1"/>
        <v>0</v>
      </c>
      <c r="I448" s="110">
        <f ca="1"/>
        <v>0</v>
      </c>
      <c r="J448" s="110">
        <f ca="1"/>
        <v>0</v>
      </c>
      <c r="K448" s="110">
        <f ca="1"/>
        <v>0</v>
      </c>
      <c r="L448" s="110">
        <f ca="1"/>
        <v>0</v>
      </c>
      <c r="M448" s="110">
        <f ca="1"/>
        <v>0</v>
      </c>
      <c r="N448" s="110">
        <f ca="1"/>
        <v>0</v>
      </c>
      <c r="O448" s="110">
        <f ca="1"/>
        <v>0</v>
      </c>
      <c r="P448" s="110">
        <f ca="1"/>
        <v>0</v>
      </c>
      <c r="Q448" s="110">
        <f ca="1"/>
        <v>0</v>
      </c>
      <c r="R448" s="110">
        <f ca="1"/>
        <v>0</v>
      </c>
      <c r="S448" s="110">
        <f ca="1"/>
        <v>0</v>
      </c>
      <c r="T448" s="110">
        <f ca="1"/>
        <v>0</v>
      </c>
      <c r="U448" s="110">
        <f ca="1"/>
        <v>0</v>
      </c>
      <c r="V448" s="110">
        <f ca="1"/>
        <v>0</v>
      </c>
      <c r="W448" s="110">
        <f ca="1"/>
        <v>0</v>
      </c>
      <c r="X448" s="110">
        <f ca="1"/>
        <v>0</v>
      </c>
      <c r="Y448" s="110">
        <f ca="1"/>
        <v>0</v>
      </c>
      <c r="Z448" s="110">
        <f ca="1"/>
        <v>0</v>
      </c>
      <c r="AA448" s="110">
        <f ca="1"/>
        <v>0</v>
      </c>
      <c r="AB448" s="110">
        <f ca="1"/>
        <v>0</v>
      </c>
      <c r="AC448" s="110">
        <f ca="1"/>
        <v>0</v>
      </c>
      <c r="AD448" s="110">
        <f ca="1"/>
        <v>0</v>
      </c>
      <c r="AE448" s="110">
        <f ca="1"/>
        <v>0</v>
      </c>
      <c r="AF448" s="110">
        <f ca="1"/>
        <v>0</v>
      </c>
      <c r="AG448" s="110">
        <f ca="1"/>
        <v>0</v>
      </c>
      <c r="AH448" s="110">
        <f ca="1"/>
        <v>0</v>
      </c>
      <c r="AI448" s="110">
        <f ca="1"/>
        <v>0</v>
      </c>
    </row>
    <row r="449" spans="2:35">
      <c r="B449" s="149">
        <v>1</v>
      </c>
      <c r="C449" s="149">
        <v>7</v>
      </c>
      <c r="D449" s="122" t="str">
        <v>Veículos Comerciais com 6 Eixos Articulado</v>
      </c>
      <c r="E449" s="122" t="str">
        <v>Pesados II</v>
      </c>
      <c r="F449" s="110">
        <f ca="1"/>
        <v>0</v>
      </c>
      <c r="G449" s="110">
        <f ca="1"/>
        <v>0</v>
      </c>
      <c r="H449" s="110">
        <f ca="1"/>
        <v>0</v>
      </c>
      <c r="I449" s="110">
        <f ca="1"/>
        <v>0</v>
      </c>
      <c r="J449" s="110">
        <f ca="1"/>
        <v>0</v>
      </c>
      <c r="K449" s="110">
        <f ca="1"/>
        <v>0</v>
      </c>
      <c r="L449" s="110">
        <f ca="1"/>
        <v>0</v>
      </c>
      <c r="M449" s="110">
        <f ca="1"/>
        <v>0</v>
      </c>
      <c r="N449" s="110">
        <f ca="1"/>
        <v>0</v>
      </c>
      <c r="O449" s="110">
        <f ca="1"/>
        <v>0</v>
      </c>
      <c r="P449" s="110">
        <f ca="1"/>
        <v>0</v>
      </c>
      <c r="Q449" s="110">
        <f ca="1"/>
        <v>0</v>
      </c>
      <c r="R449" s="110">
        <f ca="1"/>
        <v>0</v>
      </c>
      <c r="S449" s="110">
        <f ca="1"/>
        <v>0</v>
      </c>
      <c r="T449" s="110">
        <f ca="1"/>
        <v>0</v>
      </c>
      <c r="U449" s="110">
        <f ca="1"/>
        <v>0</v>
      </c>
      <c r="V449" s="110">
        <f ca="1"/>
        <v>0</v>
      </c>
      <c r="W449" s="110">
        <f ca="1"/>
        <v>0</v>
      </c>
      <c r="X449" s="110">
        <f ca="1"/>
        <v>0</v>
      </c>
      <c r="Y449" s="110">
        <f ca="1"/>
        <v>0</v>
      </c>
      <c r="Z449" s="110">
        <f ca="1"/>
        <v>0</v>
      </c>
      <c r="AA449" s="110">
        <f ca="1"/>
        <v>0</v>
      </c>
      <c r="AB449" s="110">
        <f ca="1"/>
        <v>0</v>
      </c>
      <c r="AC449" s="110">
        <f ca="1"/>
        <v>0</v>
      </c>
      <c r="AD449" s="110">
        <f ca="1"/>
        <v>0</v>
      </c>
      <c r="AE449" s="110">
        <f ca="1"/>
        <v>0</v>
      </c>
      <c r="AF449" s="110">
        <f ca="1"/>
        <v>0</v>
      </c>
      <c r="AG449" s="110">
        <f ca="1"/>
        <v>0</v>
      </c>
      <c r="AH449" s="110">
        <f ca="1"/>
        <v>0</v>
      </c>
      <c r="AI449" s="110">
        <f ca="1"/>
        <v>0</v>
      </c>
    </row>
    <row r="450" spans="2:35">
      <c r="B450" s="149">
        <v>1</v>
      </c>
      <c r="C450" s="149">
        <v>8</v>
      </c>
      <c r="D450" s="122" t="str">
        <v>Veículos Comerciais com 7 Eixos Articulado</v>
      </c>
      <c r="E450" s="122" t="str">
        <v>Pesados II</v>
      </c>
      <c r="F450" s="110">
        <f ca="1"/>
        <v>0</v>
      </c>
      <c r="G450" s="110">
        <f ca="1"/>
        <v>0</v>
      </c>
      <c r="H450" s="110">
        <f ca="1"/>
        <v>0</v>
      </c>
      <c r="I450" s="110">
        <f ca="1"/>
        <v>0</v>
      </c>
      <c r="J450" s="110">
        <f ca="1"/>
        <v>0</v>
      </c>
      <c r="K450" s="110">
        <f ca="1"/>
        <v>0</v>
      </c>
      <c r="L450" s="110">
        <f ca="1"/>
        <v>0</v>
      </c>
      <c r="M450" s="110">
        <f ca="1"/>
        <v>0</v>
      </c>
      <c r="N450" s="110">
        <f ca="1"/>
        <v>0</v>
      </c>
      <c r="O450" s="110">
        <f ca="1"/>
        <v>0</v>
      </c>
      <c r="P450" s="110">
        <f ca="1"/>
        <v>0</v>
      </c>
      <c r="Q450" s="110">
        <f ca="1"/>
        <v>0</v>
      </c>
      <c r="R450" s="110">
        <f ca="1"/>
        <v>0</v>
      </c>
      <c r="S450" s="110">
        <f ca="1"/>
        <v>0</v>
      </c>
      <c r="T450" s="110">
        <f ca="1"/>
        <v>0</v>
      </c>
      <c r="U450" s="110">
        <f ca="1"/>
        <v>0</v>
      </c>
      <c r="V450" s="110">
        <f ca="1"/>
        <v>0</v>
      </c>
      <c r="W450" s="110">
        <f ca="1"/>
        <v>0</v>
      </c>
      <c r="X450" s="110">
        <f ca="1"/>
        <v>0</v>
      </c>
      <c r="Y450" s="110">
        <f ca="1"/>
        <v>0</v>
      </c>
      <c r="Z450" s="110">
        <f ca="1"/>
        <v>0</v>
      </c>
      <c r="AA450" s="110">
        <f ca="1"/>
        <v>0</v>
      </c>
      <c r="AB450" s="110">
        <f ca="1"/>
        <v>0</v>
      </c>
      <c r="AC450" s="110">
        <f ca="1"/>
        <v>0</v>
      </c>
      <c r="AD450" s="110">
        <f ca="1"/>
        <v>0</v>
      </c>
      <c r="AE450" s="110">
        <f ca="1"/>
        <v>0</v>
      </c>
      <c r="AF450" s="110">
        <f ca="1"/>
        <v>0</v>
      </c>
      <c r="AG450" s="110">
        <f ca="1"/>
        <v>0</v>
      </c>
      <c r="AH450" s="110">
        <f ca="1"/>
        <v>0</v>
      </c>
      <c r="AI450" s="110">
        <f ca="1"/>
        <v>0</v>
      </c>
    </row>
    <row r="451" spans="2:35">
      <c r="B451" s="149">
        <v>1</v>
      </c>
      <c r="C451" s="149">
        <v>9</v>
      </c>
      <c r="D451" s="122" t="str">
        <v>Veículos Comerciais com 8 Eixos Articulado</v>
      </c>
      <c r="E451" s="122" t="str">
        <v>Pesados II</v>
      </c>
      <c r="F451" s="110">
        <f ca="1"/>
        <v>0</v>
      </c>
      <c r="G451" s="110">
        <f ca="1"/>
        <v>0</v>
      </c>
      <c r="H451" s="110">
        <f ca="1"/>
        <v>0</v>
      </c>
      <c r="I451" s="110">
        <f ca="1"/>
        <v>0</v>
      </c>
      <c r="J451" s="110">
        <f ca="1"/>
        <v>0</v>
      </c>
      <c r="K451" s="110">
        <f ca="1"/>
        <v>0</v>
      </c>
      <c r="L451" s="110">
        <f ca="1"/>
        <v>0</v>
      </c>
      <c r="M451" s="110">
        <f ca="1"/>
        <v>0</v>
      </c>
      <c r="N451" s="110">
        <f ca="1"/>
        <v>0</v>
      </c>
      <c r="O451" s="110">
        <f ca="1"/>
        <v>0</v>
      </c>
      <c r="P451" s="110">
        <f ca="1"/>
        <v>0</v>
      </c>
      <c r="Q451" s="110">
        <f ca="1"/>
        <v>0</v>
      </c>
      <c r="R451" s="110">
        <f ca="1"/>
        <v>0</v>
      </c>
      <c r="S451" s="110">
        <f ca="1"/>
        <v>0</v>
      </c>
      <c r="T451" s="110">
        <f ca="1"/>
        <v>0</v>
      </c>
      <c r="U451" s="110">
        <f ca="1"/>
        <v>0</v>
      </c>
      <c r="V451" s="110">
        <f ca="1"/>
        <v>0</v>
      </c>
      <c r="W451" s="110">
        <f ca="1"/>
        <v>0</v>
      </c>
      <c r="X451" s="110">
        <f ca="1"/>
        <v>0</v>
      </c>
      <c r="Y451" s="110">
        <f ca="1"/>
        <v>0</v>
      </c>
      <c r="Z451" s="110">
        <f ca="1"/>
        <v>0</v>
      </c>
      <c r="AA451" s="110">
        <f ca="1"/>
        <v>0</v>
      </c>
      <c r="AB451" s="110">
        <f ca="1"/>
        <v>0</v>
      </c>
      <c r="AC451" s="110">
        <f ca="1"/>
        <v>0</v>
      </c>
      <c r="AD451" s="110">
        <f ca="1"/>
        <v>0</v>
      </c>
      <c r="AE451" s="110">
        <f ca="1"/>
        <v>0</v>
      </c>
      <c r="AF451" s="110">
        <f ca="1"/>
        <v>0</v>
      </c>
      <c r="AG451" s="110">
        <f ca="1"/>
        <v>0</v>
      </c>
      <c r="AH451" s="110">
        <f ca="1"/>
        <v>0</v>
      </c>
      <c r="AI451" s="110">
        <f ca="1"/>
        <v>0</v>
      </c>
    </row>
    <row r="452" spans="2:35">
      <c r="B452" s="149">
        <v>1</v>
      </c>
      <c r="C452" s="149">
        <v>10</v>
      </c>
      <c r="D452" s="122" t="str">
        <v>Veículos Comerciais com 9 Eixos Articulado</v>
      </c>
      <c r="E452" s="122" t="str">
        <v>Pesados II</v>
      </c>
      <c r="F452" s="110">
        <f ca="1"/>
        <v>0</v>
      </c>
      <c r="G452" s="110">
        <f ca="1"/>
        <v>0</v>
      </c>
      <c r="H452" s="110">
        <f ca="1"/>
        <v>0</v>
      </c>
      <c r="I452" s="110">
        <f ca="1"/>
        <v>0</v>
      </c>
      <c r="J452" s="110">
        <f ca="1"/>
        <v>0</v>
      </c>
      <c r="K452" s="110">
        <f ca="1"/>
        <v>0</v>
      </c>
      <c r="L452" s="110">
        <f ca="1"/>
        <v>0</v>
      </c>
      <c r="M452" s="110">
        <f ca="1"/>
        <v>0</v>
      </c>
      <c r="N452" s="110">
        <f ca="1"/>
        <v>0</v>
      </c>
      <c r="O452" s="110">
        <f ca="1"/>
        <v>0</v>
      </c>
      <c r="P452" s="110">
        <f ca="1"/>
        <v>0</v>
      </c>
      <c r="Q452" s="110">
        <f ca="1"/>
        <v>0</v>
      </c>
      <c r="R452" s="110">
        <f ca="1"/>
        <v>0</v>
      </c>
      <c r="S452" s="110">
        <f ca="1"/>
        <v>0</v>
      </c>
      <c r="T452" s="110">
        <f ca="1"/>
        <v>0</v>
      </c>
      <c r="U452" s="110">
        <f ca="1"/>
        <v>0</v>
      </c>
      <c r="V452" s="110">
        <f ca="1"/>
        <v>0</v>
      </c>
      <c r="W452" s="110">
        <f ca="1"/>
        <v>0</v>
      </c>
      <c r="X452" s="110">
        <f ca="1"/>
        <v>0</v>
      </c>
      <c r="Y452" s="110">
        <f ca="1"/>
        <v>0</v>
      </c>
      <c r="Z452" s="110">
        <f ca="1"/>
        <v>0</v>
      </c>
      <c r="AA452" s="110">
        <f ca="1"/>
        <v>0</v>
      </c>
      <c r="AB452" s="110">
        <f ca="1"/>
        <v>0</v>
      </c>
      <c r="AC452" s="110">
        <f ca="1"/>
        <v>0</v>
      </c>
      <c r="AD452" s="110">
        <f ca="1"/>
        <v>0</v>
      </c>
      <c r="AE452" s="110">
        <f ca="1"/>
        <v>0</v>
      </c>
      <c r="AF452" s="110">
        <f ca="1"/>
        <v>0</v>
      </c>
      <c r="AG452" s="110">
        <f ca="1"/>
        <v>0</v>
      </c>
      <c r="AH452" s="110">
        <f ca="1"/>
        <v>0</v>
      </c>
      <c r="AI452" s="110">
        <f ca="1"/>
        <v>0</v>
      </c>
    </row>
    <row r="453" spans="2:35">
      <c r="B453" s="149">
        <v>1</v>
      </c>
      <c r="C453" s="149">
        <v>11</v>
      </c>
      <c r="D453" s="122" t="str">
        <v>Motocicleta</v>
      </c>
      <c r="E453" s="122" t="str">
        <v>Leves</v>
      </c>
      <c r="F453" s="110">
        <f ca="1"/>
        <v>1.2618891089385784E-2</v>
      </c>
      <c r="G453" s="110">
        <f ca="1"/>
        <v>1.6459423160068418E-2</v>
      </c>
      <c r="H453" s="110">
        <f ca="1"/>
        <v>2.2494544985426836E-2</v>
      </c>
      <c r="I453" s="110">
        <f ca="1"/>
        <v>2.7432371933447358E-2</v>
      </c>
      <c r="J453" s="110">
        <f ca="1"/>
        <v>3.182155144279894E-2</v>
      </c>
      <c r="K453" s="110">
        <f ca="1"/>
        <v>3.5113436074812619E-2</v>
      </c>
      <c r="L453" s="110">
        <f ca="1"/>
        <v>3.7856673268157351E-2</v>
      </c>
      <c r="M453" s="110">
        <f ca="1"/>
        <v>4.0599910461502089E-2</v>
      </c>
      <c r="N453" s="110">
        <f ca="1"/>
        <v>4.279450021617788E-2</v>
      </c>
      <c r="O453" s="110">
        <f ca="1"/>
        <v>4.3891795093515776E-2</v>
      </c>
      <c r="P453" s="110">
        <f ca="1"/>
        <v>4.4440442532184724E-2</v>
      </c>
      <c r="Q453" s="110">
        <f ca="1"/>
        <v>4.4440442532184724E-2</v>
      </c>
      <c r="R453" s="110">
        <f ca="1"/>
        <v>4.4440442532184724E-2</v>
      </c>
      <c r="S453" s="110">
        <f ca="1"/>
        <v>4.4440442532184724E-2</v>
      </c>
      <c r="T453" s="110">
        <f ca="1"/>
        <v>4.4440442532184724E-2</v>
      </c>
      <c r="U453" s="110">
        <f ca="1"/>
        <v>4.4440442532184724E-2</v>
      </c>
      <c r="V453" s="110">
        <f ca="1"/>
        <v>4.4440442532184724E-2</v>
      </c>
      <c r="W453" s="110">
        <f ca="1"/>
        <v>4.4440442532184724E-2</v>
      </c>
      <c r="X453" s="110">
        <f ca="1"/>
        <v>4.4440442532184724E-2</v>
      </c>
      <c r="Y453" s="110">
        <f ca="1"/>
        <v>4.4440442532184724E-2</v>
      </c>
      <c r="Z453" s="110">
        <f ca="1"/>
        <v>4.4440442532184724E-2</v>
      </c>
      <c r="AA453" s="110">
        <f ca="1"/>
        <v>4.4440442532184724E-2</v>
      </c>
      <c r="AB453" s="110">
        <f ca="1"/>
        <v>4.4440442532184724E-2</v>
      </c>
      <c r="AC453" s="110">
        <f ca="1"/>
        <v>4.4440442532184724E-2</v>
      </c>
      <c r="AD453" s="110">
        <f ca="1"/>
        <v>4.4440442532184724E-2</v>
      </c>
      <c r="AE453" s="110">
        <f ca="1"/>
        <v>4.4440442532184724E-2</v>
      </c>
      <c r="AF453" s="110">
        <f ca="1"/>
        <v>4.4440442532184724E-2</v>
      </c>
      <c r="AG453" s="110">
        <f ca="1"/>
        <v>4.4440442532184724E-2</v>
      </c>
      <c r="AH453" s="110">
        <f ca="1"/>
        <v>4.4440442532184724E-2</v>
      </c>
      <c r="AI453" s="110">
        <f ca="1"/>
        <v>4.4440442532184724E-2</v>
      </c>
    </row>
    <row r="454" spans="2:35">
      <c r="B454" s="149">
        <v>1</v>
      </c>
      <c r="C454" s="149">
        <v>12</v>
      </c>
      <c r="D454" s="122" t="str">
        <v xml:space="preserve">Veículos do transporte público coletivo intermunicipal e metropolitano </v>
      </c>
      <c r="E454" s="122" t="str">
        <v>Pesados I</v>
      </c>
      <c r="F454" s="110">
        <f ca="1"/>
        <v>0</v>
      </c>
      <c r="G454" s="110">
        <f ca="1"/>
        <v>0</v>
      </c>
      <c r="H454" s="110">
        <f ca="1"/>
        <v>0</v>
      </c>
      <c r="I454" s="110">
        <f ca="1"/>
        <v>0</v>
      </c>
      <c r="J454" s="110">
        <f ca="1"/>
        <v>0</v>
      </c>
      <c r="K454" s="110">
        <f ca="1"/>
        <v>0</v>
      </c>
      <c r="L454" s="110">
        <f ca="1"/>
        <v>0</v>
      </c>
      <c r="M454" s="110">
        <f ca="1"/>
        <v>0</v>
      </c>
      <c r="N454" s="110">
        <f ca="1"/>
        <v>0</v>
      </c>
      <c r="O454" s="110">
        <f ca="1"/>
        <v>0</v>
      </c>
      <c r="P454" s="110">
        <f ca="1"/>
        <v>0</v>
      </c>
      <c r="Q454" s="110">
        <f ca="1"/>
        <v>0</v>
      </c>
      <c r="R454" s="110">
        <f ca="1"/>
        <v>0</v>
      </c>
      <c r="S454" s="110">
        <f ca="1"/>
        <v>0</v>
      </c>
      <c r="T454" s="110">
        <f ca="1"/>
        <v>0</v>
      </c>
      <c r="U454" s="110">
        <f ca="1"/>
        <v>0</v>
      </c>
      <c r="V454" s="110">
        <f ca="1"/>
        <v>0</v>
      </c>
      <c r="W454" s="110">
        <f ca="1"/>
        <v>0</v>
      </c>
      <c r="X454" s="110">
        <f ca="1"/>
        <v>0</v>
      </c>
      <c r="Y454" s="110">
        <f ca="1"/>
        <v>0</v>
      </c>
      <c r="Z454" s="110">
        <f ca="1"/>
        <v>0</v>
      </c>
      <c r="AA454" s="110">
        <f ca="1"/>
        <v>0</v>
      </c>
      <c r="AB454" s="110">
        <f ca="1"/>
        <v>0</v>
      </c>
      <c r="AC454" s="110">
        <f ca="1"/>
        <v>0</v>
      </c>
      <c r="AD454" s="110">
        <f ca="1"/>
        <v>0</v>
      </c>
      <c r="AE454" s="110">
        <f ca="1"/>
        <v>0</v>
      </c>
      <c r="AF454" s="110">
        <f ca="1"/>
        <v>0</v>
      </c>
      <c r="AG454" s="110">
        <f ca="1"/>
        <v>0</v>
      </c>
      <c r="AH454" s="110">
        <f ca="1"/>
        <v>0</v>
      </c>
      <c r="AI454" s="110">
        <f ca="1"/>
        <v>0</v>
      </c>
    </row>
    <row r="455" spans="2:35">
      <c r="B455" s="149">
        <v>2</v>
      </c>
      <c r="C455" s="149">
        <v>1</v>
      </c>
      <c r="D455" s="122" t="str">
        <v>Automóvel</v>
      </c>
      <c r="E455" s="122" t="str">
        <v>Leves</v>
      </c>
      <c r="F455" s="110">
        <f ca="1"/>
        <v>9.45550264121027E-3</v>
      </c>
      <c r="G455" s="110">
        <f ca="1"/>
        <v>1.2333264314622094E-2</v>
      </c>
      <c r="H455" s="110">
        <f ca="1"/>
        <v>1.6855461229983527E-2</v>
      </c>
      <c r="I455" s="110">
        <f ca="1"/>
        <v>2.0555440524370153E-2</v>
      </c>
      <c r="J455" s="110">
        <f ca="1"/>
        <v>2.3844311008269382E-2</v>
      </c>
      <c r="K455" s="110">
        <f ca="1"/>
        <v>2.6310963871193797E-2</v>
      </c>
      <c r="L455" s="110">
        <f ca="1"/>
        <v>2.836650792363081E-2</v>
      </c>
      <c r="M455" s="110">
        <f ca="1"/>
        <v>3.0422051976067826E-2</v>
      </c>
      <c r="N455" s="110">
        <f ca="1"/>
        <v>3.2066487218017442E-2</v>
      </c>
      <c r="O455" s="110">
        <f ca="1"/>
        <v>3.2888704838992248E-2</v>
      </c>
      <c r="P455" s="110">
        <f ca="1"/>
        <v>3.3299813649479648E-2</v>
      </c>
      <c r="Q455" s="110">
        <f ca="1"/>
        <v>3.3299813649479648E-2</v>
      </c>
      <c r="R455" s="110">
        <f ca="1"/>
        <v>3.3299813649479648E-2</v>
      </c>
      <c r="S455" s="110">
        <f ca="1"/>
        <v>3.3299813649479648E-2</v>
      </c>
      <c r="T455" s="110">
        <f ca="1"/>
        <v>3.3299813649479648E-2</v>
      </c>
      <c r="U455" s="110">
        <f ca="1"/>
        <v>3.3299813649479648E-2</v>
      </c>
      <c r="V455" s="110">
        <f ca="1"/>
        <v>3.3299813649479648E-2</v>
      </c>
      <c r="W455" s="110">
        <f ca="1"/>
        <v>3.3299813649479648E-2</v>
      </c>
      <c r="X455" s="110">
        <f ca="1"/>
        <v>3.3299813649479648E-2</v>
      </c>
      <c r="Y455" s="110">
        <f ca="1"/>
        <v>3.3299813649479648E-2</v>
      </c>
      <c r="Z455" s="110">
        <f ca="1"/>
        <v>3.3299813649479648E-2</v>
      </c>
      <c r="AA455" s="110">
        <f ca="1"/>
        <v>3.3299813649479648E-2</v>
      </c>
      <c r="AB455" s="110">
        <f ca="1"/>
        <v>3.3299813649479648E-2</v>
      </c>
      <c r="AC455" s="110">
        <f ca="1"/>
        <v>3.3299813649479648E-2</v>
      </c>
      <c r="AD455" s="110">
        <f ca="1"/>
        <v>3.3299813649479648E-2</v>
      </c>
      <c r="AE455" s="110">
        <f ca="1"/>
        <v>3.3299813649479648E-2</v>
      </c>
      <c r="AF455" s="110">
        <f ca="1"/>
        <v>3.3299813649479648E-2</v>
      </c>
      <c r="AG455" s="110">
        <f ca="1"/>
        <v>3.3299813649479648E-2</v>
      </c>
      <c r="AH455" s="110">
        <f ca="1"/>
        <v>3.3299813649479648E-2</v>
      </c>
      <c r="AI455" s="110">
        <f ca="1"/>
        <v>3.3299813649479648E-2</v>
      </c>
    </row>
    <row r="456" spans="2:35">
      <c r="B456" s="149">
        <v>2</v>
      </c>
      <c r="C456" s="149">
        <v>2</v>
      </c>
      <c r="D456" s="122" t="str">
        <v xml:space="preserve">Automóvel com reboque </v>
      </c>
      <c r="E456" s="122" t="str">
        <v>Leves</v>
      </c>
      <c r="F456" s="110">
        <f ca="1"/>
        <v>0</v>
      </c>
      <c r="G456" s="110">
        <f ca="1"/>
        <v>0</v>
      </c>
      <c r="H456" s="110">
        <f ca="1"/>
        <v>0</v>
      </c>
      <c r="I456" s="110">
        <f ca="1"/>
        <v>0</v>
      </c>
      <c r="J456" s="110">
        <f ca="1"/>
        <v>0</v>
      </c>
      <c r="K456" s="110">
        <f ca="1"/>
        <v>0</v>
      </c>
      <c r="L456" s="110">
        <f ca="1"/>
        <v>0</v>
      </c>
      <c r="M456" s="110">
        <f ca="1"/>
        <v>0</v>
      </c>
      <c r="N456" s="110">
        <f ca="1"/>
        <v>0</v>
      </c>
      <c r="O456" s="110">
        <f ca="1"/>
        <v>0</v>
      </c>
      <c r="P456" s="110">
        <f ca="1"/>
        <v>0</v>
      </c>
      <c r="Q456" s="110">
        <f ca="1"/>
        <v>0</v>
      </c>
      <c r="R456" s="110">
        <f ca="1"/>
        <v>0</v>
      </c>
      <c r="S456" s="110">
        <f ca="1"/>
        <v>0</v>
      </c>
      <c r="T456" s="110">
        <f ca="1"/>
        <v>0</v>
      </c>
      <c r="U456" s="110">
        <f ca="1"/>
        <v>0</v>
      </c>
      <c r="V456" s="110">
        <f ca="1"/>
        <v>0</v>
      </c>
      <c r="W456" s="110">
        <f ca="1"/>
        <v>0</v>
      </c>
      <c r="X456" s="110">
        <f ca="1"/>
        <v>0</v>
      </c>
      <c r="Y456" s="110">
        <f ca="1"/>
        <v>0</v>
      </c>
      <c r="Z456" s="110">
        <f ca="1"/>
        <v>0</v>
      </c>
      <c r="AA456" s="110">
        <f ca="1"/>
        <v>0</v>
      </c>
      <c r="AB456" s="110">
        <f ca="1"/>
        <v>0</v>
      </c>
      <c r="AC456" s="110">
        <f ca="1"/>
        <v>0</v>
      </c>
      <c r="AD456" s="110">
        <f ca="1"/>
        <v>0</v>
      </c>
      <c r="AE456" s="110">
        <f ca="1"/>
        <v>0</v>
      </c>
      <c r="AF456" s="110">
        <f ca="1"/>
        <v>0</v>
      </c>
      <c r="AG456" s="110">
        <f ca="1"/>
        <v>0</v>
      </c>
      <c r="AH456" s="110">
        <f ca="1"/>
        <v>0</v>
      </c>
      <c r="AI456" s="110">
        <f ca="1"/>
        <v>0</v>
      </c>
    </row>
    <row r="457" spans="2:35">
      <c r="B457" s="149">
        <v>2</v>
      </c>
      <c r="C457" s="149">
        <v>3</v>
      </c>
      <c r="D457" s="122" t="str">
        <v>Veículos Comerciais com 2 Eixos</v>
      </c>
      <c r="E457" s="122" t="str">
        <v>Pesados I</v>
      </c>
      <c r="F457" s="110">
        <f ca="1"/>
        <v>0</v>
      </c>
      <c r="G457" s="110">
        <f ca="1"/>
        <v>0</v>
      </c>
      <c r="H457" s="110">
        <f ca="1"/>
        <v>0</v>
      </c>
      <c r="I457" s="110">
        <f ca="1"/>
        <v>0</v>
      </c>
      <c r="J457" s="110">
        <f ca="1"/>
        <v>0</v>
      </c>
      <c r="K457" s="110">
        <f ca="1"/>
        <v>0</v>
      </c>
      <c r="L457" s="110">
        <f ca="1"/>
        <v>0</v>
      </c>
      <c r="M457" s="110">
        <f ca="1"/>
        <v>0</v>
      </c>
      <c r="N457" s="110">
        <f ca="1"/>
        <v>0</v>
      </c>
      <c r="O457" s="110">
        <f ca="1"/>
        <v>0</v>
      </c>
      <c r="P457" s="110">
        <f ca="1"/>
        <v>0</v>
      </c>
      <c r="Q457" s="110">
        <f ca="1"/>
        <v>0</v>
      </c>
      <c r="R457" s="110">
        <f ca="1"/>
        <v>0</v>
      </c>
      <c r="S457" s="110">
        <f ca="1"/>
        <v>0</v>
      </c>
      <c r="T457" s="110">
        <f ca="1"/>
        <v>0</v>
      </c>
      <c r="U457" s="110">
        <f ca="1"/>
        <v>0</v>
      </c>
      <c r="V457" s="110">
        <f ca="1"/>
        <v>0</v>
      </c>
      <c r="W457" s="110">
        <f ca="1"/>
        <v>0</v>
      </c>
      <c r="X457" s="110">
        <f ca="1"/>
        <v>0</v>
      </c>
      <c r="Y457" s="110">
        <f ca="1"/>
        <v>0</v>
      </c>
      <c r="Z457" s="110">
        <f ca="1"/>
        <v>0</v>
      </c>
      <c r="AA457" s="110">
        <f ca="1"/>
        <v>0</v>
      </c>
      <c r="AB457" s="110">
        <f ca="1"/>
        <v>0</v>
      </c>
      <c r="AC457" s="110">
        <f ca="1"/>
        <v>0</v>
      </c>
      <c r="AD457" s="110">
        <f ca="1"/>
        <v>0</v>
      </c>
      <c r="AE457" s="110">
        <f ca="1"/>
        <v>0</v>
      </c>
      <c r="AF457" s="110">
        <f ca="1"/>
        <v>0</v>
      </c>
      <c r="AG457" s="110">
        <f ca="1"/>
        <v>0</v>
      </c>
      <c r="AH457" s="110">
        <f ca="1"/>
        <v>0</v>
      </c>
      <c r="AI457" s="110">
        <f ca="1"/>
        <v>0</v>
      </c>
    </row>
    <row r="458" spans="2:35">
      <c r="B458" s="149">
        <v>2</v>
      </c>
      <c r="C458" s="149">
        <v>4</v>
      </c>
      <c r="D458" s="122" t="str">
        <v>Veículos Comerciais com 3 Eixos</v>
      </c>
      <c r="E458" s="122" t="str">
        <v>Pesados I</v>
      </c>
      <c r="F458" s="110">
        <f ca="1"/>
        <v>0</v>
      </c>
      <c r="G458" s="110">
        <f ca="1"/>
        <v>0</v>
      </c>
      <c r="H458" s="110">
        <f ca="1"/>
        <v>0</v>
      </c>
      <c r="I458" s="110">
        <f ca="1"/>
        <v>0</v>
      </c>
      <c r="J458" s="110">
        <f ca="1"/>
        <v>0</v>
      </c>
      <c r="K458" s="110">
        <f ca="1"/>
        <v>0</v>
      </c>
      <c r="L458" s="110">
        <f ca="1"/>
        <v>0</v>
      </c>
      <c r="M458" s="110">
        <f ca="1"/>
        <v>0</v>
      </c>
      <c r="N458" s="110">
        <f ca="1"/>
        <v>0</v>
      </c>
      <c r="O458" s="110">
        <f ca="1"/>
        <v>0</v>
      </c>
      <c r="P458" s="110">
        <f ca="1"/>
        <v>0</v>
      </c>
      <c r="Q458" s="110">
        <f ca="1"/>
        <v>0</v>
      </c>
      <c r="R458" s="110">
        <f ca="1"/>
        <v>0</v>
      </c>
      <c r="S458" s="110">
        <f ca="1"/>
        <v>0</v>
      </c>
      <c r="T458" s="110">
        <f ca="1"/>
        <v>0</v>
      </c>
      <c r="U458" s="110">
        <f ca="1"/>
        <v>0</v>
      </c>
      <c r="V458" s="110">
        <f ca="1"/>
        <v>0</v>
      </c>
      <c r="W458" s="110">
        <f ca="1"/>
        <v>0</v>
      </c>
      <c r="X458" s="110">
        <f ca="1"/>
        <v>0</v>
      </c>
      <c r="Y458" s="110">
        <f ca="1"/>
        <v>0</v>
      </c>
      <c r="Z458" s="110">
        <f ca="1"/>
        <v>0</v>
      </c>
      <c r="AA458" s="110">
        <f ca="1"/>
        <v>0</v>
      </c>
      <c r="AB458" s="110">
        <f ca="1"/>
        <v>0</v>
      </c>
      <c r="AC458" s="110">
        <f ca="1"/>
        <v>0</v>
      </c>
      <c r="AD458" s="110">
        <f ca="1"/>
        <v>0</v>
      </c>
      <c r="AE458" s="110">
        <f ca="1"/>
        <v>0</v>
      </c>
      <c r="AF458" s="110">
        <f ca="1"/>
        <v>0</v>
      </c>
      <c r="AG458" s="110">
        <f ca="1"/>
        <v>0</v>
      </c>
      <c r="AH458" s="110">
        <f ca="1"/>
        <v>0</v>
      </c>
      <c r="AI458" s="110">
        <f ca="1"/>
        <v>0</v>
      </c>
    </row>
    <row r="459" spans="2:35">
      <c r="B459" s="149">
        <v>2</v>
      </c>
      <c r="C459" s="149">
        <v>5</v>
      </c>
      <c r="D459" s="122" t="str">
        <v>Veículos Comerciais com 4 Eixos</v>
      </c>
      <c r="E459" s="122" t="str">
        <v>Pesados I</v>
      </c>
      <c r="F459" s="110">
        <f ca="1"/>
        <v>0</v>
      </c>
      <c r="G459" s="110">
        <f ca="1"/>
        <v>0</v>
      </c>
      <c r="H459" s="110">
        <f ca="1"/>
        <v>0</v>
      </c>
      <c r="I459" s="110">
        <f ca="1"/>
        <v>0</v>
      </c>
      <c r="J459" s="110">
        <f ca="1"/>
        <v>0</v>
      </c>
      <c r="K459" s="110">
        <f ca="1"/>
        <v>0</v>
      </c>
      <c r="L459" s="110">
        <f ca="1"/>
        <v>0</v>
      </c>
      <c r="M459" s="110">
        <f ca="1"/>
        <v>0</v>
      </c>
      <c r="N459" s="110">
        <f ca="1"/>
        <v>0</v>
      </c>
      <c r="O459" s="110">
        <f ca="1"/>
        <v>0</v>
      </c>
      <c r="P459" s="110">
        <f ca="1"/>
        <v>0</v>
      </c>
      <c r="Q459" s="110">
        <f ca="1"/>
        <v>0</v>
      </c>
      <c r="R459" s="110">
        <f ca="1"/>
        <v>0</v>
      </c>
      <c r="S459" s="110">
        <f ca="1"/>
        <v>0</v>
      </c>
      <c r="T459" s="110">
        <f ca="1"/>
        <v>0</v>
      </c>
      <c r="U459" s="110">
        <f ca="1"/>
        <v>0</v>
      </c>
      <c r="V459" s="110">
        <f ca="1"/>
        <v>0</v>
      </c>
      <c r="W459" s="110">
        <f ca="1"/>
        <v>0</v>
      </c>
      <c r="X459" s="110">
        <f ca="1"/>
        <v>0</v>
      </c>
      <c r="Y459" s="110">
        <f ca="1"/>
        <v>0</v>
      </c>
      <c r="Z459" s="110">
        <f ca="1"/>
        <v>0</v>
      </c>
      <c r="AA459" s="110">
        <f ca="1"/>
        <v>0</v>
      </c>
      <c r="AB459" s="110">
        <f ca="1"/>
        <v>0</v>
      </c>
      <c r="AC459" s="110">
        <f ca="1"/>
        <v>0</v>
      </c>
      <c r="AD459" s="110">
        <f ca="1"/>
        <v>0</v>
      </c>
      <c r="AE459" s="110">
        <f ca="1"/>
        <v>0</v>
      </c>
      <c r="AF459" s="110">
        <f ca="1"/>
        <v>0</v>
      </c>
      <c r="AG459" s="110">
        <f ca="1"/>
        <v>0</v>
      </c>
      <c r="AH459" s="110">
        <f ca="1"/>
        <v>0</v>
      </c>
      <c r="AI459" s="110">
        <f ca="1"/>
        <v>0</v>
      </c>
    </row>
    <row r="460" spans="2:35">
      <c r="B460" s="149">
        <v>2</v>
      </c>
      <c r="C460" s="149">
        <v>6</v>
      </c>
      <c r="D460" s="122" t="str">
        <v>Veículos Comerciais com 5 Eixos Articulado</v>
      </c>
      <c r="E460" s="122" t="str">
        <v>Pesados II</v>
      </c>
      <c r="F460" s="110">
        <f ca="1"/>
        <v>0</v>
      </c>
      <c r="G460" s="110">
        <f ca="1"/>
        <v>0</v>
      </c>
      <c r="H460" s="110">
        <f ca="1"/>
        <v>0</v>
      </c>
      <c r="I460" s="110">
        <f ca="1"/>
        <v>0</v>
      </c>
      <c r="J460" s="110">
        <f ca="1"/>
        <v>0</v>
      </c>
      <c r="K460" s="110">
        <f ca="1"/>
        <v>0</v>
      </c>
      <c r="L460" s="110">
        <f ca="1"/>
        <v>0</v>
      </c>
      <c r="M460" s="110">
        <f ca="1"/>
        <v>0</v>
      </c>
      <c r="N460" s="110">
        <f ca="1"/>
        <v>0</v>
      </c>
      <c r="O460" s="110">
        <f ca="1"/>
        <v>0</v>
      </c>
      <c r="P460" s="110">
        <f ca="1"/>
        <v>0</v>
      </c>
      <c r="Q460" s="110">
        <f ca="1"/>
        <v>0</v>
      </c>
      <c r="R460" s="110">
        <f ca="1"/>
        <v>0</v>
      </c>
      <c r="S460" s="110">
        <f ca="1"/>
        <v>0</v>
      </c>
      <c r="T460" s="110">
        <f ca="1"/>
        <v>0</v>
      </c>
      <c r="U460" s="110">
        <f ca="1"/>
        <v>0</v>
      </c>
      <c r="V460" s="110">
        <f ca="1"/>
        <v>0</v>
      </c>
      <c r="W460" s="110">
        <f ca="1"/>
        <v>0</v>
      </c>
      <c r="X460" s="110">
        <f ca="1"/>
        <v>0</v>
      </c>
      <c r="Y460" s="110">
        <f ca="1"/>
        <v>0</v>
      </c>
      <c r="Z460" s="110">
        <f ca="1"/>
        <v>0</v>
      </c>
      <c r="AA460" s="110">
        <f ca="1"/>
        <v>0</v>
      </c>
      <c r="AB460" s="110">
        <f ca="1"/>
        <v>0</v>
      </c>
      <c r="AC460" s="110">
        <f ca="1"/>
        <v>0</v>
      </c>
      <c r="AD460" s="110">
        <f ca="1"/>
        <v>0</v>
      </c>
      <c r="AE460" s="110">
        <f ca="1"/>
        <v>0</v>
      </c>
      <c r="AF460" s="110">
        <f ca="1"/>
        <v>0</v>
      </c>
      <c r="AG460" s="110">
        <f ca="1"/>
        <v>0</v>
      </c>
      <c r="AH460" s="110">
        <f ca="1"/>
        <v>0</v>
      </c>
      <c r="AI460" s="110">
        <f ca="1"/>
        <v>0</v>
      </c>
    </row>
    <row r="461" spans="2:35">
      <c r="B461" s="149">
        <v>2</v>
      </c>
      <c r="C461" s="149">
        <v>7</v>
      </c>
      <c r="D461" s="122" t="str">
        <v>Veículos Comerciais com 6 Eixos Articulado</v>
      </c>
      <c r="E461" s="122" t="str">
        <v>Pesados II</v>
      </c>
      <c r="F461" s="110">
        <f ca="1"/>
        <v>0</v>
      </c>
      <c r="G461" s="110">
        <f ca="1"/>
        <v>0</v>
      </c>
      <c r="H461" s="110">
        <f ca="1"/>
        <v>0</v>
      </c>
      <c r="I461" s="110">
        <f ca="1"/>
        <v>0</v>
      </c>
      <c r="J461" s="110">
        <f ca="1"/>
        <v>0</v>
      </c>
      <c r="K461" s="110">
        <f ca="1"/>
        <v>0</v>
      </c>
      <c r="L461" s="110">
        <f ca="1"/>
        <v>0</v>
      </c>
      <c r="M461" s="110">
        <f ca="1"/>
        <v>0</v>
      </c>
      <c r="N461" s="110">
        <f ca="1"/>
        <v>0</v>
      </c>
      <c r="O461" s="110">
        <f ca="1"/>
        <v>0</v>
      </c>
      <c r="P461" s="110">
        <f ca="1"/>
        <v>0</v>
      </c>
      <c r="Q461" s="110">
        <f ca="1"/>
        <v>0</v>
      </c>
      <c r="R461" s="110">
        <f ca="1"/>
        <v>0</v>
      </c>
      <c r="S461" s="110">
        <f ca="1"/>
        <v>0</v>
      </c>
      <c r="T461" s="110">
        <f ca="1"/>
        <v>0</v>
      </c>
      <c r="U461" s="110">
        <f ca="1"/>
        <v>0</v>
      </c>
      <c r="V461" s="110">
        <f ca="1"/>
        <v>0</v>
      </c>
      <c r="W461" s="110">
        <f ca="1"/>
        <v>0</v>
      </c>
      <c r="X461" s="110">
        <f ca="1"/>
        <v>0</v>
      </c>
      <c r="Y461" s="110">
        <f ca="1"/>
        <v>0</v>
      </c>
      <c r="Z461" s="110">
        <f ca="1"/>
        <v>0</v>
      </c>
      <c r="AA461" s="110">
        <f ca="1"/>
        <v>0</v>
      </c>
      <c r="AB461" s="110">
        <f ca="1"/>
        <v>0</v>
      </c>
      <c r="AC461" s="110">
        <f ca="1"/>
        <v>0</v>
      </c>
      <c r="AD461" s="110">
        <f ca="1"/>
        <v>0</v>
      </c>
      <c r="AE461" s="110">
        <f ca="1"/>
        <v>0</v>
      </c>
      <c r="AF461" s="110">
        <f ca="1"/>
        <v>0</v>
      </c>
      <c r="AG461" s="110">
        <f ca="1"/>
        <v>0</v>
      </c>
      <c r="AH461" s="110">
        <f ca="1"/>
        <v>0</v>
      </c>
      <c r="AI461" s="110">
        <f ca="1"/>
        <v>0</v>
      </c>
    </row>
    <row r="462" spans="2:35">
      <c r="B462" s="149">
        <v>2</v>
      </c>
      <c r="C462" s="149">
        <v>8</v>
      </c>
      <c r="D462" s="122" t="str">
        <v>Veículos Comerciais com 7 Eixos Articulado</v>
      </c>
      <c r="E462" s="122" t="str">
        <v>Pesados II</v>
      </c>
      <c r="F462" s="110">
        <f ca="1"/>
        <v>0</v>
      </c>
      <c r="G462" s="110">
        <f ca="1"/>
        <v>0</v>
      </c>
      <c r="H462" s="110">
        <f ca="1"/>
        <v>0</v>
      </c>
      <c r="I462" s="110">
        <f ca="1"/>
        <v>0</v>
      </c>
      <c r="J462" s="110">
        <f ca="1"/>
        <v>0</v>
      </c>
      <c r="K462" s="110">
        <f ca="1"/>
        <v>0</v>
      </c>
      <c r="L462" s="110">
        <f ca="1"/>
        <v>0</v>
      </c>
      <c r="M462" s="110">
        <f ca="1"/>
        <v>0</v>
      </c>
      <c r="N462" s="110">
        <f ca="1"/>
        <v>0</v>
      </c>
      <c r="O462" s="110">
        <f ca="1"/>
        <v>0</v>
      </c>
      <c r="P462" s="110">
        <f ca="1"/>
        <v>0</v>
      </c>
      <c r="Q462" s="110">
        <f ca="1"/>
        <v>0</v>
      </c>
      <c r="R462" s="110">
        <f ca="1"/>
        <v>0</v>
      </c>
      <c r="S462" s="110">
        <f ca="1"/>
        <v>0</v>
      </c>
      <c r="T462" s="110">
        <f ca="1"/>
        <v>0</v>
      </c>
      <c r="U462" s="110">
        <f ca="1"/>
        <v>0</v>
      </c>
      <c r="V462" s="110">
        <f ca="1"/>
        <v>0</v>
      </c>
      <c r="W462" s="110">
        <f ca="1"/>
        <v>0</v>
      </c>
      <c r="X462" s="110">
        <f ca="1"/>
        <v>0</v>
      </c>
      <c r="Y462" s="110">
        <f ca="1"/>
        <v>0</v>
      </c>
      <c r="Z462" s="110">
        <f ca="1"/>
        <v>0</v>
      </c>
      <c r="AA462" s="110">
        <f ca="1"/>
        <v>0</v>
      </c>
      <c r="AB462" s="110">
        <f ca="1"/>
        <v>0</v>
      </c>
      <c r="AC462" s="110">
        <f ca="1"/>
        <v>0</v>
      </c>
      <c r="AD462" s="110">
        <f ca="1"/>
        <v>0</v>
      </c>
      <c r="AE462" s="110">
        <f ca="1"/>
        <v>0</v>
      </c>
      <c r="AF462" s="110">
        <f ca="1"/>
        <v>0</v>
      </c>
      <c r="AG462" s="110">
        <f ca="1"/>
        <v>0</v>
      </c>
      <c r="AH462" s="110">
        <f ca="1"/>
        <v>0</v>
      </c>
      <c r="AI462" s="110">
        <f ca="1"/>
        <v>0</v>
      </c>
    </row>
    <row r="463" spans="2:35">
      <c r="B463" s="149">
        <v>2</v>
      </c>
      <c r="C463" s="149">
        <v>9</v>
      </c>
      <c r="D463" s="122" t="str">
        <v>Veículos Comerciais com 8 Eixos Articulado</v>
      </c>
      <c r="E463" s="122" t="str">
        <v>Pesados II</v>
      </c>
      <c r="F463" s="110">
        <f ca="1"/>
        <v>0</v>
      </c>
      <c r="G463" s="110">
        <f ca="1"/>
        <v>0</v>
      </c>
      <c r="H463" s="110">
        <f ca="1"/>
        <v>0</v>
      </c>
      <c r="I463" s="110">
        <f ca="1"/>
        <v>0</v>
      </c>
      <c r="J463" s="110">
        <f ca="1"/>
        <v>0</v>
      </c>
      <c r="K463" s="110">
        <f ca="1"/>
        <v>0</v>
      </c>
      <c r="L463" s="110">
        <f ca="1"/>
        <v>0</v>
      </c>
      <c r="M463" s="110">
        <f ca="1"/>
        <v>0</v>
      </c>
      <c r="N463" s="110">
        <f ca="1"/>
        <v>0</v>
      </c>
      <c r="O463" s="110">
        <f ca="1"/>
        <v>0</v>
      </c>
      <c r="P463" s="110">
        <f ca="1"/>
        <v>0</v>
      </c>
      <c r="Q463" s="110">
        <f ca="1"/>
        <v>0</v>
      </c>
      <c r="R463" s="110">
        <f ca="1"/>
        <v>0</v>
      </c>
      <c r="S463" s="110">
        <f ca="1"/>
        <v>0</v>
      </c>
      <c r="T463" s="110">
        <f ca="1"/>
        <v>0</v>
      </c>
      <c r="U463" s="110">
        <f ca="1"/>
        <v>0</v>
      </c>
      <c r="V463" s="110">
        <f ca="1"/>
        <v>0</v>
      </c>
      <c r="W463" s="110">
        <f ca="1"/>
        <v>0</v>
      </c>
      <c r="X463" s="110">
        <f ca="1"/>
        <v>0</v>
      </c>
      <c r="Y463" s="110">
        <f ca="1"/>
        <v>0</v>
      </c>
      <c r="Z463" s="110">
        <f ca="1"/>
        <v>0</v>
      </c>
      <c r="AA463" s="110">
        <f ca="1"/>
        <v>0</v>
      </c>
      <c r="AB463" s="110">
        <f ca="1"/>
        <v>0</v>
      </c>
      <c r="AC463" s="110">
        <f ca="1"/>
        <v>0</v>
      </c>
      <c r="AD463" s="110">
        <f ca="1"/>
        <v>0</v>
      </c>
      <c r="AE463" s="110">
        <f ca="1"/>
        <v>0</v>
      </c>
      <c r="AF463" s="110">
        <f ca="1"/>
        <v>0</v>
      </c>
      <c r="AG463" s="110">
        <f ca="1"/>
        <v>0</v>
      </c>
      <c r="AH463" s="110">
        <f ca="1"/>
        <v>0</v>
      </c>
      <c r="AI463" s="110">
        <f ca="1"/>
        <v>0</v>
      </c>
    </row>
    <row r="464" spans="2:35">
      <c r="B464" s="149">
        <v>2</v>
      </c>
      <c r="C464" s="149">
        <v>10</v>
      </c>
      <c r="D464" s="122" t="str">
        <v>Veículos Comerciais com 9 Eixos Articulado</v>
      </c>
      <c r="E464" s="122" t="str">
        <v>Pesados II</v>
      </c>
      <c r="F464" s="110">
        <f ca="1"/>
        <v>0</v>
      </c>
      <c r="G464" s="110">
        <f ca="1"/>
        <v>0</v>
      </c>
      <c r="H464" s="110">
        <f ca="1"/>
        <v>0</v>
      </c>
      <c r="I464" s="110">
        <f ca="1"/>
        <v>0</v>
      </c>
      <c r="J464" s="110">
        <f ca="1"/>
        <v>0</v>
      </c>
      <c r="K464" s="110">
        <f ca="1"/>
        <v>0</v>
      </c>
      <c r="L464" s="110">
        <f ca="1"/>
        <v>0</v>
      </c>
      <c r="M464" s="110">
        <f ca="1"/>
        <v>0</v>
      </c>
      <c r="N464" s="110">
        <f ca="1"/>
        <v>0</v>
      </c>
      <c r="O464" s="110">
        <f ca="1"/>
        <v>0</v>
      </c>
      <c r="P464" s="110">
        <f ca="1"/>
        <v>0</v>
      </c>
      <c r="Q464" s="110">
        <f ca="1"/>
        <v>0</v>
      </c>
      <c r="R464" s="110">
        <f ca="1"/>
        <v>0</v>
      </c>
      <c r="S464" s="110">
        <f ca="1"/>
        <v>0</v>
      </c>
      <c r="T464" s="110">
        <f ca="1"/>
        <v>0</v>
      </c>
      <c r="U464" s="110">
        <f ca="1"/>
        <v>0</v>
      </c>
      <c r="V464" s="110">
        <f ca="1"/>
        <v>0</v>
      </c>
      <c r="W464" s="110">
        <f ca="1"/>
        <v>0</v>
      </c>
      <c r="X464" s="110">
        <f ca="1"/>
        <v>0</v>
      </c>
      <c r="Y464" s="110">
        <f ca="1"/>
        <v>0</v>
      </c>
      <c r="Z464" s="110">
        <f ca="1"/>
        <v>0</v>
      </c>
      <c r="AA464" s="110">
        <f ca="1"/>
        <v>0</v>
      </c>
      <c r="AB464" s="110">
        <f ca="1"/>
        <v>0</v>
      </c>
      <c r="AC464" s="110">
        <f ca="1"/>
        <v>0</v>
      </c>
      <c r="AD464" s="110">
        <f ca="1"/>
        <v>0</v>
      </c>
      <c r="AE464" s="110">
        <f ca="1"/>
        <v>0</v>
      </c>
      <c r="AF464" s="110">
        <f ca="1"/>
        <v>0</v>
      </c>
      <c r="AG464" s="110">
        <f ca="1"/>
        <v>0</v>
      </c>
      <c r="AH464" s="110">
        <f ca="1"/>
        <v>0</v>
      </c>
      <c r="AI464" s="110">
        <f ca="1"/>
        <v>0</v>
      </c>
    </row>
    <row r="465" spans="2:35">
      <c r="B465" s="149">
        <v>2</v>
      </c>
      <c r="C465" s="149">
        <v>11</v>
      </c>
      <c r="D465" s="122" t="str">
        <v>Motocicleta</v>
      </c>
      <c r="E465" s="122" t="str">
        <v>Leves</v>
      </c>
      <c r="F465" s="110">
        <f ca="1"/>
        <v>9.45550264121027E-3</v>
      </c>
      <c r="G465" s="110">
        <f ca="1"/>
        <v>1.2333264314622094E-2</v>
      </c>
      <c r="H465" s="110">
        <f ca="1"/>
        <v>1.6855461229983527E-2</v>
      </c>
      <c r="I465" s="110">
        <f ca="1"/>
        <v>2.0555440524370153E-2</v>
      </c>
      <c r="J465" s="110">
        <f ca="1"/>
        <v>2.3844311008269382E-2</v>
      </c>
      <c r="K465" s="110">
        <f ca="1"/>
        <v>2.6310963871193797E-2</v>
      </c>
      <c r="L465" s="110">
        <f ca="1"/>
        <v>2.836650792363081E-2</v>
      </c>
      <c r="M465" s="110">
        <f ca="1"/>
        <v>3.0422051976067826E-2</v>
      </c>
      <c r="N465" s="110">
        <f ca="1"/>
        <v>3.2066487218017442E-2</v>
      </c>
      <c r="O465" s="110">
        <f ca="1"/>
        <v>3.2888704838992248E-2</v>
      </c>
      <c r="P465" s="110">
        <f ca="1"/>
        <v>3.3299813649479648E-2</v>
      </c>
      <c r="Q465" s="110">
        <f ca="1"/>
        <v>3.3299813649479648E-2</v>
      </c>
      <c r="R465" s="110">
        <f ca="1"/>
        <v>3.3299813649479648E-2</v>
      </c>
      <c r="S465" s="110">
        <f ca="1"/>
        <v>3.3299813649479648E-2</v>
      </c>
      <c r="T465" s="110">
        <f ca="1"/>
        <v>3.3299813649479648E-2</v>
      </c>
      <c r="U465" s="110">
        <f ca="1"/>
        <v>3.3299813649479648E-2</v>
      </c>
      <c r="V465" s="110">
        <f ca="1"/>
        <v>3.3299813649479648E-2</v>
      </c>
      <c r="W465" s="110">
        <f ca="1"/>
        <v>3.3299813649479648E-2</v>
      </c>
      <c r="X465" s="110">
        <f ca="1"/>
        <v>3.3299813649479648E-2</v>
      </c>
      <c r="Y465" s="110">
        <f ca="1"/>
        <v>3.3299813649479648E-2</v>
      </c>
      <c r="Z465" s="110">
        <f ca="1"/>
        <v>3.3299813649479648E-2</v>
      </c>
      <c r="AA465" s="110">
        <f ca="1"/>
        <v>3.3299813649479648E-2</v>
      </c>
      <c r="AB465" s="110">
        <f ca="1"/>
        <v>3.3299813649479648E-2</v>
      </c>
      <c r="AC465" s="110">
        <f ca="1"/>
        <v>3.3299813649479648E-2</v>
      </c>
      <c r="AD465" s="110">
        <f ca="1"/>
        <v>3.3299813649479648E-2</v>
      </c>
      <c r="AE465" s="110">
        <f ca="1"/>
        <v>3.3299813649479648E-2</v>
      </c>
      <c r="AF465" s="110">
        <f ca="1"/>
        <v>3.3299813649479648E-2</v>
      </c>
      <c r="AG465" s="110">
        <f ca="1"/>
        <v>3.3299813649479648E-2</v>
      </c>
      <c r="AH465" s="110">
        <f ca="1"/>
        <v>3.3299813649479648E-2</v>
      </c>
      <c r="AI465" s="110">
        <f ca="1"/>
        <v>3.3299813649479648E-2</v>
      </c>
    </row>
    <row r="466" spans="2:35">
      <c r="B466" s="149">
        <v>2</v>
      </c>
      <c r="C466" s="149">
        <v>12</v>
      </c>
      <c r="D466" s="122" t="str">
        <v xml:space="preserve">Veículos do transporte público coletivo intermunicipal e metropolitano </v>
      </c>
      <c r="E466" s="122" t="str">
        <v>Pesados I</v>
      </c>
      <c r="F466" s="110">
        <f ca="1"/>
        <v>0</v>
      </c>
      <c r="G466" s="110">
        <f ca="1"/>
        <v>0</v>
      </c>
      <c r="H466" s="110">
        <f ca="1"/>
        <v>0</v>
      </c>
      <c r="I466" s="110">
        <f ca="1"/>
        <v>0</v>
      </c>
      <c r="J466" s="110">
        <f ca="1"/>
        <v>0</v>
      </c>
      <c r="K466" s="110">
        <f ca="1"/>
        <v>0</v>
      </c>
      <c r="L466" s="110">
        <f ca="1"/>
        <v>0</v>
      </c>
      <c r="M466" s="110">
        <f ca="1"/>
        <v>0</v>
      </c>
      <c r="N466" s="110">
        <f ca="1"/>
        <v>0</v>
      </c>
      <c r="O466" s="110">
        <f ca="1"/>
        <v>0</v>
      </c>
      <c r="P466" s="110">
        <f ca="1"/>
        <v>0</v>
      </c>
      <c r="Q466" s="110">
        <f ca="1"/>
        <v>0</v>
      </c>
      <c r="R466" s="110">
        <f ca="1"/>
        <v>0</v>
      </c>
      <c r="S466" s="110">
        <f ca="1"/>
        <v>0</v>
      </c>
      <c r="T466" s="110">
        <f ca="1"/>
        <v>0</v>
      </c>
      <c r="U466" s="110">
        <f ca="1"/>
        <v>0</v>
      </c>
      <c r="V466" s="110">
        <f ca="1"/>
        <v>0</v>
      </c>
      <c r="W466" s="110">
        <f ca="1"/>
        <v>0</v>
      </c>
      <c r="X466" s="110">
        <f ca="1"/>
        <v>0</v>
      </c>
      <c r="Y466" s="110">
        <f ca="1"/>
        <v>0</v>
      </c>
      <c r="Z466" s="110">
        <f ca="1"/>
        <v>0</v>
      </c>
      <c r="AA466" s="110">
        <f ca="1"/>
        <v>0</v>
      </c>
      <c r="AB466" s="110">
        <f ca="1"/>
        <v>0</v>
      </c>
      <c r="AC466" s="110">
        <f ca="1"/>
        <v>0</v>
      </c>
      <c r="AD466" s="110">
        <f ca="1"/>
        <v>0</v>
      </c>
      <c r="AE466" s="110">
        <f ca="1"/>
        <v>0</v>
      </c>
      <c r="AF466" s="110">
        <f ca="1"/>
        <v>0</v>
      </c>
      <c r="AG466" s="110">
        <f ca="1"/>
        <v>0</v>
      </c>
      <c r="AH466" s="110">
        <f ca="1"/>
        <v>0</v>
      </c>
      <c r="AI466" s="110">
        <f ca="1"/>
        <v>0</v>
      </c>
    </row>
    <row r="467" spans="2:35">
      <c r="B467" s="149">
        <v>3</v>
      </c>
      <c r="C467" s="149">
        <v>1</v>
      </c>
      <c r="D467" s="122" t="str">
        <v>Automóvel</v>
      </c>
      <c r="E467" s="122" t="str">
        <v>Leves</v>
      </c>
      <c r="F467" s="110">
        <f ca="1"/>
        <v>3.3712489032108736E-3</v>
      </c>
      <c r="G467" s="110">
        <f ca="1"/>
        <v>4.3972811781011409E-3</v>
      </c>
      <c r="H467" s="110">
        <f ca="1"/>
        <v>6.0096176100715585E-3</v>
      </c>
      <c r="I467" s="110">
        <f ca="1"/>
        <v>7.3288019635019E-3</v>
      </c>
      <c r="J467" s="110">
        <f ca="1"/>
        <v>8.5014102776622049E-3</v>
      </c>
      <c r="K467" s="110">
        <f ca="1"/>
        <v>9.380866513282432E-3</v>
      </c>
      <c r="L467" s="110">
        <f ca="1"/>
        <v>1.0113746709632622E-2</v>
      </c>
      <c r="M467" s="110">
        <f ca="1"/>
        <v>1.0846626905982811E-2</v>
      </c>
      <c r="N467" s="110">
        <f ca="1"/>
        <v>1.1432931063062965E-2</v>
      </c>
      <c r="O467" s="110">
        <f ca="1"/>
        <v>1.172608314160304E-2</v>
      </c>
      <c r="P467" s="110">
        <f ca="1"/>
        <v>1.1872659180873079E-2</v>
      </c>
      <c r="Q467" s="110">
        <f ca="1"/>
        <v>1.1872659180873079E-2</v>
      </c>
      <c r="R467" s="110">
        <f ca="1"/>
        <v>1.1872659180873079E-2</v>
      </c>
      <c r="S467" s="110">
        <f ca="1"/>
        <v>1.1872659180873079E-2</v>
      </c>
      <c r="T467" s="110">
        <f ca="1"/>
        <v>1.1872659180873079E-2</v>
      </c>
      <c r="U467" s="110">
        <f ca="1"/>
        <v>1.1872659180873079E-2</v>
      </c>
      <c r="V467" s="110">
        <f ca="1"/>
        <v>1.1872659180873079E-2</v>
      </c>
      <c r="W467" s="110">
        <f ca="1"/>
        <v>1.1872659180873079E-2</v>
      </c>
      <c r="X467" s="110">
        <f ca="1"/>
        <v>1.1872659180873079E-2</v>
      </c>
      <c r="Y467" s="110">
        <f ca="1"/>
        <v>1.1872659180873079E-2</v>
      </c>
      <c r="Z467" s="110">
        <f ca="1"/>
        <v>1.1872659180873079E-2</v>
      </c>
      <c r="AA467" s="110">
        <f ca="1"/>
        <v>1.1872659180873079E-2</v>
      </c>
      <c r="AB467" s="110">
        <f ca="1"/>
        <v>1.1872659180873079E-2</v>
      </c>
      <c r="AC467" s="110">
        <f ca="1"/>
        <v>1.1872659180873079E-2</v>
      </c>
      <c r="AD467" s="110">
        <f ca="1"/>
        <v>1.1872659180873079E-2</v>
      </c>
      <c r="AE467" s="110">
        <f ca="1"/>
        <v>1.1872659180873079E-2</v>
      </c>
      <c r="AF467" s="110">
        <f ca="1"/>
        <v>1.1872659180873079E-2</v>
      </c>
      <c r="AG467" s="110">
        <f ca="1"/>
        <v>1.1872659180873079E-2</v>
      </c>
      <c r="AH467" s="110">
        <f ca="1"/>
        <v>1.1872659180873079E-2</v>
      </c>
      <c r="AI467" s="110">
        <f ca="1"/>
        <v>1.1872659180873079E-2</v>
      </c>
    </row>
    <row r="468" spans="2:35">
      <c r="B468" s="149">
        <v>3</v>
      </c>
      <c r="C468" s="149">
        <v>2</v>
      </c>
      <c r="D468" s="122" t="str">
        <v xml:space="preserve">Automóvel com reboque </v>
      </c>
      <c r="E468" s="122" t="str">
        <v>Leves</v>
      </c>
      <c r="F468" s="110">
        <f ca="1"/>
        <v>0</v>
      </c>
      <c r="G468" s="110">
        <f ca="1"/>
        <v>0</v>
      </c>
      <c r="H468" s="110">
        <f ca="1"/>
        <v>0</v>
      </c>
      <c r="I468" s="110">
        <f ca="1"/>
        <v>0</v>
      </c>
      <c r="J468" s="110">
        <f ca="1"/>
        <v>0</v>
      </c>
      <c r="K468" s="110">
        <f ca="1"/>
        <v>0</v>
      </c>
      <c r="L468" s="110">
        <f ca="1"/>
        <v>0</v>
      </c>
      <c r="M468" s="110">
        <f ca="1"/>
        <v>0</v>
      </c>
      <c r="N468" s="110">
        <f ca="1"/>
        <v>0</v>
      </c>
      <c r="O468" s="110">
        <f ca="1"/>
        <v>0</v>
      </c>
      <c r="P468" s="110">
        <f ca="1"/>
        <v>0</v>
      </c>
      <c r="Q468" s="110">
        <f ca="1"/>
        <v>0</v>
      </c>
      <c r="R468" s="110">
        <f ca="1"/>
        <v>0</v>
      </c>
      <c r="S468" s="110">
        <f ca="1"/>
        <v>0</v>
      </c>
      <c r="T468" s="110">
        <f ca="1"/>
        <v>0</v>
      </c>
      <c r="U468" s="110">
        <f ca="1"/>
        <v>0</v>
      </c>
      <c r="V468" s="110">
        <f ca="1"/>
        <v>0</v>
      </c>
      <c r="W468" s="110">
        <f ca="1"/>
        <v>0</v>
      </c>
      <c r="X468" s="110">
        <f ca="1"/>
        <v>0</v>
      </c>
      <c r="Y468" s="110">
        <f ca="1"/>
        <v>0</v>
      </c>
      <c r="Z468" s="110">
        <f ca="1"/>
        <v>0</v>
      </c>
      <c r="AA468" s="110">
        <f ca="1"/>
        <v>0</v>
      </c>
      <c r="AB468" s="110">
        <f ca="1"/>
        <v>0</v>
      </c>
      <c r="AC468" s="110">
        <f ca="1"/>
        <v>0</v>
      </c>
      <c r="AD468" s="110">
        <f ca="1"/>
        <v>0</v>
      </c>
      <c r="AE468" s="110">
        <f ca="1"/>
        <v>0</v>
      </c>
      <c r="AF468" s="110">
        <f ca="1"/>
        <v>0</v>
      </c>
      <c r="AG468" s="110">
        <f ca="1"/>
        <v>0</v>
      </c>
      <c r="AH468" s="110">
        <f ca="1"/>
        <v>0</v>
      </c>
      <c r="AI468" s="110">
        <f ca="1"/>
        <v>0</v>
      </c>
    </row>
    <row r="469" spans="2:35">
      <c r="B469" s="149">
        <v>3</v>
      </c>
      <c r="C469" s="149">
        <v>3</v>
      </c>
      <c r="D469" s="122" t="str">
        <v>Veículos Comerciais com 2 Eixos</v>
      </c>
      <c r="E469" s="122" t="str">
        <v>Pesados I</v>
      </c>
      <c r="F469" s="110">
        <f ca="1"/>
        <v>0</v>
      </c>
      <c r="G469" s="110">
        <f ca="1"/>
        <v>0</v>
      </c>
      <c r="H469" s="110">
        <f ca="1"/>
        <v>0</v>
      </c>
      <c r="I469" s="110">
        <f ca="1"/>
        <v>0</v>
      </c>
      <c r="J469" s="110">
        <f ca="1"/>
        <v>0</v>
      </c>
      <c r="K469" s="110">
        <f ca="1"/>
        <v>0</v>
      </c>
      <c r="L469" s="110">
        <f ca="1"/>
        <v>0</v>
      </c>
      <c r="M469" s="110">
        <f ca="1"/>
        <v>0</v>
      </c>
      <c r="N469" s="110">
        <f ca="1"/>
        <v>0</v>
      </c>
      <c r="O469" s="110">
        <f ca="1"/>
        <v>0</v>
      </c>
      <c r="P469" s="110">
        <f ca="1"/>
        <v>0</v>
      </c>
      <c r="Q469" s="110">
        <f ca="1"/>
        <v>0</v>
      </c>
      <c r="R469" s="110">
        <f ca="1"/>
        <v>0</v>
      </c>
      <c r="S469" s="110">
        <f ca="1"/>
        <v>0</v>
      </c>
      <c r="T469" s="110">
        <f ca="1"/>
        <v>0</v>
      </c>
      <c r="U469" s="110">
        <f ca="1"/>
        <v>0</v>
      </c>
      <c r="V469" s="110">
        <f ca="1"/>
        <v>0</v>
      </c>
      <c r="W469" s="110">
        <f ca="1"/>
        <v>0</v>
      </c>
      <c r="X469" s="110">
        <f ca="1"/>
        <v>0</v>
      </c>
      <c r="Y469" s="110">
        <f ca="1"/>
        <v>0</v>
      </c>
      <c r="Z469" s="110">
        <f ca="1"/>
        <v>0</v>
      </c>
      <c r="AA469" s="110">
        <f ca="1"/>
        <v>0</v>
      </c>
      <c r="AB469" s="110">
        <f ca="1"/>
        <v>0</v>
      </c>
      <c r="AC469" s="110">
        <f ca="1"/>
        <v>0</v>
      </c>
      <c r="AD469" s="110">
        <f ca="1"/>
        <v>0</v>
      </c>
      <c r="AE469" s="110">
        <f ca="1"/>
        <v>0</v>
      </c>
      <c r="AF469" s="110">
        <f ca="1"/>
        <v>0</v>
      </c>
      <c r="AG469" s="110">
        <f ca="1"/>
        <v>0</v>
      </c>
      <c r="AH469" s="110">
        <f ca="1"/>
        <v>0</v>
      </c>
      <c r="AI469" s="110">
        <f ca="1"/>
        <v>0</v>
      </c>
    </row>
    <row r="470" spans="2:35">
      <c r="B470" s="149">
        <v>3</v>
      </c>
      <c r="C470" s="149">
        <v>4</v>
      </c>
      <c r="D470" s="122" t="str">
        <v>Veículos Comerciais com 3 Eixos</v>
      </c>
      <c r="E470" s="122" t="str">
        <v>Pesados I</v>
      </c>
      <c r="F470" s="110">
        <f ca="1"/>
        <v>0</v>
      </c>
      <c r="G470" s="110">
        <f ca="1"/>
        <v>0</v>
      </c>
      <c r="H470" s="110">
        <f ca="1"/>
        <v>0</v>
      </c>
      <c r="I470" s="110">
        <f ca="1"/>
        <v>0</v>
      </c>
      <c r="J470" s="110">
        <f ca="1"/>
        <v>0</v>
      </c>
      <c r="K470" s="110">
        <f ca="1"/>
        <v>0</v>
      </c>
      <c r="L470" s="110">
        <f ca="1"/>
        <v>0</v>
      </c>
      <c r="M470" s="110">
        <f ca="1"/>
        <v>0</v>
      </c>
      <c r="N470" s="110">
        <f ca="1"/>
        <v>0</v>
      </c>
      <c r="O470" s="110">
        <f ca="1"/>
        <v>0</v>
      </c>
      <c r="P470" s="110">
        <f ca="1"/>
        <v>0</v>
      </c>
      <c r="Q470" s="110">
        <f ca="1"/>
        <v>0</v>
      </c>
      <c r="R470" s="110">
        <f ca="1"/>
        <v>0</v>
      </c>
      <c r="S470" s="110">
        <f ca="1"/>
        <v>0</v>
      </c>
      <c r="T470" s="110">
        <f ca="1"/>
        <v>0</v>
      </c>
      <c r="U470" s="110">
        <f ca="1"/>
        <v>0</v>
      </c>
      <c r="V470" s="110">
        <f ca="1"/>
        <v>0</v>
      </c>
      <c r="W470" s="110">
        <f ca="1"/>
        <v>0</v>
      </c>
      <c r="X470" s="110">
        <f ca="1"/>
        <v>0</v>
      </c>
      <c r="Y470" s="110">
        <f ca="1"/>
        <v>0</v>
      </c>
      <c r="Z470" s="110">
        <f ca="1"/>
        <v>0</v>
      </c>
      <c r="AA470" s="110">
        <f ca="1"/>
        <v>0</v>
      </c>
      <c r="AB470" s="110">
        <f ca="1"/>
        <v>0</v>
      </c>
      <c r="AC470" s="110">
        <f ca="1"/>
        <v>0</v>
      </c>
      <c r="AD470" s="110">
        <f ca="1"/>
        <v>0</v>
      </c>
      <c r="AE470" s="110">
        <f ca="1"/>
        <v>0</v>
      </c>
      <c r="AF470" s="110">
        <f ca="1"/>
        <v>0</v>
      </c>
      <c r="AG470" s="110">
        <f ca="1"/>
        <v>0</v>
      </c>
      <c r="AH470" s="110">
        <f ca="1"/>
        <v>0</v>
      </c>
      <c r="AI470" s="110">
        <f ca="1"/>
        <v>0</v>
      </c>
    </row>
    <row r="471" spans="2:35">
      <c r="B471" s="149">
        <v>3</v>
      </c>
      <c r="C471" s="149">
        <v>5</v>
      </c>
      <c r="D471" s="122" t="str">
        <v>Veículos Comerciais com 4 Eixos</v>
      </c>
      <c r="E471" s="122" t="str">
        <v>Pesados I</v>
      </c>
      <c r="F471" s="110">
        <f ca="1"/>
        <v>0</v>
      </c>
      <c r="G471" s="110">
        <f ca="1"/>
        <v>0</v>
      </c>
      <c r="H471" s="110">
        <f ca="1"/>
        <v>0</v>
      </c>
      <c r="I471" s="110">
        <f ca="1"/>
        <v>0</v>
      </c>
      <c r="J471" s="110">
        <f ca="1"/>
        <v>0</v>
      </c>
      <c r="K471" s="110">
        <f ca="1"/>
        <v>0</v>
      </c>
      <c r="L471" s="110">
        <f ca="1"/>
        <v>0</v>
      </c>
      <c r="M471" s="110">
        <f ca="1"/>
        <v>0</v>
      </c>
      <c r="N471" s="110">
        <f ca="1"/>
        <v>0</v>
      </c>
      <c r="O471" s="110">
        <f ca="1"/>
        <v>0</v>
      </c>
      <c r="P471" s="110">
        <f ca="1"/>
        <v>0</v>
      </c>
      <c r="Q471" s="110">
        <f ca="1"/>
        <v>0</v>
      </c>
      <c r="R471" s="110">
        <f ca="1"/>
        <v>0</v>
      </c>
      <c r="S471" s="110">
        <f ca="1"/>
        <v>0</v>
      </c>
      <c r="T471" s="110">
        <f ca="1"/>
        <v>0</v>
      </c>
      <c r="U471" s="110">
        <f ca="1"/>
        <v>0</v>
      </c>
      <c r="V471" s="110">
        <f ca="1"/>
        <v>0</v>
      </c>
      <c r="W471" s="110">
        <f ca="1"/>
        <v>0</v>
      </c>
      <c r="X471" s="110">
        <f ca="1"/>
        <v>0</v>
      </c>
      <c r="Y471" s="110">
        <f ca="1"/>
        <v>0</v>
      </c>
      <c r="Z471" s="110">
        <f ca="1"/>
        <v>0</v>
      </c>
      <c r="AA471" s="110">
        <f ca="1"/>
        <v>0</v>
      </c>
      <c r="AB471" s="110">
        <f ca="1"/>
        <v>0</v>
      </c>
      <c r="AC471" s="110">
        <f ca="1"/>
        <v>0</v>
      </c>
      <c r="AD471" s="110">
        <f ca="1"/>
        <v>0</v>
      </c>
      <c r="AE471" s="110">
        <f ca="1"/>
        <v>0</v>
      </c>
      <c r="AF471" s="110">
        <f ca="1"/>
        <v>0</v>
      </c>
      <c r="AG471" s="110">
        <f ca="1"/>
        <v>0</v>
      </c>
      <c r="AH471" s="110">
        <f ca="1"/>
        <v>0</v>
      </c>
      <c r="AI471" s="110">
        <f ca="1"/>
        <v>0</v>
      </c>
    </row>
    <row r="472" spans="2:35">
      <c r="B472" s="149">
        <v>3</v>
      </c>
      <c r="C472" s="149">
        <v>6</v>
      </c>
      <c r="D472" s="122" t="str">
        <v>Veículos Comerciais com 5 Eixos Articulado</v>
      </c>
      <c r="E472" s="122" t="str">
        <v>Pesados II</v>
      </c>
      <c r="F472" s="110">
        <f ca="1"/>
        <v>0</v>
      </c>
      <c r="G472" s="110">
        <f ca="1"/>
        <v>0</v>
      </c>
      <c r="H472" s="110">
        <f ca="1"/>
        <v>0</v>
      </c>
      <c r="I472" s="110">
        <f ca="1"/>
        <v>0</v>
      </c>
      <c r="J472" s="110">
        <f ca="1"/>
        <v>0</v>
      </c>
      <c r="K472" s="110">
        <f ca="1"/>
        <v>0</v>
      </c>
      <c r="L472" s="110">
        <f ca="1"/>
        <v>0</v>
      </c>
      <c r="M472" s="110">
        <f ca="1"/>
        <v>0</v>
      </c>
      <c r="N472" s="110">
        <f ca="1"/>
        <v>0</v>
      </c>
      <c r="O472" s="110">
        <f ca="1"/>
        <v>0</v>
      </c>
      <c r="P472" s="110">
        <f ca="1"/>
        <v>0</v>
      </c>
      <c r="Q472" s="110">
        <f ca="1"/>
        <v>0</v>
      </c>
      <c r="R472" s="110">
        <f ca="1"/>
        <v>0</v>
      </c>
      <c r="S472" s="110">
        <f ca="1"/>
        <v>0</v>
      </c>
      <c r="T472" s="110">
        <f ca="1"/>
        <v>0</v>
      </c>
      <c r="U472" s="110">
        <f ca="1"/>
        <v>0</v>
      </c>
      <c r="V472" s="110">
        <f ca="1"/>
        <v>0</v>
      </c>
      <c r="W472" s="110">
        <f ca="1"/>
        <v>0</v>
      </c>
      <c r="X472" s="110">
        <f ca="1"/>
        <v>0</v>
      </c>
      <c r="Y472" s="110">
        <f ca="1"/>
        <v>0</v>
      </c>
      <c r="Z472" s="110">
        <f ca="1"/>
        <v>0</v>
      </c>
      <c r="AA472" s="110">
        <f ca="1"/>
        <v>0</v>
      </c>
      <c r="AB472" s="110">
        <f ca="1"/>
        <v>0</v>
      </c>
      <c r="AC472" s="110">
        <f ca="1"/>
        <v>0</v>
      </c>
      <c r="AD472" s="110">
        <f ca="1"/>
        <v>0</v>
      </c>
      <c r="AE472" s="110">
        <f ca="1"/>
        <v>0</v>
      </c>
      <c r="AF472" s="110">
        <f ca="1"/>
        <v>0</v>
      </c>
      <c r="AG472" s="110">
        <f ca="1"/>
        <v>0</v>
      </c>
      <c r="AH472" s="110">
        <f ca="1"/>
        <v>0</v>
      </c>
      <c r="AI472" s="110">
        <f ca="1"/>
        <v>0</v>
      </c>
    </row>
    <row r="473" spans="2:35">
      <c r="B473" s="149">
        <v>3</v>
      </c>
      <c r="C473" s="149">
        <v>7</v>
      </c>
      <c r="D473" s="122" t="str">
        <v>Veículos Comerciais com 6 Eixos Articulado</v>
      </c>
      <c r="E473" s="122" t="str">
        <v>Pesados II</v>
      </c>
      <c r="F473" s="110">
        <f ca="1"/>
        <v>0</v>
      </c>
      <c r="G473" s="110">
        <f ca="1"/>
        <v>0</v>
      </c>
      <c r="H473" s="110">
        <f ca="1"/>
        <v>0</v>
      </c>
      <c r="I473" s="110">
        <f ca="1"/>
        <v>0</v>
      </c>
      <c r="J473" s="110">
        <f ca="1"/>
        <v>0</v>
      </c>
      <c r="K473" s="110">
        <f ca="1"/>
        <v>0</v>
      </c>
      <c r="L473" s="110">
        <f ca="1"/>
        <v>0</v>
      </c>
      <c r="M473" s="110">
        <f ca="1"/>
        <v>0</v>
      </c>
      <c r="N473" s="110">
        <f ca="1"/>
        <v>0</v>
      </c>
      <c r="O473" s="110">
        <f ca="1"/>
        <v>0</v>
      </c>
      <c r="P473" s="110">
        <f ca="1"/>
        <v>0</v>
      </c>
      <c r="Q473" s="110">
        <f ca="1"/>
        <v>0</v>
      </c>
      <c r="R473" s="110">
        <f ca="1"/>
        <v>0</v>
      </c>
      <c r="S473" s="110">
        <f ca="1"/>
        <v>0</v>
      </c>
      <c r="T473" s="110">
        <f ca="1"/>
        <v>0</v>
      </c>
      <c r="U473" s="110">
        <f ca="1"/>
        <v>0</v>
      </c>
      <c r="V473" s="110">
        <f ca="1"/>
        <v>0</v>
      </c>
      <c r="W473" s="110">
        <f ca="1"/>
        <v>0</v>
      </c>
      <c r="X473" s="110">
        <f ca="1"/>
        <v>0</v>
      </c>
      <c r="Y473" s="110">
        <f ca="1"/>
        <v>0</v>
      </c>
      <c r="Z473" s="110">
        <f ca="1"/>
        <v>0</v>
      </c>
      <c r="AA473" s="110">
        <f ca="1"/>
        <v>0</v>
      </c>
      <c r="AB473" s="110">
        <f ca="1"/>
        <v>0</v>
      </c>
      <c r="AC473" s="110">
        <f ca="1"/>
        <v>0</v>
      </c>
      <c r="AD473" s="110">
        <f ca="1"/>
        <v>0</v>
      </c>
      <c r="AE473" s="110">
        <f ca="1"/>
        <v>0</v>
      </c>
      <c r="AF473" s="110">
        <f ca="1"/>
        <v>0</v>
      </c>
      <c r="AG473" s="110">
        <f ca="1"/>
        <v>0</v>
      </c>
      <c r="AH473" s="110">
        <f ca="1"/>
        <v>0</v>
      </c>
      <c r="AI473" s="110">
        <f ca="1"/>
        <v>0</v>
      </c>
    </row>
    <row r="474" spans="2:35">
      <c r="B474" s="149">
        <v>3</v>
      </c>
      <c r="C474" s="149">
        <v>8</v>
      </c>
      <c r="D474" s="122" t="str">
        <v>Veículos Comerciais com 7 Eixos Articulado</v>
      </c>
      <c r="E474" s="122" t="str">
        <v>Pesados II</v>
      </c>
      <c r="F474" s="110">
        <f ca="1"/>
        <v>0</v>
      </c>
      <c r="G474" s="110">
        <f ca="1"/>
        <v>0</v>
      </c>
      <c r="H474" s="110">
        <f ca="1"/>
        <v>0</v>
      </c>
      <c r="I474" s="110">
        <f ca="1"/>
        <v>0</v>
      </c>
      <c r="J474" s="110">
        <f ca="1"/>
        <v>0</v>
      </c>
      <c r="K474" s="110">
        <f ca="1"/>
        <v>0</v>
      </c>
      <c r="L474" s="110">
        <f ca="1"/>
        <v>0</v>
      </c>
      <c r="M474" s="110">
        <f ca="1"/>
        <v>0</v>
      </c>
      <c r="N474" s="110">
        <f ca="1"/>
        <v>0</v>
      </c>
      <c r="O474" s="110">
        <f ca="1"/>
        <v>0</v>
      </c>
      <c r="P474" s="110">
        <f ca="1"/>
        <v>0</v>
      </c>
      <c r="Q474" s="110">
        <f ca="1"/>
        <v>0</v>
      </c>
      <c r="R474" s="110">
        <f ca="1"/>
        <v>0</v>
      </c>
      <c r="S474" s="110">
        <f ca="1"/>
        <v>0</v>
      </c>
      <c r="T474" s="110">
        <f ca="1"/>
        <v>0</v>
      </c>
      <c r="U474" s="110">
        <f ca="1"/>
        <v>0</v>
      </c>
      <c r="V474" s="110">
        <f ca="1"/>
        <v>0</v>
      </c>
      <c r="W474" s="110">
        <f ca="1"/>
        <v>0</v>
      </c>
      <c r="X474" s="110">
        <f ca="1"/>
        <v>0</v>
      </c>
      <c r="Y474" s="110">
        <f ca="1"/>
        <v>0</v>
      </c>
      <c r="Z474" s="110">
        <f ca="1"/>
        <v>0</v>
      </c>
      <c r="AA474" s="110">
        <f ca="1"/>
        <v>0</v>
      </c>
      <c r="AB474" s="110">
        <f ca="1"/>
        <v>0</v>
      </c>
      <c r="AC474" s="110">
        <f ca="1"/>
        <v>0</v>
      </c>
      <c r="AD474" s="110">
        <f ca="1"/>
        <v>0</v>
      </c>
      <c r="AE474" s="110">
        <f ca="1"/>
        <v>0</v>
      </c>
      <c r="AF474" s="110">
        <f ca="1"/>
        <v>0</v>
      </c>
      <c r="AG474" s="110">
        <f ca="1"/>
        <v>0</v>
      </c>
      <c r="AH474" s="110">
        <f ca="1"/>
        <v>0</v>
      </c>
      <c r="AI474" s="110">
        <f ca="1"/>
        <v>0</v>
      </c>
    </row>
    <row r="475" spans="2:35">
      <c r="B475" s="149">
        <v>3</v>
      </c>
      <c r="C475" s="149">
        <v>9</v>
      </c>
      <c r="D475" s="122" t="str">
        <v>Veículos Comerciais com 8 Eixos Articulado</v>
      </c>
      <c r="E475" s="122" t="str">
        <v>Pesados II</v>
      </c>
      <c r="F475" s="110">
        <f ca="1"/>
        <v>0</v>
      </c>
      <c r="G475" s="110">
        <f ca="1"/>
        <v>0</v>
      </c>
      <c r="H475" s="110">
        <f ca="1"/>
        <v>0</v>
      </c>
      <c r="I475" s="110">
        <f ca="1"/>
        <v>0</v>
      </c>
      <c r="J475" s="110">
        <f ca="1"/>
        <v>0</v>
      </c>
      <c r="K475" s="110">
        <f ca="1"/>
        <v>0</v>
      </c>
      <c r="L475" s="110">
        <f ca="1"/>
        <v>0</v>
      </c>
      <c r="M475" s="110">
        <f ca="1"/>
        <v>0</v>
      </c>
      <c r="N475" s="110">
        <f ca="1"/>
        <v>0</v>
      </c>
      <c r="O475" s="110">
        <f ca="1"/>
        <v>0</v>
      </c>
      <c r="P475" s="110">
        <f ca="1"/>
        <v>0</v>
      </c>
      <c r="Q475" s="110">
        <f ca="1"/>
        <v>0</v>
      </c>
      <c r="R475" s="110">
        <f ca="1"/>
        <v>0</v>
      </c>
      <c r="S475" s="110">
        <f ca="1"/>
        <v>0</v>
      </c>
      <c r="T475" s="110">
        <f ca="1"/>
        <v>0</v>
      </c>
      <c r="U475" s="110">
        <f ca="1"/>
        <v>0</v>
      </c>
      <c r="V475" s="110">
        <f ca="1"/>
        <v>0</v>
      </c>
      <c r="W475" s="110">
        <f ca="1"/>
        <v>0</v>
      </c>
      <c r="X475" s="110">
        <f ca="1"/>
        <v>0</v>
      </c>
      <c r="Y475" s="110">
        <f ca="1"/>
        <v>0</v>
      </c>
      <c r="Z475" s="110">
        <f ca="1"/>
        <v>0</v>
      </c>
      <c r="AA475" s="110">
        <f ca="1"/>
        <v>0</v>
      </c>
      <c r="AB475" s="110">
        <f ca="1"/>
        <v>0</v>
      </c>
      <c r="AC475" s="110">
        <f ca="1"/>
        <v>0</v>
      </c>
      <c r="AD475" s="110">
        <f ca="1"/>
        <v>0</v>
      </c>
      <c r="AE475" s="110">
        <f ca="1"/>
        <v>0</v>
      </c>
      <c r="AF475" s="110">
        <f ca="1"/>
        <v>0</v>
      </c>
      <c r="AG475" s="110">
        <f ca="1"/>
        <v>0</v>
      </c>
      <c r="AH475" s="110">
        <f ca="1"/>
        <v>0</v>
      </c>
      <c r="AI475" s="110">
        <f ca="1"/>
        <v>0</v>
      </c>
    </row>
    <row r="476" spans="2:35">
      <c r="B476" s="149">
        <v>3</v>
      </c>
      <c r="C476" s="149">
        <v>10</v>
      </c>
      <c r="D476" s="122" t="str">
        <v>Veículos Comerciais com 9 Eixos Articulado</v>
      </c>
      <c r="E476" s="122" t="str">
        <v>Pesados II</v>
      </c>
      <c r="F476" s="110">
        <f ca="1"/>
        <v>0</v>
      </c>
      <c r="G476" s="110">
        <f ca="1"/>
        <v>0</v>
      </c>
      <c r="H476" s="110">
        <f ca="1"/>
        <v>0</v>
      </c>
      <c r="I476" s="110">
        <f ca="1"/>
        <v>0</v>
      </c>
      <c r="J476" s="110">
        <f ca="1"/>
        <v>0</v>
      </c>
      <c r="K476" s="110">
        <f ca="1"/>
        <v>0</v>
      </c>
      <c r="L476" s="110">
        <f ca="1"/>
        <v>0</v>
      </c>
      <c r="M476" s="110">
        <f ca="1"/>
        <v>0</v>
      </c>
      <c r="N476" s="110">
        <f ca="1"/>
        <v>0</v>
      </c>
      <c r="O476" s="110">
        <f ca="1"/>
        <v>0</v>
      </c>
      <c r="P476" s="110">
        <f ca="1"/>
        <v>0</v>
      </c>
      <c r="Q476" s="110">
        <f ca="1"/>
        <v>0</v>
      </c>
      <c r="R476" s="110">
        <f ca="1"/>
        <v>0</v>
      </c>
      <c r="S476" s="110">
        <f ca="1"/>
        <v>0</v>
      </c>
      <c r="T476" s="110">
        <f ca="1"/>
        <v>0</v>
      </c>
      <c r="U476" s="110">
        <f ca="1"/>
        <v>0</v>
      </c>
      <c r="V476" s="110">
        <f ca="1"/>
        <v>0</v>
      </c>
      <c r="W476" s="110">
        <f ca="1"/>
        <v>0</v>
      </c>
      <c r="X476" s="110">
        <f ca="1"/>
        <v>0</v>
      </c>
      <c r="Y476" s="110">
        <f ca="1"/>
        <v>0</v>
      </c>
      <c r="Z476" s="110">
        <f ca="1"/>
        <v>0</v>
      </c>
      <c r="AA476" s="110">
        <f ca="1"/>
        <v>0</v>
      </c>
      <c r="AB476" s="110">
        <f ca="1"/>
        <v>0</v>
      </c>
      <c r="AC476" s="110">
        <f ca="1"/>
        <v>0</v>
      </c>
      <c r="AD476" s="110">
        <f ca="1"/>
        <v>0</v>
      </c>
      <c r="AE476" s="110">
        <f ca="1"/>
        <v>0</v>
      </c>
      <c r="AF476" s="110">
        <f ca="1"/>
        <v>0</v>
      </c>
      <c r="AG476" s="110">
        <f ca="1"/>
        <v>0</v>
      </c>
      <c r="AH476" s="110">
        <f ca="1"/>
        <v>0</v>
      </c>
      <c r="AI476" s="110">
        <f ca="1"/>
        <v>0</v>
      </c>
    </row>
    <row r="477" spans="2:35">
      <c r="B477" s="149">
        <v>3</v>
      </c>
      <c r="C477" s="149">
        <v>11</v>
      </c>
      <c r="D477" s="122" t="str">
        <v>Motocicleta</v>
      </c>
      <c r="E477" s="122" t="str">
        <v>Leves</v>
      </c>
      <c r="F477" s="110">
        <f ca="1"/>
        <v>3.3712489032108736E-3</v>
      </c>
      <c r="G477" s="110">
        <f ca="1"/>
        <v>4.3972811781011409E-3</v>
      </c>
      <c r="H477" s="110">
        <f ca="1"/>
        <v>6.0096176100715585E-3</v>
      </c>
      <c r="I477" s="110">
        <f ca="1"/>
        <v>7.3288019635019E-3</v>
      </c>
      <c r="J477" s="110">
        <f ca="1"/>
        <v>8.5014102776622049E-3</v>
      </c>
      <c r="K477" s="110">
        <f ca="1"/>
        <v>9.380866513282432E-3</v>
      </c>
      <c r="L477" s="110">
        <f ca="1"/>
        <v>1.0113746709632622E-2</v>
      </c>
      <c r="M477" s="110">
        <f ca="1"/>
        <v>1.0846626905982811E-2</v>
      </c>
      <c r="N477" s="110">
        <f ca="1"/>
        <v>1.1432931063062965E-2</v>
      </c>
      <c r="O477" s="110">
        <f ca="1"/>
        <v>1.172608314160304E-2</v>
      </c>
      <c r="P477" s="110">
        <f ca="1"/>
        <v>1.1872659180873079E-2</v>
      </c>
      <c r="Q477" s="110">
        <f ca="1"/>
        <v>1.1872659180873079E-2</v>
      </c>
      <c r="R477" s="110">
        <f ca="1"/>
        <v>1.1872659180873079E-2</v>
      </c>
      <c r="S477" s="110">
        <f ca="1"/>
        <v>1.1872659180873079E-2</v>
      </c>
      <c r="T477" s="110">
        <f ca="1"/>
        <v>1.1872659180873079E-2</v>
      </c>
      <c r="U477" s="110">
        <f ca="1"/>
        <v>1.1872659180873079E-2</v>
      </c>
      <c r="V477" s="110">
        <f ca="1"/>
        <v>1.1872659180873079E-2</v>
      </c>
      <c r="W477" s="110">
        <f ca="1"/>
        <v>1.1872659180873079E-2</v>
      </c>
      <c r="X477" s="110">
        <f ca="1"/>
        <v>1.1872659180873079E-2</v>
      </c>
      <c r="Y477" s="110">
        <f ca="1"/>
        <v>1.1872659180873079E-2</v>
      </c>
      <c r="Z477" s="110">
        <f ca="1"/>
        <v>1.1872659180873079E-2</v>
      </c>
      <c r="AA477" s="110">
        <f ca="1"/>
        <v>1.1872659180873079E-2</v>
      </c>
      <c r="AB477" s="110">
        <f ca="1"/>
        <v>1.1872659180873079E-2</v>
      </c>
      <c r="AC477" s="110">
        <f ca="1"/>
        <v>1.1872659180873079E-2</v>
      </c>
      <c r="AD477" s="110">
        <f ca="1"/>
        <v>1.1872659180873079E-2</v>
      </c>
      <c r="AE477" s="110">
        <f ca="1"/>
        <v>1.1872659180873079E-2</v>
      </c>
      <c r="AF477" s="110">
        <f ca="1"/>
        <v>1.1872659180873079E-2</v>
      </c>
      <c r="AG477" s="110">
        <f ca="1"/>
        <v>1.1872659180873079E-2</v>
      </c>
      <c r="AH477" s="110">
        <f ca="1"/>
        <v>1.1872659180873079E-2</v>
      </c>
      <c r="AI477" s="110">
        <f ca="1"/>
        <v>1.1872659180873079E-2</v>
      </c>
    </row>
    <row r="478" spans="2:35">
      <c r="B478" s="149">
        <v>3</v>
      </c>
      <c r="C478" s="149">
        <v>12</v>
      </c>
      <c r="D478" s="122" t="str">
        <v xml:space="preserve">Veículos do transporte público coletivo intermunicipal e metropolitano </v>
      </c>
      <c r="E478" s="122" t="str">
        <v>Pesados I</v>
      </c>
      <c r="F478" s="110">
        <f ca="1"/>
        <v>0</v>
      </c>
      <c r="G478" s="110">
        <f ca="1"/>
        <v>0</v>
      </c>
      <c r="H478" s="110">
        <f ca="1"/>
        <v>0</v>
      </c>
      <c r="I478" s="110">
        <f ca="1"/>
        <v>0</v>
      </c>
      <c r="J478" s="110">
        <f ca="1"/>
        <v>0</v>
      </c>
      <c r="K478" s="110">
        <f ca="1"/>
        <v>0</v>
      </c>
      <c r="L478" s="110">
        <f ca="1"/>
        <v>0</v>
      </c>
      <c r="M478" s="110">
        <f ca="1"/>
        <v>0</v>
      </c>
      <c r="N478" s="110">
        <f ca="1"/>
        <v>0</v>
      </c>
      <c r="O478" s="110">
        <f ca="1"/>
        <v>0</v>
      </c>
      <c r="P478" s="110">
        <f ca="1"/>
        <v>0</v>
      </c>
      <c r="Q478" s="110">
        <f ca="1"/>
        <v>0</v>
      </c>
      <c r="R478" s="110">
        <f ca="1"/>
        <v>0</v>
      </c>
      <c r="S478" s="110">
        <f ca="1"/>
        <v>0</v>
      </c>
      <c r="T478" s="110">
        <f ca="1"/>
        <v>0</v>
      </c>
      <c r="U478" s="110">
        <f ca="1"/>
        <v>0</v>
      </c>
      <c r="V478" s="110">
        <f ca="1"/>
        <v>0</v>
      </c>
      <c r="W478" s="110">
        <f ca="1"/>
        <v>0</v>
      </c>
      <c r="X478" s="110">
        <f ca="1"/>
        <v>0</v>
      </c>
      <c r="Y478" s="110">
        <f ca="1"/>
        <v>0</v>
      </c>
      <c r="Z478" s="110">
        <f ca="1"/>
        <v>0</v>
      </c>
      <c r="AA478" s="110">
        <f ca="1"/>
        <v>0</v>
      </c>
      <c r="AB478" s="110">
        <f ca="1"/>
        <v>0</v>
      </c>
      <c r="AC478" s="110">
        <f ca="1"/>
        <v>0</v>
      </c>
      <c r="AD478" s="110">
        <f ca="1"/>
        <v>0</v>
      </c>
      <c r="AE478" s="110">
        <f ca="1"/>
        <v>0</v>
      </c>
      <c r="AF478" s="110">
        <f ca="1"/>
        <v>0</v>
      </c>
      <c r="AG478" s="110">
        <f ca="1"/>
        <v>0</v>
      </c>
      <c r="AH478" s="110">
        <f ca="1"/>
        <v>0</v>
      </c>
      <c r="AI478" s="110">
        <f ca="1"/>
        <v>0</v>
      </c>
    </row>
    <row r="479" spans="2:35">
      <c r="B479" s="149">
        <v>4</v>
      </c>
      <c r="C479" s="149">
        <v>1</v>
      </c>
      <c r="D479" s="122" t="str">
        <v>Automóvel</v>
      </c>
      <c r="E479" s="122" t="str">
        <v>Leves</v>
      </c>
      <c r="F479" s="110">
        <f ca="1"/>
        <v>3.6545772842235627E-3</v>
      </c>
      <c r="G479" s="110">
        <f ca="1"/>
        <v>4.7668399359437784E-3</v>
      </c>
      <c r="H479" s="110">
        <f ca="1"/>
        <v>6.5146812457898299E-3</v>
      </c>
      <c r="I479" s="110">
        <f ca="1"/>
        <v>7.9447332265729625E-3</v>
      </c>
      <c r="J479" s="110">
        <f ca="1"/>
        <v>9.2158905428246368E-3</v>
      </c>
      <c r="K479" s="110">
        <f ca="1"/>
        <v>1.0169258530013393E-2</v>
      </c>
      <c r="L479" s="110">
        <f ca="1"/>
        <v>1.0963731852670687E-2</v>
      </c>
      <c r="M479" s="110">
        <f ca="1"/>
        <v>1.1758205175327984E-2</v>
      </c>
      <c r="N479" s="110">
        <f ca="1"/>
        <v>1.2393783833453822E-2</v>
      </c>
      <c r="O479" s="110">
        <f ca="1"/>
        <v>1.271157316251674E-2</v>
      </c>
      <c r="P479" s="110">
        <f ca="1"/>
        <v>1.2870467827048201E-2</v>
      </c>
      <c r="Q479" s="110">
        <f ca="1"/>
        <v>1.2870467827048201E-2</v>
      </c>
      <c r="R479" s="110">
        <f ca="1"/>
        <v>1.2870467827048201E-2</v>
      </c>
      <c r="S479" s="110">
        <f ca="1"/>
        <v>1.2870467827048201E-2</v>
      </c>
      <c r="T479" s="110">
        <f ca="1"/>
        <v>1.2870467827048201E-2</v>
      </c>
      <c r="U479" s="110">
        <f ca="1"/>
        <v>1.2870467827048201E-2</v>
      </c>
      <c r="V479" s="110">
        <f ca="1"/>
        <v>1.2870467827048201E-2</v>
      </c>
      <c r="W479" s="110">
        <f ca="1"/>
        <v>1.2870467827048201E-2</v>
      </c>
      <c r="X479" s="110">
        <f ca="1"/>
        <v>1.2870467827048201E-2</v>
      </c>
      <c r="Y479" s="110">
        <f ca="1"/>
        <v>1.2870467827048201E-2</v>
      </c>
      <c r="Z479" s="110">
        <f ca="1"/>
        <v>1.2870467827048201E-2</v>
      </c>
      <c r="AA479" s="110">
        <f ca="1"/>
        <v>1.2870467827048201E-2</v>
      </c>
      <c r="AB479" s="110">
        <f ca="1"/>
        <v>1.2870467827048201E-2</v>
      </c>
      <c r="AC479" s="110">
        <f ca="1"/>
        <v>1.2870467827048201E-2</v>
      </c>
      <c r="AD479" s="110">
        <f ca="1"/>
        <v>1.2870467827048201E-2</v>
      </c>
      <c r="AE479" s="110">
        <f ca="1"/>
        <v>1.2870467827048201E-2</v>
      </c>
      <c r="AF479" s="110">
        <f ca="1"/>
        <v>1.2870467827048201E-2</v>
      </c>
      <c r="AG479" s="110">
        <f ca="1"/>
        <v>1.2870467827048201E-2</v>
      </c>
      <c r="AH479" s="110">
        <f ca="1"/>
        <v>1.2870467827048201E-2</v>
      </c>
      <c r="AI479" s="110">
        <f ca="1"/>
        <v>1.2870467827048201E-2</v>
      </c>
    </row>
    <row r="480" spans="2:35">
      <c r="B480" s="149">
        <v>4</v>
      </c>
      <c r="C480" s="149">
        <v>2</v>
      </c>
      <c r="D480" s="122" t="str">
        <v xml:space="preserve">Automóvel com reboque </v>
      </c>
      <c r="E480" s="122" t="str">
        <v>Leves</v>
      </c>
      <c r="F480" s="110">
        <f ca="1"/>
        <v>0</v>
      </c>
      <c r="G480" s="110">
        <f ca="1"/>
        <v>0</v>
      </c>
      <c r="H480" s="110">
        <f ca="1"/>
        <v>0</v>
      </c>
      <c r="I480" s="110">
        <f ca="1"/>
        <v>0</v>
      </c>
      <c r="J480" s="110">
        <f ca="1"/>
        <v>0</v>
      </c>
      <c r="K480" s="110">
        <f ca="1"/>
        <v>0</v>
      </c>
      <c r="L480" s="110">
        <f ca="1"/>
        <v>0</v>
      </c>
      <c r="M480" s="110">
        <f ca="1"/>
        <v>0</v>
      </c>
      <c r="N480" s="110">
        <f ca="1"/>
        <v>0</v>
      </c>
      <c r="O480" s="110">
        <f ca="1"/>
        <v>0</v>
      </c>
      <c r="P480" s="110">
        <f ca="1"/>
        <v>0</v>
      </c>
      <c r="Q480" s="110">
        <f ca="1"/>
        <v>0</v>
      </c>
      <c r="R480" s="110">
        <f ca="1"/>
        <v>0</v>
      </c>
      <c r="S480" s="110">
        <f ca="1"/>
        <v>0</v>
      </c>
      <c r="T480" s="110">
        <f ca="1"/>
        <v>0</v>
      </c>
      <c r="U480" s="110">
        <f ca="1"/>
        <v>0</v>
      </c>
      <c r="V480" s="110">
        <f ca="1"/>
        <v>0</v>
      </c>
      <c r="W480" s="110">
        <f ca="1"/>
        <v>0</v>
      </c>
      <c r="X480" s="110">
        <f ca="1"/>
        <v>0</v>
      </c>
      <c r="Y480" s="110">
        <f ca="1"/>
        <v>0</v>
      </c>
      <c r="Z480" s="110">
        <f ca="1"/>
        <v>0</v>
      </c>
      <c r="AA480" s="110">
        <f ca="1"/>
        <v>0</v>
      </c>
      <c r="AB480" s="110">
        <f ca="1"/>
        <v>0</v>
      </c>
      <c r="AC480" s="110">
        <f ca="1"/>
        <v>0</v>
      </c>
      <c r="AD480" s="110">
        <f ca="1"/>
        <v>0</v>
      </c>
      <c r="AE480" s="110">
        <f ca="1"/>
        <v>0</v>
      </c>
      <c r="AF480" s="110">
        <f ca="1"/>
        <v>0</v>
      </c>
      <c r="AG480" s="110">
        <f ca="1"/>
        <v>0</v>
      </c>
      <c r="AH480" s="110">
        <f ca="1"/>
        <v>0</v>
      </c>
      <c r="AI480" s="110">
        <f ca="1"/>
        <v>0</v>
      </c>
    </row>
    <row r="481" spans="2:35">
      <c r="B481" s="149">
        <v>4</v>
      </c>
      <c r="C481" s="149">
        <v>3</v>
      </c>
      <c r="D481" s="122" t="str">
        <v>Veículos Comerciais com 2 Eixos</v>
      </c>
      <c r="E481" s="122" t="str">
        <v>Pesados I</v>
      </c>
      <c r="F481" s="110">
        <f ca="1"/>
        <v>0</v>
      </c>
      <c r="G481" s="110">
        <f ca="1"/>
        <v>0</v>
      </c>
      <c r="H481" s="110">
        <f ca="1"/>
        <v>0</v>
      </c>
      <c r="I481" s="110">
        <f ca="1"/>
        <v>0</v>
      </c>
      <c r="J481" s="110">
        <f ca="1"/>
        <v>0</v>
      </c>
      <c r="K481" s="110">
        <f ca="1"/>
        <v>0</v>
      </c>
      <c r="L481" s="110">
        <f ca="1"/>
        <v>0</v>
      </c>
      <c r="M481" s="110">
        <f ca="1"/>
        <v>0</v>
      </c>
      <c r="N481" s="110">
        <f ca="1"/>
        <v>0</v>
      </c>
      <c r="O481" s="110">
        <f ca="1"/>
        <v>0</v>
      </c>
      <c r="P481" s="110">
        <f ca="1"/>
        <v>0</v>
      </c>
      <c r="Q481" s="110">
        <f ca="1"/>
        <v>0</v>
      </c>
      <c r="R481" s="110">
        <f ca="1"/>
        <v>0</v>
      </c>
      <c r="S481" s="110">
        <f ca="1"/>
        <v>0</v>
      </c>
      <c r="T481" s="110">
        <f ca="1"/>
        <v>0</v>
      </c>
      <c r="U481" s="110">
        <f ca="1"/>
        <v>0</v>
      </c>
      <c r="V481" s="110">
        <f ca="1"/>
        <v>0</v>
      </c>
      <c r="W481" s="110">
        <f ca="1"/>
        <v>0</v>
      </c>
      <c r="X481" s="110">
        <f ca="1"/>
        <v>0</v>
      </c>
      <c r="Y481" s="110">
        <f ca="1"/>
        <v>0</v>
      </c>
      <c r="Z481" s="110">
        <f ca="1"/>
        <v>0</v>
      </c>
      <c r="AA481" s="110">
        <f ca="1"/>
        <v>0</v>
      </c>
      <c r="AB481" s="110">
        <f ca="1"/>
        <v>0</v>
      </c>
      <c r="AC481" s="110">
        <f ca="1"/>
        <v>0</v>
      </c>
      <c r="AD481" s="110">
        <f ca="1"/>
        <v>0</v>
      </c>
      <c r="AE481" s="110">
        <f ca="1"/>
        <v>0</v>
      </c>
      <c r="AF481" s="110">
        <f ca="1"/>
        <v>0</v>
      </c>
      <c r="AG481" s="110">
        <f ca="1"/>
        <v>0</v>
      </c>
      <c r="AH481" s="110">
        <f ca="1"/>
        <v>0</v>
      </c>
      <c r="AI481" s="110">
        <f ca="1"/>
        <v>0</v>
      </c>
    </row>
    <row r="482" spans="2:35">
      <c r="B482" s="149">
        <v>4</v>
      </c>
      <c r="C482" s="149">
        <v>4</v>
      </c>
      <c r="D482" s="122" t="str">
        <v>Veículos Comerciais com 3 Eixos</v>
      </c>
      <c r="E482" s="122" t="str">
        <v>Pesados I</v>
      </c>
      <c r="F482" s="110">
        <f ca="1"/>
        <v>0</v>
      </c>
      <c r="G482" s="110">
        <f ca="1"/>
        <v>0</v>
      </c>
      <c r="H482" s="110">
        <f ca="1"/>
        <v>0</v>
      </c>
      <c r="I482" s="110">
        <f ca="1"/>
        <v>0</v>
      </c>
      <c r="J482" s="110">
        <f ca="1"/>
        <v>0</v>
      </c>
      <c r="K482" s="110">
        <f ca="1"/>
        <v>0</v>
      </c>
      <c r="L482" s="110">
        <f ca="1"/>
        <v>0</v>
      </c>
      <c r="M482" s="110">
        <f ca="1"/>
        <v>0</v>
      </c>
      <c r="N482" s="110">
        <f ca="1"/>
        <v>0</v>
      </c>
      <c r="O482" s="110">
        <f ca="1"/>
        <v>0</v>
      </c>
      <c r="P482" s="110">
        <f ca="1"/>
        <v>0</v>
      </c>
      <c r="Q482" s="110">
        <f ca="1"/>
        <v>0</v>
      </c>
      <c r="R482" s="110">
        <f ca="1"/>
        <v>0</v>
      </c>
      <c r="S482" s="110">
        <f ca="1"/>
        <v>0</v>
      </c>
      <c r="T482" s="110">
        <f ca="1"/>
        <v>0</v>
      </c>
      <c r="U482" s="110">
        <f ca="1"/>
        <v>0</v>
      </c>
      <c r="V482" s="110">
        <f ca="1"/>
        <v>0</v>
      </c>
      <c r="W482" s="110">
        <f ca="1"/>
        <v>0</v>
      </c>
      <c r="X482" s="110">
        <f ca="1"/>
        <v>0</v>
      </c>
      <c r="Y482" s="110">
        <f ca="1"/>
        <v>0</v>
      </c>
      <c r="Z482" s="110">
        <f ca="1"/>
        <v>0</v>
      </c>
      <c r="AA482" s="110">
        <f ca="1"/>
        <v>0</v>
      </c>
      <c r="AB482" s="110">
        <f ca="1"/>
        <v>0</v>
      </c>
      <c r="AC482" s="110">
        <f ca="1"/>
        <v>0</v>
      </c>
      <c r="AD482" s="110">
        <f ca="1"/>
        <v>0</v>
      </c>
      <c r="AE482" s="110">
        <f ca="1"/>
        <v>0</v>
      </c>
      <c r="AF482" s="110">
        <f ca="1"/>
        <v>0</v>
      </c>
      <c r="AG482" s="110">
        <f ca="1"/>
        <v>0</v>
      </c>
      <c r="AH482" s="110">
        <f ca="1"/>
        <v>0</v>
      </c>
      <c r="AI482" s="110">
        <f ca="1"/>
        <v>0</v>
      </c>
    </row>
    <row r="483" spans="2:35">
      <c r="B483" s="149">
        <v>4</v>
      </c>
      <c r="C483" s="149">
        <v>5</v>
      </c>
      <c r="D483" s="122" t="str">
        <v>Veículos Comerciais com 4 Eixos</v>
      </c>
      <c r="E483" s="122" t="str">
        <v>Pesados I</v>
      </c>
      <c r="F483" s="110">
        <f ca="1"/>
        <v>0</v>
      </c>
      <c r="G483" s="110">
        <f ca="1"/>
        <v>0</v>
      </c>
      <c r="H483" s="110">
        <f ca="1"/>
        <v>0</v>
      </c>
      <c r="I483" s="110">
        <f ca="1"/>
        <v>0</v>
      </c>
      <c r="J483" s="110">
        <f ca="1"/>
        <v>0</v>
      </c>
      <c r="K483" s="110">
        <f ca="1"/>
        <v>0</v>
      </c>
      <c r="L483" s="110">
        <f ca="1"/>
        <v>0</v>
      </c>
      <c r="M483" s="110">
        <f ca="1"/>
        <v>0</v>
      </c>
      <c r="N483" s="110">
        <f ca="1"/>
        <v>0</v>
      </c>
      <c r="O483" s="110">
        <f ca="1"/>
        <v>0</v>
      </c>
      <c r="P483" s="110">
        <f ca="1"/>
        <v>0</v>
      </c>
      <c r="Q483" s="110">
        <f ca="1"/>
        <v>0</v>
      </c>
      <c r="R483" s="110">
        <f ca="1"/>
        <v>0</v>
      </c>
      <c r="S483" s="110">
        <f ca="1"/>
        <v>0</v>
      </c>
      <c r="T483" s="110">
        <f ca="1"/>
        <v>0</v>
      </c>
      <c r="U483" s="110">
        <f ca="1"/>
        <v>0</v>
      </c>
      <c r="V483" s="110">
        <f ca="1"/>
        <v>0</v>
      </c>
      <c r="W483" s="110">
        <f ca="1"/>
        <v>0</v>
      </c>
      <c r="X483" s="110">
        <f ca="1"/>
        <v>0</v>
      </c>
      <c r="Y483" s="110">
        <f ca="1"/>
        <v>0</v>
      </c>
      <c r="Z483" s="110">
        <f ca="1"/>
        <v>0</v>
      </c>
      <c r="AA483" s="110">
        <f ca="1"/>
        <v>0</v>
      </c>
      <c r="AB483" s="110">
        <f ca="1"/>
        <v>0</v>
      </c>
      <c r="AC483" s="110">
        <f ca="1"/>
        <v>0</v>
      </c>
      <c r="AD483" s="110">
        <f ca="1"/>
        <v>0</v>
      </c>
      <c r="AE483" s="110">
        <f ca="1"/>
        <v>0</v>
      </c>
      <c r="AF483" s="110">
        <f ca="1"/>
        <v>0</v>
      </c>
      <c r="AG483" s="110">
        <f ca="1"/>
        <v>0</v>
      </c>
      <c r="AH483" s="110">
        <f ca="1"/>
        <v>0</v>
      </c>
      <c r="AI483" s="110">
        <f ca="1"/>
        <v>0</v>
      </c>
    </row>
    <row r="484" spans="2:35">
      <c r="B484" s="149">
        <v>4</v>
      </c>
      <c r="C484" s="149">
        <v>6</v>
      </c>
      <c r="D484" s="122" t="str">
        <v>Veículos Comerciais com 5 Eixos Articulado</v>
      </c>
      <c r="E484" s="122" t="str">
        <v>Pesados II</v>
      </c>
      <c r="F484" s="110">
        <f ca="1"/>
        <v>0</v>
      </c>
      <c r="G484" s="110">
        <f ca="1"/>
        <v>0</v>
      </c>
      <c r="H484" s="110">
        <f ca="1"/>
        <v>0</v>
      </c>
      <c r="I484" s="110">
        <f ca="1"/>
        <v>0</v>
      </c>
      <c r="J484" s="110">
        <f ca="1"/>
        <v>0</v>
      </c>
      <c r="K484" s="110">
        <f ca="1"/>
        <v>0</v>
      </c>
      <c r="L484" s="110">
        <f ca="1"/>
        <v>0</v>
      </c>
      <c r="M484" s="110">
        <f ca="1"/>
        <v>0</v>
      </c>
      <c r="N484" s="110">
        <f ca="1"/>
        <v>0</v>
      </c>
      <c r="O484" s="110">
        <f ca="1"/>
        <v>0</v>
      </c>
      <c r="P484" s="110">
        <f ca="1"/>
        <v>0</v>
      </c>
      <c r="Q484" s="110">
        <f ca="1"/>
        <v>0</v>
      </c>
      <c r="R484" s="110">
        <f ca="1"/>
        <v>0</v>
      </c>
      <c r="S484" s="110">
        <f ca="1"/>
        <v>0</v>
      </c>
      <c r="T484" s="110">
        <f ca="1"/>
        <v>0</v>
      </c>
      <c r="U484" s="110">
        <f ca="1"/>
        <v>0</v>
      </c>
      <c r="V484" s="110">
        <f ca="1"/>
        <v>0</v>
      </c>
      <c r="W484" s="110">
        <f ca="1"/>
        <v>0</v>
      </c>
      <c r="X484" s="110">
        <f ca="1"/>
        <v>0</v>
      </c>
      <c r="Y484" s="110">
        <f ca="1"/>
        <v>0</v>
      </c>
      <c r="Z484" s="110">
        <f ca="1"/>
        <v>0</v>
      </c>
      <c r="AA484" s="110">
        <f ca="1"/>
        <v>0</v>
      </c>
      <c r="AB484" s="110">
        <f ca="1"/>
        <v>0</v>
      </c>
      <c r="AC484" s="110">
        <f ca="1"/>
        <v>0</v>
      </c>
      <c r="AD484" s="110">
        <f ca="1"/>
        <v>0</v>
      </c>
      <c r="AE484" s="110">
        <f ca="1"/>
        <v>0</v>
      </c>
      <c r="AF484" s="110">
        <f ca="1"/>
        <v>0</v>
      </c>
      <c r="AG484" s="110">
        <f ca="1"/>
        <v>0</v>
      </c>
      <c r="AH484" s="110">
        <f ca="1"/>
        <v>0</v>
      </c>
      <c r="AI484" s="110">
        <f ca="1"/>
        <v>0</v>
      </c>
    </row>
    <row r="485" spans="2:35">
      <c r="B485" s="149">
        <v>4</v>
      </c>
      <c r="C485" s="149">
        <v>7</v>
      </c>
      <c r="D485" s="122" t="str">
        <v>Veículos Comerciais com 6 Eixos Articulado</v>
      </c>
      <c r="E485" s="122" t="str">
        <v>Pesados II</v>
      </c>
      <c r="F485" s="110">
        <f ca="1"/>
        <v>0</v>
      </c>
      <c r="G485" s="110">
        <f ca="1"/>
        <v>0</v>
      </c>
      <c r="H485" s="110">
        <f ca="1"/>
        <v>0</v>
      </c>
      <c r="I485" s="110">
        <f ca="1"/>
        <v>0</v>
      </c>
      <c r="J485" s="110">
        <f ca="1"/>
        <v>0</v>
      </c>
      <c r="K485" s="110">
        <f ca="1"/>
        <v>0</v>
      </c>
      <c r="L485" s="110">
        <f ca="1"/>
        <v>0</v>
      </c>
      <c r="M485" s="110">
        <f ca="1"/>
        <v>0</v>
      </c>
      <c r="N485" s="110">
        <f ca="1"/>
        <v>0</v>
      </c>
      <c r="O485" s="110">
        <f ca="1"/>
        <v>0</v>
      </c>
      <c r="P485" s="110">
        <f ca="1"/>
        <v>0</v>
      </c>
      <c r="Q485" s="110">
        <f ca="1"/>
        <v>0</v>
      </c>
      <c r="R485" s="110">
        <f ca="1"/>
        <v>0</v>
      </c>
      <c r="S485" s="110">
        <f ca="1"/>
        <v>0</v>
      </c>
      <c r="T485" s="110">
        <f ca="1"/>
        <v>0</v>
      </c>
      <c r="U485" s="110">
        <f ca="1"/>
        <v>0</v>
      </c>
      <c r="V485" s="110">
        <f ca="1"/>
        <v>0</v>
      </c>
      <c r="W485" s="110">
        <f ca="1"/>
        <v>0</v>
      </c>
      <c r="X485" s="110">
        <f ca="1"/>
        <v>0</v>
      </c>
      <c r="Y485" s="110">
        <f ca="1"/>
        <v>0</v>
      </c>
      <c r="Z485" s="110">
        <f ca="1"/>
        <v>0</v>
      </c>
      <c r="AA485" s="110">
        <f ca="1"/>
        <v>0</v>
      </c>
      <c r="AB485" s="110">
        <f ca="1"/>
        <v>0</v>
      </c>
      <c r="AC485" s="110">
        <f ca="1"/>
        <v>0</v>
      </c>
      <c r="AD485" s="110">
        <f ca="1"/>
        <v>0</v>
      </c>
      <c r="AE485" s="110">
        <f ca="1"/>
        <v>0</v>
      </c>
      <c r="AF485" s="110">
        <f ca="1"/>
        <v>0</v>
      </c>
      <c r="AG485" s="110">
        <f ca="1"/>
        <v>0</v>
      </c>
      <c r="AH485" s="110">
        <f ca="1"/>
        <v>0</v>
      </c>
      <c r="AI485" s="110">
        <f ca="1"/>
        <v>0</v>
      </c>
    </row>
    <row r="486" spans="2:35">
      <c r="B486" s="149">
        <v>4</v>
      </c>
      <c r="C486" s="149">
        <v>8</v>
      </c>
      <c r="D486" s="122" t="str">
        <v>Veículos Comerciais com 7 Eixos Articulado</v>
      </c>
      <c r="E486" s="122" t="str">
        <v>Pesados II</v>
      </c>
      <c r="F486" s="110">
        <f ca="1"/>
        <v>0</v>
      </c>
      <c r="G486" s="110">
        <f ca="1"/>
        <v>0</v>
      </c>
      <c r="H486" s="110">
        <f ca="1"/>
        <v>0</v>
      </c>
      <c r="I486" s="110">
        <f ca="1"/>
        <v>0</v>
      </c>
      <c r="J486" s="110">
        <f ca="1"/>
        <v>0</v>
      </c>
      <c r="K486" s="110">
        <f ca="1"/>
        <v>0</v>
      </c>
      <c r="L486" s="110">
        <f ca="1"/>
        <v>0</v>
      </c>
      <c r="M486" s="110">
        <f ca="1"/>
        <v>0</v>
      </c>
      <c r="N486" s="110">
        <f ca="1"/>
        <v>0</v>
      </c>
      <c r="O486" s="110">
        <f ca="1"/>
        <v>0</v>
      </c>
      <c r="P486" s="110">
        <f ca="1"/>
        <v>0</v>
      </c>
      <c r="Q486" s="110">
        <f ca="1"/>
        <v>0</v>
      </c>
      <c r="R486" s="110">
        <f ca="1"/>
        <v>0</v>
      </c>
      <c r="S486" s="110">
        <f ca="1"/>
        <v>0</v>
      </c>
      <c r="T486" s="110">
        <f ca="1"/>
        <v>0</v>
      </c>
      <c r="U486" s="110">
        <f ca="1"/>
        <v>0</v>
      </c>
      <c r="V486" s="110">
        <f ca="1"/>
        <v>0</v>
      </c>
      <c r="W486" s="110">
        <f ca="1"/>
        <v>0</v>
      </c>
      <c r="X486" s="110">
        <f ca="1"/>
        <v>0</v>
      </c>
      <c r="Y486" s="110">
        <f ca="1"/>
        <v>0</v>
      </c>
      <c r="Z486" s="110">
        <f ca="1"/>
        <v>0</v>
      </c>
      <c r="AA486" s="110">
        <f ca="1"/>
        <v>0</v>
      </c>
      <c r="AB486" s="110">
        <f ca="1"/>
        <v>0</v>
      </c>
      <c r="AC486" s="110">
        <f ca="1"/>
        <v>0</v>
      </c>
      <c r="AD486" s="110">
        <f ca="1"/>
        <v>0</v>
      </c>
      <c r="AE486" s="110">
        <f ca="1"/>
        <v>0</v>
      </c>
      <c r="AF486" s="110">
        <f ca="1"/>
        <v>0</v>
      </c>
      <c r="AG486" s="110">
        <f ca="1"/>
        <v>0</v>
      </c>
      <c r="AH486" s="110">
        <f ca="1"/>
        <v>0</v>
      </c>
      <c r="AI486" s="110">
        <f ca="1"/>
        <v>0</v>
      </c>
    </row>
    <row r="487" spans="2:35">
      <c r="B487" s="149">
        <v>4</v>
      </c>
      <c r="C487" s="149">
        <v>9</v>
      </c>
      <c r="D487" s="122" t="str">
        <v>Veículos Comerciais com 8 Eixos Articulado</v>
      </c>
      <c r="E487" s="122" t="str">
        <v>Pesados II</v>
      </c>
      <c r="F487" s="110">
        <f ca="1"/>
        <v>0</v>
      </c>
      <c r="G487" s="110">
        <f ca="1"/>
        <v>0</v>
      </c>
      <c r="H487" s="110">
        <f ca="1"/>
        <v>0</v>
      </c>
      <c r="I487" s="110">
        <f ca="1"/>
        <v>0</v>
      </c>
      <c r="J487" s="110">
        <f ca="1"/>
        <v>0</v>
      </c>
      <c r="K487" s="110">
        <f ca="1"/>
        <v>0</v>
      </c>
      <c r="L487" s="110">
        <f ca="1"/>
        <v>0</v>
      </c>
      <c r="M487" s="110">
        <f ca="1"/>
        <v>0</v>
      </c>
      <c r="N487" s="110">
        <f ca="1"/>
        <v>0</v>
      </c>
      <c r="O487" s="110">
        <f ca="1"/>
        <v>0</v>
      </c>
      <c r="P487" s="110">
        <f ca="1"/>
        <v>0</v>
      </c>
      <c r="Q487" s="110">
        <f ca="1"/>
        <v>0</v>
      </c>
      <c r="R487" s="110">
        <f ca="1"/>
        <v>0</v>
      </c>
      <c r="S487" s="110">
        <f ca="1"/>
        <v>0</v>
      </c>
      <c r="T487" s="110">
        <f ca="1"/>
        <v>0</v>
      </c>
      <c r="U487" s="110">
        <f ca="1"/>
        <v>0</v>
      </c>
      <c r="V487" s="110">
        <f ca="1"/>
        <v>0</v>
      </c>
      <c r="W487" s="110">
        <f ca="1"/>
        <v>0</v>
      </c>
      <c r="X487" s="110">
        <f ca="1"/>
        <v>0</v>
      </c>
      <c r="Y487" s="110">
        <f ca="1"/>
        <v>0</v>
      </c>
      <c r="Z487" s="110">
        <f ca="1"/>
        <v>0</v>
      </c>
      <c r="AA487" s="110">
        <f ca="1"/>
        <v>0</v>
      </c>
      <c r="AB487" s="110">
        <f ca="1"/>
        <v>0</v>
      </c>
      <c r="AC487" s="110">
        <f ca="1"/>
        <v>0</v>
      </c>
      <c r="AD487" s="110">
        <f ca="1"/>
        <v>0</v>
      </c>
      <c r="AE487" s="110">
        <f ca="1"/>
        <v>0</v>
      </c>
      <c r="AF487" s="110">
        <f ca="1"/>
        <v>0</v>
      </c>
      <c r="AG487" s="110">
        <f ca="1"/>
        <v>0</v>
      </c>
      <c r="AH487" s="110">
        <f ca="1"/>
        <v>0</v>
      </c>
      <c r="AI487" s="110">
        <f ca="1"/>
        <v>0</v>
      </c>
    </row>
    <row r="488" spans="2:35">
      <c r="B488" s="149">
        <v>4</v>
      </c>
      <c r="C488" s="149">
        <v>10</v>
      </c>
      <c r="D488" s="122" t="str">
        <v>Veículos Comerciais com 9 Eixos Articulado</v>
      </c>
      <c r="E488" s="122" t="str">
        <v>Pesados II</v>
      </c>
      <c r="F488" s="110">
        <f ca="1"/>
        <v>0</v>
      </c>
      <c r="G488" s="110">
        <f ca="1"/>
        <v>0</v>
      </c>
      <c r="H488" s="110">
        <f ca="1"/>
        <v>0</v>
      </c>
      <c r="I488" s="110">
        <f ca="1"/>
        <v>0</v>
      </c>
      <c r="J488" s="110">
        <f ca="1"/>
        <v>0</v>
      </c>
      <c r="K488" s="110">
        <f ca="1"/>
        <v>0</v>
      </c>
      <c r="L488" s="110">
        <f ca="1"/>
        <v>0</v>
      </c>
      <c r="M488" s="110">
        <f ca="1"/>
        <v>0</v>
      </c>
      <c r="N488" s="110">
        <f ca="1"/>
        <v>0</v>
      </c>
      <c r="O488" s="110">
        <f ca="1"/>
        <v>0</v>
      </c>
      <c r="P488" s="110">
        <f ca="1"/>
        <v>0</v>
      </c>
      <c r="Q488" s="110">
        <f ca="1"/>
        <v>0</v>
      </c>
      <c r="R488" s="110">
        <f ca="1"/>
        <v>0</v>
      </c>
      <c r="S488" s="110">
        <f ca="1"/>
        <v>0</v>
      </c>
      <c r="T488" s="110">
        <f ca="1"/>
        <v>0</v>
      </c>
      <c r="U488" s="110">
        <f ca="1"/>
        <v>0</v>
      </c>
      <c r="V488" s="110">
        <f ca="1"/>
        <v>0</v>
      </c>
      <c r="W488" s="110">
        <f ca="1"/>
        <v>0</v>
      </c>
      <c r="X488" s="110">
        <f ca="1"/>
        <v>0</v>
      </c>
      <c r="Y488" s="110">
        <f ca="1"/>
        <v>0</v>
      </c>
      <c r="Z488" s="110">
        <f ca="1"/>
        <v>0</v>
      </c>
      <c r="AA488" s="110">
        <f ca="1"/>
        <v>0</v>
      </c>
      <c r="AB488" s="110">
        <f ca="1"/>
        <v>0</v>
      </c>
      <c r="AC488" s="110">
        <f ca="1"/>
        <v>0</v>
      </c>
      <c r="AD488" s="110">
        <f ca="1"/>
        <v>0</v>
      </c>
      <c r="AE488" s="110">
        <f ca="1"/>
        <v>0</v>
      </c>
      <c r="AF488" s="110">
        <f ca="1"/>
        <v>0</v>
      </c>
      <c r="AG488" s="110">
        <f ca="1"/>
        <v>0</v>
      </c>
      <c r="AH488" s="110">
        <f ca="1"/>
        <v>0</v>
      </c>
      <c r="AI488" s="110">
        <f ca="1"/>
        <v>0</v>
      </c>
    </row>
    <row r="489" spans="2:35">
      <c r="B489" s="149">
        <v>4</v>
      </c>
      <c r="C489" s="149">
        <v>11</v>
      </c>
      <c r="D489" s="122" t="str">
        <v>Motocicleta</v>
      </c>
      <c r="E489" s="122" t="str">
        <v>Leves</v>
      </c>
      <c r="F489" s="110">
        <f ca="1"/>
        <v>3.6545772842235627E-3</v>
      </c>
      <c r="G489" s="110">
        <f ca="1"/>
        <v>4.7668399359437784E-3</v>
      </c>
      <c r="H489" s="110">
        <f ca="1"/>
        <v>6.5146812457898299E-3</v>
      </c>
      <c r="I489" s="110">
        <f ca="1"/>
        <v>7.9447332265729625E-3</v>
      </c>
      <c r="J489" s="110">
        <f ca="1"/>
        <v>9.2158905428246368E-3</v>
      </c>
      <c r="K489" s="110">
        <f ca="1"/>
        <v>1.0169258530013393E-2</v>
      </c>
      <c r="L489" s="110">
        <f ca="1"/>
        <v>1.0963731852670687E-2</v>
      </c>
      <c r="M489" s="110">
        <f ca="1"/>
        <v>1.1758205175327984E-2</v>
      </c>
      <c r="N489" s="110">
        <f ca="1"/>
        <v>1.2393783833453822E-2</v>
      </c>
      <c r="O489" s="110">
        <f ca="1"/>
        <v>1.271157316251674E-2</v>
      </c>
      <c r="P489" s="110">
        <f ca="1"/>
        <v>1.2870467827048201E-2</v>
      </c>
      <c r="Q489" s="110">
        <f ca="1"/>
        <v>1.2870467827048201E-2</v>
      </c>
      <c r="R489" s="110">
        <f ca="1"/>
        <v>1.2870467827048201E-2</v>
      </c>
      <c r="S489" s="110">
        <f ca="1"/>
        <v>1.2870467827048201E-2</v>
      </c>
      <c r="T489" s="110">
        <f ca="1"/>
        <v>1.2870467827048201E-2</v>
      </c>
      <c r="U489" s="110">
        <f ca="1"/>
        <v>1.2870467827048201E-2</v>
      </c>
      <c r="V489" s="110">
        <f ca="1"/>
        <v>1.2870467827048201E-2</v>
      </c>
      <c r="W489" s="110">
        <f ca="1"/>
        <v>1.2870467827048201E-2</v>
      </c>
      <c r="X489" s="110">
        <f ca="1"/>
        <v>1.2870467827048201E-2</v>
      </c>
      <c r="Y489" s="110">
        <f ca="1"/>
        <v>1.2870467827048201E-2</v>
      </c>
      <c r="Z489" s="110">
        <f ca="1"/>
        <v>1.2870467827048201E-2</v>
      </c>
      <c r="AA489" s="110">
        <f ca="1"/>
        <v>1.2870467827048201E-2</v>
      </c>
      <c r="AB489" s="110">
        <f ca="1"/>
        <v>1.2870467827048201E-2</v>
      </c>
      <c r="AC489" s="110">
        <f ca="1"/>
        <v>1.2870467827048201E-2</v>
      </c>
      <c r="AD489" s="110">
        <f ca="1"/>
        <v>1.2870467827048201E-2</v>
      </c>
      <c r="AE489" s="110">
        <f ca="1"/>
        <v>1.2870467827048201E-2</v>
      </c>
      <c r="AF489" s="110">
        <f ca="1"/>
        <v>1.2870467827048201E-2</v>
      </c>
      <c r="AG489" s="110">
        <f ca="1"/>
        <v>1.2870467827048201E-2</v>
      </c>
      <c r="AH489" s="110">
        <f ca="1"/>
        <v>1.2870467827048201E-2</v>
      </c>
      <c r="AI489" s="110">
        <f ca="1"/>
        <v>1.2870467827048201E-2</v>
      </c>
    </row>
    <row r="490" spans="2:35">
      <c r="B490" s="149">
        <v>4</v>
      </c>
      <c r="C490" s="149">
        <v>12</v>
      </c>
      <c r="D490" s="122" t="str">
        <v xml:space="preserve">Veículos do transporte público coletivo intermunicipal e metropolitano </v>
      </c>
      <c r="E490" s="122" t="str">
        <v>Pesados I</v>
      </c>
      <c r="F490" s="110">
        <f ca="1"/>
        <v>0</v>
      </c>
      <c r="G490" s="110">
        <f ca="1"/>
        <v>0</v>
      </c>
      <c r="H490" s="110">
        <f ca="1"/>
        <v>0</v>
      </c>
      <c r="I490" s="110">
        <f ca="1"/>
        <v>0</v>
      </c>
      <c r="J490" s="110">
        <f ca="1"/>
        <v>0</v>
      </c>
      <c r="K490" s="110">
        <f ca="1"/>
        <v>0</v>
      </c>
      <c r="L490" s="110">
        <f ca="1"/>
        <v>0</v>
      </c>
      <c r="M490" s="110">
        <f ca="1"/>
        <v>0</v>
      </c>
      <c r="N490" s="110">
        <f ca="1"/>
        <v>0</v>
      </c>
      <c r="O490" s="110">
        <f ca="1"/>
        <v>0</v>
      </c>
      <c r="P490" s="110">
        <f ca="1"/>
        <v>0</v>
      </c>
      <c r="Q490" s="110">
        <f ca="1"/>
        <v>0</v>
      </c>
      <c r="R490" s="110">
        <f ca="1"/>
        <v>0</v>
      </c>
      <c r="S490" s="110">
        <f ca="1"/>
        <v>0</v>
      </c>
      <c r="T490" s="110">
        <f ca="1"/>
        <v>0</v>
      </c>
      <c r="U490" s="110">
        <f ca="1"/>
        <v>0</v>
      </c>
      <c r="V490" s="110">
        <f ca="1"/>
        <v>0</v>
      </c>
      <c r="W490" s="110">
        <f ca="1"/>
        <v>0</v>
      </c>
      <c r="X490" s="110">
        <f ca="1"/>
        <v>0</v>
      </c>
      <c r="Y490" s="110">
        <f ca="1"/>
        <v>0</v>
      </c>
      <c r="Z490" s="110">
        <f ca="1"/>
        <v>0</v>
      </c>
      <c r="AA490" s="110">
        <f ca="1"/>
        <v>0</v>
      </c>
      <c r="AB490" s="110">
        <f ca="1"/>
        <v>0</v>
      </c>
      <c r="AC490" s="110">
        <f ca="1"/>
        <v>0</v>
      </c>
      <c r="AD490" s="110">
        <f ca="1"/>
        <v>0</v>
      </c>
      <c r="AE490" s="110">
        <f ca="1"/>
        <v>0</v>
      </c>
      <c r="AF490" s="110">
        <f ca="1"/>
        <v>0</v>
      </c>
      <c r="AG490" s="110">
        <f ca="1"/>
        <v>0</v>
      </c>
      <c r="AH490" s="110">
        <f ca="1"/>
        <v>0</v>
      </c>
      <c r="AI490" s="110">
        <f ca="1"/>
        <v>0</v>
      </c>
    </row>
    <row r="492" spans="2:35">
      <c r="B492" s="473" t="s">
        <v>610</v>
      </c>
    </row>
    <row r="493" spans="2:35">
      <c r="B493" s="10" t="s">
        <v>611</v>
      </c>
      <c r="C493" s="10" t="s">
        <v>612</v>
      </c>
      <c r="D493" s="10" t="s">
        <v>613</v>
      </c>
      <c r="E493" s="10" t="s">
        <v>614</v>
      </c>
      <c r="F493" s="10" t="s">
        <v>615</v>
      </c>
    </row>
    <row r="494" spans="2:35">
      <c r="B494" s="10">
        <v>1</v>
      </c>
      <c r="C494" s="222" t="s">
        <v>37</v>
      </c>
      <c r="D494" s="222" t="s">
        <v>37</v>
      </c>
      <c r="E494" s="222" t="s">
        <v>37</v>
      </c>
      <c r="F494" s="222" t="s">
        <v>37</v>
      </c>
    </row>
    <row r="495" spans="2:35">
      <c r="B495" s="38">
        <v>2</v>
      </c>
      <c r="C495" s="476">
        <v>0.75392670157068098</v>
      </c>
      <c r="D495" s="476">
        <v>0.58980044345897986</v>
      </c>
      <c r="E495" s="476">
        <v>0.3</v>
      </c>
      <c r="F495" s="476">
        <v>0.3</v>
      </c>
    </row>
    <row r="496" spans="2:35">
      <c r="B496" s="38">
        <v>3</v>
      </c>
      <c r="C496" s="476">
        <v>0.44212007301536016</v>
      </c>
      <c r="D496" s="476">
        <v>0.33153975999346197</v>
      </c>
      <c r="E496" s="476">
        <v>0.15835924356478576</v>
      </c>
      <c r="F496" s="476">
        <v>0.15835924356478576</v>
      </c>
    </row>
    <row r="497" spans="2:6">
      <c r="B497" s="38">
        <v>4</v>
      </c>
      <c r="C497" s="476">
        <v>0.31064692530463028</v>
      </c>
      <c r="D497" s="476">
        <v>0.22977637433406398</v>
      </c>
      <c r="E497" s="476">
        <v>0.10749671126014422</v>
      </c>
      <c r="F497" s="476">
        <v>0.10749671126014422</v>
      </c>
    </row>
    <row r="498" spans="2:6">
      <c r="B498" s="38">
        <v>5</v>
      </c>
      <c r="C498" s="476">
        <v>0.23917106101709559</v>
      </c>
      <c r="D498" s="476">
        <v>0.17570566890250588</v>
      </c>
      <c r="E498" s="476">
        <v>8.1353570275908116E-2</v>
      </c>
      <c r="F498" s="476">
        <v>8.1353570275908116E-2</v>
      </c>
    </row>
    <row r="499" spans="2:6">
      <c r="B499" s="38">
        <v>6</v>
      </c>
      <c r="C499" s="476">
        <v>0.19436564322315389</v>
      </c>
      <c r="D499" s="476">
        <v>0.14220809758143668</v>
      </c>
      <c r="E499" s="476">
        <v>6.543626719335964E-2</v>
      </c>
      <c r="F499" s="476">
        <v>6.5436267193359848E-2</v>
      </c>
    </row>
    <row r="500" spans="2:6">
      <c r="B500" s="38">
        <v>7</v>
      </c>
      <c r="C500" s="476">
        <v>0.16367519921942927</v>
      </c>
      <c r="D500" s="476">
        <v>0.11942842344843134</v>
      </c>
      <c r="E500" s="476">
        <v>5.4727439760263147E-2</v>
      </c>
      <c r="F500" s="476">
        <v>5.4727439760263077E-2</v>
      </c>
    </row>
    <row r="501" spans="2:6">
      <c r="B501" s="38">
        <v>8</v>
      </c>
      <c r="C501" s="476">
        <v>0.14134519171280235</v>
      </c>
      <c r="D501" s="476">
        <v>0.10293515049106471</v>
      </c>
      <c r="E501" s="476">
        <v>4.703034690225659E-2</v>
      </c>
      <c r="F501" s="476">
        <v>4.7030346902256381E-2</v>
      </c>
    </row>
    <row r="502" spans="2:6">
      <c r="B502" s="38">
        <v>9</v>
      </c>
      <c r="C502" s="476">
        <v>0.12437188351567287</v>
      </c>
      <c r="D502" s="476">
        <v>9.0442716790552977E-2</v>
      </c>
      <c r="E502" s="476">
        <v>4.1231222391403269E-2</v>
      </c>
      <c r="F502" s="476">
        <v>4.1231222391402922E-2</v>
      </c>
    </row>
    <row r="503" spans="2:6">
      <c r="B503" s="38">
        <v>10</v>
      </c>
      <c r="C503" s="476">
        <v>0.11103549092994072</v>
      </c>
      <c r="D503" s="476">
        <v>8.0653343248975523E-2</v>
      </c>
      <c r="E503" s="476">
        <v>3.67051303731879E-2</v>
      </c>
      <c r="F503" s="476">
        <v>3.6705130373187379E-2</v>
      </c>
    </row>
    <row r="504" spans="2:6">
      <c r="B504" s="38">
        <v>11</v>
      </c>
      <c r="C504" s="476">
        <v>0.10028079959870916</v>
      </c>
      <c r="D504" s="476">
        <v>7.2775605710300326E-2</v>
      </c>
      <c r="E504" s="476">
        <v>3.3074389392393773E-2</v>
      </c>
      <c r="F504" s="476">
        <v>3.3074389392393579E-2</v>
      </c>
    </row>
    <row r="505" spans="2:6">
      <c r="B505" s="38">
        <v>12</v>
      </c>
      <c r="C505" s="476">
        <v>9.142463755544547E-2</v>
      </c>
      <c r="D505" s="476">
        <v>6.6299494577647264E-2</v>
      </c>
      <c r="E505" s="476">
        <v>3.0097241161026175E-2</v>
      </c>
      <c r="F505" s="476">
        <v>3.0097241161026106E-2</v>
      </c>
    </row>
    <row r="506" spans="2:6">
      <c r="B506" s="38">
        <v>13</v>
      </c>
      <c r="C506" s="476">
        <v>8.4005242500078944E-2</v>
      </c>
      <c r="D506" s="476">
        <v>6.0881570694540497E-2</v>
      </c>
      <c r="E506" s="476">
        <v>2.761178004229424E-2</v>
      </c>
      <c r="F506" s="476">
        <v>2.7611780042294611E-2</v>
      </c>
    </row>
    <row r="507" spans="2:6">
      <c r="B507" s="38">
        <v>14</v>
      </c>
      <c r="C507" s="476">
        <v>7.7699317646866953E-2</v>
      </c>
      <c r="D507" s="476">
        <v>5.6282106019334928E-2</v>
      </c>
      <c r="E507" s="476">
        <v>2.5505495313529716E-2</v>
      </c>
      <c r="F507" s="476">
        <v>2.5505495313529501E-2</v>
      </c>
    </row>
    <row r="508" spans="2:6">
      <c r="B508" s="38">
        <v>15</v>
      </c>
      <c r="C508" s="476">
        <v>7.2273768032909982E-2</v>
      </c>
      <c r="D508" s="476">
        <v>5.232869023344195E-2</v>
      </c>
      <c r="E508" s="476">
        <v>2.3697769634781846E-2</v>
      </c>
      <c r="F508" s="476">
        <v>2.3697769634781814E-2</v>
      </c>
    </row>
    <row r="509" spans="2:6">
      <c r="B509" s="38">
        <v>16</v>
      </c>
      <c r="C509" s="476">
        <v>6.7556301016537854E-2</v>
      </c>
      <c r="D509" s="476">
        <v>4.8894154579231901E-2</v>
      </c>
      <c r="E509" s="476">
        <v>2.2129326207443328E-2</v>
      </c>
      <c r="F509" s="476">
        <v>2.2129326207443362E-2</v>
      </c>
    </row>
    <row r="510" spans="2:6">
      <c r="B510" s="38">
        <v>17</v>
      </c>
      <c r="C510" s="476">
        <v>6.3416819096675889E-2</v>
      </c>
      <c r="D510" s="476">
        <v>4.5882647528756024E-2</v>
      </c>
      <c r="E510" s="476">
        <v>2.075560581835071E-2</v>
      </c>
      <c r="F510" s="476">
        <v>2.0755605818350824E-2</v>
      </c>
    </row>
    <row r="511" spans="2:6">
      <c r="B511" s="38">
        <v>18</v>
      </c>
      <c r="C511" s="476">
        <v>5.975525043214111E-2</v>
      </c>
      <c r="D511" s="476">
        <v>4.3220554427989638E-2</v>
      </c>
      <c r="E511" s="476">
        <v>1.9542466177906587E-2</v>
      </c>
      <c r="F511" s="476">
        <v>1.9542466177906524E-2</v>
      </c>
    </row>
    <row r="512" spans="2:6">
      <c r="B512" s="38">
        <v>19</v>
      </c>
      <c r="C512" s="476">
        <v>5.6493360679040025E-2</v>
      </c>
      <c r="D512" s="476">
        <v>4.0850403074605475E-2</v>
      </c>
      <c r="E512" s="476">
        <v>1.8463306011173269E-2</v>
      </c>
      <c r="F512" s="476">
        <v>1.8463306011173363E-2</v>
      </c>
    </row>
    <row r="513" spans="2:6">
      <c r="B513" s="38">
        <v>20</v>
      </c>
      <c r="C513" s="476">
        <v>5.3569105369779886E-2</v>
      </c>
      <c r="D513" s="476">
        <v>3.8726669320959424E-2</v>
      </c>
      <c r="E513" s="476">
        <v>1.7497092056080653E-2</v>
      </c>
      <c r="F513" s="476">
        <v>1.7497092056080171E-2</v>
      </c>
    </row>
    <row r="514" spans="2:6">
      <c r="B514" s="38">
        <v>21</v>
      </c>
      <c r="C514" s="476">
        <v>5.0932648555119663E-2</v>
      </c>
      <c r="D514" s="476">
        <v>3.6812825802712168E-2</v>
      </c>
      <c r="E514" s="476">
        <v>1.6626974700353844E-2</v>
      </c>
      <c r="F514" s="476">
        <v>1.662697470035376E-2</v>
      </c>
    </row>
    <row r="515" spans="2:6">
      <c r="B515" s="38">
        <v>22</v>
      </c>
      <c r="C515" s="476">
        <v>4.8543501119217763E-2</v>
      </c>
      <c r="D515" s="476">
        <v>3.5079224214916153E-2</v>
      </c>
      <c r="E515" s="476">
        <v>1.5839297077116843E-2</v>
      </c>
      <c r="F515" s="476">
        <v>1.583929707711694E-2</v>
      </c>
    </row>
    <row r="516" spans="2:6">
      <c r="B516" s="38">
        <v>23</v>
      </c>
      <c r="C516" s="476">
        <v>4.6368427893894684E-2</v>
      </c>
      <c r="D516" s="476">
        <v>3.3501548838505472E-2</v>
      </c>
      <c r="E516" s="476">
        <v>1.5122873056025726E-2</v>
      </c>
      <c r="F516" s="476">
        <v>1.5122873056025591E-2</v>
      </c>
    </row>
    <row r="517" spans="2:6">
      <c r="B517" s="38">
        <v>24</v>
      </c>
      <c r="C517" s="476">
        <v>4.4379892961530575E-2</v>
      </c>
      <c r="D517" s="476">
        <v>3.2059669286373445E-2</v>
      </c>
      <c r="E517" s="476">
        <v>1.4468461326737835E-2</v>
      </c>
      <c r="F517" s="476">
        <v>1.446846132673834E-2</v>
      </c>
    </row>
    <row r="518" spans="2:6">
      <c r="B518" s="38">
        <v>25</v>
      </c>
      <c r="C518" s="476">
        <v>4.2554883586308899E-2</v>
      </c>
      <c r="D518" s="476">
        <v>3.0736776152205849E-2</v>
      </c>
      <c r="E518" s="476">
        <v>1.3868320634739388E-2</v>
      </c>
      <c r="F518" s="476">
        <v>1.3868320634738189E-2</v>
      </c>
    </row>
    <row r="519" spans="2:6">
      <c r="B519" s="38">
        <v>26</v>
      </c>
      <c r="C519" s="476">
        <v>4.0874041228628186E-2</v>
      </c>
      <c r="D519" s="476">
        <v>2.9518728406102954E-2</v>
      </c>
      <c r="E519" s="476">
        <v>1.3315990736466221E-2</v>
      </c>
      <c r="F519" s="476">
        <v>1.3315990736466306E-2</v>
      </c>
    </row>
    <row r="520" spans="2:6">
      <c r="B520" s="38">
        <v>27</v>
      </c>
      <c r="C520" s="476">
        <v>3.9320918181449144E-2</v>
      </c>
      <c r="D520" s="476">
        <v>2.8393534064053188E-2</v>
      </c>
      <c r="E520" s="476">
        <v>1.2805975221682383E-2</v>
      </c>
      <c r="F520" s="476">
        <v>1.280597522168247E-2</v>
      </c>
    </row>
    <row r="521" spans="2:6">
      <c r="B521" s="38">
        <v>28</v>
      </c>
      <c r="C521" s="476">
        <v>3.7881497792819241E-2</v>
      </c>
      <c r="D521" s="476">
        <v>2.7350967313914332E-2</v>
      </c>
      <c r="E521" s="476">
        <v>1.233358148198547E-2</v>
      </c>
      <c r="F521" s="476">
        <v>1.2333581481985552E-2</v>
      </c>
    </row>
    <row r="522" spans="2:6">
      <c r="B522" s="38">
        <v>29</v>
      </c>
      <c r="C522" s="476">
        <v>3.654373477560121E-2</v>
      </c>
      <c r="D522" s="476">
        <v>2.6382249103725129E-2</v>
      </c>
      <c r="E522" s="476">
        <v>1.1894799471851285E-2</v>
      </c>
      <c r="F522" s="476">
        <v>1.1894799471851498E-2</v>
      </c>
    </row>
    <row r="523" spans="2:6">
      <c r="B523" s="38">
        <v>30</v>
      </c>
      <c r="C523" s="476">
        <v>3.5297232762871354E-2</v>
      </c>
      <c r="D523" s="476">
        <v>2.5479802717488811E-2</v>
      </c>
      <c r="E523" s="476">
        <v>1.1486162279855522E-2</v>
      </c>
      <c r="F523" s="476">
        <v>1.1486162279855661E-2</v>
      </c>
    </row>
  </sheetData>
  <conditionalFormatting sqref="K12:K15">
    <cfRule type="cellIs" dxfId="1" priority="1"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B2:AI462"/>
  <sheetViews>
    <sheetView showGridLines="0" zoomScale="85" zoomScaleNormal="85" workbookViewId="0"/>
  </sheetViews>
  <sheetFormatPr defaultColWidth="11.85546875" defaultRowHeight="12.75"/>
  <cols>
    <col min="1" max="1" width="2.42578125" customWidth="1"/>
    <col min="2" max="2" width="26.28515625" customWidth="1"/>
    <col min="3" max="3" width="60.28515625" customWidth="1"/>
    <col min="4" max="4" width="62.5703125" customWidth="1"/>
    <col min="5" max="5" width="35.42578125" customWidth="1"/>
    <col min="6" max="33" width="17.85546875" customWidth="1"/>
    <col min="34" max="34" width="17.140625" bestFit="1" customWidth="1"/>
    <col min="1024" max="1024" width="11.42578125" customWidth="1"/>
    <col min="16384" max="16384" width="11.85546875" bestFit="1" customWidth="1"/>
  </cols>
  <sheetData>
    <row r="2" spans="2:34">
      <c r="B2" s="2" t="s">
        <v>616</v>
      </c>
    </row>
    <row r="3" spans="2:34" hidden="1">
      <c r="B3" s="2"/>
      <c r="C3" s="2"/>
      <c r="E3" s="218">
        <v>1</v>
      </c>
      <c r="F3" s="218">
        <v>2</v>
      </c>
      <c r="G3" s="218">
        <v>3</v>
      </c>
      <c r="H3" s="218">
        <v>4</v>
      </c>
      <c r="I3" s="218">
        <v>5</v>
      </c>
      <c r="J3" s="218">
        <v>6</v>
      </c>
      <c r="K3" s="218">
        <v>7</v>
      </c>
      <c r="L3" s="218">
        <v>8</v>
      </c>
      <c r="M3" s="218">
        <v>9</v>
      </c>
      <c r="N3" s="218">
        <v>10</v>
      </c>
      <c r="O3" s="218">
        <v>11</v>
      </c>
      <c r="P3" s="218">
        <v>12</v>
      </c>
      <c r="Q3" s="218">
        <v>13</v>
      </c>
      <c r="R3" s="218">
        <v>14</v>
      </c>
      <c r="S3" s="218">
        <v>15</v>
      </c>
      <c r="T3" s="218">
        <v>16</v>
      </c>
      <c r="U3" s="218">
        <v>17</v>
      </c>
      <c r="V3" s="218">
        <v>18</v>
      </c>
      <c r="W3" s="218">
        <v>19</v>
      </c>
      <c r="X3" s="218">
        <v>20</v>
      </c>
      <c r="Y3" s="218">
        <v>21</v>
      </c>
      <c r="Z3" s="218">
        <v>22</v>
      </c>
      <c r="AA3" s="218">
        <v>23</v>
      </c>
      <c r="AB3" s="218">
        <v>24</v>
      </c>
      <c r="AC3" s="218">
        <v>25</v>
      </c>
      <c r="AD3" s="218">
        <v>26</v>
      </c>
      <c r="AE3" s="218">
        <v>27</v>
      </c>
      <c r="AF3" s="218">
        <v>28</v>
      </c>
      <c r="AG3" s="218">
        <v>29</v>
      </c>
      <c r="AH3" s="218">
        <v>30</v>
      </c>
    </row>
    <row r="4" spans="2:34">
      <c r="B4" s="46" t="str" cm="1">
        <f t="array" ref="B4:C52">Tráfego!B246:C294</f>
        <v>Pórtico</v>
      </c>
      <c r="C4" s="46" t="str">
        <v>Categoria de Veículo</v>
      </c>
      <c r="D4" s="46" t="str">
        <f t="shared" ref="D4:AG4" si="0">"Ano "&amp;E3</f>
        <v>Ano 1</v>
      </c>
      <c r="E4" s="46" t="str">
        <f>"Ano "&amp;F3</f>
        <v>Ano 2</v>
      </c>
      <c r="F4" s="46" t="str">
        <f t="shared" si="0"/>
        <v>Ano 3</v>
      </c>
      <c r="G4" s="46" t="str">
        <f t="shared" si="0"/>
        <v>Ano 4</v>
      </c>
      <c r="H4" s="46" t="str">
        <f t="shared" si="0"/>
        <v>Ano 5</v>
      </c>
      <c r="I4" s="46" t="str">
        <f t="shared" si="0"/>
        <v>Ano 6</v>
      </c>
      <c r="J4" s="46" t="str">
        <f t="shared" si="0"/>
        <v>Ano 7</v>
      </c>
      <c r="K4" s="46" t="str">
        <f t="shared" si="0"/>
        <v>Ano 8</v>
      </c>
      <c r="L4" s="46" t="str">
        <f t="shared" si="0"/>
        <v>Ano 9</v>
      </c>
      <c r="M4" s="46" t="str">
        <f t="shared" si="0"/>
        <v>Ano 10</v>
      </c>
      <c r="N4" s="46" t="str">
        <f t="shared" si="0"/>
        <v>Ano 11</v>
      </c>
      <c r="O4" s="46" t="str">
        <f t="shared" si="0"/>
        <v>Ano 12</v>
      </c>
      <c r="P4" s="46" t="str">
        <f t="shared" si="0"/>
        <v>Ano 13</v>
      </c>
      <c r="Q4" s="46" t="str">
        <f t="shared" si="0"/>
        <v>Ano 14</v>
      </c>
      <c r="R4" s="46" t="str">
        <f t="shared" si="0"/>
        <v>Ano 15</v>
      </c>
      <c r="S4" s="46" t="str">
        <f t="shared" si="0"/>
        <v>Ano 16</v>
      </c>
      <c r="T4" s="46" t="str">
        <f t="shared" si="0"/>
        <v>Ano 17</v>
      </c>
      <c r="U4" s="46" t="str">
        <f t="shared" si="0"/>
        <v>Ano 18</v>
      </c>
      <c r="V4" s="46" t="str">
        <f t="shared" si="0"/>
        <v>Ano 19</v>
      </c>
      <c r="W4" s="46" t="str">
        <f t="shared" si="0"/>
        <v>Ano 20</v>
      </c>
      <c r="X4" s="46" t="str">
        <f t="shared" si="0"/>
        <v>Ano 21</v>
      </c>
      <c r="Y4" s="46" t="str">
        <f t="shared" si="0"/>
        <v>Ano 22</v>
      </c>
      <c r="Z4" s="46" t="str">
        <f t="shared" si="0"/>
        <v>Ano 23</v>
      </c>
      <c r="AA4" s="46" t="str">
        <f t="shared" si="0"/>
        <v>Ano 24</v>
      </c>
      <c r="AB4" s="46" t="str">
        <f t="shared" si="0"/>
        <v>Ano 25</v>
      </c>
      <c r="AC4" s="46" t="str">
        <f t="shared" si="0"/>
        <v>Ano 26</v>
      </c>
      <c r="AD4" s="46" t="str">
        <f t="shared" si="0"/>
        <v>Ano 27</v>
      </c>
      <c r="AE4" s="46" t="str">
        <f t="shared" si="0"/>
        <v>Ano 28</v>
      </c>
      <c r="AF4" s="46" t="str">
        <f t="shared" si="0"/>
        <v>Ano 29</v>
      </c>
      <c r="AG4" s="46" t="str">
        <f t="shared" si="0"/>
        <v>Ano 30</v>
      </c>
    </row>
    <row r="5" spans="2:34">
      <c r="B5" s="149">
        <v>1</v>
      </c>
      <c r="C5" s="122" t="str">
        <v>Automóvel</v>
      </c>
      <c r="D5" s="145" cm="1">
        <f t="array" aca="1" ref="D5:AG52" ca="1">Tráfego!E247:AH294 * 'Tarifas Ped.'!E70:AH117</f>
        <v>21428310.150839917</v>
      </c>
      <c r="E5" s="145">
        <f ca="1"/>
        <v>22314629.231903475</v>
      </c>
      <c r="F5" s="145">
        <f ca="1"/>
        <v>23235801.619979814</v>
      </c>
      <c r="G5" s="145">
        <f ca="1"/>
        <v>24200044.275091361</v>
      </c>
      <c r="H5" s="145">
        <f ca="1"/>
        <v>35290178.690229036</v>
      </c>
      <c r="I5" s="145">
        <f ca="1"/>
        <v>36752036.929731257</v>
      </c>
      <c r="J5" s="145">
        <f ca="1"/>
        <v>38250191.294701248</v>
      </c>
      <c r="K5" s="145">
        <f ca="1"/>
        <v>39772606.63184277</v>
      </c>
      <c r="L5" s="145">
        <f ca="1"/>
        <v>41308215.035942927</v>
      </c>
      <c r="M5" s="145">
        <f ca="1"/>
        <v>42846514.114131413</v>
      </c>
      <c r="N5" s="145">
        <f ca="1"/>
        <v>44376189.007018253</v>
      </c>
      <c r="O5" s="145">
        <f ca="1"/>
        <v>45885999.542521246</v>
      </c>
      <c r="P5" s="145">
        <f ca="1"/>
        <v>47366826.363889866</v>
      </c>
      <c r="Q5" s="145">
        <f ca="1"/>
        <v>48809586.58781822</v>
      </c>
      <c r="R5" s="145">
        <f ca="1"/>
        <v>50204794.08261954</v>
      </c>
      <c r="S5" s="145">
        <f ca="1"/>
        <v>51543297.871767446</v>
      </c>
      <c r="T5" s="145">
        <f ca="1"/>
        <v>52818208.574068725</v>
      </c>
      <c r="U5" s="145">
        <f ca="1"/>
        <v>54023527.304697245</v>
      </c>
      <c r="V5" s="145">
        <f ca="1"/>
        <v>55152936.02174928</v>
      </c>
      <c r="W5" s="145">
        <f ca="1"/>
        <v>56200913.476200916</v>
      </c>
      <c r="X5" s="145">
        <f ca="1"/>
        <v>57161682.454598412</v>
      </c>
      <c r="Y5" s="145">
        <f ca="1"/>
        <v>58030689.413689286</v>
      </c>
      <c r="Z5" s="145">
        <f ca="1"/>
        <v>58804406.098266929</v>
      </c>
      <c r="AA5" s="145">
        <f ca="1"/>
        <v>59478959.509935901</v>
      </c>
      <c r="AB5" s="145">
        <f ca="1"/>
        <v>60050672.223206162</v>
      </c>
      <c r="AC5" s="145">
        <f ca="1"/>
        <v>60516878.893470526</v>
      </c>
      <c r="AD5" s="145">
        <f ca="1"/>
        <v>60875387.248288572</v>
      </c>
      <c r="AE5" s="145">
        <f ca="1"/>
        <v>61123490.958789133</v>
      </c>
      <c r="AF5" s="145">
        <f ca="1"/>
        <v>61258757.473067567</v>
      </c>
      <c r="AG5" s="145">
        <f ca="1"/>
        <v>61279276.459660888</v>
      </c>
    </row>
    <row r="6" spans="2:34">
      <c r="B6" s="149">
        <v>1</v>
      </c>
      <c r="C6" s="122" t="str">
        <v xml:space="preserve">Automóvel com reboque </v>
      </c>
      <c r="D6" s="145">
        <f ca="1"/>
        <v>84458.429648580757</v>
      </c>
      <c r="E6" s="145">
        <f ca="1"/>
        <v>87951.804405024945</v>
      </c>
      <c r="F6" s="145">
        <f ca="1"/>
        <v>91582.55143010059</v>
      </c>
      <c r="G6" s="145">
        <f ca="1"/>
        <v>95383.057390562797</v>
      </c>
      <c r="H6" s="145">
        <f ca="1"/>
        <v>139094.1727655424</v>
      </c>
      <c r="I6" s="145">
        <f ca="1"/>
        <v>144856.00141222906</v>
      </c>
      <c r="J6" s="145">
        <f ca="1"/>
        <v>150760.8891119982</v>
      </c>
      <c r="K6" s="145">
        <f ca="1"/>
        <v>156761.40001289381</v>
      </c>
      <c r="L6" s="145">
        <f ca="1"/>
        <v>162813.91061463993</v>
      </c>
      <c r="M6" s="145">
        <f ca="1"/>
        <v>168877.02635074322</v>
      </c>
      <c r="N6" s="145">
        <f ca="1"/>
        <v>174906.15036549987</v>
      </c>
      <c r="O6" s="145">
        <f ca="1"/>
        <v>180856.98017885629</v>
      </c>
      <c r="P6" s="145">
        <f ca="1"/>
        <v>186693.57238019654</v>
      </c>
      <c r="Q6" s="145">
        <f ca="1"/>
        <v>192380.12731685111</v>
      </c>
      <c r="R6" s="145">
        <f ca="1"/>
        <v>197879.2559562707</v>
      </c>
      <c r="S6" s="145">
        <f ca="1"/>
        <v>203154.89026034466</v>
      </c>
      <c r="T6" s="145">
        <f ca="1"/>
        <v>208179.87613653211</v>
      </c>
      <c r="U6" s="145">
        <f ca="1"/>
        <v>212930.56933157693</v>
      </c>
      <c r="V6" s="145">
        <f ca="1"/>
        <v>217382.06765329107</v>
      </c>
      <c r="W6" s="145">
        <f ca="1"/>
        <v>221512.60942196305</v>
      </c>
      <c r="X6" s="145">
        <f ca="1"/>
        <v>225299.42408907032</v>
      </c>
      <c r="Y6" s="145">
        <f ca="1"/>
        <v>228724.56413053203</v>
      </c>
      <c r="Z6" s="145">
        <f ca="1"/>
        <v>231774.12313506112</v>
      </c>
      <c r="AA6" s="145">
        <f ca="1"/>
        <v>234432.83590627892</v>
      </c>
      <c r="AB6" s="145">
        <f ca="1"/>
        <v>236686.20808696124</v>
      </c>
      <c r="AC6" s="145">
        <f ca="1"/>
        <v>238523.73437741763</v>
      </c>
      <c r="AD6" s="145">
        <f ca="1"/>
        <v>239936.77406420044</v>
      </c>
      <c r="AE6" s="145">
        <f ca="1"/>
        <v>240914.66031054273</v>
      </c>
      <c r="AF6" s="145">
        <f ca="1"/>
        <v>241447.8053555591</v>
      </c>
      <c r="AG6" s="145">
        <f ca="1"/>
        <v>241528.67973965441</v>
      </c>
    </row>
    <row r="7" spans="2:34">
      <c r="B7" s="149">
        <v>1</v>
      </c>
      <c r="C7" s="122" t="str">
        <v>Veículos Comerciais com 2 Eixos</v>
      </c>
      <c r="D7" s="145">
        <f ca="1"/>
        <v>5561888.7337555103</v>
      </c>
      <c r="E7" s="145">
        <f ca="1"/>
        <v>5699245.4913192717</v>
      </c>
      <c r="F7" s="145">
        <f ca="1"/>
        <v>5835266.4206747748</v>
      </c>
      <c r="G7" s="145">
        <f ca="1"/>
        <v>5970299.2108039958</v>
      </c>
      <c r="H7" s="145">
        <f ca="1"/>
        <v>8545517.1560543291</v>
      </c>
      <c r="I7" s="145">
        <f ca="1"/>
        <v>8729290.2316191532</v>
      </c>
      <c r="J7" s="145">
        <f ca="1"/>
        <v>8907796.3662662376</v>
      </c>
      <c r="K7" s="145">
        <f ca="1"/>
        <v>9079652.409142781</v>
      </c>
      <c r="L7" s="145">
        <f ca="1"/>
        <v>9243648.5260375738</v>
      </c>
      <c r="M7" s="145">
        <f ca="1"/>
        <v>9398737.2045525014</v>
      </c>
      <c r="N7" s="145">
        <f ca="1"/>
        <v>9543823.6304485481</v>
      </c>
      <c r="O7" s="145">
        <f ca="1"/>
        <v>9677893.2565184683</v>
      </c>
      <c r="P7" s="145">
        <f ca="1"/>
        <v>9800301.9070056435</v>
      </c>
      <c r="Q7" s="145">
        <f ca="1"/>
        <v>9910475.8383646496</v>
      </c>
      <c r="R7" s="145">
        <f ca="1"/>
        <v>10007859.389308676</v>
      </c>
      <c r="S7" s="145">
        <f ca="1"/>
        <v>10091972.419668438</v>
      </c>
      <c r="T7" s="145">
        <f ca="1"/>
        <v>10162656.419021577</v>
      </c>
      <c r="U7" s="145">
        <f ca="1"/>
        <v>10219849.592635799</v>
      </c>
      <c r="V7" s="145">
        <f ca="1"/>
        <v>10263431.970761465</v>
      </c>
      <c r="W7" s="145">
        <f ca="1"/>
        <v>10293395.117357235</v>
      </c>
      <c r="X7" s="145">
        <f ca="1"/>
        <v>10309669.157900261</v>
      </c>
      <c r="Y7" s="145">
        <f ca="1"/>
        <v>10312326.945241023</v>
      </c>
      <c r="Z7" s="145">
        <f ca="1"/>
        <v>10301543.629283207</v>
      </c>
      <c r="AA7" s="145">
        <f ca="1"/>
        <v>10277404.732264198</v>
      </c>
      <c r="AB7" s="145">
        <f ca="1"/>
        <v>10239995.682810556</v>
      </c>
      <c r="AC7" s="145">
        <f ca="1"/>
        <v>10189513.101922704</v>
      </c>
      <c r="AD7" s="145">
        <f ca="1"/>
        <v>10126204.141428262</v>
      </c>
      <c r="AE7" s="145">
        <f ca="1"/>
        <v>10050234.770837471</v>
      </c>
      <c r="AF7" s="145">
        <f ca="1"/>
        <v>9961782.4579455275</v>
      </c>
      <c r="AG7" s="145">
        <f ca="1"/>
        <v>9861057.8663608655</v>
      </c>
    </row>
    <row r="8" spans="2:34">
      <c r="B8" s="149">
        <v>1</v>
      </c>
      <c r="C8" s="122" t="str">
        <v>Veículos Comerciais com 3 Eixos</v>
      </c>
      <c r="D8" s="145">
        <f ca="1"/>
        <v>2280759.2559493207</v>
      </c>
      <c r="E8" s="145">
        <f ca="1"/>
        <v>2337085.0314506232</v>
      </c>
      <c r="F8" s="145">
        <f ca="1"/>
        <v>2392863.0249490514</v>
      </c>
      <c r="G8" s="145">
        <f ca="1"/>
        <v>2448235.8129868181</v>
      </c>
      <c r="H8" s="145">
        <f ca="1"/>
        <v>3504253.3721066322</v>
      </c>
      <c r="I8" s="145">
        <f ca="1"/>
        <v>3579613.0499342275</v>
      </c>
      <c r="J8" s="145">
        <f ca="1"/>
        <v>3652812.9175204267</v>
      </c>
      <c r="K8" s="145">
        <f ca="1"/>
        <v>3723285.7873034296</v>
      </c>
      <c r="L8" s="145">
        <f ca="1"/>
        <v>3790535.543537762</v>
      </c>
      <c r="M8" s="145">
        <f ca="1"/>
        <v>3854132.6336537716</v>
      </c>
      <c r="N8" s="145">
        <f ca="1"/>
        <v>3913628.1080538109</v>
      </c>
      <c r="O8" s="145">
        <f ca="1"/>
        <v>3968605.9321776251</v>
      </c>
      <c r="P8" s="145">
        <f ca="1"/>
        <v>4018801.9493889189</v>
      </c>
      <c r="Q8" s="145">
        <f ca="1"/>
        <v>4063980.8851317978</v>
      </c>
      <c r="R8" s="145">
        <f ca="1"/>
        <v>4103914.8798276652</v>
      </c>
      <c r="S8" s="145">
        <f ca="1"/>
        <v>4138407.0427820715</v>
      </c>
      <c r="T8" s="145">
        <f ca="1"/>
        <v>4167392.3737531444</v>
      </c>
      <c r="U8" s="145">
        <f ca="1"/>
        <v>4190845.5326245339</v>
      </c>
      <c r="V8" s="145">
        <f ca="1"/>
        <v>4208717.3234971417</v>
      </c>
      <c r="W8" s="145">
        <f ca="1"/>
        <v>4221004.287010259</v>
      </c>
      <c r="X8" s="145">
        <f ca="1"/>
        <v>4227677.7697742945</v>
      </c>
      <c r="Y8" s="145">
        <f ca="1"/>
        <v>4228767.6464992631</v>
      </c>
      <c r="Z8" s="145">
        <f ca="1"/>
        <v>4224345.7407658109</v>
      </c>
      <c r="AA8" s="145">
        <f ca="1"/>
        <v>4214447.1226092884</v>
      </c>
      <c r="AB8" s="145">
        <f ca="1"/>
        <v>4199106.8236781284</v>
      </c>
      <c r="AC8" s="145">
        <f ca="1"/>
        <v>4178405.4721884099</v>
      </c>
      <c r="AD8" s="145">
        <f ca="1"/>
        <v>4152444.417492026</v>
      </c>
      <c r="AE8" s="145">
        <f ca="1"/>
        <v>4121291.7185730385</v>
      </c>
      <c r="AF8" s="145">
        <f ca="1"/>
        <v>4085020.1495080083</v>
      </c>
      <c r="AG8" s="145">
        <f ca="1"/>
        <v>4043716.0969540272</v>
      </c>
    </row>
    <row r="9" spans="2:34">
      <c r="B9" s="149">
        <v>1</v>
      </c>
      <c r="C9" s="122" t="str">
        <v>Veículos Comerciais com 4 Eixos</v>
      </c>
      <c r="D9" s="145">
        <f ca="1"/>
        <v>1594485.8116966728</v>
      </c>
      <c r="E9" s="145">
        <f ca="1"/>
        <v>1633863.3346138191</v>
      </c>
      <c r="F9" s="145">
        <f ca="1"/>
        <v>1672857.9014477199</v>
      </c>
      <c r="G9" s="145">
        <f ca="1"/>
        <v>1711569.1878976158</v>
      </c>
      <c r="H9" s="145">
        <f ca="1"/>
        <v>2449834.3119026679</v>
      </c>
      <c r="I9" s="145">
        <f ca="1"/>
        <v>2502518.4944864712</v>
      </c>
      <c r="J9" s="145">
        <f ca="1"/>
        <v>2553692.7470867038</v>
      </c>
      <c r="K9" s="145">
        <f ca="1"/>
        <v>2602960.5471341815</v>
      </c>
      <c r="L9" s="145">
        <f ca="1"/>
        <v>2649975.0585851381</v>
      </c>
      <c r="M9" s="145">
        <f ca="1"/>
        <v>2694435.9799167779</v>
      </c>
      <c r="N9" s="145">
        <f ca="1"/>
        <v>2736029.449084369</v>
      </c>
      <c r="O9" s="145">
        <f ca="1"/>
        <v>2774464.6150470697</v>
      </c>
      <c r="P9" s="145">
        <f ca="1"/>
        <v>2809556.80508787</v>
      </c>
      <c r="Q9" s="145">
        <f ca="1"/>
        <v>2841141.5380410161</v>
      </c>
      <c r="R9" s="145">
        <f ca="1"/>
        <v>2869059.51657419</v>
      </c>
      <c r="S9" s="145">
        <f ca="1"/>
        <v>2893173.0937972446</v>
      </c>
      <c r="T9" s="145">
        <f ca="1"/>
        <v>2913436.8278411399</v>
      </c>
      <c r="U9" s="145">
        <f ca="1"/>
        <v>2929833.0033525848</v>
      </c>
      <c r="V9" s="145">
        <f ca="1"/>
        <v>2942327.2273271894</v>
      </c>
      <c r="W9" s="145">
        <f ca="1"/>
        <v>2950917.0813152399</v>
      </c>
      <c r="X9" s="145">
        <f ca="1"/>
        <v>2955582.5336439325</v>
      </c>
      <c r="Y9" s="145">
        <f ca="1"/>
        <v>2956344.4698149366</v>
      </c>
      <c r="Z9" s="145">
        <f ca="1"/>
        <v>2953253.1019144203</v>
      </c>
      <c r="AA9" s="145">
        <f ca="1"/>
        <v>2946332.9475119729</v>
      </c>
      <c r="AB9" s="145">
        <f ca="1"/>
        <v>2935608.4973407784</v>
      </c>
      <c r="AC9" s="145">
        <f ca="1"/>
        <v>2921136.1188347163</v>
      </c>
      <c r="AD9" s="145">
        <f ca="1"/>
        <v>2902986.6656374591</v>
      </c>
      <c r="AE9" s="145">
        <f ca="1"/>
        <v>2881207.717994119</v>
      </c>
      <c r="AF9" s="145">
        <f ca="1"/>
        <v>2855850.152485481</v>
      </c>
      <c r="AG9" s="145">
        <f ca="1"/>
        <v>2826974.3622892527</v>
      </c>
    </row>
    <row r="10" spans="2:34">
      <c r="B10" s="149">
        <v>1</v>
      </c>
      <c r="C10" s="122" t="str">
        <v>Veículos Comerciais com 5 Eixos Articulado</v>
      </c>
      <c r="D10" s="145">
        <f ca="1"/>
        <v>546568.88236142858</v>
      </c>
      <c r="E10" s="145">
        <f ca="1"/>
        <v>566792.67467090255</v>
      </c>
      <c r="F10" s="145">
        <f ca="1"/>
        <v>587460.72273266839</v>
      </c>
      <c r="G10" s="145">
        <f ca="1"/>
        <v>608698.1163293689</v>
      </c>
      <c r="H10" s="145">
        <f ca="1"/>
        <v>882658.00280377816</v>
      </c>
      <c r="I10" s="145">
        <f ca="1"/>
        <v>913673.66427676764</v>
      </c>
      <c r="J10" s="145">
        <f ca="1"/>
        <v>944879.81914626539</v>
      </c>
      <c r="K10" s="145">
        <f ca="1"/>
        <v>976011.34178983257</v>
      </c>
      <c r="L10" s="145">
        <f ca="1"/>
        <v>1006826.5965932105</v>
      </c>
      <c r="M10" s="145">
        <f ca="1"/>
        <v>1037101.8896693876</v>
      </c>
      <c r="N10" s="145">
        <f ca="1"/>
        <v>1066600.2635880602</v>
      </c>
      <c r="O10" s="145">
        <f ca="1"/>
        <v>1095091.7444482043</v>
      </c>
      <c r="P10" s="145">
        <f ca="1"/>
        <v>1122399.561651798</v>
      </c>
      <c r="Q10" s="145">
        <f ca="1"/>
        <v>1148353.6926083453</v>
      </c>
      <c r="R10" s="145">
        <f ca="1"/>
        <v>1172781.98244784</v>
      </c>
      <c r="S10" s="145">
        <f ca="1"/>
        <v>1195523.7288741304</v>
      </c>
      <c r="T10" s="145">
        <f ca="1"/>
        <v>1216471.236543939</v>
      </c>
      <c r="U10" s="145">
        <f ca="1"/>
        <v>1235537.0014605434</v>
      </c>
      <c r="V10" s="145">
        <f ca="1"/>
        <v>1252627.6298945786</v>
      </c>
      <c r="W10" s="145">
        <f ca="1"/>
        <v>1267669.7097341025</v>
      </c>
      <c r="X10" s="145">
        <f ca="1"/>
        <v>1280584.4108405046</v>
      </c>
      <c r="Y10" s="145">
        <f ca="1"/>
        <v>1291320.2883587969</v>
      </c>
      <c r="Z10" s="145">
        <f ca="1"/>
        <v>1299847.8302365844</v>
      </c>
      <c r="AA10" s="145">
        <f ca="1"/>
        <v>1306128.6641625918</v>
      </c>
      <c r="AB10" s="145">
        <f ca="1"/>
        <v>1310128.5746110235</v>
      </c>
      <c r="AC10" s="145">
        <f ca="1"/>
        <v>1311835.4602316462</v>
      </c>
      <c r="AD10" s="145">
        <f ca="1"/>
        <v>1311248.3003561525</v>
      </c>
      <c r="AE10" s="145">
        <f ca="1"/>
        <v>1308355.5432283811</v>
      </c>
      <c r="AF10" s="145">
        <f ca="1"/>
        <v>1303151.3495371924</v>
      </c>
      <c r="AG10" s="145">
        <f ca="1"/>
        <v>1295640.0554075723</v>
      </c>
    </row>
    <row r="11" spans="2:34">
      <c r="B11" s="149">
        <v>1</v>
      </c>
      <c r="C11" s="122" t="str">
        <v>Veículos Comerciais com 6 Eixos Articulado</v>
      </c>
      <c r="D11" s="145">
        <f ca="1"/>
        <v>17105419.742383264</v>
      </c>
      <c r="E11" s="145">
        <f ca="1"/>
        <v>17738343.546500564</v>
      </c>
      <c r="F11" s="145">
        <f ca="1"/>
        <v>18385170.778641589</v>
      </c>
      <c r="G11" s="145">
        <f ca="1"/>
        <v>19049816.248643927</v>
      </c>
      <c r="H11" s="145">
        <f ca="1"/>
        <v>27623664.85574704</v>
      </c>
      <c r="I11" s="145">
        <f ca="1"/>
        <v>28594330.997205719</v>
      </c>
      <c r="J11" s="145">
        <f ca="1"/>
        <v>29570958.82000152</v>
      </c>
      <c r="K11" s="145">
        <f ca="1"/>
        <v>30545250.9526546</v>
      </c>
      <c r="L11" s="145">
        <f ca="1"/>
        <v>31509645.16698112</v>
      </c>
      <c r="M11" s="145">
        <f ca="1"/>
        <v>32457140.739093155</v>
      </c>
      <c r="N11" s="145">
        <f ca="1"/>
        <v>33380321.84925193</v>
      </c>
      <c r="O11" s="145">
        <f ca="1"/>
        <v>34271991.234251</v>
      </c>
      <c r="P11" s="145">
        <f ca="1"/>
        <v>35126616.681454666</v>
      </c>
      <c r="Q11" s="145">
        <f ca="1"/>
        <v>35938877.163870759</v>
      </c>
      <c r="R11" s="145">
        <f ca="1"/>
        <v>36703384.922687598</v>
      </c>
      <c r="S11" s="145">
        <f ca="1"/>
        <v>37415110.618844785</v>
      </c>
      <c r="T11" s="145">
        <f ca="1"/>
        <v>38070683.818879105</v>
      </c>
      <c r="U11" s="145">
        <f ca="1"/>
        <v>38667365.997709163</v>
      </c>
      <c r="V11" s="145">
        <f ca="1"/>
        <v>39202234.305180728</v>
      </c>
      <c r="W11" s="145">
        <f ca="1"/>
        <v>39672991.235838473</v>
      </c>
      <c r="X11" s="145">
        <f ca="1"/>
        <v>40077169.721664444</v>
      </c>
      <c r="Y11" s="145">
        <f ca="1"/>
        <v>40413159.744476907</v>
      </c>
      <c r="Z11" s="145">
        <f ca="1"/>
        <v>40680037.69508414</v>
      </c>
      <c r="AA11" s="145">
        <f ca="1"/>
        <v>40876602.673632473</v>
      </c>
      <c r="AB11" s="145">
        <f ca="1"/>
        <v>41001783.871026598</v>
      </c>
      <c r="AC11" s="145">
        <f ca="1"/>
        <v>41055202.563409604</v>
      </c>
      <c r="AD11" s="145">
        <f ca="1"/>
        <v>41036826.807946138</v>
      </c>
      <c r="AE11" s="145">
        <f ca="1"/>
        <v>40946295.080875404</v>
      </c>
      <c r="AF11" s="145">
        <f ca="1"/>
        <v>40783424.635115959</v>
      </c>
      <c r="AG11" s="145">
        <f ca="1"/>
        <v>40548351.174035385</v>
      </c>
    </row>
    <row r="12" spans="2:34">
      <c r="B12" s="149">
        <v>1</v>
      </c>
      <c r="C12" s="122" t="str">
        <v>Veículos Comerciais com 7 Eixos Articulado</v>
      </c>
      <c r="D12" s="145">
        <f ca="1"/>
        <v>1178402.5103712396</v>
      </c>
      <c r="E12" s="145">
        <f ca="1"/>
        <v>1222005.0065904655</v>
      </c>
      <c r="F12" s="145">
        <f ca="1"/>
        <v>1266565.3182116328</v>
      </c>
      <c r="G12" s="145">
        <f ca="1"/>
        <v>1312353.1388061191</v>
      </c>
      <c r="H12" s="145">
        <f ca="1"/>
        <v>1903010.6540449455</v>
      </c>
      <c r="I12" s="145">
        <f ca="1"/>
        <v>1969880.4201807112</v>
      </c>
      <c r="J12" s="145">
        <f ca="1"/>
        <v>2037160.8900793486</v>
      </c>
      <c r="K12" s="145">
        <f ca="1"/>
        <v>2104280.4528988795</v>
      </c>
      <c r="L12" s="145">
        <f ca="1"/>
        <v>2170718.1422549621</v>
      </c>
      <c r="M12" s="145">
        <f ca="1"/>
        <v>2235991.6741271997</v>
      </c>
      <c r="N12" s="145">
        <f ca="1"/>
        <v>2299590.168295857</v>
      </c>
      <c r="O12" s="145">
        <f ca="1"/>
        <v>2361017.801030328</v>
      </c>
      <c r="P12" s="145">
        <f ca="1"/>
        <v>2419893.4549212768</v>
      </c>
      <c r="Q12" s="145">
        <f ca="1"/>
        <v>2475850.561263592</v>
      </c>
      <c r="R12" s="145">
        <f ca="1"/>
        <v>2528517.9541575429</v>
      </c>
      <c r="S12" s="145">
        <f ca="1"/>
        <v>2577549.1594526251</v>
      </c>
      <c r="T12" s="145">
        <f ca="1"/>
        <v>2622711.985988732</v>
      </c>
      <c r="U12" s="145">
        <f ca="1"/>
        <v>2663817.7751489314</v>
      </c>
      <c r="V12" s="145">
        <f ca="1"/>
        <v>2700665.1700527119</v>
      </c>
      <c r="W12" s="145">
        <f ca="1"/>
        <v>2733095.8941867258</v>
      </c>
      <c r="X12" s="145">
        <f ca="1"/>
        <v>2760939.9897721293</v>
      </c>
      <c r="Y12" s="145">
        <f ca="1"/>
        <v>2784086.5417015664</v>
      </c>
      <c r="Z12" s="145">
        <f ca="1"/>
        <v>2802471.9219900765</v>
      </c>
      <c r="AA12" s="145">
        <f ca="1"/>
        <v>2816013.3999345484</v>
      </c>
      <c r="AB12" s="145">
        <f ca="1"/>
        <v>2824637.2068613684</v>
      </c>
      <c r="AC12" s="145">
        <f ca="1"/>
        <v>2828317.2522594309</v>
      </c>
      <c r="AD12" s="145">
        <f ca="1"/>
        <v>2827051.335567866</v>
      </c>
      <c r="AE12" s="145">
        <f ca="1"/>
        <v>2820814.5512003913</v>
      </c>
      <c r="AF12" s="145">
        <f ca="1"/>
        <v>2809594.3096021884</v>
      </c>
      <c r="AG12" s="145">
        <f ca="1"/>
        <v>2793399.9594587274</v>
      </c>
    </row>
    <row r="13" spans="2:34">
      <c r="B13" s="149">
        <v>1</v>
      </c>
      <c r="C13" s="122" t="str">
        <v>Veículos Comerciais com 8 Eixos Articulado</v>
      </c>
      <c r="D13" s="145">
        <f ca="1"/>
        <v>0</v>
      </c>
      <c r="E13" s="145">
        <f ca="1"/>
        <v>0</v>
      </c>
      <c r="F13" s="145">
        <f ca="1"/>
        <v>0</v>
      </c>
      <c r="G13" s="145">
        <f ca="1"/>
        <v>0</v>
      </c>
      <c r="H13" s="145">
        <f ca="1"/>
        <v>0</v>
      </c>
      <c r="I13" s="145">
        <f ca="1"/>
        <v>0</v>
      </c>
      <c r="J13" s="145">
        <f ca="1"/>
        <v>0</v>
      </c>
      <c r="K13" s="145">
        <f ca="1"/>
        <v>0</v>
      </c>
      <c r="L13" s="145">
        <f ca="1"/>
        <v>0</v>
      </c>
      <c r="M13" s="145">
        <f ca="1"/>
        <v>0</v>
      </c>
      <c r="N13" s="145">
        <f ca="1"/>
        <v>0</v>
      </c>
      <c r="O13" s="145">
        <f ca="1"/>
        <v>0</v>
      </c>
      <c r="P13" s="145">
        <f ca="1"/>
        <v>0</v>
      </c>
      <c r="Q13" s="145">
        <f ca="1"/>
        <v>0</v>
      </c>
      <c r="R13" s="145">
        <f ca="1"/>
        <v>0</v>
      </c>
      <c r="S13" s="145">
        <f ca="1"/>
        <v>0</v>
      </c>
      <c r="T13" s="145">
        <f ca="1"/>
        <v>0</v>
      </c>
      <c r="U13" s="145">
        <f ca="1"/>
        <v>0</v>
      </c>
      <c r="V13" s="145">
        <f ca="1"/>
        <v>0</v>
      </c>
      <c r="W13" s="145">
        <f ca="1"/>
        <v>0</v>
      </c>
      <c r="X13" s="145">
        <f ca="1"/>
        <v>0</v>
      </c>
      <c r="Y13" s="145">
        <f ca="1"/>
        <v>0</v>
      </c>
      <c r="Z13" s="145">
        <f ca="1"/>
        <v>0</v>
      </c>
      <c r="AA13" s="145">
        <f ca="1"/>
        <v>0</v>
      </c>
      <c r="AB13" s="145">
        <f ca="1"/>
        <v>0</v>
      </c>
      <c r="AC13" s="145">
        <f ca="1"/>
        <v>0</v>
      </c>
      <c r="AD13" s="145">
        <f ca="1"/>
        <v>0</v>
      </c>
      <c r="AE13" s="145">
        <f ca="1"/>
        <v>0</v>
      </c>
      <c r="AF13" s="145">
        <f ca="1"/>
        <v>0</v>
      </c>
      <c r="AG13" s="145">
        <f ca="1"/>
        <v>0</v>
      </c>
    </row>
    <row r="14" spans="2:34">
      <c r="B14" s="149">
        <v>1</v>
      </c>
      <c r="C14" s="122" t="str">
        <v>Veículos Comerciais com 9 Eixos Articulado</v>
      </c>
      <c r="D14" s="145">
        <f ca="1"/>
        <v>373853.11553521716</v>
      </c>
      <c r="E14" s="145">
        <f ca="1"/>
        <v>387686.1894748974</v>
      </c>
      <c r="F14" s="145">
        <f ca="1"/>
        <v>401823.13434914529</v>
      </c>
      <c r="G14" s="145">
        <f ca="1"/>
        <v>416349.51156928838</v>
      </c>
      <c r="H14" s="145">
        <f ca="1"/>
        <v>603738.07391778426</v>
      </c>
      <c r="I14" s="145">
        <f ca="1"/>
        <v>624952.78636530915</v>
      </c>
      <c r="J14" s="145">
        <f ca="1"/>
        <v>646297.79629604565</v>
      </c>
      <c r="K14" s="145">
        <f ca="1"/>
        <v>667591.75778424565</v>
      </c>
      <c r="L14" s="145">
        <f ca="1"/>
        <v>688669.39206975605</v>
      </c>
      <c r="M14" s="145">
        <f ca="1"/>
        <v>709377.69253386126</v>
      </c>
      <c r="N14" s="145">
        <f ca="1"/>
        <v>729554.58029423316</v>
      </c>
      <c r="O14" s="145">
        <f ca="1"/>
        <v>749042.75320257165</v>
      </c>
      <c r="P14" s="145">
        <f ca="1"/>
        <v>767721.30016982986</v>
      </c>
      <c r="Q14" s="145">
        <f ca="1"/>
        <v>785473.92574410792</v>
      </c>
      <c r="R14" s="145">
        <f ca="1"/>
        <v>802182.87599432259</v>
      </c>
      <c r="S14" s="145">
        <f ca="1"/>
        <v>817738.2305499051</v>
      </c>
      <c r="T14" s="145">
        <f ca="1"/>
        <v>832066.32579605421</v>
      </c>
      <c r="U14" s="145">
        <f ca="1"/>
        <v>845107.30899901176</v>
      </c>
      <c r="V14" s="145">
        <f ca="1"/>
        <v>856797.29884789186</v>
      </c>
      <c r="W14" s="145">
        <f ca="1"/>
        <v>867086.08145812619</v>
      </c>
      <c r="X14" s="145">
        <f ca="1"/>
        <v>875919.73701490555</v>
      </c>
      <c r="Y14" s="145">
        <f ca="1"/>
        <v>883263.07723741711</v>
      </c>
      <c r="Z14" s="145">
        <f ca="1"/>
        <v>889095.91588182375</v>
      </c>
      <c r="AA14" s="145">
        <f ca="1"/>
        <v>893392.00628721295</v>
      </c>
      <c r="AB14" s="145">
        <f ca="1"/>
        <v>896127.94503394025</v>
      </c>
      <c r="AC14" s="145">
        <f ca="1"/>
        <v>897295.45479844627</v>
      </c>
      <c r="AD14" s="145">
        <f ca="1"/>
        <v>896893.83744360844</v>
      </c>
      <c r="AE14" s="145">
        <f ca="1"/>
        <v>894915.1915682127</v>
      </c>
      <c r="AF14" s="145">
        <f ca="1"/>
        <v>891355.5230834398</v>
      </c>
      <c r="AG14" s="145">
        <f ca="1"/>
        <v>886217.79789877939</v>
      </c>
    </row>
    <row r="15" spans="2:34">
      <c r="B15" s="149">
        <v>1</v>
      </c>
      <c r="C15" s="122" t="str">
        <v>Motocicleta</v>
      </c>
      <c r="D15" s="145">
        <f ca="1"/>
        <v>480608.6830002573</v>
      </c>
      <c r="E15" s="145">
        <f ca="1"/>
        <v>500487.64887621353</v>
      </c>
      <c r="F15" s="145">
        <f ca="1"/>
        <v>521148.32837604883</v>
      </c>
      <c r="G15" s="145">
        <f ca="1"/>
        <v>542775.01705582172</v>
      </c>
      <c r="H15" s="145">
        <f ca="1"/>
        <v>791512.07835630071</v>
      </c>
      <c r="I15" s="145">
        <f ca="1"/>
        <v>824299.62708387501</v>
      </c>
      <c r="J15" s="145">
        <f ca="1"/>
        <v>857901.24994684698</v>
      </c>
      <c r="K15" s="145">
        <f ca="1"/>
        <v>892047.01435908652</v>
      </c>
      <c r="L15" s="145">
        <f ca="1"/>
        <v>926488.68183092726</v>
      </c>
      <c r="M15" s="145">
        <f ca="1"/>
        <v>960990.69756732462</v>
      </c>
      <c r="N15" s="145">
        <f ca="1"/>
        <v>995299.28422272555</v>
      </c>
      <c r="O15" s="145">
        <f ca="1"/>
        <v>1029162.3395892063</v>
      </c>
      <c r="P15" s="145">
        <f ca="1"/>
        <v>1062375.3285444521</v>
      </c>
      <c r="Q15" s="145">
        <f ca="1"/>
        <v>1094734.5340173198</v>
      </c>
      <c r="R15" s="145">
        <f ca="1"/>
        <v>1126027.1946083026</v>
      </c>
      <c r="S15" s="145">
        <f ca="1"/>
        <v>1156048.0660052949</v>
      </c>
      <c r="T15" s="145">
        <f ca="1"/>
        <v>1184642.6284912189</v>
      </c>
      <c r="U15" s="145">
        <f ca="1"/>
        <v>1211676.3350058787</v>
      </c>
      <c r="V15" s="145">
        <f ca="1"/>
        <v>1237007.4802175376</v>
      </c>
      <c r="W15" s="145">
        <f ca="1"/>
        <v>1260512.2298059328</v>
      </c>
      <c r="X15" s="145">
        <f ca="1"/>
        <v>1282061.0085068529</v>
      </c>
      <c r="Y15" s="145">
        <f ca="1"/>
        <v>1301551.6863618379</v>
      </c>
      <c r="Z15" s="145">
        <f ca="1"/>
        <v>1318905.1292685624</v>
      </c>
      <c r="AA15" s="145">
        <f ca="1"/>
        <v>1334034.4709904925</v>
      </c>
      <c r="AB15" s="145">
        <f ca="1"/>
        <v>1346857.2317329468</v>
      </c>
      <c r="AC15" s="145">
        <f ca="1"/>
        <v>1357313.631338163</v>
      </c>
      <c r="AD15" s="145">
        <f ca="1"/>
        <v>1365354.5000319984</v>
      </c>
      <c r="AE15" s="145">
        <f ca="1"/>
        <v>1370919.1384338036</v>
      </c>
      <c r="AF15" s="145">
        <f ca="1"/>
        <v>1373952.9876185392</v>
      </c>
      <c r="AG15" s="145">
        <f ca="1"/>
        <v>1374413.2013756533</v>
      </c>
    </row>
    <row r="16" spans="2:34">
      <c r="B16" s="149">
        <v>1</v>
      </c>
      <c r="C16" s="122" t="str">
        <v xml:space="preserve">Veículos do transporte público coletivo intermunicipal e metropolitano </v>
      </c>
      <c r="D16" s="145">
        <f ca="1"/>
        <v>0</v>
      </c>
      <c r="E16" s="145">
        <f ca="1"/>
        <v>0</v>
      </c>
      <c r="F16" s="145">
        <f ca="1"/>
        <v>0</v>
      </c>
      <c r="G16" s="145">
        <f ca="1"/>
        <v>0</v>
      </c>
      <c r="H16" s="145">
        <f ca="1"/>
        <v>0</v>
      </c>
      <c r="I16" s="145">
        <f ca="1"/>
        <v>0</v>
      </c>
      <c r="J16" s="145">
        <f ca="1"/>
        <v>0</v>
      </c>
      <c r="K16" s="145">
        <f ca="1"/>
        <v>0</v>
      </c>
      <c r="L16" s="145">
        <f ca="1"/>
        <v>0</v>
      </c>
      <c r="M16" s="145">
        <f ca="1"/>
        <v>0</v>
      </c>
      <c r="N16" s="145">
        <f ca="1"/>
        <v>0</v>
      </c>
      <c r="O16" s="145">
        <f ca="1"/>
        <v>0</v>
      </c>
      <c r="P16" s="145">
        <f ca="1"/>
        <v>0</v>
      </c>
      <c r="Q16" s="145">
        <f ca="1"/>
        <v>0</v>
      </c>
      <c r="R16" s="145">
        <f ca="1"/>
        <v>0</v>
      </c>
      <c r="S16" s="145">
        <f ca="1"/>
        <v>0</v>
      </c>
      <c r="T16" s="145">
        <f ca="1"/>
        <v>0</v>
      </c>
      <c r="U16" s="145">
        <f ca="1"/>
        <v>0</v>
      </c>
      <c r="V16" s="145">
        <f ca="1"/>
        <v>0</v>
      </c>
      <c r="W16" s="145">
        <f ca="1"/>
        <v>0</v>
      </c>
      <c r="X16" s="145">
        <f ca="1"/>
        <v>0</v>
      </c>
      <c r="Y16" s="145">
        <f ca="1"/>
        <v>0</v>
      </c>
      <c r="Z16" s="145">
        <f ca="1"/>
        <v>0</v>
      </c>
      <c r="AA16" s="145">
        <f ca="1"/>
        <v>0</v>
      </c>
      <c r="AB16" s="145">
        <f ca="1"/>
        <v>0</v>
      </c>
      <c r="AC16" s="145">
        <f ca="1"/>
        <v>0</v>
      </c>
      <c r="AD16" s="145">
        <f ca="1"/>
        <v>0</v>
      </c>
      <c r="AE16" s="145">
        <f ca="1"/>
        <v>0</v>
      </c>
      <c r="AF16" s="145">
        <f ca="1"/>
        <v>0</v>
      </c>
      <c r="AG16" s="145">
        <f ca="1"/>
        <v>0</v>
      </c>
    </row>
    <row r="17" spans="2:33">
      <c r="B17" s="149">
        <v>2</v>
      </c>
      <c r="C17" s="122" t="str">
        <v>Automóvel</v>
      </c>
      <c r="D17" s="145">
        <f ca="1"/>
        <v>22591888.446697462</v>
      </c>
      <c r="E17" s="145">
        <f ca="1"/>
        <v>23526335.524727192</v>
      </c>
      <c r="F17" s="145">
        <f ca="1"/>
        <v>24497528.478586078</v>
      </c>
      <c r="G17" s="145">
        <f ca="1"/>
        <v>25514130.457299437</v>
      </c>
      <c r="H17" s="145">
        <f ca="1"/>
        <v>26576050.048525702</v>
      </c>
      <c r="I17" s="145">
        <f ca="1"/>
        <v>27676934.74729367</v>
      </c>
      <c r="J17" s="145">
        <f ca="1"/>
        <v>40327214.265230216</v>
      </c>
      <c r="K17" s="145">
        <f ca="1"/>
        <v>41932298.251047663</v>
      </c>
      <c r="L17" s="145">
        <f ca="1"/>
        <v>43551291.700322606</v>
      </c>
      <c r="M17" s="145">
        <f ca="1"/>
        <v>45173121.929932661</v>
      </c>
      <c r="N17" s="145">
        <f ca="1"/>
        <v>46785859.672505356</v>
      </c>
      <c r="O17" s="145">
        <f ca="1"/>
        <v>48377654.403570302</v>
      </c>
      <c r="P17" s="145">
        <f ca="1"/>
        <v>49938891.576345026</v>
      </c>
      <c r="Q17" s="145">
        <f ca="1"/>
        <v>51459995.098035656</v>
      </c>
      <c r="R17" s="145">
        <f ca="1"/>
        <v>52930963.730684087</v>
      </c>
      <c r="S17" s="145">
        <f ca="1"/>
        <v>54342149.59074717</v>
      </c>
      <c r="T17" s="145">
        <f ca="1"/>
        <v>55686289.196863614</v>
      </c>
      <c r="U17" s="145">
        <f ca="1"/>
        <v>56957057.918866977</v>
      </c>
      <c r="V17" s="145">
        <f ca="1"/>
        <v>58147794.638970278</v>
      </c>
      <c r="W17" s="145">
        <f ca="1"/>
        <v>59252678.298902608</v>
      </c>
      <c r="X17" s="145">
        <f ca="1"/>
        <v>60265617.976843245</v>
      </c>
      <c r="Y17" s="145">
        <f ca="1"/>
        <v>61181812.86766693</v>
      </c>
      <c r="Z17" s="145">
        <f ca="1"/>
        <v>61997543.128442615</v>
      </c>
      <c r="AA17" s="145">
        <f ca="1"/>
        <v>62708725.453156509</v>
      </c>
      <c r="AB17" s="145">
        <f ca="1"/>
        <v>63311482.728501163</v>
      </c>
      <c r="AC17" s="145">
        <f ca="1"/>
        <v>63803004.879038364</v>
      </c>
      <c r="AD17" s="145">
        <f ca="1"/>
        <v>64180980.589780107</v>
      </c>
      <c r="AE17" s="145">
        <f ca="1"/>
        <v>64442556.575538382</v>
      </c>
      <c r="AF17" s="145">
        <f ca="1"/>
        <v>64585168.194450028</v>
      </c>
      <c r="AG17" s="145">
        <f ca="1"/>
        <v>64606801.382176571</v>
      </c>
    </row>
    <row r="18" spans="2:33">
      <c r="B18" s="149">
        <v>2</v>
      </c>
      <c r="C18" s="122" t="str">
        <v xml:space="preserve">Automóvel com reboque </v>
      </c>
      <c r="D18" s="145">
        <f ca="1"/>
        <v>114730.72357998528</v>
      </c>
      <c r="E18" s="145">
        <f ca="1"/>
        <v>119476.22281801939</v>
      </c>
      <c r="F18" s="145">
        <f ca="1"/>
        <v>124408.33243758068</v>
      </c>
      <c r="G18" s="145">
        <f ca="1"/>
        <v>129571.04740431822</v>
      </c>
      <c r="H18" s="145">
        <f ca="1"/>
        <v>134963.90348948364</v>
      </c>
      <c r="I18" s="145">
        <f ca="1"/>
        <v>140554.64011009791</v>
      </c>
      <c r="J18" s="145">
        <f ca="1"/>
        <v>204797.86289363159</v>
      </c>
      <c r="K18" s="145">
        <f ca="1"/>
        <v>212949.1268985848</v>
      </c>
      <c r="L18" s="145">
        <f ca="1"/>
        <v>221171.02877034814</v>
      </c>
      <c r="M18" s="145">
        <f ca="1"/>
        <v>229407.3369570706</v>
      </c>
      <c r="N18" s="145">
        <f ca="1"/>
        <v>237597.46982651495</v>
      </c>
      <c r="O18" s="145">
        <f ca="1"/>
        <v>245681.24563466728</v>
      </c>
      <c r="P18" s="145">
        <f ca="1"/>
        <v>253609.83783425382</v>
      </c>
      <c r="Q18" s="145">
        <f ca="1"/>
        <v>261334.61516286805</v>
      </c>
      <c r="R18" s="145">
        <f ca="1"/>
        <v>268804.78729944688</v>
      </c>
      <c r="S18" s="145">
        <f ca="1"/>
        <v>275971.35839919699</v>
      </c>
      <c r="T18" s="145">
        <f ca="1"/>
        <v>282797.44157352328</v>
      </c>
      <c r="U18" s="145">
        <f ca="1"/>
        <v>289250.9177989501</v>
      </c>
      <c r="V18" s="145">
        <f ca="1"/>
        <v>295297.95923211897</v>
      </c>
      <c r="W18" s="145">
        <f ca="1"/>
        <v>300909.00419079181</v>
      </c>
      <c r="X18" s="145">
        <f ca="1"/>
        <v>306053.1205167555</v>
      </c>
      <c r="Y18" s="145">
        <f ca="1"/>
        <v>310705.92778483726</v>
      </c>
      <c r="Z18" s="145">
        <f ca="1"/>
        <v>314848.53513196972</v>
      </c>
      <c r="AA18" s="145">
        <f ca="1"/>
        <v>318460.20588292228</v>
      </c>
      <c r="AB18" s="145">
        <f ca="1"/>
        <v>321521.25049220998</v>
      </c>
      <c r="AC18" s="145">
        <f ca="1"/>
        <v>324017.39826311351</v>
      </c>
      <c r="AD18" s="145">
        <f ca="1"/>
        <v>325936.91140569001</v>
      </c>
      <c r="AE18" s="145">
        <f ca="1"/>
        <v>327265.29978667921</v>
      </c>
      <c r="AF18" s="145">
        <f ca="1"/>
        <v>327989.53912006866</v>
      </c>
      <c r="AG18" s="145">
        <f ca="1"/>
        <v>328099.40117463149</v>
      </c>
    </row>
    <row r="19" spans="2:33">
      <c r="B19" s="149">
        <v>2</v>
      </c>
      <c r="C19" s="122" t="str">
        <v>Veículos Comerciais com 2 Eixos</v>
      </c>
      <c r="D19" s="145">
        <f ca="1"/>
        <v>4388126.1002100008</v>
      </c>
      <c r="E19" s="145">
        <f ca="1"/>
        <v>4496495.5411964208</v>
      </c>
      <c r="F19" s="145">
        <f ca="1"/>
        <v>4603811.0627488792</v>
      </c>
      <c r="G19" s="145">
        <f ca="1"/>
        <v>4710346.9787146272</v>
      </c>
      <c r="H19" s="145">
        <f ca="1"/>
        <v>4815785.3085167343</v>
      </c>
      <c r="I19" s="145">
        <f ca="1"/>
        <v>4919349.7460158737</v>
      </c>
      <c r="J19" s="145">
        <f ca="1"/>
        <v>7027924.4338236246</v>
      </c>
      <c r="K19" s="145">
        <f ca="1"/>
        <v>7163512.5448637689</v>
      </c>
      <c r="L19" s="145">
        <f ca="1"/>
        <v>7292899.4627486235</v>
      </c>
      <c r="M19" s="145">
        <f ca="1"/>
        <v>7415258.7386377873</v>
      </c>
      <c r="N19" s="145">
        <f ca="1"/>
        <v>7529726.6042742785</v>
      </c>
      <c r="O19" s="145">
        <f ca="1"/>
        <v>7635502.6191435242</v>
      </c>
      <c r="P19" s="145">
        <f ca="1"/>
        <v>7732078.5522135785</v>
      </c>
      <c r="Q19" s="145">
        <f ca="1"/>
        <v>7819001.7408823967</v>
      </c>
      <c r="R19" s="145">
        <f ca="1"/>
        <v>7895833.7887863927</v>
      </c>
      <c r="S19" s="145">
        <f ca="1"/>
        <v>7962195.8829522356</v>
      </c>
      <c r="T19" s="145">
        <f ca="1"/>
        <v>8017962.9644737141</v>
      </c>
      <c r="U19" s="145">
        <f ca="1"/>
        <v>8063086.2795747966</v>
      </c>
      <c r="V19" s="145">
        <f ca="1"/>
        <v>8097471.1765256785</v>
      </c>
      <c r="W19" s="145">
        <f ca="1"/>
        <v>8121110.999599332</v>
      </c>
      <c r="X19" s="145">
        <f ca="1"/>
        <v>8133950.6203614874</v>
      </c>
      <c r="Y19" s="145">
        <f ca="1"/>
        <v>8136047.5170376152</v>
      </c>
      <c r="Z19" s="145">
        <f ca="1"/>
        <v>8127539.8764740564</v>
      </c>
      <c r="AA19" s="145">
        <f ca="1"/>
        <v>8108495.1725776037</v>
      </c>
      <c r="AB19" s="145">
        <f ca="1"/>
        <v>8078980.8053995427</v>
      </c>
      <c r="AC19" s="145">
        <f ca="1"/>
        <v>8039151.9016935937</v>
      </c>
      <c r="AD19" s="145">
        <f ca="1"/>
        <v>7989203.4551817505</v>
      </c>
      <c r="AE19" s="145">
        <f ca="1"/>
        <v>7929266.4097168213</v>
      </c>
      <c r="AF19" s="145">
        <f ca="1"/>
        <v>7859480.7808764903</v>
      </c>
      <c r="AG19" s="145">
        <f ca="1"/>
        <v>7780012.7745168582</v>
      </c>
    </row>
    <row r="20" spans="2:33">
      <c r="B20" s="149">
        <v>2</v>
      </c>
      <c r="C20" s="122" t="str">
        <v>Veículos Comerciais com 3 Eixos</v>
      </c>
      <c r="D20" s="145">
        <f ca="1"/>
        <v>1801516.0634250841</v>
      </c>
      <c r="E20" s="145">
        <f ca="1"/>
        <v>1846006.4185933394</v>
      </c>
      <c r="F20" s="145">
        <f ca="1"/>
        <v>1890064.0941287668</v>
      </c>
      <c r="G20" s="145">
        <f ca="1"/>
        <v>1933801.7077617967</v>
      </c>
      <c r="H20" s="145">
        <f ca="1"/>
        <v>1977088.7146757771</v>
      </c>
      <c r="I20" s="145">
        <f ca="1"/>
        <v>2019606.4075345476</v>
      </c>
      <c r="J20" s="145">
        <f ca="1"/>
        <v>2885267.7591614765</v>
      </c>
      <c r="K20" s="145">
        <f ca="1"/>
        <v>2940932.5587752787</v>
      </c>
      <c r="L20" s="145">
        <f ca="1"/>
        <v>2994051.4996725041</v>
      </c>
      <c r="M20" s="145">
        <f ca="1"/>
        <v>3044285.2887636707</v>
      </c>
      <c r="N20" s="145">
        <f ca="1"/>
        <v>3091279.311720361</v>
      </c>
      <c r="O20" s="145">
        <f ca="1"/>
        <v>3134704.9529987462</v>
      </c>
      <c r="P20" s="145">
        <f ca="1"/>
        <v>3174353.5617198222</v>
      </c>
      <c r="Q20" s="145">
        <f ca="1"/>
        <v>3210039.3002548912</v>
      </c>
      <c r="R20" s="145">
        <f ca="1"/>
        <v>3241582.187884823</v>
      </c>
      <c r="S20" s="145">
        <f ca="1"/>
        <v>3268826.7054561325</v>
      </c>
      <c r="T20" s="145">
        <f ca="1"/>
        <v>3291721.5108644073</v>
      </c>
      <c r="U20" s="145">
        <f ca="1"/>
        <v>3310246.5885702879</v>
      </c>
      <c r="V20" s="145">
        <f ca="1"/>
        <v>3324363.0799339395</v>
      </c>
      <c r="W20" s="145">
        <f ca="1"/>
        <v>3334068.2524907799</v>
      </c>
      <c r="X20" s="145">
        <f ca="1"/>
        <v>3339339.4736277931</v>
      </c>
      <c r="Y20" s="145">
        <f ca="1"/>
        <v>3340200.3406491862</v>
      </c>
      <c r="Z20" s="145">
        <f ca="1"/>
        <v>3336707.5852481131</v>
      </c>
      <c r="AA20" s="145">
        <f ca="1"/>
        <v>3328888.908389444</v>
      </c>
      <c r="AB20" s="145">
        <f ca="1"/>
        <v>3316771.9807171617</v>
      </c>
      <c r="AC20" s="145">
        <f ca="1"/>
        <v>3300420.4884910272</v>
      </c>
      <c r="AD20" s="145">
        <f ca="1"/>
        <v>3279914.4850901887</v>
      </c>
      <c r="AE20" s="145">
        <f ca="1"/>
        <v>3255307.7286448479</v>
      </c>
      <c r="AF20" s="145">
        <f ca="1"/>
        <v>3226657.7016216819</v>
      </c>
      <c r="AG20" s="145">
        <f ca="1"/>
        <v>3194032.6387324468</v>
      </c>
    </row>
    <row r="21" spans="2:33">
      <c r="B21" s="149">
        <v>2</v>
      </c>
      <c r="C21" s="122" t="str">
        <v>Veículos Comerciais com 4 Eixos</v>
      </c>
      <c r="D21" s="145">
        <f ca="1"/>
        <v>929545.79603685101</v>
      </c>
      <c r="E21" s="145">
        <f ca="1"/>
        <v>952501.91807786748</v>
      </c>
      <c r="F21" s="145">
        <f ca="1"/>
        <v>975234.78619298735</v>
      </c>
      <c r="G21" s="145">
        <f ca="1"/>
        <v>997802.50884985388</v>
      </c>
      <c r="H21" s="145">
        <f ca="1"/>
        <v>1020137.7275674759</v>
      </c>
      <c r="I21" s="145">
        <f ca="1"/>
        <v>1042075.9958163395</v>
      </c>
      <c r="J21" s="145">
        <f ca="1"/>
        <v>1488739.7178519503</v>
      </c>
      <c r="K21" s="145">
        <f ca="1"/>
        <v>1517461.6268699961</v>
      </c>
      <c r="L21" s="145">
        <f ca="1"/>
        <v>1544869.924360872</v>
      </c>
      <c r="M21" s="145">
        <f ca="1"/>
        <v>1570789.5419633475</v>
      </c>
      <c r="N21" s="145">
        <f ca="1"/>
        <v>1595037.5058672605</v>
      </c>
      <c r="O21" s="145">
        <f ca="1"/>
        <v>1617444.2571086467</v>
      </c>
      <c r="P21" s="145">
        <f ca="1"/>
        <v>1637902.1360605091</v>
      </c>
      <c r="Q21" s="145">
        <f ca="1"/>
        <v>1656315.2542708884</v>
      </c>
      <c r="R21" s="145">
        <f ca="1"/>
        <v>1672590.7453345216</v>
      </c>
      <c r="S21" s="145">
        <f ca="1"/>
        <v>1686648.3645185074</v>
      </c>
      <c r="T21" s="145">
        <f ca="1"/>
        <v>1698461.6203369887</v>
      </c>
      <c r="U21" s="145">
        <f ca="1"/>
        <v>1708020.1851771034</v>
      </c>
      <c r="V21" s="145">
        <f ca="1"/>
        <v>1715304.0087678437</v>
      </c>
      <c r="W21" s="145">
        <f ca="1"/>
        <v>1720311.6812128348</v>
      </c>
      <c r="X21" s="145">
        <f ca="1"/>
        <v>1723031.5245422227</v>
      </c>
      <c r="Y21" s="145">
        <f ca="1"/>
        <v>1723475.714486975</v>
      </c>
      <c r="Z21" s="145">
        <f ca="1"/>
        <v>1721673.5234515646</v>
      </c>
      <c r="AA21" s="145">
        <f ca="1"/>
        <v>1717639.2445727356</v>
      </c>
      <c r="AB21" s="145">
        <f ca="1"/>
        <v>1711387.1553422685</v>
      </c>
      <c r="AC21" s="145">
        <f ca="1"/>
        <v>1702950.1165801308</v>
      </c>
      <c r="AD21" s="145">
        <f ca="1"/>
        <v>1692369.4342083468</v>
      </c>
      <c r="AE21" s="145">
        <f ca="1"/>
        <v>1679672.8463331421</v>
      </c>
      <c r="AF21" s="145">
        <f ca="1"/>
        <v>1664890.0127429196</v>
      </c>
      <c r="AG21" s="145">
        <f ca="1"/>
        <v>1648056.1411667378</v>
      </c>
    </row>
    <row r="22" spans="2:33">
      <c r="B22" s="149">
        <v>2</v>
      </c>
      <c r="C22" s="122" t="str">
        <v>Veículos Comerciais com 5 Eixos Articulado</v>
      </c>
      <c r="D22" s="145">
        <f ca="1"/>
        <v>1085935.7174991337</v>
      </c>
      <c r="E22" s="145">
        <f ca="1"/>
        <v>1126116.816571692</v>
      </c>
      <c r="F22" s="145">
        <f ca="1"/>
        <v>1167180.5732647027</v>
      </c>
      <c r="G22" s="145">
        <f ca="1"/>
        <v>1209375.5188561971</v>
      </c>
      <c r="H22" s="145">
        <f ca="1"/>
        <v>1252632.4056877864</v>
      </c>
      <c r="I22" s="145">
        <f ca="1"/>
        <v>1296648.5733557816</v>
      </c>
      <c r="J22" s="145">
        <f ca="1"/>
        <v>1877309.114126513</v>
      </c>
      <c r="K22" s="145">
        <f ca="1"/>
        <v>1939161.944519494</v>
      </c>
      <c r="L22" s="145">
        <f ca="1"/>
        <v>2000386.4066408055</v>
      </c>
      <c r="M22" s="145">
        <f ca="1"/>
        <v>2060538.0602935546</v>
      </c>
      <c r="N22" s="145">
        <f ca="1"/>
        <v>2119146.1129657682</v>
      </c>
      <c r="O22" s="145">
        <f ca="1"/>
        <v>2175753.6471832278</v>
      </c>
      <c r="P22" s="145">
        <f ca="1"/>
        <v>2230009.4510266492</v>
      </c>
      <c r="Q22" s="145">
        <f ca="1"/>
        <v>2281575.7196744261</v>
      </c>
      <c r="R22" s="145">
        <f ca="1"/>
        <v>2330110.4118426251</v>
      </c>
      <c r="S22" s="145">
        <f ca="1"/>
        <v>2375294.2404863611</v>
      </c>
      <c r="T22" s="145">
        <f ca="1"/>
        <v>2416913.2340026987</v>
      </c>
      <c r="U22" s="145">
        <f ca="1"/>
        <v>2454793.5374237993</v>
      </c>
      <c r="V22" s="145">
        <f ca="1"/>
        <v>2488749.5939245657</v>
      </c>
      <c r="W22" s="145">
        <f ca="1"/>
        <v>2518635.5466202972</v>
      </c>
      <c r="X22" s="145">
        <f ca="1"/>
        <v>2544294.7739653946</v>
      </c>
      <c r="Y22" s="145">
        <f ca="1"/>
        <v>2565625.0641301759</v>
      </c>
      <c r="Z22" s="145">
        <f ca="1"/>
        <v>2582567.7818852556</v>
      </c>
      <c r="AA22" s="145">
        <f ca="1"/>
        <v>2595046.6882336442</v>
      </c>
      <c r="AB22" s="145">
        <f ca="1"/>
        <v>2602993.802976042</v>
      </c>
      <c r="AC22" s="145">
        <f ca="1"/>
        <v>2606385.0828694599</v>
      </c>
      <c r="AD22" s="145">
        <f ca="1"/>
        <v>2605218.5000264584</v>
      </c>
      <c r="AE22" s="145">
        <f ca="1"/>
        <v>2599471.1031502853</v>
      </c>
      <c r="AF22" s="145">
        <f ca="1"/>
        <v>2589131.2905622935</v>
      </c>
      <c r="AG22" s="145">
        <f ca="1"/>
        <v>2574207.6773760561</v>
      </c>
    </row>
    <row r="23" spans="2:33">
      <c r="B23" s="149">
        <v>2</v>
      </c>
      <c r="C23" s="122" t="str">
        <v>Veículos Comerciais com 6 Eixos Articulado</v>
      </c>
      <c r="D23" s="145">
        <f ca="1"/>
        <v>12050660.912604246</v>
      </c>
      <c r="E23" s="145">
        <f ca="1"/>
        <v>12496551.762510421</v>
      </c>
      <c r="F23" s="145">
        <f ca="1"/>
        <v>12952237.490248302</v>
      </c>
      <c r="G23" s="145">
        <f ca="1"/>
        <v>13420476.05479233</v>
      </c>
      <c r="H23" s="145">
        <f ca="1"/>
        <v>13900499.012820503</v>
      </c>
      <c r="I23" s="145">
        <f ca="1"/>
        <v>14388947.732843168</v>
      </c>
      <c r="J23" s="145">
        <f ca="1"/>
        <v>20832555.001118768</v>
      </c>
      <c r="K23" s="145">
        <f ca="1"/>
        <v>21518937.697202463</v>
      </c>
      <c r="L23" s="145">
        <f ca="1"/>
        <v>22198347.371911027</v>
      </c>
      <c r="M23" s="145">
        <f ca="1"/>
        <v>22865852.059178371</v>
      </c>
      <c r="N23" s="145">
        <f ca="1"/>
        <v>23516227.36051517</v>
      </c>
      <c r="O23" s="145">
        <f ca="1"/>
        <v>24144402.84913823</v>
      </c>
      <c r="P23" s="145">
        <f ca="1"/>
        <v>24746481.115947206</v>
      </c>
      <c r="Q23" s="145">
        <f ca="1"/>
        <v>25318713.530802932</v>
      </c>
      <c r="R23" s="145">
        <f ca="1"/>
        <v>25857304.451417957</v>
      </c>
      <c r="S23" s="145">
        <f ca="1"/>
        <v>26358710.739971418</v>
      </c>
      <c r="T23" s="145">
        <f ca="1"/>
        <v>26820557.94722994</v>
      </c>
      <c r="U23" s="145">
        <f ca="1"/>
        <v>27240916.799451418</v>
      </c>
      <c r="V23" s="145">
        <f ca="1"/>
        <v>27617728.167036157</v>
      </c>
      <c r="W23" s="145">
        <f ca="1"/>
        <v>27949373.471802261</v>
      </c>
      <c r="X23" s="145">
        <f ca="1"/>
        <v>28234114.679806076</v>
      </c>
      <c r="Y23" s="145">
        <f ca="1"/>
        <v>28470817.543337625</v>
      </c>
      <c r="Z23" s="145">
        <f ca="1"/>
        <v>28658831.385514788</v>
      </c>
      <c r="AA23" s="145">
        <f ca="1"/>
        <v>28797310.179923445</v>
      </c>
      <c r="AB23" s="145">
        <f ca="1"/>
        <v>28885499.548272748</v>
      </c>
      <c r="AC23" s="145">
        <f ca="1"/>
        <v>28923132.681981076</v>
      </c>
      <c r="AD23" s="145">
        <f ca="1"/>
        <v>28910187.077521324</v>
      </c>
      <c r="AE23" s="145">
        <f ca="1"/>
        <v>28846408.043671675</v>
      </c>
      <c r="AF23" s="145">
        <f ca="1"/>
        <v>28731666.836259585</v>
      </c>
      <c r="AG23" s="145">
        <f ca="1"/>
        <v>28566059.05745627</v>
      </c>
    </row>
    <row r="24" spans="2:33">
      <c r="B24" s="149">
        <v>2</v>
      </c>
      <c r="C24" s="122" t="str">
        <v>Veículos Comerciais com 7 Eixos Articulado</v>
      </c>
      <c r="D24" s="145">
        <f ca="1"/>
        <v>511787.5262669184</v>
      </c>
      <c r="E24" s="145">
        <f ca="1"/>
        <v>530724.36107735196</v>
      </c>
      <c r="F24" s="145">
        <f ca="1"/>
        <v>550077.18106336473</v>
      </c>
      <c r="G24" s="145">
        <f ca="1"/>
        <v>569963.11581737595</v>
      </c>
      <c r="H24" s="145">
        <f ca="1"/>
        <v>590349.52980929322</v>
      </c>
      <c r="I24" s="145">
        <f ca="1"/>
        <v>611093.78308648709</v>
      </c>
      <c r="J24" s="145">
        <f ca="1"/>
        <v>884751.62210318819</v>
      </c>
      <c r="K24" s="145">
        <f ca="1"/>
        <v>913902.0649418605</v>
      </c>
      <c r="L24" s="145">
        <f ca="1"/>
        <v>942756.36590200325</v>
      </c>
      <c r="M24" s="145">
        <f ca="1"/>
        <v>971105.06603933859</v>
      </c>
      <c r="N24" s="145">
        <f ca="1"/>
        <v>998726.28690267878</v>
      </c>
      <c r="O24" s="145">
        <f ca="1"/>
        <v>1025404.6891675412</v>
      </c>
      <c r="P24" s="145">
        <f ca="1"/>
        <v>1050974.7511769158</v>
      </c>
      <c r="Q24" s="145">
        <f ca="1"/>
        <v>1075277.2698663634</v>
      </c>
      <c r="R24" s="145">
        <f ca="1"/>
        <v>1098151.045581277</v>
      </c>
      <c r="S24" s="145">
        <f ca="1"/>
        <v>1119445.6024470376</v>
      </c>
      <c r="T24" s="145">
        <f ca="1"/>
        <v>1139060.098401272</v>
      </c>
      <c r="U24" s="145">
        <f ca="1"/>
        <v>1156912.5978353745</v>
      </c>
      <c r="V24" s="145">
        <f ca="1"/>
        <v>1172915.6502060329</v>
      </c>
      <c r="W24" s="145">
        <f ca="1"/>
        <v>1187000.5150408528</v>
      </c>
      <c r="X24" s="145">
        <f ca="1"/>
        <v>1199093.3786213147</v>
      </c>
      <c r="Y24" s="145">
        <f ca="1"/>
        <v>1209146.0698276868</v>
      </c>
      <c r="Z24" s="145">
        <f ca="1"/>
        <v>1217130.9546310704</v>
      </c>
      <c r="AA24" s="145">
        <f ca="1"/>
        <v>1223012.1025734795</v>
      </c>
      <c r="AB24" s="145">
        <f ca="1"/>
        <v>1226757.4754619761</v>
      </c>
      <c r="AC24" s="145">
        <f ca="1"/>
        <v>1228355.7420256061</v>
      </c>
      <c r="AD24" s="145">
        <f ca="1"/>
        <v>1227805.9465471222</v>
      </c>
      <c r="AE24" s="145">
        <f ca="1"/>
        <v>1225097.2723757776</v>
      </c>
      <c r="AF24" s="145">
        <f ca="1"/>
        <v>1220224.2517897538</v>
      </c>
      <c r="AG24" s="145">
        <f ca="1"/>
        <v>1213190.9449811906</v>
      </c>
    </row>
    <row r="25" spans="2:33">
      <c r="B25" s="149">
        <v>2</v>
      </c>
      <c r="C25" s="122" t="str">
        <v>Veículos Comerciais com 8 Eixos Articulado</v>
      </c>
      <c r="D25" s="145">
        <f ca="1"/>
        <v>0</v>
      </c>
      <c r="E25" s="145">
        <f ca="1"/>
        <v>0</v>
      </c>
      <c r="F25" s="145">
        <f ca="1"/>
        <v>0</v>
      </c>
      <c r="G25" s="145">
        <f ca="1"/>
        <v>0</v>
      </c>
      <c r="H25" s="145">
        <f ca="1"/>
        <v>0</v>
      </c>
      <c r="I25" s="145">
        <f ca="1"/>
        <v>0</v>
      </c>
      <c r="J25" s="145">
        <f ca="1"/>
        <v>0</v>
      </c>
      <c r="K25" s="145">
        <f ca="1"/>
        <v>0</v>
      </c>
      <c r="L25" s="145">
        <f ca="1"/>
        <v>0</v>
      </c>
      <c r="M25" s="145">
        <f ca="1"/>
        <v>0</v>
      </c>
      <c r="N25" s="145">
        <f ca="1"/>
        <v>0</v>
      </c>
      <c r="O25" s="145">
        <f ca="1"/>
        <v>0</v>
      </c>
      <c r="P25" s="145">
        <f ca="1"/>
        <v>0</v>
      </c>
      <c r="Q25" s="145">
        <f ca="1"/>
        <v>0</v>
      </c>
      <c r="R25" s="145">
        <f ca="1"/>
        <v>0</v>
      </c>
      <c r="S25" s="145">
        <f ca="1"/>
        <v>0</v>
      </c>
      <c r="T25" s="145">
        <f ca="1"/>
        <v>0</v>
      </c>
      <c r="U25" s="145">
        <f ca="1"/>
        <v>0</v>
      </c>
      <c r="V25" s="145">
        <f ca="1"/>
        <v>0</v>
      </c>
      <c r="W25" s="145">
        <f ca="1"/>
        <v>0</v>
      </c>
      <c r="X25" s="145">
        <f ca="1"/>
        <v>0</v>
      </c>
      <c r="Y25" s="145">
        <f ca="1"/>
        <v>0</v>
      </c>
      <c r="Z25" s="145">
        <f ca="1"/>
        <v>0</v>
      </c>
      <c r="AA25" s="145">
        <f ca="1"/>
        <v>0</v>
      </c>
      <c r="AB25" s="145">
        <f ca="1"/>
        <v>0</v>
      </c>
      <c r="AC25" s="145">
        <f ca="1"/>
        <v>0</v>
      </c>
      <c r="AD25" s="145">
        <f ca="1"/>
        <v>0</v>
      </c>
      <c r="AE25" s="145">
        <f ca="1"/>
        <v>0</v>
      </c>
      <c r="AF25" s="145">
        <f ca="1"/>
        <v>0</v>
      </c>
      <c r="AG25" s="145">
        <f ca="1"/>
        <v>0</v>
      </c>
    </row>
    <row r="26" spans="2:33">
      <c r="B26" s="149">
        <v>2</v>
      </c>
      <c r="C26" s="122" t="str">
        <v>Veículos Comerciais com 9 Eixos Articulado</v>
      </c>
      <c r="D26" s="145">
        <f ca="1"/>
        <v>367712.88651950873</v>
      </c>
      <c r="E26" s="145">
        <f ca="1"/>
        <v>381318.76363120676</v>
      </c>
      <c r="F26" s="145">
        <f ca="1"/>
        <v>395223.52084804792</v>
      </c>
      <c r="G26" s="145">
        <f ca="1"/>
        <v>409511.31430576189</v>
      </c>
      <c r="H26" s="145">
        <f ca="1"/>
        <v>424158.69578734948</v>
      </c>
      <c r="I26" s="145">
        <f ca="1"/>
        <v>439063.18028482911</v>
      </c>
      <c r="J26" s="145">
        <f ca="1"/>
        <v>635682.88814976986</v>
      </c>
      <c r="K26" s="145">
        <f ca="1"/>
        <v>656627.1138867992</v>
      </c>
      <c r="L26" s="145">
        <f ca="1"/>
        <v>677358.56541698554</v>
      </c>
      <c r="M26" s="145">
        <f ca="1"/>
        <v>697726.74912910478</v>
      </c>
      <c r="N26" s="145">
        <f ca="1"/>
        <v>717572.2481527651</v>
      </c>
      <c r="O26" s="145">
        <f ca="1"/>
        <v>736740.34389768727</v>
      </c>
      <c r="P26" s="145">
        <f ca="1"/>
        <v>755112.11113971716</v>
      </c>
      <c r="Q26" s="145">
        <f ca="1"/>
        <v>772573.16448381566</v>
      </c>
      <c r="R26" s="145">
        <f ca="1"/>
        <v>789007.68401007738</v>
      </c>
      <c r="S26" s="145">
        <f ca="1"/>
        <v>804307.55469934235</v>
      </c>
      <c r="T26" s="145">
        <f ca="1"/>
        <v>818400.32280091406</v>
      </c>
      <c r="U26" s="145">
        <f ca="1"/>
        <v>831227.11861281155</v>
      </c>
      <c r="V26" s="145">
        <f ca="1"/>
        <v>842725.11002198176</v>
      </c>
      <c r="W26" s="145">
        <f ca="1"/>
        <v>852844.90786548704</v>
      </c>
      <c r="X26" s="145">
        <f ca="1"/>
        <v>861533.4779169953</v>
      </c>
      <c r="Y26" s="145">
        <f ca="1"/>
        <v>868756.20983417856</v>
      </c>
      <c r="Z26" s="145">
        <f ca="1"/>
        <v>874493.24891560164</v>
      </c>
      <c r="AA26" s="145">
        <f ca="1"/>
        <v>878718.77958010545</v>
      </c>
      <c r="AB26" s="145">
        <f ca="1"/>
        <v>881409.78278990742</v>
      </c>
      <c r="AC26" s="145">
        <f ca="1"/>
        <v>882558.11716965842</v>
      </c>
      <c r="AD26" s="145">
        <f ca="1"/>
        <v>882163.09604856302</v>
      </c>
      <c r="AE26" s="145">
        <f ca="1"/>
        <v>880216.94779940369</v>
      </c>
      <c r="AF26" s="145">
        <f ca="1"/>
        <v>876715.74393297487</v>
      </c>
      <c r="AG26" s="145">
        <f ca="1"/>
        <v>871662.40164614981</v>
      </c>
    </row>
    <row r="27" spans="2:33">
      <c r="B27" s="149">
        <v>2</v>
      </c>
      <c r="C27" s="122" t="str">
        <v>Motocicleta</v>
      </c>
      <c r="D27" s="145">
        <f ca="1"/>
        <v>887653.49296093895</v>
      </c>
      <c r="E27" s="145">
        <f ca="1"/>
        <v>924368.67127625551</v>
      </c>
      <c r="F27" s="145">
        <f ca="1"/>
        <v>962527.62464865111</v>
      </c>
      <c r="G27" s="145">
        <f ca="1"/>
        <v>1002470.735180778</v>
      </c>
      <c r="H27" s="145">
        <f ca="1"/>
        <v>1044194.4112081106</v>
      </c>
      <c r="I27" s="145">
        <f ca="1"/>
        <v>1087449.0576939159</v>
      </c>
      <c r="J27" s="145">
        <f ca="1"/>
        <v>1584488.7287033612</v>
      </c>
      <c r="K27" s="145">
        <f ca="1"/>
        <v>1647553.771267999</v>
      </c>
      <c r="L27" s="145">
        <f ca="1"/>
        <v>1711165.3278547996</v>
      </c>
      <c r="M27" s="145">
        <f ca="1"/>
        <v>1774888.3438257575</v>
      </c>
      <c r="N27" s="145">
        <f ca="1"/>
        <v>1838254.1086577745</v>
      </c>
      <c r="O27" s="145">
        <f ca="1"/>
        <v>1900797.0056997952</v>
      </c>
      <c r="P27" s="145">
        <f ca="1"/>
        <v>1962139.2716650171</v>
      </c>
      <c r="Q27" s="145">
        <f ca="1"/>
        <v>2021904.6541548222</v>
      </c>
      <c r="R27" s="145">
        <f ca="1"/>
        <v>2079700.1964746686</v>
      </c>
      <c r="S27" s="145">
        <f ca="1"/>
        <v>2135146.8255095775</v>
      </c>
      <c r="T27" s="145">
        <f ca="1"/>
        <v>2187959.1532267337</v>
      </c>
      <c r="U27" s="145">
        <f ca="1"/>
        <v>2237888.679812931</v>
      </c>
      <c r="V27" s="145">
        <f ca="1"/>
        <v>2284673.6845853426</v>
      </c>
      <c r="W27" s="145">
        <f ca="1"/>
        <v>2328085.4534761268</v>
      </c>
      <c r="X27" s="145">
        <f ca="1"/>
        <v>2367884.6692612143</v>
      </c>
      <c r="Y27" s="145">
        <f ca="1"/>
        <v>2403882.7044405844</v>
      </c>
      <c r="Z27" s="145">
        <f ca="1"/>
        <v>2435933.4033894502</v>
      </c>
      <c r="AA27" s="145">
        <f ca="1"/>
        <v>2463876.329725768</v>
      </c>
      <c r="AB27" s="145">
        <f ca="1"/>
        <v>2487559.1485449937</v>
      </c>
      <c r="AC27" s="145">
        <f ca="1"/>
        <v>2506871.4497198784</v>
      </c>
      <c r="AD27" s="145">
        <f ca="1"/>
        <v>2521722.4198229709</v>
      </c>
      <c r="AE27" s="145">
        <f ca="1"/>
        <v>2531999.9509811499</v>
      </c>
      <c r="AF27" s="145">
        <f ca="1"/>
        <v>2537603.2763500055</v>
      </c>
      <c r="AG27" s="145">
        <f ca="1"/>
        <v>2538453.2617195179</v>
      </c>
    </row>
    <row r="28" spans="2:33">
      <c r="B28" s="149">
        <v>2</v>
      </c>
      <c r="C28" s="122" t="str">
        <v xml:space="preserve">Veículos do transporte público coletivo intermunicipal e metropolitano </v>
      </c>
      <c r="D28" s="145">
        <f ca="1"/>
        <v>0</v>
      </c>
      <c r="E28" s="145">
        <f ca="1"/>
        <v>0</v>
      </c>
      <c r="F28" s="145">
        <f ca="1"/>
        <v>0</v>
      </c>
      <c r="G28" s="145">
        <f ca="1"/>
        <v>0</v>
      </c>
      <c r="H28" s="145">
        <f ca="1"/>
        <v>0</v>
      </c>
      <c r="I28" s="145">
        <f ca="1"/>
        <v>0</v>
      </c>
      <c r="J28" s="145">
        <f ca="1"/>
        <v>0</v>
      </c>
      <c r="K28" s="145">
        <f ca="1"/>
        <v>0</v>
      </c>
      <c r="L28" s="145">
        <f ca="1"/>
        <v>0</v>
      </c>
      <c r="M28" s="145">
        <f ca="1"/>
        <v>0</v>
      </c>
      <c r="N28" s="145">
        <f ca="1"/>
        <v>0</v>
      </c>
      <c r="O28" s="145">
        <f ca="1"/>
        <v>0</v>
      </c>
      <c r="P28" s="145">
        <f ca="1"/>
        <v>0</v>
      </c>
      <c r="Q28" s="145">
        <f ca="1"/>
        <v>0</v>
      </c>
      <c r="R28" s="145">
        <f ca="1"/>
        <v>0</v>
      </c>
      <c r="S28" s="145">
        <f ca="1"/>
        <v>0</v>
      </c>
      <c r="T28" s="145">
        <f ca="1"/>
        <v>0</v>
      </c>
      <c r="U28" s="145">
        <f ca="1"/>
        <v>0</v>
      </c>
      <c r="V28" s="145">
        <f ca="1"/>
        <v>0</v>
      </c>
      <c r="W28" s="145">
        <f ca="1"/>
        <v>0</v>
      </c>
      <c r="X28" s="145">
        <f ca="1"/>
        <v>0</v>
      </c>
      <c r="Y28" s="145">
        <f ca="1"/>
        <v>0</v>
      </c>
      <c r="Z28" s="145">
        <f ca="1"/>
        <v>0</v>
      </c>
      <c r="AA28" s="145">
        <f ca="1"/>
        <v>0</v>
      </c>
      <c r="AB28" s="145">
        <f ca="1"/>
        <v>0</v>
      </c>
      <c r="AC28" s="145">
        <f ca="1"/>
        <v>0</v>
      </c>
      <c r="AD28" s="145">
        <f ca="1"/>
        <v>0</v>
      </c>
      <c r="AE28" s="145">
        <f ca="1"/>
        <v>0</v>
      </c>
      <c r="AF28" s="145">
        <f ca="1"/>
        <v>0</v>
      </c>
      <c r="AG28" s="145">
        <f ca="1"/>
        <v>0</v>
      </c>
    </row>
    <row r="29" spans="2:33">
      <c r="B29" s="149">
        <v>3</v>
      </c>
      <c r="C29" s="122" t="str">
        <v>Automóvel</v>
      </c>
      <c r="D29" s="145">
        <f ca="1"/>
        <v>6118611.5185220139</v>
      </c>
      <c r="E29" s="145">
        <f ca="1"/>
        <v>6371689.9040926443</v>
      </c>
      <c r="F29" s="145">
        <f ca="1"/>
        <v>6634720.2571420828</v>
      </c>
      <c r="G29" s="145">
        <f ca="1"/>
        <v>6910048.837636075</v>
      </c>
      <c r="H29" s="145">
        <f ca="1"/>
        <v>7197650.8881663419</v>
      </c>
      <c r="I29" s="145">
        <f ca="1"/>
        <v>7495805.9456480909</v>
      </c>
      <c r="J29" s="145">
        <f ca="1"/>
        <v>7801363.8231042949</v>
      </c>
      <c r="K29" s="145">
        <f ca="1"/>
        <v>8111869.8763527228</v>
      </c>
      <c r="L29" s="145">
        <f ca="1"/>
        <v>8425066.7374586519</v>
      </c>
      <c r="M29" s="145">
        <f ca="1"/>
        <v>8738812.3782381508</v>
      </c>
      <c r="N29" s="145">
        <f ca="1"/>
        <v>9050799.0629199445</v>
      </c>
      <c r="O29" s="145">
        <f ca="1"/>
        <v>9358734.2886725683</v>
      </c>
      <c r="P29" s="145">
        <f ca="1"/>
        <v>9660758.1061092131</v>
      </c>
      <c r="Q29" s="145">
        <f ca="1"/>
        <v>9955018.0048284065</v>
      </c>
      <c r="R29" s="145">
        <f ca="1"/>
        <v>10239579.229419582</v>
      </c>
      <c r="S29" s="145">
        <f ca="1"/>
        <v>10512575.381446486</v>
      </c>
      <c r="T29" s="145">
        <f ca="1"/>
        <v>10772601.32887226</v>
      </c>
      <c r="U29" s="145">
        <f ca="1"/>
        <v>11018433.56191884</v>
      </c>
      <c r="V29" s="145">
        <f ca="1"/>
        <v>11248783.476742115</v>
      </c>
      <c r="W29" s="145">
        <f ca="1"/>
        <v>11462524.980349194</v>
      </c>
      <c r="X29" s="145">
        <f ca="1"/>
        <v>11658479.774213703</v>
      </c>
      <c r="Y29" s="145">
        <f ca="1"/>
        <v>11835719.134938587</v>
      </c>
      <c r="Z29" s="145">
        <f ca="1"/>
        <v>11993523.452984767</v>
      </c>
      <c r="AA29" s="145">
        <f ca="1"/>
        <v>12131102.806300966</v>
      </c>
      <c r="AB29" s="145">
        <f ca="1"/>
        <v>12247707.161143323</v>
      </c>
      <c r="AC29" s="145">
        <f ca="1"/>
        <v>12342792.903943103</v>
      </c>
      <c r="AD29" s="145">
        <f ca="1"/>
        <v>12415912.907134971</v>
      </c>
      <c r="AE29" s="145">
        <f ca="1"/>
        <v>12466515.19815528</v>
      </c>
      <c r="AF29" s="145">
        <f ca="1"/>
        <v>12494103.642951252</v>
      </c>
      <c r="AG29" s="145">
        <f ca="1"/>
        <v>12498288.617569096</v>
      </c>
    </row>
    <row r="30" spans="2:33">
      <c r="B30" s="149">
        <v>3</v>
      </c>
      <c r="C30" s="122" t="str">
        <v xml:space="preserve">Automóvel com reboque </v>
      </c>
      <c r="D30" s="145">
        <f ca="1"/>
        <v>69125.018867246312</v>
      </c>
      <c r="E30" s="145">
        <f ca="1"/>
        <v>71984.172144833021</v>
      </c>
      <c r="F30" s="145">
        <f ca="1"/>
        <v>74955.757783529189</v>
      </c>
      <c r="G30" s="145">
        <f ca="1"/>
        <v>78066.282657305899</v>
      </c>
      <c r="H30" s="145">
        <f ca="1"/>
        <v>81315.467069321894</v>
      </c>
      <c r="I30" s="145">
        <f ca="1"/>
        <v>84683.874086404307</v>
      </c>
      <c r="J30" s="145">
        <f ca="1"/>
        <v>88135.914468483985</v>
      </c>
      <c r="K30" s="145">
        <f ca="1"/>
        <v>91643.856870811287</v>
      </c>
      <c r="L30" s="145">
        <f ca="1"/>
        <v>95182.198677211753</v>
      </c>
      <c r="M30" s="145">
        <f ca="1"/>
        <v>98726.740322443977</v>
      </c>
      <c r="N30" s="145">
        <f ca="1"/>
        <v>102251.41015965701</v>
      </c>
      <c r="O30" s="145">
        <f ca="1"/>
        <v>105730.30863615019</v>
      </c>
      <c r="P30" s="145">
        <f ca="1"/>
        <v>109142.42297213418</v>
      </c>
      <c r="Q30" s="145">
        <f ca="1"/>
        <v>112466.82442976288</v>
      </c>
      <c r="R30" s="145">
        <f ca="1"/>
        <v>115681.65510812945</v>
      </c>
      <c r="S30" s="145">
        <f ca="1"/>
        <v>118765.82936930298</v>
      </c>
      <c r="T30" s="145">
        <f ca="1"/>
        <v>121703.47273289437</v>
      </c>
      <c r="U30" s="145">
        <f ca="1"/>
        <v>124480.76259613888</v>
      </c>
      <c r="V30" s="145">
        <f ca="1"/>
        <v>127083.14095600469</v>
      </c>
      <c r="W30" s="145">
        <f ca="1"/>
        <v>129497.8857759409</v>
      </c>
      <c r="X30" s="145">
        <f ca="1"/>
        <v>131711.68522733726</v>
      </c>
      <c r="Y30" s="145">
        <f ca="1"/>
        <v>133714.04705682077</v>
      </c>
      <c r="Z30" s="145">
        <f ca="1"/>
        <v>135496.84147500765</v>
      </c>
      <c r="AA30" s="145">
        <f ca="1"/>
        <v>137051.14433684762</v>
      </c>
      <c r="AB30" s="145">
        <f ca="1"/>
        <v>138368.48213547748</v>
      </c>
      <c r="AC30" s="145">
        <f ca="1"/>
        <v>139442.71339613915</v>
      </c>
      <c r="AD30" s="145">
        <f ca="1"/>
        <v>140268.78669478057</v>
      </c>
      <c r="AE30" s="145">
        <f ca="1"/>
        <v>140840.46612089156</v>
      </c>
      <c r="AF30" s="145">
        <f ca="1"/>
        <v>141152.14659958621</v>
      </c>
      <c r="AG30" s="145">
        <f ca="1"/>
        <v>141199.42635391309</v>
      </c>
    </row>
    <row r="31" spans="2:33">
      <c r="B31" s="149">
        <v>3</v>
      </c>
      <c r="C31" s="122" t="str">
        <v>Veículos Comerciais com 2 Eixos</v>
      </c>
      <c r="D31" s="145">
        <f ca="1"/>
        <v>1231443.3787283627</v>
      </c>
      <c r="E31" s="145">
        <f ca="1"/>
        <v>1261855.1826536953</v>
      </c>
      <c r="F31" s="145">
        <f ca="1"/>
        <v>1291971.2243153583</v>
      </c>
      <c r="G31" s="145">
        <f ca="1"/>
        <v>1321868.484630303</v>
      </c>
      <c r="H31" s="145">
        <f ca="1"/>
        <v>1351457.7284518899</v>
      </c>
      <c r="I31" s="145">
        <f ca="1"/>
        <v>1380521.10035999</v>
      </c>
      <c r="J31" s="145">
        <f ca="1"/>
        <v>1408751.5153061424</v>
      </c>
      <c r="K31" s="145">
        <f ca="1"/>
        <v>1435930.2305418982</v>
      </c>
      <c r="L31" s="145">
        <f ca="1"/>
        <v>1461865.9130250283</v>
      </c>
      <c r="M31" s="145">
        <f ca="1"/>
        <v>1486392.9006077391</v>
      </c>
      <c r="N31" s="145">
        <f ca="1"/>
        <v>1509338.0504436106</v>
      </c>
      <c r="O31" s="145">
        <f ca="1"/>
        <v>1530540.9137687965</v>
      </c>
      <c r="P31" s="145">
        <f ca="1"/>
        <v>1549899.6153791554</v>
      </c>
      <c r="Q31" s="145">
        <f ca="1"/>
        <v>1567323.4187944431</v>
      </c>
      <c r="R31" s="145">
        <f ca="1"/>
        <v>1582724.4472101603</v>
      </c>
      <c r="S31" s="145">
        <f ca="1"/>
        <v>1596026.7673468264</v>
      </c>
      <c r="T31" s="145">
        <f ca="1"/>
        <v>1607205.3110744003</v>
      </c>
      <c r="U31" s="145">
        <f ca="1"/>
        <v>1616250.3056702947</v>
      </c>
      <c r="V31" s="145">
        <f ca="1"/>
        <v>1623142.7781405551</v>
      </c>
      <c r="W31" s="145">
        <f ca="1"/>
        <v>1627881.3943408518</v>
      </c>
      <c r="X31" s="145">
        <f ca="1"/>
        <v>1630455.1037446684</v>
      </c>
      <c r="Y31" s="145">
        <f ca="1"/>
        <v>1630875.4278955252</v>
      </c>
      <c r="Z31" s="145">
        <f ca="1"/>
        <v>1629170.0664266525</v>
      </c>
      <c r="AA31" s="145">
        <f ca="1"/>
        <v>1625352.5445216696</v>
      </c>
      <c r="AB31" s="145">
        <f ca="1"/>
        <v>1619436.3725598187</v>
      </c>
      <c r="AC31" s="145">
        <f ca="1"/>
        <v>1611452.6457885543</v>
      </c>
      <c r="AD31" s="145">
        <f ca="1"/>
        <v>1601440.4508121689</v>
      </c>
      <c r="AE31" s="145">
        <f ca="1"/>
        <v>1589426.03540165</v>
      </c>
      <c r="AF31" s="145">
        <f ca="1"/>
        <v>1575437.465760482</v>
      </c>
      <c r="AG31" s="145">
        <f ca="1"/>
        <v>1559508.057948597</v>
      </c>
    </row>
    <row r="32" spans="2:33">
      <c r="B32" s="149">
        <v>3</v>
      </c>
      <c r="C32" s="122" t="str">
        <v>Veículos Comerciais com 3 Eixos</v>
      </c>
      <c r="D32" s="145">
        <f ca="1"/>
        <v>854346.01357731165</v>
      </c>
      <c r="E32" s="145">
        <f ca="1"/>
        <v>875444.99701261439</v>
      </c>
      <c r="F32" s="145">
        <f ca="1"/>
        <v>896338.78765115689</v>
      </c>
      <c r="G32" s="145">
        <f ca="1"/>
        <v>917080.79301508411</v>
      </c>
      <c r="H32" s="145">
        <f ca="1"/>
        <v>937609.10389028175</v>
      </c>
      <c r="I32" s="145">
        <f ca="1"/>
        <v>957772.57738789462</v>
      </c>
      <c r="J32" s="145">
        <f ca="1"/>
        <v>977358.16523342289</v>
      </c>
      <c r="K32" s="145">
        <f ca="1"/>
        <v>996214.10893080896</v>
      </c>
      <c r="L32" s="145">
        <f ca="1"/>
        <v>1014207.6661837217</v>
      </c>
      <c r="M32" s="145">
        <f ca="1"/>
        <v>1031223.9045494579</v>
      </c>
      <c r="N32" s="145">
        <f ca="1"/>
        <v>1047142.7016552202</v>
      </c>
      <c r="O32" s="145">
        <f ca="1"/>
        <v>1061852.7419796097</v>
      </c>
      <c r="P32" s="145">
        <f ca="1"/>
        <v>1075283.3469384199</v>
      </c>
      <c r="Q32" s="145">
        <f ca="1"/>
        <v>1087371.5657281277</v>
      </c>
      <c r="R32" s="145">
        <f ca="1"/>
        <v>1098056.4315199649</v>
      </c>
      <c r="S32" s="145">
        <f ca="1"/>
        <v>1107285.2636176497</v>
      </c>
      <c r="T32" s="145">
        <f ca="1"/>
        <v>1115040.6703511002</v>
      </c>
      <c r="U32" s="145">
        <f ca="1"/>
        <v>1121315.8716387227</v>
      </c>
      <c r="V32" s="145">
        <f ca="1"/>
        <v>1126097.7044703218</v>
      </c>
      <c r="W32" s="145">
        <f ca="1"/>
        <v>1129385.2432484152</v>
      </c>
      <c r="X32" s="145">
        <f ca="1"/>
        <v>1131170.8213815549</v>
      </c>
      <c r="Y32" s="145">
        <f ca="1"/>
        <v>1131462.4322415409</v>
      </c>
      <c r="Z32" s="145">
        <f ca="1"/>
        <v>1130279.2931725367</v>
      </c>
      <c r="AA32" s="145">
        <f ca="1"/>
        <v>1127630.7876240041</v>
      </c>
      <c r="AB32" s="145">
        <f ca="1"/>
        <v>1123526.2887744794</v>
      </c>
      <c r="AC32" s="145">
        <f ca="1"/>
        <v>1117987.3697642011</v>
      </c>
      <c r="AD32" s="145">
        <f ca="1"/>
        <v>1111041.147945974</v>
      </c>
      <c r="AE32" s="145">
        <f ca="1"/>
        <v>1102705.8333966052</v>
      </c>
      <c r="AF32" s="145">
        <f ca="1"/>
        <v>1093000.8977779481</v>
      </c>
      <c r="AG32" s="145">
        <f ca="1"/>
        <v>1081949.4549769114</v>
      </c>
    </row>
    <row r="33" spans="2:33">
      <c r="B33" s="149">
        <v>3</v>
      </c>
      <c r="C33" s="122" t="str">
        <v>Veículos Comerciais com 4 Eixos</v>
      </c>
      <c r="D33" s="145">
        <f ca="1"/>
        <v>294507.41895860294</v>
      </c>
      <c r="E33" s="145">
        <f ca="1"/>
        <v>301780.5928898101</v>
      </c>
      <c r="F33" s="145">
        <f ca="1"/>
        <v>308983.03341792035</v>
      </c>
      <c r="G33" s="145">
        <f ca="1"/>
        <v>316133.15101275459</v>
      </c>
      <c r="H33" s="145">
        <f ca="1"/>
        <v>323209.6045284908</v>
      </c>
      <c r="I33" s="145">
        <f ca="1"/>
        <v>330160.29247301258</v>
      </c>
      <c r="J33" s="145">
        <f ca="1"/>
        <v>336911.77352811978</v>
      </c>
      <c r="K33" s="145">
        <f ca="1"/>
        <v>343411.73399155488</v>
      </c>
      <c r="L33" s="145">
        <f ca="1"/>
        <v>349614.41536446876</v>
      </c>
      <c r="M33" s="145">
        <f ca="1"/>
        <v>355480.19850366033</v>
      </c>
      <c r="N33" s="145">
        <f ca="1"/>
        <v>360967.67520986428</v>
      </c>
      <c r="O33" s="145">
        <f ca="1"/>
        <v>366038.4731533968</v>
      </c>
      <c r="P33" s="145">
        <f ca="1"/>
        <v>370668.22823928948</v>
      </c>
      <c r="Q33" s="145">
        <f ca="1"/>
        <v>374835.2402683585</v>
      </c>
      <c r="R33" s="145">
        <f ca="1"/>
        <v>378518.49295083649</v>
      </c>
      <c r="S33" s="145">
        <f ca="1"/>
        <v>381699.82636598387</v>
      </c>
      <c r="T33" s="145">
        <f ca="1"/>
        <v>384373.24531304365</v>
      </c>
      <c r="U33" s="145">
        <f ca="1"/>
        <v>386536.41258402454</v>
      </c>
      <c r="V33" s="145">
        <f ca="1"/>
        <v>388184.79066824936</v>
      </c>
      <c r="W33" s="145">
        <f ca="1"/>
        <v>389318.06049672159</v>
      </c>
      <c r="X33" s="145">
        <f ca="1"/>
        <v>389933.5792666144</v>
      </c>
      <c r="Y33" s="145">
        <f ca="1"/>
        <v>390034.10242742969</v>
      </c>
      <c r="Z33" s="145">
        <f ca="1"/>
        <v>389626.25452044117</v>
      </c>
      <c r="AA33" s="145">
        <f ca="1"/>
        <v>388713.27017826587</v>
      </c>
      <c r="AB33" s="145">
        <f ca="1"/>
        <v>387298.3804929608</v>
      </c>
      <c r="AC33" s="145">
        <f ca="1"/>
        <v>385389.02208827017</v>
      </c>
      <c r="AD33" s="145">
        <f ca="1"/>
        <v>382994.54277112067</v>
      </c>
      <c r="AE33" s="145">
        <f ca="1"/>
        <v>380121.21986081183</v>
      </c>
      <c r="AF33" s="145">
        <f ca="1"/>
        <v>376775.765566196</v>
      </c>
      <c r="AG33" s="145">
        <f ca="1"/>
        <v>372966.14763227047</v>
      </c>
    </row>
    <row r="34" spans="2:33">
      <c r="B34" s="149">
        <v>3</v>
      </c>
      <c r="C34" s="122" t="str">
        <v>Veículos Comerciais com 5 Eixos Articulado</v>
      </c>
      <c r="D34" s="145">
        <f ca="1"/>
        <v>65974.060481145876</v>
      </c>
      <c r="E34" s="145">
        <f ca="1"/>
        <v>68415.190483312879</v>
      </c>
      <c r="F34" s="145">
        <f ca="1"/>
        <v>70909.944752825962</v>
      </c>
      <c r="G34" s="145">
        <f ca="1"/>
        <v>73473.422357985532</v>
      </c>
      <c r="H34" s="145">
        <f ca="1"/>
        <v>76101.41628254822</v>
      </c>
      <c r="I34" s="145">
        <f ca="1"/>
        <v>78775.538941082938</v>
      </c>
      <c r="J34" s="145">
        <f ca="1"/>
        <v>81466.085647460292</v>
      </c>
      <c r="K34" s="145">
        <f ca="1"/>
        <v>84150.197678033903</v>
      </c>
      <c r="L34" s="145">
        <f ca="1"/>
        <v>86807.041581556492</v>
      </c>
      <c r="M34" s="145">
        <f ca="1"/>
        <v>89417.330814926187</v>
      </c>
      <c r="N34" s="145">
        <f ca="1"/>
        <v>91960.635272725602</v>
      </c>
      <c r="O34" s="145">
        <f ca="1"/>
        <v>94417.12695869754</v>
      </c>
      <c r="P34" s="145">
        <f ca="1"/>
        <v>96771.564983591772</v>
      </c>
      <c r="Q34" s="145">
        <f ca="1"/>
        <v>99009.290260994661</v>
      </c>
      <c r="R34" s="145">
        <f ca="1"/>
        <v>101115.45986263076</v>
      </c>
      <c r="S34" s="145">
        <f ca="1"/>
        <v>103076.21828353869</v>
      </c>
      <c r="T34" s="145">
        <f ca="1"/>
        <v>104882.28019675781</v>
      </c>
      <c r="U34" s="145">
        <f ca="1"/>
        <v>106526.10114219175</v>
      </c>
      <c r="V34" s="145">
        <f ca="1"/>
        <v>107999.62885604854</v>
      </c>
      <c r="W34" s="145">
        <f ca="1"/>
        <v>109296.53385887718</v>
      </c>
      <c r="X34" s="145">
        <f ca="1"/>
        <v>110410.01953729514</v>
      </c>
      <c r="Y34" s="145">
        <f ca="1"/>
        <v>111335.65039498034</v>
      </c>
      <c r="Z34" s="145">
        <f ca="1"/>
        <v>112070.8819481379</v>
      </c>
      <c r="AA34" s="145">
        <f ca="1"/>
        <v>112612.40579507108</v>
      </c>
      <c r="AB34" s="145">
        <f ca="1"/>
        <v>112957.27192573789</v>
      </c>
      <c r="AC34" s="145">
        <f ca="1"/>
        <v>113104.43698032196</v>
      </c>
      <c r="AD34" s="145">
        <f ca="1"/>
        <v>113053.81295837072</v>
      </c>
      <c r="AE34" s="145">
        <f ca="1"/>
        <v>112804.40388522399</v>
      </c>
      <c r="AF34" s="145">
        <f ca="1"/>
        <v>112355.7063044508</v>
      </c>
      <c r="AG34" s="145">
        <f ca="1"/>
        <v>111708.09407008241</v>
      </c>
    </row>
    <row r="35" spans="2:33">
      <c r="B35" s="149">
        <v>3</v>
      </c>
      <c r="C35" s="122" t="str">
        <v>Veículos Comerciais com 6 Eixos Articulado</v>
      </c>
      <c r="D35" s="145">
        <f ca="1"/>
        <v>620156.16852277122</v>
      </c>
      <c r="E35" s="145">
        <f ca="1"/>
        <v>643102.79054314108</v>
      </c>
      <c r="F35" s="145">
        <f ca="1"/>
        <v>666553.48067656404</v>
      </c>
      <c r="G35" s="145">
        <f ca="1"/>
        <v>690650.17016506405</v>
      </c>
      <c r="H35" s="145">
        <f ca="1"/>
        <v>715353.31305595336</v>
      </c>
      <c r="I35" s="145">
        <f ca="1"/>
        <v>740490.06604617951</v>
      </c>
      <c r="J35" s="145">
        <f ca="1"/>
        <v>765781.20508612657</v>
      </c>
      <c r="K35" s="145">
        <f ca="1"/>
        <v>791011.85817351867</v>
      </c>
      <c r="L35" s="145">
        <f ca="1"/>
        <v>815986.19086663087</v>
      </c>
      <c r="M35" s="145">
        <f ca="1"/>
        <v>840522.90966030618</v>
      </c>
      <c r="N35" s="145">
        <f ca="1"/>
        <v>864429.97156362038</v>
      </c>
      <c r="O35" s="145">
        <f ca="1"/>
        <v>887520.99341175659</v>
      </c>
      <c r="P35" s="145">
        <f ca="1"/>
        <v>909652.71084576228</v>
      </c>
      <c r="Q35" s="145">
        <f ca="1"/>
        <v>930687.32845334953</v>
      </c>
      <c r="R35" s="145">
        <f ca="1"/>
        <v>950485.32270872896</v>
      </c>
      <c r="S35" s="145">
        <f ca="1"/>
        <v>968916.45186526352</v>
      </c>
      <c r="T35" s="145">
        <f ca="1"/>
        <v>985893.43384952319</v>
      </c>
      <c r="U35" s="145">
        <f ca="1"/>
        <v>1001345.350736602</v>
      </c>
      <c r="V35" s="145">
        <f ca="1"/>
        <v>1015196.5112468563</v>
      </c>
      <c r="W35" s="145">
        <f ca="1"/>
        <v>1027387.4182734452</v>
      </c>
      <c r="X35" s="145">
        <f ca="1"/>
        <v>1037854.1836505738</v>
      </c>
      <c r="Y35" s="145">
        <f ca="1"/>
        <v>1046555.113712815</v>
      </c>
      <c r="Z35" s="145">
        <f ca="1"/>
        <v>1053466.290312496</v>
      </c>
      <c r="AA35" s="145">
        <f ca="1"/>
        <v>1058556.6144736679</v>
      </c>
      <c r="AB35" s="145">
        <f ca="1"/>
        <v>1061798.356101936</v>
      </c>
      <c r="AC35" s="145">
        <f ca="1"/>
        <v>1063181.7076150265</v>
      </c>
      <c r="AD35" s="145">
        <f ca="1"/>
        <v>1062705.8418086846</v>
      </c>
      <c r="AE35" s="145">
        <f ca="1"/>
        <v>1060361.3965211057</v>
      </c>
      <c r="AF35" s="145">
        <f ca="1"/>
        <v>1056143.6392618374</v>
      </c>
      <c r="AG35" s="145">
        <f ca="1"/>
        <v>1050056.084258775</v>
      </c>
    </row>
    <row r="36" spans="2:33">
      <c r="B36" s="149">
        <v>3</v>
      </c>
      <c r="C36" s="122" t="str">
        <v>Veículos Comerciais com 7 Eixos Articulado</v>
      </c>
      <c r="D36" s="145">
        <f ca="1"/>
        <v>192424.34307000876</v>
      </c>
      <c r="E36" s="145">
        <f ca="1"/>
        <v>199544.30557632921</v>
      </c>
      <c r="F36" s="145">
        <f ca="1"/>
        <v>206820.67219574237</v>
      </c>
      <c r="G36" s="145">
        <f ca="1"/>
        <v>214297.48187745779</v>
      </c>
      <c r="H36" s="145">
        <f ca="1"/>
        <v>221962.46415743232</v>
      </c>
      <c r="I36" s="145">
        <f ca="1"/>
        <v>229761.98857815858</v>
      </c>
      <c r="J36" s="145">
        <f ca="1"/>
        <v>237609.41647175915</v>
      </c>
      <c r="K36" s="145">
        <f ca="1"/>
        <v>245438.07656093215</v>
      </c>
      <c r="L36" s="145">
        <f ca="1"/>
        <v>253187.20461287306</v>
      </c>
      <c r="M36" s="145">
        <f ca="1"/>
        <v>260800.54821020138</v>
      </c>
      <c r="N36" s="145">
        <f ca="1"/>
        <v>268218.51954544958</v>
      </c>
      <c r="O36" s="145">
        <f ca="1"/>
        <v>275383.28696286777</v>
      </c>
      <c r="P36" s="145">
        <f ca="1"/>
        <v>282250.39786880935</v>
      </c>
      <c r="Q36" s="145">
        <f ca="1"/>
        <v>288777.09659456776</v>
      </c>
      <c r="R36" s="145">
        <f ca="1"/>
        <v>294920.09126600635</v>
      </c>
      <c r="S36" s="145">
        <f ca="1"/>
        <v>300638.96999365446</v>
      </c>
      <c r="T36" s="145">
        <f ca="1"/>
        <v>305906.65057387692</v>
      </c>
      <c r="U36" s="145">
        <f ca="1"/>
        <v>310701.12833139248</v>
      </c>
      <c r="V36" s="145">
        <f ca="1"/>
        <v>314998.91749680816</v>
      </c>
      <c r="W36" s="145">
        <f ca="1"/>
        <v>318781.55708839174</v>
      </c>
      <c r="X36" s="145">
        <f ca="1"/>
        <v>322029.22365044401</v>
      </c>
      <c r="Y36" s="145">
        <f ca="1"/>
        <v>324728.98031869269</v>
      </c>
      <c r="Z36" s="145">
        <f ca="1"/>
        <v>326873.40568206878</v>
      </c>
      <c r="AA36" s="145">
        <f ca="1"/>
        <v>328452.85023562389</v>
      </c>
      <c r="AB36" s="145">
        <f ca="1"/>
        <v>329458.70978340216</v>
      </c>
      <c r="AC36" s="145">
        <f ca="1"/>
        <v>329887.94119260571</v>
      </c>
      <c r="AD36" s="145">
        <f ca="1"/>
        <v>329740.28779524792</v>
      </c>
      <c r="AE36" s="145">
        <f ca="1"/>
        <v>329012.8446652366</v>
      </c>
      <c r="AF36" s="145">
        <f ca="1"/>
        <v>327704.1433879814</v>
      </c>
      <c r="AG36" s="145">
        <f ca="1"/>
        <v>325815.27437107364</v>
      </c>
    </row>
    <row r="37" spans="2:33">
      <c r="B37" s="149">
        <v>3</v>
      </c>
      <c r="C37" s="122" t="str">
        <v>Veículos Comerciais com 8 Eixos Articulado</v>
      </c>
      <c r="D37" s="145">
        <f ca="1"/>
        <v>0</v>
      </c>
      <c r="E37" s="145">
        <f ca="1"/>
        <v>0</v>
      </c>
      <c r="F37" s="145">
        <f ca="1"/>
        <v>0</v>
      </c>
      <c r="G37" s="145">
        <f ca="1"/>
        <v>0</v>
      </c>
      <c r="H37" s="145">
        <f ca="1"/>
        <v>0</v>
      </c>
      <c r="I37" s="145">
        <f ca="1"/>
        <v>0</v>
      </c>
      <c r="J37" s="145">
        <f ca="1"/>
        <v>0</v>
      </c>
      <c r="K37" s="145">
        <f ca="1"/>
        <v>0</v>
      </c>
      <c r="L37" s="145">
        <f ca="1"/>
        <v>0</v>
      </c>
      <c r="M37" s="145">
        <f ca="1"/>
        <v>0</v>
      </c>
      <c r="N37" s="145">
        <f ca="1"/>
        <v>0</v>
      </c>
      <c r="O37" s="145">
        <f ca="1"/>
        <v>0</v>
      </c>
      <c r="P37" s="145">
        <f ca="1"/>
        <v>0</v>
      </c>
      <c r="Q37" s="145">
        <f ca="1"/>
        <v>0</v>
      </c>
      <c r="R37" s="145">
        <f ca="1"/>
        <v>0</v>
      </c>
      <c r="S37" s="145">
        <f ca="1"/>
        <v>0</v>
      </c>
      <c r="T37" s="145">
        <f ca="1"/>
        <v>0</v>
      </c>
      <c r="U37" s="145">
        <f ca="1"/>
        <v>0</v>
      </c>
      <c r="V37" s="145">
        <f ca="1"/>
        <v>0</v>
      </c>
      <c r="W37" s="145">
        <f ca="1"/>
        <v>0</v>
      </c>
      <c r="X37" s="145">
        <f ca="1"/>
        <v>0</v>
      </c>
      <c r="Y37" s="145">
        <f ca="1"/>
        <v>0</v>
      </c>
      <c r="Z37" s="145">
        <f ca="1"/>
        <v>0</v>
      </c>
      <c r="AA37" s="145">
        <f ca="1"/>
        <v>0</v>
      </c>
      <c r="AB37" s="145">
        <f ca="1"/>
        <v>0</v>
      </c>
      <c r="AC37" s="145">
        <f ca="1"/>
        <v>0</v>
      </c>
      <c r="AD37" s="145">
        <f ca="1"/>
        <v>0</v>
      </c>
      <c r="AE37" s="145">
        <f ca="1"/>
        <v>0</v>
      </c>
      <c r="AF37" s="145">
        <f ca="1"/>
        <v>0</v>
      </c>
      <c r="AG37" s="145">
        <f ca="1"/>
        <v>0</v>
      </c>
    </row>
    <row r="38" spans="2:33">
      <c r="B38" s="149">
        <v>3</v>
      </c>
      <c r="C38" s="122" t="str">
        <v>Veículos Comerciais com 9 Eixos Articulado</v>
      </c>
      <c r="D38" s="145">
        <f ca="1"/>
        <v>148441.63608257816</v>
      </c>
      <c r="E38" s="145">
        <f ca="1"/>
        <v>153934.17858745391</v>
      </c>
      <c r="F38" s="145">
        <f ca="1"/>
        <v>159547.37569385837</v>
      </c>
      <c r="G38" s="145">
        <f ca="1"/>
        <v>165315.20030546741</v>
      </c>
      <c r="H38" s="145">
        <f ca="1"/>
        <v>171228.18663573344</v>
      </c>
      <c r="I38" s="145">
        <f ca="1"/>
        <v>177244.96261743657</v>
      </c>
      <c r="J38" s="145">
        <f ca="1"/>
        <v>183298.69270678557</v>
      </c>
      <c r="K38" s="145">
        <f ca="1"/>
        <v>189337.94477557618</v>
      </c>
      <c r="L38" s="145">
        <f ca="1"/>
        <v>195315.84355850203</v>
      </c>
      <c r="M38" s="145">
        <f ca="1"/>
        <v>201188.99433358386</v>
      </c>
      <c r="N38" s="145">
        <f ca="1"/>
        <v>206911.42936363246</v>
      </c>
      <c r="O38" s="145">
        <f ca="1"/>
        <v>212438.53565706935</v>
      </c>
      <c r="P38" s="145">
        <f ca="1"/>
        <v>217736.02121308135</v>
      </c>
      <c r="Q38" s="145">
        <f ca="1"/>
        <v>222770.90308723788</v>
      </c>
      <c r="R38" s="145">
        <f ca="1"/>
        <v>227509.78469091907</v>
      </c>
      <c r="S38" s="145">
        <f ca="1"/>
        <v>231921.49113796189</v>
      </c>
      <c r="T38" s="145">
        <f ca="1"/>
        <v>235985.13044270492</v>
      </c>
      <c r="U38" s="145">
        <f ca="1"/>
        <v>239683.72756993124</v>
      </c>
      <c r="V38" s="145">
        <f ca="1"/>
        <v>242999.16492610908</v>
      </c>
      <c r="W38" s="145">
        <f ca="1"/>
        <v>245917.20118247348</v>
      </c>
      <c r="X38" s="145">
        <f ca="1"/>
        <v>248422.54395891386</v>
      </c>
      <c r="Y38" s="145">
        <f ca="1"/>
        <v>250505.21338870563</v>
      </c>
      <c r="Z38" s="145">
        <f ca="1"/>
        <v>252159.4843833101</v>
      </c>
      <c r="AA38" s="145">
        <f ca="1"/>
        <v>253377.91303890973</v>
      </c>
      <c r="AB38" s="145">
        <f ca="1"/>
        <v>254153.86183291004</v>
      </c>
      <c r="AC38" s="145">
        <f ca="1"/>
        <v>254484.98320572427</v>
      </c>
      <c r="AD38" s="145">
        <f ca="1"/>
        <v>254371.07915633396</v>
      </c>
      <c r="AE38" s="145">
        <f ca="1"/>
        <v>253809.90874175384</v>
      </c>
      <c r="AF38" s="145">
        <f ca="1"/>
        <v>252800.33918501413</v>
      </c>
      <c r="AG38" s="145">
        <f ca="1"/>
        <v>251343.21165768532</v>
      </c>
    </row>
    <row r="39" spans="2:33">
      <c r="B39" s="149">
        <v>3</v>
      </c>
      <c r="C39" s="122" t="str">
        <v>Motocicleta</v>
      </c>
      <c r="D39" s="145">
        <f ca="1"/>
        <v>373903.51114555955</v>
      </c>
      <c r="E39" s="145">
        <f ca="1"/>
        <v>389368.93114705133</v>
      </c>
      <c r="F39" s="145">
        <f ca="1"/>
        <v>405442.50801090791</v>
      </c>
      <c r="G39" s="145">
        <f ca="1"/>
        <v>422267.61982815462</v>
      </c>
      <c r="H39" s="145">
        <f ca="1"/>
        <v>439842.7536931503</v>
      </c>
      <c r="I39" s="145">
        <f ca="1"/>
        <v>458062.77346736874</v>
      </c>
      <c r="J39" s="145">
        <f ca="1"/>
        <v>476735.17371589068</v>
      </c>
      <c r="K39" s="145">
        <f ca="1"/>
        <v>495709.95307393384</v>
      </c>
      <c r="L39" s="145">
        <f ca="1"/>
        <v>514849.16557219077</v>
      </c>
      <c r="M39" s="145">
        <f ca="1"/>
        <v>534021.91356231063</v>
      </c>
      <c r="N39" s="145">
        <f ca="1"/>
        <v>553087.17313632648</v>
      </c>
      <c r="O39" s="145">
        <f ca="1"/>
        <v>571904.85125917592</v>
      </c>
      <c r="P39" s="145">
        <f ca="1"/>
        <v>590361.28789472557</v>
      </c>
      <c r="Q39" s="145">
        <f ca="1"/>
        <v>608343.27759735344</v>
      </c>
      <c r="R39" s="145">
        <f ca="1"/>
        <v>625732.58899397287</v>
      </c>
      <c r="S39" s="145">
        <f ca="1"/>
        <v>642415.16795213881</v>
      </c>
      <c r="T39" s="145">
        <f ca="1"/>
        <v>658305.14796429232</v>
      </c>
      <c r="U39" s="145">
        <f ca="1"/>
        <v>673327.76131547836</v>
      </c>
      <c r="V39" s="145">
        <f ca="1"/>
        <v>687404.26244384353</v>
      </c>
      <c r="W39" s="145">
        <f ca="1"/>
        <v>700465.83669713477</v>
      </c>
      <c r="X39" s="145">
        <f ca="1"/>
        <v>712440.47918423323</v>
      </c>
      <c r="Y39" s="145">
        <f ca="1"/>
        <v>723271.43635280291</v>
      </c>
      <c r="Z39" s="145">
        <f ca="1"/>
        <v>732914.73343299574</v>
      </c>
      <c r="AA39" s="145">
        <f ca="1"/>
        <v>741322.09891294839</v>
      </c>
      <c r="AB39" s="145">
        <f ca="1"/>
        <v>748447.69882371905</v>
      </c>
      <c r="AC39" s="145">
        <f ca="1"/>
        <v>754258.31337002525</v>
      </c>
      <c r="AD39" s="145">
        <f ca="1"/>
        <v>758726.61893994955</v>
      </c>
      <c r="AE39" s="145">
        <f ca="1"/>
        <v>761818.88492664078</v>
      </c>
      <c r="AF39" s="145">
        <f ca="1"/>
        <v>763504.79297048913</v>
      </c>
      <c r="AG39" s="145">
        <f ca="1"/>
        <v>763760.53345980251</v>
      </c>
    </row>
    <row r="40" spans="2:33">
      <c r="B40" s="149">
        <v>3</v>
      </c>
      <c r="C40" s="122" t="str">
        <v xml:space="preserve">Veículos do transporte público coletivo intermunicipal e metropolitano </v>
      </c>
      <c r="D40" s="145">
        <f ca="1"/>
        <v>0</v>
      </c>
      <c r="E40" s="145">
        <f ca="1"/>
        <v>0</v>
      </c>
      <c r="F40" s="145">
        <f ca="1"/>
        <v>0</v>
      </c>
      <c r="G40" s="145">
        <f ca="1"/>
        <v>0</v>
      </c>
      <c r="H40" s="145">
        <f ca="1"/>
        <v>0</v>
      </c>
      <c r="I40" s="145">
        <f ca="1"/>
        <v>0</v>
      </c>
      <c r="J40" s="145">
        <f ca="1"/>
        <v>0</v>
      </c>
      <c r="K40" s="145">
        <f ca="1"/>
        <v>0</v>
      </c>
      <c r="L40" s="145">
        <f ca="1"/>
        <v>0</v>
      </c>
      <c r="M40" s="145">
        <f ca="1"/>
        <v>0</v>
      </c>
      <c r="N40" s="145">
        <f ca="1"/>
        <v>0</v>
      </c>
      <c r="O40" s="145">
        <f ca="1"/>
        <v>0</v>
      </c>
      <c r="P40" s="145">
        <f ca="1"/>
        <v>0</v>
      </c>
      <c r="Q40" s="145">
        <f ca="1"/>
        <v>0</v>
      </c>
      <c r="R40" s="145">
        <f ca="1"/>
        <v>0</v>
      </c>
      <c r="S40" s="145">
        <f ca="1"/>
        <v>0</v>
      </c>
      <c r="T40" s="145">
        <f ca="1"/>
        <v>0</v>
      </c>
      <c r="U40" s="145">
        <f ca="1"/>
        <v>0</v>
      </c>
      <c r="V40" s="145">
        <f ca="1"/>
        <v>0</v>
      </c>
      <c r="W40" s="145">
        <f ca="1"/>
        <v>0</v>
      </c>
      <c r="X40" s="145">
        <f ca="1"/>
        <v>0</v>
      </c>
      <c r="Y40" s="145">
        <f ca="1"/>
        <v>0</v>
      </c>
      <c r="Z40" s="145">
        <f ca="1"/>
        <v>0</v>
      </c>
      <c r="AA40" s="145">
        <f ca="1"/>
        <v>0</v>
      </c>
      <c r="AB40" s="145">
        <f ca="1"/>
        <v>0</v>
      </c>
      <c r="AC40" s="145">
        <f ca="1"/>
        <v>0</v>
      </c>
      <c r="AD40" s="145">
        <f ca="1"/>
        <v>0</v>
      </c>
      <c r="AE40" s="145">
        <f ca="1"/>
        <v>0</v>
      </c>
      <c r="AF40" s="145">
        <f ca="1"/>
        <v>0</v>
      </c>
      <c r="AG40" s="145">
        <f ca="1"/>
        <v>0</v>
      </c>
    </row>
    <row r="41" spans="2:33">
      <c r="B41" s="149">
        <v>4</v>
      </c>
      <c r="C41" s="122" t="str">
        <v>Automóvel</v>
      </c>
      <c r="D41" s="145">
        <f ca="1"/>
        <v>11473248.524545541</v>
      </c>
      <c r="E41" s="145">
        <f ca="1"/>
        <v>11947805.734960496</v>
      </c>
      <c r="F41" s="145">
        <f ca="1"/>
        <v>12441024.270064376</v>
      </c>
      <c r="G41" s="145">
        <f ca="1"/>
        <v>12957303.693975408</v>
      </c>
      <c r="H41" s="145">
        <f ca="1"/>
        <v>13496597.583105942</v>
      </c>
      <c r="I41" s="145">
        <f ca="1"/>
        <v>14055679.829622645</v>
      </c>
      <c r="J41" s="145">
        <f ca="1"/>
        <v>14628643.394326048</v>
      </c>
      <c r="K41" s="145">
        <f ca="1"/>
        <v>15210885.477601098</v>
      </c>
      <c r="L41" s="145">
        <f ca="1"/>
        <v>15798173.200264672</v>
      </c>
      <c r="M41" s="145">
        <f ca="1"/>
        <v>16386489.961225742</v>
      </c>
      <c r="N41" s="145">
        <f ca="1"/>
        <v>16971508.434594665</v>
      </c>
      <c r="O41" s="145">
        <f ca="1"/>
        <v>17548929.858364891</v>
      </c>
      <c r="P41" s="145">
        <f ca="1"/>
        <v>18115266.568465363</v>
      </c>
      <c r="Q41" s="145">
        <f ca="1"/>
        <v>18667044.849958289</v>
      </c>
      <c r="R41" s="145">
        <f ca="1"/>
        <v>19200636.767062418</v>
      </c>
      <c r="S41" s="145">
        <f ca="1"/>
        <v>27597559.587977469</v>
      </c>
      <c r="T41" s="145">
        <f ca="1"/>
        <v>28280178.386713315</v>
      </c>
      <c r="U41" s="145">
        <f ca="1"/>
        <v>28925535.918429304</v>
      </c>
      <c r="V41" s="145">
        <f ca="1"/>
        <v>29530249.346847657</v>
      </c>
      <c r="W41" s="145">
        <f ca="1"/>
        <v>30091362.458353221</v>
      </c>
      <c r="X41" s="145">
        <f ca="1"/>
        <v>30605781.989629056</v>
      </c>
      <c r="Y41" s="145">
        <f ca="1"/>
        <v>31071069.860722262</v>
      </c>
      <c r="Z41" s="145">
        <f ca="1"/>
        <v>31485336.956319571</v>
      </c>
      <c r="AA41" s="145">
        <f ca="1"/>
        <v>31846509.577057231</v>
      </c>
      <c r="AB41" s="145">
        <f ca="1"/>
        <v>32152618.73815386</v>
      </c>
      <c r="AC41" s="145">
        <f ca="1"/>
        <v>32402237.348025169</v>
      </c>
      <c r="AD41" s="145">
        <f ca="1"/>
        <v>32594191.609653775</v>
      </c>
      <c r="AE41" s="145">
        <f ca="1"/>
        <v>32727032.48746435</v>
      </c>
      <c r="AF41" s="145">
        <f ca="1"/>
        <v>32799457.532857146</v>
      </c>
      <c r="AG41" s="145">
        <f ca="1"/>
        <v>32810443.907004245</v>
      </c>
    </row>
    <row r="42" spans="2:33">
      <c r="B42" s="149">
        <v>4</v>
      </c>
      <c r="C42" s="122" t="str">
        <v xml:space="preserve">Automóvel com reboque </v>
      </c>
      <c r="D42" s="145">
        <f ca="1"/>
        <v>106037.41704755582</v>
      </c>
      <c r="E42" s="145">
        <f ca="1"/>
        <v>110423.34320665889</v>
      </c>
      <c r="F42" s="145">
        <f ca="1"/>
        <v>114981.74001907923</v>
      </c>
      <c r="G42" s="145">
        <f ca="1"/>
        <v>119753.26889071536</v>
      </c>
      <c r="H42" s="145">
        <f ca="1"/>
        <v>124737.50076807705</v>
      </c>
      <c r="I42" s="145">
        <f ca="1"/>
        <v>129904.61949743661</v>
      </c>
      <c r="J42" s="145">
        <f ca="1"/>
        <v>135200.03137085066</v>
      </c>
      <c r="K42" s="145">
        <f ca="1"/>
        <v>140581.19665065705</v>
      </c>
      <c r="L42" s="145">
        <f ca="1"/>
        <v>146008.9944571596</v>
      </c>
      <c r="M42" s="145">
        <f ca="1"/>
        <v>151446.30278397171</v>
      </c>
      <c r="N42" s="145">
        <f ca="1"/>
        <v>156853.12786131847</v>
      </c>
      <c r="O42" s="145">
        <f ca="1"/>
        <v>162189.73991095088</v>
      </c>
      <c r="P42" s="145">
        <f ca="1"/>
        <v>167423.90543868163</v>
      </c>
      <c r="Q42" s="145">
        <f ca="1"/>
        <v>172523.51987022441</v>
      </c>
      <c r="R42" s="145">
        <f ca="1"/>
        <v>177455.05330002232</v>
      </c>
      <c r="S42" s="145">
        <f ca="1"/>
        <v>255060.62465783241</v>
      </c>
      <c r="T42" s="145">
        <f ca="1"/>
        <v>261369.48601398623</v>
      </c>
      <c r="U42" s="145">
        <f ca="1"/>
        <v>267333.97336810816</v>
      </c>
      <c r="V42" s="145">
        <f ca="1"/>
        <v>272922.82205959014</v>
      </c>
      <c r="W42" s="145">
        <f ca="1"/>
        <v>278108.71033598174</v>
      </c>
      <c r="X42" s="145">
        <f ca="1"/>
        <v>282863.04981172882</v>
      </c>
      <c r="Y42" s="145">
        <f ca="1"/>
        <v>287163.30740039056</v>
      </c>
      <c r="Z42" s="145">
        <f ca="1"/>
        <v>290992.02362587402</v>
      </c>
      <c r="AA42" s="145">
        <f ca="1"/>
        <v>294330.03305967868</v>
      </c>
      <c r="AB42" s="145">
        <f ca="1"/>
        <v>297159.13806057174</v>
      </c>
      <c r="AC42" s="145">
        <f ca="1"/>
        <v>299466.14924237673</v>
      </c>
      <c r="AD42" s="145">
        <f ca="1"/>
        <v>301240.21820382419</v>
      </c>
      <c r="AE42" s="145">
        <f ca="1"/>
        <v>302467.95274920843</v>
      </c>
      <c r="AF42" s="145">
        <f ca="1"/>
        <v>303137.31546078692</v>
      </c>
      <c r="AG42" s="145">
        <f ca="1"/>
        <v>303238.85311464185</v>
      </c>
    </row>
    <row r="43" spans="2:33">
      <c r="B43" s="149">
        <v>4</v>
      </c>
      <c r="C43" s="122" t="str">
        <v>Veículos Comerciais com 2 Eixos</v>
      </c>
      <c r="D43" s="145">
        <f ca="1"/>
        <v>2520372.8405528795</v>
      </c>
      <c r="E43" s="145">
        <f ca="1"/>
        <v>2582616.1283642761</v>
      </c>
      <c r="F43" s="145">
        <f ca="1"/>
        <v>2644254.0849119783</v>
      </c>
      <c r="G43" s="145">
        <f ca="1"/>
        <v>2705444.2656432576</v>
      </c>
      <c r="H43" s="145">
        <f ca="1"/>
        <v>2766004.034601076</v>
      </c>
      <c r="I43" s="145">
        <f ca="1"/>
        <v>2825487.5110461758</v>
      </c>
      <c r="J43" s="145">
        <f ca="1"/>
        <v>2883266.1895764819</v>
      </c>
      <c r="K43" s="145">
        <f ca="1"/>
        <v>2938892.3733739508</v>
      </c>
      <c r="L43" s="145">
        <f ca="1"/>
        <v>2991974.464569394</v>
      </c>
      <c r="M43" s="145">
        <f ca="1"/>
        <v>3042173.405447924</v>
      </c>
      <c r="N43" s="145">
        <f ca="1"/>
        <v>3089134.8276843773</v>
      </c>
      <c r="O43" s="145">
        <f ca="1"/>
        <v>3132530.3437022842</v>
      </c>
      <c r="P43" s="145">
        <f ca="1"/>
        <v>3172151.4473680495</v>
      </c>
      <c r="Q43" s="145">
        <f ca="1"/>
        <v>3207812.429972358</v>
      </c>
      <c r="R43" s="145">
        <f ca="1"/>
        <v>3239333.4356524083</v>
      </c>
      <c r="S43" s="145">
        <f ca="1"/>
        <v>4573182.6743981671</v>
      </c>
      <c r="T43" s="145">
        <f ca="1"/>
        <v>4605213.1663334174</v>
      </c>
      <c r="U43" s="145">
        <f ca="1"/>
        <v>4631130.283403283</v>
      </c>
      <c r="V43" s="145">
        <f ca="1"/>
        <v>4650879.6612518514</v>
      </c>
      <c r="W43" s="145">
        <f ca="1"/>
        <v>4664457.4770824993</v>
      </c>
      <c r="X43" s="145">
        <f ca="1"/>
        <v>4671832.0672179982</v>
      </c>
      <c r="Y43" s="145">
        <f ca="1"/>
        <v>4673036.4449663274</v>
      </c>
      <c r="Z43" s="145">
        <f ca="1"/>
        <v>4668149.9795995848</v>
      </c>
      <c r="AA43" s="145">
        <f ca="1"/>
        <v>4657211.4255651645</v>
      </c>
      <c r="AB43" s="145">
        <f ca="1"/>
        <v>4640259.4948906722</v>
      </c>
      <c r="AC43" s="145">
        <f ca="1"/>
        <v>4617383.2864871211</v>
      </c>
      <c r="AD43" s="145">
        <f ca="1"/>
        <v>4588694.7973367674</v>
      </c>
      <c r="AE43" s="145">
        <f ca="1"/>
        <v>4554269.2366115274</v>
      </c>
      <c r="AF43" s="145">
        <f ca="1"/>
        <v>4514187.02393727</v>
      </c>
      <c r="AG43" s="145">
        <f ca="1"/>
        <v>4468543.6216403041</v>
      </c>
    </row>
    <row r="44" spans="2:33">
      <c r="B44" s="149">
        <v>4</v>
      </c>
      <c r="C44" s="122" t="str">
        <v>Veículos Comerciais com 3 Eixos</v>
      </c>
      <c r="D44" s="145">
        <f ca="1"/>
        <v>1314059.1008966209</v>
      </c>
      <c r="E44" s="145">
        <f ca="1"/>
        <v>1346511.1879459131</v>
      </c>
      <c r="F44" s="145">
        <f ca="1"/>
        <v>1378647.6704769703</v>
      </c>
      <c r="G44" s="145">
        <f ca="1"/>
        <v>1410550.6939430572</v>
      </c>
      <c r="H44" s="145">
        <f ca="1"/>
        <v>1442125.036543004</v>
      </c>
      <c r="I44" s="145">
        <f ca="1"/>
        <v>1473138.2272574804</v>
      </c>
      <c r="J44" s="145">
        <f ca="1"/>
        <v>1503262.5791545094</v>
      </c>
      <c r="K44" s="145">
        <f ca="1"/>
        <v>1532264.6743568908</v>
      </c>
      <c r="L44" s="145">
        <f ca="1"/>
        <v>1559940.3435704571</v>
      </c>
      <c r="M44" s="145">
        <f ca="1"/>
        <v>1586112.8106179647</v>
      </c>
      <c r="N44" s="145">
        <f ca="1"/>
        <v>1610597.3167544946</v>
      </c>
      <c r="O44" s="145">
        <f ca="1"/>
        <v>1633222.648945</v>
      </c>
      <c r="P44" s="145">
        <f ca="1"/>
        <v>1653880.0973279725</v>
      </c>
      <c r="Q44" s="145">
        <f ca="1"/>
        <v>1672472.8380463768</v>
      </c>
      <c r="R44" s="145">
        <f ca="1"/>
        <v>1688907.0987703565</v>
      </c>
      <c r="S44" s="145">
        <f ca="1"/>
        <v>2384342.5927560017</v>
      </c>
      <c r="T44" s="145">
        <f ca="1"/>
        <v>2401042.4868178964</v>
      </c>
      <c r="U44" s="145">
        <f ca="1"/>
        <v>2414555.0207599737</v>
      </c>
      <c r="V44" s="145">
        <f ca="1"/>
        <v>2424851.8503723997</v>
      </c>
      <c r="W44" s="145">
        <f ca="1"/>
        <v>2431930.9825450215</v>
      </c>
      <c r="X44" s="145">
        <f ca="1"/>
        <v>2435775.9086317541</v>
      </c>
      <c r="Y44" s="145">
        <f ca="1"/>
        <v>2436403.8409422622</v>
      </c>
      <c r="Z44" s="145">
        <f ca="1"/>
        <v>2433856.1606216887</v>
      </c>
      <c r="AA44" s="145">
        <f ca="1"/>
        <v>2428153.0732656028</v>
      </c>
      <c r="AB44" s="145">
        <f ca="1"/>
        <v>2419314.7623529616</v>
      </c>
      <c r="AC44" s="145">
        <f ca="1"/>
        <v>2407387.6818182808</v>
      </c>
      <c r="AD44" s="145">
        <f ca="1"/>
        <v>2392430.2240753514</v>
      </c>
      <c r="AE44" s="145">
        <f ca="1"/>
        <v>2374481.6012975615</v>
      </c>
      <c r="AF44" s="145">
        <f ca="1"/>
        <v>2353583.7422581315</v>
      </c>
      <c r="AG44" s="145">
        <f ca="1"/>
        <v>2329786.4186165011</v>
      </c>
    </row>
    <row r="45" spans="2:33">
      <c r="B45" s="149">
        <v>4</v>
      </c>
      <c r="C45" s="122" t="str">
        <v>Veículos Comerciais com 4 Eixos</v>
      </c>
      <c r="D45" s="145">
        <f ca="1"/>
        <v>527892.34667682485</v>
      </c>
      <c r="E45" s="145">
        <f ca="1"/>
        <v>540929.20961192599</v>
      </c>
      <c r="F45" s="145">
        <f ca="1"/>
        <v>553839.28585254797</v>
      </c>
      <c r="G45" s="145">
        <f ca="1"/>
        <v>566655.57540307671</v>
      </c>
      <c r="H45" s="145">
        <f ca="1"/>
        <v>579339.82514381583</v>
      </c>
      <c r="I45" s="145">
        <f ca="1"/>
        <v>591798.64530877641</v>
      </c>
      <c r="J45" s="145">
        <f ca="1"/>
        <v>603900.39537784888</v>
      </c>
      <c r="K45" s="145">
        <f ca="1"/>
        <v>615551.30520715832</v>
      </c>
      <c r="L45" s="145">
        <f ca="1"/>
        <v>626669.35458334873</v>
      </c>
      <c r="M45" s="145">
        <f ca="1"/>
        <v>637183.52783370204</v>
      </c>
      <c r="N45" s="145">
        <f ca="1"/>
        <v>647019.6024766285</v>
      </c>
      <c r="O45" s="145">
        <f ca="1"/>
        <v>656108.79770098254</v>
      </c>
      <c r="P45" s="145">
        <f ca="1"/>
        <v>664407.44187596824</v>
      </c>
      <c r="Q45" s="145">
        <f ca="1"/>
        <v>671876.63829361426</v>
      </c>
      <c r="R45" s="145">
        <f ca="1"/>
        <v>678478.71612524381</v>
      </c>
      <c r="S45" s="145">
        <f ca="1"/>
        <v>957853.57425144652</v>
      </c>
      <c r="T45" s="145">
        <f ca="1"/>
        <v>964562.3640308202</v>
      </c>
      <c r="U45" s="145">
        <f ca="1"/>
        <v>969990.70682557439</v>
      </c>
      <c r="V45" s="145">
        <f ca="1"/>
        <v>974127.21601585799</v>
      </c>
      <c r="W45" s="145">
        <f ca="1"/>
        <v>976971.09091653093</v>
      </c>
      <c r="X45" s="145">
        <f ca="1"/>
        <v>978515.69956719177</v>
      </c>
      <c r="Y45" s="145">
        <f ca="1"/>
        <v>978767.95660853945</v>
      </c>
      <c r="Z45" s="145">
        <f ca="1"/>
        <v>977744.4859426521</v>
      </c>
      <c r="AA45" s="145">
        <f ca="1"/>
        <v>975453.40469246113</v>
      </c>
      <c r="AB45" s="145">
        <f ca="1"/>
        <v>971902.8210960686</v>
      </c>
      <c r="AC45" s="145">
        <f ca="1"/>
        <v>967111.39692940831</v>
      </c>
      <c r="AD45" s="145">
        <f ca="1"/>
        <v>961102.58997175563</v>
      </c>
      <c r="AE45" s="145">
        <f ca="1"/>
        <v>953892.15279178414</v>
      </c>
      <c r="AF45" s="145">
        <f ca="1"/>
        <v>945496.92928827601</v>
      </c>
      <c r="AG45" s="145">
        <f ca="1"/>
        <v>935936.91405514325</v>
      </c>
    </row>
    <row r="46" spans="2:33">
      <c r="B46" s="149">
        <v>4</v>
      </c>
      <c r="C46" s="122" t="str">
        <v>Veículos Comerciais com 5 Eixos Articulado</v>
      </c>
      <c r="D46" s="145">
        <f ca="1"/>
        <v>74206.196130721481</v>
      </c>
      <c r="E46" s="145">
        <f ca="1"/>
        <v>76951.926352573777</v>
      </c>
      <c r="F46" s="145">
        <f ca="1"/>
        <v>79757.971990379388</v>
      </c>
      <c r="G46" s="145">
        <f ca="1"/>
        <v>82641.316149551552</v>
      </c>
      <c r="H46" s="145">
        <f ca="1"/>
        <v>85597.226869222563</v>
      </c>
      <c r="I46" s="145">
        <f ca="1"/>
        <v>88605.02219104518</v>
      </c>
      <c r="J46" s="145">
        <f ca="1"/>
        <v>91631.290926609247</v>
      </c>
      <c r="K46" s="145">
        <f ca="1"/>
        <v>94650.322078019046</v>
      </c>
      <c r="L46" s="145">
        <f ca="1"/>
        <v>97638.682629964344</v>
      </c>
      <c r="M46" s="145">
        <f ca="1"/>
        <v>100574.67949595532</v>
      </c>
      <c r="N46" s="145">
        <f ca="1"/>
        <v>103435.33333534627</v>
      </c>
      <c r="O46" s="145">
        <f ca="1"/>
        <v>106198.34204685061</v>
      </c>
      <c r="P46" s="145">
        <f ca="1"/>
        <v>108846.56300791846</v>
      </c>
      <c r="Q46" s="145">
        <f ca="1"/>
        <v>111363.50799524553</v>
      </c>
      <c r="R46" s="145">
        <f ca="1"/>
        <v>113732.48200417796</v>
      </c>
      <c r="S46" s="145">
        <f ca="1"/>
        <v>162313.0609274251</v>
      </c>
      <c r="T46" s="145">
        <f ca="1"/>
        <v>165157.04804919413</v>
      </c>
      <c r="U46" s="145">
        <f ca="1"/>
        <v>167745.55598742727</v>
      </c>
      <c r="V46" s="145">
        <f ca="1"/>
        <v>170065.90492513843</v>
      </c>
      <c r="W46" s="145">
        <f ca="1"/>
        <v>172108.1278961263</v>
      </c>
      <c r="X46" s="145">
        <f ca="1"/>
        <v>173861.52234319184</v>
      </c>
      <c r="Y46" s="145">
        <f ca="1"/>
        <v>175319.10373588983</v>
      </c>
      <c r="Z46" s="145">
        <f ca="1"/>
        <v>176476.8653017552</v>
      </c>
      <c r="AA46" s="145">
        <f ca="1"/>
        <v>177329.59733465861</v>
      </c>
      <c r="AB46" s="145">
        <f ca="1"/>
        <v>177872.65448412395</v>
      </c>
      <c r="AC46" s="145">
        <f ca="1"/>
        <v>178104.39378217806</v>
      </c>
      <c r="AD46" s="145">
        <f ca="1"/>
        <v>178024.67665541309</v>
      </c>
      <c r="AE46" s="145">
        <f ca="1"/>
        <v>177631.93475277399</v>
      </c>
      <c r="AF46" s="145">
        <f ca="1"/>
        <v>176925.3752865963</v>
      </c>
      <c r="AG46" s="145">
        <f ca="1"/>
        <v>175905.58696097854</v>
      </c>
    </row>
    <row r="47" spans="2:33">
      <c r="B47" s="149">
        <v>4</v>
      </c>
      <c r="C47" s="122" t="str">
        <v>Veículos Comerciais com 6 Eixos Articulado</v>
      </c>
      <c r="D47" s="145">
        <f ca="1"/>
        <v>658951.02164080658</v>
      </c>
      <c r="E47" s="145">
        <f ca="1"/>
        <v>683333.10601085494</v>
      </c>
      <c r="F47" s="145">
        <f ca="1"/>
        <v>708250.79127456888</v>
      </c>
      <c r="G47" s="145">
        <f ca="1"/>
        <v>733854.88740801776</v>
      </c>
      <c r="H47" s="145">
        <f ca="1"/>
        <v>760103.37459869636</v>
      </c>
      <c r="I47" s="145">
        <f ca="1"/>
        <v>786812.59705648129</v>
      </c>
      <c r="J47" s="145">
        <f ca="1"/>
        <v>813685.86342829012</v>
      </c>
      <c r="K47" s="145">
        <f ca="1"/>
        <v>840494.86005280912</v>
      </c>
      <c r="L47" s="145">
        <f ca="1"/>
        <v>867031.50175408344</v>
      </c>
      <c r="M47" s="145">
        <f ca="1"/>
        <v>893103.15392408322</v>
      </c>
      <c r="N47" s="145">
        <f ca="1"/>
        <v>918505.76001787465</v>
      </c>
      <c r="O47" s="145">
        <f ca="1"/>
        <v>943041.27737603337</v>
      </c>
      <c r="P47" s="145">
        <f ca="1"/>
        <v>966557.47951031604</v>
      </c>
      <c r="Q47" s="145">
        <f ca="1"/>
        <v>988907.95099778043</v>
      </c>
      <c r="R47" s="145">
        <f ca="1"/>
        <v>1009944.4401971004</v>
      </c>
      <c r="S47" s="145">
        <f ca="1"/>
        <v>1441339.981035535</v>
      </c>
      <c r="T47" s="145">
        <f ca="1"/>
        <v>1466594.5866768439</v>
      </c>
      <c r="U47" s="145">
        <f ca="1"/>
        <v>1489580.5371683545</v>
      </c>
      <c r="V47" s="145">
        <f ca="1"/>
        <v>1510185.2357352297</v>
      </c>
      <c r="W47" s="145">
        <f ca="1"/>
        <v>1528320.175717602</v>
      </c>
      <c r="X47" s="145">
        <f ca="1"/>
        <v>1543890.3184075439</v>
      </c>
      <c r="Y47" s="145">
        <f ca="1"/>
        <v>1556833.6411747024</v>
      </c>
      <c r="Z47" s="145">
        <f ca="1"/>
        <v>1567114.5638795865</v>
      </c>
      <c r="AA47" s="145">
        <f ca="1"/>
        <v>1574686.8243317688</v>
      </c>
      <c r="AB47" s="145">
        <f ca="1"/>
        <v>1579509.1718190215</v>
      </c>
      <c r="AC47" s="145">
        <f ca="1"/>
        <v>1581567.0167857416</v>
      </c>
      <c r="AD47" s="145">
        <f ca="1"/>
        <v>1580859.1287000689</v>
      </c>
      <c r="AE47" s="145">
        <f ca="1"/>
        <v>1577371.5806046335</v>
      </c>
      <c r="AF47" s="145">
        <f ca="1"/>
        <v>1571097.3325449757</v>
      </c>
      <c r="AG47" s="145">
        <f ca="1"/>
        <v>1562041.6122134903</v>
      </c>
    </row>
    <row r="48" spans="2:33">
      <c r="B48" s="182">
        <v>4</v>
      </c>
      <c r="C48" s="183" t="str">
        <v>Veículos Comerciais com 7 Eixos Articulado</v>
      </c>
      <c r="D48" s="145">
        <f ca="1"/>
        <v>405165.83087373927</v>
      </c>
      <c r="E48" s="145">
        <f ca="1"/>
        <v>420157.51788505283</v>
      </c>
      <c r="F48" s="145">
        <f ca="1"/>
        <v>435478.52706747153</v>
      </c>
      <c r="G48" s="145">
        <f ca="1"/>
        <v>451221.58617655147</v>
      </c>
      <c r="H48" s="145">
        <f ca="1"/>
        <v>467360.85870595532</v>
      </c>
      <c r="I48" s="145">
        <f ca="1"/>
        <v>483783.42116310674</v>
      </c>
      <c r="J48" s="145">
        <f ca="1"/>
        <v>500306.84845928656</v>
      </c>
      <c r="K48" s="145">
        <f ca="1"/>
        <v>516790.75854598411</v>
      </c>
      <c r="L48" s="145">
        <f ca="1"/>
        <v>533107.20715960534</v>
      </c>
      <c r="M48" s="145">
        <f ca="1"/>
        <v>549137.75004791608</v>
      </c>
      <c r="N48" s="145">
        <f ca="1"/>
        <v>564756.92001099058</v>
      </c>
      <c r="O48" s="145">
        <f ca="1"/>
        <v>579842.94757580431</v>
      </c>
      <c r="P48" s="145">
        <f ca="1"/>
        <v>594302.23402323481</v>
      </c>
      <c r="Q48" s="145">
        <f ca="1"/>
        <v>608044.75365404051</v>
      </c>
      <c r="R48" s="145">
        <f ca="1"/>
        <v>620979.35174281173</v>
      </c>
      <c r="S48" s="145">
        <f ca="1"/>
        <v>886229.31266374129</v>
      </c>
      <c r="T48" s="145">
        <f ca="1"/>
        <v>901757.48234860029</v>
      </c>
      <c r="U48" s="145">
        <f ca="1"/>
        <v>915890.73569135333</v>
      </c>
      <c r="V48" s="145">
        <f ca="1"/>
        <v>928559.84089125623</v>
      </c>
      <c r="W48" s="145">
        <f ca="1"/>
        <v>939710.37831285025</v>
      </c>
      <c r="X48" s="145">
        <f ca="1"/>
        <v>949283.91199382779</v>
      </c>
      <c r="Y48" s="145">
        <f ca="1"/>
        <v>957242.30639795912</v>
      </c>
      <c r="Z48" s="145">
        <f ca="1"/>
        <v>963563.68454758369</v>
      </c>
      <c r="AA48" s="145">
        <f ca="1"/>
        <v>968219.60144723661</v>
      </c>
      <c r="AB48" s="145">
        <f ca="1"/>
        <v>971184.6934833175</v>
      </c>
      <c r="AC48" s="145">
        <f ca="1"/>
        <v>972449.99005069258</v>
      </c>
      <c r="AD48" s="145">
        <f ca="1"/>
        <v>972014.73453855596</v>
      </c>
      <c r="AE48" s="145">
        <f ca="1"/>
        <v>969870.36375014647</v>
      </c>
      <c r="AF48" s="145">
        <f ca="1"/>
        <v>966012.54906481644</v>
      </c>
      <c r="AG48" s="145">
        <f ca="1"/>
        <v>960444.50480694359</v>
      </c>
    </row>
    <row r="49" spans="2:34">
      <c r="B49" s="182">
        <v>4</v>
      </c>
      <c r="C49" s="183" t="str">
        <v>Veículos Comerciais com 8 Eixos Articulado</v>
      </c>
      <c r="D49" s="145">
        <f ca="1"/>
        <v>0</v>
      </c>
      <c r="E49" s="145">
        <f ca="1"/>
        <v>0</v>
      </c>
      <c r="F49" s="145">
        <f ca="1"/>
        <v>0</v>
      </c>
      <c r="G49" s="145">
        <f ca="1"/>
        <v>0</v>
      </c>
      <c r="H49" s="145">
        <f ca="1"/>
        <v>0</v>
      </c>
      <c r="I49" s="145">
        <f ca="1"/>
        <v>0</v>
      </c>
      <c r="J49" s="145">
        <f ca="1"/>
        <v>0</v>
      </c>
      <c r="K49" s="145">
        <f ca="1"/>
        <v>0</v>
      </c>
      <c r="L49" s="145">
        <f ca="1"/>
        <v>0</v>
      </c>
      <c r="M49" s="145">
        <f ca="1"/>
        <v>0</v>
      </c>
      <c r="N49" s="145">
        <f ca="1"/>
        <v>0</v>
      </c>
      <c r="O49" s="145">
        <f ca="1"/>
        <v>0</v>
      </c>
      <c r="P49" s="145">
        <f ca="1"/>
        <v>0</v>
      </c>
      <c r="Q49" s="145">
        <f ca="1"/>
        <v>0</v>
      </c>
      <c r="R49" s="145">
        <f ca="1"/>
        <v>0</v>
      </c>
      <c r="S49" s="145">
        <f ca="1"/>
        <v>0</v>
      </c>
      <c r="T49" s="145">
        <f ca="1"/>
        <v>0</v>
      </c>
      <c r="U49" s="145">
        <f ca="1"/>
        <v>0</v>
      </c>
      <c r="V49" s="145">
        <f ca="1"/>
        <v>0</v>
      </c>
      <c r="W49" s="145">
        <f ca="1"/>
        <v>0</v>
      </c>
      <c r="X49" s="145">
        <f ca="1"/>
        <v>0</v>
      </c>
      <c r="Y49" s="145">
        <f ca="1"/>
        <v>0</v>
      </c>
      <c r="Z49" s="145">
        <f ca="1"/>
        <v>0</v>
      </c>
      <c r="AA49" s="145">
        <f ca="1"/>
        <v>0</v>
      </c>
      <c r="AB49" s="145">
        <f ca="1"/>
        <v>0</v>
      </c>
      <c r="AC49" s="145">
        <f ca="1"/>
        <v>0</v>
      </c>
      <c r="AD49" s="145">
        <f ca="1"/>
        <v>0</v>
      </c>
      <c r="AE49" s="145">
        <f ca="1"/>
        <v>0</v>
      </c>
      <c r="AF49" s="145">
        <f ca="1"/>
        <v>0</v>
      </c>
      <c r="AG49" s="145">
        <f ca="1"/>
        <v>0</v>
      </c>
    </row>
    <row r="50" spans="2:34">
      <c r="B50" s="182">
        <v>4</v>
      </c>
      <c r="C50" s="183" t="str">
        <v>Veículos Comerciais com 9 Eixos Articulado</v>
      </c>
      <c r="D50" s="145">
        <f ca="1"/>
        <v>240428.07546353756</v>
      </c>
      <c r="E50" s="145">
        <f ca="1"/>
        <v>249324.24138233901</v>
      </c>
      <c r="F50" s="145">
        <f ca="1"/>
        <v>258415.82924882922</v>
      </c>
      <c r="G50" s="145">
        <f ca="1"/>
        <v>267757.86432454706</v>
      </c>
      <c r="H50" s="145">
        <f ca="1"/>
        <v>277335.01505628118</v>
      </c>
      <c r="I50" s="145">
        <f ca="1"/>
        <v>287080.27189898642</v>
      </c>
      <c r="J50" s="145">
        <f ca="1"/>
        <v>296885.382602214</v>
      </c>
      <c r="K50" s="145">
        <f ca="1"/>
        <v>306667.04353278171</v>
      </c>
      <c r="L50" s="145">
        <f ca="1"/>
        <v>316349.33172108454</v>
      </c>
      <c r="M50" s="145">
        <f ca="1"/>
        <v>325861.96156689519</v>
      </c>
      <c r="N50" s="145">
        <f ca="1"/>
        <v>335130.48000652186</v>
      </c>
      <c r="O50" s="145">
        <f ca="1"/>
        <v>344082.62823179597</v>
      </c>
      <c r="P50" s="145">
        <f ca="1"/>
        <v>352662.86414565588</v>
      </c>
      <c r="Q50" s="145">
        <f ca="1"/>
        <v>360817.76590459561</v>
      </c>
      <c r="R50" s="145">
        <f ca="1"/>
        <v>368493.24169353663</v>
      </c>
      <c r="S50" s="145">
        <f ca="1"/>
        <v>525894.31740485749</v>
      </c>
      <c r="T50" s="145">
        <f ca="1"/>
        <v>535108.83567938919</v>
      </c>
      <c r="U50" s="145">
        <f ca="1"/>
        <v>543495.60139926453</v>
      </c>
      <c r="V50" s="145">
        <f ca="1"/>
        <v>551013.53195744869</v>
      </c>
      <c r="W50" s="145">
        <f ca="1"/>
        <v>557630.3343834494</v>
      </c>
      <c r="X50" s="145">
        <f ca="1"/>
        <v>563311.33239194169</v>
      </c>
      <c r="Y50" s="145">
        <f ca="1"/>
        <v>568033.8961042834</v>
      </c>
      <c r="Z50" s="145">
        <f ca="1"/>
        <v>571785.04357768712</v>
      </c>
      <c r="AA50" s="145">
        <f ca="1"/>
        <v>574547.89536429418</v>
      </c>
      <c r="AB50" s="145">
        <f ca="1"/>
        <v>576307.40052856191</v>
      </c>
      <c r="AC50" s="145">
        <f ca="1"/>
        <v>577058.23585425713</v>
      </c>
      <c r="AD50" s="145">
        <f ca="1"/>
        <v>576799.95236353856</v>
      </c>
      <c r="AE50" s="145">
        <f ca="1"/>
        <v>575527.46859898802</v>
      </c>
      <c r="AF50" s="145">
        <f ca="1"/>
        <v>573238.21592857235</v>
      </c>
      <c r="AG50" s="145">
        <f ca="1"/>
        <v>569934.10175357084</v>
      </c>
    </row>
    <row r="51" spans="2:34">
      <c r="B51" s="182">
        <v>4</v>
      </c>
      <c r="C51" s="183" t="str">
        <v>Motocicleta</v>
      </c>
      <c r="D51" s="145">
        <f ca="1"/>
        <v>886001.5291084667</v>
      </c>
      <c r="E51" s="145">
        <f ca="1"/>
        <v>922648.37879341666</v>
      </c>
      <c r="F51" s="145">
        <f ca="1"/>
        <v>960736.31660386245</v>
      </c>
      <c r="G51" s="145">
        <f ca="1"/>
        <v>1000605.0911757553</v>
      </c>
      <c r="H51" s="145">
        <f ca="1"/>
        <v>1042251.117528822</v>
      </c>
      <c r="I51" s="145">
        <f ca="1"/>
        <v>1085425.2651341374</v>
      </c>
      <c r="J51" s="145">
        <f ca="1"/>
        <v>1129671.3732319975</v>
      </c>
      <c r="K51" s="145">
        <f ca="1"/>
        <v>1174633.9986810461</v>
      </c>
      <c r="L51" s="145">
        <f ca="1"/>
        <v>1219986.2647976007</v>
      </c>
      <c r="M51" s="145">
        <f ca="1"/>
        <v>1265417.9965949643</v>
      </c>
      <c r="N51" s="145">
        <f ca="1"/>
        <v>1310595.0239079064</v>
      </c>
      <c r="O51" s="145">
        <f ca="1"/>
        <v>1355185.382367057</v>
      </c>
      <c r="P51" s="145">
        <f ca="1"/>
        <v>1398919.7432209852</v>
      </c>
      <c r="Q51" s="145">
        <f ca="1"/>
        <v>1441529.8549156538</v>
      </c>
      <c r="R51" s="145">
        <f ca="1"/>
        <v>1482735.5564624094</v>
      </c>
      <c r="S51" s="145">
        <f ca="1"/>
        <v>2131173.2193632224</v>
      </c>
      <c r="T51" s="145">
        <f ca="1"/>
        <v>2183887.2609168636</v>
      </c>
      <c r="U51" s="145">
        <f ca="1"/>
        <v>2233723.8663646374</v>
      </c>
      <c r="V51" s="145">
        <f ca="1"/>
        <v>2280421.8020979096</v>
      </c>
      <c r="W51" s="145">
        <f ca="1"/>
        <v>2323752.7796962038</v>
      </c>
      <c r="X51" s="145">
        <f ca="1"/>
        <v>2363477.9273157795</v>
      </c>
      <c r="Y51" s="145">
        <f ca="1"/>
        <v>2399408.9685010426</v>
      </c>
      <c r="Z51" s="145">
        <f ca="1"/>
        <v>2431400.0196295264</v>
      </c>
      <c r="AA51" s="145">
        <f ca="1"/>
        <v>2459290.9428986493</v>
      </c>
      <c r="AB51" s="145">
        <f ca="1"/>
        <v>2482929.686906111</v>
      </c>
      <c r="AC51" s="145">
        <f ca="1"/>
        <v>2502206.0470029712</v>
      </c>
      <c r="AD51" s="145">
        <f ca="1"/>
        <v>2517029.3787697321</v>
      </c>
      <c r="AE51" s="145">
        <f ca="1"/>
        <v>2527287.7829711642</v>
      </c>
      <c r="AF51" s="145">
        <f ca="1"/>
        <v>2532880.6802945761</v>
      </c>
      <c r="AG51" s="145">
        <f ca="1"/>
        <v>2533729.0838023406</v>
      </c>
    </row>
    <row r="52" spans="2:34">
      <c r="B52" s="182">
        <v>4</v>
      </c>
      <c r="C52" s="183" t="str">
        <v xml:space="preserve">Veículos do transporte público coletivo intermunicipal e metropolitano </v>
      </c>
      <c r="D52" s="145">
        <f ca="1"/>
        <v>0</v>
      </c>
      <c r="E52" s="145">
        <f ca="1"/>
        <v>0</v>
      </c>
      <c r="F52" s="145">
        <f ca="1"/>
        <v>0</v>
      </c>
      <c r="G52" s="145">
        <f ca="1"/>
        <v>0</v>
      </c>
      <c r="H52" s="145">
        <f ca="1"/>
        <v>0</v>
      </c>
      <c r="I52" s="145">
        <f ca="1"/>
        <v>0</v>
      </c>
      <c r="J52" s="145">
        <f ca="1"/>
        <v>0</v>
      </c>
      <c r="K52" s="145">
        <f ca="1"/>
        <v>0</v>
      </c>
      <c r="L52" s="145">
        <f ca="1"/>
        <v>0</v>
      </c>
      <c r="M52" s="145">
        <f ca="1"/>
        <v>0</v>
      </c>
      <c r="N52" s="145">
        <f ca="1"/>
        <v>0</v>
      </c>
      <c r="O52" s="145">
        <f ca="1"/>
        <v>0</v>
      </c>
      <c r="P52" s="145">
        <f ca="1"/>
        <v>0</v>
      </c>
      <c r="Q52" s="145">
        <f ca="1"/>
        <v>0</v>
      </c>
      <c r="R52" s="145">
        <f ca="1"/>
        <v>0</v>
      </c>
      <c r="S52" s="145">
        <f ca="1"/>
        <v>0</v>
      </c>
      <c r="T52" s="145">
        <f ca="1"/>
        <v>0</v>
      </c>
      <c r="U52" s="145">
        <f ca="1"/>
        <v>0</v>
      </c>
      <c r="V52" s="145">
        <f ca="1"/>
        <v>0</v>
      </c>
      <c r="W52" s="145">
        <f ca="1"/>
        <v>0</v>
      </c>
      <c r="X52" s="145">
        <f ca="1"/>
        <v>0</v>
      </c>
      <c r="Y52" s="145">
        <f ca="1"/>
        <v>0</v>
      </c>
      <c r="Z52" s="145">
        <f ca="1"/>
        <v>0</v>
      </c>
      <c r="AA52" s="145">
        <f ca="1"/>
        <v>0</v>
      </c>
      <c r="AB52" s="145">
        <f ca="1"/>
        <v>0</v>
      </c>
      <c r="AC52" s="145">
        <f ca="1"/>
        <v>0</v>
      </c>
      <c r="AD52" s="145">
        <f ca="1"/>
        <v>0</v>
      </c>
      <c r="AE52" s="145">
        <f ca="1"/>
        <v>0</v>
      </c>
      <c r="AF52" s="145">
        <f ca="1"/>
        <v>0</v>
      </c>
      <c r="AG52" s="145">
        <f ca="1"/>
        <v>0</v>
      </c>
    </row>
    <row r="53" spans="2:34" ht="12.95" customHeight="1">
      <c r="B53" s="607" t="s">
        <v>73</v>
      </c>
      <c r="C53" s="608"/>
      <c r="D53" s="144">
        <f ca="1">SUM(D5:D52)</f>
        <v>123539608.93223384</v>
      </c>
      <c r="E53" s="144">
        <f t="shared" ref="E53:AG53" ca="1" si="1">SUM(E5:E52)</f>
        <v>128105806.97992943</v>
      </c>
      <c r="F53" s="144">
        <f t="shared" ca="1" si="1"/>
        <v>132800462.47410993</v>
      </c>
      <c r="G53" s="144">
        <f t="shared" ca="1" si="1"/>
        <v>137657962.70213294</v>
      </c>
      <c r="H53" s="144">
        <f t="shared" ca="1" si="1"/>
        <v>166026503.6248683</v>
      </c>
      <c r="I53" s="144">
        <f t="shared" ca="1" si="1"/>
        <v>171998170.59611237</v>
      </c>
      <c r="J53" s="144">
        <f t="shared" ca="1" si="1"/>
        <v>200265049.29704174</v>
      </c>
      <c r="K53" s="144">
        <f t="shared" ca="1" si="1"/>
        <v>207119914.84222683</v>
      </c>
      <c r="L53" s="144">
        <f t="shared" ca="1" si="1"/>
        <v>213960795.43045682</v>
      </c>
      <c r="M53" s="144">
        <f t="shared" ca="1" si="1"/>
        <v>220740362.13465869</v>
      </c>
      <c r="N53" s="144">
        <f t="shared" ca="1" si="1"/>
        <v>227408012.6279313</v>
      </c>
      <c r="O53" s="144">
        <f t="shared" ca="1" si="1"/>
        <v>233914105.69918865</v>
      </c>
      <c r="P53" s="144">
        <f t="shared" ca="1" si="1"/>
        <v>240219681.33645159</v>
      </c>
      <c r="Q53" s="144">
        <f t="shared" ca="1" si="1"/>
        <v>246286582.26141649</v>
      </c>
      <c r="R53" s="144">
        <f t="shared" ca="1" si="1"/>
        <v>252075470.73023921</v>
      </c>
      <c r="S53" s="144">
        <f t="shared" ca="1" si="1"/>
        <v>269238942.30000371</v>
      </c>
      <c r="T53" s="144">
        <f t="shared" ca="1" si="1"/>
        <v>274613341.33124524</v>
      </c>
      <c r="U53" s="144">
        <f t="shared" ca="1" si="1"/>
        <v>279607474.2269907</v>
      </c>
      <c r="V53" s="144">
        <f t="shared" ca="1" si="1"/>
        <v>284196317.15248698</v>
      </c>
      <c r="W53" s="144">
        <f t="shared" ca="1" si="1"/>
        <v>288358924.4800812</v>
      </c>
      <c r="X53" s="144">
        <f t="shared" ca="1" si="1"/>
        <v>292073001.04439259</v>
      </c>
      <c r="Y53" s="144">
        <f t="shared" ca="1" si="1"/>
        <v>295322185.20198882</v>
      </c>
      <c r="Z53" s="144">
        <f t="shared" ca="1" si="1"/>
        <v>298094951.09629512</v>
      </c>
      <c r="AA53" s="144">
        <f t="shared" ca="1" si="1"/>
        <v>300377826.2382853</v>
      </c>
      <c r="AB53" s="144">
        <f t="shared" ca="1" si="1"/>
        <v>302158179.08823556</v>
      </c>
      <c r="AC53" s="144">
        <f t="shared" ca="1" si="1"/>
        <v>303428223.12398511</v>
      </c>
      <c r="AD53" s="144">
        <f t="shared" ca="1" si="1"/>
        <v>304182478.73017526</v>
      </c>
      <c r="AE53" s="144">
        <f t="shared" ca="1" si="1"/>
        <v>304412950.26307595</v>
      </c>
      <c r="AF53" s="144">
        <f t="shared" ca="1" si="1"/>
        <v>304112859.70771152</v>
      </c>
      <c r="AG53" s="144">
        <f t="shared" ca="1" si="1"/>
        <v>303277750.8403936</v>
      </c>
    </row>
    <row r="54" spans="2:34">
      <c r="B54" t="s">
        <v>617</v>
      </c>
    </row>
    <row r="56" spans="2:34">
      <c r="B56" s="2" t="s">
        <v>618</v>
      </c>
    </row>
    <row r="57" spans="2:34">
      <c r="B57" s="614" t="s">
        <v>105</v>
      </c>
      <c r="C57" s="619"/>
      <c r="D57" s="599"/>
      <c r="E57" s="46" t="str" cm="1">
        <f t="array" ref="E57:AH57">E378:AH378</f>
        <v>Ano 1</v>
      </c>
      <c r="F57" s="46" t="str">
        <v>Ano 2</v>
      </c>
      <c r="G57" s="46" t="str">
        <v>Ano 3</v>
      </c>
      <c r="H57" s="46" t="str">
        <v>Ano 4</v>
      </c>
      <c r="I57" s="46" t="str">
        <v>Ano 5</v>
      </c>
      <c r="J57" s="46" t="str">
        <v>Ano 6</v>
      </c>
      <c r="K57" s="46" t="str">
        <v>Ano 7</v>
      </c>
      <c r="L57" s="46" t="str">
        <v>Ano 8</v>
      </c>
      <c r="M57" s="46" t="str">
        <v>Ano 9</v>
      </c>
      <c r="N57" s="46" t="str">
        <v>Ano 10</v>
      </c>
      <c r="O57" s="46" t="str">
        <v>Ano 11</v>
      </c>
      <c r="P57" s="46" t="str">
        <v>Ano 12</v>
      </c>
      <c r="Q57" s="46" t="str">
        <v>Ano 13</v>
      </c>
      <c r="R57" s="46" t="str">
        <v>Ano 14</v>
      </c>
      <c r="S57" s="46" t="str">
        <v>Ano 15</v>
      </c>
      <c r="T57" s="46" t="str">
        <v>Ano 16</v>
      </c>
      <c r="U57" s="46" t="str">
        <v>Ano 17</v>
      </c>
      <c r="V57" s="46" t="str">
        <v>Ano 18</v>
      </c>
      <c r="W57" s="46" t="str">
        <v>Ano 19</v>
      </c>
      <c r="X57" s="46" t="str">
        <v>Ano 20</v>
      </c>
      <c r="Y57" s="46" t="str">
        <v>Ano 21</v>
      </c>
      <c r="Z57" s="46" t="str">
        <v>Ano 22</v>
      </c>
      <c r="AA57" s="46" t="str">
        <v>Ano 23</v>
      </c>
      <c r="AB57" s="46" t="str">
        <v>Ano 24</v>
      </c>
      <c r="AC57" s="46" t="str">
        <v>Ano 25</v>
      </c>
      <c r="AD57" s="46" t="str">
        <v>Ano 26</v>
      </c>
      <c r="AE57" s="46" t="str">
        <v>Ano 27</v>
      </c>
      <c r="AF57" s="46" t="str">
        <v>Ano 28</v>
      </c>
      <c r="AG57" s="46" t="str">
        <v>Ano 29</v>
      </c>
      <c r="AH57" s="46" t="str">
        <v>Ano 30</v>
      </c>
    </row>
    <row r="58" spans="2:34" hidden="1">
      <c r="B58" s="234"/>
      <c r="C58" s="235"/>
      <c r="D58" s="221"/>
      <c r="E58" s="46">
        <v>1</v>
      </c>
      <c r="F58" s="46">
        <v>2</v>
      </c>
      <c r="G58" s="46">
        <v>3</v>
      </c>
      <c r="H58" s="46">
        <v>4</v>
      </c>
      <c r="I58" s="46">
        <v>5</v>
      </c>
      <c r="J58" s="46">
        <v>6</v>
      </c>
      <c r="K58" s="46">
        <v>7</v>
      </c>
      <c r="L58" s="46">
        <v>8</v>
      </c>
      <c r="M58" s="46">
        <v>9</v>
      </c>
      <c r="N58" s="46">
        <v>10</v>
      </c>
      <c r="O58" s="46">
        <v>11</v>
      </c>
      <c r="P58" s="46">
        <v>12</v>
      </c>
      <c r="Q58" s="46">
        <v>13</v>
      </c>
      <c r="R58" s="46">
        <v>14</v>
      </c>
      <c r="S58" s="46">
        <v>15</v>
      </c>
      <c r="T58" s="46">
        <v>16</v>
      </c>
      <c r="U58" s="46">
        <v>17</v>
      </c>
      <c r="V58" s="46">
        <v>18</v>
      </c>
      <c r="W58" s="46">
        <v>19</v>
      </c>
      <c r="X58" s="46">
        <v>20</v>
      </c>
      <c r="Y58" s="46">
        <v>21</v>
      </c>
      <c r="Z58" s="46">
        <v>22</v>
      </c>
      <c r="AA58" s="46">
        <v>23</v>
      </c>
      <c r="AB58" s="46">
        <v>24</v>
      </c>
      <c r="AC58" s="46">
        <v>25</v>
      </c>
      <c r="AD58" s="46">
        <v>26</v>
      </c>
      <c r="AE58" s="46">
        <v>27</v>
      </c>
      <c r="AF58" s="46">
        <v>28</v>
      </c>
      <c r="AG58" s="46">
        <v>29</v>
      </c>
      <c r="AH58" s="46">
        <v>30</v>
      </c>
    </row>
    <row r="59" spans="2:34">
      <c r="B59" s="236"/>
      <c r="C59" s="235">
        <v>1</v>
      </c>
      <c r="D59" s="233"/>
      <c r="E59" s="367" cm="1">
        <f t="array" ref="E59:E62">IF(IF((_xlfn.ANCHORARRAY('Painel Controle'!$D69) - (12*D58))&lt;0,0,_xlfn.ANCHORARRAY('Painel Controle'!$D69) - (12*D58))&gt;12,12,IF((_xlfn.ANCHORARRAY('Painel Controle'!$D69) - (12*D58))&lt;0,0,_xlfn.ANCHORARRAY('Painel Controle'!$D69) - (12*D58)))</f>
        <v>12</v>
      </c>
      <c r="F59" s="367" cm="1">
        <f t="array" ref="F59:F62">IF(IF((_xlfn.ANCHORARRAY('Painel Controle'!$D69) - (12*E58))&lt;0,0,_xlfn.ANCHORARRAY('Painel Controle'!$D69) - (12*E58))&gt;12,12,IF((_xlfn.ANCHORARRAY('Painel Controle'!$D69) - (12*E58))&lt;0,0,_xlfn.ANCHORARRAY('Painel Controle'!$D69) - (12*E58)))</f>
        <v>3</v>
      </c>
      <c r="G59" s="367" cm="1">
        <f t="array" ref="G59:G62">IF(IF((_xlfn.ANCHORARRAY('Painel Controle'!$D69) - (12*F58))&lt;0,0,_xlfn.ANCHORARRAY('Painel Controle'!$D69) - (12*F58))&gt;12,12,IF((_xlfn.ANCHORARRAY('Painel Controle'!$D69) - (12*F58))&lt;0,0,_xlfn.ANCHORARRAY('Painel Controle'!$D69) - (12*F58)))</f>
        <v>0</v>
      </c>
      <c r="H59" s="367" cm="1">
        <f t="array" ref="H59:H62">IF(IF((_xlfn.ANCHORARRAY('Painel Controle'!$D69) - (12*G58))&lt;0,0,_xlfn.ANCHORARRAY('Painel Controle'!$D69) - (12*G58))&gt;12,12,IF((_xlfn.ANCHORARRAY('Painel Controle'!$D69) - (12*G58))&lt;0,0,_xlfn.ANCHORARRAY('Painel Controle'!$D69) - (12*G58)))</f>
        <v>0</v>
      </c>
      <c r="I59" s="367" cm="1">
        <f t="array" ref="I59:I62">IF(IF((_xlfn.ANCHORARRAY('Painel Controle'!$D69) - (12*H58))&lt;0,0,_xlfn.ANCHORARRAY('Painel Controle'!$D69) - (12*H58))&gt;12,12,IF((_xlfn.ANCHORARRAY('Painel Controle'!$D69) - (12*H58))&lt;0,0,_xlfn.ANCHORARRAY('Painel Controle'!$D69) - (12*H58)))</f>
        <v>0</v>
      </c>
      <c r="J59" s="367" cm="1">
        <f t="array" ref="J59:J62">IF(IF((_xlfn.ANCHORARRAY('Painel Controle'!$D69) - (12*I58))&lt;0,0,_xlfn.ANCHORARRAY('Painel Controle'!$D69) - (12*I58))&gt;12,12,IF((_xlfn.ANCHORARRAY('Painel Controle'!$D69) - (12*I58))&lt;0,0,_xlfn.ANCHORARRAY('Painel Controle'!$D69) - (12*I58)))</f>
        <v>0</v>
      </c>
      <c r="K59" s="367" cm="1">
        <f t="array" ref="K59:K62">IF(IF((_xlfn.ANCHORARRAY('Painel Controle'!$D69) - (12*J58))&lt;0,0,_xlfn.ANCHORARRAY('Painel Controle'!$D69) - (12*J58))&gt;12,12,IF((_xlfn.ANCHORARRAY('Painel Controle'!$D69) - (12*J58))&lt;0,0,_xlfn.ANCHORARRAY('Painel Controle'!$D69) - (12*J58)))</f>
        <v>0</v>
      </c>
      <c r="L59" s="367" cm="1">
        <f t="array" ref="L59:L62">IF(IF((_xlfn.ANCHORARRAY('Painel Controle'!$D69) - (12*K58))&lt;0,0,_xlfn.ANCHORARRAY('Painel Controle'!$D69) - (12*K58))&gt;12,12,IF((_xlfn.ANCHORARRAY('Painel Controle'!$D69) - (12*K58))&lt;0,0,_xlfn.ANCHORARRAY('Painel Controle'!$D69) - (12*K58)))</f>
        <v>0</v>
      </c>
      <c r="M59" s="367" cm="1">
        <f t="array" ref="M59:M62">IF(IF((_xlfn.ANCHORARRAY('Painel Controle'!$D69) - (12*L58))&lt;0,0,_xlfn.ANCHORARRAY('Painel Controle'!$D69) - (12*L58))&gt;12,12,IF((_xlfn.ANCHORARRAY('Painel Controle'!$D69) - (12*L58))&lt;0,0,_xlfn.ANCHORARRAY('Painel Controle'!$D69) - (12*L58)))</f>
        <v>0</v>
      </c>
      <c r="N59" s="367" cm="1">
        <f t="array" ref="N59:N62">IF(IF((_xlfn.ANCHORARRAY('Painel Controle'!$D69) - (12*M58))&lt;0,0,_xlfn.ANCHORARRAY('Painel Controle'!$D69) - (12*M58))&gt;12,12,IF((_xlfn.ANCHORARRAY('Painel Controle'!$D69) - (12*M58))&lt;0,0,_xlfn.ANCHORARRAY('Painel Controle'!$D69) - (12*M58)))</f>
        <v>0</v>
      </c>
      <c r="O59" s="367" cm="1">
        <f t="array" ref="O59:O62">IF(IF((_xlfn.ANCHORARRAY('Painel Controle'!$D69) - (12*N58))&lt;0,0,_xlfn.ANCHORARRAY('Painel Controle'!$D69) - (12*N58))&gt;12,12,IF((_xlfn.ANCHORARRAY('Painel Controle'!$D69) - (12*N58))&lt;0,0,_xlfn.ANCHORARRAY('Painel Controle'!$D69) - (12*N58)))</f>
        <v>0</v>
      </c>
      <c r="P59" s="367" cm="1">
        <f t="array" ref="P59:P62">IF(IF((_xlfn.ANCHORARRAY('Painel Controle'!$D69) - (12*O58))&lt;0,0,_xlfn.ANCHORARRAY('Painel Controle'!$D69) - (12*O58))&gt;12,12,IF((_xlfn.ANCHORARRAY('Painel Controle'!$D69) - (12*O58))&lt;0,0,_xlfn.ANCHORARRAY('Painel Controle'!$D69) - (12*O58)))</f>
        <v>0</v>
      </c>
      <c r="Q59" s="367" cm="1">
        <f t="array" ref="Q59:Q62">IF(IF((_xlfn.ANCHORARRAY('Painel Controle'!$D69) - (12*P58))&lt;0,0,_xlfn.ANCHORARRAY('Painel Controle'!$D69) - (12*P58))&gt;12,12,IF((_xlfn.ANCHORARRAY('Painel Controle'!$D69) - (12*P58))&lt;0,0,_xlfn.ANCHORARRAY('Painel Controle'!$D69) - (12*P58)))</f>
        <v>0</v>
      </c>
      <c r="R59" s="367" cm="1">
        <f t="array" ref="R59:R62">IF(IF((_xlfn.ANCHORARRAY('Painel Controle'!$D69) - (12*Q58))&lt;0,0,_xlfn.ANCHORARRAY('Painel Controle'!$D69) - (12*Q58))&gt;12,12,IF((_xlfn.ANCHORARRAY('Painel Controle'!$D69) - (12*Q58))&lt;0,0,_xlfn.ANCHORARRAY('Painel Controle'!$D69) - (12*Q58)))</f>
        <v>0</v>
      </c>
      <c r="S59" s="367" cm="1">
        <f t="array" ref="S59:S62">IF(IF((_xlfn.ANCHORARRAY('Painel Controle'!$D69) - (12*R58))&lt;0,0,_xlfn.ANCHORARRAY('Painel Controle'!$D69) - (12*R58))&gt;12,12,IF((_xlfn.ANCHORARRAY('Painel Controle'!$D69) - (12*R58))&lt;0,0,_xlfn.ANCHORARRAY('Painel Controle'!$D69) - (12*R58)))</f>
        <v>0</v>
      </c>
      <c r="T59" s="367" cm="1">
        <f t="array" ref="T59:T62">IF(IF((_xlfn.ANCHORARRAY('Painel Controle'!$D69) - (12*S58))&lt;0,0,_xlfn.ANCHORARRAY('Painel Controle'!$D69) - (12*S58))&gt;12,12,IF((_xlfn.ANCHORARRAY('Painel Controle'!$D69) - (12*S58))&lt;0,0,_xlfn.ANCHORARRAY('Painel Controle'!$D69) - (12*S58)))</f>
        <v>0</v>
      </c>
      <c r="U59" s="367" cm="1">
        <f t="array" ref="U59:U62">IF(IF((_xlfn.ANCHORARRAY('Painel Controle'!$D69) - (12*T58))&lt;0,0,_xlfn.ANCHORARRAY('Painel Controle'!$D69) - (12*T58))&gt;12,12,IF((_xlfn.ANCHORARRAY('Painel Controle'!$D69) - (12*T58))&lt;0,0,_xlfn.ANCHORARRAY('Painel Controle'!$D69) - (12*T58)))</f>
        <v>0</v>
      </c>
      <c r="V59" s="367" cm="1">
        <f t="array" ref="V59:V62">IF(IF((_xlfn.ANCHORARRAY('Painel Controle'!$D69) - (12*U58))&lt;0,0,_xlfn.ANCHORARRAY('Painel Controle'!$D69) - (12*U58))&gt;12,12,IF((_xlfn.ANCHORARRAY('Painel Controle'!$D69) - (12*U58))&lt;0,0,_xlfn.ANCHORARRAY('Painel Controle'!$D69) - (12*U58)))</f>
        <v>0</v>
      </c>
      <c r="W59" s="367" cm="1">
        <f t="array" ref="W59:W62">IF(IF((_xlfn.ANCHORARRAY('Painel Controle'!$D69) - (12*V58))&lt;0,0,_xlfn.ANCHORARRAY('Painel Controle'!$D69) - (12*V58))&gt;12,12,IF((_xlfn.ANCHORARRAY('Painel Controle'!$D69) - (12*V58))&lt;0,0,_xlfn.ANCHORARRAY('Painel Controle'!$D69) - (12*V58)))</f>
        <v>0</v>
      </c>
      <c r="X59" s="367" cm="1">
        <f t="array" ref="X59:X62">IF(IF((_xlfn.ANCHORARRAY('Painel Controle'!$D69) - (12*W58))&lt;0,0,_xlfn.ANCHORARRAY('Painel Controle'!$D69) - (12*W58))&gt;12,12,IF((_xlfn.ANCHORARRAY('Painel Controle'!$D69) - (12*W58))&lt;0,0,_xlfn.ANCHORARRAY('Painel Controle'!$D69) - (12*W58)))</f>
        <v>0</v>
      </c>
      <c r="Y59" s="367" cm="1">
        <f t="array" ref="Y59:Y62">IF(IF((_xlfn.ANCHORARRAY('Painel Controle'!$D69) - (12*X58))&lt;0,0,_xlfn.ANCHORARRAY('Painel Controle'!$D69) - (12*X58))&gt;12,12,IF((_xlfn.ANCHORARRAY('Painel Controle'!$D69) - (12*X58))&lt;0,0,_xlfn.ANCHORARRAY('Painel Controle'!$D69) - (12*X58)))</f>
        <v>0</v>
      </c>
      <c r="Z59" s="367" cm="1">
        <f t="array" ref="Z59:Z62">IF(IF((_xlfn.ANCHORARRAY('Painel Controle'!$D69) - (12*Y58))&lt;0,0,_xlfn.ANCHORARRAY('Painel Controle'!$D69) - (12*Y58))&gt;12,12,IF((_xlfn.ANCHORARRAY('Painel Controle'!$D69) - (12*Y58))&lt;0,0,_xlfn.ANCHORARRAY('Painel Controle'!$D69) - (12*Y58)))</f>
        <v>0</v>
      </c>
      <c r="AA59" s="367" cm="1">
        <f t="array" ref="AA59:AA62">IF(IF((_xlfn.ANCHORARRAY('Painel Controle'!$D69) - (12*Z58))&lt;0,0,_xlfn.ANCHORARRAY('Painel Controle'!$D69) - (12*Z58))&gt;12,12,IF((_xlfn.ANCHORARRAY('Painel Controle'!$D69) - (12*Z58))&lt;0,0,_xlfn.ANCHORARRAY('Painel Controle'!$D69) - (12*Z58)))</f>
        <v>0</v>
      </c>
      <c r="AB59" s="367" cm="1">
        <f t="array" ref="AB59:AB62">IF(IF((_xlfn.ANCHORARRAY('Painel Controle'!$D69) - (12*AA58))&lt;0,0,_xlfn.ANCHORARRAY('Painel Controle'!$D69) - (12*AA58))&gt;12,12,IF((_xlfn.ANCHORARRAY('Painel Controle'!$D69) - (12*AA58))&lt;0,0,_xlfn.ANCHORARRAY('Painel Controle'!$D69) - (12*AA58)))</f>
        <v>0</v>
      </c>
      <c r="AC59" s="367" cm="1">
        <f t="array" ref="AC59:AC62">IF(IF((_xlfn.ANCHORARRAY('Painel Controle'!$D69) - (12*AB58))&lt;0,0,_xlfn.ANCHORARRAY('Painel Controle'!$D69) - (12*AB58))&gt;12,12,IF((_xlfn.ANCHORARRAY('Painel Controle'!$D69) - (12*AB58))&lt;0,0,_xlfn.ANCHORARRAY('Painel Controle'!$D69) - (12*AB58)))</f>
        <v>0</v>
      </c>
      <c r="AD59" s="367" cm="1">
        <f t="array" ref="AD59:AD62">IF(IF((_xlfn.ANCHORARRAY('Painel Controle'!$D69) - (12*AC58))&lt;0,0,_xlfn.ANCHORARRAY('Painel Controle'!$D69) - (12*AC58))&gt;12,12,IF((_xlfn.ANCHORARRAY('Painel Controle'!$D69) - (12*AC58))&lt;0,0,_xlfn.ANCHORARRAY('Painel Controle'!$D69) - (12*AC58)))</f>
        <v>0</v>
      </c>
      <c r="AE59" s="367" cm="1">
        <f t="array" ref="AE59:AE62">IF(IF((_xlfn.ANCHORARRAY('Painel Controle'!$D69) - (12*AD58))&lt;0,0,_xlfn.ANCHORARRAY('Painel Controle'!$D69) - (12*AD58))&gt;12,12,IF((_xlfn.ANCHORARRAY('Painel Controle'!$D69) - (12*AD58))&lt;0,0,_xlfn.ANCHORARRAY('Painel Controle'!$D69) - (12*AD58)))</f>
        <v>0</v>
      </c>
      <c r="AF59" s="367" cm="1">
        <f t="array" ref="AF59:AF62">IF(IF((_xlfn.ANCHORARRAY('Painel Controle'!$D69) - (12*AE58))&lt;0,0,_xlfn.ANCHORARRAY('Painel Controle'!$D69) - (12*AE58))&gt;12,12,IF((_xlfn.ANCHORARRAY('Painel Controle'!$D69) - (12*AE58))&lt;0,0,_xlfn.ANCHORARRAY('Painel Controle'!$D69) - (12*AE58)))</f>
        <v>0</v>
      </c>
      <c r="AG59" s="367" cm="1">
        <f t="array" ref="AG59:AG62">IF(IF((_xlfn.ANCHORARRAY('Painel Controle'!$D69) - (12*AF58))&lt;0,0,_xlfn.ANCHORARRAY('Painel Controle'!$D69) - (12*AF58))&gt;12,12,IF((_xlfn.ANCHORARRAY('Painel Controle'!$D69) - (12*AF58))&lt;0,0,_xlfn.ANCHORARRAY('Painel Controle'!$D69) - (12*AF58)))</f>
        <v>0</v>
      </c>
      <c r="AH59" s="367" cm="1">
        <f t="array" ref="AH59:AH62">IF(IF((_xlfn.ANCHORARRAY('Painel Controle'!$D69) - (12*AG58))&lt;0,0,_xlfn.ANCHORARRAY('Painel Controle'!$D69) - (12*AG58))&gt;12,12,IF((_xlfn.ANCHORARRAY('Painel Controle'!$D69) - (12*AG58))&lt;0,0,_xlfn.ANCHORARRAY('Painel Controle'!$D69) - (12*AG58)))</f>
        <v>0</v>
      </c>
    </row>
    <row r="60" spans="2:34">
      <c r="B60" s="236"/>
      <c r="C60" s="235">
        <v>2</v>
      </c>
      <c r="D60" s="233"/>
      <c r="E60" s="367">
        <v>12</v>
      </c>
      <c r="F60" s="367">
        <v>3</v>
      </c>
      <c r="G60" s="367">
        <v>0</v>
      </c>
      <c r="H60" s="367">
        <v>0</v>
      </c>
      <c r="I60" s="367">
        <v>0</v>
      </c>
      <c r="J60" s="367">
        <v>0</v>
      </c>
      <c r="K60" s="367">
        <v>0</v>
      </c>
      <c r="L60" s="367">
        <v>0</v>
      </c>
      <c r="M60" s="367">
        <v>0</v>
      </c>
      <c r="N60" s="367">
        <v>0</v>
      </c>
      <c r="O60" s="367">
        <v>0</v>
      </c>
      <c r="P60" s="367">
        <v>0</v>
      </c>
      <c r="Q60" s="367">
        <v>0</v>
      </c>
      <c r="R60" s="367">
        <v>0</v>
      </c>
      <c r="S60" s="367">
        <v>0</v>
      </c>
      <c r="T60" s="367">
        <v>0</v>
      </c>
      <c r="U60" s="367">
        <v>0</v>
      </c>
      <c r="V60" s="367">
        <v>0</v>
      </c>
      <c r="W60" s="367">
        <v>0</v>
      </c>
      <c r="X60" s="367">
        <v>0</v>
      </c>
      <c r="Y60" s="367">
        <v>0</v>
      </c>
      <c r="Z60" s="367">
        <v>0</v>
      </c>
      <c r="AA60" s="367">
        <v>0</v>
      </c>
      <c r="AB60" s="367">
        <v>0</v>
      </c>
      <c r="AC60" s="367">
        <v>0</v>
      </c>
      <c r="AD60" s="367">
        <v>0</v>
      </c>
      <c r="AE60" s="367">
        <v>0</v>
      </c>
      <c r="AF60" s="367">
        <v>0</v>
      </c>
      <c r="AG60" s="367">
        <v>0</v>
      </c>
      <c r="AH60" s="367">
        <v>0</v>
      </c>
    </row>
    <row r="61" spans="2:34">
      <c r="B61" s="236"/>
      <c r="C61" s="235">
        <v>3</v>
      </c>
      <c r="D61" s="233"/>
      <c r="E61" s="367">
        <v>12</v>
      </c>
      <c r="F61" s="367">
        <v>3</v>
      </c>
      <c r="G61" s="367">
        <v>0</v>
      </c>
      <c r="H61" s="367">
        <v>0</v>
      </c>
      <c r="I61" s="367">
        <v>0</v>
      </c>
      <c r="J61" s="367">
        <v>0</v>
      </c>
      <c r="K61" s="367">
        <v>0</v>
      </c>
      <c r="L61" s="367">
        <v>0</v>
      </c>
      <c r="M61" s="367">
        <v>0</v>
      </c>
      <c r="N61" s="367">
        <v>0</v>
      </c>
      <c r="O61" s="367">
        <v>0</v>
      </c>
      <c r="P61" s="367">
        <v>0</v>
      </c>
      <c r="Q61" s="367">
        <v>0</v>
      </c>
      <c r="R61" s="367">
        <v>0</v>
      </c>
      <c r="S61" s="367">
        <v>0</v>
      </c>
      <c r="T61" s="367">
        <v>0</v>
      </c>
      <c r="U61" s="367">
        <v>0</v>
      </c>
      <c r="V61" s="367">
        <v>0</v>
      </c>
      <c r="W61" s="367">
        <v>0</v>
      </c>
      <c r="X61" s="367">
        <v>0</v>
      </c>
      <c r="Y61" s="367">
        <v>0</v>
      </c>
      <c r="Z61" s="367">
        <v>0</v>
      </c>
      <c r="AA61" s="367">
        <v>0</v>
      </c>
      <c r="AB61" s="367">
        <v>0</v>
      </c>
      <c r="AC61" s="367">
        <v>0</v>
      </c>
      <c r="AD61" s="367">
        <v>0</v>
      </c>
      <c r="AE61" s="367">
        <v>0</v>
      </c>
      <c r="AF61" s="367">
        <v>0</v>
      </c>
      <c r="AG61" s="367">
        <v>0</v>
      </c>
      <c r="AH61" s="367">
        <v>0</v>
      </c>
    </row>
    <row r="62" spans="2:34">
      <c r="B62" s="232"/>
      <c r="C62" s="220">
        <v>4</v>
      </c>
      <c r="D62" s="233"/>
      <c r="E62" s="367">
        <v>12</v>
      </c>
      <c r="F62" s="367">
        <v>3</v>
      </c>
      <c r="G62" s="367">
        <v>0</v>
      </c>
      <c r="H62" s="367">
        <v>0</v>
      </c>
      <c r="I62" s="367">
        <v>0</v>
      </c>
      <c r="J62" s="367">
        <v>0</v>
      </c>
      <c r="K62" s="367">
        <v>0</v>
      </c>
      <c r="L62" s="367">
        <v>0</v>
      </c>
      <c r="M62" s="367">
        <v>0</v>
      </c>
      <c r="N62" s="367">
        <v>0</v>
      </c>
      <c r="O62" s="367">
        <v>0</v>
      </c>
      <c r="P62" s="367">
        <v>0</v>
      </c>
      <c r="Q62" s="367">
        <v>0</v>
      </c>
      <c r="R62" s="367">
        <v>0</v>
      </c>
      <c r="S62" s="367">
        <v>0</v>
      </c>
      <c r="T62" s="367">
        <v>0</v>
      </c>
      <c r="U62" s="367">
        <v>0</v>
      </c>
      <c r="V62" s="367">
        <v>0</v>
      </c>
      <c r="W62" s="367">
        <v>0</v>
      </c>
      <c r="X62" s="367">
        <v>0</v>
      </c>
      <c r="Y62" s="367">
        <v>0</v>
      </c>
      <c r="Z62" s="367">
        <v>0</v>
      </c>
      <c r="AA62" s="367">
        <v>0</v>
      </c>
      <c r="AB62" s="367">
        <v>0</v>
      </c>
      <c r="AC62" s="367">
        <v>0</v>
      </c>
      <c r="AD62" s="367">
        <v>0</v>
      </c>
      <c r="AE62" s="367">
        <v>0</v>
      </c>
      <c r="AF62" s="367">
        <v>0</v>
      </c>
      <c r="AG62" s="367">
        <v>0</v>
      </c>
      <c r="AH62" s="367">
        <v>0</v>
      </c>
    </row>
    <row r="64" spans="2:34">
      <c r="B64" s="2" t="s">
        <v>619</v>
      </c>
    </row>
    <row r="65" spans="2:33" hidden="1">
      <c r="B65" s="2"/>
      <c r="C65" s="2"/>
      <c r="D65">
        <v>1</v>
      </c>
      <c r="E65">
        <v>2</v>
      </c>
      <c r="F65">
        <v>3</v>
      </c>
      <c r="G65">
        <v>4</v>
      </c>
      <c r="H65">
        <v>5</v>
      </c>
      <c r="I65">
        <v>6</v>
      </c>
      <c r="J65">
        <v>7</v>
      </c>
      <c r="K65">
        <v>8</v>
      </c>
      <c r="L65">
        <v>9</v>
      </c>
      <c r="M65">
        <v>10</v>
      </c>
      <c r="N65">
        <v>11</v>
      </c>
      <c r="O65">
        <v>12</v>
      </c>
      <c r="P65">
        <v>13</v>
      </c>
      <c r="Q65">
        <v>14</v>
      </c>
      <c r="R65">
        <v>15</v>
      </c>
      <c r="S65">
        <v>16</v>
      </c>
      <c r="T65">
        <v>17</v>
      </c>
      <c r="U65">
        <v>18</v>
      </c>
      <c r="V65">
        <v>19</v>
      </c>
      <c r="W65">
        <v>20</v>
      </c>
      <c r="X65">
        <v>21</v>
      </c>
      <c r="Y65">
        <v>22</v>
      </c>
      <c r="Z65">
        <v>23</v>
      </c>
      <c r="AA65">
        <v>24</v>
      </c>
      <c r="AB65">
        <v>25</v>
      </c>
      <c r="AC65">
        <v>26</v>
      </c>
      <c r="AD65">
        <v>27</v>
      </c>
      <c r="AE65">
        <v>28</v>
      </c>
      <c r="AF65">
        <v>29</v>
      </c>
      <c r="AG65">
        <v>30</v>
      </c>
    </row>
    <row r="66" spans="2:33">
      <c r="B66" s="46" t="str" cm="1">
        <f t="array" ref="B66:C114">Tráfego!B246:C294</f>
        <v>Pórtico</v>
      </c>
      <c r="C66" s="46" t="str">
        <v>Categoria de Veículo</v>
      </c>
      <c r="D66" s="46" t="str">
        <f t="shared" ref="D66:AG66" si="2">"Ano "&amp;D65</f>
        <v>Ano 1</v>
      </c>
      <c r="E66" s="46" t="str">
        <f t="shared" si="2"/>
        <v>Ano 2</v>
      </c>
      <c r="F66" s="46" t="str">
        <f t="shared" si="2"/>
        <v>Ano 3</v>
      </c>
      <c r="G66" s="46" t="str">
        <f t="shared" si="2"/>
        <v>Ano 4</v>
      </c>
      <c r="H66" s="46" t="str">
        <f t="shared" si="2"/>
        <v>Ano 5</v>
      </c>
      <c r="I66" s="46" t="str">
        <f t="shared" si="2"/>
        <v>Ano 6</v>
      </c>
      <c r="J66" s="46" t="str">
        <f t="shared" si="2"/>
        <v>Ano 7</v>
      </c>
      <c r="K66" s="46" t="str">
        <f t="shared" si="2"/>
        <v>Ano 8</v>
      </c>
      <c r="L66" s="46" t="str">
        <f t="shared" si="2"/>
        <v>Ano 9</v>
      </c>
      <c r="M66" s="46" t="str">
        <f t="shared" si="2"/>
        <v>Ano 10</v>
      </c>
      <c r="N66" s="46" t="str">
        <f t="shared" si="2"/>
        <v>Ano 11</v>
      </c>
      <c r="O66" s="46" t="str">
        <f t="shared" si="2"/>
        <v>Ano 12</v>
      </c>
      <c r="P66" s="46" t="str">
        <f t="shared" si="2"/>
        <v>Ano 13</v>
      </c>
      <c r="Q66" s="46" t="str">
        <f t="shared" si="2"/>
        <v>Ano 14</v>
      </c>
      <c r="R66" s="46" t="str">
        <f t="shared" si="2"/>
        <v>Ano 15</v>
      </c>
      <c r="S66" s="46" t="str">
        <f t="shared" si="2"/>
        <v>Ano 16</v>
      </c>
      <c r="T66" s="46" t="str">
        <f t="shared" si="2"/>
        <v>Ano 17</v>
      </c>
      <c r="U66" s="46" t="str">
        <f t="shared" si="2"/>
        <v>Ano 18</v>
      </c>
      <c r="V66" s="46" t="str">
        <f t="shared" si="2"/>
        <v>Ano 19</v>
      </c>
      <c r="W66" s="46" t="str">
        <f t="shared" si="2"/>
        <v>Ano 20</v>
      </c>
      <c r="X66" s="46" t="str">
        <f t="shared" si="2"/>
        <v>Ano 21</v>
      </c>
      <c r="Y66" s="46" t="str">
        <f t="shared" si="2"/>
        <v>Ano 22</v>
      </c>
      <c r="Z66" s="46" t="str">
        <f t="shared" si="2"/>
        <v>Ano 23</v>
      </c>
      <c r="AA66" s="46" t="str">
        <f t="shared" si="2"/>
        <v>Ano 24</v>
      </c>
      <c r="AB66" s="46" t="str">
        <f t="shared" si="2"/>
        <v>Ano 25</v>
      </c>
      <c r="AC66" s="46" t="str">
        <f t="shared" si="2"/>
        <v>Ano 26</v>
      </c>
      <c r="AD66" s="46" t="str">
        <f t="shared" si="2"/>
        <v>Ano 27</v>
      </c>
      <c r="AE66" s="46" t="str">
        <f t="shared" si="2"/>
        <v>Ano 28</v>
      </c>
      <c r="AF66" s="46" t="str">
        <f t="shared" si="2"/>
        <v>Ano 29</v>
      </c>
      <c r="AG66" s="46" t="str">
        <f t="shared" si="2"/>
        <v>Ano 30</v>
      </c>
    </row>
    <row r="67" spans="2:33">
      <c r="B67" s="149">
        <v>1</v>
      </c>
      <c r="C67" s="122" t="str">
        <v>Automóvel</v>
      </c>
      <c r="D67" s="147">
        <f ca="1">D5 * ((12-(INDEX(_xlfn.ANCHORARRAY(E$59),MATCH($B67,$C$59:$C$62,0))))/12)</f>
        <v>0</v>
      </c>
      <c r="E67" s="147">
        <f ca="1">E5 * ((12-(INDEX(_xlfn.ANCHORARRAY(F$59),MATCH($B67,$C$59:$C$62,0))))/12)</f>
        <v>16735971.923927605</v>
      </c>
      <c r="F67" s="147">
        <f t="shared" ref="F67:AG67" ca="1" si="3">F5 * ((12-(INDEX(_xlfn.ANCHORARRAY(G$59),MATCH($B67,$C$59:$C$62,0))))/12)</f>
        <v>23235801.619979814</v>
      </c>
      <c r="G67" s="147">
        <f t="shared" ca="1" si="3"/>
        <v>24200044.275091361</v>
      </c>
      <c r="H67" s="147">
        <f t="shared" ca="1" si="3"/>
        <v>35290178.690229036</v>
      </c>
      <c r="I67" s="147">
        <f t="shared" ca="1" si="3"/>
        <v>36752036.929731257</v>
      </c>
      <c r="J67" s="147">
        <f t="shared" ca="1" si="3"/>
        <v>38250191.294701248</v>
      </c>
      <c r="K67" s="147">
        <f t="shared" ca="1" si="3"/>
        <v>39772606.63184277</v>
      </c>
      <c r="L67" s="147">
        <f t="shared" ca="1" si="3"/>
        <v>41308215.035942927</v>
      </c>
      <c r="M67" s="147">
        <f t="shared" ca="1" si="3"/>
        <v>42846514.114131413</v>
      </c>
      <c r="N67" s="147">
        <f t="shared" ca="1" si="3"/>
        <v>44376189.007018253</v>
      </c>
      <c r="O67" s="147">
        <f t="shared" ca="1" si="3"/>
        <v>45885999.542521246</v>
      </c>
      <c r="P67" s="147">
        <f t="shared" ca="1" si="3"/>
        <v>47366826.363889866</v>
      </c>
      <c r="Q67" s="147">
        <f t="shared" ca="1" si="3"/>
        <v>48809586.58781822</v>
      </c>
      <c r="R67" s="147">
        <f t="shared" ca="1" si="3"/>
        <v>50204794.08261954</v>
      </c>
      <c r="S67" s="147">
        <f t="shared" ca="1" si="3"/>
        <v>51543297.871767446</v>
      </c>
      <c r="T67" s="147">
        <f t="shared" ca="1" si="3"/>
        <v>52818208.574068725</v>
      </c>
      <c r="U67" s="147">
        <f t="shared" ca="1" si="3"/>
        <v>54023527.304697245</v>
      </c>
      <c r="V67" s="147">
        <f t="shared" ca="1" si="3"/>
        <v>55152936.02174928</v>
      </c>
      <c r="W67" s="147">
        <f t="shared" ca="1" si="3"/>
        <v>56200913.476200916</v>
      </c>
      <c r="X67" s="147">
        <f t="shared" ca="1" si="3"/>
        <v>57161682.454598412</v>
      </c>
      <c r="Y67" s="147">
        <f t="shared" ca="1" si="3"/>
        <v>58030689.413689286</v>
      </c>
      <c r="Z67" s="147">
        <f t="shared" ca="1" si="3"/>
        <v>58804406.098266929</v>
      </c>
      <c r="AA67" s="147">
        <f t="shared" ca="1" si="3"/>
        <v>59478959.509935901</v>
      </c>
      <c r="AB67" s="147">
        <f t="shared" ca="1" si="3"/>
        <v>60050672.223206162</v>
      </c>
      <c r="AC67" s="147">
        <f t="shared" ca="1" si="3"/>
        <v>60516878.893470526</v>
      </c>
      <c r="AD67" s="147">
        <f t="shared" ca="1" si="3"/>
        <v>60875387.248288572</v>
      </c>
      <c r="AE67" s="147">
        <f t="shared" ca="1" si="3"/>
        <v>61123490.958789133</v>
      </c>
      <c r="AF67" s="147">
        <f t="shared" ca="1" si="3"/>
        <v>61258757.473067567</v>
      </c>
      <c r="AG67" s="147">
        <f t="shared" ca="1" si="3"/>
        <v>61279276.459660888</v>
      </c>
    </row>
    <row r="68" spans="2:33">
      <c r="B68" s="149">
        <v>1</v>
      </c>
      <c r="C68" s="122" t="str">
        <v xml:space="preserve">Automóvel com reboque </v>
      </c>
      <c r="D68" s="147">
        <f t="shared" ref="D68:AG68" ca="1" si="4">D6 * ((12-(INDEX(_xlfn.ANCHORARRAY(E$59),MATCH($B68,$C$59:$C$62,0))))/12)</f>
        <v>0</v>
      </c>
      <c r="E68" s="147">
        <f t="shared" ref="E68:E114" ca="1" si="5">E6 * ((12-(INDEX(_xlfn.ANCHORARRAY(F$59),MATCH($B68,$C$59:$C$62,0))))/12)</f>
        <v>65963.853303768701</v>
      </c>
      <c r="F68" s="147">
        <f t="shared" ca="1" si="4"/>
        <v>91582.55143010059</v>
      </c>
      <c r="G68" s="147">
        <f t="shared" ca="1" si="4"/>
        <v>95383.057390562797</v>
      </c>
      <c r="H68" s="147">
        <f t="shared" ca="1" si="4"/>
        <v>139094.1727655424</v>
      </c>
      <c r="I68" s="147">
        <f t="shared" ca="1" si="4"/>
        <v>144856.00141222906</v>
      </c>
      <c r="J68" s="147">
        <f t="shared" ca="1" si="4"/>
        <v>150760.8891119982</v>
      </c>
      <c r="K68" s="147">
        <f t="shared" ca="1" si="4"/>
        <v>156761.40001289381</v>
      </c>
      <c r="L68" s="147">
        <f t="shared" ca="1" si="4"/>
        <v>162813.91061463993</v>
      </c>
      <c r="M68" s="147">
        <f t="shared" ca="1" si="4"/>
        <v>168877.02635074322</v>
      </c>
      <c r="N68" s="147">
        <f t="shared" ca="1" si="4"/>
        <v>174906.15036549987</v>
      </c>
      <c r="O68" s="147">
        <f t="shared" ca="1" si="4"/>
        <v>180856.98017885629</v>
      </c>
      <c r="P68" s="147">
        <f t="shared" ca="1" si="4"/>
        <v>186693.57238019654</v>
      </c>
      <c r="Q68" s="147">
        <f t="shared" ca="1" si="4"/>
        <v>192380.12731685111</v>
      </c>
      <c r="R68" s="147">
        <f t="shared" ca="1" si="4"/>
        <v>197879.2559562707</v>
      </c>
      <c r="S68" s="147">
        <f t="shared" ca="1" si="4"/>
        <v>203154.89026034466</v>
      </c>
      <c r="T68" s="147">
        <f t="shared" ca="1" si="4"/>
        <v>208179.87613653211</v>
      </c>
      <c r="U68" s="147">
        <f t="shared" ca="1" si="4"/>
        <v>212930.56933157693</v>
      </c>
      <c r="V68" s="147">
        <f t="shared" ca="1" si="4"/>
        <v>217382.06765329107</v>
      </c>
      <c r="W68" s="147">
        <f t="shared" ca="1" si="4"/>
        <v>221512.60942196305</v>
      </c>
      <c r="X68" s="147">
        <f t="shared" ca="1" si="4"/>
        <v>225299.42408907032</v>
      </c>
      <c r="Y68" s="147">
        <f t="shared" ca="1" si="4"/>
        <v>228724.56413053203</v>
      </c>
      <c r="Z68" s="147">
        <f t="shared" ca="1" si="4"/>
        <v>231774.12313506112</v>
      </c>
      <c r="AA68" s="147">
        <f t="shared" ca="1" si="4"/>
        <v>234432.83590627892</v>
      </c>
      <c r="AB68" s="147">
        <f t="shared" ca="1" si="4"/>
        <v>236686.20808696124</v>
      </c>
      <c r="AC68" s="147">
        <f t="shared" ca="1" si="4"/>
        <v>238523.73437741763</v>
      </c>
      <c r="AD68" s="147">
        <f t="shared" ca="1" si="4"/>
        <v>239936.77406420044</v>
      </c>
      <c r="AE68" s="147">
        <f t="shared" ca="1" si="4"/>
        <v>240914.66031054273</v>
      </c>
      <c r="AF68" s="147">
        <f t="shared" ca="1" si="4"/>
        <v>241447.8053555591</v>
      </c>
      <c r="AG68" s="147">
        <f t="shared" ca="1" si="4"/>
        <v>241528.67973965441</v>
      </c>
    </row>
    <row r="69" spans="2:33">
      <c r="B69" s="149">
        <v>1</v>
      </c>
      <c r="C69" s="122" t="str">
        <v>Veículos Comerciais com 2 Eixos</v>
      </c>
      <c r="D69" s="147">
        <f t="shared" ref="D69:AG69" ca="1" si="6">D7 * ((12-(INDEX(_xlfn.ANCHORARRAY(E$59),MATCH($B69,$C$59:$C$62,0))))/12)</f>
        <v>0</v>
      </c>
      <c r="E69" s="147">
        <f t="shared" ca="1" si="5"/>
        <v>4274434.1184894536</v>
      </c>
      <c r="F69" s="147">
        <f t="shared" ca="1" si="6"/>
        <v>5835266.4206747748</v>
      </c>
      <c r="G69" s="147">
        <f t="shared" ca="1" si="6"/>
        <v>5970299.2108039958</v>
      </c>
      <c r="H69" s="147">
        <f t="shared" ca="1" si="6"/>
        <v>8545517.1560543291</v>
      </c>
      <c r="I69" s="147">
        <f t="shared" ca="1" si="6"/>
        <v>8729290.2316191532</v>
      </c>
      <c r="J69" s="147">
        <f t="shared" ca="1" si="6"/>
        <v>8907796.3662662376</v>
      </c>
      <c r="K69" s="147">
        <f t="shared" ca="1" si="6"/>
        <v>9079652.409142781</v>
      </c>
      <c r="L69" s="147">
        <f t="shared" ca="1" si="6"/>
        <v>9243648.5260375738</v>
      </c>
      <c r="M69" s="147">
        <f t="shared" ca="1" si="6"/>
        <v>9398737.2045525014</v>
      </c>
      <c r="N69" s="147">
        <f t="shared" ca="1" si="6"/>
        <v>9543823.6304485481</v>
      </c>
      <c r="O69" s="147">
        <f t="shared" ca="1" si="6"/>
        <v>9677893.2565184683</v>
      </c>
      <c r="P69" s="147">
        <f t="shared" ca="1" si="6"/>
        <v>9800301.9070056435</v>
      </c>
      <c r="Q69" s="147">
        <f t="shared" ca="1" si="6"/>
        <v>9910475.8383646496</v>
      </c>
      <c r="R69" s="147">
        <f t="shared" ca="1" si="6"/>
        <v>10007859.389308676</v>
      </c>
      <c r="S69" s="147">
        <f t="shared" ca="1" si="6"/>
        <v>10091972.419668438</v>
      </c>
      <c r="T69" s="147">
        <f t="shared" ca="1" si="6"/>
        <v>10162656.419021577</v>
      </c>
      <c r="U69" s="147">
        <f t="shared" ca="1" si="6"/>
        <v>10219849.592635799</v>
      </c>
      <c r="V69" s="147">
        <f t="shared" ca="1" si="6"/>
        <v>10263431.970761465</v>
      </c>
      <c r="W69" s="147">
        <f t="shared" ca="1" si="6"/>
        <v>10293395.117357235</v>
      </c>
      <c r="X69" s="147">
        <f t="shared" ca="1" si="6"/>
        <v>10309669.157900261</v>
      </c>
      <c r="Y69" s="147">
        <f t="shared" ca="1" si="6"/>
        <v>10312326.945241023</v>
      </c>
      <c r="Z69" s="147">
        <f t="shared" ca="1" si="6"/>
        <v>10301543.629283207</v>
      </c>
      <c r="AA69" s="147">
        <f t="shared" ca="1" si="6"/>
        <v>10277404.732264198</v>
      </c>
      <c r="AB69" s="147">
        <f t="shared" ca="1" si="6"/>
        <v>10239995.682810556</v>
      </c>
      <c r="AC69" s="147">
        <f t="shared" ca="1" si="6"/>
        <v>10189513.101922704</v>
      </c>
      <c r="AD69" s="147">
        <f t="shared" ca="1" si="6"/>
        <v>10126204.141428262</v>
      </c>
      <c r="AE69" s="147">
        <f t="shared" ca="1" si="6"/>
        <v>10050234.770837471</v>
      </c>
      <c r="AF69" s="147">
        <f t="shared" ca="1" si="6"/>
        <v>9961782.4579455275</v>
      </c>
      <c r="AG69" s="147">
        <f t="shared" ca="1" si="6"/>
        <v>9861057.8663608655</v>
      </c>
    </row>
    <row r="70" spans="2:33">
      <c r="B70" s="149">
        <v>1</v>
      </c>
      <c r="C70" s="122" t="str">
        <v>Veículos Comerciais com 3 Eixos</v>
      </c>
      <c r="D70" s="147">
        <f t="shared" ref="D70:AG70" ca="1" si="7">D8 * ((12-(INDEX(_xlfn.ANCHORARRAY(E$59),MATCH($B70,$C$59:$C$62,0))))/12)</f>
        <v>0</v>
      </c>
      <c r="E70" s="147">
        <f t="shared" ca="1" si="5"/>
        <v>1752813.7735879673</v>
      </c>
      <c r="F70" s="147">
        <f t="shared" ca="1" si="7"/>
        <v>2392863.0249490514</v>
      </c>
      <c r="G70" s="147">
        <f t="shared" ca="1" si="7"/>
        <v>2448235.8129868181</v>
      </c>
      <c r="H70" s="147">
        <f t="shared" ca="1" si="7"/>
        <v>3504253.3721066322</v>
      </c>
      <c r="I70" s="147">
        <f t="shared" ca="1" si="7"/>
        <v>3579613.0499342275</v>
      </c>
      <c r="J70" s="147">
        <f t="shared" ca="1" si="7"/>
        <v>3652812.9175204267</v>
      </c>
      <c r="K70" s="147">
        <f t="shared" ca="1" si="7"/>
        <v>3723285.7873034296</v>
      </c>
      <c r="L70" s="147">
        <f t="shared" ca="1" si="7"/>
        <v>3790535.543537762</v>
      </c>
      <c r="M70" s="147">
        <f t="shared" ca="1" si="7"/>
        <v>3854132.6336537716</v>
      </c>
      <c r="N70" s="147">
        <f t="shared" ca="1" si="7"/>
        <v>3913628.1080538109</v>
      </c>
      <c r="O70" s="147">
        <f t="shared" ca="1" si="7"/>
        <v>3968605.9321776251</v>
      </c>
      <c r="P70" s="147">
        <f t="shared" ca="1" si="7"/>
        <v>4018801.9493889189</v>
      </c>
      <c r="Q70" s="147">
        <f t="shared" ca="1" si="7"/>
        <v>4063980.8851317978</v>
      </c>
      <c r="R70" s="147">
        <f t="shared" ca="1" si="7"/>
        <v>4103914.8798276652</v>
      </c>
      <c r="S70" s="147">
        <f t="shared" ca="1" si="7"/>
        <v>4138407.0427820715</v>
      </c>
      <c r="T70" s="147">
        <f t="shared" ca="1" si="7"/>
        <v>4167392.3737531444</v>
      </c>
      <c r="U70" s="147">
        <f t="shared" ca="1" si="7"/>
        <v>4190845.5326245339</v>
      </c>
      <c r="V70" s="147">
        <f t="shared" ca="1" si="7"/>
        <v>4208717.3234971417</v>
      </c>
      <c r="W70" s="147">
        <f t="shared" ca="1" si="7"/>
        <v>4221004.287010259</v>
      </c>
      <c r="X70" s="147">
        <f t="shared" ca="1" si="7"/>
        <v>4227677.7697742945</v>
      </c>
      <c r="Y70" s="147">
        <f t="shared" ca="1" si="7"/>
        <v>4228767.6464992631</v>
      </c>
      <c r="Z70" s="147">
        <f t="shared" ca="1" si="7"/>
        <v>4224345.7407658109</v>
      </c>
      <c r="AA70" s="147">
        <f t="shared" ca="1" si="7"/>
        <v>4214447.1226092884</v>
      </c>
      <c r="AB70" s="147">
        <f t="shared" ca="1" si="7"/>
        <v>4199106.8236781284</v>
      </c>
      <c r="AC70" s="147">
        <f t="shared" ca="1" si="7"/>
        <v>4178405.4721884099</v>
      </c>
      <c r="AD70" s="147">
        <f t="shared" ca="1" si="7"/>
        <v>4152444.417492026</v>
      </c>
      <c r="AE70" s="147">
        <f t="shared" ca="1" si="7"/>
        <v>4121291.7185730385</v>
      </c>
      <c r="AF70" s="147">
        <f t="shared" ca="1" si="7"/>
        <v>4085020.1495080083</v>
      </c>
      <c r="AG70" s="147">
        <f t="shared" ca="1" si="7"/>
        <v>4043716.0969540272</v>
      </c>
    </row>
    <row r="71" spans="2:33">
      <c r="B71" s="149">
        <v>1</v>
      </c>
      <c r="C71" s="122" t="str">
        <v>Veículos Comerciais com 4 Eixos</v>
      </c>
      <c r="D71" s="147">
        <f t="shared" ref="D71:AG71" ca="1" si="8">D9 * ((12-(INDEX(_xlfn.ANCHORARRAY(E$59),MATCH($B71,$C$59:$C$62,0))))/12)</f>
        <v>0</v>
      </c>
      <c r="E71" s="147">
        <f t="shared" ca="1" si="5"/>
        <v>1225397.5009603645</v>
      </c>
      <c r="F71" s="147">
        <f t="shared" ca="1" si="8"/>
        <v>1672857.9014477199</v>
      </c>
      <c r="G71" s="147">
        <f t="shared" ca="1" si="8"/>
        <v>1711569.1878976158</v>
      </c>
      <c r="H71" s="147">
        <f t="shared" ca="1" si="8"/>
        <v>2449834.3119026679</v>
      </c>
      <c r="I71" s="147">
        <f t="shared" ca="1" si="8"/>
        <v>2502518.4944864712</v>
      </c>
      <c r="J71" s="147">
        <f t="shared" ca="1" si="8"/>
        <v>2553692.7470867038</v>
      </c>
      <c r="K71" s="147">
        <f t="shared" ca="1" si="8"/>
        <v>2602960.5471341815</v>
      </c>
      <c r="L71" s="147">
        <f t="shared" ca="1" si="8"/>
        <v>2649975.0585851381</v>
      </c>
      <c r="M71" s="147">
        <f t="shared" ca="1" si="8"/>
        <v>2694435.9799167779</v>
      </c>
      <c r="N71" s="147">
        <f t="shared" ca="1" si="8"/>
        <v>2736029.449084369</v>
      </c>
      <c r="O71" s="147">
        <f t="shared" ca="1" si="8"/>
        <v>2774464.6150470697</v>
      </c>
      <c r="P71" s="147">
        <f t="shared" ca="1" si="8"/>
        <v>2809556.80508787</v>
      </c>
      <c r="Q71" s="147">
        <f t="shared" ca="1" si="8"/>
        <v>2841141.5380410161</v>
      </c>
      <c r="R71" s="147">
        <f t="shared" ca="1" si="8"/>
        <v>2869059.51657419</v>
      </c>
      <c r="S71" s="147">
        <f t="shared" ca="1" si="8"/>
        <v>2893173.0937972446</v>
      </c>
      <c r="T71" s="147">
        <f t="shared" ca="1" si="8"/>
        <v>2913436.8278411399</v>
      </c>
      <c r="U71" s="147">
        <f t="shared" ca="1" si="8"/>
        <v>2929833.0033525848</v>
      </c>
      <c r="V71" s="147">
        <f t="shared" ca="1" si="8"/>
        <v>2942327.2273271894</v>
      </c>
      <c r="W71" s="147">
        <f t="shared" ca="1" si="8"/>
        <v>2950917.0813152399</v>
      </c>
      <c r="X71" s="147">
        <f t="shared" ca="1" si="8"/>
        <v>2955582.5336439325</v>
      </c>
      <c r="Y71" s="147">
        <f t="shared" ca="1" si="8"/>
        <v>2956344.4698149366</v>
      </c>
      <c r="Z71" s="147">
        <f t="shared" ca="1" si="8"/>
        <v>2953253.1019144203</v>
      </c>
      <c r="AA71" s="147">
        <f t="shared" ca="1" si="8"/>
        <v>2946332.9475119729</v>
      </c>
      <c r="AB71" s="147">
        <f t="shared" ca="1" si="8"/>
        <v>2935608.4973407784</v>
      </c>
      <c r="AC71" s="147">
        <f t="shared" ca="1" si="8"/>
        <v>2921136.1188347163</v>
      </c>
      <c r="AD71" s="147">
        <f t="shared" ca="1" si="8"/>
        <v>2902986.6656374591</v>
      </c>
      <c r="AE71" s="147">
        <f t="shared" ca="1" si="8"/>
        <v>2881207.717994119</v>
      </c>
      <c r="AF71" s="147">
        <f t="shared" ca="1" si="8"/>
        <v>2855850.152485481</v>
      </c>
      <c r="AG71" s="147">
        <f t="shared" ca="1" si="8"/>
        <v>2826974.3622892527</v>
      </c>
    </row>
    <row r="72" spans="2:33">
      <c r="B72" s="149">
        <v>1</v>
      </c>
      <c r="C72" s="122" t="str">
        <v>Veículos Comerciais com 5 Eixos Articulado</v>
      </c>
      <c r="D72" s="147">
        <f t="shared" ref="D72:AG72" ca="1" si="9">D10 * ((12-(INDEX(_xlfn.ANCHORARRAY(E$59),MATCH($B72,$C$59:$C$62,0))))/12)</f>
        <v>0</v>
      </c>
      <c r="E72" s="147">
        <f t="shared" ca="1" si="5"/>
        <v>425094.50600317691</v>
      </c>
      <c r="F72" s="147">
        <f t="shared" ca="1" si="9"/>
        <v>587460.72273266839</v>
      </c>
      <c r="G72" s="147">
        <f t="shared" ca="1" si="9"/>
        <v>608698.1163293689</v>
      </c>
      <c r="H72" s="147">
        <f t="shared" ca="1" si="9"/>
        <v>882658.00280377816</v>
      </c>
      <c r="I72" s="147">
        <f t="shared" ca="1" si="9"/>
        <v>913673.66427676764</v>
      </c>
      <c r="J72" s="147">
        <f t="shared" ca="1" si="9"/>
        <v>944879.81914626539</v>
      </c>
      <c r="K72" s="147">
        <f t="shared" ca="1" si="9"/>
        <v>976011.34178983257</v>
      </c>
      <c r="L72" s="147">
        <f t="shared" ca="1" si="9"/>
        <v>1006826.5965932105</v>
      </c>
      <c r="M72" s="147">
        <f t="shared" ca="1" si="9"/>
        <v>1037101.8896693876</v>
      </c>
      <c r="N72" s="147">
        <f t="shared" ca="1" si="9"/>
        <v>1066600.2635880602</v>
      </c>
      <c r="O72" s="147">
        <f t="shared" ca="1" si="9"/>
        <v>1095091.7444482043</v>
      </c>
      <c r="P72" s="147">
        <f t="shared" ca="1" si="9"/>
        <v>1122399.561651798</v>
      </c>
      <c r="Q72" s="147">
        <f t="shared" ca="1" si="9"/>
        <v>1148353.6926083453</v>
      </c>
      <c r="R72" s="147">
        <f t="shared" ca="1" si="9"/>
        <v>1172781.98244784</v>
      </c>
      <c r="S72" s="147">
        <f t="shared" ca="1" si="9"/>
        <v>1195523.7288741304</v>
      </c>
      <c r="T72" s="147">
        <f t="shared" ca="1" si="9"/>
        <v>1216471.236543939</v>
      </c>
      <c r="U72" s="147">
        <f t="shared" ca="1" si="9"/>
        <v>1235537.0014605434</v>
      </c>
      <c r="V72" s="147">
        <f t="shared" ca="1" si="9"/>
        <v>1252627.6298945786</v>
      </c>
      <c r="W72" s="147">
        <f t="shared" ca="1" si="9"/>
        <v>1267669.7097341025</v>
      </c>
      <c r="X72" s="147">
        <f t="shared" ca="1" si="9"/>
        <v>1280584.4108405046</v>
      </c>
      <c r="Y72" s="147">
        <f t="shared" ca="1" si="9"/>
        <v>1291320.2883587969</v>
      </c>
      <c r="Z72" s="147">
        <f t="shared" ca="1" si="9"/>
        <v>1299847.8302365844</v>
      </c>
      <c r="AA72" s="147">
        <f t="shared" ca="1" si="9"/>
        <v>1306128.6641625918</v>
      </c>
      <c r="AB72" s="147">
        <f t="shared" ca="1" si="9"/>
        <v>1310128.5746110235</v>
      </c>
      <c r="AC72" s="147">
        <f t="shared" ca="1" si="9"/>
        <v>1311835.4602316462</v>
      </c>
      <c r="AD72" s="147">
        <f t="shared" ca="1" si="9"/>
        <v>1311248.3003561525</v>
      </c>
      <c r="AE72" s="147">
        <f t="shared" ca="1" si="9"/>
        <v>1308355.5432283811</v>
      </c>
      <c r="AF72" s="147">
        <f t="shared" ca="1" si="9"/>
        <v>1303151.3495371924</v>
      </c>
      <c r="AG72" s="147">
        <f t="shared" ca="1" si="9"/>
        <v>1295640.0554075723</v>
      </c>
    </row>
    <row r="73" spans="2:33">
      <c r="B73" s="149">
        <v>1</v>
      </c>
      <c r="C73" s="122" t="str">
        <v>Veículos Comerciais com 6 Eixos Articulado</v>
      </c>
      <c r="D73" s="147">
        <f t="shared" ref="D73:AG73" ca="1" si="10">D11 * ((12-(INDEX(_xlfn.ANCHORARRAY(E$59),MATCH($B73,$C$59:$C$62,0))))/12)</f>
        <v>0</v>
      </c>
      <c r="E73" s="147">
        <f t="shared" ca="1" si="5"/>
        <v>13303757.659875423</v>
      </c>
      <c r="F73" s="147">
        <f t="shared" ca="1" si="10"/>
        <v>18385170.778641589</v>
      </c>
      <c r="G73" s="147">
        <f t="shared" ca="1" si="10"/>
        <v>19049816.248643927</v>
      </c>
      <c r="H73" s="147">
        <f t="shared" ca="1" si="10"/>
        <v>27623664.85574704</v>
      </c>
      <c r="I73" s="147">
        <f t="shared" ca="1" si="10"/>
        <v>28594330.997205719</v>
      </c>
      <c r="J73" s="147">
        <f t="shared" ca="1" si="10"/>
        <v>29570958.82000152</v>
      </c>
      <c r="K73" s="147">
        <f t="shared" ca="1" si="10"/>
        <v>30545250.9526546</v>
      </c>
      <c r="L73" s="147">
        <f t="shared" ca="1" si="10"/>
        <v>31509645.16698112</v>
      </c>
      <c r="M73" s="147">
        <f t="shared" ca="1" si="10"/>
        <v>32457140.739093155</v>
      </c>
      <c r="N73" s="147">
        <f t="shared" ca="1" si="10"/>
        <v>33380321.84925193</v>
      </c>
      <c r="O73" s="147">
        <f t="shared" ca="1" si="10"/>
        <v>34271991.234251</v>
      </c>
      <c r="P73" s="147">
        <f t="shared" ca="1" si="10"/>
        <v>35126616.681454666</v>
      </c>
      <c r="Q73" s="147">
        <f t="shared" ca="1" si="10"/>
        <v>35938877.163870759</v>
      </c>
      <c r="R73" s="147">
        <f t="shared" ca="1" si="10"/>
        <v>36703384.922687598</v>
      </c>
      <c r="S73" s="147">
        <f t="shared" ca="1" si="10"/>
        <v>37415110.618844785</v>
      </c>
      <c r="T73" s="147">
        <f t="shared" ca="1" si="10"/>
        <v>38070683.818879105</v>
      </c>
      <c r="U73" s="147">
        <f t="shared" ca="1" si="10"/>
        <v>38667365.997709163</v>
      </c>
      <c r="V73" s="147">
        <f t="shared" ca="1" si="10"/>
        <v>39202234.305180728</v>
      </c>
      <c r="W73" s="147">
        <f t="shared" ca="1" si="10"/>
        <v>39672991.235838473</v>
      </c>
      <c r="X73" s="147">
        <f t="shared" ca="1" si="10"/>
        <v>40077169.721664444</v>
      </c>
      <c r="Y73" s="147">
        <f t="shared" ca="1" si="10"/>
        <v>40413159.744476907</v>
      </c>
      <c r="Z73" s="147">
        <f t="shared" ca="1" si="10"/>
        <v>40680037.69508414</v>
      </c>
      <c r="AA73" s="147">
        <f t="shared" ca="1" si="10"/>
        <v>40876602.673632473</v>
      </c>
      <c r="AB73" s="147">
        <f t="shared" ca="1" si="10"/>
        <v>41001783.871026598</v>
      </c>
      <c r="AC73" s="147">
        <f t="shared" ca="1" si="10"/>
        <v>41055202.563409604</v>
      </c>
      <c r="AD73" s="147">
        <f t="shared" ca="1" si="10"/>
        <v>41036826.807946138</v>
      </c>
      <c r="AE73" s="147">
        <f t="shared" ca="1" si="10"/>
        <v>40946295.080875404</v>
      </c>
      <c r="AF73" s="147">
        <f t="shared" ca="1" si="10"/>
        <v>40783424.635115959</v>
      </c>
      <c r="AG73" s="147">
        <f t="shared" ca="1" si="10"/>
        <v>40548351.174035385</v>
      </c>
    </row>
    <row r="74" spans="2:33">
      <c r="B74" s="149">
        <v>1</v>
      </c>
      <c r="C74" s="122" t="str">
        <v>Veículos Comerciais com 7 Eixos Articulado</v>
      </c>
      <c r="D74" s="147">
        <f t="shared" ref="D74:AG74" ca="1" si="11">D12 * ((12-(INDEX(_xlfn.ANCHORARRAY(E$59),MATCH($B74,$C$59:$C$62,0))))/12)</f>
        <v>0</v>
      </c>
      <c r="E74" s="147">
        <f t="shared" ca="1" si="5"/>
        <v>916503.75494284916</v>
      </c>
      <c r="F74" s="147">
        <f t="shared" ca="1" si="11"/>
        <v>1266565.3182116328</v>
      </c>
      <c r="G74" s="147">
        <f t="shared" ca="1" si="11"/>
        <v>1312353.1388061191</v>
      </c>
      <c r="H74" s="147">
        <f t="shared" ca="1" si="11"/>
        <v>1903010.6540449455</v>
      </c>
      <c r="I74" s="147">
        <f t="shared" ca="1" si="11"/>
        <v>1969880.4201807112</v>
      </c>
      <c r="J74" s="147">
        <f t="shared" ca="1" si="11"/>
        <v>2037160.8900793486</v>
      </c>
      <c r="K74" s="147">
        <f t="shared" ca="1" si="11"/>
        <v>2104280.4528988795</v>
      </c>
      <c r="L74" s="147">
        <f t="shared" ca="1" si="11"/>
        <v>2170718.1422549621</v>
      </c>
      <c r="M74" s="147">
        <f t="shared" ca="1" si="11"/>
        <v>2235991.6741271997</v>
      </c>
      <c r="N74" s="147">
        <f t="shared" ca="1" si="11"/>
        <v>2299590.168295857</v>
      </c>
      <c r="O74" s="147">
        <f t="shared" ca="1" si="11"/>
        <v>2361017.801030328</v>
      </c>
      <c r="P74" s="147">
        <f t="shared" ca="1" si="11"/>
        <v>2419893.4549212768</v>
      </c>
      <c r="Q74" s="147">
        <f t="shared" ca="1" si="11"/>
        <v>2475850.561263592</v>
      </c>
      <c r="R74" s="147">
        <f t="shared" ca="1" si="11"/>
        <v>2528517.9541575429</v>
      </c>
      <c r="S74" s="147">
        <f t="shared" ca="1" si="11"/>
        <v>2577549.1594526251</v>
      </c>
      <c r="T74" s="147">
        <f t="shared" ca="1" si="11"/>
        <v>2622711.985988732</v>
      </c>
      <c r="U74" s="147">
        <f t="shared" ca="1" si="11"/>
        <v>2663817.7751489314</v>
      </c>
      <c r="V74" s="147">
        <f t="shared" ca="1" si="11"/>
        <v>2700665.1700527119</v>
      </c>
      <c r="W74" s="147">
        <f t="shared" ca="1" si="11"/>
        <v>2733095.8941867258</v>
      </c>
      <c r="X74" s="147">
        <f t="shared" ca="1" si="11"/>
        <v>2760939.9897721293</v>
      </c>
      <c r="Y74" s="147">
        <f t="shared" ca="1" si="11"/>
        <v>2784086.5417015664</v>
      </c>
      <c r="Z74" s="147">
        <f t="shared" ca="1" si="11"/>
        <v>2802471.9219900765</v>
      </c>
      <c r="AA74" s="147">
        <f t="shared" ca="1" si="11"/>
        <v>2816013.3999345484</v>
      </c>
      <c r="AB74" s="147">
        <f t="shared" ca="1" si="11"/>
        <v>2824637.2068613684</v>
      </c>
      <c r="AC74" s="147">
        <f t="shared" ca="1" si="11"/>
        <v>2828317.2522594309</v>
      </c>
      <c r="AD74" s="147">
        <f t="shared" ca="1" si="11"/>
        <v>2827051.335567866</v>
      </c>
      <c r="AE74" s="147">
        <f t="shared" ca="1" si="11"/>
        <v>2820814.5512003913</v>
      </c>
      <c r="AF74" s="147">
        <f t="shared" ca="1" si="11"/>
        <v>2809594.3096021884</v>
      </c>
      <c r="AG74" s="147">
        <f t="shared" ca="1" si="11"/>
        <v>2793399.9594587274</v>
      </c>
    </row>
    <row r="75" spans="2:33">
      <c r="B75" s="149">
        <v>1</v>
      </c>
      <c r="C75" s="122" t="str">
        <v>Veículos Comerciais com 8 Eixos Articulado</v>
      </c>
      <c r="D75" s="147">
        <f t="shared" ref="D75:AG75" ca="1" si="12">D13 * ((12-(INDEX(_xlfn.ANCHORARRAY(E$59),MATCH($B75,$C$59:$C$62,0))))/12)</f>
        <v>0</v>
      </c>
      <c r="E75" s="147">
        <f t="shared" ca="1" si="5"/>
        <v>0</v>
      </c>
      <c r="F75" s="147">
        <f t="shared" ca="1" si="12"/>
        <v>0</v>
      </c>
      <c r="G75" s="147">
        <f t="shared" ca="1" si="12"/>
        <v>0</v>
      </c>
      <c r="H75" s="147">
        <f t="shared" ca="1" si="12"/>
        <v>0</v>
      </c>
      <c r="I75" s="147">
        <f t="shared" ca="1" si="12"/>
        <v>0</v>
      </c>
      <c r="J75" s="147">
        <f t="shared" ca="1" si="12"/>
        <v>0</v>
      </c>
      <c r="K75" s="147">
        <f t="shared" ca="1" si="12"/>
        <v>0</v>
      </c>
      <c r="L75" s="147">
        <f t="shared" ca="1" si="12"/>
        <v>0</v>
      </c>
      <c r="M75" s="147">
        <f t="shared" ca="1" si="12"/>
        <v>0</v>
      </c>
      <c r="N75" s="147">
        <f t="shared" ca="1" si="12"/>
        <v>0</v>
      </c>
      <c r="O75" s="147">
        <f t="shared" ca="1" si="12"/>
        <v>0</v>
      </c>
      <c r="P75" s="147">
        <f t="shared" ca="1" si="12"/>
        <v>0</v>
      </c>
      <c r="Q75" s="147">
        <f t="shared" ca="1" si="12"/>
        <v>0</v>
      </c>
      <c r="R75" s="147">
        <f t="shared" ca="1" si="12"/>
        <v>0</v>
      </c>
      <c r="S75" s="147">
        <f t="shared" ca="1" si="12"/>
        <v>0</v>
      </c>
      <c r="T75" s="147">
        <f t="shared" ca="1" si="12"/>
        <v>0</v>
      </c>
      <c r="U75" s="147">
        <f t="shared" ca="1" si="12"/>
        <v>0</v>
      </c>
      <c r="V75" s="147">
        <f t="shared" ca="1" si="12"/>
        <v>0</v>
      </c>
      <c r="W75" s="147">
        <f t="shared" ca="1" si="12"/>
        <v>0</v>
      </c>
      <c r="X75" s="147">
        <f t="shared" ca="1" si="12"/>
        <v>0</v>
      </c>
      <c r="Y75" s="147">
        <f t="shared" ca="1" si="12"/>
        <v>0</v>
      </c>
      <c r="Z75" s="147">
        <f t="shared" ca="1" si="12"/>
        <v>0</v>
      </c>
      <c r="AA75" s="147">
        <f t="shared" ca="1" si="12"/>
        <v>0</v>
      </c>
      <c r="AB75" s="147">
        <f t="shared" ca="1" si="12"/>
        <v>0</v>
      </c>
      <c r="AC75" s="147">
        <f t="shared" ca="1" si="12"/>
        <v>0</v>
      </c>
      <c r="AD75" s="147">
        <f t="shared" ca="1" si="12"/>
        <v>0</v>
      </c>
      <c r="AE75" s="147">
        <f t="shared" ca="1" si="12"/>
        <v>0</v>
      </c>
      <c r="AF75" s="147">
        <f t="shared" ca="1" si="12"/>
        <v>0</v>
      </c>
      <c r="AG75" s="147">
        <f t="shared" ca="1" si="12"/>
        <v>0</v>
      </c>
    </row>
    <row r="76" spans="2:33">
      <c r="B76" s="149">
        <v>1</v>
      </c>
      <c r="C76" s="122" t="str">
        <v>Veículos Comerciais com 9 Eixos Articulado</v>
      </c>
      <c r="D76" s="147">
        <f t="shared" ref="D76:AG76" ca="1" si="13">D14 * ((12-(INDEX(_xlfn.ANCHORARRAY(E$59),MATCH($B76,$C$59:$C$62,0))))/12)</f>
        <v>0</v>
      </c>
      <c r="E76" s="147">
        <f t="shared" ca="1" si="5"/>
        <v>290764.64210617304</v>
      </c>
      <c r="F76" s="147">
        <f t="shared" ca="1" si="13"/>
        <v>401823.13434914529</v>
      </c>
      <c r="G76" s="147">
        <f t="shared" ca="1" si="13"/>
        <v>416349.51156928838</v>
      </c>
      <c r="H76" s="147">
        <f t="shared" ca="1" si="13"/>
        <v>603738.07391778426</v>
      </c>
      <c r="I76" s="147">
        <f t="shared" ca="1" si="13"/>
        <v>624952.78636530915</v>
      </c>
      <c r="J76" s="147">
        <f t="shared" ca="1" si="13"/>
        <v>646297.79629604565</v>
      </c>
      <c r="K76" s="147">
        <f t="shared" ca="1" si="13"/>
        <v>667591.75778424565</v>
      </c>
      <c r="L76" s="147">
        <f t="shared" ca="1" si="13"/>
        <v>688669.39206975605</v>
      </c>
      <c r="M76" s="147">
        <f t="shared" ca="1" si="13"/>
        <v>709377.69253386126</v>
      </c>
      <c r="N76" s="147">
        <f t="shared" ca="1" si="13"/>
        <v>729554.58029423316</v>
      </c>
      <c r="O76" s="147">
        <f t="shared" ca="1" si="13"/>
        <v>749042.75320257165</v>
      </c>
      <c r="P76" s="147">
        <f t="shared" ca="1" si="13"/>
        <v>767721.30016982986</v>
      </c>
      <c r="Q76" s="147">
        <f t="shared" ca="1" si="13"/>
        <v>785473.92574410792</v>
      </c>
      <c r="R76" s="147">
        <f t="shared" ca="1" si="13"/>
        <v>802182.87599432259</v>
      </c>
      <c r="S76" s="147">
        <f t="shared" ca="1" si="13"/>
        <v>817738.2305499051</v>
      </c>
      <c r="T76" s="147">
        <f t="shared" ca="1" si="13"/>
        <v>832066.32579605421</v>
      </c>
      <c r="U76" s="147">
        <f t="shared" ca="1" si="13"/>
        <v>845107.30899901176</v>
      </c>
      <c r="V76" s="147">
        <f t="shared" ca="1" si="13"/>
        <v>856797.29884789186</v>
      </c>
      <c r="W76" s="147">
        <f t="shared" ca="1" si="13"/>
        <v>867086.08145812619</v>
      </c>
      <c r="X76" s="147">
        <f t="shared" ca="1" si="13"/>
        <v>875919.73701490555</v>
      </c>
      <c r="Y76" s="147">
        <f t="shared" ca="1" si="13"/>
        <v>883263.07723741711</v>
      </c>
      <c r="Z76" s="147">
        <f t="shared" ca="1" si="13"/>
        <v>889095.91588182375</v>
      </c>
      <c r="AA76" s="147">
        <f t="shared" ca="1" si="13"/>
        <v>893392.00628721295</v>
      </c>
      <c r="AB76" s="147">
        <f t="shared" ca="1" si="13"/>
        <v>896127.94503394025</v>
      </c>
      <c r="AC76" s="147">
        <f t="shared" ca="1" si="13"/>
        <v>897295.45479844627</v>
      </c>
      <c r="AD76" s="147">
        <f t="shared" ca="1" si="13"/>
        <v>896893.83744360844</v>
      </c>
      <c r="AE76" s="147">
        <f t="shared" ca="1" si="13"/>
        <v>894915.1915682127</v>
      </c>
      <c r="AF76" s="147">
        <f t="shared" ca="1" si="13"/>
        <v>891355.5230834398</v>
      </c>
      <c r="AG76" s="147">
        <f t="shared" ca="1" si="13"/>
        <v>886217.79789877939</v>
      </c>
    </row>
    <row r="77" spans="2:33">
      <c r="B77" s="149">
        <v>1</v>
      </c>
      <c r="C77" s="122" t="str">
        <v>Motocicleta</v>
      </c>
      <c r="D77" s="147">
        <f t="shared" ref="D77:AG77" ca="1" si="14">D15 * ((12-(INDEX(_xlfn.ANCHORARRAY(E$59),MATCH($B77,$C$59:$C$62,0))))/12)</f>
        <v>0</v>
      </c>
      <c r="E77" s="147">
        <f t="shared" ca="1" si="5"/>
        <v>375365.73665716016</v>
      </c>
      <c r="F77" s="147">
        <f t="shared" ca="1" si="14"/>
        <v>521148.32837604883</v>
      </c>
      <c r="G77" s="147">
        <f t="shared" ca="1" si="14"/>
        <v>542775.01705582172</v>
      </c>
      <c r="H77" s="147">
        <f t="shared" ca="1" si="14"/>
        <v>791512.07835630071</v>
      </c>
      <c r="I77" s="147">
        <f t="shared" ca="1" si="14"/>
        <v>824299.62708387501</v>
      </c>
      <c r="J77" s="147">
        <f t="shared" ca="1" si="14"/>
        <v>857901.24994684698</v>
      </c>
      <c r="K77" s="147">
        <f t="shared" ca="1" si="14"/>
        <v>892047.01435908652</v>
      </c>
      <c r="L77" s="147">
        <f t="shared" ca="1" si="14"/>
        <v>926488.68183092726</v>
      </c>
      <c r="M77" s="147">
        <f t="shared" ca="1" si="14"/>
        <v>960990.69756732462</v>
      </c>
      <c r="N77" s="147">
        <f t="shared" ca="1" si="14"/>
        <v>995299.28422272555</v>
      </c>
      <c r="O77" s="147">
        <f t="shared" ca="1" si="14"/>
        <v>1029162.3395892063</v>
      </c>
      <c r="P77" s="147">
        <f t="shared" ca="1" si="14"/>
        <v>1062375.3285444521</v>
      </c>
      <c r="Q77" s="147">
        <f t="shared" ca="1" si="14"/>
        <v>1094734.5340173198</v>
      </c>
      <c r="R77" s="147">
        <f t="shared" ca="1" si="14"/>
        <v>1126027.1946083026</v>
      </c>
      <c r="S77" s="147">
        <f t="shared" ca="1" si="14"/>
        <v>1156048.0660052949</v>
      </c>
      <c r="T77" s="147">
        <f t="shared" ca="1" si="14"/>
        <v>1184642.6284912189</v>
      </c>
      <c r="U77" s="147">
        <f t="shared" ca="1" si="14"/>
        <v>1211676.3350058787</v>
      </c>
      <c r="V77" s="147">
        <f t="shared" ca="1" si="14"/>
        <v>1237007.4802175376</v>
      </c>
      <c r="W77" s="147">
        <f t="shared" ca="1" si="14"/>
        <v>1260512.2298059328</v>
      </c>
      <c r="X77" s="147">
        <f t="shared" ca="1" si="14"/>
        <v>1282061.0085068529</v>
      </c>
      <c r="Y77" s="147">
        <f t="shared" ca="1" si="14"/>
        <v>1301551.6863618379</v>
      </c>
      <c r="Z77" s="147">
        <f t="shared" ca="1" si="14"/>
        <v>1318905.1292685624</v>
      </c>
      <c r="AA77" s="147">
        <f t="shared" ca="1" si="14"/>
        <v>1334034.4709904925</v>
      </c>
      <c r="AB77" s="147">
        <f t="shared" ca="1" si="14"/>
        <v>1346857.2317329468</v>
      </c>
      <c r="AC77" s="147">
        <f t="shared" ca="1" si="14"/>
        <v>1357313.631338163</v>
      </c>
      <c r="AD77" s="147">
        <f t="shared" ca="1" si="14"/>
        <v>1365354.5000319984</v>
      </c>
      <c r="AE77" s="147">
        <f t="shared" ca="1" si="14"/>
        <v>1370919.1384338036</v>
      </c>
      <c r="AF77" s="147">
        <f t="shared" ca="1" si="14"/>
        <v>1373952.9876185392</v>
      </c>
      <c r="AG77" s="147">
        <f t="shared" ca="1" si="14"/>
        <v>1374413.2013756533</v>
      </c>
    </row>
    <row r="78" spans="2:33">
      <c r="B78" s="149">
        <v>1</v>
      </c>
      <c r="C78" s="122" t="str">
        <v xml:space="preserve">Veículos do transporte público coletivo intermunicipal e metropolitano </v>
      </c>
      <c r="D78" s="147">
        <f t="shared" ref="D78:AG78" ca="1" si="15">D16 * ((12-(INDEX(_xlfn.ANCHORARRAY(E$59),MATCH($B78,$C$59:$C$62,0))))/12)</f>
        <v>0</v>
      </c>
      <c r="E78" s="147">
        <f t="shared" ca="1" si="5"/>
        <v>0</v>
      </c>
      <c r="F78" s="147">
        <f t="shared" ca="1" si="15"/>
        <v>0</v>
      </c>
      <c r="G78" s="147">
        <f t="shared" ca="1" si="15"/>
        <v>0</v>
      </c>
      <c r="H78" s="147">
        <f t="shared" ca="1" si="15"/>
        <v>0</v>
      </c>
      <c r="I78" s="147">
        <f t="shared" ca="1" si="15"/>
        <v>0</v>
      </c>
      <c r="J78" s="147">
        <f t="shared" ca="1" si="15"/>
        <v>0</v>
      </c>
      <c r="K78" s="147">
        <f t="shared" ca="1" si="15"/>
        <v>0</v>
      </c>
      <c r="L78" s="147">
        <f t="shared" ca="1" si="15"/>
        <v>0</v>
      </c>
      <c r="M78" s="147">
        <f t="shared" ca="1" si="15"/>
        <v>0</v>
      </c>
      <c r="N78" s="147">
        <f t="shared" ca="1" si="15"/>
        <v>0</v>
      </c>
      <c r="O78" s="147">
        <f t="shared" ca="1" si="15"/>
        <v>0</v>
      </c>
      <c r="P78" s="147">
        <f t="shared" ca="1" si="15"/>
        <v>0</v>
      </c>
      <c r="Q78" s="147">
        <f t="shared" ca="1" si="15"/>
        <v>0</v>
      </c>
      <c r="R78" s="147">
        <f t="shared" ca="1" si="15"/>
        <v>0</v>
      </c>
      <c r="S78" s="147">
        <f t="shared" ca="1" si="15"/>
        <v>0</v>
      </c>
      <c r="T78" s="147">
        <f t="shared" ca="1" si="15"/>
        <v>0</v>
      </c>
      <c r="U78" s="147">
        <f t="shared" ca="1" si="15"/>
        <v>0</v>
      </c>
      <c r="V78" s="147">
        <f t="shared" ca="1" si="15"/>
        <v>0</v>
      </c>
      <c r="W78" s="147">
        <f t="shared" ca="1" si="15"/>
        <v>0</v>
      </c>
      <c r="X78" s="147">
        <f t="shared" ca="1" si="15"/>
        <v>0</v>
      </c>
      <c r="Y78" s="147">
        <f t="shared" ca="1" si="15"/>
        <v>0</v>
      </c>
      <c r="Z78" s="147">
        <f t="shared" ca="1" si="15"/>
        <v>0</v>
      </c>
      <c r="AA78" s="147">
        <f t="shared" ca="1" si="15"/>
        <v>0</v>
      </c>
      <c r="AB78" s="147">
        <f t="shared" ca="1" si="15"/>
        <v>0</v>
      </c>
      <c r="AC78" s="147">
        <f t="shared" ca="1" si="15"/>
        <v>0</v>
      </c>
      <c r="AD78" s="147">
        <f t="shared" ca="1" si="15"/>
        <v>0</v>
      </c>
      <c r="AE78" s="147">
        <f t="shared" ca="1" si="15"/>
        <v>0</v>
      </c>
      <c r="AF78" s="147">
        <f t="shared" ca="1" si="15"/>
        <v>0</v>
      </c>
      <c r="AG78" s="147">
        <f t="shared" ca="1" si="15"/>
        <v>0</v>
      </c>
    </row>
    <row r="79" spans="2:33">
      <c r="B79" s="149">
        <v>2</v>
      </c>
      <c r="C79" s="122" t="str">
        <v>Automóvel</v>
      </c>
      <c r="D79" s="147">
        <f t="shared" ref="D79:AG79" ca="1" si="16">D17 * ((12-(INDEX(_xlfn.ANCHORARRAY(E$59),MATCH($B79,$C$59:$C$62,0))))/12)</f>
        <v>0</v>
      </c>
      <c r="E79" s="147">
        <f t="shared" ca="1" si="5"/>
        <v>17644751.643545393</v>
      </c>
      <c r="F79" s="147">
        <f t="shared" ca="1" si="16"/>
        <v>24497528.478586078</v>
      </c>
      <c r="G79" s="147">
        <f t="shared" ca="1" si="16"/>
        <v>25514130.457299437</v>
      </c>
      <c r="H79" s="147">
        <f t="shared" ca="1" si="16"/>
        <v>26576050.048525702</v>
      </c>
      <c r="I79" s="147">
        <f t="shared" ca="1" si="16"/>
        <v>27676934.74729367</v>
      </c>
      <c r="J79" s="147">
        <f t="shared" ca="1" si="16"/>
        <v>40327214.265230216</v>
      </c>
      <c r="K79" s="147">
        <f t="shared" ca="1" si="16"/>
        <v>41932298.251047663</v>
      </c>
      <c r="L79" s="147">
        <f t="shared" ca="1" si="16"/>
        <v>43551291.700322606</v>
      </c>
      <c r="M79" s="147">
        <f t="shared" ca="1" si="16"/>
        <v>45173121.929932661</v>
      </c>
      <c r="N79" s="147">
        <f t="shared" ca="1" si="16"/>
        <v>46785859.672505356</v>
      </c>
      <c r="O79" s="147">
        <f t="shared" ca="1" si="16"/>
        <v>48377654.403570302</v>
      </c>
      <c r="P79" s="147">
        <f t="shared" ca="1" si="16"/>
        <v>49938891.576345026</v>
      </c>
      <c r="Q79" s="147">
        <f t="shared" ca="1" si="16"/>
        <v>51459995.098035656</v>
      </c>
      <c r="R79" s="147">
        <f t="shared" ca="1" si="16"/>
        <v>52930963.730684087</v>
      </c>
      <c r="S79" s="147">
        <f t="shared" ca="1" si="16"/>
        <v>54342149.59074717</v>
      </c>
      <c r="T79" s="147">
        <f t="shared" ca="1" si="16"/>
        <v>55686289.196863614</v>
      </c>
      <c r="U79" s="147">
        <f t="shared" ca="1" si="16"/>
        <v>56957057.918866977</v>
      </c>
      <c r="V79" s="147">
        <f t="shared" ca="1" si="16"/>
        <v>58147794.638970278</v>
      </c>
      <c r="W79" s="147">
        <f t="shared" ca="1" si="16"/>
        <v>59252678.298902608</v>
      </c>
      <c r="X79" s="147">
        <f t="shared" ca="1" si="16"/>
        <v>60265617.976843245</v>
      </c>
      <c r="Y79" s="147">
        <f t="shared" ca="1" si="16"/>
        <v>61181812.86766693</v>
      </c>
      <c r="Z79" s="147">
        <f t="shared" ca="1" si="16"/>
        <v>61997543.128442615</v>
      </c>
      <c r="AA79" s="147">
        <f t="shared" ca="1" si="16"/>
        <v>62708725.453156509</v>
      </c>
      <c r="AB79" s="147">
        <f t="shared" ca="1" si="16"/>
        <v>63311482.728501163</v>
      </c>
      <c r="AC79" s="147">
        <f t="shared" ca="1" si="16"/>
        <v>63803004.879038364</v>
      </c>
      <c r="AD79" s="147">
        <f t="shared" ca="1" si="16"/>
        <v>64180980.589780107</v>
      </c>
      <c r="AE79" s="147">
        <f t="shared" ca="1" si="16"/>
        <v>64442556.575538382</v>
      </c>
      <c r="AF79" s="147">
        <f t="shared" ca="1" si="16"/>
        <v>64585168.194450028</v>
      </c>
      <c r="AG79" s="147">
        <f t="shared" ca="1" si="16"/>
        <v>64606801.382176571</v>
      </c>
    </row>
    <row r="80" spans="2:33">
      <c r="B80" s="149">
        <v>2</v>
      </c>
      <c r="C80" s="122" t="str">
        <v xml:space="preserve">Automóvel com reboque </v>
      </c>
      <c r="D80" s="147">
        <f t="shared" ref="D80:AG80" ca="1" si="17">D18 * ((12-(INDEX(_xlfn.ANCHORARRAY(E$59),MATCH($B80,$C$59:$C$62,0))))/12)</f>
        <v>0</v>
      </c>
      <c r="E80" s="147">
        <f t="shared" ca="1" si="5"/>
        <v>89607.167113514544</v>
      </c>
      <c r="F80" s="147">
        <f t="shared" ca="1" si="17"/>
        <v>124408.33243758068</v>
      </c>
      <c r="G80" s="147">
        <f t="shared" ca="1" si="17"/>
        <v>129571.04740431822</v>
      </c>
      <c r="H80" s="147">
        <f t="shared" ca="1" si="17"/>
        <v>134963.90348948364</v>
      </c>
      <c r="I80" s="147">
        <f t="shared" ca="1" si="17"/>
        <v>140554.64011009791</v>
      </c>
      <c r="J80" s="147">
        <f t="shared" ca="1" si="17"/>
        <v>204797.86289363159</v>
      </c>
      <c r="K80" s="147">
        <f t="shared" ca="1" si="17"/>
        <v>212949.1268985848</v>
      </c>
      <c r="L80" s="147">
        <f t="shared" ca="1" si="17"/>
        <v>221171.02877034814</v>
      </c>
      <c r="M80" s="147">
        <f t="shared" ca="1" si="17"/>
        <v>229407.3369570706</v>
      </c>
      <c r="N80" s="147">
        <f t="shared" ca="1" si="17"/>
        <v>237597.46982651495</v>
      </c>
      <c r="O80" s="147">
        <f t="shared" ca="1" si="17"/>
        <v>245681.24563466728</v>
      </c>
      <c r="P80" s="147">
        <f t="shared" ca="1" si="17"/>
        <v>253609.83783425382</v>
      </c>
      <c r="Q80" s="147">
        <f t="shared" ca="1" si="17"/>
        <v>261334.61516286805</v>
      </c>
      <c r="R80" s="147">
        <f t="shared" ca="1" si="17"/>
        <v>268804.78729944688</v>
      </c>
      <c r="S80" s="147">
        <f t="shared" ca="1" si="17"/>
        <v>275971.35839919699</v>
      </c>
      <c r="T80" s="147">
        <f t="shared" ca="1" si="17"/>
        <v>282797.44157352328</v>
      </c>
      <c r="U80" s="147">
        <f t="shared" ca="1" si="17"/>
        <v>289250.9177989501</v>
      </c>
      <c r="V80" s="147">
        <f t="shared" ca="1" si="17"/>
        <v>295297.95923211897</v>
      </c>
      <c r="W80" s="147">
        <f t="shared" ca="1" si="17"/>
        <v>300909.00419079181</v>
      </c>
      <c r="X80" s="147">
        <f t="shared" ca="1" si="17"/>
        <v>306053.1205167555</v>
      </c>
      <c r="Y80" s="147">
        <f t="shared" ca="1" si="17"/>
        <v>310705.92778483726</v>
      </c>
      <c r="Z80" s="147">
        <f t="shared" ca="1" si="17"/>
        <v>314848.53513196972</v>
      </c>
      <c r="AA80" s="147">
        <f t="shared" ca="1" si="17"/>
        <v>318460.20588292228</v>
      </c>
      <c r="AB80" s="147">
        <f t="shared" ca="1" si="17"/>
        <v>321521.25049220998</v>
      </c>
      <c r="AC80" s="147">
        <f t="shared" ca="1" si="17"/>
        <v>324017.39826311351</v>
      </c>
      <c r="AD80" s="147">
        <f t="shared" ca="1" si="17"/>
        <v>325936.91140569001</v>
      </c>
      <c r="AE80" s="147">
        <f t="shared" ca="1" si="17"/>
        <v>327265.29978667921</v>
      </c>
      <c r="AF80" s="147">
        <f t="shared" ca="1" si="17"/>
        <v>327989.53912006866</v>
      </c>
      <c r="AG80" s="147">
        <f t="shared" ca="1" si="17"/>
        <v>328099.40117463149</v>
      </c>
    </row>
    <row r="81" spans="2:33">
      <c r="B81" s="149">
        <v>2</v>
      </c>
      <c r="C81" s="122" t="str">
        <v>Veículos Comerciais com 2 Eixos</v>
      </c>
      <c r="D81" s="147">
        <f t="shared" ref="D81:AG81" ca="1" si="18">D19 * ((12-(INDEX(_xlfn.ANCHORARRAY(E$59),MATCH($B81,$C$59:$C$62,0))))/12)</f>
        <v>0</v>
      </c>
      <c r="E81" s="147">
        <f t="shared" ca="1" si="5"/>
        <v>3372371.6558973156</v>
      </c>
      <c r="F81" s="147">
        <f t="shared" ca="1" si="18"/>
        <v>4603811.0627488792</v>
      </c>
      <c r="G81" s="147">
        <f t="shared" ca="1" si="18"/>
        <v>4710346.9787146272</v>
      </c>
      <c r="H81" s="147">
        <f t="shared" ca="1" si="18"/>
        <v>4815785.3085167343</v>
      </c>
      <c r="I81" s="147">
        <f t="shared" ca="1" si="18"/>
        <v>4919349.7460158737</v>
      </c>
      <c r="J81" s="147">
        <f t="shared" ca="1" si="18"/>
        <v>7027924.4338236246</v>
      </c>
      <c r="K81" s="147">
        <f t="shared" ca="1" si="18"/>
        <v>7163512.5448637689</v>
      </c>
      <c r="L81" s="147">
        <f t="shared" ca="1" si="18"/>
        <v>7292899.4627486235</v>
      </c>
      <c r="M81" s="147">
        <f t="shared" ca="1" si="18"/>
        <v>7415258.7386377873</v>
      </c>
      <c r="N81" s="147">
        <f t="shared" ca="1" si="18"/>
        <v>7529726.6042742785</v>
      </c>
      <c r="O81" s="147">
        <f t="shared" ca="1" si="18"/>
        <v>7635502.6191435242</v>
      </c>
      <c r="P81" s="147">
        <f t="shared" ca="1" si="18"/>
        <v>7732078.5522135785</v>
      </c>
      <c r="Q81" s="147">
        <f t="shared" ca="1" si="18"/>
        <v>7819001.7408823967</v>
      </c>
      <c r="R81" s="147">
        <f t="shared" ca="1" si="18"/>
        <v>7895833.7887863927</v>
      </c>
      <c r="S81" s="147">
        <f t="shared" ca="1" si="18"/>
        <v>7962195.8829522356</v>
      </c>
      <c r="T81" s="147">
        <f t="shared" ca="1" si="18"/>
        <v>8017962.9644737141</v>
      </c>
      <c r="U81" s="147">
        <f t="shared" ca="1" si="18"/>
        <v>8063086.2795747966</v>
      </c>
      <c r="V81" s="147">
        <f t="shared" ca="1" si="18"/>
        <v>8097471.1765256785</v>
      </c>
      <c r="W81" s="147">
        <f t="shared" ca="1" si="18"/>
        <v>8121110.999599332</v>
      </c>
      <c r="X81" s="147">
        <f t="shared" ca="1" si="18"/>
        <v>8133950.6203614874</v>
      </c>
      <c r="Y81" s="147">
        <f t="shared" ca="1" si="18"/>
        <v>8136047.5170376152</v>
      </c>
      <c r="Z81" s="147">
        <f t="shared" ca="1" si="18"/>
        <v>8127539.8764740564</v>
      </c>
      <c r="AA81" s="147">
        <f t="shared" ca="1" si="18"/>
        <v>8108495.1725776037</v>
      </c>
      <c r="AB81" s="147">
        <f t="shared" ca="1" si="18"/>
        <v>8078980.8053995427</v>
      </c>
      <c r="AC81" s="147">
        <f t="shared" ca="1" si="18"/>
        <v>8039151.9016935937</v>
      </c>
      <c r="AD81" s="147">
        <f t="shared" ca="1" si="18"/>
        <v>7989203.4551817505</v>
      </c>
      <c r="AE81" s="147">
        <f t="shared" ca="1" si="18"/>
        <v>7929266.4097168213</v>
      </c>
      <c r="AF81" s="147">
        <f t="shared" ca="1" si="18"/>
        <v>7859480.7808764903</v>
      </c>
      <c r="AG81" s="147">
        <f t="shared" ca="1" si="18"/>
        <v>7780012.7745168582</v>
      </c>
    </row>
    <row r="82" spans="2:33">
      <c r="B82" s="149">
        <v>2</v>
      </c>
      <c r="C82" s="122" t="str">
        <v>Veículos Comerciais com 3 Eixos</v>
      </c>
      <c r="D82" s="147">
        <f t="shared" ref="D82:AG82" ca="1" si="19">D20 * ((12-(INDEX(_xlfn.ANCHORARRAY(E$59),MATCH($B82,$C$59:$C$62,0))))/12)</f>
        <v>0</v>
      </c>
      <c r="E82" s="147">
        <f t="shared" ca="1" si="5"/>
        <v>1384504.8139450045</v>
      </c>
      <c r="F82" s="147">
        <f t="shared" ca="1" si="19"/>
        <v>1890064.0941287668</v>
      </c>
      <c r="G82" s="147">
        <f t="shared" ca="1" si="19"/>
        <v>1933801.7077617967</v>
      </c>
      <c r="H82" s="147">
        <f t="shared" ca="1" si="19"/>
        <v>1977088.7146757771</v>
      </c>
      <c r="I82" s="147">
        <f t="shared" ca="1" si="19"/>
        <v>2019606.4075345476</v>
      </c>
      <c r="J82" s="147">
        <f t="shared" ca="1" si="19"/>
        <v>2885267.7591614765</v>
      </c>
      <c r="K82" s="147">
        <f t="shared" ca="1" si="19"/>
        <v>2940932.5587752787</v>
      </c>
      <c r="L82" s="147">
        <f t="shared" ca="1" si="19"/>
        <v>2994051.4996725041</v>
      </c>
      <c r="M82" s="147">
        <f t="shared" ca="1" si="19"/>
        <v>3044285.2887636707</v>
      </c>
      <c r="N82" s="147">
        <f t="shared" ca="1" si="19"/>
        <v>3091279.311720361</v>
      </c>
      <c r="O82" s="147">
        <f t="shared" ca="1" si="19"/>
        <v>3134704.9529987462</v>
      </c>
      <c r="P82" s="147">
        <f t="shared" ca="1" si="19"/>
        <v>3174353.5617198222</v>
      </c>
      <c r="Q82" s="147">
        <f t="shared" ca="1" si="19"/>
        <v>3210039.3002548912</v>
      </c>
      <c r="R82" s="147">
        <f t="shared" ca="1" si="19"/>
        <v>3241582.187884823</v>
      </c>
      <c r="S82" s="147">
        <f t="shared" ca="1" si="19"/>
        <v>3268826.7054561325</v>
      </c>
      <c r="T82" s="147">
        <f t="shared" ca="1" si="19"/>
        <v>3291721.5108644073</v>
      </c>
      <c r="U82" s="147">
        <f t="shared" ca="1" si="19"/>
        <v>3310246.5885702879</v>
      </c>
      <c r="V82" s="147">
        <f t="shared" ca="1" si="19"/>
        <v>3324363.0799339395</v>
      </c>
      <c r="W82" s="147">
        <f t="shared" ca="1" si="19"/>
        <v>3334068.2524907799</v>
      </c>
      <c r="X82" s="147">
        <f t="shared" ca="1" si="19"/>
        <v>3339339.4736277931</v>
      </c>
      <c r="Y82" s="147">
        <f t="shared" ca="1" si="19"/>
        <v>3340200.3406491862</v>
      </c>
      <c r="Z82" s="147">
        <f t="shared" ca="1" si="19"/>
        <v>3336707.5852481131</v>
      </c>
      <c r="AA82" s="147">
        <f t="shared" ca="1" si="19"/>
        <v>3328888.908389444</v>
      </c>
      <c r="AB82" s="147">
        <f t="shared" ca="1" si="19"/>
        <v>3316771.9807171617</v>
      </c>
      <c r="AC82" s="147">
        <f t="shared" ca="1" si="19"/>
        <v>3300420.4884910272</v>
      </c>
      <c r="AD82" s="147">
        <f t="shared" ca="1" si="19"/>
        <v>3279914.4850901887</v>
      </c>
      <c r="AE82" s="147">
        <f t="shared" ca="1" si="19"/>
        <v>3255307.7286448479</v>
      </c>
      <c r="AF82" s="147">
        <f t="shared" ca="1" si="19"/>
        <v>3226657.7016216819</v>
      </c>
      <c r="AG82" s="147">
        <f t="shared" ca="1" si="19"/>
        <v>3194032.6387324468</v>
      </c>
    </row>
    <row r="83" spans="2:33">
      <c r="B83" s="149">
        <v>2</v>
      </c>
      <c r="C83" s="122" t="str">
        <v>Veículos Comerciais com 4 Eixos</v>
      </c>
      <c r="D83" s="147">
        <f t="shared" ref="D83:AG83" ca="1" si="20">D21 * ((12-(INDEX(_xlfn.ANCHORARRAY(E$59),MATCH($B83,$C$59:$C$62,0))))/12)</f>
        <v>0</v>
      </c>
      <c r="E83" s="147">
        <f t="shared" ca="1" si="5"/>
        <v>714376.43855840061</v>
      </c>
      <c r="F83" s="147">
        <f t="shared" ca="1" si="20"/>
        <v>975234.78619298735</v>
      </c>
      <c r="G83" s="147">
        <f t="shared" ca="1" si="20"/>
        <v>997802.50884985388</v>
      </c>
      <c r="H83" s="147">
        <f t="shared" ca="1" si="20"/>
        <v>1020137.7275674759</v>
      </c>
      <c r="I83" s="147">
        <f t="shared" ca="1" si="20"/>
        <v>1042075.9958163395</v>
      </c>
      <c r="J83" s="147">
        <f t="shared" ca="1" si="20"/>
        <v>1488739.7178519503</v>
      </c>
      <c r="K83" s="147">
        <f t="shared" ca="1" si="20"/>
        <v>1517461.6268699961</v>
      </c>
      <c r="L83" s="147">
        <f t="shared" ca="1" si="20"/>
        <v>1544869.924360872</v>
      </c>
      <c r="M83" s="147">
        <f t="shared" ca="1" si="20"/>
        <v>1570789.5419633475</v>
      </c>
      <c r="N83" s="147">
        <f t="shared" ca="1" si="20"/>
        <v>1595037.5058672605</v>
      </c>
      <c r="O83" s="147">
        <f t="shared" ca="1" si="20"/>
        <v>1617444.2571086467</v>
      </c>
      <c r="P83" s="147">
        <f t="shared" ca="1" si="20"/>
        <v>1637902.1360605091</v>
      </c>
      <c r="Q83" s="147">
        <f t="shared" ca="1" si="20"/>
        <v>1656315.2542708884</v>
      </c>
      <c r="R83" s="147">
        <f t="shared" ca="1" si="20"/>
        <v>1672590.7453345216</v>
      </c>
      <c r="S83" s="147">
        <f t="shared" ca="1" si="20"/>
        <v>1686648.3645185074</v>
      </c>
      <c r="T83" s="147">
        <f t="shared" ca="1" si="20"/>
        <v>1698461.6203369887</v>
      </c>
      <c r="U83" s="147">
        <f t="shared" ca="1" si="20"/>
        <v>1708020.1851771034</v>
      </c>
      <c r="V83" s="147">
        <f t="shared" ca="1" si="20"/>
        <v>1715304.0087678437</v>
      </c>
      <c r="W83" s="147">
        <f t="shared" ca="1" si="20"/>
        <v>1720311.6812128348</v>
      </c>
      <c r="X83" s="147">
        <f t="shared" ca="1" si="20"/>
        <v>1723031.5245422227</v>
      </c>
      <c r="Y83" s="147">
        <f t="shared" ca="1" si="20"/>
        <v>1723475.714486975</v>
      </c>
      <c r="Z83" s="147">
        <f t="shared" ca="1" si="20"/>
        <v>1721673.5234515646</v>
      </c>
      <c r="AA83" s="147">
        <f t="shared" ca="1" si="20"/>
        <v>1717639.2445727356</v>
      </c>
      <c r="AB83" s="147">
        <f t="shared" ca="1" si="20"/>
        <v>1711387.1553422685</v>
      </c>
      <c r="AC83" s="147">
        <f t="shared" ca="1" si="20"/>
        <v>1702950.1165801308</v>
      </c>
      <c r="AD83" s="147">
        <f t="shared" ca="1" si="20"/>
        <v>1692369.4342083468</v>
      </c>
      <c r="AE83" s="147">
        <f t="shared" ca="1" si="20"/>
        <v>1679672.8463331421</v>
      </c>
      <c r="AF83" s="147">
        <f t="shared" ca="1" si="20"/>
        <v>1664890.0127429196</v>
      </c>
      <c r="AG83" s="147">
        <f t="shared" ca="1" si="20"/>
        <v>1648056.1411667378</v>
      </c>
    </row>
    <row r="84" spans="2:33">
      <c r="B84" s="149">
        <v>2</v>
      </c>
      <c r="C84" s="122" t="str">
        <v>Veículos Comerciais com 5 Eixos Articulado</v>
      </c>
      <c r="D84" s="147">
        <f t="shared" ref="D84:AG84" ca="1" si="21">D22 * ((12-(INDEX(_xlfn.ANCHORARRAY(E$59),MATCH($B84,$C$59:$C$62,0))))/12)</f>
        <v>0</v>
      </c>
      <c r="E84" s="147">
        <f t="shared" ca="1" si="5"/>
        <v>844587.612428769</v>
      </c>
      <c r="F84" s="147">
        <f t="shared" ca="1" si="21"/>
        <v>1167180.5732647027</v>
      </c>
      <c r="G84" s="147">
        <f t="shared" ca="1" si="21"/>
        <v>1209375.5188561971</v>
      </c>
      <c r="H84" s="147">
        <f t="shared" ca="1" si="21"/>
        <v>1252632.4056877864</v>
      </c>
      <c r="I84" s="147">
        <f t="shared" ca="1" si="21"/>
        <v>1296648.5733557816</v>
      </c>
      <c r="J84" s="147">
        <f t="shared" ca="1" si="21"/>
        <v>1877309.114126513</v>
      </c>
      <c r="K84" s="147">
        <f t="shared" ca="1" si="21"/>
        <v>1939161.944519494</v>
      </c>
      <c r="L84" s="147">
        <f t="shared" ca="1" si="21"/>
        <v>2000386.4066408055</v>
      </c>
      <c r="M84" s="147">
        <f t="shared" ca="1" si="21"/>
        <v>2060538.0602935546</v>
      </c>
      <c r="N84" s="147">
        <f t="shared" ca="1" si="21"/>
        <v>2119146.1129657682</v>
      </c>
      <c r="O84" s="147">
        <f t="shared" ca="1" si="21"/>
        <v>2175753.6471832278</v>
      </c>
      <c r="P84" s="147">
        <f t="shared" ca="1" si="21"/>
        <v>2230009.4510266492</v>
      </c>
      <c r="Q84" s="147">
        <f t="shared" ca="1" si="21"/>
        <v>2281575.7196744261</v>
      </c>
      <c r="R84" s="147">
        <f t="shared" ca="1" si="21"/>
        <v>2330110.4118426251</v>
      </c>
      <c r="S84" s="147">
        <f t="shared" ca="1" si="21"/>
        <v>2375294.2404863611</v>
      </c>
      <c r="T84" s="147">
        <f t="shared" ca="1" si="21"/>
        <v>2416913.2340026987</v>
      </c>
      <c r="U84" s="147">
        <f t="shared" ca="1" si="21"/>
        <v>2454793.5374237993</v>
      </c>
      <c r="V84" s="147">
        <f t="shared" ca="1" si="21"/>
        <v>2488749.5939245657</v>
      </c>
      <c r="W84" s="147">
        <f t="shared" ca="1" si="21"/>
        <v>2518635.5466202972</v>
      </c>
      <c r="X84" s="147">
        <f t="shared" ca="1" si="21"/>
        <v>2544294.7739653946</v>
      </c>
      <c r="Y84" s="147">
        <f t="shared" ca="1" si="21"/>
        <v>2565625.0641301759</v>
      </c>
      <c r="Z84" s="147">
        <f t="shared" ca="1" si="21"/>
        <v>2582567.7818852556</v>
      </c>
      <c r="AA84" s="147">
        <f t="shared" ca="1" si="21"/>
        <v>2595046.6882336442</v>
      </c>
      <c r="AB84" s="147">
        <f t="shared" ca="1" si="21"/>
        <v>2602993.802976042</v>
      </c>
      <c r="AC84" s="147">
        <f t="shared" ca="1" si="21"/>
        <v>2606385.0828694599</v>
      </c>
      <c r="AD84" s="147">
        <f t="shared" ca="1" si="21"/>
        <v>2605218.5000264584</v>
      </c>
      <c r="AE84" s="147">
        <f t="shared" ca="1" si="21"/>
        <v>2599471.1031502853</v>
      </c>
      <c r="AF84" s="147">
        <f t="shared" ca="1" si="21"/>
        <v>2589131.2905622935</v>
      </c>
      <c r="AG84" s="147">
        <f t="shared" ca="1" si="21"/>
        <v>2574207.6773760561</v>
      </c>
    </row>
    <row r="85" spans="2:33">
      <c r="B85" s="149">
        <v>2</v>
      </c>
      <c r="C85" s="122" t="str">
        <v>Veículos Comerciais com 6 Eixos Articulado</v>
      </c>
      <c r="D85" s="147">
        <f t="shared" ref="D85:AG85" ca="1" si="22">D23 * ((12-(INDEX(_xlfn.ANCHORARRAY(E$59),MATCH($B85,$C$59:$C$62,0))))/12)</f>
        <v>0</v>
      </c>
      <c r="E85" s="147">
        <f t="shared" ca="1" si="5"/>
        <v>9372413.821882816</v>
      </c>
      <c r="F85" s="147">
        <f t="shared" ca="1" si="22"/>
        <v>12952237.490248302</v>
      </c>
      <c r="G85" s="147">
        <f t="shared" ca="1" si="22"/>
        <v>13420476.05479233</v>
      </c>
      <c r="H85" s="147">
        <f t="shared" ca="1" si="22"/>
        <v>13900499.012820503</v>
      </c>
      <c r="I85" s="147">
        <f t="shared" ca="1" si="22"/>
        <v>14388947.732843168</v>
      </c>
      <c r="J85" s="147">
        <f t="shared" ca="1" si="22"/>
        <v>20832555.001118768</v>
      </c>
      <c r="K85" s="147">
        <f t="shared" ca="1" si="22"/>
        <v>21518937.697202463</v>
      </c>
      <c r="L85" s="147">
        <f t="shared" ca="1" si="22"/>
        <v>22198347.371911027</v>
      </c>
      <c r="M85" s="147">
        <f t="shared" ca="1" si="22"/>
        <v>22865852.059178371</v>
      </c>
      <c r="N85" s="147">
        <f t="shared" ca="1" si="22"/>
        <v>23516227.36051517</v>
      </c>
      <c r="O85" s="147">
        <f t="shared" ca="1" si="22"/>
        <v>24144402.84913823</v>
      </c>
      <c r="P85" s="147">
        <f t="shared" ca="1" si="22"/>
        <v>24746481.115947206</v>
      </c>
      <c r="Q85" s="147">
        <f t="shared" ca="1" si="22"/>
        <v>25318713.530802932</v>
      </c>
      <c r="R85" s="147">
        <f t="shared" ca="1" si="22"/>
        <v>25857304.451417957</v>
      </c>
      <c r="S85" s="147">
        <f t="shared" ca="1" si="22"/>
        <v>26358710.739971418</v>
      </c>
      <c r="T85" s="147">
        <f t="shared" ca="1" si="22"/>
        <v>26820557.94722994</v>
      </c>
      <c r="U85" s="147">
        <f t="shared" ca="1" si="22"/>
        <v>27240916.799451418</v>
      </c>
      <c r="V85" s="147">
        <f t="shared" ca="1" si="22"/>
        <v>27617728.167036157</v>
      </c>
      <c r="W85" s="147">
        <f t="shared" ca="1" si="22"/>
        <v>27949373.471802261</v>
      </c>
      <c r="X85" s="147">
        <f t="shared" ca="1" si="22"/>
        <v>28234114.679806076</v>
      </c>
      <c r="Y85" s="147">
        <f t="shared" ca="1" si="22"/>
        <v>28470817.543337625</v>
      </c>
      <c r="Z85" s="147">
        <f t="shared" ca="1" si="22"/>
        <v>28658831.385514788</v>
      </c>
      <c r="AA85" s="147">
        <f t="shared" ca="1" si="22"/>
        <v>28797310.179923445</v>
      </c>
      <c r="AB85" s="147">
        <f t="shared" ca="1" si="22"/>
        <v>28885499.548272748</v>
      </c>
      <c r="AC85" s="147">
        <f t="shared" ca="1" si="22"/>
        <v>28923132.681981076</v>
      </c>
      <c r="AD85" s="147">
        <f t="shared" ca="1" si="22"/>
        <v>28910187.077521324</v>
      </c>
      <c r="AE85" s="147">
        <f t="shared" ca="1" si="22"/>
        <v>28846408.043671675</v>
      </c>
      <c r="AF85" s="147">
        <f t="shared" ca="1" si="22"/>
        <v>28731666.836259585</v>
      </c>
      <c r="AG85" s="147">
        <f t="shared" ca="1" si="22"/>
        <v>28566059.05745627</v>
      </c>
    </row>
    <row r="86" spans="2:33">
      <c r="B86" s="149">
        <v>2</v>
      </c>
      <c r="C86" s="122" t="str">
        <v>Veículos Comerciais com 7 Eixos Articulado</v>
      </c>
      <c r="D86" s="147">
        <f t="shared" ref="D86:AG86" ca="1" si="23">D24 * ((12-(INDEX(_xlfn.ANCHORARRAY(E$59),MATCH($B86,$C$59:$C$62,0))))/12)</f>
        <v>0</v>
      </c>
      <c r="E86" s="147">
        <f t="shared" ca="1" si="5"/>
        <v>398043.27080801397</v>
      </c>
      <c r="F86" s="147">
        <f t="shared" ca="1" si="23"/>
        <v>550077.18106336473</v>
      </c>
      <c r="G86" s="147">
        <f t="shared" ca="1" si="23"/>
        <v>569963.11581737595</v>
      </c>
      <c r="H86" s="147">
        <f t="shared" ca="1" si="23"/>
        <v>590349.52980929322</v>
      </c>
      <c r="I86" s="147">
        <f t="shared" ca="1" si="23"/>
        <v>611093.78308648709</v>
      </c>
      <c r="J86" s="147">
        <f t="shared" ca="1" si="23"/>
        <v>884751.62210318819</v>
      </c>
      <c r="K86" s="147">
        <f t="shared" ca="1" si="23"/>
        <v>913902.0649418605</v>
      </c>
      <c r="L86" s="147">
        <f t="shared" ca="1" si="23"/>
        <v>942756.36590200325</v>
      </c>
      <c r="M86" s="147">
        <f t="shared" ca="1" si="23"/>
        <v>971105.06603933859</v>
      </c>
      <c r="N86" s="147">
        <f t="shared" ca="1" si="23"/>
        <v>998726.28690267878</v>
      </c>
      <c r="O86" s="147">
        <f t="shared" ca="1" si="23"/>
        <v>1025404.6891675412</v>
      </c>
      <c r="P86" s="147">
        <f t="shared" ca="1" si="23"/>
        <v>1050974.7511769158</v>
      </c>
      <c r="Q86" s="147">
        <f t="shared" ca="1" si="23"/>
        <v>1075277.2698663634</v>
      </c>
      <c r="R86" s="147">
        <f t="shared" ca="1" si="23"/>
        <v>1098151.045581277</v>
      </c>
      <c r="S86" s="147">
        <f t="shared" ca="1" si="23"/>
        <v>1119445.6024470376</v>
      </c>
      <c r="T86" s="147">
        <f t="shared" ca="1" si="23"/>
        <v>1139060.098401272</v>
      </c>
      <c r="U86" s="147">
        <f t="shared" ca="1" si="23"/>
        <v>1156912.5978353745</v>
      </c>
      <c r="V86" s="147">
        <f t="shared" ca="1" si="23"/>
        <v>1172915.6502060329</v>
      </c>
      <c r="W86" s="147">
        <f t="shared" ca="1" si="23"/>
        <v>1187000.5150408528</v>
      </c>
      <c r="X86" s="147">
        <f t="shared" ca="1" si="23"/>
        <v>1199093.3786213147</v>
      </c>
      <c r="Y86" s="147">
        <f t="shared" ca="1" si="23"/>
        <v>1209146.0698276868</v>
      </c>
      <c r="Z86" s="147">
        <f t="shared" ca="1" si="23"/>
        <v>1217130.9546310704</v>
      </c>
      <c r="AA86" s="147">
        <f t="shared" ca="1" si="23"/>
        <v>1223012.1025734795</v>
      </c>
      <c r="AB86" s="147">
        <f t="shared" ca="1" si="23"/>
        <v>1226757.4754619761</v>
      </c>
      <c r="AC86" s="147">
        <f t="shared" ca="1" si="23"/>
        <v>1228355.7420256061</v>
      </c>
      <c r="AD86" s="147">
        <f t="shared" ca="1" si="23"/>
        <v>1227805.9465471222</v>
      </c>
      <c r="AE86" s="147">
        <f t="shared" ca="1" si="23"/>
        <v>1225097.2723757776</v>
      </c>
      <c r="AF86" s="147">
        <f t="shared" ca="1" si="23"/>
        <v>1220224.2517897538</v>
      </c>
      <c r="AG86" s="147">
        <f t="shared" ca="1" si="23"/>
        <v>1213190.9449811906</v>
      </c>
    </row>
    <row r="87" spans="2:33">
      <c r="B87" s="149">
        <v>2</v>
      </c>
      <c r="C87" s="122" t="str">
        <v>Veículos Comerciais com 8 Eixos Articulado</v>
      </c>
      <c r="D87" s="147">
        <f t="shared" ref="D87:AG87" ca="1" si="24">D25 * ((12-(INDEX(_xlfn.ANCHORARRAY(E$59),MATCH($B87,$C$59:$C$62,0))))/12)</f>
        <v>0</v>
      </c>
      <c r="E87" s="147">
        <f t="shared" ca="1" si="5"/>
        <v>0</v>
      </c>
      <c r="F87" s="147">
        <f t="shared" ca="1" si="24"/>
        <v>0</v>
      </c>
      <c r="G87" s="147">
        <f t="shared" ca="1" si="24"/>
        <v>0</v>
      </c>
      <c r="H87" s="147">
        <f t="shared" ca="1" si="24"/>
        <v>0</v>
      </c>
      <c r="I87" s="147">
        <f t="shared" ca="1" si="24"/>
        <v>0</v>
      </c>
      <c r="J87" s="147">
        <f t="shared" ca="1" si="24"/>
        <v>0</v>
      </c>
      <c r="K87" s="147">
        <f t="shared" ca="1" si="24"/>
        <v>0</v>
      </c>
      <c r="L87" s="147">
        <f t="shared" ca="1" si="24"/>
        <v>0</v>
      </c>
      <c r="M87" s="147">
        <f t="shared" ca="1" si="24"/>
        <v>0</v>
      </c>
      <c r="N87" s="147">
        <f t="shared" ca="1" si="24"/>
        <v>0</v>
      </c>
      <c r="O87" s="147">
        <f t="shared" ca="1" si="24"/>
        <v>0</v>
      </c>
      <c r="P87" s="147">
        <f t="shared" ca="1" si="24"/>
        <v>0</v>
      </c>
      <c r="Q87" s="147">
        <f t="shared" ca="1" si="24"/>
        <v>0</v>
      </c>
      <c r="R87" s="147">
        <f t="shared" ca="1" si="24"/>
        <v>0</v>
      </c>
      <c r="S87" s="147">
        <f t="shared" ca="1" si="24"/>
        <v>0</v>
      </c>
      <c r="T87" s="147">
        <f t="shared" ca="1" si="24"/>
        <v>0</v>
      </c>
      <c r="U87" s="147">
        <f t="shared" ca="1" si="24"/>
        <v>0</v>
      </c>
      <c r="V87" s="147">
        <f t="shared" ca="1" si="24"/>
        <v>0</v>
      </c>
      <c r="W87" s="147">
        <f t="shared" ca="1" si="24"/>
        <v>0</v>
      </c>
      <c r="X87" s="147">
        <f t="shared" ca="1" si="24"/>
        <v>0</v>
      </c>
      <c r="Y87" s="147">
        <f t="shared" ca="1" si="24"/>
        <v>0</v>
      </c>
      <c r="Z87" s="147">
        <f t="shared" ca="1" si="24"/>
        <v>0</v>
      </c>
      <c r="AA87" s="147">
        <f t="shared" ca="1" si="24"/>
        <v>0</v>
      </c>
      <c r="AB87" s="147">
        <f t="shared" ca="1" si="24"/>
        <v>0</v>
      </c>
      <c r="AC87" s="147">
        <f t="shared" ca="1" si="24"/>
        <v>0</v>
      </c>
      <c r="AD87" s="147">
        <f t="shared" ca="1" si="24"/>
        <v>0</v>
      </c>
      <c r="AE87" s="147">
        <f t="shared" ca="1" si="24"/>
        <v>0</v>
      </c>
      <c r="AF87" s="147">
        <f t="shared" ca="1" si="24"/>
        <v>0</v>
      </c>
      <c r="AG87" s="147">
        <f t="shared" ca="1" si="24"/>
        <v>0</v>
      </c>
    </row>
    <row r="88" spans="2:33">
      <c r="B88" s="149">
        <v>2</v>
      </c>
      <c r="C88" s="122" t="str">
        <v>Veículos Comerciais com 9 Eixos Articulado</v>
      </c>
      <c r="D88" s="147">
        <f t="shared" ref="D88:AG88" ca="1" si="25">D26 * ((12-(INDEX(_xlfn.ANCHORARRAY(E$59),MATCH($B88,$C$59:$C$62,0))))/12)</f>
        <v>0</v>
      </c>
      <c r="E88" s="147">
        <f t="shared" ca="1" si="5"/>
        <v>285989.07272340509</v>
      </c>
      <c r="F88" s="147">
        <f t="shared" ca="1" si="25"/>
        <v>395223.52084804792</v>
      </c>
      <c r="G88" s="147">
        <f t="shared" ca="1" si="25"/>
        <v>409511.31430576189</v>
      </c>
      <c r="H88" s="147">
        <f t="shared" ca="1" si="25"/>
        <v>424158.69578734948</v>
      </c>
      <c r="I88" s="147">
        <f t="shared" ca="1" si="25"/>
        <v>439063.18028482911</v>
      </c>
      <c r="J88" s="147">
        <f t="shared" ca="1" si="25"/>
        <v>635682.88814976986</v>
      </c>
      <c r="K88" s="147">
        <f t="shared" ca="1" si="25"/>
        <v>656627.1138867992</v>
      </c>
      <c r="L88" s="147">
        <f t="shared" ca="1" si="25"/>
        <v>677358.56541698554</v>
      </c>
      <c r="M88" s="147">
        <f t="shared" ca="1" si="25"/>
        <v>697726.74912910478</v>
      </c>
      <c r="N88" s="147">
        <f t="shared" ca="1" si="25"/>
        <v>717572.2481527651</v>
      </c>
      <c r="O88" s="147">
        <f t="shared" ca="1" si="25"/>
        <v>736740.34389768727</v>
      </c>
      <c r="P88" s="147">
        <f t="shared" ca="1" si="25"/>
        <v>755112.11113971716</v>
      </c>
      <c r="Q88" s="147">
        <f t="shared" ca="1" si="25"/>
        <v>772573.16448381566</v>
      </c>
      <c r="R88" s="147">
        <f t="shared" ca="1" si="25"/>
        <v>789007.68401007738</v>
      </c>
      <c r="S88" s="147">
        <f t="shared" ca="1" si="25"/>
        <v>804307.55469934235</v>
      </c>
      <c r="T88" s="147">
        <f t="shared" ca="1" si="25"/>
        <v>818400.32280091406</v>
      </c>
      <c r="U88" s="147">
        <f t="shared" ca="1" si="25"/>
        <v>831227.11861281155</v>
      </c>
      <c r="V88" s="147">
        <f t="shared" ca="1" si="25"/>
        <v>842725.11002198176</v>
      </c>
      <c r="W88" s="147">
        <f t="shared" ca="1" si="25"/>
        <v>852844.90786548704</v>
      </c>
      <c r="X88" s="147">
        <f t="shared" ca="1" si="25"/>
        <v>861533.4779169953</v>
      </c>
      <c r="Y88" s="147">
        <f t="shared" ca="1" si="25"/>
        <v>868756.20983417856</v>
      </c>
      <c r="Z88" s="147">
        <f t="shared" ca="1" si="25"/>
        <v>874493.24891560164</v>
      </c>
      <c r="AA88" s="147">
        <f t="shared" ca="1" si="25"/>
        <v>878718.77958010545</v>
      </c>
      <c r="AB88" s="147">
        <f t="shared" ca="1" si="25"/>
        <v>881409.78278990742</v>
      </c>
      <c r="AC88" s="147">
        <f t="shared" ca="1" si="25"/>
        <v>882558.11716965842</v>
      </c>
      <c r="AD88" s="147">
        <f t="shared" ca="1" si="25"/>
        <v>882163.09604856302</v>
      </c>
      <c r="AE88" s="147">
        <f t="shared" ca="1" si="25"/>
        <v>880216.94779940369</v>
      </c>
      <c r="AF88" s="147">
        <f t="shared" ca="1" si="25"/>
        <v>876715.74393297487</v>
      </c>
      <c r="AG88" s="147">
        <f t="shared" ca="1" si="25"/>
        <v>871662.40164614981</v>
      </c>
    </row>
    <row r="89" spans="2:33">
      <c r="B89" s="149">
        <v>2</v>
      </c>
      <c r="C89" s="122" t="str">
        <v>Motocicleta</v>
      </c>
      <c r="D89" s="147">
        <f t="shared" ref="D89:AG89" ca="1" si="26">D27 * ((12-(INDEX(_xlfn.ANCHORARRAY(E$59),MATCH($B89,$C$59:$C$62,0))))/12)</f>
        <v>0</v>
      </c>
      <c r="E89" s="147">
        <f t="shared" ca="1" si="5"/>
        <v>693276.50345719163</v>
      </c>
      <c r="F89" s="147">
        <f t="shared" ca="1" si="26"/>
        <v>962527.62464865111</v>
      </c>
      <c r="G89" s="147">
        <f t="shared" ca="1" si="26"/>
        <v>1002470.735180778</v>
      </c>
      <c r="H89" s="147">
        <f t="shared" ca="1" si="26"/>
        <v>1044194.4112081106</v>
      </c>
      <c r="I89" s="147">
        <f t="shared" ca="1" si="26"/>
        <v>1087449.0576939159</v>
      </c>
      <c r="J89" s="147">
        <f t="shared" ca="1" si="26"/>
        <v>1584488.7287033612</v>
      </c>
      <c r="K89" s="147">
        <f t="shared" ca="1" si="26"/>
        <v>1647553.771267999</v>
      </c>
      <c r="L89" s="147">
        <f t="shared" ca="1" si="26"/>
        <v>1711165.3278547996</v>
      </c>
      <c r="M89" s="147">
        <f t="shared" ca="1" si="26"/>
        <v>1774888.3438257575</v>
      </c>
      <c r="N89" s="147">
        <f t="shared" ca="1" si="26"/>
        <v>1838254.1086577745</v>
      </c>
      <c r="O89" s="147">
        <f t="shared" ca="1" si="26"/>
        <v>1900797.0056997952</v>
      </c>
      <c r="P89" s="147">
        <f t="shared" ca="1" si="26"/>
        <v>1962139.2716650171</v>
      </c>
      <c r="Q89" s="147">
        <f t="shared" ca="1" si="26"/>
        <v>2021904.6541548222</v>
      </c>
      <c r="R89" s="147">
        <f t="shared" ca="1" si="26"/>
        <v>2079700.1964746686</v>
      </c>
      <c r="S89" s="147">
        <f t="shared" ca="1" si="26"/>
        <v>2135146.8255095775</v>
      </c>
      <c r="T89" s="147">
        <f t="shared" ca="1" si="26"/>
        <v>2187959.1532267337</v>
      </c>
      <c r="U89" s="147">
        <f t="shared" ca="1" si="26"/>
        <v>2237888.679812931</v>
      </c>
      <c r="V89" s="147">
        <f t="shared" ca="1" si="26"/>
        <v>2284673.6845853426</v>
      </c>
      <c r="W89" s="147">
        <f t="shared" ca="1" si="26"/>
        <v>2328085.4534761268</v>
      </c>
      <c r="X89" s="147">
        <f t="shared" ca="1" si="26"/>
        <v>2367884.6692612143</v>
      </c>
      <c r="Y89" s="147">
        <f t="shared" ca="1" si="26"/>
        <v>2403882.7044405844</v>
      </c>
      <c r="Z89" s="147">
        <f t="shared" ca="1" si="26"/>
        <v>2435933.4033894502</v>
      </c>
      <c r="AA89" s="147">
        <f t="shared" ca="1" si="26"/>
        <v>2463876.329725768</v>
      </c>
      <c r="AB89" s="147">
        <f t="shared" ca="1" si="26"/>
        <v>2487559.1485449937</v>
      </c>
      <c r="AC89" s="147">
        <f t="shared" ca="1" si="26"/>
        <v>2506871.4497198784</v>
      </c>
      <c r="AD89" s="147">
        <f t="shared" ca="1" si="26"/>
        <v>2521722.4198229709</v>
      </c>
      <c r="AE89" s="147">
        <f t="shared" ca="1" si="26"/>
        <v>2531999.9509811499</v>
      </c>
      <c r="AF89" s="147">
        <f t="shared" ca="1" si="26"/>
        <v>2537603.2763500055</v>
      </c>
      <c r="AG89" s="147">
        <f t="shared" ca="1" si="26"/>
        <v>2538453.2617195179</v>
      </c>
    </row>
    <row r="90" spans="2:33">
      <c r="B90" s="149">
        <v>2</v>
      </c>
      <c r="C90" s="122" t="str">
        <v xml:space="preserve">Veículos do transporte público coletivo intermunicipal e metropolitano </v>
      </c>
      <c r="D90" s="147">
        <f t="shared" ref="D90:AG90" ca="1" si="27">D28 * ((12-(INDEX(_xlfn.ANCHORARRAY(E$59),MATCH($B90,$C$59:$C$62,0))))/12)</f>
        <v>0</v>
      </c>
      <c r="E90" s="147">
        <f t="shared" ca="1" si="5"/>
        <v>0</v>
      </c>
      <c r="F90" s="147">
        <f t="shared" ca="1" si="27"/>
        <v>0</v>
      </c>
      <c r="G90" s="147">
        <f t="shared" ca="1" si="27"/>
        <v>0</v>
      </c>
      <c r="H90" s="147">
        <f t="shared" ca="1" si="27"/>
        <v>0</v>
      </c>
      <c r="I90" s="147">
        <f t="shared" ca="1" si="27"/>
        <v>0</v>
      </c>
      <c r="J90" s="147">
        <f t="shared" ca="1" si="27"/>
        <v>0</v>
      </c>
      <c r="K90" s="147">
        <f t="shared" ca="1" si="27"/>
        <v>0</v>
      </c>
      <c r="L90" s="147">
        <f t="shared" ca="1" si="27"/>
        <v>0</v>
      </c>
      <c r="M90" s="147">
        <f t="shared" ca="1" si="27"/>
        <v>0</v>
      </c>
      <c r="N90" s="147">
        <f t="shared" ca="1" si="27"/>
        <v>0</v>
      </c>
      <c r="O90" s="147">
        <f t="shared" ca="1" si="27"/>
        <v>0</v>
      </c>
      <c r="P90" s="147">
        <f t="shared" ca="1" si="27"/>
        <v>0</v>
      </c>
      <c r="Q90" s="147">
        <f t="shared" ca="1" si="27"/>
        <v>0</v>
      </c>
      <c r="R90" s="147">
        <f t="shared" ca="1" si="27"/>
        <v>0</v>
      </c>
      <c r="S90" s="147">
        <f t="shared" ca="1" si="27"/>
        <v>0</v>
      </c>
      <c r="T90" s="147">
        <f t="shared" ca="1" si="27"/>
        <v>0</v>
      </c>
      <c r="U90" s="147">
        <f t="shared" ca="1" si="27"/>
        <v>0</v>
      </c>
      <c r="V90" s="147">
        <f t="shared" ca="1" si="27"/>
        <v>0</v>
      </c>
      <c r="W90" s="147">
        <f t="shared" ca="1" si="27"/>
        <v>0</v>
      </c>
      <c r="X90" s="147">
        <f t="shared" ca="1" si="27"/>
        <v>0</v>
      </c>
      <c r="Y90" s="147">
        <f t="shared" ca="1" si="27"/>
        <v>0</v>
      </c>
      <c r="Z90" s="147">
        <f t="shared" ca="1" si="27"/>
        <v>0</v>
      </c>
      <c r="AA90" s="147">
        <f t="shared" ca="1" si="27"/>
        <v>0</v>
      </c>
      <c r="AB90" s="147">
        <f t="shared" ca="1" si="27"/>
        <v>0</v>
      </c>
      <c r="AC90" s="147">
        <f t="shared" ca="1" si="27"/>
        <v>0</v>
      </c>
      <c r="AD90" s="147">
        <f t="shared" ca="1" si="27"/>
        <v>0</v>
      </c>
      <c r="AE90" s="147">
        <f t="shared" ca="1" si="27"/>
        <v>0</v>
      </c>
      <c r="AF90" s="147">
        <f t="shared" ca="1" si="27"/>
        <v>0</v>
      </c>
      <c r="AG90" s="147">
        <f t="shared" ca="1" si="27"/>
        <v>0</v>
      </c>
    </row>
    <row r="91" spans="2:33">
      <c r="B91" s="149">
        <v>3</v>
      </c>
      <c r="C91" s="122" t="str">
        <v>Automóvel</v>
      </c>
      <c r="D91" s="147">
        <f t="shared" ref="D91:AG91" ca="1" si="28">D29 * ((12-(INDEX(_xlfn.ANCHORARRAY(E$59),MATCH($B91,$C$59:$C$62,0))))/12)</f>
        <v>0</v>
      </c>
      <c r="E91" s="147">
        <f t="shared" ca="1" si="5"/>
        <v>4778767.4280694835</v>
      </c>
      <c r="F91" s="147">
        <f t="shared" ca="1" si="28"/>
        <v>6634720.2571420828</v>
      </c>
      <c r="G91" s="147">
        <f t="shared" ca="1" si="28"/>
        <v>6910048.837636075</v>
      </c>
      <c r="H91" s="147">
        <f t="shared" ca="1" si="28"/>
        <v>7197650.8881663419</v>
      </c>
      <c r="I91" s="147">
        <f t="shared" ca="1" si="28"/>
        <v>7495805.9456480909</v>
      </c>
      <c r="J91" s="147">
        <f t="shared" ca="1" si="28"/>
        <v>7801363.8231042949</v>
      </c>
      <c r="K91" s="147">
        <f t="shared" ca="1" si="28"/>
        <v>8111869.8763527228</v>
      </c>
      <c r="L91" s="147">
        <f t="shared" ca="1" si="28"/>
        <v>8425066.7374586519</v>
      </c>
      <c r="M91" s="147">
        <f t="shared" ca="1" si="28"/>
        <v>8738812.3782381508</v>
      </c>
      <c r="N91" s="147">
        <f t="shared" ca="1" si="28"/>
        <v>9050799.0629199445</v>
      </c>
      <c r="O91" s="147">
        <f t="shared" ca="1" si="28"/>
        <v>9358734.2886725683</v>
      </c>
      <c r="P91" s="147">
        <f t="shared" ca="1" si="28"/>
        <v>9660758.1061092131</v>
      </c>
      <c r="Q91" s="147">
        <f t="shared" ca="1" si="28"/>
        <v>9955018.0048284065</v>
      </c>
      <c r="R91" s="147">
        <f t="shared" ca="1" si="28"/>
        <v>10239579.229419582</v>
      </c>
      <c r="S91" s="147">
        <f t="shared" ca="1" si="28"/>
        <v>10512575.381446486</v>
      </c>
      <c r="T91" s="147">
        <f t="shared" ca="1" si="28"/>
        <v>10772601.32887226</v>
      </c>
      <c r="U91" s="147">
        <f t="shared" ca="1" si="28"/>
        <v>11018433.56191884</v>
      </c>
      <c r="V91" s="147">
        <f t="shared" ca="1" si="28"/>
        <v>11248783.476742115</v>
      </c>
      <c r="W91" s="147">
        <f t="shared" ca="1" si="28"/>
        <v>11462524.980349194</v>
      </c>
      <c r="X91" s="147">
        <f t="shared" ca="1" si="28"/>
        <v>11658479.774213703</v>
      </c>
      <c r="Y91" s="147">
        <f t="shared" ca="1" si="28"/>
        <v>11835719.134938587</v>
      </c>
      <c r="Z91" s="147">
        <f t="shared" ca="1" si="28"/>
        <v>11993523.452984767</v>
      </c>
      <c r="AA91" s="147">
        <f t="shared" ca="1" si="28"/>
        <v>12131102.806300966</v>
      </c>
      <c r="AB91" s="147">
        <f t="shared" ca="1" si="28"/>
        <v>12247707.161143323</v>
      </c>
      <c r="AC91" s="147">
        <f t="shared" ca="1" si="28"/>
        <v>12342792.903943103</v>
      </c>
      <c r="AD91" s="147">
        <f t="shared" ca="1" si="28"/>
        <v>12415912.907134971</v>
      </c>
      <c r="AE91" s="147">
        <f t="shared" ca="1" si="28"/>
        <v>12466515.19815528</v>
      </c>
      <c r="AF91" s="147">
        <f t="shared" ca="1" si="28"/>
        <v>12494103.642951252</v>
      </c>
      <c r="AG91" s="147">
        <f t="shared" ca="1" si="28"/>
        <v>12498288.617569096</v>
      </c>
    </row>
    <row r="92" spans="2:33">
      <c r="B92" s="149">
        <v>3</v>
      </c>
      <c r="C92" s="122" t="str">
        <v xml:space="preserve">Automóvel com reboque </v>
      </c>
      <c r="D92" s="147">
        <f t="shared" ref="D92:AG92" ca="1" si="29">D30 * ((12-(INDEX(_xlfn.ANCHORARRAY(E$59),MATCH($B92,$C$59:$C$62,0))))/12)</f>
        <v>0</v>
      </c>
      <c r="E92" s="147">
        <f t="shared" ca="1" si="5"/>
        <v>53988.129108624766</v>
      </c>
      <c r="F92" s="147">
        <f t="shared" ca="1" si="29"/>
        <v>74955.757783529189</v>
      </c>
      <c r="G92" s="147">
        <f t="shared" ca="1" si="29"/>
        <v>78066.282657305899</v>
      </c>
      <c r="H92" s="147">
        <f t="shared" ca="1" si="29"/>
        <v>81315.467069321894</v>
      </c>
      <c r="I92" s="147">
        <f t="shared" ca="1" si="29"/>
        <v>84683.874086404307</v>
      </c>
      <c r="J92" s="147">
        <f t="shared" ca="1" si="29"/>
        <v>88135.914468483985</v>
      </c>
      <c r="K92" s="147">
        <f t="shared" ca="1" si="29"/>
        <v>91643.856870811287</v>
      </c>
      <c r="L92" s="147">
        <f t="shared" ca="1" si="29"/>
        <v>95182.198677211753</v>
      </c>
      <c r="M92" s="147">
        <f t="shared" ca="1" si="29"/>
        <v>98726.740322443977</v>
      </c>
      <c r="N92" s="147">
        <f t="shared" ca="1" si="29"/>
        <v>102251.41015965701</v>
      </c>
      <c r="O92" s="147">
        <f t="shared" ca="1" si="29"/>
        <v>105730.30863615019</v>
      </c>
      <c r="P92" s="147">
        <f t="shared" ca="1" si="29"/>
        <v>109142.42297213418</v>
      </c>
      <c r="Q92" s="147">
        <f t="shared" ca="1" si="29"/>
        <v>112466.82442976288</v>
      </c>
      <c r="R92" s="147">
        <f t="shared" ca="1" si="29"/>
        <v>115681.65510812945</v>
      </c>
      <c r="S92" s="147">
        <f t="shared" ca="1" si="29"/>
        <v>118765.82936930298</v>
      </c>
      <c r="T92" s="147">
        <f t="shared" ca="1" si="29"/>
        <v>121703.47273289437</v>
      </c>
      <c r="U92" s="147">
        <f t="shared" ca="1" si="29"/>
        <v>124480.76259613888</v>
      </c>
      <c r="V92" s="147">
        <f t="shared" ca="1" si="29"/>
        <v>127083.14095600469</v>
      </c>
      <c r="W92" s="147">
        <f t="shared" ca="1" si="29"/>
        <v>129497.8857759409</v>
      </c>
      <c r="X92" s="147">
        <f t="shared" ca="1" si="29"/>
        <v>131711.68522733726</v>
      </c>
      <c r="Y92" s="147">
        <f t="shared" ca="1" si="29"/>
        <v>133714.04705682077</v>
      </c>
      <c r="Z92" s="147">
        <f t="shared" ca="1" si="29"/>
        <v>135496.84147500765</v>
      </c>
      <c r="AA92" s="147">
        <f t="shared" ca="1" si="29"/>
        <v>137051.14433684762</v>
      </c>
      <c r="AB92" s="147">
        <f t="shared" ca="1" si="29"/>
        <v>138368.48213547748</v>
      </c>
      <c r="AC92" s="147">
        <f t="shared" ca="1" si="29"/>
        <v>139442.71339613915</v>
      </c>
      <c r="AD92" s="147">
        <f t="shared" ca="1" si="29"/>
        <v>140268.78669478057</v>
      </c>
      <c r="AE92" s="147">
        <f t="shared" ca="1" si="29"/>
        <v>140840.46612089156</v>
      </c>
      <c r="AF92" s="147">
        <f t="shared" ca="1" si="29"/>
        <v>141152.14659958621</v>
      </c>
      <c r="AG92" s="147">
        <f t="shared" ca="1" si="29"/>
        <v>141199.42635391309</v>
      </c>
    </row>
    <row r="93" spans="2:33">
      <c r="B93" s="149">
        <v>3</v>
      </c>
      <c r="C93" s="122" t="str">
        <v>Veículos Comerciais com 2 Eixos</v>
      </c>
      <c r="D93" s="147">
        <f t="shared" ref="D93:AG93" ca="1" si="30">D31 * ((12-(INDEX(_xlfn.ANCHORARRAY(E$59),MATCH($B93,$C$59:$C$62,0))))/12)</f>
        <v>0</v>
      </c>
      <c r="E93" s="147">
        <f t="shared" ca="1" si="5"/>
        <v>946391.38699027151</v>
      </c>
      <c r="F93" s="147">
        <f t="shared" ca="1" si="30"/>
        <v>1291971.2243153583</v>
      </c>
      <c r="G93" s="147">
        <f t="shared" ca="1" si="30"/>
        <v>1321868.484630303</v>
      </c>
      <c r="H93" s="147">
        <f t="shared" ca="1" si="30"/>
        <v>1351457.7284518899</v>
      </c>
      <c r="I93" s="147">
        <f t="shared" ca="1" si="30"/>
        <v>1380521.10035999</v>
      </c>
      <c r="J93" s="147">
        <f t="shared" ca="1" si="30"/>
        <v>1408751.5153061424</v>
      </c>
      <c r="K93" s="147">
        <f t="shared" ca="1" si="30"/>
        <v>1435930.2305418982</v>
      </c>
      <c r="L93" s="147">
        <f t="shared" ca="1" si="30"/>
        <v>1461865.9130250283</v>
      </c>
      <c r="M93" s="147">
        <f t="shared" ca="1" si="30"/>
        <v>1486392.9006077391</v>
      </c>
      <c r="N93" s="147">
        <f t="shared" ca="1" si="30"/>
        <v>1509338.0504436106</v>
      </c>
      <c r="O93" s="147">
        <f t="shared" ca="1" si="30"/>
        <v>1530540.9137687965</v>
      </c>
      <c r="P93" s="147">
        <f t="shared" ca="1" si="30"/>
        <v>1549899.6153791554</v>
      </c>
      <c r="Q93" s="147">
        <f t="shared" ca="1" si="30"/>
        <v>1567323.4187944431</v>
      </c>
      <c r="R93" s="147">
        <f t="shared" ca="1" si="30"/>
        <v>1582724.4472101603</v>
      </c>
      <c r="S93" s="147">
        <f t="shared" ca="1" si="30"/>
        <v>1596026.7673468264</v>
      </c>
      <c r="T93" s="147">
        <f t="shared" ca="1" si="30"/>
        <v>1607205.3110744003</v>
      </c>
      <c r="U93" s="147">
        <f t="shared" ca="1" si="30"/>
        <v>1616250.3056702947</v>
      </c>
      <c r="V93" s="147">
        <f t="shared" ca="1" si="30"/>
        <v>1623142.7781405551</v>
      </c>
      <c r="W93" s="147">
        <f t="shared" ca="1" si="30"/>
        <v>1627881.3943408518</v>
      </c>
      <c r="X93" s="147">
        <f t="shared" ca="1" si="30"/>
        <v>1630455.1037446684</v>
      </c>
      <c r="Y93" s="147">
        <f t="shared" ca="1" si="30"/>
        <v>1630875.4278955252</v>
      </c>
      <c r="Z93" s="147">
        <f t="shared" ca="1" si="30"/>
        <v>1629170.0664266525</v>
      </c>
      <c r="AA93" s="147">
        <f t="shared" ca="1" si="30"/>
        <v>1625352.5445216696</v>
      </c>
      <c r="AB93" s="147">
        <f t="shared" ca="1" si="30"/>
        <v>1619436.3725598187</v>
      </c>
      <c r="AC93" s="147">
        <f t="shared" ca="1" si="30"/>
        <v>1611452.6457885543</v>
      </c>
      <c r="AD93" s="147">
        <f t="shared" ca="1" si="30"/>
        <v>1601440.4508121689</v>
      </c>
      <c r="AE93" s="147">
        <f t="shared" ca="1" si="30"/>
        <v>1589426.03540165</v>
      </c>
      <c r="AF93" s="147">
        <f t="shared" ca="1" si="30"/>
        <v>1575437.465760482</v>
      </c>
      <c r="AG93" s="147">
        <f t="shared" ca="1" si="30"/>
        <v>1559508.057948597</v>
      </c>
    </row>
    <row r="94" spans="2:33">
      <c r="B94" s="149">
        <v>3</v>
      </c>
      <c r="C94" s="122" t="str">
        <v>Veículos Comerciais com 3 Eixos</v>
      </c>
      <c r="D94" s="147">
        <f t="shared" ref="D94:AG94" ca="1" si="31">D32 * ((12-(INDEX(_xlfn.ANCHORARRAY(E$59),MATCH($B94,$C$59:$C$62,0))))/12)</f>
        <v>0</v>
      </c>
      <c r="E94" s="147">
        <f t="shared" ca="1" si="5"/>
        <v>656583.74775946082</v>
      </c>
      <c r="F94" s="147">
        <f t="shared" ca="1" si="31"/>
        <v>896338.78765115689</v>
      </c>
      <c r="G94" s="147">
        <f t="shared" ca="1" si="31"/>
        <v>917080.79301508411</v>
      </c>
      <c r="H94" s="147">
        <f t="shared" ca="1" si="31"/>
        <v>937609.10389028175</v>
      </c>
      <c r="I94" s="147">
        <f t="shared" ca="1" si="31"/>
        <v>957772.57738789462</v>
      </c>
      <c r="J94" s="147">
        <f t="shared" ca="1" si="31"/>
        <v>977358.16523342289</v>
      </c>
      <c r="K94" s="147">
        <f t="shared" ca="1" si="31"/>
        <v>996214.10893080896</v>
      </c>
      <c r="L94" s="147">
        <f t="shared" ca="1" si="31"/>
        <v>1014207.6661837217</v>
      </c>
      <c r="M94" s="147">
        <f t="shared" ca="1" si="31"/>
        <v>1031223.9045494579</v>
      </c>
      <c r="N94" s="147">
        <f t="shared" ca="1" si="31"/>
        <v>1047142.7016552202</v>
      </c>
      <c r="O94" s="147">
        <f t="shared" ca="1" si="31"/>
        <v>1061852.7419796097</v>
      </c>
      <c r="P94" s="147">
        <f t="shared" ca="1" si="31"/>
        <v>1075283.3469384199</v>
      </c>
      <c r="Q94" s="147">
        <f t="shared" ca="1" si="31"/>
        <v>1087371.5657281277</v>
      </c>
      <c r="R94" s="147">
        <f t="shared" ca="1" si="31"/>
        <v>1098056.4315199649</v>
      </c>
      <c r="S94" s="147">
        <f t="shared" ca="1" si="31"/>
        <v>1107285.2636176497</v>
      </c>
      <c r="T94" s="147">
        <f t="shared" ca="1" si="31"/>
        <v>1115040.6703511002</v>
      </c>
      <c r="U94" s="147">
        <f t="shared" ca="1" si="31"/>
        <v>1121315.8716387227</v>
      </c>
      <c r="V94" s="147">
        <f t="shared" ca="1" si="31"/>
        <v>1126097.7044703218</v>
      </c>
      <c r="W94" s="147">
        <f t="shared" ca="1" si="31"/>
        <v>1129385.2432484152</v>
      </c>
      <c r="X94" s="147">
        <f t="shared" ca="1" si="31"/>
        <v>1131170.8213815549</v>
      </c>
      <c r="Y94" s="147">
        <f t="shared" ca="1" si="31"/>
        <v>1131462.4322415409</v>
      </c>
      <c r="Z94" s="147">
        <f t="shared" ca="1" si="31"/>
        <v>1130279.2931725367</v>
      </c>
      <c r="AA94" s="147">
        <f t="shared" ca="1" si="31"/>
        <v>1127630.7876240041</v>
      </c>
      <c r="AB94" s="147">
        <f t="shared" ca="1" si="31"/>
        <v>1123526.2887744794</v>
      </c>
      <c r="AC94" s="147">
        <f t="shared" ca="1" si="31"/>
        <v>1117987.3697642011</v>
      </c>
      <c r="AD94" s="147">
        <f t="shared" ca="1" si="31"/>
        <v>1111041.147945974</v>
      </c>
      <c r="AE94" s="147">
        <f t="shared" ca="1" si="31"/>
        <v>1102705.8333966052</v>
      </c>
      <c r="AF94" s="147">
        <f t="shared" ca="1" si="31"/>
        <v>1093000.8977779481</v>
      </c>
      <c r="AG94" s="147">
        <f t="shared" ca="1" si="31"/>
        <v>1081949.4549769114</v>
      </c>
    </row>
    <row r="95" spans="2:33">
      <c r="B95" s="149">
        <v>3</v>
      </c>
      <c r="C95" s="122" t="str">
        <v>Veículos Comerciais com 4 Eixos</v>
      </c>
      <c r="D95" s="147">
        <f t="shared" ref="D95:AG95" ca="1" si="32">D33 * ((12-(INDEX(_xlfn.ANCHORARRAY(E$59),MATCH($B95,$C$59:$C$62,0))))/12)</f>
        <v>0</v>
      </c>
      <c r="E95" s="147">
        <f t="shared" ca="1" si="5"/>
        <v>226335.44466735757</v>
      </c>
      <c r="F95" s="147">
        <f t="shared" ca="1" si="32"/>
        <v>308983.03341792035</v>
      </c>
      <c r="G95" s="147">
        <f t="shared" ca="1" si="32"/>
        <v>316133.15101275459</v>
      </c>
      <c r="H95" s="147">
        <f t="shared" ca="1" si="32"/>
        <v>323209.6045284908</v>
      </c>
      <c r="I95" s="147">
        <f t="shared" ca="1" si="32"/>
        <v>330160.29247301258</v>
      </c>
      <c r="J95" s="147">
        <f t="shared" ca="1" si="32"/>
        <v>336911.77352811978</v>
      </c>
      <c r="K95" s="147">
        <f t="shared" ca="1" si="32"/>
        <v>343411.73399155488</v>
      </c>
      <c r="L95" s="147">
        <f t="shared" ca="1" si="32"/>
        <v>349614.41536446876</v>
      </c>
      <c r="M95" s="147">
        <f t="shared" ca="1" si="32"/>
        <v>355480.19850366033</v>
      </c>
      <c r="N95" s="147">
        <f t="shared" ca="1" si="32"/>
        <v>360967.67520986428</v>
      </c>
      <c r="O95" s="147">
        <f t="shared" ca="1" si="32"/>
        <v>366038.4731533968</v>
      </c>
      <c r="P95" s="147">
        <f t="shared" ca="1" si="32"/>
        <v>370668.22823928948</v>
      </c>
      <c r="Q95" s="147">
        <f t="shared" ca="1" si="32"/>
        <v>374835.2402683585</v>
      </c>
      <c r="R95" s="147">
        <f t="shared" ca="1" si="32"/>
        <v>378518.49295083649</v>
      </c>
      <c r="S95" s="147">
        <f t="shared" ca="1" si="32"/>
        <v>381699.82636598387</v>
      </c>
      <c r="T95" s="147">
        <f t="shared" ca="1" si="32"/>
        <v>384373.24531304365</v>
      </c>
      <c r="U95" s="147">
        <f t="shared" ca="1" si="32"/>
        <v>386536.41258402454</v>
      </c>
      <c r="V95" s="147">
        <f t="shared" ca="1" si="32"/>
        <v>388184.79066824936</v>
      </c>
      <c r="W95" s="147">
        <f t="shared" ca="1" si="32"/>
        <v>389318.06049672159</v>
      </c>
      <c r="X95" s="147">
        <f t="shared" ca="1" si="32"/>
        <v>389933.5792666144</v>
      </c>
      <c r="Y95" s="147">
        <f t="shared" ca="1" si="32"/>
        <v>390034.10242742969</v>
      </c>
      <c r="Z95" s="147">
        <f t="shared" ca="1" si="32"/>
        <v>389626.25452044117</v>
      </c>
      <c r="AA95" s="147">
        <f t="shared" ca="1" si="32"/>
        <v>388713.27017826587</v>
      </c>
      <c r="AB95" s="147">
        <f t="shared" ca="1" si="32"/>
        <v>387298.3804929608</v>
      </c>
      <c r="AC95" s="147">
        <f t="shared" ca="1" si="32"/>
        <v>385389.02208827017</v>
      </c>
      <c r="AD95" s="147">
        <f t="shared" ca="1" si="32"/>
        <v>382994.54277112067</v>
      </c>
      <c r="AE95" s="147">
        <f t="shared" ca="1" si="32"/>
        <v>380121.21986081183</v>
      </c>
      <c r="AF95" s="147">
        <f t="shared" ca="1" si="32"/>
        <v>376775.765566196</v>
      </c>
      <c r="AG95" s="147">
        <f t="shared" ca="1" si="32"/>
        <v>372966.14763227047</v>
      </c>
    </row>
    <row r="96" spans="2:33">
      <c r="B96" s="149">
        <v>3</v>
      </c>
      <c r="C96" s="122" t="str">
        <v>Veículos Comerciais com 5 Eixos Articulado</v>
      </c>
      <c r="D96" s="147">
        <f t="shared" ref="D96:AG96" ca="1" si="33">D34 * ((12-(INDEX(_xlfn.ANCHORARRAY(E$59),MATCH($B96,$C$59:$C$62,0))))/12)</f>
        <v>0</v>
      </c>
      <c r="E96" s="147">
        <f t="shared" ca="1" si="5"/>
        <v>51311.392862484659</v>
      </c>
      <c r="F96" s="147">
        <f t="shared" ca="1" si="33"/>
        <v>70909.944752825962</v>
      </c>
      <c r="G96" s="147">
        <f t="shared" ca="1" si="33"/>
        <v>73473.422357985532</v>
      </c>
      <c r="H96" s="147">
        <f t="shared" ca="1" si="33"/>
        <v>76101.41628254822</v>
      </c>
      <c r="I96" s="147">
        <f t="shared" ca="1" si="33"/>
        <v>78775.538941082938</v>
      </c>
      <c r="J96" s="147">
        <f t="shared" ca="1" si="33"/>
        <v>81466.085647460292</v>
      </c>
      <c r="K96" s="147">
        <f t="shared" ca="1" si="33"/>
        <v>84150.197678033903</v>
      </c>
      <c r="L96" s="147">
        <f t="shared" ca="1" si="33"/>
        <v>86807.041581556492</v>
      </c>
      <c r="M96" s="147">
        <f t="shared" ca="1" si="33"/>
        <v>89417.330814926187</v>
      </c>
      <c r="N96" s="147">
        <f t="shared" ca="1" si="33"/>
        <v>91960.635272725602</v>
      </c>
      <c r="O96" s="147">
        <f t="shared" ca="1" si="33"/>
        <v>94417.12695869754</v>
      </c>
      <c r="P96" s="147">
        <f t="shared" ca="1" si="33"/>
        <v>96771.564983591772</v>
      </c>
      <c r="Q96" s="147">
        <f t="shared" ca="1" si="33"/>
        <v>99009.290260994661</v>
      </c>
      <c r="R96" s="147">
        <f t="shared" ca="1" si="33"/>
        <v>101115.45986263076</v>
      </c>
      <c r="S96" s="147">
        <f t="shared" ca="1" si="33"/>
        <v>103076.21828353869</v>
      </c>
      <c r="T96" s="147">
        <f t="shared" ca="1" si="33"/>
        <v>104882.28019675781</v>
      </c>
      <c r="U96" s="147">
        <f t="shared" ca="1" si="33"/>
        <v>106526.10114219175</v>
      </c>
      <c r="V96" s="147">
        <f t="shared" ca="1" si="33"/>
        <v>107999.62885604854</v>
      </c>
      <c r="W96" s="147">
        <f t="shared" ca="1" si="33"/>
        <v>109296.53385887718</v>
      </c>
      <c r="X96" s="147">
        <f t="shared" ca="1" si="33"/>
        <v>110410.01953729514</v>
      </c>
      <c r="Y96" s="147">
        <f t="shared" ca="1" si="33"/>
        <v>111335.65039498034</v>
      </c>
      <c r="Z96" s="147">
        <f t="shared" ca="1" si="33"/>
        <v>112070.8819481379</v>
      </c>
      <c r="AA96" s="147">
        <f t="shared" ca="1" si="33"/>
        <v>112612.40579507108</v>
      </c>
      <c r="AB96" s="147">
        <f t="shared" ca="1" si="33"/>
        <v>112957.27192573789</v>
      </c>
      <c r="AC96" s="147">
        <f t="shared" ca="1" si="33"/>
        <v>113104.43698032196</v>
      </c>
      <c r="AD96" s="147">
        <f t="shared" ca="1" si="33"/>
        <v>113053.81295837072</v>
      </c>
      <c r="AE96" s="147">
        <f t="shared" ca="1" si="33"/>
        <v>112804.40388522399</v>
      </c>
      <c r="AF96" s="147">
        <f t="shared" ca="1" si="33"/>
        <v>112355.7063044508</v>
      </c>
      <c r="AG96" s="147">
        <f t="shared" ca="1" si="33"/>
        <v>111708.09407008241</v>
      </c>
    </row>
    <row r="97" spans="2:33">
      <c r="B97" s="149">
        <v>3</v>
      </c>
      <c r="C97" s="122" t="str">
        <v>Veículos Comerciais com 6 Eixos Articulado</v>
      </c>
      <c r="D97" s="147">
        <f t="shared" ref="D97:AG97" ca="1" si="34">D35 * ((12-(INDEX(_xlfn.ANCHORARRAY(E$59),MATCH($B97,$C$59:$C$62,0))))/12)</f>
        <v>0</v>
      </c>
      <c r="E97" s="147">
        <f t="shared" ca="1" si="5"/>
        <v>482327.09290735581</v>
      </c>
      <c r="F97" s="147">
        <f t="shared" ca="1" si="34"/>
        <v>666553.48067656404</v>
      </c>
      <c r="G97" s="147">
        <f t="shared" ca="1" si="34"/>
        <v>690650.17016506405</v>
      </c>
      <c r="H97" s="147">
        <f t="shared" ca="1" si="34"/>
        <v>715353.31305595336</v>
      </c>
      <c r="I97" s="147">
        <f t="shared" ca="1" si="34"/>
        <v>740490.06604617951</v>
      </c>
      <c r="J97" s="147">
        <f t="shared" ca="1" si="34"/>
        <v>765781.20508612657</v>
      </c>
      <c r="K97" s="147">
        <f t="shared" ca="1" si="34"/>
        <v>791011.85817351867</v>
      </c>
      <c r="L97" s="147">
        <f t="shared" ca="1" si="34"/>
        <v>815986.19086663087</v>
      </c>
      <c r="M97" s="147">
        <f t="shared" ca="1" si="34"/>
        <v>840522.90966030618</v>
      </c>
      <c r="N97" s="147">
        <f t="shared" ca="1" si="34"/>
        <v>864429.97156362038</v>
      </c>
      <c r="O97" s="147">
        <f t="shared" ca="1" si="34"/>
        <v>887520.99341175659</v>
      </c>
      <c r="P97" s="147">
        <f t="shared" ca="1" si="34"/>
        <v>909652.71084576228</v>
      </c>
      <c r="Q97" s="147">
        <f t="shared" ca="1" si="34"/>
        <v>930687.32845334953</v>
      </c>
      <c r="R97" s="147">
        <f t="shared" ca="1" si="34"/>
        <v>950485.32270872896</v>
      </c>
      <c r="S97" s="147">
        <f t="shared" ca="1" si="34"/>
        <v>968916.45186526352</v>
      </c>
      <c r="T97" s="147">
        <f t="shared" ca="1" si="34"/>
        <v>985893.43384952319</v>
      </c>
      <c r="U97" s="147">
        <f t="shared" ca="1" si="34"/>
        <v>1001345.350736602</v>
      </c>
      <c r="V97" s="147">
        <f t="shared" ca="1" si="34"/>
        <v>1015196.5112468563</v>
      </c>
      <c r="W97" s="147">
        <f t="shared" ca="1" si="34"/>
        <v>1027387.4182734452</v>
      </c>
      <c r="X97" s="147">
        <f t="shared" ca="1" si="34"/>
        <v>1037854.1836505738</v>
      </c>
      <c r="Y97" s="147">
        <f t="shared" ca="1" si="34"/>
        <v>1046555.113712815</v>
      </c>
      <c r="Z97" s="147">
        <f t="shared" ca="1" si="34"/>
        <v>1053466.290312496</v>
      </c>
      <c r="AA97" s="147">
        <f t="shared" ca="1" si="34"/>
        <v>1058556.6144736679</v>
      </c>
      <c r="AB97" s="147">
        <f t="shared" ca="1" si="34"/>
        <v>1061798.356101936</v>
      </c>
      <c r="AC97" s="147">
        <f t="shared" ca="1" si="34"/>
        <v>1063181.7076150265</v>
      </c>
      <c r="AD97" s="147">
        <f t="shared" ca="1" si="34"/>
        <v>1062705.8418086846</v>
      </c>
      <c r="AE97" s="147">
        <f t="shared" ca="1" si="34"/>
        <v>1060361.3965211057</v>
      </c>
      <c r="AF97" s="147">
        <f t="shared" ca="1" si="34"/>
        <v>1056143.6392618374</v>
      </c>
      <c r="AG97" s="147">
        <f t="shared" ca="1" si="34"/>
        <v>1050056.084258775</v>
      </c>
    </row>
    <row r="98" spans="2:33">
      <c r="B98" s="149">
        <v>3</v>
      </c>
      <c r="C98" s="122" t="str">
        <v>Veículos Comerciais com 7 Eixos Articulado</v>
      </c>
      <c r="D98" s="147">
        <f t="shared" ref="D98:AG98" ca="1" si="35">D36 * ((12-(INDEX(_xlfn.ANCHORARRAY(E$59),MATCH($B98,$C$59:$C$62,0))))/12)</f>
        <v>0</v>
      </c>
      <c r="E98" s="147">
        <f t="shared" ca="1" si="5"/>
        <v>149658.2291822469</v>
      </c>
      <c r="F98" s="147">
        <f t="shared" ca="1" si="35"/>
        <v>206820.67219574237</v>
      </c>
      <c r="G98" s="147">
        <f t="shared" ca="1" si="35"/>
        <v>214297.48187745779</v>
      </c>
      <c r="H98" s="147">
        <f t="shared" ca="1" si="35"/>
        <v>221962.46415743232</v>
      </c>
      <c r="I98" s="147">
        <f t="shared" ca="1" si="35"/>
        <v>229761.98857815858</v>
      </c>
      <c r="J98" s="147">
        <f t="shared" ca="1" si="35"/>
        <v>237609.41647175915</v>
      </c>
      <c r="K98" s="147">
        <f t="shared" ca="1" si="35"/>
        <v>245438.07656093215</v>
      </c>
      <c r="L98" s="147">
        <f t="shared" ca="1" si="35"/>
        <v>253187.20461287306</v>
      </c>
      <c r="M98" s="147">
        <f t="shared" ca="1" si="35"/>
        <v>260800.54821020138</v>
      </c>
      <c r="N98" s="147">
        <f t="shared" ca="1" si="35"/>
        <v>268218.51954544958</v>
      </c>
      <c r="O98" s="147">
        <f t="shared" ca="1" si="35"/>
        <v>275383.28696286777</v>
      </c>
      <c r="P98" s="147">
        <f t="shared" ca="1" si="35"/>
        <v>282250.39786880935</v>
      </c>
      <c r="Q98" s="147">
        <f t="shared" ca="1" si="35"/>
        <v>288777.09659456776</v>
      </c>
      <c r="R98" s="147">
        <f t="shared" ca="1" si="35"/>
        <v>294920.09126600635</v>
      </c>
      <c r="S98" s="147">
        <f t="shared" ca="1" si="35"/>
        <v>300638.96999365446</v>
      </c>
      <c r="T98" s="147">
        <f t="shared" ca="1" si="35"/>
        <v>305906.65057387692</v>
      </c>
      <c r="U98" s="147">
        <f t="shared" ca="1" si="35"/>
        <v>310701.12833139248</v>
      </c>
      <c r="V98" s="147">
        <f t="shared" ca="1" si="35"/>
        <v>314998.91749680816</v>
      </c>
      <c r="W98" s="147">
        <f t="shared" ca="1" si="35"/>
        <v>318781.55708839174</v>
      </c>
      <c r="X98" s="147">
        <f t="shared" ca="1" si="35"/>
        <v>322029.22365044401</v>
      </c>
      <c r="Y98" s="147">
        <f t="shared" ca="1" si="35"/>
        <v>324728.98031869269</v>
      </c>
      <c r="Z98" s="147">
        <f t="shared" ca="1" si="35"/>
        <v>326873.40568206878</v>
      </c>
      <c r="AA98" s="147">
        <f t="shared" ca="1" si="35"/>
        <v>328452.85023562389</v>
      </c>
      <c r="AB98" s="147">
        <f t="shared" ca="1" si="35"/>
        <v>329458.70978340216</v>
      </c>
      <c r="AC98" s="147">
        <f t="shared" ca="1" si="35"/>
        <v>329887.94119260571</v>
      </c>
      <c r="AD98" s="147">
        <f t="shared" ca="1" si="35"/>
        <v>329740.28779524792</v>
      </c>
      <c r="AE98" s="147">
        <f t="shared" ca="1" si="35"/>
        <v>329012.8446652366</v>
      </c>
      <c r="AF98" s="147">
        <f t="shared" ca="1" si="35"/>
        <v>327704.1433879814</v>
      </c>
      <c r="AG98" s="147">
        <f t="shared" ca="1" si="35"/>
        <v>325815.27437107364</v>
      </c>
    </row>
    <row r="99" spans="2:33">
      <c r="B99" s="149">
        <v>3</v>
      </c>
      <c r="C99" s="122" t="str">
        <v>Veículos Comerciais com 8 Eixos Articulado</v>
      </c>
      <c r="D99" s="147">
        <f t="shared" ref="D99:AG99" ca="1" si="36">D37 * ((12-(INDEX(_xlfn.ANCHORARRAY(E$59),MATCH($B99,$C$59:$C$62,0))))/12)</f>
        <v>0</v>
      </c>
      <c r="E99" s="147">
        <f t="shared" ca="1" si="5"/>
        <v>0</v>
      </c>
      <c r="F99" s="147">
        <f t="shared" ca="1" si="36"/>
        <v>0</v>
      </c>
      <c r="G99" s="147">
        <f t="shared" ca="1" si="36"/>
        <v>0</v>
      </c>
      <c r="H99" s="147">
        <f t="shared" ca="1" si="36"/>
        <v>0</v>
      </c>
      <c r="I99" s="147">
        <f t="shared" ca="1" si="36"/>
        <v>0</v>
      </c>
      <c r="J99" s="147">
        <f t="shared" ca="1" si="36"/>
        <v>0</v>
      </c>
      <c r="K99" s="147">
        <f t="shared" ca="1" si="36"/>
        <v>0</v>
      </c>
      <c r="L99" s="147">
        <f t="shared" ca="1" si="36"/>
        <v>0</v>
      </c>
      <c r="M99" s="147">
        <f t="shared" ca="1" si="36"/>
        <v>0</v>
      </c>
      <c r="N99" s="147">
        <f t="shared" ca="1" si="36"/>
        <v>0</v>
      </c>
      <c r="O99" s="147">
        <f t="shared" ca="1" si="36"/>
        <v>0</v>
      </c>
      <c r="P99" s="147">
        <f t="shared" ca="1" si="36"/>
        <v>0</v>
      </c>
      <c r="Q99" s="147">
        <f t="shared" ca="1" si="36"/>
        <v>0</v>
      </c>
      <c r="R99" s="147">
        <f t="shared" ca="1" si="36"/>
        <v>0</v>
      </c>
      <c r="S99" s="147">
        <f t="shared" ca="1" si="36"/>
        <v>0</v>
      </c>
      <c r="T99" s="147">
        <f t="shared" ca="1" si="36"/>
        <v>0</v>
      </c>
      <c r="U99" s="147">
        <f t="shared" ca="1" si="36"/>
        <v>0</v>
      </c>
      <c r="V99" s="147">
        <f t="shared" ca="1" si="36"/>
        <v>0</v>
      </c>
      <c r="W99" s="147">
        <f t="shared" ca="1" si="36"/>
        <v>0</v>
      </c>
      <c r="X99" s="147">
        <f t="shared" ca="1" si="36"/>
        <v>0</v>
      </c>
      <c r="Y99" s="147">
        <f t="shared" ca="1" si="36"/>
        <v>0</v>
      </c>
      <c r="Z99" s="147">
        <f t="shared" ca="1" si="36"/>
        <v>0</v>
      </c>
      <c r="AA99" s="147">
        <f t="shared" ca="1" si="36"/>
        <v>0</v>
      </c>
      <c r="AB99" s="147">
        <f t="shared" ca="1" si="36"/>
        <v>0</v>
      </c>
      <c r="AC99" s="147">
        <f t="shared" ca="1" si="36"/>
        <v>0</v>
      </c>
      <c r="AD99" s="147">
        <f t="shared" ca="1" si="36"/>
        <v>0</v>
      </c>
      <c r="AE99" s="147">
        <f t="shared" ca="1" si="36"/>
        <v>0</v>
      </c>
      <c r="AF99" s="147">
        <f t="shared" ca="1" si="36"/>
        <v>0</v>
      </c>
      <c r="AG99" s="147">
        <f t="shared" ca="1" si="36"/>
        <v>0</v>
      </c>
    </row>
    <row r="100" spans="2:33">
      <c r="B100" s="149">
        <v>3</v>
      </c>
      <c r="C100" s="122" t="str">
        <v>Veículos Comerciais com 9 Eixos Articulado</v>
      </c>
      <c r="D100" s="147">
        <f t="shared" ref="D100:AG100" ca="1" si="37">D38 * ((12-(INDEX(_xlfn.ANCHORARRAY(E$59),MATCH($B100,$C$59:$C$62,0))))/12)</f>
        <v>0</v>
      </c>
      <c r="E100" s="147">
        <f t="shared" ca="1" si="5"/>
        <v>115450.63394059043</v>
      </c>
      <c r="F100" s="147">
        <f t="shared" ca="1" si="37"/>
        <v>159547.37569385837</v>
      </c>
      <c r="G100" s="147">
        <f t="shared" ca="1" si="37"/>
        <v>165315.20030546741</v>
      </c>
      <c r="H100" s="147">
        <f t="shared" ca="1" si="37"/>
        <v>171228.18663573344</v>
      </c>
      <c r="I100" s="147">
        <f t="shared" ca="1" si="37"/>
        <v>177244.96261743657</v>
      </c>
      <c r="J100" s="147">
        <f t="shared" ca="1" si="37"/>
        <v>183298.69270678557</v>
      </c>
      <c r="K100" s="147">
        <f t="shared" ca="1" si="37"/>
        <v>189337.94477557618</v>
      </c>
      <c r="L100" s="147">
        <f t="shared" ca="1" si="37"/>
        <v>195315.84355850203</v>
      </c>
      <c r="M100" s="147">
        <f t="shared" ca="1" si="37"/>
        <v>201188.99433358386</v>
      </c>
      <c r="N100" s="147">
        <f t="shared" ca="1" si="37"/>
        <v>206911.42936363246</v>
      </c>
      <c r="O100" s="147">
        <f t="shared" ca="1" si="37"/>
        <v>212438.53565706935</v>
      </c>
      <c r="P100" s="147">
        <f t="shared" ca="1" si="37"/>
        <v>217736.02121308135</v>
      </c>
      <c r="Q100" s="147">
        <f t="shared" ca="1" si="37"/>
        <v>222770.90308723788</v>
      </c>
      <c r="R100" s="147">
        <f t="shared" ca="1" si="37"/>
        <v>227509.78469091907</v>
      </c>
      <c r="S100" s="147">
        <f t="shared" ca="1" si="37"/>
        <v>231921.49113796189</v>
      </c>
      <c r="T100" s="147">
        <f t="shared" ca="1" si="37"/>
        <v>235985.13044270492</v>
      </c>
      <c r="U100" s="147">
        <f t="shared" ca="1" si="37"/>
        <v>239683.72756993124</v>
      </c>
      <c r="V100" s="147">
        <f t="shared" ca="1" si="37"/>
        <v>242999.16492610908</v>
      </c>
      <c r="W100" s="147">
        <f t="shared" ca="1" si="37"/>
        <v>245917.20118247348</v>
      </c>
      <c r="X100" s="147">
        <f t="shared" ca="1" si="37"/>
        <v>248422.54395891386</v>
      </c>
      <c r="Y100" s="147">
        <f t="shared" ca="1" si="37"/>
        <v>250505.21338870563</v>
      </c>
      <c r="Z100" s="147">
        <f t="shared" ca="1" si="37"/>
        <v>252159.4843833101</v>
      </c>
      <c r="AA100" s="147">
        <f t="shared" ca="1" si="37"/>
        <v>253377.91303890973</v>
      </c>
      <c r="AB100" s="147">
        <f t="shared" ca="1" si="37"/>
        <v>254153.86183291004</v>
      </c>
      <c r="AC100" s="147">
        <f t="shared" ca="1" si="37"/>
        <v>254484.98320572427</v>
      </c>
      <c r="AD100" s="147">
        <f t="shared" ca="1" si="37"/>
        <v>254371.07915633396</v>
      </c>
      <c r="AE100" s="147">
        <f t="shared" ca="1" si="37"/>
        <v>253809.90874175384</v>
      </c>
      <c r="AF100" s="147">
        <f t="shared" ca="1" si="37"/>
        <v>252800.33918501413</v>
      </c>
      <c r="AG100" s="147">
        <f t="shared" ca="1" si="37"/>
        <v>251343.21165768532</v>
      </c>
    </row>
    <row r="101" spans="2:33">
      <c r="B101" s="149">
        <v>3</v>
      </c>
      <c r="C101" s="122" t="str">
        <v>Motocicleta</v>
      </c>
      <c r="D101" s="147">
        <f t="shared" ref="D101:AG101" ca="1" si="38">D39 * ((12-(INDEX(_xlfn.ANCHORARRAY(E$59),MATCH($B101,$C$59:$C$62,0))))/12)</f>
        <v>0</v>
      </c>
      <c r="E101" s="147">
        <f t="shared" ca="1" si="5"/>
        <v>292026.69836028852</v>
      </c>
      <c r="F101" s="147">
        <f t="shared" ca="1" si="38"/>
        <v>405442.50801090791</v>
      </c>
      <c r="G101" s="147">
        <f t="shared" ca="1" si="38"/>
        <v>422267.61982815462</v>
      </c>
      <c r="H101" s="147">
        <f t="shared" ca="1" si="38"/>
        <v>439842.7536931503</v>
      </c>
      <c r="I101" s="147">
        <f t="shared" ca="1" si="38"/>
        <v>458062.77346736874</v>
      </c>
      <c r="J101" s="147">
        <f t="shared" ca="1" si="38"/>
        <v>476735.17371589068</v>
      </c>
      <c r="K101" s="147">
        <f t="shared" ca="1" si="38"/>
        <v>495709.95307393384</v>
      </c>
      <c r="L101" s="147">
        <f t="shared" ca="1" si="38"/>
        <v>514849.16557219077</v>
      </c>
      <c r="M101" s="147">
        <f t="shared" ca="1" si="38"/>
        <v>534021.91356231063</v>
      </c>
      <c r="N101" s="147">
        <f t="shared" ca="1" si="38"/>
        <v>553087.17313632648</v>
      </c>
      <c r="O101" s="147">
        <f t="shared" ca="1" si="38"/>
        <v>571904.85125917592</v>
      </c>
      <c r="P101" s="147">
        <f t="shared" ca="1" si="38"/>
        <v>590361.28789472557</v>
      </c>
      <c r="Q101" s="147">
        <f t="shared" ca="1" si="38"/>
        <v>608343.27759735344</v>
      </c>
      <c r="R101" s="147">
        <f t="shared" ca="1" si="38"/>
        <v>625732.58899397287</v>
      </c>
      <c r="S101" s="147">
        <f t="shared" ca="1" si="38"/>
        <v>642415.16795213881</v>
      </c>
      <c r="T101" s="147">
        <f t="shared" ca="1" si="38"/>
        <v>658305.14796429232</v>
      </c>
      <c r="U101" s="147">
        <f t="shared" ca="1" si="38"/>
        <v>673327.76131547836</v>
      </c>
      <c r="V101" s="147">
        <f t="shared" ca="1" si="38"/>
        <v>687404.26244384353</v>
      </c>
      <c r="W101" s="147">
        <f t="shared" ca="1" si="38"/>
        <v>700465.83669713477</v>
      </c>
      <c r="X101" s="147">
        <f t="shared" ca="1" si="38"/>
        <v>712440.47918423323</v>
      </c>
      <c r="Y101" s="147">
        <f t="shared" ca="1" si="38"/>
        <v>723271.43635280291</v>
      </c>
      <c r="Z101" s="147">
        <f t="shared" ca="1" si="38"/>
        <v>732914.73343299574</v>
      </c>
      <c r="AA101" s="147">
        <f t="shared" ca="1" si="38"/>
        <v>741322.09891294839</v>
      </c>
      <c r="AB101" s="147">
        <f t="shared" ca="1" si="38"/>
        <v>748447.69882371905</v>
      </c>
      <c r="AC101" s="147">
        <f t="shared" ca="1" si="38"/>
        <v>754258.31337002525</v>
      </c>
      <c r="AD101" s="147">
        <f t="shared" ca="1" si="38"/>
        <v>758726.61893994955</v>
      </c>
      <c r="AE101" s="147">
        <f t="shared" ca="1" si="38"/>
        <v>761818.88492664078</v>
      </c>
      <c r="AF101" s="147">
        <f t="shared" ca="1" si="38"/>
        <v>763504.79297048913</v>
      </c>
      <c r="AG101" s="147">
        <f t="shared" ca="1" si="38"/>
        <v>763760.53345980251</v>
      </c>
    </row>
    <row r="102" spans="2:33">
      <c r="B102" s="149">
        <v>3</v>
      </c>
      <c r="C102" s="122" t="str">
        <v xml:space="preserve">Veículos do transporte público coletivo intermunicipal e metropolitano </v>
      </c>
      <c r="D102" s="147">
        <f t="shared" ref="D102:AG102" ca="1" si="39">D40 * ((12-(INDEX(_xlfn.ANCHORARRAY(E$59),MATCH($B102,$C$59:$C$62,0))))/12)</f>
        <v>0</v>
      </c>
      <c r="E102" s="147">
        <f t="shared" ca="1" si="5"/>
        <v>0</v>
      </c>
      <c r="F102" s="147">
        <f t="shared" ca="1" si="39"/>
        <v>0</v>
      </c>
      <c r="G102" s="147">
        <f t="shared" ca="1" si="39"/>
        <v>0</v>
      </c>
      <c r="H102" s="147">
        <f t="shared" ca="1" si="39"/>
        <v>0</v>
      </c>
      <c r="I102" s="147">
        <f t="shared" ca="1" si="39"/>
        <v>0</v>
      </c>
      <c r="J102" s="147">
        <f t="shared" ca="1" si="39"/>
        <v>0</v>
      </c>
      <c r="K102" s="147">
        <f t="shared" ca="1" si="39"/>
        <v>0</v>
      </c>
      <c r="L102" s="147">
        <f t="shared" ca="1" si="39"/>
        <v>0</v>
      </c>
      <c r="M102" s="147">
        <f t="shared" ca="1" si="39"/>
        <v>0</v>
      </c>
      <c r="N102" s="147">
        <f t="shared" ca="1" si="39"/>
        <v>0</v>
      </c>
      <c r="O102" s="147">
        <f t="shared" ca="1" si="39"/>
        <v>0</v>
      </c>
      <c r="P102" s="147">
        <f t="shared" ca="1" si="39"/>
        <v>0</v>
      </c>
      <c r="Q102" s="147">
        <f t="shared" ca="1" si="39"/>
        <v>0</v>
      </c>
      <c r="R102" s="147">
        <f t="shared" ca="1" si="39"/>
        <v>0</v>
      </c>
      <c r="S102" s="147">
        <f t="shared" ca="1" si="39"/>
        <v>0</v>
      </c>
      <c r="T102" s="147">
        <f t="shared" ca="1" si="39"/>
        <v>0</v>
      </c>
      <c r="U102" s="147">
        <f t="shared" ca="1" si="39"/>
        <v>0</v>
      </c>
      <c r="V102" s="147">
        <f t="shared" ca="1" si="39"/>
        <v>0</v>
      </c>
      <c r="W102" s="147">
        <f t="shared" ca="1" si="39"/>
        <v>0</v>
      </c>
      <c r="X102" s="147">
        <f t="shared" ca="1" si="39"/>
        <v>0</v>
      </c>
      <c r="Y102" s="147">
        <f t="shared" ca="1" si="39"/>
        <v>0</v>
      </c>
      <c r="Z102" s="147">
        <f t="shared" ca="1" si="39"/>
        <v>0</v>
      </c>
      <c r="AA102" s="147">
        <f t="shared" ca="1" si="39"/>
        <v>0</v>
      </c>
      <c r="AB102" s="147">
        <f t="shared" ca="1" si="39"/>
        <v>0</v>
      </c>
      <c r="AC102" s="147">
        <f t="shared" ca="1" si="39"/>
        <v>0</v>
      </c>
      <c r="AD102" s="147">
        <f t="shared" ca="1" si="39"/>
        <v>0</v>
      </c>
      <c r="AE102" s="147">
        <f t="shared" ca="1" si="39"/>
        <v>0</v>
      </c>
      <c r="AF102" s="147">
        <f t="shared" ca="1" si="39"/>
        <v>0</v>
      </c>
      <c r="AG102" s="147">
        <f t="shared" ca="1" si="39"/>
        <v>0</v>
      </c>
    </row>
    <row r="103" spans="2:33">
      <c r="B103" s="149">
        <v>4</v>
      </c>
      <c r="C103" s="122" t="str">
        <v>Automóvel</v>
      </c>
      <c r="D103" s="147">
        <f t="shared" ref="D103:AG103" ca="1" si="40">D41 * ((12-(INDEX(_xlfn.ANCHORARRAY(E$59),MATCH($B103,$C$59:$C$62,0))))/12)</f>
        <v>0</v>
      </c>
      <c r="E103" s="147">
        <f t="shared" ca="1" si="5"/>
        <v>8960854.3012203723</v>
      </c>
      <c r="F103" s="147">
        <f t="shared" ca="1" si="40"/>
        <v>12441024.270064376</v>
      </c>
      <c r="G103" s="147">
        <f t="shared" ca="1" si="40"/>
        <v>12957303.693975408</v>
      </c>
      <c r="H103" s="147">
        <f t="shared" ca="1" si="40"/>
        <v>13496597.583105942</v>
      </c>
      <c r="I103" s="147">
        <f t="shared" ca="1" si="40"/>
        <v>14055679.829622645</v>
      </c>
      <c r="J103" s="147">
        <f t="shared" ca="1" si="40"/>
        <v>14628643.394326048</v>
      </c>
      <c r="K103" s="147">
        <f t="shared" ca="1" si="40"/>
        <v>15210885.477601098</v>
      </c>
      <c r="L103" s="147">
        <f t="shared" ca="1" si="40"/>
        <v>15798173.200264672</v>
      </c>
      <c r="M103" s="147">
        <f t="shared" ca="1" si="40"/>
        <v>16386489.961225742</v>
      </c>
      <c r="N103" s="147">
        <f t="shared" ca="1" si="40"/>
        <v>16971508.434594665</v>
      </c>
      <c r="O103" s="147">
        <f t="shared" ca="1" si="40"/>
        <v>17548929.858364891</v>
      </c>
      <c r="P103" s="147">
        <f t="shared" ca="1" si="40"/>
        <v>18115266.568465363</v>
      </c>
      <c r="Q103" s="147">
        <f t="shared" ca="1" si="40"/>
        <v>18667044.849958289</v>
      </c>
      <c r="R103" s="147">
        <f t="shared" ca="1" si="40"/>
        <v>19200636.767062418</v>
      </c>
      <c r="S103" s="147">
        <f t="shared" ca="1" si="40"/>
        <v>27597559.587977469</v>
      </c>
      <c r="T103" s="147">
        <f t="shared" ca="1" si="40"/>
        <v>28280178.386713315</v>
      </c>
      <c r="U103" s="147">
        <f t="shared" ca="1" si="40"/>
        <v>28925535.918429304</v>
      </c>
      <c r="V103" s="147">
        <f t="shared" ca="1" si="40"/>
        <v>29530249.346847657</v>
      </c>
      <c r="W103" s="147">
        <f t="shared" ca="1" si="40"/>
        <v>30091362.458353221</v>
      </c>
      <c r="X103" s="147">
        <f t="shared" ca="1" si="40"/>
        <v>30605781.989629056</v>
      </c>
      <c r="Y103" s="147">
        <f t="shared" ca="1" si="40"/>
        <v>31071069.860722262</v>
      </c>
      <c r="Z103" s="147">
        <f t="shared" ca="1" si="40"/>
        <v>31485336.956319571</v>
      </c>
      <c r="AA103" s="147">
        <f t="shared" ca="1" si="40"/>
        <v>31846509.577057231</v>
      </c>
      <c r="AB103" s="147">
        <f t="shared" ca="1" si="40"/>
        <v>32152618.73815386</v>
      </c>
      <c r="AC103" s="147">
        <f t="shared" ca="1" si="40"/>
        <v>32402237.348025169</v>
      </c>
      <c r="AD103" s="147">
        <f t="shared" ca="1" si="40"/>
        <v>32594191.609653775</v>
      </c>
      <c r="AE103" s="147">
        <f t="shared" ca="1" si="40"/>
        <v>32727032.48746435</v>
      </c>
      <c r="AF103" s="147">
        <f t="shared" ca="1" si="40"/>
        <v>32799457.532857146</v>
      </c>
      <c r="AG103" s="147">
        <f t="shared" ca="1" si="40"/>
        <v>32810443.907004245</v>
      </c>
    </row>
    <row r="104" spans="2:33">
      <c r="B104" s="149">
        <v>4</v>
      </c>
      <c r="C104" s="122" t="str">
        <v xml:space="preserve">Automóvel com reboque </v>
      </c>
      <c r="D104" s="147">
        <f t="shared" ref="D104:AG104" ca="1" si="41">D42 * ((12-(INDEX(_xlfn.ANCHORARRAY(E$59),MATCH($B104,$C$59:$C$62,0))))/12)</f>
        <v>0</v>
      </c>
      <c r="E104" s="147">
        <f t="shared" ca="1" si="5"/>
        <v>82817.507404994161</v>
      </c>
      <c r="F104" s="147">
        <f t="shared" ca="1" si="41"/>
        <v>114981.74001907923</v>
      </c>
      <c r="G104" s="147">
        <f t="shared" ca="1" si="41"/>
        <v>119753.26889071536</v>
      </c>
      <c r="H104" s="147">
        <f t="shared" ca="1" si="41"/>
        <v>124737.50076807705</v>
      </c>
      <c r="I104" s="147">
        <f t="shared" ca="1" si="41"/>
        <v>129904.61949743661</v>
      </c>
      <c r="J104" s="147">
        <f t="shared" ca="1" si="41"/>
        <v>135200.03137085066</v>
      </c>
      <c r="K104" s="147">
        <f t="shared" ca="1" si="41"/>
        <v>140581.19665065705</v>
      </c>
      <c r="L104" s="147">
        <f t="shared" ca="1" si="41"/>
        <v>146008.9944571596</v>
      </c>
      <c r="M104" s="147">
        <f t="shared" ca="1" si="41"/>
        <v>151446.30278397171</v>
      </c>
      <c r="N104" s="147">
        <f t="shared" ca="1" si="41"/>
        <v>156853.12786131847</v>
      </c>
      <c r="O104" s="147">
        <f t="shared" ca="1" si="41"/>
        <v>162189.73991095088</v>
      </c>
      <c r="P104" s="147">
        <f t="shared" ca="1" si="41"/>
        <v>167423.90543868163</v>
      </c>
      <c r="Q104" s="147">
        <f t="shared" ca="1" si="41"/>
        <v>172523.51987022441</v>
      </c>
      <c r="R104" s="147">
        <f t="shared" ca="1" si="41"/>
        <v>177455.05330002232</v>
      </c>
      <c r="S104" s="147">
        <f t="shared" ca="1" si="41"/>
        <v>255060.62465783241</v>
      </c>
      <c r="T104" s="147">
        <f t="shared" ca="1" si="41"/>
        <v>261369.48601398623</v>
      </c>
      <c r="U104" s="147">
        <f t="shared" ca="1" si="41"/>
        <v>267333.97336810816</v>
      </c>
      <c r="V104" s="147">
        <f t="shared" ca="1" si="41"/>
        <v>272922.82205959014</v>
      </c>
      <c r="W104" s="147">
        <f t="shared" ca="1" si="41"/>
        <v>278108.71033598174</v>
      </c>
      <c r="X104" s="147">
        <f t="shared" ca="1" si="41"/>
        <v>282863.04981172882</v>
      </c>
      <c r="Y104" s="147">
        <f t="shared" ca="1" si="41"/>
        <v>287163.30740039056</v>
      </c>
      <c r="Z104" s="147">
        <f t="shared" ca="1" si="41"/>
        <v>290992.02362587402</v>
      </c>
      <c r="AA104" s="147">
        <f t="shared" ca="1" si="41"/>
        <v>294330.03305967868</v>
      </c>
      <c r="AB104" s="147">
        <f t="shared" ca="1" si="41"/>
        <v>297159.13806057174</v>
      </c>
      <c r="AC104" s="147">
        <f t="shared" ca="1" si="41"/>
        <v>299466.14924237673</v>
      </c>
      <c r="AD104" s="147">
        <f t="shared" ca="1" si="41"/>
        <v>301240.21820382419</v>
      </c>
      <c r="AE104" s="147">
        <f t="shared" ca="1" si="41"/>
        <v>302467.95274920843</v>
      </c>
      <c r="AF104" s="147">
        <f t="shared" ca="1" si="41"/>
        <v>303137.31546078692</v>
      </c>
      <c r="AG104" s="147">
        <f t="shared" ca="1" si="41"/>
        <v>303238.85311464185</v>
      </c>
    </row>
    <row r="105" spans="2:33">
      <c r="B105" s="149">
        <v>4</v>
      </c>
      <c r="C105" s="122" t="str">
        <v>Veículos Comerciais com 2 Eixos</v>
      </c>
      <c r="D105" s="147">
        <f t="shared" ref="D105:AG105" ca="1" si="42">D43 * ((12-(INDEX(_xlfn.ANCHORARRAY(E$59),MATCH($B105,$C$59:$C$62,0))))/12)</f>
        <v>0</v>
      </c>
      <c r="E105" s="147">
        <f t="shared" ca="1" si="5"/>
        <v>1936962.0962732071</v>
      </c>
      <c r="F105" s="147">
        <f t="shared" ca="1" si="42"/>
        <v>2644254.0849119783</v>
      </c>
      <c r="G105" s="147">
        <f t="shared" ca="1" si="42"/>
        <v>2705444.2656432576</v>
      </c>
      <c r="H105" s="147">
        <f t="shared" ca="1" si="42"/>
        <v>2766004.034601076</v>
      </c>
      <c r="I105" s="147">
        <f t="shared" ca="1" si="42"/>
        <v>2825487.5110461758</v>
      </c>
      <c r="J105" s="147">
        <f t="shared" ca="1" si="42"/>
        <v>2883266.1895764819</v>
      </c>
      <c r="K105" s="147">
        <f t="shared" ca="1" si="42"/>
        <v>2938892.3733739508</v>
      </c>
      <c r="L105" s="147">
        <f t="shared" ca="1" si="42"/>
        <v>2991974.464569394</v>
      </c>
      <c r="M105" s="147">
        <f t="shared" ca="1" si="42"/>
        <v>3042173.405447924</v>
      </c>
      <c r="N105" s="147">
        <f t="shared" ca="1" si="42"/>
        <v>3089134.8276843773</v>
      </c>
      <c r="O105" s="147">
        <f t="shared" ca="1" si="42"/>
        <v>3132530.3437022842</v>
      </c>
      <c r="P105" s="147">
        <f t="shared" ca="1" si="42"/>
        <v>3172151.4473680495</v>
      </c>
      <c r="Q105" s="147">
        <f t="shared" ca="1" si="42"/>
        <v>3207812.429972358</v>
      </c>
      <c r="R105" s="147">
        <f t="shared" ca="1" si="42"/>
        <v>3239333.4356524083</v>
      </c>
      <c r="S105" s="147">
        <f t="shared" ca="1" si="42"/>
        <v>4573182.6743981671</v>
      </c>
      <c r="T105" s="147">
        <f t="shared" ca="1" si="42"/>
        <v>4605213.1663334174</v>
      </c>
      <c r="U105" s="147">
        <f t="shared" ca="1" si="42"/>
        <v>4631130.283403283</v>
      </c>
      <c r="V105" s="147">
        <f t="shared" ca="1" si="42"/>
        <v>4650879.6612518514</v>
      </c>
      <c r="W105" s="147">
        <f t="shared" ca="1" si="42"/>
        <v>4664457.4770824993</v>
      </c>
      <c r="X105" s="147">
        <f t="shared" ca="1" si="42"/>
        <v>4671832.0672179982</v>
      </c>
      <c r="Y105" s="147">
        <f t="shared" ca="1" si="42"/>
        <v>4673036.4449663274</v>
      </c>
      <c r="Z105" s="147">
        <f t="shared" ca="1" si="42"/>
        <v>4668149.9795995848</v>
      </c>
      <c r="AA105" s="147">
        <f t="shared" ca="1" si="42"/>
        <v>4657211.4255651645</v>
      </c>
      <c r="AB105" s="147">
        <f t="shared" ca="1" si="42"/>
        <v>4640259.4948906722</v>
      </c>
      <c r="AC105" s="147">
        <f t="shared" ca="1" si="42"/>
        <v>4617383.2864871211</v>
      </c>
      <c r="AD105" s="147">
        <f t="shared" ca="1" si="42"/>
        <v>4588694.7973367674</v>
      </c>
      <c r="AE105" s="147">
        <f t="shared" ca="1" si="42"/>
        <v>4554269.2366115274</v>
      </c>
      <c r="AF105" s="147">
        <f t="shared" ca="1" si="42"/>
        <v>4514187.02393727</v>
      </c>
      <c r="AG105" s="147">
        <f t="shared" ca="1" si="42"/>
        <v>4468543.6216403041</v>
      </c>
    </row>
    <row r="106" spans="2:33">
      <c r="B106" s="149">
        <v>4</v>
      </c>
      <c r="C106" s="122" t="str">
        <v>Veículos Comerciais com 3 Eixos</v>
      </c>
      <c r="D106" s="147">
        <f t="shared" ref="D106:AG106" ca="1" si="43">D44 * ((12-(INDEX(_xlfn.ANCHORARRAY(E$59),MATCH($B106,$C$59:$C$62,0))))/12)</f>
        <v>0</v>
      </c>
      <c r="E106" s="147">
        <f t="shared" ca="1" si="5"/>
        <v>1009883.3909594348</v>
      </c>
      <c r="F106" s="147">
        <f t="shared" ca="1" si="43"/>
        <v>1378647.6704769703</v>
      </c>
      <c r="G106" s="147">
        <f t="shared" ca="1" si="43"/>
        <v>1410550.6939430572</v>
      </c>
      <c r="H106" s="147">
        <f t="shared" ca="1" si="43"/>
        <v>1442125.036543004</v>
      </c>
      <c r="I106" s="147">
        <f t="shared" ca="1" si="43"/>
        <v>1473138.2272574804</v>
      </c>
      <c r="J106" s="147">
        <f t="shared" ca="1" si="43"/>
        <v>1503262.5791545094</v>
      </c>
      <c r="K106" s="147">
        <f t="shared" ca="1" si="43"/>
        <v>1532264.6743568908</v>
      </c>
      <c r="L106" s="147">
        <f t="shared" ca="1" si="43"/>
        <v>1559940.3435704571</v>
      </c>
      <c r="M106" s="147">
        <f t="shared" ca="1" si="43"/>
        <v>1586112.8106179647</v>
      </c>
      <c r="N106" s="147">
        <f t="shared" ca="1" si="43"/>
        <v>1610597.3167544946</v>
      </c>
      <c r="O106" s="147">
        <f t="shared" ca="1" si="43"/>
        <v>1633222.648945</v>
      </c>
      <c r="P106" s="147">
        <f t="shared" ca="1" si="43"/>
        <v>1653880.0973279725</v>
      </c>
      <c r="Q106" s="147">
        <f t="shared" ca="1" si="43"/>
        <v>1672472.8380463768</v>
      </c>
      <c r="R106" s="147">
        <f t="shared" ca="1" si="43"/>
        <v>1688907.0987703565</v>
      </c>
      <c r="S106" s="147">
        <f t="shared" ca="1" si="43"/>
        <v>2384342.5927560017</v>
      </c>
      <c r="T106" s="147">
        <f t="shared" ca="1" si="43"/>
        <v>2401042.4868178964</v>
      </c>
      <c r="U106" s="147">
        <f t="shared" ca="1" si="43"/>
        <v>2414555.0207599737</v>
      </c>
      <c r="V106" s="147">
        <f t="shared" ca="1" si="43"/>
        <v>2424851.8503723997</v>
      </c>
      <c r="W106" s="147">
        <f t="shared" ca="1" si="43"/>
        <v>2431930.9825450215</v>
      </c>
      <c r="X106" s="147">
        <f t="shared" ca="1" si="43"/>
        <v>2435775.9086317541</v>
      </c>
      <c r="Y106" s="147">
        <f t="shared" ca="1" si="43"/>
        <v>2436403.8409422622</v>
      </c>
      <c r="Z106" s="147">
        <f t="shared" ca="1" si="43"/>
        <v>2433856.1606216887</v>
      </c>
      <c r="AA106" s="147">
        <f t="shared" ca="1" si="43"/>
        <v>2428153.0732656028</v>
      </c>
      <c r="AB106" s="147">
        <f t="shared" ca="1" si="43"/>
        <v>2419314.7623529616</v>
      </c>
      <c r="AC106" s="147">
        <f t="shared" ca="1" si="43"/>
        <v>2407387.6818182808</v>
      </c>
      <c r="AD106" s="147">
        <f t="shared" ca="1" si="43"/>
        <v>2392430.2240753514</v>
      </c>
      <c r="AE106" s="147">
        <f t="shared" ca="1" si="43"/>
        <v>2374481.6012975615</v>
      </c>
      <c r="AF106" s="147">
        <f t="shared" ca="1" si="43"/>
        <v>2353583.7422581315</v>
      </c>
      <c r="AG106" s="147">
        <f t="shared" ca="1" si="43"/>
        <v>2329786.4186165011</v>
      </c>
    </row>
    <row r="107" spans="2:33">
      <c r="B107" s="149">
        <v>4</v>
      </c>
      <c r="C107" s="122" t="str">
        <v>Veículos Comerciais com 4 Eixos</v>
      </c>
      <c r="D107" s="147">
        <f t="shared" ref="D107:AG107" ca="1" si="44">D45 * ((12-(INDEX(_xlfn.ANCHORARRAY(E$59),MATCH($B107,$C$59:$C$62,0))))/12)</f>
        <v>0</v>
      </c>
      <c r="E107" s="147">
        <f t="shared" ca="1" si="5"/>
        <v>405696.9072089445</v>
      </c>
      <c r="F107" s="147">
        <f t="shared" ca="1" si="44"/>
        <v>553839.28585254797</v>
      </c>
      <c r="G107" s="147">
        <f t="shared" ca="1" si="44"/>
        <v>566655.57540307671</v>
      </c>
      <c r="H107" s="147">
        <f t="shared" ca="1" si="44"/>
        <v>579339.82514381583</v>
      </c>
      <c r="I107" s="147">
        <f t="shared" ca="1" si="44"/>
        <v>591798.64530877641</v>
      </c>
      <c r="J107" s="147">
        <f t="shared" ca="1" si="44"/>
        <v>603900.39537784888</v>
      </c>
      <c r="K107" s="147">
        <f t="shared" ca="1" si="44"/>
        <v>615551.30520715832</v>
      </c>
      <c r="L107" s="147">
        <f t="shared" ca="1" si="44"/>
        <v>626669.35458334873</v>
      </c>
      <c r="M107" s="147">
        <f t="shared" ca="1" si="44"/>
        <v>637183.52783370204</v>
      </c>
      <c r="N107" s="147">
        <f t="shared" ca="1" si="44"/>
        <v>647019.6024766285</v>
      </c>
      <c r="O107" s="147">
        <f t="shared" ca="1" si="44"/>
        <v>656108.79770098254</v>
      </c>
      <c r="P107" s="147">
        <f t="shared" ca="1" si="44"/>
        <v>664407.44187596824</v>
      </c>
      <c r="Q107" s="147">
        <f t="shared" ca="1" si="44"/>
        <v>671876.63829361426</v>
      </c>
      <c r="R107" s="147">
        <f t="shared" ca="1" si="44"/>
        <v>678478.71612524381</v>
      </c>
      <c r="S107" s="147">
        <f t="shared" ca="1" si="44"/>
        <v>957853.57425144652</v>
      </c>
      <c r="T107" s="147">
        <f t="shared" ca="1" si="44"/>
        <v>964562.3640308202</v>
      </c>
      <c r="U107" s="147">
        <f t="shared" ca="1" si="44"/>
        <v>969990.70682557439</v>
      </c>
      <c r="V107" s="147">
        <f t="shared" ca="1" si="44"/>
        <v>974127.21601585799</v>
      </c>
      <c r="W107" s="147">
        <f t="shared" ca="1" si="44"/>
        <v>976971.09091653093</v>
      </c>
      <c r="X107" s="147">
        <f t="shared" ca="1" si="44"/>
        <v>978515.69956719177</v>
      </c>
      <c r="Y107" s="147">
        <f t="shared" ca="1" si="44"/>
        <v>978767.95660853945</v>
      </c>
      <c r="Z107" s="147">
        <f t="shared" ca="1" si="44"/>
        <v>977744.4859426521</v>
      </c>
      <c r="AA107" s="147">
        <f t="shared" ca="1" si="44"/>
        <v>975453.40469246113</v>
      </c>
      <c r="AB107" s="147">
        <f t="shared" ca="1" si="44"/>
        <v>971902.8210960686</v>
      </c>
      <c r="AC107" s="147">
        <f t="shared" ca="1" si="44"/>
        <v>967111.39692940831</v>
      </c>
      <c r="AD107" s="147">
        <f t="shared" ca="1" si="44"/>
        <v>961102.58997175563</v>
      </c>
      <c r="AE107" s="147">
        <f t="shared" ca="1" si="44"/>
        <v>953892.15279178414</v>
      </c>
      <c r="AF107" s="147">
        <f t="shared" ca="1" si="44"/>
        <v>945496.92928827601</v>
      </c>
      <c r="AG107" s="147">
        <f t="shared" ca="1" si="44"/>
        <v>935936.91405514325</v>
      </c>
    </row>
    <row r="108" spans="2:33">
      <c r="B108" s="149">
        <v>4</v>
      </c>
      <c r="C108" s="122" t="str">
        <v>Veículos Comerciais com 5 Eixos Articulado</v>
      </c>
      <c r="D108" s="147">
        <f t="shared" ref="D108:AG108" ca="1" si="45">D46 * ((12-(INDEX(_xlfn.ANCHORARRAY(E$59),MATCH($B108,$C$59:$C$62,0))))/12)</f>
        <v>0</v>
      </c>
      <c r="E108" s="147">
        <f t="shared" ca="1" si="5"/>
        <v>57713.944764430329</v>
      </c>
      <c r="F108" s="147">
        <f t="shared" ca="1" si="45"/>
        <v>79757.971990379388</v>
      </c>
      <c r="G108" s="147">
        <f t="shared" ca="1" si="45"/>
        <v>82641.316149551552</v>
      </c>
      <c r="H108" s="147">
        <f t="shared" ca="1" si="45"/>
        <v>85597.226869222563</v>
      </c>
      <c r="I108" s="147">
        <f t="shared" ca="1" si="45"/>
        <v>88605.02219104518</v>
      </c>
      <c r="J108" s="147">
        <f t="shared" ca="1" si="45"/>
        <v>91631.290926609247</v>
      </c>
      <c r="K108" s="147">
        <f t="shared" ca="1" si="45"/>
        <v>94650.322078019046</v>
      </c>
      <c r="L108" s="147">
        <f t="shared" ca="1" si="45"/>
        <v>97638.682629964344</v>
      </c>
      <c r="M108" s="147">
        <f t="shared" ca="1" si="45"/>
        <v>100574.67949595532</v>
      </c>
      <c r="N108" s="147">
        <f t="shared" ca="1" si="45"/>
        <v>103435.33333534627</v>
      </c>
      <c r="O108" s="147">
        <f t="shared" ca="1" si="45"/>
        <v>106198.34204685061</v>
      </c>
      <c r="P108" s="147">
        <f t="shared" ca="1" si="45"/>
        <v>108846.56300791846</v>
      </c>
      <c r="Q108" s="147">
        <f t="shared" ca="1" si="45"/>
        <v>111363.50799524553</v>
      </c>
      <c r="R108" s="147">
        <f t="shared" ca="1" si="45"/>
        <v>113732.48200417796</v>
      </c>
      <c r="S108" s="147">
        <f t="shared" ca="1" si="45"/>
        <v>162313.0609274251</v>
      </c>
      <c r="T108" s="147">
        <f t="shared" ca="1" si="45"/>
        <v>165157.04804919413</v>
      </c>
      <c r="U108" s="147">
        <f t="shared" ca="1" si="45"/>
        <v>167745.55598742727</v>
      </c>
      <c r="V108" s="147">
        <f t="shared" ca="1" si="45"/>
        <v>170065.90492513843</v>
      </c>
      <c r="W108" s="147">
        <f t="shared" ca="1" si="45"/>
        <v>172108.1278961263</v>
      </c>
      <c r="X108" s="147">
        <f t="shared" ca="1" si="45"/>
        <v>173861.52234319184</v>
      </c>
      <c r="Y108" s="147">
        <f t="shared" ca="1" si="45"/>
        <v>175319.10373588983</v>
      </c>
      <c r="Z108" s="147">
        <f t="shared" ca="1" si="45"/>
        <v>176476.8653017552</v>
      </c>
      <c r="AA108" s="147">
        <f t="shared" ca="1" si="45"/>
        <v>177329.59733465861</v>
      </c>
      <c r="AB108" s="147">
        <f t="shared" ca="1" si="45"/>
        <v>177872.65448412395</v>
      </c>
      <c r="AC108" s="147">
        <f t="shared" ca="1" si="45"/>
        <v>178104.39378217806</v>
      </c>
      <c r="AD108" s="147">
        <f t="shared" ca="1" si="45"/>
        <v>178024.67665541309</v>
      </c>
      <c r="AE108" s="147">
        <f t="shared" ca="1" si="45"/>
        <v>177631.93475277399</v>
      </c>
      <c r="AF108" s="147">
        <f t="shared" ca="1" si="45"/>
        <v>176925.3752865963</v>
      </c>
      <c r="AG108" s="147">
        <f t="shared" ca="1" si="45"/>
        <v>175905.58696097854</v>
      </c>
    </row>
    <row r="109" spans="2:33">
      <c r="B109" s="149">
        <v>4</v>
      </c>
      <c r="C109" s="122" t="str">
        <v>Veículos Comerciais com 6 Eixos Articulado</v>
      </c>
      <c r="D109" s="147">
        <f t="shared" ref="D109:AG109" ca="1" si="46">D47 * ((12-(INDEX(_xlfn.ANCHORARRAY(E$59),MATCH($B109,$C$59:$C$62,0))))/12)</f>
        <v>0</v>
      </c>
      <c r="E109" s="147">
        <f t="shared" ca="1" si="5"/>
        <v>512499.82950814121</v>
      </c>
      <c r="F109" s="147">
        <f t="shared" ca="1" si="46"/>
        <v>708250.79127456888</v>
      </c>
      <c r="G109" s="147">
        <f t="shared" ca="1" si="46"/>
        <v>733854.88740801776</v>
      </c>
      <c r="H109" s="147">
        <f t="shared" ca="1" si="46"/>
        <v>760103.37459869636</v>
      </c>
      <c r="I109" s="147">
        <f t="shared" ca="1" si="46"/>
        <v>786812.59705648129</v>
      </c>
      <c r="J109" s="147">
        <f t="shared" ca="1" si="46"/>
        <v>813685.86342829012</v>
      </c>
      <c r="K109" s="147">
        <f t="shared" ca="1" si="46"/>
        <v>840494.86005280912</v>
      </c>
      <c r="L109" s="147">
        <f t="shared" ca="1" si="46"/>
        <v>867031.50175408344</v>
      </c>
      <c r="M109" s="147">
        <f t="shared" ca="1" si="46"/>
        <v>893103.15392408322</v>
      </c>
      <c r="N109" s="147">
        <f t="shared" ca="1" si="46"/>
        <v>918505.76001787465</v>
      </c>
      <c r="O109" s="147">
        <f t="shared" ca="1" si="46"/>
        <v>943041.27737603337</v>
      </c>
      <c r="P109" s="147">
        <f t="shared" ca="1" si="46"/>
        <v>966557.47951031604</v>
      </c>
      <c r="Q109" s="147">
        <f t="shared" ca="1" si="46"/>
        <v>988907.95099778043</v>
      </c>
      <c r="R109" s="147">
        <f t="shared" ca="1" si="46"/>
        <v>1009944.4401971004</v>
      </c>
      <c r="S109" s="147">
        <f t="shared" ca="1" si="46"/>
        <v>1441339.981035535</v>
      </c>
      <c r="T109" s="147">
        <f t="shared" ca="1" si="46"/>
        <v>1466594.5866768439</v>
      </c>
      <c r="U109" s="147">
        <f t="shared" ca="1" si="46"/>
        <v>1489580.5371683545</v>
      </c>
      <c r="V109" s="147">
        <f t="shared" ca="1" si="46"/>
        <v>1510185.2357352297</v>
      </c>
      <c r="W109" s="147">
        <f t="shared" ca="1" si="46"/>
        <v>1528320.175717602</v>
      </c>
      <c r="X109" s="147">
        <f t="shared" ca="1" si="46"/>
        <v>1543890.3184075439</v>
      </c>
      <c r="Y109" s="147">
        <f t="shared" ca="1" si="46"/>
        <v>1556833.6411747024</v>
      </c>
      <c r="Z109" s="147">
        <f t="shared" ca="1" si="46"/>
        <v>1567114.5638795865</v>
      </c>
      <c r="AA109" s="147">
        <f t="shared" ca="1" si="46"/>
        <v>1574686.8243317688</v>
      </c>
      <c r="AB109" s="147">
        <f t="shared" ca="1" si="46"/>
        <v>1579509.1718190215</v>
      </c>
      <c r="AC109" s="147">
        <f t="shared" ca="1" si="46"/>
        <v>1581567.0167857416</v>
      </c>
      <c r="AD109" s="147">
        <f t="shared" ca="1" si="46"/>
        <v>1580859.1287000689</v>
      </c>
      <c r="AE109" s="147">
        <f t="shared" ca="1" si="46"/>
        <v>1577371.5806046335</v>
      </c>
      <c r="AF109" s="147">
        <f t="shared" ca="1" si="46"/>
        <v>1571097.3325449757</v>
      </c>
      <c r="AG109" s="147">
        <f t="shared" ca="1" si="46"/>
        <v>1562041.6122134903</v>
      </c>
    </row>
    <row r="110" spans="2:33">
      <c r="B110" s="182">
        <v>4</v>
      </c>
      <c r="C110" s="183" t="str">
        <v>Veículos Comerciais com 7 Eixos Articulado</v>
      </c>
      <c r="D110" s="147">
        <f t="shared" ref="D110:AG110" ca="1" si="47">D48 * ((12-(INDEX(_xlfn.ANCHORARRAY(E$59),MATCH($B110,$C$59:$C$62,0))))/12)</f>
        <v>0</v>
      </c>
      <c r="E110" s="147">
        <f t="shared" ca="1" si="5"/>
        <v>315118.13841378962</v>
      </c>
      <c r="F110" s="147">
        <f t="shared" ca="1" si="47"/>
        <v>435478.52706747153</v>
      </c>
      <c r="G110" s="147">
        <f t="shared" ca="1" si="47"/>
        <v>451221.58617655147</v>
      </c>
      <c r="H110" s="147">
        <f t="shared" ca="1" si="47"/>
        <v>467360.85870595532</v>
      </c>
      <c r="I110" s="147">
        <f t="shared" ca="1" si="47"/>
        <v>483783.42116310674</v>
      </c>
      <c r="J110" s="147">
        <f t="shared" ca="1" si="47"/>
        <v>500306.84845928656</v>
      </c>
      <c r="K110" s="147">
        <f t="shared" ca="1" si="47"/>
        <v>516790.75854598411</v>
      </c>
      <c r="L110" s="147">
        <f t="shared" ca="1" si="47"/>
        <v>533107.20715960534</v>
      </c>
      <c r="M110" s="147">
        <f t="shared" ca="1" si="47"/>
        <v>549137.75004791608</v>
      </c>
      <c r="N110" s="147">
        <f t="shared" ca="1" si="47"/>
        <v>564756.92001099058</v>
      </c>
      <c r="O110" s="147">
        <f t="shared" ca="1" si="47"/>
        <v>579842.94757580431</v>
      </c>
      <c r="P110" s="147">
        <f t="shared" ca="1" si="47"/>
        <v>594302.23402323481</v>
      </c>
      <c r="Q110" s="147">
        <f t="shared" ca="1" si="47"/>
        <v>608044.75365404051</v>
      </c>
      <c r="R110" s="147">
        <f t="shared" ca="1" si="47"/>
        <v>620979.35174281173</v>
      </c>
      <c r="S110" s="147">
        <f t="shared" ca="1" si="47"/>
        <v>886229.31266374129</v>
      </c>
      <c r="T110" s="147">
        <f t="shared" ca="1" si="47"/>
        <v>901757.48234860029</v>
      </c>
      <c r="U110" s="147">
        <f t="shared" ca="1" si="47"/>
        <v>915890.73569135333</v>
      </c>
      <c r="V110" s="147">
        <f t="shared" ca="1" si="47"/>
        <v>928559.84089125623</v>
      </c>
      <c r="W110" s="147">
        <f t="shared" ca="1" si="47"/>
        <v>939710.37831285025</v>
      </c>
      <c r="X110" s="147">
        <f t="shared" ca="1" si="47"/>
        <v>949283.91199382779</v>
      </c>
      <c r="Y110" s="147">
        <f t="shared" ca="1" si="47"/>
        <v>957242.30639795912</v>
      </c>
      <c r="Z110" s="147">
        <f t="shared" ca="1" si="47"/>
        <v>963563.68454758369</v>
      </c>
      <c r="AA110" s="147">
        <f t="shared" ca="1" si="47"/>
        <v>968219.60144723661</v>
      </c>
      <c r="AB110" s="147">
        <f t="shared" ca="1" si="47"/>
        <v>971184.6934833175</v>
      </c>
      <c r="AC110" s="147">
        <f t="shared" ca="1" si="47"/>
        <v>972449.99005069258</v>
      </c>
      <c r="AD110" s="147">
        <f t="shared" ca="1" si="47"/>
        <v>972014.73453855596</v>
      </c>
      <c r="AE110" s="147">
        <f t="shared" ca="1" si="47"/>
        <v>969870.36375014647</v>
      </c>
      <c r="AF110" s="147">
        <f t="shared" ca="1" si="47"/>
        <v>966012.54906481644</v>
      </c>
      <c r="AG110" s="147">
        <f t="shared" ca="1" si="47"/>
        <v>960444.50480694359</v>
      </c>
    </row>
    <row r="111" spans="2:33">
      <c r="B111" s="182">
        <v>4</v>
      </c>
      <c r="C111" s="183" t="str">
        <v>Veículos Comerciais com 8 Eixos Articulado</v>
      </c>
      <c r="D111" s="147">
        <f t="shared" ref="D111:AG111" ca="1" si="48">D49 * ((12-(INDEX(_xlfn.ANCHORARRAY(E$59),MATCH($B111,$C$59:$C$62,0))))/12)</f>
        <v>0</v>
      </c>
      <c r="E111" s="147">
        <f t="shared" ca="1" si="5"/>
        <v>0</v>
      </c>
      <c r="F111" s="147">
        <f t="shared" ca="1" si="48"/>
        <v>0</v>
      </c>
      <c r="G111" s="147">
        <f t="shared" ca="1" si="48"/>
        <v>0</v>
      </c>
      <c r="H111" s="147">
        <f t="shared" ca="1" si="48"/>
        <v>0</v>
      </c>
      <c r="I111" s="147">
        <f t="shared" ca="1" si="48"/>
        <v>0</v>
      </c>
      <c r="J111" s="147">
        <f t="shared" ca="1" si="48"/>
        <v>0</v>
      </c>
      <c r="K111" s="147">
        <f t="shared" ca="1" si="48"/>
        <v>0</v>
      </c>
      <c r="L111" s="147">
        <f t="shared" ca="1" si="48"/>
        <v>0</v>
      </c>
      <c r="M111" s="147">
        <f t="shared" ca="1" si="48"/>
        <v>0</v>
      </c>
      <c r="N111" s="147">
        <f t="shared" ca="1" si="48"/>
        <v>0</v>
      </c>
      <c r="O111" s="147">
        <f t="shared" ca="1" si="48"/>
        <v>0</v>
      </c>
      <c r="P111" s="147">
        <f t="shared" ca="1" si="48"/>
        <v>0</v>
      </c>
      <c r="Q111" s="147">
        <f t="shared" ca="1" si="48"/>
        <v>0</v>
      </c>
      <c r="R111" s="147">
        <f t="shared" ca="1" si="48"/>
        <v>0</v>
      </c>
      <c r="S111" s="147">
        <f t="shared" ca="1" si="48"/>
        <v>0</v>
      </c>
      <c r="T111" s="147">
        <f t="shared" ca="1" si="48"/>
        <v>0</v>
      </c>
      <c r="U111" s="147">
        <f t="shared" ca="1" si="48"/>
        <v>0</v>
      </c>
      <c r="V111" s="147">
        <f t="shared" ca="1" si="48"/>
        <v>0</v>
      </c>
      <c r="W111" s="147">
        <f t="shared" ca="1" si="48"/>
        <v>0</v>
      </c>
      <c r="X111" s="147">
        <f t="shared" ca="1" si="48"/>
        <v>0</v>
      </c>
      <c r="Y111" s="147">
        <f t="shared" ca="1" si="48"/>
        <v>0</v>
      </c>
      <c r="Z111" s="147">
        <f t="shared" ca="1" si="48"/>
        <v>0</v>
      </c>
      <c r="AA111" s="147">
        <f t="shared" ca="1" si="48"/>
        <v>0</v>
      </c>
      <c r="AB111" s="147">
        <f t="shared" ca="1" si="48"/>
        <v>0</v>
      </c>
      <c r="AC111" s="147">
        <f t="shared" ca="1" si="48"/>
        <v>0</v>
      </c>
      <c r="AD111" s="147">
        <f t="shared" ca="1" si="48"/>
        <v>0</v>
      </c>
      <c r="AE111" s="147">
        <f t="shared" ca="1" si="48"/>
        <v>0</v>
      </c>
      <c r="AF111" s="147">
        <f t="shared" ca="1" si="48"/>
        <v>0</v>
      </c>
      <c r="AG111" s="147">
        <f t="shared" ca="1" si="48"/>
        <v>0</v>
      </c>
    </row>
    <row r="112" spans="2:33">
      <c r="B112" s="182">
        <v>4</v>
      </c>
      <c r="C112" s="183" t="str">
        <v>Veículos Comerciais com 9 Eixos Articulado</v>
      </c>
      <c r="D112" s="147">
        <f t="shared" ref="D112:AG112" ca="1" si="49">D50 * ((12-(INDEX(_xlfn.ANCHORARRAY(E$59),MATCH($B112,$C$59:$C$62,0))))/12)</f>
        <v>0</v>
      </c>
      <c r="E112" s="147">
        <f t="shared" ca="1" si="5"/>
        <v>186993.18103675425</v>
      </c>
      <c r="F112" s="147">
        <f t="shared" ca="1" si="49"/>
        <v>258415.82924882922</v>
      </c>
      <c r="G112" s="147">
        <f t="shared" ca="1" si="49"/>
        <v>267757.86432454706</v>
      </c>
      <c r="H112" s="147">
        <f t="shared" ca="1" si="49"/>
        <v>277335.01505628118</v>
      </c>
      <c r="I112" s="147">
        <f t="shared" ca="1" si="49"/>
        <v>287080.27189898642</v>
      </c>
      <c r="J112" s="147">
        <f t="shared" ca="1" si="49"/>
        <v>296885.382602214</v>
      </c>
      <c r="K112" s="147">
        <f t="shared" ca="1" si="49"/>
        <v>306667.04353278171</v>
      </c>
      <c r="L112" s="147">
        <f t="shared" ca="1" si="49"/>
        <v>316349.33172108454</v>
      </c>
      <c r="M112" s="147">
        <f t="shared" ca="1" si="49"/>
        <v>325861.96156689519</v>
      </c>
      <c r="N112" s="147">
        <f t="shared" ca="1" si="49"/>
        <v>335130.48000652186</v>
      </c>
      <c r="O112" s="147">
        <f t="shared" ca="1" si="49"/>
        <v>344082.62823179597</v>
      </c>
      <c r="P112" s="147">
        <f t="shared" ca="1" si="49"/>
        <v>352662.86414565588</v>
      </c>
      <c r="Q112" s="147">
        <f t="shared" ca="1" si="49"/>
        <v>360817.76590459561</v>
      </c>
      <c r="R112" s="147">
        <f t="shared" ca="1" si="49"/>
        <v>368493.24169353663</v>
      </c>
      <c r="S112" s="147">
        <f t="shared" ca="1" si="49"/>
        <v>525894.31740485749</v>
      </c>
      <c r="T112" s="147">
        <f t="shared" ca="1" si="49"/>
        <v>535108.83567938919</v>
      </c>
      <c r="U112" s="147">
        <f t="shared" ca="1" si="49"/>
        <v>543495.60139926453</v>
      </c>
      <c r="V112" s="147">
        <f t="shared" ca="1" si="49"/>
        <v>551013.53195744869</v>
      </c>
      <c r="W112" s="147">
        <f t="shared" ca="1" si="49"/>
        <v>557630.3343834494</v>
      </c>
      <c r="X112" s="147">
        <f t="shared" ca="1" si="49"/>
        <v>563311.33239194169</v>
      </c>
      <c r="Y112" s="147">
        <f t="shared" ca="1" si="49"/>
        <v>568033.8961042834</v>
      </c>
      <c r="Z112" s="147">
        <f t="shared" ca="1" si="49"/>
        <v>571785.04357768712</v>
      </c>
      <c r="AA112" s="147">
        <f t="shared" ca="1" si="49"/>
        <v>574547.89536429418</v>
      </c>
      <c r="AB112" s="147">
        <f t="shared" ca="1" si="49"/>
        <v>576307.40052856191</v>
      </c>
      <c r="AC112" s="147">
        <f t="shared" ca="1" si="49"/>
        <v>577058.23585425713</v>
      </c>
      <c r="AD112" s="147">
        <f t="shared" ca="1" si="49"/>
        <v>576799.95236353856</v>
      </c>
      <c r="AE112" s="147">
        <f t="shared" ca="1" si="49"/>
        <v>575527.46859898802</v>
      </c>
      <c r="AF112" s="147">
        <f t="shared" ca="1" si="49"/>
        <v>573238.21592857235</v>
      </c>
      <c r="AG112" s="147">
        <f t="shared" ca="1" si="49"/>
        <v>569934.10175357084</v>
      </c>
    </row>
    <row r="113" spans="2:35">
      <c r="B113" s="182">
        <v>4</v>
      </c>
      <c r="C113" s="183" t="str">
        <v>Motocicleta</v>
      </c>
      <c r="D113" s="147">
        <f t="shared" ref="D113:AG113" ca="1" si="50">D51 * ((12-(INDEX(_xlfn.ANCHORARRAY(E$59),MATCH($B113,$C$59:$C$62,0))))/12)</f>
        <v>0</v>
      </c>
      <c r="E113" s="147">
        <f t="shared" ca="1" si="5"/>
        <v>691986.28409506253</v>
      </c>
      <c r="F113" s="147">
        <f t="shared" ca="1" si="50"/>
        <v>960736.31660386245</v>
      </c>
      <c r="G113" s="147">
        <f t="shared" ca="1" si="50"/>
        <v>1000605.0911757553</v>
      </c>
      <c r="H113" s="147">
        <f t="shared" ca="1" si="50"/>
        <v>1042251.117528822</v>
      </c>
      <c r="I113" s="147">
        <f t="shared" ca="1" si="50"/>
        <v>1085425.2651341374</v>
      </c>
      <c r="J113" s="147">
        <f t="shared" ca="1" si="50"/>
        <v>1129671.3732319975</v>
      </c>
      <c r="K113" s="147">
        <f t="shared" ca="1" si="50"/>
        <v>1174633.9986810461</v>
      </c>
      <c r="L113" s="147">
        <f t="shared" ca="1" si="50"/>
        <v>1219986.2647976007</v>
      </c>
      <c r="M113" s="147">
        <f t="shared" ca="1" si="50"/>
        <v>1265417.9965949643</v>
      </c>
      <c r="N113" s="147">
        <f t="shared" ca="1" si="50"/>
        <v>1310595.0239079064</v>
      </c>
      <c r="O113" s="147">
        <f t="shared" ca="1" si="50"/>
        <v>1355185.382367057</v>
      </c>
      <c r="P113" s="147">
        <f t="shared" ca="1" si="50"/>
        <v>1398919.7432209852</v>
      </c>
      <c r="Q113" s="147">
        <f t="shared" ca="1" si="50"/>
        <v>1441529.8549156538</v>
      </c>
      <c r="R113" s="147">
        <f t="shared" ca="1" si="50"/>
        <v>1482735.5564624094</v>
      </c>
      <c r="S113" s="147">
        <f t="shared" ca="1" si="50"/>
        <v>2131173.2193632224</v>
      </c>
      <c r="T113" s="147">
        <f t="shared" ca="1" si="50"/>
        <v>2183887.2609168636</v>
      </c>
      <c r="U113" s="147">
        <f t="shared" ca="1" si="50"/>
        <v>2233723.8663646374</v>
      </c>
      <c r="V113" s="147">
        <f t="shared" ca="1" si="50"/>
        <v>2280421.8020979096</v>
      </c>
      <c r="W113" s="147">
        <f t="shared" ca="1" si="50"/>
        <v>2323752.7796962038</v>
      </c>
      <c r="X113" s="147">
        <f t="shared" ca="1" si="50"/>
        <v>2363477.9273157795</v>
      </c>
      <c r="Y113" s="147">
        <f t="shared" ca="1" si="50"/>
        <v>2399408.9685010426</v>
      </c>
      <c r="Z113" s="147">
        <f t="shared" ca="1" si="50"/>
        <v>2431400.0196295264</v>
      </c>
      <c r="AA113" s="147">
        <f t="shared" ca="1" si="50"/>
        <v>2459290.9428986493</v>
      </c>
      <c r="AB113" s="147">
        <f t="shared" ca="1" si="50"/>
        <v>2482929.686906111</v>
      </c>
      <c r="AC113" s="147">
        <f t="shared" ca="1" si="50"/>
        <v>2502206.0470029712</v>
      </c>
      <c r="AD113" s="147">
        <f t="shared" ca="1" si="50"/>
        <v>2517029.3787697321</v>
      </c>
      <c r="AE113" s="147">
        <f t="shared" ca="1" si="50"/>
        <v>2527287.7829711642</v>
      </c>
      <c r="AF113" s="147">
        <f t="shared" ca="1" si="50"/>
        <v>2532880.6802945761</v>
      </c>
      <c r="AG113" s="147">
        <f t="shared" ca="1" si="50"/>
        <v>2533729.0838023406</v>
      </c>
    </row>
    <row r="114" spans="2:35">
      <c r="B114" s="182">
        <v>4</v>
      </c>
      <c r="C114" s="183" t="str">
        <v xml:space="preserve">Veículos do transporte público coletivo intermunicipal e metropolitano </v>
      </c>
      <c r="D114" s="147">
        <f t="shared" ref="D114:AG114" ca="1" si="51">D52 * ((12-(INDEX(_xlfn.ANCHORARRAY(E$59),MATCH($B114,$C$59:$C$62,0))))/12)</f>
        <v>0</v>
      </c>
      <c r="E114" s="147">
        <f t="shared" ca="1" si="5"/>
        <v>0</v>
      </c>
      <c r="F114" s="147">
        <f t="shared" ca="1" si="51"/>
        <v>0</v>
      </c>
      <c r="G114" s="147">
        <f t="shared" ca="1" si="51"/>
        <v>0</v>
      </c>
      <c r="H114" s="147">
        <f t="shared" ca="1" si="51"/>
        <v>0</v>
      </c>
      <c r="I114" s="147">
        <f t="shared" ca="1" si="51"/>
        <v>0</v>
      </c>
      <c r="J114" s="147">
        <f t="shared" ca="1" si="51"/>
        <v>0</v>
      </c>
      <c r="K114" s="147">
        <f t="shared" ca="1" si="51"/>
        <v>0</v>
      </c>
      <c r="L114" s="147">
        <f t="shared" ca="1" si="51"/>
        <v>0</v>
      </c>
      <c r="M114" s="147">
        <f t="shared" ca="1" si="51"/>
        <v>0</v>
      </c>
      <c r="N114" s="147">
        <f t="shared" ca="1" si="51"/>
        <v>0</v>
      </c>
      <c r="O114" s="147">
        <f t="shared" ca="1" si="51"/>
        <v>0</v>
      </c>
      <c r="P114" s="147">
        <f t="shared" ca="1" si="51"/>
        <v>0</v>
      </c>
      <c r="Q114" s="147">
        <f t="shared" ca="1" si="51"/>
        <v>0</v>
      </c>
      <c r="R114" s="147">
        <f t="shared" ca="1" si="51"/>
        <v>0</v>
      </c>
      <c r="S114" s="147">
        <f t="shared" ca="1" si="51"/>
        <v>0</v>
      </c>
      <c r="T114" s="147">
        <f t="shared" ca="1" si="51"/>
        <v>0</v>
      </c>
      <c r="U114" s="147">
        <f t="shared" ca="1" si="51"/>
        <v>0</v>
      </c>
      <c r="V114" s="147">
        <f t="shared" ca="1" si="51"/>
        <v>0</v>
      </c>
      <c r="W114" s="147">
        <f t="shared" ca="1" si="51"/>
        <v>0</v>
      </c>
      <c r="X114" s="147">
        <f t="shared" ca="1" si="51"/>
        <v>0</v>
      </c>
      <c r="Y114" s="147">
        <f t="shared" ca="1" si="51"/>
        <v>0</v>
      </c>
      <c r="Z114" s="147">
        <f t="shared" ca="1" si="51"/>
        <v>0</v>
      </c>
      <c r="AA114" s="147">
        <f t="shared" ca="1" si="51"/>
        <v>0</v>
      </c>
      <c r="AB114" s="147">
        <f t="shared" ca="1" si="51"/>
        <v>0</v>
      </c>
      <c r="AC114" s="147">
        <f t="shared" ca="1" si="51"/>
        <v>0</v>
      </c>
      <c r="AD114" s="147">
        <f t="shared" ca="1" si="51"/>
        <v>0</v>
      </c>
      <c r="AE114" s="147">
        <f t="shared" ca="1" si="51"/>
        <v>0</v>
      </c>
      <c r="AF114" s="147">
        <f t="shared" ca="1" si="51"/>
        <v>0</v>
      </c>
      <c r="AG114" s="147">
        <f t="shared" ca="1" si="51"/>
        <v>0</v>
      </c>
    </row>
    <row r="115" spans="2:35">
      <c r="B115" s="607" t="s">
        <v>73</v>
      </c>
      <c r="C115" s="608"/>
      <c r="D115" s="144">
        <f ca="1">SUM(D67:D114)</f>
        <v>0</v>
      </c>
      <c r="E115" s="144">
        <f t="shared" ref="E115:AG115" ca="1" si="52">SUM(E67:E114)</f>
        <v>96079355.23494707</v>
      </c>
      <c r="F115" s="144">
        <f t="shared" ca="1" si="52"/>
        <v>132800462.47410993</v>
      </c>
      <c r="G115" s="144">
        <f t="shared" ca="1" si="52"/>
        <v>137657962.70213294</v>
      </c>
      <c r="H115" s="144">
        <f t="shared" ca="1" si="52"/>
        <v>166026503.6248683</v>
      </c>
      <c r="I115" s="144">
        <f t="shared" ca="1" si="52"/>
        <v>171998170.59611237</v>
      </c>
      <c r="J115" s="144">
        <f t="shared" ca="1" si="52"/>
        <v>200265049.29704174</v>
      </c>
      <c r="K115" s="144">
        <f t="shared" ca="1" si="52"/>
        <v>207119914.84222683</v>
      </c>
      <c r="L115" s="144">
        <f t="shared" ca="1" si="52"/>
        <v>213960795.43045682</v>
      </c>
      <c r="M115" s="144">
        <f t="shared" ca="1" si="52"/>
        <v>220740362.13465869</v>
      </c>
      <c r="N115" s="144">
        <f t="shared" ca="1" si="52"/>
        <v>227408012.6279313</v>
      </c>
      <c r="O115" s="144">
        <f t="shared" ca="1" si="52"/>
        <v>233914105.69918865</v>
      </c>
      <c r="P115" s="144">
        <f t="shared" ca="1" si="52"/>
        <v>240219681.33645159</v>
      </c>
      <c r="Q115" s="144">
        <f t="shared" ca="1" si="52"/>
        <v>246286582.26141649</v>
      </c>
      <c r="R115" s="144">
        <f t="shared" ca="1" si="52"/>
        <v>252075470.73023921</v>
      </c>
      <c r="S115" s="144">
        <f t="shared" ca="1" si="52"/>
        <v>269238942.30000371</v>
      </c>
      <c r="T115" s="144">
        <f t="shared" ca="1" si="52"/>
        <v>274613341.33124524</v>
      </c>
      <c r="U115" s="144">
        <f t="shared" ca="1" si="52"/>
        <v>279607474.2269907</v>
      </c>
      <c r="V115" s="144">
        <f t="shared" ca="1" si="52"/>
        <v>284196317.15248698</v>
      </c>
      <c r="W115" s="144">
        <f t="shared" ca="1" si="52"/>
        <v>288358924.4800812</v>
      </c>
      <c r="X115" s="144">
        <f t="shared" ca="1" si="52"/>
        <v>292073001.04439259</v>
      </c>
      <c r="Y115" s="144">
        <f t="shared" ca="1" si="52"/>
        <v>295322185.20198882</v>
      </c>
      <c r="Z115" s="144">
        <f t="shared" ca="1" si="52"/>
        <v>298094951.09629512</v>
      </c>
      <c r="AA115" s="144">
        <f t="shared" ca="1" si="52"/>
        <v>300377826.2382853</v>
      </c>
      <c r="AB115" s="144">
        <f t="shared" ca="1" si="52"/>
        <v>302158179.08823556</v>
      </c>
      <c r="AC115" s="144">
        <f t="shared" ca="1" si="52"/>
        <v>303428223.12398511</v>
      </c>
      <c r="AD115" s="144">
        <f t="shared" ca="1" si="52"/>
        <v>304182478.73017526</v>
      </c>
      <c r="AE115" s="144">
        <f t="shared" ca="1" si="52"/>
        <v>304412950.26307595</v>
      </c>
      <c r="AF115" s="144">
        <f t="shared" ca="1" si="52"/>
        <v>304112859.70771152</v>
      </c>
      <c r="AG115" s="144">
        <f t="shared" ca="1" si="52"/>
        <v>303277750.8403936</v>
      </c>
    </row>
    <row r="116" spans="2:35">
      <c r="B116" t="s">
        <v>620</v>
      </c>
    </row>
    <row r="118" spans="2:35">
      <c r="B118" s="2" t="s">
        <v>621</v>
      </c>
    </row>
    <row r="119" spans="2:35">
      <c r="B119" s="46" t="str" cm="1">
        <f t="array" ref="B119:E167">_xlfn.ANCHORARRAY(Tráfego!B$141)</f>
        <v>Pórtico</v>
      </c>
      <c r="C119" s="46" t="str">
        <v>Categoria</v>
      </c>
      <c r="D119" s="46" t="str">
        <v>Categoria de Veículo</v>
      </c>
      <c r="E119" s="46" t="str">
        <v>Grupo</v>
      </c>
      <c r="F119" s="46" t="str" cm="1">
        <f t="array" ref="F119:AI119">D$66:AG$66</f>
        <v>Ano 1</v>
      </c>
      <c r="G119" s="46" t="str">
        <v>Ano 2</v>
      </c>
      <c r="H119" s="46" t="str">
        <v>Ano 3</v>
      </c>
      <c r="I119" s="46" t="str">
        <v>Ano 4</v>
      </c>
      <c r="J119" s="46" t="str">
        <v>Ano 5</v>
      </c>
      <c r="K119" s="46" t="str">
        <v>Ano 6</v>
      </c>
      <c r="L119" s="46" t="str">
        <v>Ano 7</v>
      </c>
      <c r="M119" s="46" t="str">
        <v>Ano 8</v>
      </c>
      <c r="N119" s="46" t="str">
        <v>Ano 9</v>
      </c>
      <c r="O119" s="46" t="str">
        <v>Ano 10</v>
      </c>
      <c r="P119" s="46" t="str">
        <v>Ano 11</v>
      </c>
      <c r="Q119" s="46" t="str">
        <v>Ano 12</v>
      </c>
      <c r="R119" s="46" t="str">
        <v>Ano 13</v>
      </c>
      <c r="S119" s="46" t="str">
        <v>Ano 14</v>
      </c>
      <c r="T119" s="46" t="str">
        <v>Ano 15</v>
      </c>
      <c r="U119" s="46" t="str">
        <v>Ano 16</v>
      </c>
      <c r="V119" s="46" t="str">
        <v>Ano 17</v>
      </c>
      <c r="W119" s="46" t="str">
        <v>Ano 18</v>
      </c>
      <c r="X119" s="46" t="str">
        <v>Ano 19</v>
      </c>
      <c r="Y119" s="46" t="str">
        <v>Ano 20</v>
      </c>
      <c r="Z119" s="46" t="str">
        <v>Ano 21</v>
      </c>
      <c r="AA119" s="46" t="str">
        <v>Ano 22</v>
      </c>
      <c r="AB119" s="46" t="str">
        <v>Ano 23</v>
      </c>
      <c r="AC119" s="46" t="str">
        <v>Ano 24</v>
      </c>
      <c r="AD119" s="46" t="str">
        <v>Ano 25</v>
      </c>
      <c r="AE119" s="46" t="str">
        <v>Ano 26</v>
      </c>
      <c r="AF119" s="46" t="str">
        <v>Ano 27</v>
      </c>
      <c r="AG119" s="46" t="str">
        <v>Ano 28</v>
      </c>
      <c r="AH119" s="46" t="str">
        <v>Ano 29</v>
      </c>
      <c r="AI119" s="46" t="str">
        <v>Ano 30</v>
      </c>
    </row>
    <row r="120" spans="2:35">
      <c r="B120" s="149">
        <v>1</v>
      </c>
      <c r="C120" s="149">
        <v>1</v>
      </c>
      <c r="D120" s="145" t="str">
        <v>Automóvel</v>
      </c>
      <c r="E120" s="145" t="str">
        <v>Leves</v>
      </c>
      <c r="F120" s="141" cm="1">
        <f t="array" aca="1" ref="F120:AI167" ca="1">DUF!F443:AI490</f>
        <v>1.2618891089385784E-2</v>
      </c>
      <c r="G120" s="141">
        <f ca="1"/>
        <v>1.6459423160068418E-2</v>
      </c>
      <c r="H120" s="141">
        <f ca="1"/>
        <v>2.2494544985426836E-2</v>
      </c>
      <c r="I120" s="141">
        <f ca="1"/>
        <v>2.7432371933447358E-2</v>
      </c>
      <c r="J120" s="141">
        <f ca="1"/>
        <v>3.182155144279894E-2</v>
      </c>
      <c r="K120" s="141">
        <f ca="1"/>
        <v>3.5113436074812619E-2</v>
      </c>
      <c r="L120" s="141">
        <f ca="1"/>
        <v>3.7856673268157351E-2</v>
      </c>
      <c r="M120" s="141">
        <f ca="1"/>
        <v>4.0599910461502089E-2</v>
      </c>
      <c r="N120" s="141">
        <f ca="1"/>
        <v>4.279450021617788E-2</v>
      </c>
      <c r="O120" s="141">
        <f ca="1"/>
        <v>4.3891795093515776E-2</v>
      </c>
      <c r="P120" s="141">
        <f ca="1"/>
        <v>4.4440442532184724E-2</v>
      </c>
      <c r="Q120" s="141">
        <f ca="1"/>
        <v>4.4440442532184724E-2</v>
      </c>
      <c r="R120" s="141">
        <f ca="1"/>
        <v>4.4440442532184724E-2</v>
      </c>
      <c r="S120" s="141">
        <f ca="1"/>
        <v>4.4440442532184724E-2</v>
      </c>
      <c r="T120" s="141">
        <f ca="1"/>
        <v>4.4440442532184724E-2</v>
      </c>
      <c r="U120" s="141">
        <f ca="1"/>
        <v>4.4440442532184724E-2</v>
      </c>
      <c r="V120" s="141">
        <f ca="1"/>
        <v>4.4440442532184724E-2</v>
      </c>
      <c r="W120" s="141">
        <f ca="1"/>
        <v>4.4440442532184724E-2</v>
      </c>
      <c r="X120" s="141">
        <f ca="1"/>
        <v>4.4440442532184724E-2</v>
      </c>
      <c r="Y120" s="141">
        <f ca="1"/>
        <v>4.4440442532184724E-2</v>
      </c>
      <c r="Z120" s="141">
        <f ca="1"/>
        <v>4.4440442532184724E-2</v>
      </c>
      <c r="AA120" s="141">
        <f ca="1"/>
        <v>4.4440442532184724E-2</v>
      </c>
      <c r="AB120" s="141">
        <f ca="1"/>
        <v>4.4440442532184724E-2</v>
      </c>
      <c r="AC120" s="141">
        <f ca="1"/>
        <v>4.4440442532184724E-2</v>
      </c>
      <c r="AD120" s="141">
        <f ca="1"/>
        <v>4.4440442532184724E-2</v>
      </c>
      <c r="AE120" s="141">
        <f ca="1"/>
        <v>4.4440442532184724E-2</v>
      </c>
      <c r="AF120" s="141">
        <f ca="1"/>
        <v>4.4440442532184724E-2</v>
      </c>
      <c r="AG120" s="141">
        <f ca="1"/>
        <v>4.4440442532184724E-2</v>
      </c>
      <c r="AH120" s="141">
        <f ca="1"/>
        <v>4.4440442532184724E-2</v>
      </c>
      <c r="AI120" s="141">
        <f ca="1"/>
        <v>4.4440442532184724E-2</v>
      </c>
    </row>
    <row r="121" spans="2:35">
      <c r="B121" s="149">
        <v>1</v>
      </c>
      <c r="C121" s="149">
        <v>2</v>
      </c>
      <c r="D121" s="145" t="str">
        <v xml:space="preserve">Automóvel com reboque </v>
      </c>
      <c r="E121" s="145" t="str">
        <v>Leves</v>
      </c>
      <c r="F121" s="141">
        <f ca="1"/>
        <v>0</v>
      </c>
      <c r="G121" s="141">
        <f ca="1"/>
        <v>0</v>
      </c>
      <c r="H121" s="141">
        <f ca="1"/>
        <v>0</v>
      </c>
      <c r="I121" s="141">
        <f ca="1"/>
        <v>0</v>
      </c>
      <c r="J121" s="141">
        <f ca="1"/>
        <v>0</v>
      </c>
      <c r="K121" s="141">
        <f ca="1"/>
        <v>0</v>
      </c>
      <c r="L121" s="141">
        <f ca="1"/>
        <v>0</v>
      </c>
      <c r="M121" s="141">
        <f ca="1"/>
        <v>0</v>
      </c>
      <c r="N121" s="141">
        <f ca="1"/>
        <v>0</v>
      </c>
      <c r="O121" s="141">
        <f ca="1"/>
        <v>0</v>
      </c>
      <c r="P121" s="141">
        <f ca="1"/>
        <v>0</v>
      </c>
      <c r="Q121" s="141">
        <f ca="1"/>
        <v>0</v>
      </c>
      <c r="R121" s="141">
        <f ca="1"/>
        <v>0</v>
      </c>
      <c r="S121" s="141">
        <f ca="1"/>
        <v>0</v>
      </c>
      <c r="T121" s="141">
        <f ca="1"/>
        <v>0</v>
      </c>
      <c r="U121" s="141">
        <f ca="1"/>
        <v>0</v>
      </c>
      <c r="V121" s="141">
        <f ca="1"/>
        <v>0</v>
      </c>
      <c r="W121" s="141">
        <f ca="1"/>
        <v>0</v>
      </c>
      <c r="X121" s="141">
        <f ca="1"/>
        <v>0</v>
      </c>
      <c r="Y121" s="141">
        <f ca="1"/>
        <v>0</v>
      </c>
      <c r="Z121" s="141">
        <f ca="1"/>
        <v>0</v>
      </c>
      <c r="AA121" s="141">
        <f ca="1"/>
        <v>0</v>
      </c>
      <c r="AB121" s="141">
        <f ca="1"/>
        <v>0</v>
      </c>
      <c r="AC121" s="141">
        <f ca="1"/>
        <v>0</v>
      </c>
      <c r="AD121" s="141">
        <f ca="1"/>
        <v>0</v>
      </c>
      <c r="AE121" s="141">
        <f ca="1"/>
        <v>0</v>
      </c>
      <c r="AF121" s="141">
        <f ca="1"/>
        <v>0</v>
      </c>
      <c r="AG121" s="141">
        <f ca="1"/>
        <v>0</v>
      </c>
      <c r="AH121" s="141">
        <f ca="1"/>
        <v>0</v>
      </c>
      <c r="AI121" s="141">
        <f ca="1"/>
        <v>0</v>
      </c>
    </row>
    <row r="122" spans="2:35">
      <c r="B122" s="149">
        <v>1</v>
      </c>
      <c r="C122" s="149">
        <v>3</v>
      </c>
      <c r="D122" s="145" t="str">
        <v>Veículos Comerciais com 2 Eixos</v>
      </c>
      <c r="E122" s="145" t="str">
        <v>Pesados I</v>
      </c>
      <c r="F122" s="141">
        <f ca="1"/>
        <v>0</v>
      </c>
      <c r="G122" s="141">
        <f ca="1"/>
        <v>0</v>
      </c>
      <c r="H122" s="141">
        <f ca="1"/>
        <v>0</v>
      </c>
      <c r="I122" s="141">
        <f ca="1"/>
        <v>0</v>
      </c>
      <c r="J122" s="141">
        <f ca="1"/>
        <v>0</v>
      </c>
      <c r="K122" s="141">
        <f ca="1"/>
        <v>0</v>
      </c>
      <c r="L122" s="141">
        <f ca="1"/>
        <v>0</v>
      </c>
      <c r="M122" s="141">
        <f ca="1"/>
        <v>0</v>
      </c>
      <c r="N122" s="141">
        <f ca="1"/>
        <v>0</v>
      </c>
      <c r="O122" s="141">
        <f ca="1"/>
        <v>0</v>
      </c>
      <c r="P122" s="141">
        <f ca="1"/>
        <v>0</v>
      </c>
      <c r="Q122" s="141">
        <f ca="1"/>
        <v>0</v>
      </c>
      <c r="R122" s="141">
        <f ca="1"/>
        <v>0</v>
      </c>
      <c r="S122" s="141">
        <f ca="1"/>
        <v>0</v>
      </c>
      <c r="T122" s="141">
        <f ca="1"/>
        <v>0</v>
      </c>
      <c r="U122" s="141">
        <f ca="1"/>
        <v>0</v>
      </c>
      <c r="V122" s="141">
        <f ca="1"/>
        <v>0</v>
      </c>
      <c r="W122" s="141">
        <f ca="1"/>
        <v>0</v>
      </c>
      <c r="X122" s="141">
        <f ca="1"/>
        <v>0</v>
      </c>
      <c r="Y122" s="141">
        <f ca="1"/>
        <v>0</v>
      </c>
      <c r="Z122" s="141">
        <f ca="1"/>
        <v>0</v>
      </c>
      <c r="AA122" s="141">
        <f ca="1"/>
        <v>0</v>
      </c>
      <c r="AB122" s="141">
        <f ca="1"/>
        <v>0</v>
      </c>
      <c r="AC122" s="141">
        <f ca="1"/>
        <v>0</v>
      </c>
      <c r="AD122" s="141">
        <f ca="1"/>
        <v>0</v>
      </c>
      <c r="AE122" s="141">
        <f ca="1"/>
        <v>0</v>
      </c>
      <c r="AF122" s="141">
        <f ca="1"/>
        <v>0</v>
      </c>
      <c r="AG122" s="141">
        <f ca="1"/>
        <v>0</v>
      </c>
      <c r="AH122" s="141">
        <f ca="1"/>
        <v>0</v>
      </c>
      <c r="AI122" s="141">
        <f ca="1"/>
        <v>0</v>
      </c>
    </row>
    <row r="123" spans="2:35">
      <c r="B123" s="149">
        <v>1</v>
      </c>
      <c r="C123" s="149">
        <v>4</v>
      </c>
      <c r="D123" s="145" t="str">
        <v>Veículos Comerciais com 3 Eixos</v>
      </c>
      <c r="E123" s="145" t="str">
        <v>Pesados I</v>
      </c>
      <c r="F123" s="141">
        <f ca="1"/>
        <v>0</v>
      </c>
      <c r="G123" s="141">
        <f ca="1"/>
        <v>0</v>
      </c>
      <c r="H123" s="141">
        <f ca="1"/>
        <v>0</v>
      </c>
      <c r="I123" s="141">
        <f ca="1"/>
        <v>0</v>
      </c>
      <c r="J123" s="141">
        <f ca="1"/>
        <v>0</v>
      </c>
      <c r="K123" s="141">
        <f ca="1"/>
        <v>0</v>
      </c>
      <c r="L123" s="141">
        <f ca="1"/>
        <v>0</v>
      </c>
      <c r="M123" s="141">
        <f ca="1"/>
        <v>0</v>
      </c>
      <c r="N123" s="141">
        <f ca="1"/>
        <v>0</v>
      </c>
      <c r="O123" s="141">
        <f ca="1"/>
        <v>0</v>
      </c>
      <c r="P123" s="141">
        <f ca="1"/>
        <v>0</v>
      </c>
      <c r="Q123" s="141">
        <f ca="1"/>
        <v>0</v>
      </c>
      <c r="R123" s="141">
        <f ca="1"/>
        <v>0</v>
      </c>
      <c r="S123" s="141">
        <f ca="1"/>
        <v>0</v>
      </c>
      <c r="T123" s="141">
        <f ca="1"/>
        <v>0</v>
      </c>
      <c r="U123" s="141">
        <f ca="1"/>
        <v>0</v>
      </c>
      <c r="V123" s="141">
        <f ca="1"/>
        <v>0</v>
      </c>
      <c r="W123" s="141">
        <f ca="1"/>
        <v>0</v>
      </c>
      <c r="X123" s="141">
        <f ca="1"/>
        <v>0</v>
      </c>
      <c r="Y123" s="141">
        <f ca="1"/>
        <v>0</v>
      </c>
      <c r="Z123" s="141">
        <f ca="1"/>
        <v>0</v>
      </c>
      <c r="AA123" s="141">
        <f ca="1"/>
        <v>0</v>
      </c>
      <c r="AB123" s="141">
        <f ca="1"/>
        <v>0</v>
      </c>
      <c r="AC123" s="141">
        <f ca="1"/>
        <v>0</v>
      </c>
      <c r="AD123" s="141">
        <f ca="1"/>
        <v>0</v>
      </c>
      <c r="AE123" s="141">
        <f ca="1"/>
        <v>0</v>
      </c>
      <c r="AF123" s="141">
        <f ca="1"/>
        <v>0</v>
      </c>
      <c r="AG123" s="141">
        <f ca="1"/>
        <v>0</v>
      </c>
      <c r="AH123" s="141">
        <f ca="1"/>
        <v>0</v>
      </c>
      <c r="AI123" s="141">
        <f ca="1"/>
        <v>0</v>
      </c>
    </row>
    <row r="124" spans="2:35">
      <c r="B124" s="149">
        <v>1</v>
      </c>
      <c r="C124" s="149">
        <v>5</v>
      </c>
      <c r="D124" s="145" t="str">
        <v>Veículos Comerciais com 4 Eixos</v>
      </c>
      <c r="E124" s="145" t="str">
        <v>Pesados I</v>
      </c>
      <c r="F124" s="141">
        <f ca="1"/>
        <v>0</v>
      </c>
      <c r="G124" s="141">
        <f ca="1"/>
        <v>0</v>
      </c>
      <c r="H124" s="141">
        <f ca="1"/>
        <v>0</v>
      </c>
      <c r="I124" s="141">
        <f ca="1"/>
        <v>0</v>
      </c>
      <c r="J124" s="141">
        <f ca="1"/>
        <v>0</v>
      </c>
      <c r="K124" s="141">
        <f ca="1"/>
        <v>0</v>
      </c>
      <c r="L124" s="141">
        <f ca="1"/>
        <v>0</v>
      </c>
      <c r="M124" s="141">
        <f ca="1"/>
        <v>0</v>
      </c>
      <c r="N124" s="141">
        <f ca="1"/>
        <v>0</v>
      </c>
      <c r="O124" s="141">
        <f ca="1"/>
        <v>0</v>
      </c>
      <c r="P124" s="141">
        <f ca="1"/>
        <v>0</v>
      </c>
      <c r="Q124" s="141">
        <f ca="1"/>
        <v>0</v>
      </c>
      <c r="R124" s="141">
        <f ca="1"/>
        <v>0</v>
      </c>
      <c r="S124" s="141">
        <f ca="1"/>
        <v>0</v>
      </c>
      <c r="T124" s="141">
        <f ca="1"/>
        <v>0</v>
      </c>
      <c r="U124" s="141">
        <f ca="1"/>
        <v>0</v>
      </c>
      <c r="V124" s="141">
        <f ca="1"/>
        <v>0</v>
      </c>
      <c r="W124" s="141">
        <f ca="1"/>
        <v>0</v>
      </c>
      <c r="X124" s="141">
        <f ca="1"/>
        <v>0</v>
      </c>
      <c r="Y124" s="141">
        <f ca="1"/>
        <v>0</v>
      </c>
      <c r="Z124" s="141">
        <f ca="1"/>
        <v>0</v>
      </c>
      <c r="AA124" s="141">
        <f ca="1"/>
        <v>0</v>
      </c>
      <c r="AB124" s="141">
        <f ca="1"/>
        <v>0</v>
      </c>
      <c r="AC124" s="141">
        <f ca="1"/>
        <v>0</v>
      </c>
      <c r="AD124" s="141">
        <f ca="1"/>
        <v>0</v>
      </c>
      <c r="AE124" s="141">
        <f ca="1"/>
        <v>0</v>
      </c>
      <c r="AF124" s="141">
        <f ca="1"/>
        <v>0</v>
      </c>
      <c r="AG124" s="141">
        <f ca="1"/>
        <v>0</v>
      </c>
      <c r="AH124" s="141">
        <f ca="1"/>
        <v>0</v>
      </c>
      <c r="AI124" s="141">
        <f ca="1"/>
        <v>0</v>
      </c>
    </row>
    <row r="125" spans="2:35">
      <c r="B125" s="149">
        <v>1</v>
      </c>
      <c r="C125" s="149">
        <v>6</v>
      </c>
      <c r="D125" s="145" t="str">
        <v>Veículos Comerciais com 5 Eixos Articulado</v>
      </c>
      <c r="E125" s="145" t="str">
        <v>Pesados II</v>
      </c>
      <c r="F125" s="141">
        <f ca="1"/>
        <v>0</v>
      </c>
      <c r="G125" s="141">
        <f ca="1"/>
        <v>0</v>
      </c>
      <c r="H125" s="141">
        <f ca="1"/>
        <v>0</v>
      </c>
      <c r="I125" s="141">
        <f ca="1"/>
        <v>0</v>
      </c>
      <c r="J125" s="141">
        <f ca="1"/>
        <v>0</v>
      </c>
      <c r="K125" s="141">
        <f ca="1"/>
        <v>0</v>
      </c>
      <c r="L125" s="141">
        <f ca="1"/>
        <v>0</v>
      </c>
      <c r="M125" s="141">
        <f ca="1"/>
        <v>0</v>
      </c>
      <c r="N125" s="141">
        <f ca="1"/>
        <v>0</v>
      </c>
      <c r="O125" s="141">
        <f ca="1"/>
        <v>0</v>
      </c>
      <c r="P125" s="141">
        <f ca="1"/>
        <v>0</v>
      </c>
      <c r="Q125" s="141">
        <f ca="1"/>
        <v>0</v>
      </c>
      <c r="R125" s="141">
        <f ca="1"/>
        <v>0</v>
      </c>
      <c r="S125" s="141">
        <f ca="1"/>
        <v>0</v>
      </c>
      <c r="T125" s="141">
        <f ca="1"/>
        <v>0</v>
      </c>
      <c r="U125" s="141">
        <f ca="1"/>
        <v>0</v>
      </c>
      <c r="V125" s="141">
        <f ca="1"/>
        <v>0</v>
      </c>
      <c r="W125" s="141">
        <f ca="1"/>
        <v>0</v>
      </c>
      <c r="X125" s="141">
        <f ca="1"/>
        <v>0</v>
      </c>
      <c r="Y125" s="141">
        <f ca="1"/>
        <v>0</v>
      </c>
      <c r="Z125" s="141">
        <f ca="1"/>
        <v>0</v>
      </c>
      <c r="AA125" s="141">
        <f ca="1"/>
        <v>0</v>
      </c>
      <c r="AB125" s="141">
        <f ca="1"/>
        <v>0</v>
      </c>
      <c r="AC125" s="141">
        <f ca="1"/>
        <v>0</v>
      </c>
      <c r="AD125" s="141">
        <f ca="1"/>
        <v>0</v>
      </c>
      <c r="AE125" s="141">
        <f ca="1"/>
        <v>0</v>
      </c>
      <c r="AF125" s="141">
        <f ca="1"/>
        <v>0</v>
      </c>
      <c r="AG125" s="141">
        <f ca="1"/>
        <v>0</v>
      </c>
      <c r="AH125" s="141">
        <f ca="1"/>
        <v>0</v>
      </c>
      <c r="AI125" s="141">
        <f ca="1"/>
        <v>0</v>
      </c>
    </row>
    <row r="126" spans="2:35">
      <c r="B126" s="149">
        <v>1</v>
      </c>
      <c r="C126" s="149">
        <v>7</v>
      </c>
      <c r="D126" s="145" t="str">
        <v>Veículos Comerciais com 6 Eixos Articulado</v>
      </c>
      <c r="E126" s="145" t="str">
        <v>Pesados II</v>
      </c>
      <c r="F126" s="141">
        <f ca="1"/>
        <v>0</v>
      </c>
      <c r="G126" s="141">
        <f ca="1"/>
        <v>0</v>
      </c>
      <c r="H126" s="141">
        <f ca="1"/>
        <v>0</v>
      </c>
      <c r="I126" s="141">
        <f ca="1"/>
        <v>0</v>
      </c>
      <c r="J126" s="141">
        <f ca="1"/>
        <v>0</v>
      </c>
      <c r="K126" s="141">
        <f ca="1"/>
        <v>0</v>
      </c>
      <c r="L126" s="141">
        <f ca="1"/>
        <v>0</v>
      </c>
      <c r="M126" s="141">
        <f ca="1"/>
        <v>0</v>
      </c>
      <c r="N126" s="141">
        <f ca="1"/>
        <v>0</v>
      </c>
      <c r="O126" s="141">
        <f ca="1"/>
        <v>0</v>
      </c>
      <c r="P126" s="141">
        <f ca="1"/>
        <v>0</v>
      </c>
      <c r="Q126" s="141">
        <f ca="1"/>
        <v>0</v>
      </c>
      <c r="R126" s="141">
        <f ca="1"/>
        <v>0</v>
      </c>
      <c r="S126" s="141">
        <f ca="1"/>
        <v>0</v>
      </c>
      <c r="T126" s="141">
        <f ca="1"/>
        <v>0</v>
      </c>
      <c r="U126" s="141">
        <f ca="1"/>
        <v>0</v>
      </c>
      <c r="V126" s="141">
        <f ca="1"/>
        <v>0</v>
      </c>
      <c r="W126" s="141">
        <f ca="1"/>
        <v>0</v>
      </c>
      <c r="X126" s="141">
        <f ca="1"/>
        <v>0</v>
      </c>
      <c r="Y126" s="141">
        <f ca="1"/>
        <v>0</v>
      </c>
      <c r="Z126" s="141">
        <f ca="1"/>
        <v>0</v>
      </c>
      <c r="AA126" s="141">
        <f ca="1"/>
        <v>0</v>
      </c>
      <c r="AB126" s="141">
        <f ca="1"/>
        <v>0</v>
      </c>
      <c r="AC126" s="141">
        <f ca="1"/>
        <v>0</v>
      </c>
      <c r="AD126" s="141">
        <f ca="1"/>
        <v>0</v>
      </c>
      <c r="AE126" s="141">
        <f ca="1"/>
        <v>0</v>
      </c>
      <c r="AF126" s="141">
        <f ca="1"/>
        <v>0</v>
      </c>
      <c r="AG126" s="141">
        <f ca="1"/>
        <v>0</v>
      </c>
      <c r="AH126" s="141">
        <f ca="1"/>
        <v>0</v>
      </c>
      <c r="AI126" s="141">
        <f ca="1"/>
        <v>0</v>
      </c>
    </row>
    <row r="127" spans="2:35">
      <c r="B127" s="149">
        <v>1</v>
      </c>
      <c r="C127" s="149">
        <v>8</v>
      </c>
      <c r="D127" s="145" t="str">
        <v>Veículos Comerciais com 7 Eixos Articulado</v>
      </c>
      <c r="E127" s="145" t="str">
        <v>Pesados II</v>
      </c>
      <c r="F127" s="141">
        <f ca="1"/>
        <v>0</v>
      </c>
      <c r="G127" s="141">
        <f ca="1"/>
        <v>0</v>
      </c>
      <c r="H127" s="141">
        <f ca="1"/>
        <v>0</v>
      </c>
      <c r="I127" s="141">
        <f ca="1"/>
        <v>0</v>
      </c>
      <c r="J127" s="141">
        <f ca="1"/>
        <v>0</v>
      </c>
      <c r="K127" s="141">
        <f ca="1"/>
        <v>0</v>
      </c>
      <c r="L127" s="141">
        <f ca="1"/>
        <v>0</v>
      </c>
      <c r="M127" s="141">
        <f ca="1"/>
        <v>0</v>
      </c>
      <c r="N127" s="141">
        <f ca="1"/>
        <v>0</v>
      </c>
      <c r="O127" s="141">
        <f ca="1"/>
        <v>0</v>
      </c>
      <c r="P127" s="141">
        <f ca="1"/>
        <v>0</v>
      </c>
      <c r="Q127" s="141">
        <f ca="1"/>
        <v>0</v>
      </c>
      <c r="R127" s="141">
        <f ca="1"/>
        <v>0</v>
      </c>
      <c r="S127" s="141">
        <f ca="1"/>
        <v>0</v>
      </c>
      <c r="T127" s="141">
        <f ca="1"/>
        <v>0</v>
      </c>
      <c r="U127" s="141">
        <f ca="1"/>
        <v>0</v>
      </c>
      <c r="V127" s="141">
        <f ca="1"/>
        <v>0</v>
      </c>
      <c r="W127" s="141">
        <f ca="1"/>
        <v>0</v>
      </c>
      <c r="X127" s="141">
        <f ca="1"/>
        <v>0</v>
      </c>
      <c r="Y127" s="141">
        <f ca="1"/>
        <v>0</v>
      </c>
      <c r="Z127" s="141">
        <f ca="1"/>
        <v>0</v>
      </c>
      <c r="AA127" s="141">
        <f ca="1"/>
        <v>0</v>
      </c>
      <c r="AB127" s="141">
        <f ca="1"/>
        <v>0</v>
      </c>
      <c r="AC127" s="141">
        <f ca="1"/>
        <v>0</v>
      </c>
      <c r="AD127" s="141">
        <f ca="1"/>
        <v>0</v>
      </c>
      <c r="AE127" s="141">
        <f ca="1"/>
        <v>0</v>
      </c>
      <c r="AF127" s="141">
        <f ca="1"/>
        <v>0</v>
      </c>
      <c r="AG127" s="141">
        <f ca="1"/>
        <v>0</v>
      </c>
      <c r="AH127" s="141">
        <f ca="1"/>
        <v>0</v>
      </c>
      <c r="AI127" s="141">
        <f ca="1"/>
        <v>0</v>
      </c>
    </row>
    <row r="128" spans="2:35">
      <c r="B128" s="149">
        <v>1</v>
      </c>
      <c r="C128" s="149">
        <v>9</v>
      </c>
      <c r="D128" s="145" t="str">
        <v>Veículos Comerciais com 8 Eixos Articulado</v>
      </c>
      <c r="E128" s="145" t="str">
        <v>Pesados II</v>
      </c>
      <c r="F128" s="141">
        <f ca="1"/>
        <v>0</v>
      </c>
      <c r="G128" s="141">
        <f ca="1"/>
        <v>0</v>
      </c>
      <c r="H128" s="141">
        <f ca="1"/>
        <v>0</v>
      </c>
      <c r="I128" s="141">
        <f ca="1"/>
        <v>0</v>
      </c>
      <c r="J128" s="141">
        <f ca="1"/>
        <v>0</v>
      </c>
      <c r="K128" s="141">
        <f ca="1"/>
        <v>0</v>
      </c>
      <c r="L128" s="141">
        <f ca="1"/>
        <v>0</v>
      </c>
      <c r="M128" s="141">
        <f ca="1"/>
        <v>0</v>
      </c>
      <c r="N128" s="141">
        <f ca="1"/>
        <v>0</v>
      </c>
      <c r="O128" s="141">
        <f ca="1"/>
        <v>0</v>
      </c>
      <c r="P128" s="141">
        <f ca="1"/>
        <v>0</v>
      </c>
      <c r="Q128" s="141">
        <f ca="1"/>
        <v>0</v>
      </c>
      <c r="R128" s="141">
        <f ca="1"/>
        <v>0</v>
      </c>
      <c r="S128" s="141">
        <f ca="1"/>
        <v>0</v>
      </c>
      <c r="T128" s="141">
        <f ca="1"/>
        <v>0</v>
      </c>
      <c r="U128" s="141">
        <f ca="1"/>
        <v>0</v>
      </c>
      <c r="V128" s="141">
        <f ca="1"/>
        <v>0</v>
      </c>
      <c r="W128" s="141">
        <f ca="1"/>
        <v>0</v>
      </c>
      <c r="X128" s="141">
        <f ca="1"/>
        <v>0</v>
      </c>
      <c r="Y128" s="141">
        <f ca="1"/>
        <v>0</v>
      </c>
      <c r="Z128" s="141">
        <f ca="1"/>
        <v>0</v>
      </c>
      <c r="AA128" s="141">
        <f ca="1"/>
        <v>0</v>
      </c>
      <c r="AB128" s="141">
        <f ca="1"/>
        <v>0</v>
      </c>
      <c r="AC128" s="141">
        <f ca="1"/>
        <v>0</v>
      </c>
      <c r="AD128" s="141">
        <f ca="1"/>
        <v>0</v>
      </c>
      <c r="AE128" s="141">
        <f ca="1"/>
        <v>0</v>
      </c>
      <c r="AF128" s="141">
        <f ca="1"/>
        <v>0</v>
      </c>
      <c r="AG128" s="141">
        <f ca="1"/>
        <v>0</v>
      </c>
      <c r="AH128" s="141">
        <f ca="1"/>
        <v>0</v>
      </c>
      <c r="AI128" s="141">
        <f ca="1"/>
        <v>0</v>
      </c>
    </row>
    <row r="129" spans="2:35">
      <c r="B129" s="149">
        <v>1</v>
      </c>
      <c r="C129" s="149">
        <v>10</v>
      </c>
      <c r="D129" s="145" t="str">
        <v>Veículos Comerciais com 9 Eixos Articulado</v>
      </c>
      <c r="E129" s="145" t="str">
        <v>Pesados II</v>
      </c>
      <c r="F129" s="141">
        <f ca="1"/>
        <v>0</v>
      </c>
      <c r="G129" s="141">
        <f ca="1"/>
        <v>0</v>
      </c>
      <c r="H129" s="141">
        <f ca="1"/>
        <v>0</v>
      </c>
      <c r="I129" s="141">
        <f ca="1"/>
        <v>0</v>
      </c>
      <c r="J129" s="141">
        <f ca="1"/>
        <v>0</v>
      </c>
      <c r="K129" s="141">
        <f ca="1"/>
        <v>0</v>
      </c>
      <c r="L129" s="141">
        <f ca="1"/>
        <v>0</v>
      </c>
      <c r="M129" s="141">
        <f ca="1"/>
        <v>0</v>
      </c>
      <c r="N129" s="141">
        <f ca="1"/>
        <v>0</v>
      </c>
      <c r="O129" s="141">
        <f ca="1"/>
        <v>0</v>
      </c>
      <c r="P129" s="141">
        <f ca="1"/>
        <v>0</v>
      </c>
      <c r="Q129" s="141">
        <f ca="1"/>
        <v>0</v>
      </c>
      <c r="R129" s="141">
        <f ca="1"/>
        <v>0</v>
      </c>
      <c r="S129" s="141">
        <f ca="1"/>
        <v>0</v>
      </c>
      <c r="T129" s="141">
        <f ca="1"/>
        <v>0</v>
      </c>
      <c r="U129" s="141">
        <f ca="1"/>
        <v>0</v>
      </c>
      <c r="V129" s="141">
        <f ca="1"/>
        <v>0</v>
      </c>
      <c r="W129" s="141">
        <f ca="1"/>
        <v>0</v>
      </c>
      <c r="X129" s="141">
        <f ca="1"/>
        <v>0</v>
      </c>
      <c r="Y129" s="141">
        <f ca="1"/>
        <v>0</v>
      </c>
      <c r="Z129" s="141">
        <f ca="1"/>
        <v>0</v>
      </c>
      <c r="AA129" s="141">
        <f ca="1"/>
        <v>0</v>
      </c>
      <c r="AB129" s="141">
        <f ca="1"/>
        <v>0</v>
      </c>
      <c r="AC129" s="141">
        <f ca="1"/>
        <v>0</v>
      </c>
      <c r="AD129" s="141">
        <f ca="1"/>
        <v>0</v>
      </c>
      <c r="AE129" s="141">
        <f ca="1"/>
        <v>0</v>
      </c>
      <c r="AF129" s="141">
        <f ca="1"/>
        <v>0</v>
      </c>
      <c r="AG129" s="141">
        <f ca="1"/>
        <v>0</v>
      </c>
      <c r="AH129" s="141">
        <f ca="1"/>
        <v>0</v>
      </c>
      <c r="AI129" s="141">
        <f ca="1"/>
        <v>0</v>
      </c>
    </row>
    <row r="130" spans="2:35">
      <c r="B130" s="149">
        <v>1</v>
      </c>
      <c r="C130" s="149">
        <v>11</v>
      </c>
      <c r="D130" s="145" t="str">
        <v>Motocicleta</v>
      </c>
      <c r="E130" s="145" t="str">
        <v>Leves</v>
      </c>
      <c r="F130" s="141">
        <f ca="1"/>
        <v>1.2618891089385784E-2</v>
      </c>
      <c r="G130" s="141">
        <f ca="1"/>
        <v>1.6459423160068418E-2</v>
      </c>
      <c r="H130" s="141">
        <f ca="1"/>
        <v>2.2494544985426836E-2</v>
      </c>
      <c r="I130" s="141">
        <f ca="1"/>
        <v>2.7432371933447358E-2</v>
      </c>
      <c r="J130" s="141">
        <f ca="1"/>
        <v>3.182155144279894E-2</v>
      </c>
      <c r="K130" s="141">
        <f ca="1"/>
        <v>3.5113436074812619E-2</v>
      </c>
      <c r="L130" s="141">
        <f ca="1"/>
        <v>3.7856673268157351E-2</v>
      </c>
      <c r="M130" s="141">
        <f ca="1"/>
        <v>4.0599910461502089E-2</v>
      </c>
      <c r="N130" s="141">
        <f ca="1"/>
        <v>4.279450021617788E-2</v>
      </c>
      <c r="O130" s="141">
        <f ca="1"/>
        <v>4.3891795093515776E-2</v>
      </c>
      <c r="P130" s="141">
        <f ca="1"/>
        <v>4.4440442532184724E-2</v>
      </c>
      <c r="Q130" s="141">
        <f ca="1"/>
        <v>4.4440442532184724E-2</v>
      </c>
      <c r="R130" s="141">
        <f ca="1"/>
        <v>4.4440442532184724E-2</v>
      </c>
      <c r="S130" s="141">
        <f ca="1"/>
        <v>4.4440442532184724E-2</v>
      </c>
      <c r="T130" s="141">
        <f ca="1"/>
        <v>4.4440442532184724E-2</v>
      </c>
      <c r="U130" s="141">
        <f ca="1"/>
        <v>4.4440442532184724E-2</v>
      </c>
      <c r="V130" s="141">
        <f ca="1"/>
        <v>4.4440442532184724E-2</v>
      </c>
      <c r="W130" s="141">
        <f ca="1"/>
        <v>4.4440442532184724E-2</v>
      </c>
      <c r="X130" s="141">
        <f ca="1"/>
        <v>4.4440442532184724E-2</v>
      </c>
      <c r="Y130" s="141">
        <f ca="1"/>
        <v>4.4440442532184724E-2</v>
      </c>
      <c r="Z130" s="141">
        <f ca="1"/>
        <v>4.4440442532184724E-2</v>
      </c>
      <c r="AA130" s="141">
        <f ca="1"/>
        <v>4.4440442532184724E-2</v>
      </c>
      <c r="AB130" s="141">
        <f ca="1"/>
        <v>4.4440442532184724E-2</v>
      </c>
      <c r="AC130" s="141">
        <f ca="1"/>
        <v>4.4440442532184724E-2</v>
      </c>
      <c r="AD130" s="141">
        <f ca="1"/>
        <v>4.4440442532184724E-2</v>
      </c>
      <c r="AE130" s="141">
        <f ca="1"/>
        <v>4.4440442532184724E-2</v>
      </c>
      <c r="AF130" s="141">
        <f ca="1"/>
        <v>4.4440442532184724E-2</v>
      </c>
      <c r="AG130" s="141">
        <f ca="1"/>
        <v>4.4440442532184724E-2</v>
      </c>
      <c r="AH130" s="141">
        <f ca="1"/>
        <v>4.4440442532184724E-2</v>
      </c>
      <c r="AI130" s="141">
        <f ca="1"/>
        <v>4.4440442532184724E-2</v>
      </c>
    </row>
    <row r="131" spans="2:35">
      <c r="B131" s="149">
        <v>1</v>
      </c>
      <c r="C131" s="149">
        <v>12</v>
      </c>
      <c r="D131" s="145" t="str">
        <v xml:space="preserve">Veículos do transporte público coletivo intermunicipal e metropolitano </v>
      </c>
      <c r="E131" s="145" t="str">
        <v>Pesados I</v>
      </c>
      <c r="F131" s="141">
        <f ca="1"/>
        <v>0</v>
      </c>
      <c r="G131" s="141">
        <f ca="1"/>
        <v>0</v>
      </c>
      <c r="H131" s="141">
        <f ca="1"/>
        <v>0</v>
      </c>
      <c r="I131" s="141">
        <f ca="1"/>
        <v>0</v>
      </c>
      <c r="J131" s="141">
        <f ca="1"/>
        <v>0</v>
      </c>
      <c r="K131" s="141">
        <f ca="1"/>
        <v>0</v>
      </c>
      <c r="L131" s="141">
        <f ca="1"/>
        <v>0</v>
      </c>
      <c r="M131" s="141">
        <f ca="1"/>
        <v>0</v>
      </c>
      <c r="N131" s="141">
        <f ca="1"/>
        <v>0</v>
      </c>
      <c r="O131" s="141">
        <f ca="1"/>
        <v>0</v>
      </c>
      <c r="P131" s="141">
        <f ca="1"/>
        <v>0</v>
      </c>
      <c r="Q131" s="141">
        <f ca="1"/>
        <v>0</v>
      </c>
      <c r="R131" s="141">
        <f ca="1"/>
        <v>0</v>
      </c>
      <c r="S131" s="141">
        <f ca="1"/>
        <v>0</v>
      </c>
      <c r="T131" s="141">
        <f ca="1"/>
        <v>0</v>
      </c>
      <c r="U131" s="141">
        <f ca="1"/>
        <v>0</v>
      </c>
      <c r="V131" s="141">
        <f ca="1"/>
        <v>0</v>
      </c>
      <c r="W131" s="141">
        <f ca="1"/>
        <v>0</v>
      </c>
      <c r="X131" s="141">
        <f ca="1"/>
        <v>0</v>
      </c>
      <c r="Y131" s="141">
        <f ca="1"/>
        <v>0</v>
      </c>
      <c r="Z131" s="141">
        <f ca="1"/>
        <v>0</v>
      </c>
      <c r="AA131" s="141">
        <f ca="1"/>
        <v>0</v>
      </c>
      <c r="AB131" s="141">
        <f ca="1"/>
        <v>0</v>
      </c>
      <c r="AC131" s="141">
        <f ca="1"/>
        <v>0</v>
      </c>
      <c r="AD131" s="141">
        <f ca="1"/>
        <v>0</v>
      </c>
      <c r="AE131" s="141">
        <f ca="1"/>
        <v>0</v>
      </c>
      <c r="AF131" s="141">
        <f ca="1"/>
        <v>0</v>
      </c>
      <c r="AG131" s="141">
        <f ca="1"/>
        <v>0</v>
      </c>
      <c r="AH131" s="141">
        <f ca="1"/>
        <v>0</v>
      </c>
      <c r="AI131" s="141">
        <f ca="1"/>
        <v>0</v>
      </c>
    </row>
    <row r="132" spans="2:35">
      <c r="B132" s="149">
        <v>2</v>
      </c>
      <c r="C132" s="149">
        <v>1</v>
      </c>
      <c r="D132" s="145" t="str">
        <v>Automóvel</v>
      </c>
      <c r="E132" s="145" t="str">
        <v>Leves</v>
      </c>
      <c r="F132" s="141">
        <f ca="1"/>
        <v>9.45550264121027E-3</v>
      </c>
      <c r="G132" s="141">
        <f ca="1"/>
        <v>1.2333264314622094E-2</v>
      </c>
      <c r="H132" s="141">
        <f ca="1"/>
        <v>1.6855461229983527E-2</v>
      </c>
      <c r="I132" s="141">
        <f ca="1"/>
        <v>2.0555440524370153E-2</v>
      </c>
      <c r="J132" s="141">
        <f ca="1"/>
        <v>2.3844311008269382E-2</v>
      </c>
      <c r="K132" s="141">
        <f ca="1"/>
        <v>2.6310963871193797E-2</v>
      </c>
      <c r="L132" s="141">
        <f ca="1"/>
        <v>2.836650792363081E-2</v>
      </c>
      <c r="M132" s="141">
        <f ca="1"/>
        <v>3.0422051976067826E-2</v>
      </c>
      <c r="N132" s="141">
        <f ca="1"/>
        <v>3.2066487218017442E-2</v>
      </c>
      <c r="O132" s="141">
        <f ca="1"/>
        <v>3.2888704838992248E-2</v>
      </c>
      <c r="P132" s="141">
        <f ca="1"/>
        <v>3.3299813649479648E-2</v>
      </c>
      <c r="Q132" s="141">
        <f ca="1"/>
        <v>3.3299813649479648E-2</v>
      </c>
      <c r="R132" s="141">
        <f ca="1"/>
        <v>3.3299813649479648E-2</v>
      </c>
      <c r="S132" s="141">
        <f ca="1"/>
        <v>3.3299813649479648E-2</v>
      </c>
      <c r="T132" s="141">
        <f ca="1"/>
        <v>3.3299813649479648E-2</v>
      </c>
      <c r="U132" s="141">
        <f ca="1"/>
        <v>3.3299813649479648E-2</v>
      </c>
      <c r="V132" s="141">
        <f ca="1"/>
        <v>3.3299813649479648E-2</v>
      </c>
      <c r="W132" s="141">
        <f ca="1"/>
        <v>3.3299813649479648E-2</v>
      </c>
      <c r="X132" s="141">
        <f ca="1"/>
        <v>3.3299813649479648E-2</v>
      </c>
      <c r="Y132" s="141">
        <f ca="1"/>
        <v>3.3299813649479648E-2</v>
      </c>
      <c r="Z132" s="141">
        <f ca="1"/>
        <v>3.3299813649479648E-2</v>
      </c>
      <c r="AA132" s="141">
        <f ca="1"/>
        <v>3.3299813649479648E-2</v>
      </c>
      <c r="AB132" s="141">
        <f ca="1"/>
        <v>3.3299813649479648E-2</v>
      </c>
      <c r="AC132" s="141">
        <f ca="1"/>
        <v>3.3299813649479648E-2</v>
      </c>
      <c r="AD132" s="141">
        <f ca="1"/>
        <v>3.3299813649479648E-2</v>
      </c>
      <c r="AE132" s="141">
        <f ca="1"/>
        <v>3.3299813649479648E-2</v>
      </c>
      <c r="AF132" s="141">
        <f ca="1"/>
        <v>3.3299813649479648E-2</v>
      </c>
      <c r="AG132" s="141">
        <f ca="1"/>
        <v>3.3299813649479648E-2</v>
      </c>
      <c r="AH132" s="141">
        <f ca="1"/>
        <v>3.3299813649479648E-2</v>
      </c>
      <c r="AI132" s="141">
        <f ca="1"/>
        <v>3.3299813649479648E-2</v>
      </c>
    </row>
    <row r="133" spans="2:35">
      <c r="B133" s="149">
        <v>2</v>
      </c>
      <c r="C133" s="149">
        <v>2</v>
      </c>
      <c r="D133" s="145" t="str">
        <v xml:space="preserve">Automóvel com reboque </v>
      </c>
      <c r="E133" s="145" t="str">
        <v>Leves</v>
      </c>
      <c r="F133" s="141">
        <f ca="1"/>
        <v>0</v>
      </c>
      <c r="G133" s="141">
        <f ca="1"/>
        <v>0</v>
      </c>
      <c r="H133" s="141">
        <f ca="1"/>
        <v>0</v>
      </c>
      <c r="I133" s="141">
        <f ca="1"/>
        <v>0</v>
      </c>
      <c r="J133" s="141">
        <f ca="1"/>
        <v>0</v>
      </c>
      <c r="K133" s="141">
        <f ca="1"/>
        <v>0</v>
      </c>
      <c r="L133" s="141">
        <f ca="1"/>
        <v>0</v>
      </c>
      <c r="M133" s="141">
        <f ca="1"/>
        <v>0</v>
      </c>
      <c r="N133" s="141">
        <f ca="1"/>
        <v>0</v>
      </c>
      <c r="O133" s="141">
        <f ca="1"/>
        <v>0</v>
      </c>
      <c r="P133" s="141">
        <f ca="1"/>
        <v>0</v>
      </c>
      <c r="Q133" s="141">
        <f ca="1"/>
        <v>0</v>
      </c>
      <c r="R133" s="141">
        <f ca="1"/>
        <v>0</v>
      </c>
      <c r="S133" s="141">
        <f ca="1"/>
        <v>0</v>
      </c>
      <c r="T133" s="141">
        <f ca="1"/>
        <v>0</v>
      </c>
      <c r="U133" s="141">
        <f ca="1"/>
        <v>0</v>
      </c>
      <c r="V133" s="141">
        <f ca="1"/>
        <v>0</v>
      </c>
      <c r="W133" s="141">
        <f ca="1"/>
        <v>0</v>
      </c>
      <c r="X133" s="141">
        <f ca="1"/>
        <v>0</v>
      </c>
      <c r="Y133" s="141">
        <f ca="1"/>
        <v>0</v>
      </c>
      <c r="Z133" s="141">
        <f ca="1"/>
        <v>0</v>
      </c>
      <c r="AA133" s="141">
        <f ca="1"/>
        <v>0</v>
      </c>
      <c r="AB133" s="141">
        <f ca="1"/>
        <v>0</v>
      </c>
      <c r="AC133" s="141">
        <f ca="1"/>
        <v>0</v>
      </c>
      <c r="AD133" s="141">
        <f ca="1"/>
        <v>0</v>
      </c>
      <c r="AE133" s="141">
        <f ca="1"/>
        <v>0</v>
      </c>
      <c r="AF133" s="141">
        <f ca="1"/>
        <v>0</v>
      </c>
      <c r="AG133" s="141">
        <f ca="1"/>
        <v>0</v>
      </c>
      <c r="AH133" s="141">
        <f ca="1"/>
        <v>0</v>
      </c>
      <c r="AI133" s="141">
        <f ca="1"/>
        <v>0</v>
      </c>
    </row>
    <row r="134" spans="2:35">
      <c r="B134" s="149">
        <v>2</v>
      </c>
      <c r="C134" s="149">
        <v>3</v>
      </c>
      <c r="D134" s="145" t="str">
        <v>Veículos Comerciais com 2 Eixos</v>
      </c>
      <c r="E134" s="145" t="str">
        <v>Pesados I</v>
      </c>
      <c r="F134" s="141">
        <f ca="1"/>
        <v>0</v>
      </c>
      <c r="G134" s="141">
        <f ca="1"/>
        <v>0</v>
      </c>
      <c r="H134" s="141">
        <f ca="1"/>
        <v>0</v>
      </c>
      <c r="I134" s="141">
        <f ca="1"/>
        <v>0</v>
      </c>
      <c r="J134" s="141">
        <f ca="1"/>
        <v>0</v>
      </c>
      <c r="K134" s="141">
        <f ca="1"/>
        <v>0</v>
      </c>
      <c r="L134" s="141">
        <f ca="1"/>
        <v>0</v>
      </c>
      <c r="M134" s="141">
        <f ca="1"/>
        <v>0</v>
      </c>
      <c r="N134" s="141">
        <f ca="1"/>
        <v>0</v>
      </c>
      <c r="O134" s="141">
        <f ca="1"/>
        <v>0</v>
      </c>
      <c r="P134" s="141">
        <f ca="1"/>
        <v>0</v>
      </c>
      <c r="Q134" s="141">
        <f ca="1"/>
        <v>0</v>
      </c>
      <c r="R134" s="141">
        <f ca="1"/>
        <v>0</v>
      </c>
      <c r="S134" s="141">
        <f ca="1"/>
        <v>0</v>
      </c>
      <c r="T134" s="141">
        <f ca="1"/>
        <v>0</v>
      </c>
      <c r="U134" s="141">
        <f ca="1"/>
        <v>0</v>
      </c>
      <c r="V134" s="141">
        <f ca="1"/>
        <v>0</v>
      </c>
      <c r="W134" s="141">
        <f ca="1"/>
        <v>0</v>
      </c>
      <c r="X134" s="141">
        <f ca="1"/>
        <v>0</v>
      </c>
      <c r="Y134" s="141">
        <f ca="1"/>
        <v>0</v>
      </c>
      <c r="Z134" s="141">
        <f ca="1"/>
        <v>0</v>
      </c>
      <c r="AA134" s="141">
        <f ca="1"/>
        <v>0</v>
      </c>
      <c r="AB134" s="141">
        <f ca="1"/>
        <v>0</v>
      </c>
      <c r="AC134" s="141">
        <f ca="1"/>
        <v>0</v>
      </c>
      <c r="AD134" s="141">
        <f ca="1"/>
        <v>0</v>
      </c>
      <c r="AE134" s="141">
        <f ca="1"/>
        <v>0</v>
      </c>
      <c r="AF134" s="141">
        <f ca="1"/>
        <v>0</v>
      </c>
      <c r="AG134" s="141">
        <f ca="1"/>
        <v>0</v>
      </c>
      <c r="AH134" s="141">
        <f ca="1"/>
        <v>0</v>
      </c>
      <c r="AI134" s="141">
        <f ca="1"/>
        <v>0</v>
      </c>
    </row>
    <row r="135" spans="2:35">
      <c r="B135" s="149">
        <v>2</v>
      </c>
      <c r="C135" s="149">
        <v>4</v>
      </c>
      <c r="D135" s="145" t="str">
        <v>Veículos Comerciais com 3 Eixos</v>
      </c>
      <c r="E135" s="145" t="str">
        <v>Pesados I</v>
      </c>
      <c r="F135" s="141">
        <f ca="1"/>
        <v>0</v>
      </c>
      <c r="G135" s="141">
        <f ca="1"/>
        <v>0</v>
      </c>
      <c r="H135" s="141">
        <f ca="1"/>
        <v>0</v>
      </c>
      <c r="I135" s="141">
        <f ca="1"/>
        <v>0</v>
      </c>
      <c r="J135" s="141">
        <f ca="1"/>
        <v>0</v>
      </c>
      <c r="K135" s="141">
        <f ca="1"/>
        <v>0</v>
      </c>
      <c r="L135" s="141">
        <f ca="1"/>
        <v>0</v>
      </c>
      <c r="M135" s="141">
        <f ca="1"/>
        <v>0</v>
      </c>
      <c r="N135" s="141">
        <f ca="1"/>
        <v>0</v>
      </c>
      <c r="O135" s="141">
        <f ca="1"/>
        <v>0</v>
      </c>
      <c r="P135" s="141">
        <f ca="1"/>
        <v>0</v>
      </c>
      <c r="Q135" s="141">
        <f ca="1"/>
        <v>0</v>
      </c>
      <c r="R135" s="141">
        <f ca="1"/>
        <v>0</v>
      </c>
      <c r="S135" s="141">
        <f ca="1"/>
        <v>0</v>
      </c>
      <c r="T135" s="141">
        <f ca="1"/>
        <v>0</v>
      </c>
      <c r="U135" s="141">
        <f ca="1"/>
        <v>0</v>
      </c>
      <c r="V135" s="141">
        <f ca="1"/>
        <v>0</v>
      </c>
      <c r="W135" s="141">
        <f ca="1"/>
        <v>0</v>
      </c>
      <c r="X135" s="141">
        <f ca="1"/>
        <v>0</v>
      </c>
      <c r="Y135" s="141">
        <f ca="1"/>
        <v>0</v>
      </c>
      <c r="Z135" s="141">
        <f ca="1"/>
        <v>0</v>
      </c>
      <c r="AA135" s="141">
        <f ca="1"/>
        <v>0</v>
      </c>
      <c r="AB135" s="141">
        <f ca="1"/>
        <v>0</v>
      </c>
      <c r="AC135" s="141">
        <f ca="1"/>
        <v>0</v>
      </c>
      <c r="AD135" s="141">
        <f ca="1"/>
        <v>0</v>
      </c>
      <c r="AE135" s="141">
        <f ca="1"/>
        <v>0</v>
      </c>
      <c r="AF135" s="141">
        <f ca="1"/>
        <v>0</v>
      </c>
      <c r="AG135" s="141">
        <f ca="1"/>
        <v>0</v>
      </c>
      <c r="AH135" s="141">
        <f ca="1"/>
        <v>0</v>
      </c>
      <c r="AI135" s="141">
        <f ca="1"/>
        <v>0</v>
      </c>
    </row>
    <row r="136" spans="2:35">
      <c r="B136" s="149">
        <v>2</v>
      </c>
      <c r="C136" s="149">
        <v>5</v>
      </c>
      <c r="D136" s="145" t="str">
        <v>Veículos Comerciais com 4 Eixos</v>
      </c>
      <c r="E136" s="145" t="str">
        <v>Pesados I</v>
      </c>
      <c r="F136" s="141">
        <f ca="1"/>
        <v>0</v>
      </c>
      <c r="G136" s="141">
        <f ca="1"/>
        <v>0</v>
      </c>
      <c r="H136" s="141">
        <f ca="1"/>
        <v>0</v>
      </c>
      <c r="I136" s="141">
        <f ca="1"/>
        <v>0</v>
      </c>
      <c r="J136" s="141">
        <f ca="1"/>
        <v>0</v>
      </c>
      <c r="K136" s="141">
        <f ca="1"/>
        <v>0</v>
      </c>
      <c r="L136" s="141">
        <f ca="1"/>
        <v>0</v>
      </c>
      <c r="M136" s="141">
        <f ca="1"/>
        <v>0</v>
      </c>
      <c r="N136" s="141">
        <f ca="1"/>
        <v>0</v>
      </c>
      <c r="O136" s="141">
        <f ca="1"/>
        <v>0</v>
      </c>
      <c r="P136" s="141">
        <f ca="1"/>
        <v>0</v>
      </c>
      <c r="Q136" s="141">
        <f ca="1"/>
        <v>0</v>
      </c>
      <c r="R136" s="141">
        <f ca="1"/>
        <v>0</v>
      </c>
      <c r="S136" s="141">
        <f ca="1"/>
        <v>0</v>
      </c>
      <c r="T136" s="141">
        <f ca="1"/>
        <v>0</v>
      </c>
      <c r="U136" s="141">
        <f ca="1"/>
        <v>0</v>
      </c>
      <c r="V136" s="141">
        <f ca="1"/>
        <v>0</v>
      </c>
      <c r="W136" s="141">
        <f ca="1"/>
        <v>0</v>
      </c>
      <c r="X136" s="141">
        <f ca="1"/>
        <v>0</v>
      </c>
      <c r="Y136" s="141">
        <f ca="1"/>
        <v>0</v>
      </c>
      <c r="Z136" s="141">
        <f ca="1"/>
        <v>0</v>
      </c>
      <c r="AA136" s="141">
        <f ca="1"/>
        <v>0</v>
      </c>
      <c r="AB136" s="141">
        <f ca="1"/>
        <v>0</v>
      </c>
      <c r="AC136" s="141">
        <f ca="1"/>
        <v>0</v>
      </c>
      <c r="AD136" s="141">
        <f ca="1"/>
        <v>0</v>
      </c>
      <c r="AE136" s="141">
        <f ca="1"/>
        <v>0</v>
      </c>
      <c r="AF136" s="141">
        <f ca="1"/>
        <v>0</v>
      </c>
      <c r="AG136" s="141">
        <f ca="1"/>
        <v>0</v>
      </c>
      <c r="AH136" s="141">
        <f ca="1"/>
        <v>0</v>
      </c>
      <c r="AI136" s="141">
        <f ca="1"/>
        <v>0</v>
      </c>
    </row>
    <row r="137" spans="2:35">
      <c r="B137" s="149">
        <v>2</v>
      </c>
      <c r="C137" s="149">
        <v>6</v>
      </c>
      <c r="D137" s="145" t="str">
        <v>Veículos Comerciais com 5 Eixos Articulado</v>
      </c>
      <c r="E137" s="145" t="str">
        <v>Pesados II</v>
      </c>
      <c r="F137" s="141">
        <f ca="1"/>
        <v>0</v>
      </c>
      <c r="G137" s="141">
        <f ca="1"/>
        <v>0</v>
      </c>
      <c r="H137" s="141">
        <f ca="1"/>
        <v>0</v>
      </c>
      <c r="I137" s="141">
        <f ca="1"/>
        <v>0</v>
      </c>
      <c r="J137" s="141">
        <f ca="1"/>
        <v>0</v>
      </c>
      <c r="K137" s="141">
        <f ca="1"/>
        <v>0</v>
      </c>
      <c r="L137" s="141">
        <f ca="1"/>
        <v>0</v>
      </c>
      <c r="M137" s="141">
        <f ca="1"/>
        <v>0</v>
      </c>
      <c r="N137" s="141">
        <f ca="1"/>
        <v>0</v>
      </c>
      <c r="O137" s="141">
        <f ca="1"/>
        <v>0</v>
      </c>
      <c r="P137" s="141">
        <f ca="1"/>
        <v>0</v>
      </c>
      <c r="Q137" s="141">
        <f ca="1"/>
        <v>0</v>
      </c>
      <c r="R137" s="141">
        <f ca="1"/>
        <v>0</v>
      </c>
      <c r="S137" s="141">
        <f ca="1"/>
        <v>0</v>
      </c>
      <c r="T137" s="141">
        <f ca="1"/>
        <v>0</v>
      </c>
      <c r="U137" s="141">
        <f ca="1"/>
        <v>0</v>
      </c>
      <c r="V137" s="141">
        <f ca="1"/>
        <v>0</v>
      </c>
      <c r="W137" s="141">
        <f ca="1"/>
        <v>0</v>
      </c>
      <c r="X137" s="141">
        <f ca="1"/>
        <v>0</v>
      </c>
      <c r="Y137" s="141">
        <f ca="1"/>
        <v>0</v>
      </c>
      <c r="Z137" s="141">
        <f ca="1"/>
        <v>0</v>
      </c>
      <c r="AA137" s="141">
        <f ca="1"/>
        <v>0</v>
      </c>
      <c r="AB137" s="141">
        <f ca="1"/>
        <v>0</v>
      </c>
      <c r="AC137" s="141">
        <f ca="1"/>
        <v>0</v>
      </c>
      <c r="AD137" s="141">
        <f ca="1"/>
        <v>0</v>
      </c>
      <c r="AE137" s="141">
        <f ca="1"/>
        <v>0</v>
      </c>
      <c r="AF137" s="141">
        <f ca="1"/>
        <v>0</v>
      </c>
      <c r="AG137" s="141">
        <f ca="1"/>
        <v>0</v>
      </c>
      <c r="AH137" s="141">
        <f ca="1"/>
        <v>0</v>
      </c>
      <c r="AI137" s="141">
        <f ca="1"/>
        <v>0</v>
      </c>
    </row>
    <row r="138" spans="2:35">
      <c r="B138" s="149">
        <v>2</v>
      </c>
      <c r="C138" s="149">
        <v>7</v>
      </c>
      <c r="D138" s="145" t="str">
        <v>Veículos Comerciais com 6 Eixos Articulado</v>
      </c>
      <c r="E138" s="145" t="str">
        <v>Pesados II</v>
      </c>
      <c r="F138" s="141">
        <f ca="1"/>
        <v>0</v>
      </c>
      <c r="G138" s="141">
        <f ca="1"/>
        <v>0</v>
      </c>
      <c r="H138" s="141">
        <f ca="1"/>
        <v>0</v>
      </c>
      <c r="I138" s="141">
        <f ca="1"/>
        <v>0</v>
      </c>
      <c r="J138" s="141">
        <f ca="1"/>
        <v>0</v>
      </c>
      <c r="K138" s="141">
        <f ca="1"/>
        <v>0</v>
      </c>
      <c r="L138" s="141">
        <f ca="1"/>
        <v>0</v>
      </c>
      <c r="M138" s="141">
        <f ca="1"/>
        <v>0</v>
      </c>
      <c r="N138" s="141">
        <f ca="1"/>
        <v>0</v>
      </c>
      <c r="O138" s="141">
        <f ca="1"/>
        <v>0</v>
      </c>
      <c r="P138" s="141">
        <f ca="1"/>
        <v>0</v>
      </c>
      <c r="Q138" s="141">
        <f ca="1"/>
        <v>0</v>
      </c>
      <c r="R138" s="141">
        <f ca="1"/>
        <v>0</v>
      </c>
      <c r="S138" s="141">
        <f ca="1"/>
        <v>0</v>
      </c>
      <c r="T138" s="141">
        <f ca="1"/>
        <v>0</v>
      </c>
      <c r="U138" s="141">
        <f ca="1"/>
        <v>0</v>
      </c>
      <c r="V138" s="141">
        <f ca="1"/>
        <v>0</v>
      </c>
      <c r="W138" s="141">
        <f ca="1"/>
        <v>0</v>
      </c>
      <c r="X138" s="141">
        <f ca="1"/>
        <v>0</v>
      </c>
      <c r="Y138" s="141">
        <f ca="1"/>
        <v>0</v>
      </c>
      <c r="Z138" s="141">
        <f ca="1"/>
        <v>0</v>
      </c>
      <c r="AA138" s="141">
        <f ca="1"/>
        <v>0</v>
      </c>
      <c r="AB138" s="141">
        <f ca="1"/>
        <v>0</v>
      </c>
      <c r="AC138" s="141">
        <f ca="1"/>
        <v>0</v>
      </c>
      <c r="AD138" s="141">
        <f ca="1"/>
        <v>0</v>
      </c>
      <c r="AE138" s="141">
        <f ca="1"/>
        <v>0</v>
      </c>
      <c r="AF138" s="141">
        <f ca="1"/>
        <v>0</v>
      </c>
      <c r="AG138" s="141">
        <f ca="1"/>
        <v>0</v>
      </c>
      <c r="AH138" s="141">
        <f ca="1"/>
        <v>0</v>
      </c>
      <c r="AI138" s="141">
        <f ca="1"/>
        <v>0</v>
      </c>
    </row>
    <row r="139" spans="2:35">
      <c r="B139" s="149">
        <v>2</v>
      </c>
      <c r="C139" s="149">
        <v>8</v>
      </c>
      <c r="D139" s="145" t="str">
        <v>Veículos Comerciais com 7 Eixos Articulado</v>
      </c>
      <c r="E139" s="145" t="str">
        <v>Pesados II</v>
      </c>
      <c r="F139" s="141">
        <f ca="1"/>
        <v>0</v>
      </c>
      <c r="G139" s="141">
        <f ca="1"/>
        <v>0</v>
      </c>
      <c r="H139" s="141">
        <f ca="1"/>
        <v>0</v>
      </c>
      <c r="I139" s="141">
        <f ca="1"/>
        <v>0</v>
      </c>
      <c r="J139" s="141">
        <f ca="1"/>
        <v>0</v>
      </c>
      <c r="K139" s="141">
        <f ca="1"/>
        <v>0</v>
      </c>
      <c r="L139" s="141">
        <f ca="1"/>
        <v>0</v>
      </c>
      <c r="M139" s="141">
        <f ca="1"/>
        <v>0</v>
      </c>
      <c r="N139" s="141">
        <f ca="1"/>
        <v>0</v>
      </c>
      <c r="O139" s="141">
        <f ca="1"/>
        <v>0</v>
      </c>
      <c r="P139" s="141">
        <f ca="1"/>
        <v>0</v>
      </c>
      <c r="Q139" s="141">
        <f ca="1"/>
        <v>0</v>
      </c>
      <c r="R139" s="141">
        <f ca="1"/>
        <v>0</v>
      </c>
      <c r="S139" s="141">
        <f ca="1"/>
        <v>0</v>
      </c>
      <c r="T139" s="141">
        <f ca="1"/>
        <v>0</v>
      </c>
      <c r="U139" s="141">
        <f ca="1"/>
        <v>0</v>
      </c>
      <c r="V139" s="141">
        <f ca="1"/>
        <v>0</v>
      </c>
      <c r="W139" s="141">
        <f ca="1"/>
        <v>0</v>
      </c>
      <c r="X139" s="141">
        <f ca="1"/>
        <v>0</v>
      </c>
      <c r="Y139" s="141">
        <f ca="1"/>
        <v>0</v>
      </c>
      <c r="Z139" s="141">
        <f ca="1"/>
        <v>0</v>
      </c>
      <c r="AA139" s="141">
        <f ca="1"/>
        <v>0</v>
      </c>
      <c r="AB139" s="141">
        <f ca="1"/>
        <v>0</v>
      </c>
      <c r="AC139" s="141">
        <f ca="1"/>
        <v>0</v>
      </c>
      <c r="AD139" s="141">
        <f ca="1"/>
        <v>0</v>
      </c>
      <c r="AE139" s="141">
        <f ca="1"/>
        <v>0</v>
      </c>
      <c r="AF139" s="141">
        <f ca="1"/>
        <v>0</v>
      </c>
      <c r="AG139" s="141">
        <f ca="1"/>
        <v>0</v>
      </c>
      <c r="AH139" s="141">
        <f ca="1"/>
        <v>0</v>
      </c>
      <c r="AI139" s="141">
        <f ca="1"/>
        <v>0</v>
      </c>
    </row>
    <row r="140" spans="2:35">
      <c r="B140" s="149">
        <v>2</v>
      </c>
      <c r="C140" s="149">
        <v>9</v>
      </c>
      <c r="D140" s="145" t="str">
        <v>Veículos Comerciais com 8 Eixos Articulado</v>
      </c>
      <c r="E140" s="145" t="str">
        <v>Pesados II</v>
      </c>
      <c r="F140" s="141">
        <f ca="1"/>
        <v>0</v>
      </c>
      <c r="G140" s="141">
        <f ca="1"/>
        <v>0</v>
      </c>
      <c r="H140" s="141">
        <f ca="1"/>
        <v>0</v>
      </c>
      <c r="I140" s="141">
        <f ca="1"/>
        <v>0</v>
      </c>
      <c r="J140" s="141">
        <f ca="1"/>
        <v>0</v>
      </c>
      <c r="K140" s="141">
        <f ca="1"/>
        <v>0</v>
      </c>
      <c r="L140" s="141">
        <f ca="1"/>
        <v>0</v>
      </c>
      <c r="M140" s="141">
        <f ca="1"/>
        <v>0</v>
      </c>
      <c r="N140" s="141">
        <f ca="1"/>
        <v>0</v>
      </c>
      <c r="O140" s="141">
        <f ca="1"/>
        <v>0</v>
      </c>
      <c r="P140" s="141">
        <f ca="1"/>
        <v>0</v>
      </c>
      <c r="Q140" s="141">
        <f ca="1"/>
        <v>0</v>
      </c>
      <c r="R140" s="141">
        <f ca="1"/>
        <v>0</v>
      </c>
      <c r="S140" s="141">
        <f ca="1"/>
        <v>0</v>
      </c>
      <c r="T140" s="141">
        <f ca="1"/>
        <v>0</v>
      </c>
      <c r="U140" s="141">
        <f ca="1"/>
        <v>0</v>
      </c>
      <c r="V140" s="141">
        <f ca="1"/>
        <v>0</v>
      </c>
      <c r="W140" s="141">
        <f ca="1"/>
        <v>0</v>
      </c>
      <c r="X140" s="141">
        <f ca="1"/>
        <v>0</v>
      </c>
      <c r="Y140" s="141">
        <f ca="1"/>
        <v>0</v>
      </c>
      <c r="Z140" s="141">
        <f ca="1"/>
        <v>0</v>
      </c>
      <c r="AA140" s="141">
        <f ca="1"/>
        <v>0</v>
      </c>
      <c r="AB140" s="141">
        <f ca="1"/>
        <v>0</v>
      </c>
      <c r="AC140" s="141">
        <f ca="1"/>
        <v>0</v>
      </c>
      <c r="AD140" s="141">
        <f ca="1"/>
        <v>0</v>
      </c>
      <c r="AE140" s="141">
        <f ca="1"/>
        <v>0</v>
      </c>
      <c r="AF140" s="141">
        <f ca="1"/>
        <v>0</v>
      </c>
      <c r="AG140" s="141">
        <f ca="1"/>
        <v>0</v>
      </c>
      <c r="AH140" s="141">
        <f ca="1"/>
        <v>0</v>
      </c>
      <c r="AI140" s="141">
        <f ca="1"/>
        <v>0</v>
      </c>
    </row>
    <row r="141" spans="2:35">
      <c r="B141" s="149">
        <v>2</v>
      </c>
      <c r="C141" s="149">
        <v>10</v>
      </c>
      <c r="D141" s="145" t="str">
        <v>Veículos Comerciais com 9 Eixos Articulado</v>
      </c>
      <c r="E141" s="145" t="str">
        <v>Pesados II</v>
      </c>
      <c r="F141" s="141">
        <f ca="1"/>
        <v>0</v>
      </c>
      <c r="G141" s="141">
        <f ca="1"/>
        <v>0</v>
      </c>
      <c r="H141" s="141">
        <f ca="1"/>
        <v>0</v>
      </c>
      <c r="I141" s="141">
        <f ca="1"/>
        <v>0</v>
      </c>
      <c r="J141" s="141">
        <f ca="1"/>
        <v>0</v>
      </c>
      <c r="K141" s="141">
        <f ca="1"/>
        <v>0</v>
      </c>
      <c r="L141" s="141">
        <f ca="1"/>
        <v>0</v>
      </c>
      <c r="M141" s="141">
        <f ca="1"/>
        <v>0</v>
      </c>
      <c r="N141" s="141">
        <f ca="1"/>
        <v>0</v>
      </c>
      <c r="O141" s="141">
        <f ca="1"/>
        <v>0</v>
      </c>
      <c r="P141" s="141">
        <f ca="1"/>
        <v>0</v>
      </c>
      <c r="Q141" s="141">
        <f ca="1"/>
        <v>0</v>
      </c>
      <c r="R141" s="141">
        <f ca="1"/>
        <v>0</v>
      </c>
      <c r="S141" s="141">
        <f ca="1"/>
        <v>0</v>
      </c>
      <c r="T141" s="141">
        <f ca="1"/>
        <v>0</v>
      </c>
      <c r="U141" s="141">
        <f ca="1"/>
        <v>0</v>
      </c>
      <c r="V141" s="141">
        <f ca="1"/>
        <v>0</v>
      </c>
      <c r="W141" s="141">
        <f ca="1"/>
        <v>0</v>
      </c>
      <c r="X141" s="141">
        <f ca="1"/>
        <v>0</v>
      </c>
      <c r="Y141" s="141">
        <f ca="1"/>
        <v>0</v>
      </c>
      <c r="Z141" s="141">
        <f ca="1"/>
        <v>0</v>
      </c>
      <c r="AA141" s="141">
        <f ca="1"/>
        <v>0</v>
      </c>
      <c r="AB141" s="141">
        <f ca="1"/>
        <v>0</v>
      </c>
      <c r="AC141" s="141">
        <f ca="1"/>
        <v>0</v>
      </c>
      <c r="AD141" s="141">
        <f ca="1"/>
        <v>0</v>
      </c>
      <c r="AE141" s="141">
        <f ca="1"/>
        <v>0</v>
      </c>
      <c r="AF141" s="141">
        <f ca="1"/>
        <v>0</v>
      </c>
      <c r="AG141" s="141">
        <f ca="1"/>
        <v>0</v>
      </c>
      <c r="AH141" s="141">
        <f ca="1"/>
        <v>0</v>
      </c>
      <c r="AI141" s="141">
        <f ca="1"/>
        <v>0</v>
      </c>
    </row>
    <row r="142" spans="2:35">
      <c r="B142" s="149">
        <v>2</v>
      </c>
      <c r="C142" s="149">
        <v>11</v>
      </c>
      <c r="D142" s="145" t="str">
        <v>Motocicleta</v>
      </c>
      <c r="E142" s="145" t="str">
        <v>Leves</v>
      </c>
      <c r="F142" s="141">
        <f ca="1"/>
        <v>9.45550264121027E-3</v>
      </c>
      <c r="G142" s="141">
        <f ca="1"/>
        <v>1.2333264314622094E-2</v>
      </c>
      <c r="H142" s="141">
        <f ca="1"/>
        <v>1.6855461229983527E-2</v>
      </c>
      <c r="I142" s="141">
        <f ca="1"/>
        <v>2.0555440524370153E-2</v>
      </c>
      <c r="J142" s="141">
        <f ca="1"/>
        <v>2.3844311008269382E-2</v>
      </c>
      <c r="K142" s="141">
        <f ca="1"/>
        <v>2.6310963871193797E-2</v>
      </c>
      <c r="L142" s="141">
        <f ca="1"/>
        <v>2.836650792363081E-2</v>
      </c>
      <c r="M142" s="141">
        <f ca="1"/>
        <v>3.0422051976067826E-2</v>
      </c>
      <c r="N142" s="141">
        <f ca="1"/>
        <v>3.2066487218017442E-2</v>
      </c>
      <c r="O142" s="141">
        <f ca="1"/>
        <v>3.2888704838992248E-2</v>
      </c>
      <c r="P142" s="141">
        <f ca="1"/>
        <v>3.3299813649479648E-2</v>
      </c>
      <c r="Q142" s="141">
        <f ca="1"/>
        <v>3.3299813649479648E-2</v>
      </c>
      <c r="R142" s="141">
        <f ca="1"/>
        <v>3.3299813649479648E-2</v>
      </c>
      <c r="S142" s="141">
        <f ca="1"/>
        <v>3.3299813649479648E-2</v>
      </c>
      <c r="T142" s="141">
        <f ca="1"/>
        <v>3.3299813649479648E-2</v>
      </c>
      <c r="U142" s="141">
        <f ca="1"/>
        <v>3.3299813649479648E-2</v>
      </c>
      <c r="V142" s="141">
        <f ca="1"/>
        <v>3.3299813649479648E-2</v>
      </c>
      <c r="W142" s="141">
        <f ca="1"/>
        <v>3.3299813649479648E-2</v>
      </c>
      <c r="X142" s="141">
        <f ca="1"/>
        <v>3.3299813649479648E-2</v>
      </c>
      <c r="Y142" s="141">
        <f ca="1"/>
        <v>3.3299813649479648E-2</v>
      </c>
      <c r="Z142" s="141">
        <f ca="1"/>
        <v>3.3299813649479648E-2</v>
      </c>
      <c r="AA142" s="141">
        <f ca="1"/>
        <v>3.3299813649479648E-2</v>
      </c>
      <c r="AB142" s="141">
        <f ca="1"/>
        <v>3.3299813649479648E-2</v>
      </c>
      <c r="AC142" s="141">
        <f ca="1"/>
        <v>3.3299813649479648E-2</v>
      </c>
      <c r="AD142" s="141">
        <f ca="1"/>
        <v>3.3299813649479648E-2</v>
      </c>
      <c r="AE142" s="141">
        <f ca="1"/>
        <v>3.3299813649479648E-2</v>
      </c>
      <c r="AF142" s="141">
        <f ca="1"/>
        <v>3.3299813649479648E-2</v>
      </c>
      <c r="AG142" s="141">
        <f ca="1"/>
        <v>3.3299813649479648E-2</v>
      </c>
      <c r="AH142" s="141">
        <f ca="1"/>
        <v>3.3299813649479648E-2</v>
      </c>
      <c r="AI142" s="141">
        <f ca="1"/>
        <v>3.3299813649479648E-2</v>
      </c>
    </row>
    <row r="143" spans="2:35">
      <c r="B143" s="149">
        <v>2</v>
      </c>
      <c r="C143" s="149">
        <v>12</v>
      </c>
      <c r="D143" s="145" t="str">
        <v xml:space="preserve">Veículos do transporte público coletivo intermunicipal e metropolitano </v>
      </c>
      <c r="E143" s="145" t="str">
        <v>Pesados I</v>
      </c>
      <c r="F143" s="141">
        <f ca="1"/>
        <v>0</v>
      </c>
      <c r="G143" s="141">
        <f ca="1"/>
        <v>0</v>
      </c>
      <c r="H143" s="141">
        <f ca="1"/>
        <v>0</v>
      </c>
      <c r="I143" s="141">
        <f ca="1"/>
        <v>0</v>
      </c>
      <c r="J143" s="141">
        <f ca="1"/>
        <v>0</v>
      </c>
      <c r="K143" s="141">
        <f ca="1"/>
        <v>0</v>
      </c>
      <c r="L143" s="141">
        <f ca="1"/>
        <v>0</v>
      </c>
      <c r="M143" s="141">
        <f ca="1"/>
        <v>0</v>
      </c>
      <c r="N143" s="141">
        <f ca="1"/>
        <v>0</v>
      </c>
      <c r="O143" s="141">
        <f ca="1"/>
        <v>0</v>
      </c>
      <c r="P143" s="141">
        <f ca="1"/>
        <v>0</v>
      </c>
      <c r="Q143" s="141">
        <f ca="1"/>
        <v>0</v>
      </c>
      <c r="R143" s="141">
        <f ca="1"/>
        <v>0</v>
      </c>
      <c r="S143" s="141">
        <f ca="1"/>
        <v>0</v>
      </c>
      <c r="T143" s="141">
        <f ca="1"/>
        <v>0</v>
      </c>
      <c r="U143" s="141">
        <f ca="1"/>
        <v>0</v>
      </c>
      <c r="V143" s="141">
        <f ca="1"/>
        <v>0</v>
      </c>
      <c r="W143" s="141">
        <f ca="1"/>
        <v>0</v>
      </c>
      <c r="X143" s="141">
        <f ca="1"/>
        <v>0</v>
      </c>
      <c r="Y143" s="141">
        <f ca="1"/>
        <v>0</v>
      </c>
      <c r="Z143" s="141">
        <f ca="1"/>
        <v>0</v>
      </c>
      <c r="AA143" s="141">
        <f ca="1"/>
        <v>0</v>
      </c>
      <c r="AB143" s="141">
        <f ca="1"/>
        <v>0</v>
      </c>
      <c r="AC143" s="141">
        <f ca="1"/>
        <v>0</v>
      </c>
      <c r="AD143" s="141">
        <f ca="1"/>
        <v>0</v>
      </c>
      <c r="AE143" s="141">
        <f ca="1"/>
        <v>0</v>
      </c>
      <c r="AF143" s="141">
        <f ca="1"/>
        <v>0</v>
      </c>
      <c r="AG143" s="141">
        <f ca="1"/>
        <v>0</v>
      </c>
      <c r="AH143" s="141">
        <f ca="1"/>
        <v>0</v>
      </c>
      <c r="AI143" s="141">
        <f ca="1"/>
        <v>0</v>
      </c>
    </row>
    <row r="144" spans="2:35">
      <c r="B144" s="149">
        <v>3</v>
      </c>
      <c r="C144" s="149">
        <v>1</v>
      </c>
      <c r="D144" s="145" t="str">
        <v>Automóvel</v>
      </c>
      <c r="E144" s="145" t="str">
        <v>Leves</v>
      </c>
      <c r="F144" s="141">
        <f ca="1"/>
        <v>3.3712489032108736E-3</v>
      </c>
      <c r="G144" s="141">
        <f ca="1"/>
        <v>4.3972811781011409E-3</v>
      </c>
      <c r="H144" s="141">
        <f ca="1"/>
        <v>6.0096176100715585E-3</v>
      </c>
      <c r="I144" s="141">
        <f ca="1"/>
        <v>7.3288019635019E-3</v>
      </c>
      <c r="J144" s="141">
        <f ca="1"/>
        <v>8.5014102776622049E-3</v>
      </c>
      <c r="K144" s="141">
        <f ca="1"/>
        <v>9.380866513282432E-3</v>
      </c>
      <c r="L144" s="141">
        <f ca="1"/>
        <v>1.0113746709632622E-2</v>
      </c>
      <c r="M144" s="141">
        <f ca="1"/>
        <v>1.0846626905982811E-2</v>
      </c>
      <c r="N144" s="141">
        <f ca="1"/>
        <v>1.1432931063062965E-2</v>
      </c>
      <c r="O144" s="141">
        <f ca="1"/>
        <v>1.172608314160304E-2</v>
      </c>
      <c r="P144" s="141">
        <f ca="1"/>
        <v>1.1872659180873079E-2</v>
      </c>
      <c r="Q144" s="141">
        <f ca="1"/>
        <v>1.1872659180873079E-2</v>
      </c>
      <c r="R144" s="141">
        <f ca="1"/>
        <v>1.1872659180873079E-2</v>
      </c>
      <c r="S144" s="141">
        <f ca="1"/>
        <v>1.1872659180873079E-2</v>
      </c>
      <c r="T144" s="141">
        <f ca="1"/>
        <v>1.1872659180873079E-2</v>
      </c>
      <c r="U144" s="141">
        <f ca="1"/>
        <v>1.1872659180873079E-2</v>
      </c>
      <c r="V144" s="141">
        <f ca="1"/>
        <v>1.1872659180873079E-2</v>
      </c>
      <c r="W144" s="141">
        <f ca="1"/>
        <v>1.1872659180873079E-2</v>
      </c>
      <c r="X144" s="141">
        <f ca="1"/>
        <v>1.1872659180873079E-2</v>
      </c>
      <c r="Y144" s="141">
        <f ca="1"/>
        <v>1.1872659180873079E-2</v>
      </c>
      <c r="Z144" s="141">
        <f ca="1"/>
        <v>1.1872659180873079E-2</v>
      </c>
      <c r="AA144" s="141">
        <f ca="1"/>
        <v>1.1872659180873079E-2</v>
      </c>
      <c r="AB144" s="141">
        <f ca="1"/>
        <v>1.1872659180873079E-2</v>
      </c>
      <c r="AC144" s="141">
        <f ca="1"/>
        <v>1.1872659180873079E-2</v>
      </c>
      <c r="AD144" s="141">
        <f ca="1"/>
        <v>1.1872659180873079E-2</v>
      </c>
      <c r="AE144" s="141">
        <f ca="1"/>
        <v>1.1872659180873079E-2</v>
      </c>
      <c r="AF144" s="141">
        <f ca="1"/>
        <v>1.1872659180873079E-2</v>
      </c>
      <c r="AG144" s="141">
        <f ca="1"/>
        <v>1.1872659180873079E-2</v>
      </c>
      <c r="AH144" s="141">
        <f ca="1"/>
        <v>1.1872659180873079E-2</v>
      </c>
      <c r="AI144" s="141">
        <f ca="1"/>
        <v>1.1872659180873079E-2</v>
      </c>
    </row>
    <row r="145" spans="2:35">
      <c r="B145" s="149">
        <v>3</v>
      </c>
      <c r="C145" s="149">
        <v>2</v>
      </c>
      <c r="D145" s="145" t="str">
        <v xml:space="preserve">Automóvel com reboque </v>
      </c>
      <c r="E145" s="145" t="str">
        <v>Leves</v>
      </c>
      <c r="F145" s="141">
        <f ca="1"/>
        <v>0</v>
      </c>
      <c r="G145" s="141">
        <f ca="1"/>
        <v>0</v>
      </c>
      <c r="H145" s="141">
        <f ca="1"/>
        <v>0</v>
      </c>
      <c r="I145" s="141">
        <f ca="1"/>
        <v>0</v>
      </c>
      <c r="J145" s="141">
        <f ca="1"/>
        <v>0</v>
      </c>
      <c r="K145" s="141">
        <f ca="1"/>
        <v>0</v>
      </c>
      <c r="L145" s="141">
        <f ca="1"/>
        <v>0</v>
      </c>
      <c r="M145" s="141">
        <f ca="1"/>
        <v>0</v>
      </c>
      <c r="N145" s="141">
        <f ca="1"/>
        <v>0</v>
      </c>
      <c r="O145" s="141">
        <f ca="1"/>
        <v>0</v>
      </c>
      <c r="P145" s="141">
        <f ca="1"/>
        <v>0</v>
      </c>
      <c r="Q145" s="141">
        <f ca="1"/>
        <v>0</v>
      </c>
      <c r="R145" s="141">
        <f ca="1"/>
        <v>0</v>
      </c>
      <c r="S145" s="141">
        <f ca="1"/>
        <v>0</v>
      </c>
      <c r="T145" s="141">
        <f ca="1"/>
        <v>0</v>
      </c>
      <c r="U145" s="141">
        <f ca="1"/>
        <v>0</v>
      </c>
      <c r="V145" s="141">
        <f ca="1"/>
        <v>0</v>
      </c>
      <c r="W145" s="141">
        <f ca="1"/>
        <v>0</v>
      </c>
      <c r="X145" s="141">
        <f ca="1"/>
        <v>0</v>
      </c>
      <c r="Y145" s="141">
        <f ca="1"/>
        <v>0</v>
      </c>
      <c r="Z145" s="141">
        <f ca="1"/>
        <v>0</v>
      </c>
      <c r="AA145" s="141">
        <f ca="1"/>
        <v>0</v>
      </c>
      <c r="AB145" s="141">
        <f ca="1"/>
        <v>0</v>
      </c>
      <c r="AC145" s="141">
        <f ca="1"/>
        <v>0</v>
      </c>
      <c r="AD145" s="141">
        <f ca="1"/>
        <v>0</v>
      </c>
      <c r="AE145" s="141">
        <f ca="1"/>
        <v>0</v>
      </c>
      <c r="AF145" s="141">
        <f ca="1"/>
        <v>0</v>
      </c>
      <c r="AG145" s="141">
        <f ca="1"/>
        <v>0</v>
      </c>
      <c r="AH145" s="141">
        <f ca="1"/>
        <v>0</v>
      </c>
      <c r="AI145" s="141">
        <f ca="1"/>
        <v>0</v>
      </c>
    </row>
    <row r="146" spans="2:35">
      <c r="B146" s="149">
        <v>3</v>
      </c>
      <c r="C146" s="149">
        <v>3</v>
      </c>
      <c r="D146" s="145" t="str">
        <v>Veículos Comerciais com 2 Eixos</v>
      </c>
      <c r="E146" s="145" t="str">
        <v>Pesados I</v>
      </c>
      <c r="F146" s="141">
        <f ca="1"/>
        <v>0</v>
      </c>
      <c r="G146" s="141">
        <f ca="1"/>
        <v>0</v>
      </c>
      <c r="H146" s="141">
        <f ca="1"/>
        <v>0</v>
      </c>
      <c r="I146" s="141">
        <f ca="1"/>
        <v>0</v>
      </c>
      <c r="J146" s="141">
        <f ca="1"/>
        <v>0</v>
      </c>
      <c r="K146" s="141">
        <f ca="1"/>
        <v>0</v>
      </c>
      <c r="L146" s="141">
        <f ca="1"/>
        <v>0</v>
      </c>
      <c r="M146" s="141">
        <f ca="1"/>
        <v>0</v>
      </c>
      <c r="N146" s="141">
        <f ca="1"/>
        <v>0</v>
      </c>
      <c r="O146" s="141">
        <f ca="1"/>
        <v>0</v>
      </c>
      <c r="P146" s="141">
        <f ca="1"/>
        <v>0</v>
      </c>
      <c r="Q146" s="141">
        <f ca="1"/>
        <v>0</v>
      </c>
      <c r="R146" s="141">
        <f ca="1"/>
        <v>0</v>
      </c>
      <c r="S146" s="141">
        <f ca="1"/>
        <v>0</v>
      </c>
      <c r="T146" s="141">
        <f ca="1"/>
        <v>0</v>
      </c>
      <c r="U146" s="141">
        <f ca="1"/>
        <v>0</v>
      </c>
      <c r="V146" s="141">
        <f ca="1"/>
        <v>0</v>
      </c>
      <c r="W146" s="141">
        <f ca="1"/>
        <v>0</v>
      </c>
      <c r="X146" s="141">
        <f ca="1"/>
        <v>0</v>
      </c>
      <c r="Y146" s="141">
        <f ca="1"/>
        <v>0</v>
      </c>
      <c r="Z146" s="141">
        <f ca="1"/>
        <v>0</v>
      </c>
      <c r="AA146" s="141">
        <f ca="1"/>
        <v>0</v>
      </c>
      <c r="AB146" s="141">
        <f ca="1"/>
        <v>0</v>
      </c>
      <c r="AC146" s="141">
        <f ca="1"/>
        <v>0</v>
      </c>
      <c r="AD146" s="141">
        <f ca="1"/>
        <v>0</v>
      </c>
      <c r="AE146" s="141">
        <f ca="1"/>
        <v>0</v>
      </c>
      <c r="AF146" s="141">
        <f ca="1"/>
        <v>0</v>
      </c>
      <c r="AG146" s="141">
        <f ca="1"/>
        <v>0</v>
      </c>
      <c r="AH146" s="141">
        <f ca="1"/>
        <v>0</v>
      </c>
      <c r="AI146" s="141">
        <f ca="1"/>
        <v>0</v>
      </c>
    </row>
    <row r="147" spans="2:35">
      <c r="B147" s="149">
        <v>3</v>
      </c>
      <c r="C147" s="149">
        <v>4</v>
      </c>
      <c r="D147" s="145" t="str">
        <v>Veículos Comerciais com 3 Eixos</v>
      </c>
      <c r="E147" s="145" t="str">
        <v>Pesados I</v>
      </c>
      <c r="F147" s="141">
        <f ca="1"/>
        <v>0</v>
      </c>
      <c r="G147" s="141">
        <f ca="1"/>
        <v>0</v>
      </c>
      <c r="H147" s="141">
        <f ca="1"/>
        <v>0</v>
      </c>
      <c r="I147" s="141">
        <f ca="1"/>
        <v>0</v>
      </c>
      <c r="J147" s="141">
        <f ca="1"/>
        <v>0</v>
      </c>
      <c r="K147" s="141">
        <f ca="1"/>
        <v>0</v>
      </c>
      <c r="L147" s="141">
        <f ca="1"/>
        <v>0</v>
      </c>
      <c r="M147" s="141">
        <f ca="1"/>
        <v>0</v>
      </c>
      <c r="N147" s="141">
        <f ca="1"/>
        <v>0</v>
      </c>
      <c r="O147" s="141">
        <f ca="1"/>
        <v>0</v>
      </c>
      <c r="P147" s="141">
        <f ca="1"/>
        <v>0</v>
      </c>
      <c r="Q147" s="141">
        <f ca="1"/>
        <v>0</v>
      </c>
      <c r="R147" s="141">
        <f ca="1"/>
        <v>0</v>
      </c>
      <c r="S147" s="141">
        <f ca="1"/>
        <v>0</v>
      </c>
      <c r="T147" s="141">
        <f ca="1"/>
        <v>0</v>
      </c>
      <c r="U147" s="141">
        <f ca="1"/>
        <v>0</v>
      </c>
      <c r="V147" s="141">
        <f ca="1"/>
        <v>0</v>
      </c>
      <c r="W147" s="141">
        <f ca="1"/>
        <v>0</v>
      </c>
      <c r="X147" s="141">
        <f ca="1"/>
        <v>0</v>
      </c>
      <c r="Y147" s="141">
        <f ca="1"/>
        <v>0</v>
      </c>
      <c r="Z147" s="141">
        <f ca="1"/>
        <v>0</v>
      </c>
      <c r="AA147" s="141">
        <f ca="1"/>
        <v>0</v>
      </c>
      <c r="AB147" s="141">
        <f ca="1"/>
        <v>0</v>
      </c>
      <c r="AC147" s="141">
        <f ca="1"/>
        <v>0</v>
      </c>
      <c r="AD147" s="141">
        <f ca="1"/>
        <v>0</v>
      </c>
      <c r="AE147" s="141">
        <f ca="1"/>
        <v>0</v>
      </c>
      <c r="AF147" s="141">
        <f ca="1"/>
        <v>0</v>
      </c>
      <c r="AG147" s="141">
        <f ca="1"/>
        <v>0</v>
      </c>
      <c r="AH147" s="141">
        <f ca="1"/>
        <v>0</v>
      </c>
      <c r="AI147" s="141">
        <f ca="1"/>
        <v>0</v>
      </c>
    </row>
    <row r="148" spans="2:35">
      <c r="B148" s="149">
        <v>3</v>
      </c>
      <c r="C148" s="149">
        <v>5</v>
      </c>
      <c r="D148" s="145" t="str">
        <v>Veículos Comerciais com 4 Eixos</v>
      </c>
      <c r="E148" s="145" t="str">
        <v>Pesados I</v>
      </c>
      <c r="F148" s="141">
        <f ca="1"/>
        <v>0</v>
      </c>
      <c r="G148" s="141">
        <f ca="1"/>
        <v>0</v>
      </c>
      <c r="H148" s="141">
        <f ca="1"/>
        <v>0</v>
      </c>
      <c r="I148" s="141">
        <f ca="1"/>
        <v>0</v>
      </c>
      <c r="J148" s="141">
        <f ca="1"/>
        <v>0</v>
      </c>
      <c r="K148" s="141">
        <f ca="1"/>
        <v>0</v>
      </c>
      <c r="L148" s="141">
        <f ca="1"/>
        <v>0</v>
      </c>
      <c r="M148" s="141">
        <f ca="1"/>
        <v>0</v>
      </c>
      <c r="N148" s="141">
        <f ca="1"/>
        <v>0</v>
      </c>
      <c r="O148" s="141">
        <f ca="1"/>
        <v>0</v>
      </c>
      <c r="P148" s="141">
        <f ca="1"/>
        <v>0</v>
      </c>
      <c r="Q148" s="141">
        <f ca="1"/>
        <v>0</v>
      </c>
      <c r="R148" s="141">
        <f ca="1"/>
        <v>0</v>
      </c>
      <c r="S148" s="141">
        <f ca="1"/>
        <v>0</v>
      </c>
      <c r="T148" s="141">
        <f ca="1"/>
        <v>0</v>
      </c>
      <c r="U148" s="141">
        <f ca="1"/>
        <v>0</v>
      </c>
      <c r="V148" s="141">
        <f ca="1"/>
        <v>0</v>
      </c>
      <c r="W148" s="141">
        <f ca="1"/>
        <v>0</v>
      </c>
      <c r="X148" s="141">
        <f ca="1"/>
        <v>0</v>
      </c>
      <c r="Y148" s="141">
        <f ca="1"/>
        <v>0</v>
      </c>
      <c r="Z148" s="141">
        <f ca="1"/>
        <v>0</v>
      </c>
      <c r="AA148" s="141">
        <f ca="1"/>
        <v>0</v>
      </c>
      <c r="AB148" s="141">
        <f ca="1"/>
        <v>0</v>
      </c>
      <c r="AC148" s="141">
        <f ca="1"/>
        <v>0</v>
      </c>
      <c r="AD148" s="141">
        <f ca="1"/>
        <v>0</v>
      </c>
      <c r="AE148" s="141">
        <f ca="1"/>
        <v>0</v>
      </c>
      <c r="AF148" s="141">
        <f ca="1"/>
        <v>0</v>
      </c>
      <c r="AG148" s="141">
        <f ca="1"/>
        <v>0</v>
      </c>
      <c r="AH148" s="141">
        <f ca="1"/>
        <v>0</v>
      </c>
      <c r="AI148" s="141">
        <f ca="1"/>
        <v>0</v>
      </c>
    </row>
    <row r="149" spans="2:35">
      <c r="B149" s="149">
        <v>3</v>
      </c>
      <c r="C149" s="149">
        <v>6</v>
      </c>
      <c r="D149" s="145" t="str">
        <v>Veículos Comerciais com 5 Eixos Articulado</v>
      </c>
      <c r="E149" s="145" t="str">
        <v>Pesados II</v>
      </c>
      <c r="F149" s="141">
        <f ca="1"/>
        <v>0</v>
      </c>
      <c r="G149" s="141">
        <f ca="1"/>
        <v>0</v>
      </c>
      <c r="H149" s="141">
        <f ca="1"/>
        <v>0</v>
      </c>
      <c r="I149" s="141">
        <f ca="1"/>
        <v>0</v>
      </c>
      <c r="J149" s="141">
        <f ca="1"/>
        <v>0</v>
      </c>
      <c r="K149" s="141">
        <f ca="1"/>
        <v>0</v>
      </c>
      <c r="L149" s="141">
        <f ca="1"/>
        <v>0</v>
      </c>
      <c r="M149" s="141">
        <f ca="1"/>
        <v>0</v>
      </c>
      <c r="N149" s="141">
        <f ca="1"/>
        <v>0</v>
      </c>
      <c r="O149" s="141">
        <f ca="1"/>
        <v>0</v>
      </c>
      <c r="P149" s="141">
        <f ca="1"/>
        <v>0</v>
      </c>
      <c r="Q149" s="141">
        <f ca="1"/>
        <v>0</v>
      </c>
      <c r="R149" s="141">
        <f ca="1"/>
        <v>0</v>
      </c>
      <c r="S149" s="141">
        <f ca="1"/>
        <v>0</v>
      </c>
      <c r="T149" s="141">
        <f ca="1"/>
        <v>0</v>
      </c>
      <c r="U149" s="141">
        <f ca="1"/>
        <v>0</v>
      </c>
      <c r="V149" s="141">
        <f ca="1"/>
        <v>0</v>
      </c>
      <c r="W149" s="141">
        <f ca="1"/>
        <v>0</v>
      </c>
      <c r="X149" s="141">
        <f ca="1"/>
        <v>0</v>
      </c>
      <c r="Y149" s="141">
        <f ca="1"/>
        <v>0</v>
      </c>
      <c r="Z149" s="141">
        <f ca="1"/>
        <v>0</v>
      </c>
      <c r="AA149" s="141">
        <f ca="1"/>
        <v>0</v>
      </c>
      <c r="AB149" s="141">
        <f ca="1"/>
        <v>0</v>
      </c>
      <c r="AC149" s="141">
        <f ca="1"/>
        <v>0</v>
      </c>
      <c r="AD149" s="141">
        <f ca="1"/>
        <v>0</v>
      </c>
      <c r="AE149" s="141">
        <f ca="1"/>
        <v>0</v>
      </c>
      <c r="AF149" s="141">
        <f ca="1"/>
        <v>0</v>
      </c>
      <c r="AG149" s="141">
        <f ca="1"/>
        <v>0</v>
      </c>
      <c r="AH149" s="141">
        <f ca="1"/>
        <v>0</v>
      </c>
      <c r="AI149" s="141">
        <f ca="1"/>
        <v>0</v>
      </c>
    </row>
    <row r="150" spans="2:35">
      <c r="B150" s="149">
        <v>3</v>
      </c>
      <c r="C150" s="149">
        <v>7</v>
      </c>
      <c r="D150" s="145" t="str">
        <v>Veículos Comerciais com 6 Eixos Articulado</v>
      </c>
      <c r="E150" s="145" t="str">
        <v>Pesados II</v>
      </c>
      <c r="F150" s="141">
        <f ca="1"/>
        <v>0</v>
      </c>
      <c r="G150" s="141">
        <f ca="1"/>
        <v>0</v>
      </c>
      <c r="H150" s="141">
        <f ca="1"/>
        <v>0</v>
      </c>
      <c r="I150" s="141">
        <f ca="1"/>
        <v>0</v>
      </c>
      <c r="J150" s="141">
        <f ca="1"/>
        <v>0</v>
      </c>
      <c r="K150" s="141">
        <f ca="1"/>
        <v>0</v>
      </c>
      <c r="L150" s="141">
        <f ca="1"/>
        <v>0</v>
      </c>
      <c r="M150" s="141">
        <f ca="1"/>
        <v>0</v>
      </c>
      <c r="N150" s="141">
        <f ca="1"/>
        <v>0</v>
      </c>
      <c r="O150" s="141">
        <f ca="1"/>
        <v>0</v>
      </c>
      <c r="P150" s="141">
        <f ca="1"/>
        <v>0</v>
      </c>
      <c r="Q150" s="141">
        <f ca="1"/>
        <v>0</v>
      </c>
      <c r="R150" s="141">
        <f ca="1"/>
        <v>0</v>
      </c>
      <c r="S150" s="141">
        <f ca="1"/>
        <v>0</v>
      </c>
      <c r="T150" s="141">
        <f ca="1"/>
        <v>0</v>
      </c>
      <c r="U150" s="141">
        <f ca="1"/>
        <v>0</v>
      </c>
      <c r="V150" s="141">
        <f ca="1"/>
        <v>0</v>
      </c>
      <c r="W150" s="141">
        <f ca="1"/>
        <v>0</v>
      </c>
      <c r="X150" s="141">
        <f ca="1"/>
        <v>0</v>
      </c>
      <c r="Y150" s="141">
        <f ca="1"/>
        <v>0</v>
      </c>
      <c r="Z150" s="141">
        <f ca="1"/>
        <v>0</v>
      </c>
      <c r="AA150" s="141">
        <f ca="1"/>
        <v>0</v>
      </c>
      <c r="AB150" s="141">
        <f ca="1"/>
        <v>0</v>
      </c>
      <c r="AC150" s="141">
        <f ca="1"/>
        <v>0</v>
      </c>
      <c r="AD150" s="141">
        <f ca="1"/>
        <v>0</v>
      </c>
      <c r="AE150" s="141">
        <f ca="1"/>
        <v>0</v>
      </c>
      <c r="AF150" s="141">
        <f ca="1"/>
        <v>0</v>
      </c>
      <c r="AG150" s="141">
        <f ca="1"/>
        <v>0</v>
      </c>
      <c r="AH150" s="141">
        <f ca="1"/>
        <v>0</v>
      </c>
      <c r="AI150" s="141">
        <f ca="1"/>
        <v>0</v>
      </c>
    </row>
    <row r="151" spans="2:35">
      <c r="B151" s="149">
        <v>3</v>
      </c>
      <c r="C151" s="149">
        <v>8</v>
      </c>
      <c r="D151" s="145" t="str">
        <v>Veículos Comerciais com 7 Eixos Articulado</v>
      </c>
      <c r="E151" s="145" t="str">
        <v>Pesados II</v>
      </c>
      <c r="F151" s="141">
        <f ca="1"/>
        <v>0</v>
      </c>
      <c r="G151" s="141">
        <f ca="1"/>
        <v>0</v>
      </c>
      <c r="H151" s="141">
        <f ca="1"/>
        <v>0</v>
      </c>
      <c r="I151" s="141">
        <f ca="1"/>
        <v>0</v>
      </c>
      <c r="J151" s="141">
        <f ca="1"/>
        <v>0</v>
      </c>
      <c r="K151" s="141">
        <f ca="1"/>
        <v>0</v>
      </c>
      <c r="L151" s="141">
        <f ca="1"/>
        <v>0</v>
      </c>
      <c r="M151" s="141">
        <f ca="1"/>
        <v>0</v>
      </c>
      <c r="N151" s="141">
        <f ca="1"/>
        <v>0</v>
      </c>
      <c r="O151" s="141">
        <f ca="1"/>
        <v>0</v>
      </c>
      <c r="P151" s="141">
        <f ca="1"/>
        <v>0</v>
      </c>
      <c r="Q151" s="141">
        <f ca="1"/>
        <v>0</v>
      </c>
      <c r="R151" s="141">
        <f ca="1"/>
        <v>0</v>
      </c>
      <c r="S151" s="141">
        <f ca="1"/>
        <v>0</v>
      </c>
      <c r="T151" s="141">
        <f ca="1"/>
        <v>0</v>
      </c>
      <c r="U151" s="141">
        <f ca="1"/>
        <v>0</v>
      </c>
      <c r="V151" s="141">
        <f ca="1"/>
        <v>0</v>
      </c>
      <c r="W151" s="141">
        <f ca="1"/>
        <v>0</v>
      </c>
      <c r="X151" s="141">
        <f ca="1"/>
        <v>0</v>
      </c>
      <c r="Y151" s="141">
        <f ca="1"/>
        <v>0</v>
      </c>
      <c r="Z151" s="141">
        <f ca="1"/>
        <v>0</v>
      </c>
      <c r="AA151" s="141">
        <f ca="1"/>
        <v>0</v>
      </c>
      <c r="AB151" s="141">
        <f ca="1"/>
        <v>0</v>
      </c>
      <c r="AC151" s="141">
        <f ca="1"/>
        <v>0</v>
      </c>
      <c r="AD151" s="141">
        <f ca="1"/>
        <v>0</v>
      </c>
      <c r="AE151" s="141">
        <f ca="1"/>
        <v>0</v>
      </c>
      <c r="AF151" s="141">
        <f ca="1"/>
        <v>0</v>
      </c>
      <c r="AG151" s="141">
        <f ca="1"/>
        <v>0</v>
      </c>
      <c r="AH151" s="141">
        <f ca="1"/>
        <v>0</v>
      </c>
      <c r="AI151" s="141">
        <f ca="1"/>
        <v>0</v>
      </c>
    </row>
    <row r="152" spans="2:35">
      <c r="B152" s="149">
        <v>3</v>
      </c>
      <c r="C152" s="149">
        <v>9</v>
      </c>
      <c r="D152" s="145" t="str">
        <v>Veículos Comerciais com 8 Eixos Articulado</v>
      </c>
      <c r="E152" s="145" t="str">
        <v>Pesados II</v>
      </c>
      <c r="F152" s="141">
        <f ca="1"/>
        <v>0</v>
      </c>
      <c r="G152" s="141">
        <f ca="1"/>
        <v>0</v>
      </c>
      <c r="H152" s="141">
        <f ca="1"/>
        <v>0</v>
      </c>
      <c r="I152" s="141">
        <f ca="1"/>
        <v>0</v>
      </c>
      <c r="J152" s="141">
        <f ca="1"/>
        <v>0</v>
      </c>
      <c r="K152" s="141">
        <f ca="1"/>
        <v>0</v>
      </c>
      <c r="L152" s="141">
        <f ca="1"/>
        <v>0</v>
      </c>
      <c r="M152" s="141">
        <f ca="1"/>
        <v>0</v>
      </c>
      <c r="N152" s="141">
        <f ca="1"/>
        <v>0</v>
      </c>
      <c r="O152" s="141">
        <f ca="1"/>
        <v>0</v>
      </c>
      <c r="P152" s="141">
        <f ca="1"/>
        <v>0</v>
      </c>
      <c r="Q152" s="141">
        <f ca="1"/>
        <v>0</v>
      </c>
      <c r="R152" s="141">
        <f ca="1"/>
        <v>0</v>
      </c>
      <c r="S152" s="141">
        <f ca="1"/>
        <v>0</v>
      </c>
      <c r="T152" s="141">
        <f ca="1"/>
        <v>0</v>
      </c>
      <c r="U152" s="141">
        <f ca="1"/>
        <v>0</v>
      </c>
      <c r="V152" s="141">
        <f ca="1"/>
        <v>0</v>
      </c>
      <c r="W152" s="141">
        <f ca="1"/>
        <v>0</v>
      </c>
      <c r="X152" s="141">
        <f ca="1"/>
        <v>0</v>
      </c>
      <c r="Y152" s="141">
        <f ca="1"/>
        <v>0</v>
      </c>
      <c r="Z152" s="141">
        <f ca="1"/>
        <v>0</v>
      </c>
      <c r="AA152" s="141">
        <f ca="1"/>
        <v>0</v>
      </c>
      <c r="AB152" s="141">
        <f ca="1"/>
        <v>0</v>
      </c>
      <c r="AC152" s="141">
        <f ca="1"/>
        <v>0</v>
      </c>
      <c r="AD152" s="141">
        <f ca="1"/>
        <v>0</v>
      </c>
      <c r="AE152" s="141">
        <f ca="1"/>
        <v>0</v>
      </c>
      <c r="AF152" s="141">
        <f ca="1"/>
        <v>0</v>
      </c>
      <c r="AG152" s="141">
        <f ca="1"/>
        <v>0</v>
      </c>
      <c r="AH152" s="141">
        <f ca="1"/>
        <v>0</v>
      </c>
      <c r="AI152" s="141">
        <f ca="1"/>
        <v>0</v>
      </c>
    </row>
    <row r="153" spans="2:35">
      <c r="B153" s="149">
        <v>3</v>
      </c>
      <c r="C153" s="149">
        <v>10</v>
      </c>
      <c r="D153" s="145" t="str">
        <v>Veículos Comerciais com 9 Eixos Articulado</v>
      </c>
      <c r="E153" s="145" t="str">
        <v>Pesados II</v>
      </c>
      <c r="F153" s="141">
        <f ca="1"/>
        <v>0</v>
      </c>
      <c r="G153" s="141">
        <f ca="1"/>
        <v>0</v>
      </c>
      <c r="H153" s="141">
        <f ca="1"/>
        <v>0</v>
      </c>
      <c r="I153" s="141">
        <f ca="1"/>
        <v>0</v>
      </c>
      <c r="J153" s="141">
        <f ca="1"/>
        <v>0</v>
      </c>
      <c r="K153" s="141">
        <f ca="1"/>
        <v>0</v>
      </c>
      <c r="L153" s="141">
        <f ca="1"/>
        <v>0</v>
      </c>
      <c r="M153" s="141">
        <f ca="1"/>
        <v>0</v>
      </c>
      <c r="N153" s="141">
        <f ca="1"/>
        <v>0</v>
      </c>
      <c r="O153" s="141">
        <f ca="1"/>
        <v>0</v>
      </c>
      <c r="P153" s="141">
        <f ca="1"/>
        <v>0</v>
      </c>
      <c r="Q153" s="141">
        <f ca="1"/>
        <v>0</v>
      </c>
      <c r="R153" s="141">
        <f ca="1"/>
        <v>0</v>
      </c>
      <c r="S153" s="141">
        <f ca="1"/>
        <v>0</v>
      </c>
      <c r="T153" s="141">
        <f ca="1"/>
        <v>0</v>
      </c>
      <c r="U153" s="141">
        <f ca="1"/>
        <v>0</v>
      </c>
      <c r="V153" s="141">
        <f ca="1"/>
        <v>0</v>
      </c>
      <c r="W153" s="141">
        <f ca="1"/>
        <v>0</v>
      </c>
      <c r="X153" s="141">
        <f ca="1"/>
        <v>0</v>
      </c>
      <c r="Y153" s="141">
        <f ca="1"/>
        <v>0</v>
      </c>
      <c r="Z153" s="141">
        <f ca="1"/>
        <v>0</v>
      </c>
      <c r="AA153" s="141">
        <f ca="1"/>
        <v>0</v>
      </c>
      <c r="AB153" s="141">
        <f ca="1"/>
        <v>0</v>
      </c>
      <c r="AC153" s="141">
        <f ca="1"/>
        <v>0</v>
      </c>
      <c r="AD153" s="141">
        <f ca="1"/>
        <v>0</v>
      </c>
      <c r="AE153" s="141">
        <f ca="1"/>
        <v>0</v>
      </c>
      <c r="AF153" s="141">
        <f ca="1"/>
        <v>0</v>
      </c>
      <c r="AG153" s="141">
        <f ca="1"/>
        <v>0</v>
      </c>
      <c r="AH153" s="141">
        <f ca="1"/>
        <v>0</v>
      </c>
      <c r="AI153" s="141">
        <f ca="1"/>
        <v>0</v>
      </c>
    </row>
    <row r="154" spans="2:35">
      <c r="B154" s="149">
        <v>3</v>
      </c>
      <c r="C154" s="149">
        <v>11</v>
      </c>
      <c r="D154" s="145" t="str">
        <v>Motocicleta</v>
      </c>
      <c r="E154" s="145" t="str">
        <v>Leves</v>
      </c>
      <c r="F154" s="141">
        <f ca="1"/>
        <v>3.3712489032108736E-3</v>
      </c>
      <c r="G154" s="141">
        <f ca="1"/>
        <v>4.3972811781011409E-3</v>
      </c>
      <c r="H154" s="141">
        <f ca="1"/>
        <v>6.0096176100715585E-3</v>
      </c>
      <c r="I154" s="141">
        <f ca="1"/>
        <v>7.3288019635019E-3</v>
      </c>
      <c r="J154" s="141">
        <f ca="1"/>
        <v>8.5014102776622049E-3</v>
      </c>
      <c r="K154" s="141">
        <f ca="1"/>
        <v>9.380866513282432E-3</v>
      </c>
      <c r="L154" s="141">
        <f ca="1"/>
        <v>1.0113746709632622E-2</v>
      </c>
      <c r="M154" s="141">
        <f ca="1"/>
        <v>1.0846626905982811E-2</v>
      </c>
      <c r="N154" s="141">
        <f ca="1"/>
        <v>1.1432931063062965E-2</v>
      </c>
      <c r="O154" s="141">
        <f ca="1"/>
        <v>1.172608314160304E-2</v>
      </c>
      <c r="P154" s="141">
        <f ca="1"/>
        <v>1.1872659180873079E-2</v>
      </c>
      <c r="Q154" s="141">
        <f ca="1"/>
        <v>1.1872659180873079E-2</v>
      </c>
      <c r="R154" s="141">
        <f ca="1"/>
        <v>1.1872659180873079E-2</v>
      </c>
      <c r="S154" s="141">
        <f ca="1"/>
        <v>1.1872659180873079E-2</v>
      </c>
      <c r="T154" s="141">
        <f ca="1"/>
        <v>1.1872659180873079E-2</v>
      </c>
      <c r="U154" s="141">
        <f ca="1"/>
        <v>1.1872659180873079E-2</v>
      </c>
      <c r="V154" s="141">
        <f ca="1"/>
        <v>1.1872659180873079E-2</v>
      </c>
      <c r="W154" s="141">
        <f ca="1"/>
        <v>1.1872659180873079E-2</v>
      </c>
      <c r="X154" s="141">
        <f ca="1"/>
        <v>1.1872659180873079E-2</v>
      </c>
      <c r="Y154" s="141">
        <f ca="1"/>
        <v>1.1872659180873079E-2</v>
      </c>
      <c r="Z154" s="141">
        <f ca="1"/>
        <v>1.1872659180873079E-2</v>
      </c>
      <c r="AA154" s="141">
        <f ca="1"/>
        <v>1.1872659180873079E-2</v>
      </c>
      <c r="AB154" s="141">
        <f ca="1"/>
        <v>1.1872659180873079E-2</v>
      </c>
      <c r="AC154" s="141">
        <f ca="1"/>
        <v>1.1872659180873079E-2</v>
      </c>
      <c r="AD154" s="141">
        <f ca="1"/>
        <v>1.1872659180873079E-2</v>
      </c>
      <c r="AE154" s="141">
        <f ca="1"/>
        <v>1.1872659180873079E-2</v>
      </c>
      <c r="AF154" s="141">
        <f ca="1"/>
        <v>1.1872659180873079E-2</v>
      </c>
      <c r="AG154" s="141">
        <f ca="1"/>
        <v>1.1872659180873079E-2</v>
      </c>
      <c r="AH154" s="141">
        <f ca="1"/>
        <v>1.1872659180873079E-2</v>
      </c>
      <c r="AI154" s="141">
        <f ca="1"/>
        <v>1.1872659180873079E-2</v>
      </c>
    </row>
    <row r="155" spans="2:35">
      <c r="B155" s="149">
        <v>3</v>
      </c>
      <c r="C155" s="149">
        <v>12</v>
      </c>
      <c r="D155" s="145" t="str">
        <v xml:space="preserve">Veículos do transporte público coletivo intermunicipal e metropolitano </v>
      </c>
      <c r="E155" s="145" t="str">
        <v>Pesados I</v>
      </c>
      <c r="F155" s="141">
        <f ca="1"/>
        <v>0</v>
      </c>
      <c r="G155" s="141">
        <f ca="1"/>
        <v>0</v>
      </c>
      <c r="H155" s="141">
        <f ca="1"/>
        <v>0</v>
      </c>
      <c r="I155" s="141">
        <f ca="1"/>
        <v>0</v>
      </c>
      <c r="J155" s="141">
        <f ca="1"/>
        <v>0</v>
      </c>
      <c r="K155" s="141">
        <f ca="1"/>
        <v>0</v>
      </c>
      <c r="L155" s="141">
        <f ca="1"/>
        <v>0</v>
      </c>
      <c r="M155" s="141">
        <f ca="1"/>
        <v>0</v>
      </c>
      <c r="N155" s="141">
        <f ca="1"/>
        <v>0</v>
      </c>
      <c r="O155" s="141">
        <f ca="1"/>
        <v>0</v>
      </c>
      <c r="P155" s="141">
        <f ca="1"/>
        <v>0</v>
      </c>
      <c r="Q155" s="141">
        <f ca="1"/>
        <v>0</v>
      </c>
      <c r="R155" s="141">
        <f ca="1"/>
        <v>0</v>
      </c>
      <c r="S155" s="141">
        <f ca="1"/>
        <v>0</v>
      </c>
      <c r="T155" s="141">
        <f ca="1"/>
        <v>0</v>
      </c>
      <c r="U155" s="141">
        <f ca="1"/>
        <v>0</v>
      </c>
      <c r="V155" s="141">
        <f ca="1"/>
        <v>0</v>
      </c>
      <c r="W155" s="141">
        <f ca="1"/>
        <v>0</v>
      </c>
      <c r="X155" s="141">
        <f ca="1"/>
        <v>0</v>
      </c>
      <c r="Y155" s="141">
        <f ca="1"/>
        <v>0</v>
      </c>
      <c r="Z155" s="141">
        <f ca="1"/>
        <v>0</v>
      </c>
      <c r="AA155" s="141">
        <f ca="1"/>
        <v>0</v>
      </c>
      <c r="AB155" s="141">
        <f ca="1"/>
        <v>0</v>
      </c>
      <c r="AC155" s="141">
        <f ca="1"/>
        <v>0</v>
      </c>
      <c r="AD155" s="141">
        <f ca="1"/>
        <v>0</v>
      </c>
      <c r="AE155" s="141">
        <f ca="1"/>
        <v>0</v>
      </c>
      <c r="AF155" s="141">
        <f ca="1"/>
        <v>0</v>
      </c>
      <c r="AG155" s="141">
        <f ca="1"/>
        <v>0</v>
      </c>
      <c r="AH155" s="141">
        <f ca="1"/>
        <v>0</v>
      </c>
      <c r="AI155" s="141">
        <f ca="1"/>
        <v>0</v>
      </c>
    </row>
    <row r="156" spans="2:35">
      <c r="B156" s="149">
        <v>4</v>
      </c>
      <c r="C156" s="149">
        <v>1</v>
      </c>
      <c r="D156" s="145" t="str">
        <v>Automóvel</v>
      </c>
      <c r="E156" s="145" t="str">
        <v>Leves</v>
      </c>
      <c r="F156" s="141">
        <f ca="1"/>
        <v>3.6545772842235627E-3</v>
      </c>
      <c r="G156" s="141">
        <f ca="1"/>
        <v>4.7668399359437784E-3</v>
      </c>
      <c r="H156" s="141">
        <f ca="1"/>
        <v>6.5146812457898299E-3</v>
      </c>
      <c r="I156" s="141">
        <f ca="1"/>
        <v>7.9447332265729625E-3</v>
      </c>
      <c r="J156" s="141">
        <f ca="1"/>
        <v>9.2158905428246368E-3</v>
      </c>
      <c r="K156" s="141">
        <f ca="1"/>
        <v>1.0169258530013393E-2</v>
      </c>
      <c r="L156" s="141">
        <f ca="1"/>
        <v>1.0963731852670687E-2</v>
      </c>
      <c r="M156" s="141">
        <f ca="1"/>
        <v>1.1758205175327984E-2</v>
      </c>
      <c r="N156" s="141">
        <f ca="1"/>
        <v>1.2393783833453822E-2</v>
      </c>
      <c r="O156" s="141">
        <f ca="1"/>
        <v>1.271157316251674E-2</v>
      </c>
      <c r="P156" s="141">
        <f ca="1"/>
        <v>1.2870467827048201E-2</v>
      </c>
      <c r="Q156" s="141">
        <f ca="1"/>
        <v>1.2870467827048201E-2</v>
      </c>
      <c r="R156" s="141">
        <f ca="1"/>
        <v>1.2870467827048201E-2</v>
      </c>
      <c r="S156" s="141">
        <f ca="1"/>
        <v>1.2870467827048201E-2</v>
      </c>
      <c r="T156" s="141">
        <f ca="1"/>
        <v>1.2870467827048201E-2</v>
      </c>
      <c r="U156" s="141">
        <f ca="1"/>
        <v>1.2870467827048201E-2</v>
      </c>
      <c r="V156" s="141">
        <f ca="1"/>
        <v>1.2870467827048201E-2</v>
      </c>
      <c r="W156" s="141">
        <f ca="1"/>
        <v>1.2870467827048201E-2</v>
      </c>
      <c r="X156" s="141">
        <f ca="1"/>
        <v>1.2870467827048201E-2</v>
      </c>
      <c r="Y156" s="141">
        <f ca="1"/>
        <v>1.2870467827048201E-2</v>
      </c>
      <c r="Z156" s="141">
        <f ca="1"/>
        <v>1.2870467827048201E-2</v>
      </c>
      <c r="AA156" s="141">
        <f ca="1"/>
        <v>1.2870467827048201E-2</v>
      </c>
      <c r="AB156" s="141">
        <f ca="1"/>
        <v>1.2870467827048201E-2</v>
      </c>
      <c r="AC156" s="141">
        <f ca="1"/>
        <v>1.2870467827048201E-2</v>
      </c>
      <c r="AD156" s="141">
        <f ca="1"/>
        <v>1.2870467827048201E-2</v>
      </c>
      <c r="AE156" s="141">
        <f ca="1"/>
        <v>1.2870467827048201E-2</v>
      </c>
      <c r="AF156" s="141">
        <f ca="1"/>
        <v>1.2870467827048201E-2</v>
      </c>
      <c r="AG156" s="141">
        <f ca="1"/>
        <v>1.2870467827048201E-2</v>
      </c>
      <c r="AH156" s="141">
        <f ca="1"/>
        <v>1.2870467827048201E-2</v>
      </c>
      <c r="AI156" s="141">
        <f ca="1"/>
        <v>1.2870467827048201E-2</v>
      </c>
    </row>
    <row r="157" spans="2:35">
      <c r="B157" s="149">
        <v>4</v>
      </c>
      <c r="C157" s="149">
        <v>2</v>
      </c>
      <c r="D157" s="145" t="str">
        <v xml:space="preserve">Automóvel com reboque </v>
      </c>
      <c r="E157" s="145" t="str">
        <v>Leves</v>
      </c>
      <c r="F157" s="141">
        <f ca="1"/>
        <v>0</v>
      </c>
      <c r="G157" s="141">
        <f ca="1"/>
        <v>0</v>
      </c>
      <c r="H157" s="141">
        <f ca="1"/>
        <v>0</v>
      </c>
      <c r="I157" s="141">
        <f ca="1"/>
        <v>0</v>
      </c>
      <c r="J157" s="141">
        <f ca="1"/>
        <v>0</v>
      </c>
      <c r="K157" s="141">
        <f ca="1"/>
        <v>0</v>
      </c>
      <c r="L157" s="141">
        <f ca="1"/>
        <v>0</v>
      </c>
      <c r="M157" s="141">
        <f ca="1"/>
        <v>0</v>
      </c>
      <c r="N157" s="141">
        <f ca="1"/>
        <v>0</v>
      </c>
      <c r="O157" s="141">
        <f ca="1"/>
        <v>0</v>
      </c>
      <c r="P157" s="141">
        <f ca="1"/>
        <v>0</v>
      </c>
      <c r="Q157" s="141">
        <f ca="1"/>
        <v>0</v>
      </c>
      <c r="R157" s="141">
        <f ca="1"/>
        <v>0</v>
      </c>
      <c r="S157" s="141">
        <f ca="1"/>
        <v>0</v>
      </c>
      <c r="T157" s="141">
        <f ca="1"/>
        <v>0</v>
      </c>
      <c r="U157" s="141">
        <f ca="1"/>
        <v>0</v>
      </c>
      <c r="V157" s="141">
        <f ca="1"/>
        <v>0</v>
      </c>
      <c r="W157" s="141">
        <f ca="1"/>
        <v>0</v>
      </c>
      <c r="X157" s="141">
        <f ca="1"/>
        <v>0</v>
      </c>
      <c r="Y157" s="141">
        <f ca="1"/>
        <v>0</v>
      </c>
      <c r="Z157" s="141">
        <f ca="1"/>
        <v>0</v>
      </c>
      <c r="AA157" s="141">
        <f ca="1"/>
        <v>0</v>
      </c>
      <c r="AB157" s="141">
        <f ca="1"/>
        <v>0</v>
      </c>
      <c r="AC157" s="141">
        <f ca="1"/>
        <v>0</v>
      </c>
      <c r="AD157" s="141">
        <f ca="1"/>
        <v>0</v>
      </c>
      <c r="AE157" s="141">
        <f ca="1"/>
        <v>0</v>
      </c>
      <c r="AF157" s="141">
        <f ca="1"/>
        <v>0</v>
      </c>
      <c r="AG157" s="141">
        <f ca="1"/>
        <v>0</v>
      </c>
      <c r="AH157" s="141">
        <f ca="1"/>
        <v>0</v>
      </c>
      <c r="AI157" s="141">
        <f ca="1"/>
        <v>0</v>
      </c>
    </row>
    <row r="158" spans="2:35">
      <c r="B158" s="149">
        <v>4</v>
      </c>
      <c r="C158" s="149">
        <v>3</v>
      </c>
      <c r="D158" s="145" t="str">
        <v>Veículos Comerciais com 2 Eixos</v>
      </c>
      <c r="E158" s="145" t="str">
        <v>Pesados I</v>
      </c>
      <c r="F158" s="141">
        <f ca="1"/>
        <v>0</v>
      </c>
      <c r="G158" s="141">
        <f ca="1"/>
        <v>0</v>
      </c>
      <c r="H158" s="141">
        <f ca="1"/>
        <v>0</v>
      </c>
      <c r="I158" s="141">
        <f ca="1"/>
        <v>0</v>
      </c>
      <c r="J158" s="141">
        <f ca="1"/>
        <v>0</v>
      </c>
      <c r="K158" s="141">
        <f ca="1"/>
        <v>0</v>
      </c>
      <c r="L158" s="141">
        <f ca="1"/>
        <v>0</v>
      </c>
      <c r="M158" s="141">
        <f ca="1"/>
        <v>0</v>
      </c>
      <c r="N158" s="141">
        <f ca="1"/>
        <v>0</v>
      </c>
      <c r="O158" s="141">
        <f ca="1"/>
        <v>0</v>
      </c>
      <c r="P158" s="141">
        <f ca="1"/>
        <v>0</v>
      </c>
      <c r="Q158" s="141">
        <f ca="1"/>
        <v>0</v>
      </c>
      <c r="R158" s="141">
        <f ca="1"/>
        <v>0</v>
      </c>
      <c r="S158" s="141">
        <f ca="1"/>
        <v>0</v>
      </c>
      <c r="T158" s="141">
        <f ca="1"/>
        <v>0</v>
      </c>
      <c r="U158" s="141">
        <f ca="1"/>
        <v>0</v>
      </c>
      <c r="V158" s="141">
        <f ca="1"/>
        <v>0</v>
      </c>
      <c r="W158" s="141">
        <f ca="1"/>
        <v>0</v>
      </c>
      <c r="X158" s="141">
        <f ca="1"/>
        <v>0</v>
      </c>
      <c r="Y158" s="141">
        <f ca="1"/>
        <v>0</v>
      </c>
      <c r="Z158" s="141">
        <f ca="1"/>
        <v>0</v>
      </c>
      <c r="AA158" s="141">
        <f ca="1"/>
        <v>0</v>
      </c>
      <c r="AB158" s="141">
        <f ca="1"/>
        <v>0</v>
      </c>
      <c r="AC158" s="141">
        <f ca="1"/>
        <v>0</v>
      </c>
      <c r="AD158" s="141">
        <f ca="1"/>
        <v>0</v>
      </c>
      <c r="AE158" s="141">
        <f ca="1"/>
        <v>0</v>
      </c>
      <c r="AF158" s="141">
        <f ca="1"/>
        <v>0</v>
      </c>
      <c r="AG158" s="141">
        <f ca="1"/>
        <v>0</v>
      </c>
      <c r="AH158" s="141">
        <f ca="1"/>
        <v>0</v>
      </c>
      <c r="AI158" s="141">
        <f ca="1"/>
        <v>0</v>
      </c>
    </row>
    <row r="159" spans="2:35">
      <c r="B159" s="149">
        <v>4</v>
      </c>
      <c r="C159" s="149">
        <v>4</v>
      </c>
      <c r="D159" s="145" t="str">
        <v>Veículos Comerciais com 3 Eixos</v>
      </c>
      <c r="E159" s="145" t="str">
        <v>Pesados I</v>
      </c>
      <c r="F159" s="141">
        <f ca="1"/>
        <v>0</v>
      </c>
      <c r="G159" s="141">
        <f ca="1"/>
        <v>0</v>
      </c>
      <c r="H159" s="141">
        <f ca="1"/>
        <v>0</v>
      </c>
      <c r="I159" s="141">
        <f ca="1"/>
        <v>0</v>
      </c>
      <c r="J159" s="141">
        <f ca="1"/>
        <v>0</v>
      </c>
      <c r="K159" s="141">
        <f ca="1"/>
        <v>0</v>
      </c>
      <c r="L159" s="141">
        <f ca="1"/>
        <v>0</v>
      </c>
      <c r="M159" s="141">
        <f ca="1"/>
        <v>0</v>
      </c>
      <c r="N159" s="141">
        <f ca="1"/>
        <v>0</v>
      </c>
      <c r="O159" s="141">
        <f ca="1"/>
        <v>0</v>
      </c>
      <c r="P159" s="141">
        <f ca="1"/>
        <v>0</v>
      </c>
      <c r="Q159" s="141">
        <f ca="1"/>
        <v>0</v>
      </c>
      <c r="R159" s="141">
        <f ca="1"/>
        <v>0</v>
      </c>
      <c r="S159" s="141">
        <f ca="1"/>
        <v>0</v>
      </c>
      <c r="T159" s="141">
        <f ca="1"/>
        <v>0</v>
      </c>
      <c r="U159" s="141">
        <f ca="1"/>
        <v>0</v>
      </c>
      <c r="V159" s="141">
        <f ca="1"/>
        <v>0</v>
      </c>
      <c r="W159" s="141">
        <f ca="1"/>
        <v>0</v>
      </c>
      <c r="X159" s="141">
        <f ca="1"/>
        <v>0</v>
      </c>
      <c r="Y159" s="141">
        <f ca="1"/>
        <v>0</v>
      </c>
      <c r="Z159" s="141">
        <f ca="1"/>
        <v>0</v>
      </c>
      <c r="AA159" s="141">
        <f ca="1"/>
        <v>0</v>
      </c>
      <c r="AB159" s="141">
        <f ca="1"/>
        <v>0</v>
      </c>
      <c r="AC159" s="141">
        <f ca="1"/>
        <v>0</v>
      </c>
      <c r="AD159" s="141">
        <f ca="1"/>
        <v>0</v>
      </c>
      <c r="AE159" s="141">
        <f ca="1"/>
        <v>0</v>
      </c>
      <c r="AF159" s="141">
        <f ca="1"/>
        <v>0</v>
      </c>
      <c r="AG159" s="141">
        <f ca="1"/>
        <v>0</v>
      </c>
      <c r="AH159" s="141">
        <f ca="1"/>
        <v>0</v>
      </c>
      <c r="AI159" s="141">
        <f ca="1"/>
        <v>0</v>
      </c>
    </row>
    <row r="160" spans="2:35">
      <c r="B160" s="149">
        <v>4</v>
      </c>
      <c r="C160" s="149">
        <v>5</v>
      </c>
      <c r="D160" s="145" t="str">
        <v>Veículos Comerciais com 4 Eixos</v>
      </c>
      <c r="E160" s="145" t="str">
        <v>Pesados I</v>
      </c>
      <c r="F160" s="141">
        <f ca="1"/>
        <v>0</v>
      </c>
      <c r="G160" s="141">
        <f ca="1"/>
        <v>0</v>
      </c>
      <c r="H160" s="141">
        <f ca="1"/>
        <v>0</v>
      </c>
      <c r="I160" s="141">
        <f ca="1"/>
        <v>0</v>
      </c>
      <c r="J160" s="141">
        <f ca="1"/>
        <v>0</v>
      </c>
      <c r="K160" s="141">
        <f ca="1"/>
        <v>0</v>
      </c>
      <c r="L160" s="141">
        <f ca="1"/>
        <v>0</v>
      </c>
      <c r="M160" s="141">
        <f ca="1"/>
        <v>0</v>
      </c>
      <c r="N160" s="141">
        <f ca="1"/>
        <v>0</v>
      </c>
      <c r="O160" s="141">
        <f ca="1"/>
        <v>0</v>
      </c>
      <c r="P160" s="141">
        <f ca="1"/>
        <v>0</v>
      </c>
      <c r="Q160" s="141">
        <f ca="1"/>
        <v>0</v>
      </c>
      <c r="R160" s="141">
        <f ca="1"/>
        <v>0</v>
      </c>
      <c r="S160" s="141">
        <f ca="1"/>
        <v>0</v>
      </c>
      <c r="T160" s="141">
        <f ca="1"/>
        <v>0</v>
      </c>
      <c r="U160" s="141">
        <f ca="1"/>
        <v>0</v>
      </c>
      <c r="V160" s="141">
        <f ca="1"/>
        <v>0</v>
      </c>
      <c r="W160" s="141">
        <f ca="1"/>
        <v>0</v>
      </c>
      <c r="X160" s="141">
        <f ca="1"/>
        <v>0</v>
      </c>
      <c r="Y160" s="141">
        <f ca="1"/>
        <v>0</v>
      </c>
      <c r="Z160" s="141">
        <f ca="1"/>
        <v>0</v>
      </c>
      <c r="AA160" s="141">
        <f ca="1"/>
        <v>0</v>
      </c>
      <c r="AB160" s="141">
        <f ca="1"/>
        <v>0</v>
      </c>
      <c r="AC160" s="141">
        <f ca="1"/>
        <v>0</v>
      </c>
      <c r="AD160" s="141">
        <f ca="1"/>
        <v>0</v>
      </c>
      <c r="AE160" s="141">
        <f ca="1"/>
        <v>0</v>
      </c>
      <c r="AF160" s="141">
        <f ca="1"/>
        <v>0</v>
      </c>
      <c r="AG160" s="141">
        <f ca="1"/>
        <v>0</v>
      </c>
      <c r="AH160" s="141">
        <f ca="1"/>
        <v>0</v>
      </c>
      <c r="AI160" s="141">
        <f ca="1"/>
        <v>0</v>
      </c>
    </row>
    <row r="161" spans="2:35">
      <c r="B161" s="149">
        <v>4</v>
      </c>
      <c r="C161" s="149">
        <v>6</v>
      </c>
      <c r="D161" s="145" t="str">
        <v>Veículos Comerciais com 5 Eixos Articulado</v>
      </c>
      <c r="E161" s="145" t="str">
        <v>Pesados II</v>
      </c>
      <c r="F161" s="141">
        <f ca="1"/>
        <v>0</v>
      </c>
      <c r="G161" s="141">
        <f ca="1"/>
        <v>0</v>
      </c>
      <c r="H161" s="141">
        <f ca="1"/>
        <v>0</v>
      </c>
      <c r="I161" s="141">
        <f ca="1"/>
        <v>0</v>
      </c>
      <c r="J161" s="141">
        <f ca="1"/>
        <v>0</v>
      </c>
      <c r="K161" s="141">
        <f ca="1"/>
        <v>0</v>
      </c>
      <c r="L161" s="141">
        <f ca="1"/>
        <v>0</v>
      </c>
      <c r="M161" s="141">
        <f ca="1"/>
        <v>0</v>
      </c>
      <c r="N161" s="141">
        <f ca="1"/>
        <v>0</v>
      </c>
      <c r="O161" s="141">
        <f ca="1"/>
        <v>0</v>
      </c>
      <c r="P161" s="141">
        <f ca="1"/>
        <v>0</v>
      </c>
      <c r="Q161" s="141">
        <f ca="1"/>
        <v>0</v>
      </c>
      <c r="R161" s="141">
        <f ca="1"/>
        <v>0</v>
      </c>
      <c r="S161" s="141">
        <f ca="1"/>
        <v>0</v>
      </c>
      <c r="T161" s="141">
        <f ca="1"/>
        <v>0</v>
      </c>
      <c r="U161" s="141">
        <f ca="1"/>
        <v>0</v>
      </c>
      <c r="V161" s="141">
        <f ca="1"/>
        <v>0</v>
      </c>
      <c r="W161" s="141">
        <f ca="1"/>
        <v>0</v>
      </c>
      <c r="X161" s="141">
        <f ca="1"/>
        <v>0</v>
      </c>
      <c r="Y161" s="141">
        <f ca="1"/>
        <v>0</v>
      </c>
      <c r="Z161" s="141">
        <f ca="1"/>
        <v>0</v>
      </c>
      <c r="AA161" s="141">
        <f ca="1"/>
        <v>0</v>
      </c>
      <c r="AB161" s="141">
        <f ca="1"/>
        <v>0</v>
      </c>
      <c r="AC161" s="141">
        <f ca="1"/>
        <v>0</v>
      </c>
      <c r="AD161" s="141">
        <f ca="1"/>
        <v>0</v>
      </c>
      <c r="AE161" s="141">
        <f ca="1"/>
        <v>0</v>
      </c>
      <c r="AF161" s="141">
        <f ca="1"/>
        <v>0</v>
      </c>
      <c r="AG161" s="141">
        <f ca="1"/>
        <v>0</v>
      </c>
      <c r="AH161" s="141">
        <f ca="1"/>
        <v>0</v>
      </c>
      <c r="AI161" s="141">
        <f ca="1"/>
        <v>0</v>
      </c>
    </row>
    <row r="162" spans="2:35">
      <c r="B162" s="149">
        <v>4</v>
      </c>
      <c r="C162" s="149">
        <v>7</v>
      </c>
      <c r="D162" s="145" t="str">
        <v>Veículos Comerciais com 6 Eixos Articulado</v>
      </c>
      <c r="E162" s="145" t="str">
        <v>Pesados II</v>
      </c>
      <c r="F162" s="141">
        <f ca="1"/>
        <v>0</v>
      </c>
      <c r="G162" s="141">
        <f ca="1"/>
        <v>0</v>
      </c>
      <c r="H162" s="141">
        <f ca="1"/>
        <v>0</v>
      </c>
      <c r="I162" s="141">
        <f ca="1"/>
        <v>0</v>
      </c>
      <c r="J162" s="141">
        <f ca="1"/>
        <v>0</v>
      </c>
      <c r="K162" s="141">
        <f ca="1"/>
        <v>0</v>
      </c>
      <c r="L162" s="141">
        <f ca="1"/>
        <v>0</v>
      </c>
      <c r="M162" s="141">
        <f ca="1"/>
        <v>0</v>
      </c>
      <c r="N162" s="141">
        <f ca="1"/>
        <v>0</v>
      </c>
      <c r="O162" s="141">
        <f ca="1"/>
        <v>0</v>
      </c>
      <c r="P162" s="141">
        <f ca="1"/>
        <v>0</v>
      </c>
      <c r="Q162" s="141">
        <f ca="1"/>
        <v>0</v>
      </c>
      <c r="R162" s="141">
        <f ca="1"/>
        <v>0</v>
      </c>
      <c r="S162" s="141">
        <f ca="1"/>
        <v>0</v>
      </c>
      <c r="T162" s="141">
        <f ca="1"/>
        <v>0</v>
      </c>
      <c r="U162" s="141">
        <f ca="1"/>
        <v>0</v>
      </c>
      <c r="V162" s="141">
        <f ca="1"/>
        <v>0</v>
      </c>
      <c r="W162" s="141">
        <f ca="1"/>
        <v>0</v>
      </c>
      <c r="X162" s="141">
        <f ca="1"/>
        <v>0</v>
      </c>
      <c r="Y162" s="141">
        <f ca="1"/>
        <v>0</v>
      </c>
      <c r="Z162" s="141">
        <f ca="1"/>
        <v>0</v>
      </c>
      <c r="AA162" s="141">
        <f ca="1"/>
        <v>0</v>
      </c>
      <c r="AB162" s="141">
        <f ca="1"/>
        <v>0</v>
      </c>
      <c r="AC162" s="141">
        <f ca="1"/>
        <v>0</v>
      </c>
      <c r="AD162" s="141">
        <f ca="1"/>
        <v>0</v>
      </c>
      <c r="AE162" s="141">
        <f ca="1"/>
        <v>0</v>
      </c>
      <c r="AF162" s="141">
        <f ca="1"/>
        <v>0</v>
      </c>
      <c r="AG162" s="141">
        <f ca="1"/>
        <v>0</v>
      </c>
      <c r="AH162" s="141">
        <f ca="1"/>
        <v>0</v>
      </c>
      <c r="AI162" s="141">
        <f ca="1"/>
        <v>0</v>
      </c>
    </row>
    <row r="163" spans="2:35">
      <c r="B163" s="149">
        <v>4</v>
      </c>
      <c r="C163" s="149">
        <v>8</v>
      </c>
      <c r="D163" s="145" t="str">
        <v>Veículos Comerciais com 7 Eixos Articulado</v>
      </c>
      <c r="E163" s="145" t="str">
        <v>Pesados II</v>
      </c>
      <c r="F163" s="141">
        <f ca="1"/>
        <v>0</v>
      </c>
      <c r="G163" s="141">
        <f ca="1"/>
        <v>0</v>
      </c>
      <c r="H163" s="141">
        <f ca="1"/>
        <v>0</v>
      </c>
      <c r="I163" s="141">
        <f ca="1"/>
        <v>0</v>
      </c>
      <c r="J163" s="141">
        <f ca="1"/>
        <v>0</v>
      </c>
      <c r="K163" s="141">
        <f ca="1"/>
        <v>0</v>
      </c>
      <c r="L163" s="141">
        <f ca="1"/>
        <v>0</v>
      </c>
      <c r="M163" s="141">
        <f ca="1"/>
        <v>0</v>
      </c>
      <c r="N163" s="141">
        <f ca="1"/>
        <v>0</v>
      </c>
      <c r="O163" s="141">
        <f ca="1"/>
        <v>0</v>
      </c>
      <c r="P163" s="141">
        <f ca="1"/>
        <v>0</v>
      </c>
      <c r="Q163" s="141">
        <f ca="1"/>
        <v>0</v>
      </c>
      <c r="R163" s="141">
        <f ca="1"/>
        <v>0</v>
      </c>
      <c r="S163" s="141">
        <f ca="1"/>
        <v>0</v>
      </c>
      <c r="T163" s="141">
        <f ca="1"/>
        <v>0</v>
      </c>
      <c r="U163" s="141">
        <f ca="1"/>
        <v>0</v>
      </c>
      <c r="V163" s="141">
        <f ca="1"/>
        <v>0</v>
      </c>
      <c r="W163" s="141">
        <f ca="1"/>
        <v>0</v>
      </c>
      <c r="X163" s="141">
        <f ca="1"/>
        <v>0</v>
      </c>
      <c r="Y163" s="141">
        <f ca="1"/>
        <v>0</v>
      </c>
      <c r="Z163" s="141">
        <f ca="1"/>
        <v>0</v>
      </c>
      <c r="AA163" s="141">
        <f ca="1"/>
        <v>0</v>
      </c>
      <c r="AB163" s="141">
        <f ca="1"/>
        <v>0</v>
      </c>
      <c r="AC163" s="141">
        <f ca="1"/>
        <v>0</v>
      </c>
      <c r="AD163" s="141">
        <f ca="1"/>
        <v>0</v>
      </c>
      <c r="AE163" s="141">
        <f ca="1"/>
        <v>0</v>
      </c>
      <c r="AF163" s="141">
        <f ca="1"/>
        <v>0</v>
      </c>
      <c r="AG163" s="141">
        <f ca="1"/>
        <v>0</v>
      </c>
      <c r="AH163" s="141">
        <f ca="1"/>
        <v>0</v>
      </c>
      <c r="AI163" s="141">
        <f ca="1"/>
        <v>0</v>
      </c>
    </row>
    <row r="164" spans="2:35">
      <c r="B164" s="149">
        <v>4</v>
      </c>
      <c r="C164" s="149">
        <v>9</v>
      </c>
      <c r="D164" s="145" t="str">
        <v>Veículos Comerciais com 8 Eixos Articulado</v>
      </c>
      <c r="E164" s="141" t="str">
        <v>Pesados II</v>
      </c>
      <c r="F164" s="141">
        <f ca="1"/>
        <v>0</v>
      </c>
      <c r="G164" s="141">
        <f ca="1"/>
        <v>0</v>
      </c>
      <c r="H164" s="141">
        <f ca="1"/>
        <v>0</v>
      </c>
      <c r="I164" s="141">
        <f ca="1"/>
        <v>0</v>
      </c>
      <c r="J164" s="141">
        <f ca="1"/>
        <v>0</v>
      </c>
      <c r="K164" s="141">
        <f ca="1"/>
        <v>0</v>
      </c>
      <c r="L164" s="141">
        <f ca="1"/>
        <v>0</v>
      </c>
      <c r="M164" s="141">
        <f ca="1"/>
        <v>0</v>
      </c>
      <c r="N164" s="141">
        <f ca="1"/>
        <v>0</v>
      </c>
      <c r="O164" s="141">
        <f ca="1"/>
        <v>0</v>
      </c>
      <c r="P164" s="141">
        <f ca="1"/>
        <v>0</v>
      </c>
      <c r="Q164" s="141">
        <f ca="1"/>
        <v>0</v>
      </c>
      <c r="R164" s="141">
        <f ca="1"/>
        <v>0</v>
      </c>
      <c r="S164" s="141">
        <f ca="1"/>
        <v>0</v>
      </c>
      <c r="T164" s="141">
        <f ca="1"/>
        <v>0</v>
      </c>
      <c r="U164" s="141">
        <f ca="1"/>
        <v>0</v>
      </c>
      <c r="V164" s="141">
        <f ca="1"/>
        <v>0</v>
      </c>
      <c r="W164" s="141">
        <f ca="1"/>
        <v>0</v>
      </c>
      <c r="X164" s="141">
        <f ca="1"/>
        <v>0</v>
      </c>
      <c r="Y164" s="141">
        <f ca="1"/>
        <v>0</v>
      </c>
      <c r="Z164" s="141">
        <f ca="1"/>
        <v>0</v>
      </c>
      <c r="AA164" s="141">
        <f ca="1"/>
        <v>0</v>
      </c>
      <c r="AB164" s="141">
        <f ca="1"/>
        <v>0</v>
      </c>
      <c r="AC164" s="141">
        <f ca="1"/>
        <v>0</v>
      </c>
      <c r="AD164" s="141">
        <f ca="1"/>
        <v>0</v>
      </c>
      <c r="AE164" s="141">
        <f ca="1"/>
        <v>0</v>
      </c>
      <c r="AF164" s="141">
        <f ca="1"/>
        <v>0</v>
      </c>
      <c r="AG164" s="141">
        <f ca="1"/>
        <v>0</v>
      </c>
      <c r="AH164" s="141">
        <f ca="1"/>
        <v>0</v>
      </c>
      <c r="AI164" s="141">
        <f ca="1"/>
        <v>0</v>
      </c>
    </row>
    <row r="165" spans="2:35">
      <c r="B165" s="149">
        <v>4</v>
      </c>
      <c r="C165" s="149">
        <v>10</v>
      </c>
      <c r="D165" s="145" t="str">
        <v>Veículos Comerciais com 9 Eixos Articulado</v>
      </c>
      <c r="E165" s="141" t="str">
        <v>Pesados II</v>
      </c>
      <c r="F165" s="141">
        <f ca="1"/>
        <v>0</v>
      </c>
      <c r="G165" s="141">
        <f ca="1"/>
        <v>0</v>
      </c>
      <c r="H165" s="141">
        <f ca="1"/>
        <v>0</v>
      </c>
      <c r="I165" s="141">
        <f ca="1"/>
        <v>0</v>
      </c>
      <c r="J165" s="141">
        <f ca="1"/>
        <v>0</v>
      </c>
      <c r="K165" s="141">
        <f ca="1"/>
        <v>0</v>
      </c>
      <c r="L165" s="141">
        <f ca="1"/>
        <v>0</v>
      </c>
      <c r="M165" s="141">
        <f ca="1"/>
        <v>0</v>
      </c>
      <c r="N165" s="141">
        <f ca="1"/>
        <v>0</v>
      </c>
      <c r="O165" s="141">
        <f ca="1"/>
        <v>0</v>
      </c>
      <c r="P165" s="141">
        <f ca="1"/>
        <v>0</v>
      </c>
      <c r="Q165" s="141">
        <f ca="1"/>
        <v>0</v>
      </c>
      <c r="R165" s="141">
        <f ca="1"/>
        <v>0</v>
      </c>
      <c r="S165" s="141">
        <f ca="1"/>
        <v>0</v>
      </c>
      <c r="T165" s="141">
        <f ca="1"/>
        <v>0</v>
      </c>
      <c r="U165" s="141">
        <f ca="1"/>
        <v>0</v>
      </c>
      <c r="V165" s="141">
        <f ca="1"/>
        <v>0</v>
      </c>
      <c r="W165" s="141">
        <f ca="1"/>
        <v>0</v>
      </c>
      <c r="X165" s="141">
        <f ca="1"/>
        <v>0</v>
      </c>
      <c r="Y165" s="141">
        <f ca="1"/>
        <v>0</v>
      </c>
      <c r="Z165" s="141">
        <f ca="1"/>
        <v>0</v>
      </c>
      <c r="AA165" s="141">
        <f ca="1"/>
        <v>0</v>
      </c>
      <c r="AB165" s="141">
        <f ca="1"/>
        <v>0</v>
      </c>
      <c r="AC165" s="141">
        <f ca="1"/>
        <v>0</v>
      </c>
      <c r="AD165" s="141">
        <f ca="1"/>
        <v>0</v>
      </c>
      <c r="AE165" s="141">
        <f ca="1"/>
        <v>0</v>
      </c>
      <c r="AF165" s="141">
        <f ca="1"/>
        <v>0</v>
      </c>
      <c r="AG165" s="141">
        <f ca="1"/>
        <v>0</v>
      </c>
      <c r="AH165" s="141">
        <f ca="1"/>
        <v>0</v>
      </c>
      <c r="AI165" s="141">
        <f ca="1"/>
        <v>0</v>
      </c>
    </row>
    <row r="166" spans="2:35">
      <c r="B166" s="149">
        <v>4</v>
      </c>
      <c r="C166" s="149">
        <v>11</v>
      </c>
      <c r="D166" s="145" t="str">
        <v>Motocicleta</v>
      </c>
      <c r="E166" s="141" t="str">
        <v>Leves</v>
      </c>
      <c r="F166" s="141">
        <f ca="1"/>
        <v>3.6545772842235627E-3</v>
      </c>
      <c r="G166" s="141">
        <f ca="1"/>
        <v>4.7668399359437784E-3</v>
      </c>
      <c r="H166" s="141">
        <f ca="1"/>
        <v>6.5146812457898299E-3</v>
      </c>
      <c r="I166" s="141">
        <f ca="1"/>
        <v>7.9447332265729625E-3</v>
      </c>
      <c r="J166" s="141">
        <f ca="1"/>
        <v>9.2158905428246368E-3</v>
      </c>
      <c r="K166" s="141">
        <f ca="1"/>
        <v>1.0169258530013393E-2</v>
      </c>
      <c r="L166" s="141">
        <f ca="1"/>
        <v>1.0963731852670687E-2</v>
      </c>
      <c r="M166" s="141">
        <f ca="1"/>
        <v>1.1758205175327984E-2</v>
      </c>
      <c r="N166" s="141">
        <f ca="1"/>
        <v>1.2393783833453822E-2</v>
      </c>
      <c r="O166" s="141">
        <f ca="1"/>
        <v>1.271157316251674E-2</v>
      </c>
      <c r="P166" s="141">
        <f ca="1"/>
        <v>1.2870467827048201E-2</v>
      </c>
      <c r="Q166" s="141">
        <f ca="1"/>
        <v>1.2870467827048201E-2</v>
      </c>
      <c r="R166" s="141">
        <f ca="1"/>
        <v>1.2870467827048201E-2</v>
      </c>
      <c r="S166" s="141">
        <f ca="1"/>
        <v>1.2870467827048201E-2</v>
      </c>
      <c r="T166" s="141">
        <f ca="1"/>
        <v>1.2870467827048201E-2</v>
      </c>
      <c r="U166" s="141">
        <f ca="1"/>
        <v>1.2870467827048201E-2</v>
      </c>
      <c r="V166" s="141">
        <f ca="1"/>
        <v>1.2870467827048201E-2</v>
      </c>
      <c r="W166" s="141">
        <f ca="1"/>
        <v>1.2870467827048201E-2</v>
      </c>
      <c r="X166" s="141">
        <f ca="1"/>
        <v>1.2870467827048201E-2</v>
      </c>
      <c r="Y166" s="141">
        <f ca="1"/>
        <v>1.2870467827048201E-2</v>
      </c>
      <c r="Z166" s="141">
        <f ca="1"/>
        <v>1.2870467827048201E-2</v>
      </c>
      <c r="AA166" s="141">
        <f ca="1"/>
        <v>1.2870467827048201E-2</v>
      </c>
      <c r="AB166" s="141">
        <f ca="1"/>
        <v>1.2870467827048201E-2</v>
      </c>
      <c r="AC166" s="141">
        <f ca="1"/>
        <v>1.2870467827048201E-2</v>
      </c>
      <c r="AD166" s="141">
        <f ca="1"/>
        <v>1.2870467827048201E-2</v>
      </c>
      <c r="AE166" s="141">
        <f ca="1"/>
        <v>1.2870467827048201E-2</v>
      </c>
      <c r="AF166" s="141">
        <f ca="1"/>
        <v>1.2870467827048201E-2</v>
      </c>
      <c r="AG166" s="141">
        <f ca="1"/>
        <v>1.2870467827048201E-2</v>
      </c>
      <c r="AH166" s="141">
        <f ca="1"/>
        <v>1.2870467827048201E-2</v>
      </c>
      <c r="AI166" s="141">
        <f ca="1"/>
        <v>1.2870467827048201E-2</v>
      </c>
    </row>
    <row r="167" spans="2:35">
      <c r="B167" s="149">
        <v>4</v>
      </c>
      <c r="C167" s="149">
        <v>12</v>
      </c>
      <c r="D167" s="145" t="str">
        <v xml:space="preserve">Veículos do transporte público coletivo intermunicipal e metropolitano </v>
      </c>
      <c r="E167" s="141" t="str">
        <v>Pesados I</v>
      </c>
      <c r="F167" s="141">
        <f ca="1"/>
        <v>0</v>
      </c>
      <c r="G167" s="141">
        <f ca="1"/>
        <v>0</v>
      </c>
      <c r="H167" s="141">
        <f ca="1"/>
        <v>0</v>
      </c>
      <c r="I167" s="141">
        <f ca="1"/>
        <v>0</v>
      </c>
      <c r="J167" s="141">
        <f ca="1"/>
        <v>0</v>
      </c>
      <c r="K167" s="141">
        <f ca="1"/>
        <v>0</v>
      </c>
      <c r="L167" s="141">
        <f ca="1"/>
        <v>0</v>
      </c>
      <c r="M167" s="141">
        <f ca="1"/>
        <v>0</v>
      </c>
      <c r="N167" s="141">
        <f ca="1"/>
        <v>0</v>
      </c>
      <c r="O167" s="141">
        <f ca="1"/>
        <v>0</v>
      </c>
      <c r="P167" s="141">
        <f ca="1"/>
        <v>0</v>
      </c>
      <c r="Q167" s="141">
        <f ca="1"/>
        <v>0</v>
      </c>
      <c r="R167" s="141">
        <f ca="1"/>
        <v>0</v>
      </c>
      <c r="S167" s="141">
        <f ca="1"/>
        <v>0</v>
      </c>
      <c r="T167" s="141">
        <f ca="1"/>
        <v>0</v>
      </c>
      <c r="U167" s="141">
        <f ca="1"/>
        <v>0</v>
      </c>
      <c r="V167" s="141">
        <f ca="1"/>
        <v>0</v>
      </c>
      <c r="W167" s="141">
        <f ca="1"/>
        <v>0</v>
      </c>
      <c r="X167" s="141">
        <f ca="1"/>
        <v>0</v>
      </c>
      <c r="Y167" s="141">
        <f ca="1"/>
        <v>0</v>
      </c>
      <c r="Z167" s="141">
        <f ca="1"/>
        <v>0</v>
      </c>
      <c r="AA167" s="141">
        <f ca="1"/>
        <v>0</v>
      </c>
      <c r="AB167" s="141">
        <f ca="1"/>
        <v>0</v>
      </c>
      <c r="AC167" s="141">
        <f ca="1"/>
        <v>0</v>
      </c>
      <c r="AD167" s="141">
        <f ca="1"/>
        <v>0</v>
      </c>
      <c r="AE167" s="141">
        <f ca="1"/>
        <v>0</v>
      </c>
      <c r="AF167" s="141">
        <f ca="1"/>
        <v>0</v>
      </c>
      <c r="AG167" s="141">
        <f ca="1"/>
        <v>0</v>
      </c>
      <c r="AH167" s="141">
        <f ca="1"/>
        <v>0</v>
      </c>
      <c r="AI167" s="141">
        <f ca="1"/>
        <v>0</v>
      </c>
    </row>
    <row r="168" spans="2:35">
      <c r="G168" s="3"/>
    </row>
    <row r="169" spans="2:35">
      <c r="B169" s="2" t="s">
        <v>622</v>
      </c>
    </row>
    <row r="170" spans="2:35">
      <c r="B170" s="46" t="str" cm="1">
        <f t="array" ref="B170:D218">B119:D167</f>
        <v>Pórtico</v>
      </c>
      <c r="C170" s="46" t="str">
        <v>Categoria</v>
      </c>
      <c r="D170" s="46" t="str">
        <v>Categoria de Veículo</v>
      </c>
      <c r="E170" s="150" t="str" cm="1">
        <f t="array" ref="E170:AH170">_xlfn.ANCHORARRAY(F119)</f>
        <v>Ano 1</v>
      </c>
      <c r="F170" s="150" t="str">
        <v>Ano 2</v>
      </c>
      <c r="G170" s="46" t="str">
        <v>Ano 3</v>
      </c>
      <c r="H170" s="46" t="str">
        <v>Ano 4</v>
      </c>
      <c r="I170" s="46" t="str">
        <v>Ano 5</v>
      </c>
      <c r="J170" s="46" t="str">
        <v>Ano 6</v>
      </c>
      <c r="K170" s="46" t="str">
        <v>Ano 7</v>
      </c>
      <c r="L170" s="46" t="str">
        <v>Ano 8</v>
      </c>
      <c r="M170" s="46" t="str">
        <v>Ano 9</v>
      </c>
      <c r="N170" s="46" t="str">
        <v>Ano 10</v>
      </c>
      <c r="O170" s="46" t="str">
        <v>Ano 11</v>
      </c>
      <c r="P170" s="46" t="str">
        <v>Ano 12</v>
      </c>
      <c r="Q170" s="46" t="str">
        <v>Ano 13</v>
      </c>
      <c r="R170" s="46" t="str">
        <v>Ano 14</v>
      </c>
      <c r="S170" s="46" t="str">
        <v>Ano 15</v>
      </c>
      <c r="T170" s="46" t="str">
        <v>Ano 16</v>
      </c>
      <c r="U170" s="46" t="str">
        <v>Ano 17</v>
      </c>
      <c r="V170" s="46" t="str">
        <v>Ano 18</v>
      </c>
      <c r="W170" s="46" t="str">
        <v>Ano 19</v>
      </c>
      <c r="X170" s="46" t="str">
        <v>Ano 20</v>
      </c>
      <c r="Y170" s="46" t="str">
        <v>Ano 21</v>
      </c>
      <c r="Z170" s="46" t="str">
        <v>Ano 22</v>
      </c>
      <c r="AA170" s="46" t="str">
        <v>Ano 23</v>
      </c>
      <c r="AB170" s="46" t="str">
        <v>Ano 24</v>
      </c>
      <c r="AC170" s="46" t="str">
        <v>Ano 25</v>
      </c>
      <c r="AD170" s="46" t="str">
        <v>Ano 26</v>
      </c>
      <c r="AE170" s="46" t="str">
        <v>Ano 27</v>
      </c>
      <c r="AF170" s="46" t="str">
        <v>Ano 28</v>
      </c>
      <c r="AG170" s="179" t="str">
        <v>Ano 29</v>
      </c>
      <c r="AH170" s="46" t="str">
        <v>Ano 30</v>
      </c>
    </row>
    <row r="171" spans="2:35">
      <c r="B171" s="149">
        <v>1</v>
      </c>
      <c r="C171" s="149">
        <v>1</v>
      </c>
      <c r="D171" s="361" t="str">
        <v>Automóvel</v>
      </c>
      <c r="E171" s="147" cm="1">
        <f t="array" aca="1" ref="E171:AH218" ca="1">D67:AG114 * F120:AI167</f>
        <v>0</v>
      </c>
      <c r="F171" s="147">
        <f ca="1"/>
        <v>275464.44389094884</v>
      </c>
      <c r="G171" s="362">
        <f ca="1"/>
        <v>522678.78481308965</v>
      </c>
      <c r="H171" s="147">
        <f ca="1"/>
        <v>663864.61536019971</v>
      </c>
      <c r="I171" s="147">
        <f ca="1"/>
        <v>1122988.2366166902</v>
      </c>
      <c r="J171" s="147">
        <f ca="1"/>
        <v>1290490.2993512712</v>
      </c>
      <c r="K171" s="147">
        <f ca="1"/>
        <v>1448024.9942880217</v>
      </c>
      <c r="L171" s="147">
        <f ca="1"/>
        <v>1614764.2680733607</v>
      </c>
      <c r="M171" s="147">
        <f ca="1"/>
        <v>1767764.4172855821</v>
      </c>
      <c r="N171" s="147">
        <f ca="1"/>
        <v>1880610.4179688876</v>
      </c>
      <c r="O171" s="147">
        <f ca="1"/>
        <v>1972097.4773637622</v>
      </c>
      <c r="P171" s="147">
        <f ca="1"/>
        <v>2039194.1257012698</v>
      </c>
      <c r="Q171" s="147">
        <f ca="1"/>
        <v>2105002.7249564198</v>
      </c>
      <c r="R171" s="147">
        <f ca="1"/>
        <v>2169119.62777563</v>
      </c>
      <c r="S171" s="147">
        <f ca="1"/>
        <v>2231123.2662688214</v>
      </c>
      <c r="T171" s="147">
        <f ca="1"/>
        <v>2290606.9669895605</v>
      </c>
      <c r="U171" s="147">
        <f ca="1"/>
        <v>2347264.5627888478</v>
      </c>
      <c r="V171" s="147">
        <f ca="1"/>
        <v>2400829.4605703102</v>
      </c>
      <c r="W171" s="147">
        <f ca="1"/>
        <v>2451020.8837558096</v>
      </c>
      <c r="X171" s="147">
        <f ca="1"/>
        <v>2497593.465595393</v>
      </c>
      <c r="Y171" s="147">
        <f ca="1"/>
        <v>2540290.4641665723</v>
      </c>
      <c r="Z171" s="147">
        <f ca="1"/>
        <v>2578909.5179921193</v>
      </c>
      <c r="AA171" s="147">
        <f ca="1"/>
        <v>2613293.8298492846</v>
      </c>
      <c r="AB171" s="147">
        <f ca="1"/>
        <v>2643271.2819754486</v>
      </c>
      <c r="AC171" s="147">
        <f ca="1"/>
        <v>2668678.4479544549</v>
      </c>
      <c r="AD171" s="147">
        <f ca="1"/>
        <v>2689396.8786924593</v>
      </c>
      <c r="AE171" s="147">
        <f ca="1"/>
        <v>2705329.1486320589</v>
      </c>
      <c r="AF171" s="147">
        <f ca="1"/>
        <v>2716354.987320581</v>
      </c>
      <c r="AG171" s="147">
        <f ca="1"/>
        <v>2722366.2910749009</v>
      </c>
      <c r="AH171" s="147">
        <f ca="1"/>
        <v>2723278.16391942</v>
      </c>
    </row>
    <row r="172" spans="2:35">
      <c r="B172" s="149">
        <v>1</v>
      </c>
      <c r="C172" s="149">
        <v>2</v>
      </c>
      <c r="D172" s="361" t="str">
        <v xml:space="preserve">Automóvel com reboque </v>
      </c>
      <c r="E172" s="147">
        <f ca="1"/>
        <v>0</v>
      </c>
      <c r="F172" s="147">
        <f ca="1"/>
        <v>0</v>
      </c>
      <c r="G172" s="362">
        <f ca="1"/>
        <v>0</v>
      </c>
      <c r="H172" s="147">
        <f ca="1"/>
        <v>0</v>
      </c>
      <c r="I172" s="147">
        <f ca="1"/>
        <v>0</v>
      </c>
      <c r="J172" s="147">
        <f ca="1"/>
        <v>0</v>
      </c>
      <c r="K172" s="147">
        <f ca="1"/>
        <v>0</v>
      </c>
      <c r="L172" s="147">
        <f ca="1"/>
        <v>0</v>
      </c>
      <c r="M172" s="147">
        <f ca="1"/>
        <v>0</v>
      </c>
      <c r="N172" s="147">
        <f ca="1"/>
        <v>0</v>
      </c>
      <c r="O172" s="147">
        <f ca="1"/>
        <v>0</v>
      </c>
      <c r="P172" s="147">
        <f ca="1"/>
        <v>0</v>
      </c>
      <c r="Q172" s="147">
        <f ca="1"/>
        <v>0</v>
      </c>
      <c r="R172" s="147">
        <f ca="1"/>
        <v>0</v>
      </c>
      <c r="S172" s="147">
        <f ca="1"/>
        <v>0</v>
      </c>
      <c r="T172" s="147">
        <f ca="1"/>
        <v>0</v>
      </c>
      <c r="U172" s="147">
        <f ca="1"/>
        <v>0</v>
      </c>
      <c r="V172" s="147">
        <f ca="1"/>
        <v>0</v>
      </c>
      <c r="W172" s="147">
        <f ca="1"/>
        <v>0</v>
      </c>
      <c r="X172" s="147">
        <f ca="1"/>
        <v>0</v>
      </c>
      <c r="Y172" s="147">
        <f ca="1"/>
        <v>0</v>
      </c>
      <c r="Z172" s="147">
        <f ca="1"/>
        <v>0</v>
      </c>
      <c r="AA172" s="147">
        <f ca="1"/>
        <v>0</v>
      </c>
      <c r="AB172" s="147">
        <f ca="1"/>
        <v>0</v>
      </c>
      <c r="AC172" s="147">
        <f ca="1"/>
        <v>0</v>
      </c>
      <c r="AD172" s="147">
        <f ca="1"/>
        <v>0</v>
      </c>
      <c r="AE172" s="147">
        <f ca="1"/>
        <v>0</v>
      </c>
      <c r="AF172" s="147">
        <f ca="1"/>
        <v>0</v>
      </c>
      <c r="AG172" s="147">
        <f ca="1"/>
        <v>0</v>
      </c>
      <c r="AH172" s="147">
        <f ca="1"/>
        <v>0</v>
      </c>
    </row>
    <row r="173" spans="2:35">
      <c r="B173" s="149">
        <v>1</v>
      </c>
      <c r="C173" s="149">
        <v>3</v>
      </c>
      <c r="D173" s="361" t="str">
        <v>Veículos Comerciais com 2 Eixos</v>
      </c>
      <c r="E173" s="147">
        <f ca="1"/>
        <v>0</v>
      </c>
      <c r="F173" s="147">
        <f ca="1"/>
        <v>0</v>
      </c>
      <c r="G173" s="362">
        <f ca="1"/>
        <v>0</v>
      </c>
      <c r="H173" s="147">
        <f ca="1"/>
        <v>0</v>
      </c>
      <c r="I173" s="147">
        <f ca="1"/>
        <v>0</v>
      </c>
      <c r="J173" s="147">
        <f ca="1"/>
        <v>0</v>
      </c>
      <c r="K173" s="147">
        <f ca="1"/>
        <v>0</v>
      </c>
      <c r="L173" s="147">
        <f ca="1"/>
        <v>0</v>
      </c>
      <c r="M173" s="147">
        <f ca="1"/>
        <v>0</v>
      </c>
      <c r="N173" s="147">
        <f ca="1"/>
        <v>0</v>
      </c>
      <c r="O173" s="147">
        <f ca="1"/>
        <v>0</v>
      </c>
      <c r="P173" s="147">
        <f ca="1"/>
        <v>0</v>
      </c>
      <c r="Q173" s="147">
        <f ca="1"/>
        <v>0</v>
      </c>
      <c r="R173" s="147">
        <f ca="1"/>
        <v>0</v>
      </c>
      <c r="S173" s="147">
        <f ca="1"/>
        <v>0</v>
      </c>
      <c r="T173" s="147">
        <f ca="1"/>
        <v>0</v>
      </c>
      <c r="U173" s="147">
        <f ca="1"/>
        <v>0</v>
      </c>
      <c r="V173" s="147">
        <f ca="1"/>
        <v>0</v>
      </c>
      <c r="W173" s="147">
        <f ca="1"/>
        <v>0</v>
      </c>
      <c r="X173" s="147">
        <f ca="1"/>
        <v>0</v>
      </c>
      <c r="Y173" s="147">
        <f ca="1"/>
        <v>0</v>
      </c>
      <c r="Z173" s="147">
        <f ca="1"/>
        <v>0</v>
      </c>
      <c r="AA173" s="147">
        <f ca="1"/>
        <v>0</v>
      </c>
      <c r="AB173" s="147">
        <f ca="1"/>
        <v>0</v>
      </c>
      <c r="AC173" s="147">
        <f ca="1"/>
        <v>0</v>
      </c>
      <c r="AD173" s="147">
        <f ca="1"/>
        <v>0</v>
      </c>
      <c r="AE173" s="147">
        <f ca="1"/>
        <v>0</v>
      </c>
      <c r="AF173" s="147">
        <f ca="1"/>
        <v>0</v>
      </c>
      <c r="AG173" s="147">
        <f ca="1"/>
        <v>0</v>
      </c>
      <c r="AH173" s="147">
        <f ca="1"/>
        <v>0</v>
      </c>
    </row>
    <row r="174" spans="2:35">
      <c r="B174" s="149">
        <v>1</v>
      </c>
      <c r="C174" s="149">
        <v>4</v>
      </c>
      <c r="D174" s="361" t="str">
        <v>Veículos Comerciais com 3 Eixos</v>
      </c>
      <c r="E174" s="147">
        <f ca="1"/>
        <v>0</v>
      </c>
      <c r="F174" s="147">
        <f ca="1"/>
        <v>0</v>
      </c>
      <c r="G174" s="362">
        <f ca="1"/>
        <v>0</v>
      </c>
      <c r="H174" s="147">
        <f ca="1"/>
        <v>0</v>
      </c>
      <c r="I174" s="147">
        <f ca="1"/>
        <v>0</v>
      </c>
      <c r="J174" s="147">
        <f ca="1"/>
        <v>0</v>
      </c>
      <c r="K174" s="147">
        <f ca="1"/>
        <v>0</v>
      </c>
      <c r="L174" s="147">
        <f ca="1"/>
        <v>0</v>
      </c>
      <c r="M174" s="147">
        <f ca="1"/>
        <v>0</v>
      </c>
      <c r="N174" s="147">
        <f ca="1"/>
        <v>0</v>
      </c>
      <c r="O174" s="147">
        <f ca="1"/>
        <v>0</v>
      </c>
      <c r="P174" s="147">
        <f ca="1"/>
        <v>0</v>
      </c>
      <c r="Q174" s="147">
        <f ca="1"/>
        <v>0</v>
      </c>
      <c r="R174" s="147">
        <f ca="1"/>
        <v>0</v>
      </c>
      <c r="S174" s="147">
        <f ca="1"/>
        <v>0</v>
      </c>
      <c r="T174" s="147">
        <f ca="1"/>
        <v>0</v>
      </c>
      <c r="U174" s="147">
        <f ca="1"/>
        <v>0</v>
      </c>
      <c r="V174" s="147">
        <f ca="1"/>
        <v>0</v>
      </c>
      <c r="W174" s="147">
        <f ca="1"/>
        <v>0</v>
      </c>
      <c r="X174" s="147">
        <f ca="1"/>
        <v>0</v>
      </c>
      <c r="Y174" s="147">
        <f ca="1"/>
        <v>0</v>
      </c>
      <c r="Z174" s="147">
        <f ca="1"/>
        <v>0</v>
      </c>
      <c r="AA174" s="147">
        <f ca="1"/>
        <v>0</v>
      </c>
      <c r="AB174" s="147">
        <f ca="1"/>
        <v>0</v>
      </c>
      <c r="AC174" s="147">
        <f ca="1"/>
        <v>0</v>
      </c>
      <c r="AD174" s="147">
        <f ca="1"/>
        <v>0</v>
      </c>
      <c r="AE174" s="147">
        <f ca="1"/>
        <v>0</v>
      </c>
      <c r="AF174" s="147">
        <f ca="1"/>
        <v>0</v>
      </c>
      <c r="AG174" s="147">
        <f ca="1"/>
        <v>0</v>
      </c>
      <c r="AH174" s="147">
        <f ca="1"/>
        <v>0</v>
      </c>
    </row>
    <row r="175" spans="2:35">
      <c r="B175" s="149">
        <v>1</v>
      </c>
      <c r="C175" s="149">
        <v>5</v>
      </c>
      <c r="D175" s="145" t="str">
        <v>Veículos Comerciais com 4 Eixos</v>
      </c>
      <c r="E175" s="310">
        <f ca="1"/>
        <v>0</v>
      </c>
      <c r="F175" s="310">
        <f ca="1"/>
        <v>0</v>
      </c>
      <c r="G175" s="147">
        <f ca="1"/>
        <v>0</v>
      </c>
      <c r="H175" s="147">
        <f ca="1"/>
        <v>0</v>
      </c>
      <c r="I175" s="147">
        <f ca="1"/>
        <v>0</v>
      </c>
      <c r="J175" s="147">
        <f ca="1"/>
        <v>0</v>
      </c>
      <c r="K175" s="147">
        <f ca="1"/>
        <v>0</v>
      </c>
      <c r="L175" s="147">
        <f ca="1"/>
        <v>0</v>
      </c>
      <c r="M175" s="147">
        <f ca="1"/>
        <v>0</v>
      </c>
      <c r="N175" s="147">
        <f ca="1"/>
        <v>0</v>
      </c>
      <c r="O175" s="147">
        <f ca="1"/>
        <v>0</v>
      </c>
      <c r="P175" s="147">
        <f ca="1"/>
        <v>0</v>
      </c>
      <c r="Q175" s="147">
        <f ca="1"/>
        <v>0</v>
      </c>
      <c r="R175" s="147">
        <f ca="1"/>
        <v>0</v>
      </c>
      <c r="S175" s="147">
        <f ca="1"/>
        <v>0</v>
      </c>
      <c r="T175" s="147">
        <f ca="1"/>
        <v>0</v>
      </c>
      <c r="U175" s="147">
        <f ca="1"/>
        <v>0</v>
      </c>
      <c r="V175" s="147">
        <f ca="1"/>
        <v>0</v>
      </c>
      <c r="W175" s="147">
        <f ca="1"/>
        <v>0</v>
      </c>
      <c r="X175" s="147">
        <f ca="1"/>
        <v>0</v>
      </c>
      <c r="Y175" s="147">
        <f ca="1"/>
        <v>0</v>
      </c>
      <c r="Z175" s="147">
        <f ca="1"/>
        <v>0</v>
      </c>
      <c r="AA175" s="147">
        <f ca="1"/>
        <v>0</v>
      </c>
      <c r="AB175" s="147">
        <f ca="1"/>
        <v>0</v>
      </c>
      <c r="AC175" s="147">
        <f ca="1"/>
        <v>0</v>
      </c>
      <c r="AD175" s="147">
        <f ca="1"/>
        <v>0</v>
      </c>
      <c r="AE175" s="147">
        <f ca="1"/>
        <v>0</v>
      </c>
      <c r="AF175" s="147">
        <f ca="1"/>
        <v>0</v>
      </c>
      <c r="AG175" s="147">
        <f ca="1"/>
        <v>0</v>
      </c>
      <c r="AH175" s="147">
        <f ca="1"/>
        <v>0</v>
      </c>
    </row>
    <row r="176" spans="2:35">
      <c r="B176" s="149">
        <v>1</v>
      </c>
      <c r="C176" s="149">
        <v>6</v>
      </c>
      <c r="D176" s="145" t="str">
        <v>Veículos Comerciais com 5 Eixos Articulado</v>
      </c>
      <c r="E176" s="147">
        <f ca="1"/>
        <v>0</v>
      </c>
      <c r="F176" s="147">
        <f ca="1"/>
        <v>0</v>
      </c>
      <c r="G176" s="147">
        <f ca="1"/>
        <v>0</v>
      </c>
      <c r="H176" s="147">
        <f ca="1"/>
        <v>0</v>
      </c>
      <c r="I176" s="147">
        <f ca="1"/>
        <v>0</v>
      </c>
      <c r="J176" s="147">
        <f ca="1"/>
        <v>0</v>
      </c>
      <c r="K176" s="147">
        <f ca="1"/>
        <v>0</v>
      </c>
      <c r="L176" s="147">
        <f ca="1"/>
        <v>0</v>
      </c>
      <c r="M176" s="147">
        <f ca="1"/>
        <v>0</v>
      </c>
      <c r="N176" s="147">
        <f ca="1"/>
        <v>0</v>
      </c>
      <c r="O176" s="147">
        <f ca="1"/>
        <v>0</v>
      </c>
      <c r="P176" s="147">
        <f ca="1"/>
        <v>0</v>
      </c>
      <c r="Q176" s="147">
        <f ca="1"/>
        <v>0</v>
      </c>
      <c r="R176" s="147">
        <f ca="1"/>
        <v>0</v>
      </c>
      <c r="S176" s="147">
        <f ca="1"/>
        <v>0</v>
      </c>
      <c r="T176" s="147">
        <f ca="1"/>
        <v>0</v>
      </c>
      <c r="U176" s="147">
        <f ca="1"/>
        <v>0</v>
      </c>
      <c r="V176" s="147">
        <f ca="1"/>
        <v>0</v>
      </c>
      <c r="W176" s="147">
        <f ca="1"/>
        <v>0</v>
      </c>
      <c r="X176" s="147">
        <f ca="1"/>
        <v>0</v>
      </c>
      <c r="Y176" s="147">
        <f ca="1"/>
        <v>0</v>
      </c>
      <c r="Z176" s="147">
        <f ca="1"/>
        <v>0</v>
      </c>
      <c r="AA176" s="147">
        <f ca="1"/>
        <v>0</v>
      </c>
      <c r="AB176" s="147">
        <f ca="1"/>
        <v>0</v>
      </c>
      <c r="AC176" s="147">
        <f ca="1"/>
        <v>0</v>
      </c>
      <c r="AD176" s="147">
        <f ca="1"/>
        <v>0</v>
      </c>
      <c r="AE176" s="147">
        <f ca="1"/>
        <v>0</v>
      </c>
      <c r="AF176" s="147">
        <f ca="1"/>
        <v>0</v>
      </c>
      <c r="AG176" s="147">
        <f ca="1"/>
        <v>0</v>
      </c>
      <c r="AH176" s="147">
        <f ca="1"/>
        <v>0</v>
      </c>
    </row>
    <row r="177" spans="2:34">
      <c r="B177" s="149">
        <v>1</v>
      </c>
      <c r="C177" s="149">
        <v>7</v>
      </c>
      <c r="D177" s="145" t="str">
        <v>Veículos Comerciais com 6 Eixos Articulado</v>
      </c>
      <c r="E177" s="147">
        <f ca="1"/>
        <v>0</v>
      </c>
      <c r="F177" s="147">
        <f ca="1"/>
        <v>0</v>
      </c>
      <c r="G177" s="147">
        <f ca="1"/>
        <v>0</v>
      </c>
      <c r="H177" s="147">
        <f ca="1"/>
        <v>0</v>
      </c>
      <c r="I177" s="147">
        <f ca="1"/>
        <v>0</v>
      </c>
      <c r="J177" s="147">
        <f ca="1"/>
        <v>0</v>
      </c>
      <c r="K177" s="147">
        <f ca="1"/>
        <v>0</v>
      </c>
      <c r="L177" s="147">
        <f ca="1"/>
        <v>0</v>
      </c>
      <c r="M177" s="147">
        <f ca="1"/>
        <v>0</v>
      </c>
      <c r="N177" s="147">
        <f ca="1"/>
        <v>0</v>
      </c>
      <c r="O177" s="147">
        <f ca="1"/>
        <v>0</v>
      </c>
      <c r="P177" s="147">
        <f ca="1"/>
        <v>0</v>
      </c>
      <c r="Q177" s="147">
        <f ca="1"/>
        <v>0</v>
      </c>
      <c r="R177" s="147">
        <f ca="1"/>
        <v>0</v>
      </c>
      <c r="S177" s="147">
        <f ca="1"/>
        <v>0</v>
      </c>
      <c r="T177" s="147">
        <f ca="1"/>
        <v>0</v>
      </c>
      <c r="U177" s="147">
        <f ca="1"/>
        <v>0</v>
      </c>
      <c r="V177" s="147">
        <f ca="1"/>
        <v>0</v>
      </c>
      <c r="W177" s="147">
        <f ca="1"/>
        <v>0</v>
      </c>
      <c r="X177" s="147">
        <f ca="1"/>
        <v>0</v>
      </c>
      <c r="Y177" s="147">
        <f ca="1"/>
        <v>0</v>
      </c>
      <c r="Z177" s="147">
        <f ca="1"/>
        <v>0</v>
      </c>
      <c r="AA177" s="147">
        <f ca="1"/>
        <v>0</v>
      </c>
      <c r="AB177" s="147">
        <f ca="1"/>
        <v>0</v>
      </c>
      <c r="AC177" s="147">
        <f ca="1"/>
        <v>0</v>
      </c>
      <c r="AD177" s="147">
        <f ca="1"/>
        <v>0</v>
      </c>
      <c r="AE177" s="147">
        <f ca="1"/>
        <v>0</v>
      </c>
      <c r="AF177" s="147">
        <f ca="1"/>
        <v>0</v>
      </c>
      <c r="AG177" s="147">
        <f ca="1"/>
        <v>0</v>
      </c>
      <c r="AH177" s="147">
        <f ca="1"/>
        <v>0</v>
      </c>
    </row>
    <row r="178" spans="2:34">
      <c r="B178" s="149">
        <v>1</v>
      </c>
      <c r="C178" s="149">
        <v>8</v>
      </c>
      <c r="D178" s="145" t="str">
        <v>Veículos Comerciais com 7 Eixos Articulado</v>
      </c>
      <c r="E178" s="147">
        <f ca="1"/>
        <v>0</v>
      </c>
      <c r="F178" s="147">
        <f ca="1"/>
        <v>0</v>
      </c>
      <c r="G178" s="147">
        <f ca="1"/>
        <v>0</v>
      </c>
      <c r="H178" s="147">
        <f ca="1"/>
        <v>0</v>
      </c>
      <c r="I178" s="147">
        <f ca="1"/>
        <v>0</v>
      </c>
      <c r="J178" s="147">
        <f ca="1"/>
        <v>0</v>
      </c>
      <c r="K178" s="147">
        <f ca="1"/>
        <v>0</v>
      </c>
      <c r="L178" s="147">
        <f ca="1"/>
        <v>0</v>
      </c>
      <c r="M178" s="147">
        <f ca="1"/>
        <v>0</v>
      </c>
      <c r="N178" s="147">
        <f ca="1"/>
        <v>0</v>
      </c>
      <c r="O178" s="147">
        <f ca="1"/>
        <v>0</v>
      </c>
      <c r="P178" s="147">
        <f ca="1"/>
        <v>0</v>
      </c>
      <c r="Q178" s="147">
        <f ca="1"/>
        <v>0</v>
      </c>
      <c r="R178" s="147">
        <f ca="1"/>
        <v>0</v>
      </c>
      <c r="S178" s="147">
        <f ca="1"/>
        <v>0</v>
      </c>
      <c r="T178" s="147">
        <f ca="1"/>
        <v>0</v>
      </c>
      <c r="U178" s="147">
        <f ca="1"/>
        <v>0</v>
      </c>
      <c r="V178" s="147">
        <f ca="1"/>
        <v>0</v>
      </c>
      <c r="W178" s="147">
        <f ca="1"/>
        <v>0</v>
      </c>
      <c r="X178" s="147">
        <f ca="1"/>
        <v>0</v>
      </c>
      <c r="Y178" s="147">
        <f ca="1"/>
        <v>0</v>
      </c>
      <c r="Z178" s="147">
        <f ca="1"/>
        <v>0</v>
      </c>
      <c r="AA178" s="147">
        <f ca="1"/>
        <v>0</v>
      </c>
      <c r="AB178" s="147">
        <f ca="1"/>
        <v>0</v>
      </c>
      <c r="AC178" s="147">
        <f ca="1"/>
        <v>0</v>
      </c>
      <c r="AD178" s="147">
        <f ca="1"/>
        <v>0</v>
      </c>
      <c r="AE178" s="147">
        <f ca="1"/>
        <v>0</v>
      </c>
      <c r="AF178" s="147">
        <f ca="1"/>
        <v>0</v>
      </c>
      <c r="AG178" s="147">
        <f ca="1"/>
        <v>0</v>
      </c>
      <c r="AH178" s="147">
        <f ca="1"/>
        <v>0</v>
      </c>
    </row>
    <row r="179" spans="2:34">
      <c r="B179" s="149">
        <v>1</v>
      </c>
      <c r="C179" s="149">
        <v>9</v>
      </c>
      <c r="D179" s="145" t="str">
        <v>Veículos Comerciais com 8 Eixos Articulado</v>
      </c>
      <c r="E179" s="147">
        <f ca="1"/>
        <v>0</v>
      </c>
      <c r="F179" s="147">
        <f ca="1"/>
        <v>0</v>
      </c>
      <c r="G179" s="147">
        <f ca="1"/>
        <v>0</v>
      </c>
      <c r="H179" s="147">
        <f ca="1"/>
        <v>0</v>
      </c>
      <c r="I179" s="147">
        <f ca="1"/>
        <v>0</v>
      </c>
      <c r="J179" s="147">
        <f ca="1"/>
        <v>0</v>
      </c>
      <c r="K179" s="147">
        <f ca="1"/>
        <v>0</v>
      </c>
      <c r="L179" s="147">
        <f ca="1"/>
        <v>0</v>
      </c>
      <c r="M179" s="147">
        <f ca="1"/>
        <v>0</v>
      </c>
      <c r="N179" s="147">
        <f ca="1"/>
        <v>0</v>
      </c>
      <c r="O179" s="147">
        <f ca="1"/>
        <v>0</v>
      </c>
      <c r="P179" s="147">
        <f ca="1"/>
        <v>0</v>
      </c>
      <c r="Q179" s="147">
        <f ca="1"/>
        <v>0</v>
      </c>
      <c r="R179" s="147">
        <f ca="1"/>
        <v>0</v>
      </c>
      <c r="S179" s="147">
        <f ca="1"/>
        <v>0</v>
      </c>
      <c r="T179" s="147">
        <f ca="1"/>
        <v>0</v>
      </c>
      <c r="U179" s="147">
        <f ca="1"/>
        <v>0</v>
      </c>
      <c r="V179" s="147">
        <f ca="1"/>
        <v>0</v>
      </c>
      <c r="W179" s="147">
        <f ca="1"/>
        <v>0</v>
      </c>
      <c r="X179" s="147">
        <f ca="1"/>
        <v>0</v>
      </c>
      <c r="Y179" s="147">
        <f ca="1"/>
        <v>0</v>
      </c>
      <c r="Z179" s="147">
        <f ca="1"/>
        <v>0</v>
      </c>
      <c r="AA179" s="147">
        <f ca="1"/>
        <v>0</v>
      </c>
      <c r="AB179" s="147">
        <f ca="1"/>
        <v>0</v>
      </c>
      <c r="AC179" s="147">
        <f ca="1"/>
        <v>0</v>
      </c>
      <c r="AD179" s="147">
        <f ca="1"/>
        <v>0</v>
      </c>
      <c r="AE179" s="147">
        <f ca="1"/>
        <v>0</v>
      </c>
      <c r="AF179" s="147">
        <f ca="1"/>
        <v>0</v>
      </c>
      <c r="AG179" s="147">
        <f ca="1"/>
        <v>0</v>
      </c>
      <c r="AH179" s="147">
        <f ca="1"/>
        <v>0</v>
      </c>
    </row>
    <row r="180" spans="2:34">
      <c r="B180" s="149">
        <v>1</v>
      </c>
      <c r="C180" s="149">
        <v>10</v>
      </c>
      <c r="D180" s="145" t="str">
        <v>Veículos Comerciais com 9 Eixos Articulado</v>
      </c>
      <c r="E180" s="147">
        <f ca="1"/>
        <v>0</v>
      </c>
      <c r="F180" s="147">
        <f ca="1"/>
        <v>0</v>
      </c>
      <c r="G180" s="147">
        <f ca="1"/>
        <v>0</v>
      </c>
      <c r="H180" s="147">
        <f ca="1"/>
        <v>0</v>
      </c>
      <c r="I180" s="147">
        <f ca="1"/>
        <v>0</v>
      </c>
      <c r="J180" s="147">
        <f ca="1"/>
        <v>0</v>
      </c>
      <c r="K180" s="147">
        <f ca="1"/>
        <v>0</v>
      </c>
      <c r="L180" s="147">
        <f ca="1"/>
        <v>0</v>
      </c>
      <c r="M180" s="147">
        <f ca="1"/>
        <v>0</v>
      </c>
      <c r="N180" s="147">
        <f ca="1"/>
        <v>0</v>
      </c>
      <c r="O180" s="147">
        <f ca="1"/>
        <v>0</v>
      </c>
      <c r="P180" s="147">
        <f ca="1"/>
        <v>0</v>
      </c>
      <c r="Q180" s="147">
        <f ca="1"/>
        <v>0</v>
      </c>
      <c r="R180" s="147">
        <f ca="1"/>
        <v>0</v>
      </c>
      <c r="S180" s="147">
        <f ca="1"/>
        <v>0</v>
      </c>
      <c r="T180" s="147">
        <f ca="1"/>
        <v>0</v>
      </c>
      <c r="U180" s="147">
        <f ca="1"/>
        <v>0</v>
      </c>
      <c r="V180" s="147">
        <f ca="1"/>
        <v>0</v>
      </c>
      <c r="W180" s="147">
        <f ca="1"/>
        <v>0</v>
      </c>
      <c r="X180" s="147">
        <f ca="1"/>
        <v>0</v>
      </c>
      <c r="Y180" s="147">
        <f ca="1"/>
        <v>0</v>
      </c>
      <c r="Z180" s="147">
        <f ca="1"/>
        <v>0</v>
      </c>
      <c r="AA180" s="147">
        <f ca="1"/>
        <v>0</v>
      </c>
      <c r="AB180" s="147">
        <f ca="1"/>
        <v>0</v>
      </c>
      <c r="AC180" s="147">
        <f ca="1"/>
        <v>0</v>
      </c>
      <c r="AD180" s="147">
        <f ca="1"/>
        <v>0</v>
      </c>
      <c r="AE180" s="147">
        <f ca="1"/>
        <v>0</v>
      </c>
      <c r="AF180" s="147">
        <f ca="1"/>
        <v>0</v>
      </c>
      <c r="AG180" s="147">
        <f ca="1"/>
        <v>0</v>
      </c>
      <c r="AH180" s="147">
        <f ca="1"/>
        <v>0</v>
      </c>
    </row>
    <row r="181" spans="2:34">
      <c r="B181" s="149">
        <v>1</v>
      </c>
      <c r="C181" s="149">
        <v>11</v>
      </c>
      <c r="D181" s="145" t="str">
        <v>Motocicleta</v>
      </c>
      <c r="E181" s="147">
        <f ca="1"/>
        <v>0</v>
      </c>
      <c r="F181" s="147">
        <f ca="1"/>
        <v>6178.3034994310046</v>
      </c>
      <c r="G181" s="147">
        <f ca="1"/>
        <v>11722.994516735027</v>
      </c>
      <c r="H181" s="147">
        <f ca="1"/>
        <v>14889.606144058534</v>
      </c>
      <c r="I181" s="147">
        <f ca="1"/>
        <v>25187.142319011728</v>
      </c>
      <c r="J181" s="147">
        <f ca="1"/>
        <v>28943.992262101525</v>
      </c>
      <c r="K181" s="147">
        <f ca="1"/>
        <v>32477.28731558158</v>
      </c>
      <c r="L181" s="147">
        <f ca="1"/>
        <v>36217.028910429181</v>
      </c>
      <c r="M181" s="147">
        <f ca="1"/>
        <v>39648.620094899976</v>
      </c>
      <c r="N181" s="147">
        <f ca="1"/>
        <v>42179.606784399803</v>
      </c>
      <c r="O181" s="147">
        <f ca="1"/>
        <v>44231.540642824621</v>
      </c>
      <c r="P181" s="147">
        <f ca="1"/>
        <v>45736.429808802903</v>
      </c>
      <c r="Q181" s="147">
        <f ca="1"/>
        <v>47212.429735790589</v>
      </c>
      <c r="R181" s="147">
        <f ca="1"/>
        <v>48650.487146994725</v>
      </c>
      <c r="S181" s="147">
        <f ca="1"/>
        <v>50041.146831667451</v>
      </c>
      <c r="T181" s="147">
        <f ca="1"/>
        <v>51375.287641751602</v>
      </c>
      <c r="U181" s="147">
        <f ca="1"/>
        <v>52646.042652640273</v>
      </c>
      <c r="V181" s="147">
        <f ca="1"/>
        <v>53847.432533436957</v>
      </c>
      <c r="W181" s="147">
        <f ca="1"/>
        <v>54973.159836490115</v>
      </c>
      <c r="X181" s="147">
        <f ca="1"/>
        <v>56017.721309806584</v>
      </c>
      <c r="Y181" s="147">
        <f ca="1"/>
        <v>56975.358571303586</v>
      </c>
      <c r="Z181" s="147">
        <f ca="1"/>
        <v>57841.532920431375</v>
      </c>
      <c r="AA181" s="147">
        <f ca="1"/>
        <v>58612.72760266321</v>
      </c>
      <c r="AB181" s="147">
        <f ca="1"/>
        <v>59285.082244006429</v>
      </c>
      <c r="AC181" s="147">
        <f ca="1"/>
        <v>59854.931405885429</v>
      </c>
      <c r="AD181" s="147">
        <f ca="1"/>
        <v>60319.618431634597</v>
      </c>
      <c r="AE181" s="147">
        <f ca="1"/>
        <v>60676.958194731829</v>
      </c>
      <c r="AF181" s="147">
        <f ca="1"/>
        <v>60924.25318783964</v>
      </c>
      <c r="AG181" s="147">
        <f ca="1"/>
        <v>61059.078788185201</v>
      </c>
      <c r="AH181" s="147">
        <f ca="1"/>
        <v>61079.53089121075</v>
      </c>
    </row>
    <row r="182" spans="2:34">
      <c r="B182" s="149">
        <v>1</v>
      </c>
      <c r="C182" s="149">
        <v>12</v>
      </c>
      <c r="D182" s="145" t="str">
        <v xml:space="preserve">Veículos do transporte público coletivo intermunicipal e metropolitano </v>
      </c>
      <c r="E182" s="147">
        <f ca="1"/>
        <v>0</v>
      </c>
      <c r="F182" s="147">
        <f ca="1"/>
        <v>0</v>
      </c>
      <c r="G182" s="147">
        <f ca="1"/>
        <v>0</v>
      </c>
      <c r="H182" s="147">
        <f ca="1"/>
        <v>0</v>
      </c>
      <c r="I182" s="147">
        <f ca="1"/>
        <v>0</v>
      </c>
      <c r="J182" s="147">
        <f ca="1"/>
        <v>0</v>
      </c>
      <c r="K182" s="147">
        <f ca="1"/>
        <v>0</v>
      </c>
      <c r="L182" s="147">
        <f ca="1"/>
        <v>0</v>
      </c>
      <c r="M182" s="147">
        <f ca="1"/>
        <v>0</v>
      </c>
      <c r="N182" s="147">
        <f ca="1"/>
        <v>0</v>
      </c>
      <c r="O182" s="147">
        <f ca="1"/>
        <v>0</v>
      </c>
      <c r="P182" s="147">
        <f ca="1"/>
        <v>0</v>
      </c>
      <c r="Q182" s="147">
        <f ca="1"/>
        <v>0</v>
      </c>
      <c r="R182" s="147">
        <f ca="1"/>
        <v>0</v>
      </c>
      <c r="S182" s="147">
        <f ca="1"/>
        <v>0</v>
      </c>
      <c r="T182" s="147">
        <f ca="1"/>
        <v>0</v>
      </c>
      <c r="U182" s="147">
        <f ca="1"/>
        <v>0</v>
      </c>
      <c r="V182" s="147">
        <f ca="1"/>
        <v>0</v>
      </c>
      <c r="W182" s="147">
        <f ca="1"/>
        <v>0</v>
      </c>
      <c r="X182" s="147">
        <f ca="1"/>
        <v>0</v>
      </c>
      <c r="Y182" s="147">
        <f ca="1"/>
        <v>0</v>
      </c>
      <c r="Z182" s="147">
        <f ca="1"/>
        <v>0</v>
      </c>
      <c r="AA182" s="147">
        <f ca="1"/>
        <v>0</v>
      </c>
      <c r="AB182" s="147">
        <f ca="1"/>
        <v>0</v>
      </c>
      <c r="AC182" s="147">
        <f ca="1"/>
        <v>0</v>
      </c>
      <c r="AD182" s="147">
        <f ca="1"/>
        <v>0</v>
      </c>
      <c r="AE182" s="147">
        <f ca="1"/>
        <v>0</v>
      </c>
      <c r="AF182" s="147">
        <f ca="1"/>
        <v>0</v>
      </c>
      <c r="AG182" s="147">
        <f ca="1"/>
        <v>0</v>
      </c>
      <c r="AH182" s="147">
        <f ca="1"/>
        <v>0</v>
      </c>
    </row>
    <row r="183" spans="2:34">
      <c r="B183" s="149">
        <v>2</v>
      </c>
      <c r="C183" s="149">
        <v>1</v>
      </c>
      <c r="D183" s="145" t="str">
        <v>Automóvel</v>
      </c>
      <c r="E183" s="147">
        <f ca="1"/>
        <v>0</v>
      </c>
      <c r="F183" s="147">
        <f ca="1"/>
        <v>217617.38578570794</v>
      </c>
      <c r="G183" s="147">
        <f ca="1"/>
        <v>412917.14150122501</v>
      </c>
      <c r="H183" s="147">
        <f ca="1"/>
        <v>524454.19114603964</v>
      </c>
      <c r="I183" s="147">
        <f ca="1"/>
        <v>633687.60272837942</v>
      </c>
      <c r="J183" s="147">
        <f ca="1"/>
        <v>728206.83020143199</v>
      </c>
      <c r="K183" s="147">
        <f ca="1"/>
        <v>1143942.2429926104</v>
      </c>
      <c r="L183" s="147">
        <f ca="1"/>
        <v>1275666.5568693499</v>
      </c>
      <c r="M183" s="147">
        <f ca="1"/>
        <v>1396536.9386365439</v>
      </c>
      <c r="N183" s="147">
        <f ca="1"/>
        <v>1485685.4738093631</v>
      </c>
      <c r="O183" s="147">
        <f ca="1"/>
        <v>1557960.4085251333</v>
      </c>
      <c r="P183" s="147">
        <f ca="1"/>
        <v>1610966.8764378196</v>
      </c>
      <c r="Q183" s="147">
        <f ca="1"/>
        <v>1662955.7833538584</v>
      </c>
      <c r="R183" s="147">
        <f ca="1"/>
        <v>1713608.2471677235</v>
      </c>
      <c r="S183" s="147">
        <f ca="1"/>
        <v>1762591.2285191461</v>
      </c>
      <c r="T183" s="147">
        <f ca="1"/>
        <v>1809583.4546840275</v>
      </c>
      <c r="U183" s="147">
        <f ca="1"/>
        <v>1854343.05308659</v>
      </c>
      <c r="V183" s="147">
        <f ca="1"/>
        <v>1896659.4147208894</v>
      </c>
      <c r="W183" s="147">
        <f ca="1"/>
        <v>1936310.7256059221</v>
      </c>
      <c r="X183" s="147">
        <f ca="1"/>
        <v>1973103.1455860236</v>
      </c>
      <c r="Y183" s="147">
        <f ca="1"/>
        <v>2006833.8480996108</v>
      </c>
      <c r="Z183" s="147">
        <f ca="1"/>
        <v>2037342.9672306448</v>
      </c>
      <c r="AA183" s="147">
        <f ca="1"/>
        <v>2064506.6329027165</v>
      </c>
      <c r="AB183" s="147">
        <f ca="1"/>
        <v>2088188.8717864929</v>
      </c>
      <c r="AC183" s="147">
        <f ca="1"/>
        <v>2108260.5767313382</v>
      </c>
      <c r="AD183" s="147">
        <f ca="1"/>
        <v>2124628.1727488181</v>
      </c>
      <c r="AE183" s="147">
        <f ca="1"/>
        <v>2137214.693480548</v>
      </c>
      <c r="AF183" s="147">
        <f ca="1"/>
        <v>2145925.1250614775</v>
      </c>
      <c r="AG183" s="147">
        <f ca="1"/>
        <v>2150674.0653954861</v>
      </c>
      <c r="AH183" s="147">
        <f ca="1"/>
        <v>2151394.4465154242</v>
      </c>
    </row>
    <row r="184" spans="2:34">
      <c r="B184" s="149">
        <v>2</v>
      </c>
      <c r="C184" s="149">
        <v>2</v>
      </c>
      <c r="D184" s="145" t="str">
        <v xml:space="preserve">Automóvel com reboque </v>
      </c>
      <c r="E184" s="147">
        <f ca="1"/>
        <v>0</v>
      </c>
      <c r="F184" s="147">
        <f ca="1"/>
        <v>0</v>
      </c>
      <c r="G184" s="147">
        <f ca="1"/>
        <v>0</v>
      </c>
      <c r="H184" s="147">
        <f ca="1"/>
        <v>0</v>
      </c>
      <c r="I184" s="147">
        <f ca="1"/>
        <v>0</v>
      </c>
      <c r="J184" s="147">
        <f ca="1"/>
        <v>0</v>
      </c>
      <c r="K184" s="147">
        <f ca="1"/>
        <v>0</v>
      </c>
      <c r="L184" s="147">
        <f ca="1"/>
        <v>0</v>
      </c>
      <c r="M184" s="147">
        <f ca="1"/>
        <v>0</v>
      </c>
      <c r="N184" s="147">
        <f ca="1"/>
        <v>0</v>
      </c>
      <c r="O184" s="147">
        <f ca="1"/>
        <v>0</v>
      </c>
      <c r="P184" s="147">
        <f ca="1"/>
        <v>0</v>
      </c>
      <c r="Q184" s="147">
        <f ca="1"/>
        <v>0</v>
      </c>
      <c r="R184" s="147">
        <f ca="1"/>
        <v>0</v>
      </c>
      <c r="S184" s="147">
        <f ca="1"/>
        <v>0</v>
      </c>
      <c r="T184" s="147">
        <f ca="1"/>
        <v>0</v>
      </c>
      <c r="U184" s="147">
        <f ca="1"/>
        <v>0</v>
      </c>
      <c r="V184" s="147">
        <f ca="1"/>
        <v>0</v>
      </c>
      <c r="W184" s="147">
        <f ca="1"/>
        <v>0</v>
      </c>
      <c r="X184" s="147">
        <f ca="1"/>
        <v>0</v>
      </c>
      <c r="Y184" s="147">
        <f ca="1"/>
        <v>0</v>
      </c>
      <c r="Z184" s="147">
        <f ca="1"/>
        <v>0</v>
      </c>
      <c r="AA184" s="147">
        <f ca="1"/>
        <v>0</v>
      </c>
      <c r="AB184" s="147">
        <f ca="1"/>
        <v>0</v>
      </c>
      <c r="AC184" s="147">
        <f ca="1"/>
        <v>0</v>
      </c>
      <c r="AD184" s="147">
        <f ca="1"/>
        <v>0</v>
      </c>
      <c r="AE184" s="147">
        <f ca="1"/>
        <v>0</v>
      </c>
      <c r="AF184" s="147">
        <f ca="1"/>
        <v>0</v>
      </c>
      <c r="AG184" s="147">
        <f ca="1"/>
        <v>0</v>
      </c>
      <c r="AH184" s="147">
        <f ca="1"/>
        <v>0</v>
      </c>
    </row>
    <row r="185" spans="2:34">
      <c r="B185" s="149">
        <v>2</v>
      </c>
      <c r="C185" s="149">
        <v>3</v>
      </c>
      <c r="D185" s="145" t="str">
        <v>Veículos Comerciais com 2 Eixos</v>
      </c>
      <c r="E185" s="147">
        <f ca="1"/>
        <v>0</v>
      </c>
      <c r="F185" s="147">
        <f ca="1"/>
        <v>0</v>
      </c>
      <c r="G185" s="147">
        <f ca="1"/>
        <v>0</v>
      </c>
      <c r="H185" s="147">
        <f ca="1"/>
        <v>0</v>
      </c>
      <c r="I185" s="147">
        <f ca="1"/>
        <v>0</v>
      </c>
      <c r="J185" s="147">
        <f ca="1"/>
        <v>0</v>
      </c>
      <c r="K185" s="147">
        <f ca="1"/>
        <v>0</v>
      </c>
      <c r="L185" s="147">
        <f ca="1"/>
        <v>0</v>
      </c>
      <c r="M185" s="147">
        <f ca="1"/>
        <v>0</v>
      </c>
      <c r="N185" s="147">
        <f ca="1"/>
        <v>0</v>
      </c>
      <c r="O185" s="147">
        <f ca="1"/>
        <v>0</v>
      </c>
      <c r="P185" s="147">
        <f ca="1"/>
        <v>0</v>
      </c>
      <c r="Q185" s="147">
        <f ca="1"/>
        <v>0</v>
      </c>
      <c r="R185" s="147">
        <f ca="1"/>
        <v>0</v>
      </c>
      <c r="S185" s="147">
        <f ca="1"/>
        <v>0</v>
      </c>
      <c r="T185" s="147">
        <f ca="1"/>
        <v>0</v>
      </c>
      <c r="U185" s="147">
        <f ca="1"/>
        <v>0</v>
      </c>
      <c r="V185" s="147">
        <f ca="1"/>
        <v>0</v>
      </c>
      <c r="W185" s="147">
        <f ca="1"/>
        <v>0</v>
      </c>
      <c r="X185" s="147">
        <f ca="1"/>
        <v>0</v>
      </c>
      <c r="Y185" s="147">
        <f ca="1"/>
        <v>0</v>
      </c>
      <c r="Z185" s="147">
        <f ca="1"/>
        <v>0</v>
      </c>
      <c r="AA185" s="147">
        <f ca="1"/>
        <v>0</v>
      </c>
      <c r="AB185" s="147">
        <f ca="1"/>
        <v>0</v>
      </c>
      <c r="AC185" s="147">
        <f ca="1"/>
        <v>0</v>
      </c>
      <c r="AD185" s="147">
        <f ca="1"/>
        <v>0</v>
      </c>
      <c r="AE185" s="147">
        <f ca="1"/>
        <v>0</v>
      </c>
      <c r="AF185" s="147">
        <f ca="1"/>
        <v>0</v>
      </c>
      <c r="AG185" s="147">
        <f ca="1"/>
        <v>0</v>
      </c>
      <c r="AH185" s="147">
        <f ca="1"/>
        <v>0</v>
      </c>
    </row>
    <row r="186" spans="2:34">
      <c r="B186" s="149">
        <v>2</v>
      </c>
      <c r="C186" s="149">
        <v>4</v>
      </c>
      <c r="D186" s="145" t="str">
        <v>Veículos Comerciais com 3 Eixos</v>
      </c>
      <c r="E186" s="147">
        <f ca="1"/>
        <v>0</v>
      </c>
      <c r="F186" s="147">
        <f ca="1"/>
        <v>0</v>
      </c>
      <c r="G186" s="147">
        <f ca="1"/>
        <v>0</v>
      </c>
      <c r="H186" s="147">
        <f ca="1"/>
        <v>0</v>
      </c>
      <c r="I186" s="147">
        <f ca="1"/>
        <v>0</v>
      </c>
      <c r="J186" s="147">
        <f ca="1"/>
        <v>0</v>
      </c>
      <c r="K186" s="147">
        <f ca="1"/>
        <v>0</v>
      </c>
      <c r="L186" s="147">
        <f ca="1"/>
        <v>0</v>
      </c>
      <c r="M186" s="147">
        <f ca="1"/>
        <v>0</v>
      </c>
      <c r="N186" s="147">
        <f ca="1"/>
        <v>0</v>
      </c>
      <c r="O186" s="147">
        <f ca="1"/>
        <v>0</v>
      </c>
      <c r="P186" s="147">
        <f ca="1"/>
        <v>0</v>
      </c>
      <c r="Q186" s="147">
        <f ca="1"/>
        <v>0</v>
      </c>
      <c r="R186" s="147">
        <f ca="1"/>
        <v>0</v>
      </c>
      <c r="S186" s="147">
        <f ca="1"/>
        <v>0</v>
      </c>
      <c r="T186" s="147">
        <f ca="1"/>
        <v>0</v>
      </c>
      <c r="U186" s="147">
        <f ca="1"/>
        <v>0</v>
      </c>
      <c r="V186" s="147">
        <f ca="1"/>
        <v>0</v>
      </c>
      <c r="W186" s="147">
        <f ca="1"/>
        <v>0</v>
      </c>
      <c r="X186" s="147">
        <f ca="1"/>
        <v>0</v>
      </c>
      <c r="Y186" s="147">
        <f ca="1"/>
        <v>0</v>
      </c>
      <c r="Z186" s="147">
        <f ca="1"/>
        <v>0</v>
      </c>
      <c r="AA186" s="147">
        <f ca="1"/>
        <v>0</v>
      </c>
      <c r="AB186" s="147">
        <f ca="1"/>
        <v>0</v>
      </c>
      <c r="AC186" s="147">
        <f ca="1"/>
        <v>0</v>
      </c>
      <c r="AD186" s="147">
        <f ca="1"/>
        <v>0</v>
      </c>
      <c r="AE186" s="147">
        <f ca="1"/>
        <v>0</v>
      </c>
      <c r="AF186" s="147">
        <f ca="1"/>
        <v>0</v>
      </c>
      <c r="AG186" s="147">
        <f ca="1"/>
        <v>0</v>
      </c>
      <c r="AH186" s="147">
        <f ca="1"/>
        <v>0</v>
      </c>
    </row>
    <row r="187" spans="2:34">
      <c r="B187" s="149">
        <v>2</v>
      </c>
      <c r="C187" s="149">
        <v>5</v>
      </c>
      <c r="D187" s="145" t="str">
        <v>Veículos Comerciais com 4 Eixos</v>
      </c>
      <c r="E187" s="147">
        <f ca="1"/>
        <v>0</v>
      </c>
      <c r="F187" s="147">
        <f ca="1"/>
        <v>0</v>
      </c>
      <c r="G187" s="147">
        <f ca="1"/>
        <v>0</v>
      </c>
      <c r="H187" s="147">
        <f ca="1"/>
        <v>0</v>
      </c>
      <c r="I187" s="147">
        <f ca="1"/>
        <v>0</v>
      </c>
      <c r="J187" s="147">
        <f ca="1"/>
        <v>0</v>
      </c>
      <c r="K187" s="147">
        <f ca="1"/>
        <v>0</v>
      </c>
      <c r="L187" s="147">
        <f ca="1"/>
        <v>0</v>
      </c>
      <c r="M187" s="147">
        <f ca="1"/>
        <v>0</v>
      </c>
      <c r="N187" s="147">
        <f ca="1"/>
        <v>0</v>
      </c>
      <c r="O187" s="147">
        <f ca="1"/>
        <v>0</v>
      </c>
      <c r="P187" s="147">
        <f ca="1"/>
        <v>0</v>
      </c>
      <c r="Q187" s="147">
        <f ca="1"/>
        <v>0</v>
      </c>
      <c r="R187" s="147">
        <f ca="1"/>
        <v>0</v>
      </c>
      <c r="S187" s="147">
        <f ca="1"/>
        <v>0</v>
      </c>
      <c r="T187" s="147">
        <f ca="1"/>
        <v>0</v>
      </c>
      <c r="U187" s="147">
        <f ca="1"/>
        <v>0</v>
      </c>
      <c r="V187" s="147">
        <f ca="1"/>
        <v>0</v>
      </c>
      <c r="W187" s="147">
        <f ca="1"/>
        <v>0</v>
      </c>
      <c r="X187" s="147">
        <f ca="1"/>
        <v>0</v>
      </c>
      <c r="Y187" s="147">
        <f ca="1"/>
        <v>0</v>
      </c>
      <c r="Z187" s="147">
        <f ca="1"/>
        <v>0</v>
      </c>
      <c r="AA187" s="147">
        <f ca="1"/>
        <v>0</v>
      </c>
      <c r="AB187" s="147">
        <f ca="1"/>
        <v>0</v>
      </c>
      <c r="AC187" s="147">
        <f ca="1"/>
        <v>0</v>
      </c>
      <c r="AD187" s="147">
        <f ca="1"/>
        <v>0</v>
      </c>
      <c r="AE187" s="147">
        <f ca="1"/>
        <v>0</v>
      </c>
      <c r="AF187" s="147">
        <f ca="1"/>
        <v>0</v>
      </c>
      <c r="AG187" s="147">
        <f ca="1"/>
        <v>0</v>
      </c>
      <c r="AH187" s="147">
        <f ca="1"/>
        <v>0</v>
      </c>
    </row>
    <row r="188" spans="2:34">
      <c r="B188" s="149">
        <v>2</v>
      </c>
      <c r="C188" s="149">
        <v>6</v>
      </c>
      <c r="D188" s="145" t="str">
        <v>Veículos Comerciais com 5 Eixos Articulado</v>
      </c>
      <c r="E188" s="147">
        <f ca="1"/>
        <v>0</v>
      </c>
      <c r="F188" s="147">
        <f ca="1"/>
        <v>0</v>
      </c>
      <c r="G188" s="147">
        <f ca="1"/>
        <v>0</v>
      </c>
      <c r="H188" s="147">
        <f ca="1"/>
        <v>0</v>
      </c>
      <c r="I188" s="147">
        <f ca="1"/>
        <v>0</v>
      </c>
      <c r="J188" s="147">
        <f ca="1"/>
        <v>0</v>
      </c>
      <c r="K188" s="147">
        <f ca="1"/>
        <v>0</v>
      </c>
      <c r="L188" s="147">
        <f ca="1"/>
        <v>0</v>
      </c>
      <c r="M188" s="147">
        <f ca="1"/>
        <v>0</v>
      </c>
      <c r="N188" s="147">
        <f ca="1"/>
        <v>0</v>
      </c>
      <c r="O188" s="147">
        <f ca="1"/>
        <v>0</v>
      </c>
      <c r="P188" s="147">
        <f ca="1"/>
        <v>0</v>
      </c>
      <c r="Q188" s="147">
        <f ca="1"/>
        <v>0</v>
      </c>
      <c r="R188" s="147">
        <f ca="1"/>
        <v>0</v>
      </c>
      <c r="S188" s="147">
        <f ca="1"/>
        <v>0</v>
      </c>
      <c r="T188" s="147">
        <f ca="1"/>
        <v>0</v>
      </c>
      <c r="U188" s="147">
        <f ca="1"/>
        <v>0</v>
      </c>
      <c r="V188" s="147">
        <f ca="1"/>
        <v>0</v>
      </c>
      <c r="W188" s="147">
        <f ca="1"/>
        <v>0</v>
      </c>
      <c r="X188" s="147">
        <f ca="1"/>
        <v>0</v>
      </c>
      <c r="Y188" s="147">
        <f ca="1"/>
        <v>0</v>
      </c>
      <c r="Z188" s="147">
        <f ca="1"/>
        <v>0</v>
      </c>
      <c r="AA188" s="147">
        <f ca="1"/>
        <v>0</v>
      </c>
      <c r="AB188" s="147">
        <f ca="1"/>
        <v>0</v>
      </c>
      <c r="AC188" s="147">
        <f ca="1"/>
        <v>0</v>
      </c>
      <c r="AD188" s="147">
        <f ca="1"/>
        <v>0</v>
      </c>
      <c r="AE188" s="147">
        <f ca="1"/>
        <v>0</v>
      </c>
      <c r="AF188" s="147">
        <f ca="1"/>
        <v>0</v>
      </c>
      <c r="AG188" s="147">
        <f ca="1"/>
        <v>0</v>
      </c>
      <c r="AH188" s="147">
        <f ca="1"/>
        <v>0</v>
      </c>
    </row>
    <row r="189" spans="2:34">
      <c r="B189" s="149">
        <v>2</v>
      </c>
      <c r="C189" s="149">
        <v>7</v>
      </c>
      <c r="D189" s="145" t="str">
        <v>Veículos Comerciais com 6 Eixos Articulado</v>
      </c>
      <c r="E189" s="147">
        <f ca="1"/>
        <v>0</v>
      </c>
      <c r="F189" s="147">
        <f ca="1"/>
        <v>0</v>
      </c>
      <c r="G189" s="147">
        <f ca="1"/>
        <v>0</v>
      </c>
      <c r="H189" s="147">
        <f ca="1"/>
        <v>0</v>
      </c>
      <c r="I189" s="147">
        <f ca="1"/>
        <v>0</v>
      </c>
      <c r="J189" s="147">
        <f ca="1"/>
        <v>0</v>
      </c>
      <c r="K189" s="147">
        <f ca="1"/>
        <v>0</v>
      </c>
      <c r="L189" s="147">
        <f ca="1"/>
        <v>0</v>
      </c>
      <c r="M189" s="147">
        <f ca="1"/>
        <v>0</v>
      </c>
      <c r="N189" s="147">
        <f ca="1"/>
        <v>0</v>
      </c>
      <c r="O189" s="147">
        <f ca="1"/>
        <v>0</v>
      </c>
      <c r="P189" s="147">
        <f ca="1"/>
        <v>0</v>
      </c>
      <c r="Q189" s="147">
        <f ca="1"/>
        <v>0</v>
      </c>
      <c r="R189" s="147">
        <f ca="1"/>
        <v>0</v>
      </c>
      <c r="S189" s="147">
        <f ca="1"/>
        <v>0</v>
      </c>
      <c r="T189" s="147">
        <f ca="1"/>
        <v>0</v>
      </c>
      <c r="U189" s="147">
        <f ca="1"/>
        <v>0</v>
      </c>
      <c r="V189" s="147">
        <f ca="1"/>
        <v>0</v>
      </c>
      <c r="W189" s="147">
        <f ca="1"/>
        <v>0</v>
      </c>
      <c r="X189" s="147">
        <f ca="1"/>
        <v>0</v>
      </c>
      <c r="Y189" s="147">
        <f ca="1"/>
        <v>0</v>
      </c>
      <c r="Z189" s="147">
        <f ca="1"/>
        <v>0</v>
      </c>
      <c r="AA189" s="147">
        <f ca="1"/>
        <v>0</v>
      </c>
      <c r="AB189" s="147">
        <f ca="1"/>
        <v>0</v>
      </c>
      <c r="AC189" s="147">
        <f ca="1"/>
        <v>0</v>
      </c>
      <c r="AD189" s="147">
        <f ca="1"/>
        <v>0</v>
      </c>
      <c r="AE189" s="147">
        <f ca="1"/>
        <v>0</v>
      </c>
      <c r="AF189" s="147">
        <f ca="1"/>
        <v>0</v>
      </c>
      <c r="AG189" s="147">
        <f ca="1"/>
        <v>0</v>
      </c>
      <c r="AH189" s="147">
        <f ca="1"/>
        <v>0</v>
      </c>
    </row>
    <row r="190" spans="2:34">
      <c r="B190" s="149">
        <v>2</v>
      </c>
      <c r="C190" s="149">
        <v>8</v>
      </c>
      <c r="D190" s="145" t="str">
        <v>Veículos Comerciais com 7 Eixos Articulado</v>
      </c>
      <c r="E190" s="147">
        <f ca="1"/>
        <v>0</v>
      </c>
      <c r="F190" s="147">
        <f ca="1"/>
        <v>0</v>
      </c>
      <c r="G190" s="147">
        <f ca="1"/>
        <v>0</v>
      </c>
      <c r="H190" s="147">
        <f ca="1"/>
        <v>0</v>
      </c>
      <c r="I190" s="147">
        <f ca="1"/>
        <v>0</v>
      </c>
      <c r="J190" s="147">
        <f ca="1"/>
        <v>0</v>
      </c>
      <c r="K190" s="147">
        <f ca="1"/>
        <v>0</v>
      </c>
      <c r="L190" s="147">
        <f ca="1"/>
        <v>0</v>
      </c>
      <c r="M190" s="147">
        <f ca="1"/>
        <v>0</v>
      </c>
      <c r="N190" s="147">
        <f ca="1"/>
        <v>0</v>
      </c>
      <c r="O190" s="147">
        <f ca="1"/>
        <v>0</v>
      </c>
      <c r="P190" s="147">
        <f ca="1"/>
        <v>0</v>
      </c>
      <c r="Q190" s="147">
        <f ca="1"/>
        <v>0</v>
      </c>
      <c r="R190" s="147">
        <f ca="1"/>
        <v>0</v>
      </c>
      <c r="S190" s="147">
        <f ca="1"/>
        <v>0</v>
      </c>
      <c r="T190" s="147">
        <f ca="1"/>
        <v>0</v>
      </c>
      <c r="U190" s="147">
        <f ca="1"/>
        <v>0</v>
      </c>
      <c r="V190" s="147">
        <f ca="1"/>
        <v>0</v>
      </c>
      <c r="W190" s="147">
        <f ca="1"/>
        <v>0</v>
      </c>
      <c r="X190" s="147">
        <f ca="1"/>
        <v>0</v>
      </c>
      <c r="Y190" s="147">
        <f ca="1"/>
        <v>0</v>
      </c>
      <c r="Z190" s="147">
        <f ca="1"/>
        <v>0</v>
      </c>
      <c r="AA190" s="147">
        <f ca="1"/>
        <v>0</v>
      </c>
      <c r="AB190" s="147">
        <f ca="1"/>
        <v>0</v>
      </c>
      <c r="AC190" s="147">
        <f ca="1"/>
        <v>0</v>
      </c>
      <c r="AD190" s="147">
        <f ca="1"/>
        <v>0</v>
      </c>
      <c r="AE190" s="147">
        <f ca="1"/>
        <v>0</v>
      </c>
      <c r="AF190" s="147">
        <f ca="1"/>
        <v>0</v>
      </c>
      <c r="AG190" s="147">
        <f ca="1"/>
        <v>0</v>
      </c>
      <c r="AH190" s="147">
        <f ca="1"/>
        <v>0</v>
      </c>
    </row>
    <row r="191" spans="2:34">
      <c r="B191" s="149">
        <v>2</v>
      </c>
      <c r="C191" s="149">
        <v>9</v>
      </c>
      <c r="D191" s="145" t="str">
        <v>Veículos Comerciais com 8 Eixos Articulado</v>
      </c>
      <c r="E191" s="147">
        <f ca="1"/>
        <v>0</v>
      </c>
      <c r="F191" s="147">
        <f ca="1"/>
        <v>0</v>
      </c>
      <c r="G191" s="147">
        <f ca="1"/>
        <v>0</v>
      </c>
      <c r="H191" s="147">
        <f ca="1"/>
        <v>0</v>
      </c>
      <c r="I191" s="147">
        <f ca="1"/>
        <v>0</v>
      </c>
      <c r="J191" s="147">
        <f ca="1"/>
        <v>0</v>
      </c>
      <c r="K191" s="147">
        <f ca="1"/>
        <v>0</v>
      </c>
      <c r="L191" s="147">
        <f ca="1"/>
        <v>0</v>
      </c>
      <c r="M191" s="147">
        <f ca="1"/>
        <v>0</v>
      </c>
      <c r="N191" s="147">
        <f ca="1"/>
        <v>0</v>
      </c>
      <c r="O191" s="147">
        <f ca="1"/>
        <v>0</v>
      </c>
      <c r="P191" s="147">
        <f ca="1"/>
        <v>0</v>
      </c>
      <c r="Q191" s="147">
        <f ca="1"/>
        <v>0</v>
      </c>
      <c r="R191" s="147">
        <f ca="1"/>
        <v>0</v>
      </c>
      <c r="S191" s="147">
        <f ca="1"/>
        <v>0</v>
      </c>
      <c r="T191" s="147">
        <f ca="1"/>
        <v>0</v>
      </c>
      <c r="U191" s="147">
        <f ca="1"/>
        <v>0</v>
      </c>
      <c r="V191" s="147">
        <f ca="1"/>
        <v>0</v>
      </c>
      <c r="W191" s="147">
        <f ca="1"/>
        <v>0</v>
      </c>
      <c r="X191" s="147">
        <f ca="1"/>
        <v>0</v>
      </c>
      <c r="Y191" s="147">
        <f ca="1"/>
        <v>0</v>
      </c>
      <c r="Z191" s="147">
        <f ca="1"/>
        <v>0</v>
      </c>
      <c r="AA191" s="147">
        <f ca="1"/>
        <v>0</v>
      </c>
      <c r="AB191" s="147">
        <f ca="1"/>
        <v>0</v>
      </c>
      <c r="AC191" s="147">
        <f ca="1"/>
        <v>0</v>
      </c>
      <c r="AD191" s="147">
        <f ca="1"/>
        <v>0</v>
      </c>
      <c r="AE191" s="147">
        <f ca="1"/>
        <v>0</v>
      </c>
      <c r="AF191" s="147">
        <f ca="1"/>
        <v>0</v>
      </c>
      <c r="AG191" s="147">
        <f ca="1"/>
        <v>0</v>
      </c>
      <c r="AH191" s="147">
        <f ca="1"/>
        <v>0</v>
      </c>
    </row>
    <row r="192" spans="2:34">
      <c r="B192" s="149">
        <v>2</v>
      </c>
      <c r="C192" s="149">
        <v>10</v>
      </c>
      <c r="D192" s="145" t="str">
        <v>Veículos Comerciais com 9 Eixos Articulado</v>
      </c>
      <c r="E192" s="147">
        <f ca="1"/>
        <v>0</v>
      </c>
      <c r="F192" s="147">
        <f ca="1"/>
        <v>0</v>
      </c>
      <c r="G192" s="147">
        <f ca="1"/>
        <v>0</v>
      </c>
      <c r="H192" s="147">
        <f ca="1"/>
        <v>0</v>
      </c>
      <c r="I192" s="147">
        <f ca="1"/>
        <v>0</v>
      </c>
      <c r="J192" s="147">
        <f ca="1"/>
        <v>0</v>
      </c>
      <c r="K192" s="147">
        <f ca="1"/>
        <v>0</v>
      </c>
      <c r="L192" s="147">
        <f ca="1"/>
        <v>0</v>
      </c>
      <c r="M192" s="147">
        <f ca="1"/>
        <v>0</v>
      </c>
      <c r="N192" s="147">
        <f ca="1"/>
        <v>0</v>
      </c>
      <c r="O192" s="147">
        <f ca="1"/>
        <v>0</v>
      </c>
      <c r="P192" s="147">
        <f ca="1"/>
        <v>0</v>
      </c>
      <c r="Q192" s="147">
        <f ca="1"/>
        <v>0</v>
      </c>
      <c r="R192" s="147">
        <f ca="1"/>
        <v>0</v>
      </c>
      <c r="S192" s="147">
        <f ca="1"/>
        <v>0</v>
      </c>
      <c r="T192" s="147">
        <f ca="1"/>
        <v>0</v>
      </c>
      <c r="U192" s="147">
        <f ca="1"/>
        <v>0</v>
      </c>
      <c r="V192" s="147">
        <f ca="1"/>
        <v>0</v>
      </c>
      <c r="W192" s="147">
        <f ca="1"/>
        <v>0</v>
      </c>
      <c r="X192" s="147">
        <f ca="1"/>
        <v>0</v>
      </c>
      <c r="Y192" s="147">
        <f ca="1"/>
        <v>0</v>
      </c>
      <c r="Z192" s="147">
        <f ca="1"/>
        <v>0</v>
      </c>
      <c r="AA192" s="147">
        <f ca="1"/>
        <v>0</v>
      </c>
      <c r="AB192" s="147">
        <f ca="1"/>
        <v>0</v>
      </c>
      <c r="AC192" s="147">
        <f ca="1"/>
        <v>0</v>
      </c>
      <c r="AD192" s="147">
        <f ca="1"/>
        <v>0</v>
      </c>
      <c r="AE192" s="147">
        <f ca="1"/>
        <v>0</v>
      </c>
      <c r="AF192" s="147">
        <f ca="1"/>
        <v>0</v>
      </c>
      <c r="AG192" s="147">
        <f ca="1"/>
        <v>0</v>
      </c>
      <c r="AH192" s="147">
        <f ca="1"/>
        <v>0</v>
      </c>
    </row>
    <row r="193" spans="2:34">
      <c r="B193" s="149">
        <v>2</v>
      </c>
      <c r="C193" s="149">
        <v>11</v>
      </c>
      <c r="D193" s="145" t="str">
        <v>Motocicleta</v>
      </c>
      <c r="E193" s="147">
        <f ca="1"/>
        <v>0</v>
      </c>
      <c r="F193" s="147">
        <f ca="1"/>
        <v>8550.3623602545631</v>
      </c>
      <c r="G193" s="147">
        <f ca="1"/>
        <v>16223.847060053477</v>
      </c>
      <c r="H193" s="147">
        <f ca="1"/>
        <v>20606.227574430104</v>
      </c>
      <c r="I193" s="147">
        <f ca="1"/>
        <v>24898.096293942919</v>
      </c>
      <c r="J193" s="147">
        <f ca="1"/>
        <v>28611.832868748359</v>
      </c>
      <c r="K193" s="147">
        <f ca="1"/>
        <v>44946.412077667606</v>
      </c>
      <c r="L193" s="147">
        <f ca="1"/>
        <v>50121.966462881624</v>
      </c>
      <c r="M193" s="147">
        <f ca="1"/>
        <v>54871.061113570555</v>
      </c>
      <c r="N193" s="147">
        <f ca="1"/>
        <v>58373.77886225313</v>
      </c>
      <c r="O193" s="147">
        <f ca="1"/>
        <v>61213.519258694207</v>
      </c>
      <c r="P193" s="147">
        <f ca="1"/>
        <v>63296.186075292084</v>
      </c>
      <c r="Q193" s="147">
        <f ca="1"/>
        <v>65338.872100770794</v>
      </c>
      <c r="R193" s="147">
        <f ca="1"/>
        <v>67329.04820037118</v>
      </c>
      <c r="S193" s="147">
        <f ca="1"/>
        <v>69253.628989392673</v>
      </c>
      <c r="T193" s="147">
        <f ca="1"/>
        <v>71099.991403746972</v>
      </c>
      <c r="U193" s="147">
        <f ca="1"/>
        <v>72858.632075123518</v>
      </c>
      <c r="V193" s="147">
        <f ca="1"/>
        <v>74521.276006050626</v>
      </c>
      <c r="W193" s="147">
        <f ca="1"/>
        <v>76079.207946561961</v>
      </c>
      <c r="X193" s="147">
        <f ca="1"/>
        <v>77524.811760819342</v>
      </c>
      <c r="Y193" s="147">
        <f ca="1"/>
        <v>78850.118229858184</v>
      </c>
      <c r="Z193" s="147">
        <f ca="1"/>
        <v>80048.846093078624</v>
      </c>
      <c r="AA193" s="147">
        <f ca="1"/>
        <v>81116.128395411433</v>
      </c>
      <c r="AB193" s="147">
        <f ca="1"/>
        <v>82046.62263523195</v>
      </c>
      <c r="AC193" s="147">
        <f ca="1"/>
        <v>82835.256088606548</v>
      </c>
      <c r="AD193" s="147">
        <f ca="1"/>
        <v>83478.352118872834</v>
      </c>
      <c r="AE193" s="147">
        <f ca="1"/>
        <v>83972.886655819806</v>
      </c>
      <c r="AF193" s="147">
        <f ca="1"/>
        <v>84315.126528163892</v>
      </c>
      <c r="AG193" s="147">
        <f ca="1"/>
        <v>84501.716218764195</v>
      </c>
      <c r="AH193" s="147">
        <f ca="1"/>
        <v>84530.020573173737</v>
      </c>
    </row>
    <row r="194" spans="2:34">
      <c r="B194" s="149">
        <v>2</v>
      </c>
      <c r="C194" s="149">
        <v>12</v>
      </c>
      <c r="D194" s="145" t="str">
        <v xml:space="preserve">Veículos do transporte público coletivo intermunicipal e metropolitano </v>
      </c>
      <c r="E194" s="147">
        <f ca="1"/>
        <v>0</v>
      </c>
      <c r="F194" s="147">
        <f ca="1"/>
        <v>0</v>
      </c>
      <c r="G194" s="147">
        <f ca="1"/>
        <v>0</v>
      </c>
      <c r="H194" s="147">
        <f ca="1"/>
        <v>0</v>
      </c>
      <c r="I194" s="147">
        <f ca="1"/>
        <v>0</v>
      </c>
      <c r="J194" s="147">
        <f ca="1"/>
        <v>0</v>
      </c>
      <c r="K194" s="147">
        <f ca="1"/>
        <v>0</v>
      </c>
      <c r="L194" s="147">
        <f ca="1"/>
        <v>0</v>
      </c>
      <c r="M194" s="147">
        <f ca="1"/>
        <v>0</v>
      </c>
      <c r="N194" s="147">
        <f ca="1"/>
        <v>0</v>
      </c>
      <c r="O194" s="147">
        <f ca="1"/>
        <v>0</v>
      </c>
      <c r="P194" s="147">
        <f ca="1"/>
        <v>0</v>
      </c>
      <c r="Q194" s="147">
        <f ca="1"/>
        <v>0</v>
      </c>
      <c r="R194" s="147">
        <f ca="1"/>
        <v>0</v>
      </c>
      <c r="S194" s="147">
        <f ca="1"/>
        <v>0</v>
      </c>
      <c r="T194" s="147">
        <f ca="1"/>
        <v>0</v>
      </c>
      <c r="U194" s="147">
        <f ca="1"/>
        <v>0</v>
      </c>
      <c r="V194" s="147">
        <f ca="1"/>
        <v>0</v>
      </c>
      <c r="W194" s="147">
        <f ca="1"/>
        <v>0</v>
      </c>
      <c r="X194" s="147">
        <f ca="1"/>
        <v>0</v>
      </c>
      <c r="Y194" s="147">
        <f ca="1"/>
        <v>0</v>
      </c>
      <c r="Z194" s="147">
        <f ca="1"/>
        <v>0</v>
      </c>
      <c r="AA194" s="147">
        <f ca="1"/>
        <v>0</v>
      </c>
      <c r="AB194" s="147">
        <f ca="1"/>
        <v>0</v>
      </c>
      <c r="AC194" s="147">
        <f ca="1"/>
        <v>0</v>
      </c>
      <c r="AD194" s="147">
        <f ca="1"/>
        <v>0</v>
      </c>
      <c r="AE194" s="147">
        <f ca="1"/>
        <v>0</v>
      </c>
      <c r="AF194" s="147">
        <f ca="1"/>
        <v>0</v>
      </c>
      <c r="AG194" s="147">
        <f ca="1"/>
        <v>0</v>
      </c>
      <c r="AH194" s="147">
        <f ca="1"/>
        <v>0</v>
      </c>
    </row>
    <row r="195" spans="2:34">
      <c r="B195" s="149">
        <v>3</v>
      </c>
      <c r="C195" s="149">
        <v>1</v>
      </c>
      <c r="D195" s="145" t="str">
        <v>Automóvel</v>
      </c>
      <c r="E195" s="147">
        <f ca="1"/>
        <v>0</v>
      </c>
      <c r="F195" s="147">
        <f ca="1"/>
        <v>21013.584065972736</v>
      </c>
      <c r="G195" s="147">
        <f ca="1"/>
        <v>39872.131695219563</v>
      </c>
      <c r="H195" s="147">
        <f ca="1"/>
        <v>50642.379489161285</v>
      </c>
      <c r="I195" s="147">
        <f ca="1"/>
        <v>61190.183235681834</v>
      </c>
      <c r="J195" s="147">
        <f ca="1"/>
        <v>70317.15498559353</v>
      </c>
      <c r="K195" s="147">
        <f ca="1"/>
        <v>78901.017696568029</v>
      </c>
      <c r="L195" s="147">
        <f ca="1"/>
        <v>87986.426058678902</v>
      </c>
      <c r="M195" s="147">
        <f ca="1"/>
        <v>96323.207211069574</v>
      </c>
      <c r="N195" s="147">
        <f ca="1"/>
        <v>102472.04050609034</v>
      </c>
      <c r="O195" s="147">
        <f ca="1"/>
        <v>107457.05258861394</v>
      </c>
      <c r="P195" s="147">
        <f ca="1"/>
        <v>111113.06257376005</v>
      </c>
      <c r="Q195" s="147">
        <f ca="1"/>
        <v>114698.88842269157</v>
      </c>
      <c r="R195" s="147">
        <f ca="1"/>
        <v>118192.53591078278</v>
      </c>
      <c r="S195" s="147">
        <f ca="1"/>
        <v>121571.03434644568</v>
      </c>
      <c r="T195" s="147">
        <f ca="1"/>
        <v>124812.22461715095</v>
      </c>
      <c r="U195" s="147">
        <f ca="1"/>
        <v>127899.42406912077</v>
      </c>
      <c r="V195" s="147">
        <f ca="1"/>
        <v>130818.10638775578</v>
      </c>
      <c r="W195" s="147">
        <f ca="1"/>
        <v>133552.97241879566</v>
      </c>
      <c r="X195" s="147">
        <f ca="1"/>
        <v>136090.65244392987</v>
      </c>
      <c r="Y195" s="147">
        <f ca="1"/>
        <v>138417.15692634144</v>
      </c>
      <c r="Z195" s="147">
        <f ca="1"/>
        <v>140521.45944966379</v>
      </c>
      <c r="AA195" s="147">
        <f ca="1"/>
        <v>142395.01633509618</v>
      </c>
      <c r="AB195" s="147">
        <f ca="1"/>
        <v>144028.44910734435</v>
      </c>
      <c r="AC195" s="147">
        <f ca="1"/>
        <v>145412.85287139323</v>
      </c>
      <c r="AD195" s="147">
        <f ca="1"/>
        <v>146541.77348861517</v>
      </c>
      <c r="AE195" s="147">
        <f ca="1"/>
        <v>147409.90236581658</v>
      </c>
      <c r="AF195" s="147">
        <f ca="1"/>
        <v>148010.68612087207</v>
      </c>
      <c r="AG195" s="147">
        <f ca="1"/>
        <v>148338.23432326497</v>
      </c>
      <c r="AH195" s="147">
        <f ca="1"/>
        <v>148387.92110058325</v>
      </c>
    </row>
    <row r="196" spans="2:34">
      <c r="B196" s="149">
        <v>3</v>
      </c>
      <c r="C196" s="149">
        <v>2</v>
      </c>
      <c r="D196" s="145" t="str">
        <v xml:space="preserve">Automóvel com reboque </v>
      </c>
      <c r="E196" s="147">
        <f ca="1"/>
        <v>0</v>
      </c>
      <c r="F196" s="147">
        <f ca="1"/>
        <v>0</v>
      </c>
      <c r="G196" s="147">
        <f ca="1"/>
        <v>0</v>
      </c>
      <c r="H196" s="147">
        <f ca="1"/>
        <v>0</v>
      </c>
      <c r="I196" s="147">
        <f ca="1"/>
        <v>0</v>
      </c>
      <c r="J196" s="147">
        <f ca="1"/>
        <v>0</v>
      </c>
      <c r="K196" s="147">
        <f ca="1"/>
        <v>0</v>
      </c>
      <c r="L196" s="147">
        <f ca="1"/>
        <v>0</v>
      </c>
      <c r="M196" s="147">
        <f ca="1"/>
        <v>0</v>
      </c>
      <c r="N196" s="147">
        <f ca="1"/>
        <v>0</v>
      </c>
      <c r="O196" s="147">
        <f ca="1"/>
        <v>0</v>
      </c>
      <c r="P196" s="147">
        <f ca="1"/>
        <v>0</v>
      </c>
      <c r="Q196" s="147">
        <f ca="1"/>
        <v>0</v>
      </c>
      <c r="R196" s="147">
        <f ca="1"/>
        <v>0</v>
      </c>
      <c r="S196" s="147">
        <f ca="1"/>
        <v>0</v>
      </c>
      <c r="T196" s="147">
        <f ca="1"/>
        <v>0</v>
      </c>
      <c r="U196" s="147">
        <f ca="1"/>
        <v>0</v>
      </c>
      <c r="V196" s="147">
        <f ca="1"/>
        <v>0</v>
      </c>
      <c r="W196" s="147">
        <f ca="1"/>
        <v>0</v>
      </c>
      <c r="X196" s="147">
        <f ca="1"/>
        <v>0</v>
      </c>
      <c r="Y196" s="147">
        <f ca="1"/>
        <v>0</v>
      </c>
      <c r="Z196" s="147">
        <f ca="1"/>
        <v>0</v>
      </c>
      <c r="AA196" s="147">
        <f ca="1"/>
        <v>0</v>
      </c>
      <c r="AB196" s="147">
        <f ca="1"/>
        <v>0</v>
      </c>
      <c r="AC196" s="147">
        <f ca="1"/>
        <v>0</v>
      </c>
      <c r="AD196" s="147">
        <f ca="1"/>
        <v>0</v>
      </c>
      <c r="AE196" s="147">
        <f ca="1"/>
        <v>0</v>
      </c>
      <c r="AF196" s="147">
        <f ca="1"/>
        <v>0</v>
      </c>
      <c r="AG196" s="147">
        <f ca="1"/>
        <v>0</v>
      </c>
      <c r="AH196" s="147">
        <f ca="1"/>
        <v>0</v>
      </c>
    </row>
    <row r="197" spans="2:34">
      <c r="B197" s="149">
        <v>3</v>
      </c>
      <c r="C197" s="149">
        <v>3</v>
      </c>
      <c r="D197" s="145" t="str">
        <v>Veículos Comerciais com 2 Eixos</v>
      </c>
      <c r="E197" s="147">
        <f ca="1"/>
        <v>0</v>
      </c>
      <c r="F197" s="147">
        <f ca="1"/>
        <v>0</v>
      </c>
      <c r="G197" s="147">
        <f ca="1"/>
        <v>0</v>
      </c>
      <c r="H197" s="147">
        <f ca="1"/>
        <v>0</v>
      </c>
      <c r="I197" s="147">
        <f ca="1"/>
        <v>0</v>
      </c>
      <c r="J197" s="147">
        <f ca="1"/>
        <v>0</v>
      </c>
      <c r="K197" s="147">
        <f ca="1"/>
        <v>0</v>
      </c>
      <c r="L197" s="147">
        <f ca="1"/>
        <v>0</v>
      </c>
      <c r="M197" s="147">
        <f ca="1"/>
        <v>0</v>
      </c>
      <c r="N197" s="147">
        <f ca="1"/>
        <v>0</v>
      </c>
      <c r="O197" s="147">
        <f ca="1"/>
        <v>0</v>
      </c>
      <c r="P197" s="147">
        <f ca="1"/>
        <v>0</v>
      </c>
      <c r="Q197" s="147">
        <f ca="1"/>
        <v>0</v>
      </c>
      <c r="R197" s="147">
        <f ca="1"/>
        <v>0</v>
      </c>
      <c r="S197" s="147">
        <f ca="1"/>
        <v>0</v>
      </c>
      <c r="T197" s="147">
        <f ca="1"/>
        <v>0</v>
      </c>
      <c r="U197" s="147">
        <f ca="1"/>
        <v>0</v>
      </c>
      <c r="V197" s="147">
        <f ca="1"/>
        <v>0</v>
      </c>
      <c r="W197" s="147">
        <f ca="1"/>
        <v>0</v>
      </c>
      <c r="X197" s="147">
        <f ca="1"/>
        <v>0</v>
      </c>
      <c r="Y197" s="147">
        <f ca="1"/>
        <v>0</v>
      </c>
      <c r="Z197" s="147">
        <f ca="1"/>
        <v>0</v>
      </c>
      <c r="AA197" s="147">
        <f ca="1"/>
        <v>0</v>
      </c>
      <c r="AB197" s="147">
        <f ca="1"/>
        <v>0</v>
      </c>
      <c r="AC197" s="147">
        <f ca="1"/>
        <v>0</v>
      </c>
      <c r="AD197" s="147">
        <f ca="1"/>
        <v>0</v>
      </c>
      <c r="AE197" s="147">
        <f ca="1"/>
        <v>0</v>
      </c>
      <c r="AF197" s="147">
        <f ca="1"/>
        <v>0</v>
      </c>
      <c r="AG197" s="147">
        <f ca="1"/>
        <v>0</v>
      </c>
      <c r="AH197" s="147">
        <f ca="1"/>
        <v>0</v>
      </c>
    </row>
    <row r="198" spans="2:34">
      <c r="B198" s="149">
        <v>3</v>
      </c>
      <c r="C198" s="149">
        <v>4</v>
      </c>
      <c r="D198" s="145" t="str">
        <v>Veículos Comerciais com 3 Eixos</v>
      </c>
      <c r="E198" s="147">
        <f ca="1"/>
        <v>0</v>
      </c>
      <c r="F198" s="147">
        <f ca="1"/>
        <v>0</v>
      </c>
      <c r="G198" s="147">
        <f ca="1"/>
        <v>0</v>
      </c>
      <c r="H198" s="147">
        <f ca="1"/>
        <v>0</v>
      </c>
      <c r="I198" s="147">
        <f ca="1"/>
        <v>0</v>
      </c>
      <c r="J198" s="147">
        <f ca="1"/>
        <v>0</v>
      </c>
      <c r="K198" s="147">
        <f ca="1"/>
        <v>0</v>
      </c>
      <c r="L198" s="147">
        <f ca="1"/>
        <v>0</v>
      </c>
      <c r="M198" s="147">
        <f ca="1"/>
        <v>0</v>
      </c>
      <c r="N198" s="147">
        <f ca="1"/>
        <v>0</v>
      </c>
      <c r="O198" s="147">
        <f ca="1"/>
        <v>0</v>
      </c>
      <c r="P198" s="147">
        <f ca="1"/>
        <v>0</v>
      </c>
      <c r="Q198" s="147">
        <f ca="1"/>
        <v>0</v>
      </c>
      <c r="R198" s="147">
        <f ca="1"/>
        <v>0</v>
      </c>
      <c r="S198" s="147">
        <f ca="1"/>
        <v>0</v>
      </c>
      <c r="T198" s="147">
        <f ca="1"/>
        <v>0</v>
      </c>
      <c r="U198" s="147">
        <f ca="1"/>
        <v>0</v>
      </c>
      <c r="V198" s="147">
        <f ca="1"/>
        <v>0</v>
      </c>
      <c r="W198" s="147">
        <f ca="1"/>
        <v>0</v>
      </c>
      <c r="X198" s="147">
        <f ca="1"/>
        <v>0</v>
      </c>
      <c r="Y198" s="147">
        <f ca="1"/>
        <v>0</v>
      </c>
      <c r="Z198" s="147">
        <f ca="1"/>
        <v>0</v>
      </c>
      <c r="AA198" s="147">
        <f ca="1"/>
        <v>0</v>
      </c>
      <c r="AB198" s="147">
        <f ca="1"/>
        <v>0</v>
      </c>
      <c r="AC198" s="147">
        <f ca="1"/>
        <v>0</v>
      </c>
      <c r="AD198" s="147">
        <f ca="1"/>
        <v>0</v>
      </c>
      <c r="AE198" s="147">
        <f ca="1"/>
        <v>0</v>
      </c>
      <c r="AF198" s="147">
        <f ca="1"/>
        <v>0</v>
      </c>
      <c r="AG198" s="147">
        <f ca="1"/>
        <v>0</v>
      </c>
      <c r="AH198" s="147">
        <f ca="1"/>
        <v>0</v>
      </c>
    </row>
    <row r="199" spans="2:34">
      <c r="B199" s="149">
        <v>3</v>
      </c>
      <c r="C199" s="149">
        <v>5</v>
      </c>
      <c r="D199" s="145" t="str">
        <v>Veículos Comerciais com 4 Eixos</v>
      </c>
      <c r="E199" s="147">
        <f ca="1"/>
        <v>0</v>
      </c>
      <c r="F199" s="147">
        <f ca="1"/>
        <v>0</v>
      </c>
      <c r="G199" s="147">
        <f ca="1"/>
        <v>0</v>
      </c>
      <c r="H199" s="147">
        <f ca="1"/>
        <v>0</v>
      </c>
      <c r="I199" s="147">
        <f ca="1"/>
        <v>0</v>
      </c>
      <c r="J199" s="147">
        <f ca="1"/>
        <v>0</v>
      </c>
      <c r="K199" s="147">
        <f ca="1"/>
        <v>0</v>
      </c>
      <c r="L199" s="147">
        <f ca="1"/>
        <v>0</v>
      </c>
      <c r="M199" s="147">
        <f ca="1"/>
        <v>0</v>
      </c>
      <c r="N199" s="147">
        <f ca="1"/>
        <v>0</v>
      </c>
      <c r="O199" s="147">
        <f ca="1"/>
        <v>0</v>
      </c>
      <c r="P199" s="147">
        <f ca="1"/>
        <v>0</v>
      </c>
      <c r="Q199" s="147">
        <f ca="1"/>
        <v>0</v>
      </c>
      <c r="R199" s="147">
        <f ca="1"/>
        <v>0</v>
      </c>
      <c r="S199" s="147">
        <f ca="1"/>
        <v>0</v>
      </c>
      <c r="T199" s="147">
        <f ca="1"/>
        <v>0</v>
      </c>
      <c r="U199" s="147">
        <f ca="1"/>
        <v>0</v>
      </c>
      <c r="V199" s="147">
        <f ca="1"/>
        <v>0</v>
      </c>
      <c r="W199" s="147">
        <f ca="1"/>
        <v>0</v>
      </c>
      <c r="X199" s="147">
        <f ca="1"/>
        <v>0</v>
      </c>
      <c r="Y199" s="147">
        <f ca="1"/>
        <v>0</v>
      </c>
      <c r="Z199" s="147">
        <f ca="1"/>
        <v>0</v>
      </c>
      <c r="AA199" s="147">
        <f ca="1"/>
        <v>0</v>
      </c>
      <c r="AB199" s="147">
        <f ca="1"/>
        <v>0</v>
      </c>
      <c r="AC199" s="147">
        <f ca="1"/>
        <v>0</v>
      </c>
      <c r="AD199" s="147">
        <f ca="1"/>
        <v>0</v>
      </c>
      <c r="AE199" s="147">
        <f ca="1"/>
        <v>0</v>
      </c>
      <c r="AF199" s="147">
        <f ca="1"/>
        <v>0</v>
      </c>
      <c r="AG199" s="147">
        <f ca="1"/>
        <v>0</v>
      </c>
      <c r="AH199" s="147">
        <f ca="1"/>
        <v>0</v>
      </c>
    </row>
    <row r="200" spans="2:34">
      <c r="B200" s="149">
        <v>3</v>
      </c>
      <c r="C200" s="149">
        <v>6</v>
      </c>
      <c r="D200" s="145" t="str">
        <v>Veículos Comerciais com 5 Eixos Articulado</v>
      </c>
      <c r="E200" s="147">
        <f ca="1"/>
        <v>0</v>
      </c>
      <c r="F200" s="147">
        <f ca="1"/>
        <v>0</v>
      </c>
      <c r="G200" s="147">
        <f ca="1"/>
        <v>0</v>
      </c>
      <c r="H200" s="147">
        <f ca="1"/>
        <v>0</v>
      </c>
      <c r="I200" s="147">
        <f ca="1"/>
        <v>0</v>
      </c>
      <c r="J200" s="147">
        <f ca="1"/>
        <v>0</v>
      </c>
      <c r="K200" s="147">
        <f ca="1"/>
        <v>0</v>
      </c>
      <c r="L200" s="147">
        <f ca="1"/>
        <v>0</v>
      </c>
      <c r="M200" s="147">
        <f ca="1"/>
        <v>0</v>
      </c>
      <c r="N200" s="147">
        <f ca="1"/>
        <v>0</v>
      </c>
      <c r="O200" s="147">
        <f ca="1"/>
        <v>0</v>
      </c>
      <c r="P200" s="147">
        <f ca="1"/>
        <v>0</v>
      </c>
      <c r="Q200" s="147">
        <f ca="1"/>
        <v>0</v>
      </c>
      <c r="R200" s="147">
        <f ca="1"/>
        <v>0</v>
      </c>
      <c r="S200" s="147">
        <f ca="1"/>
        <v>0</v>
      </c>
      <c r="T200" s="147">
        <f ca="1"/>
        <v>0</v>
      </c>
      <c r="U200" s="147">
        <f ca="1"/>
        <v>0</v>
      </c>
      <c r="V200" s="147">
        <f ca="1"/>
        <v>0</v>
      </c>
      <c r="W200" s="147">
        <f ca="1"/>
        <v>0</v>
      </c>
      <c r="X200" s="147">
        <f ca="1"/>
        <v>0</v>
      </c>
      <c r="Y200" s="147">
        <f ca="1"/>
        <v>0</v>
      </c>
      <c r="Z200" s="147">
        <f ca="1"/>
        <v>0</v>
      </c>
      <c r="AA200" s="147">
        <f ca="1"/>
        <v>0</v>
      </c>
      <c r="AB200" s="147">
        <f ca="1"/>
        <v>0</v>
      </c>
      <c r="AC200" s="147">
        <f ca="1"/>
        <v>0</v>
      </c>
      <c r="AD200" s="147">
        <f ca="1"/>
        <v>0</v>
      </c>
      <c r="AE200" s="147">
        <f ca="1"/>
        <v>0</v>
      </c>
      <c r="AF200" s="147">
        <f ca="1"/>
        <v>0</v>
      </c>
      <c r="AG200" s="147">
        <f ca="1"/>
        <v>0</v>
      </c>
      <c r="AH200" s="147">
        <f ca="1"/>
        <v>0</v>
      </c>
    </row>
    <row r="201" spans="2:34">
      <c r="B201" s="149">
        <v>3</v>
      </c>
      <c r="C201" s="149">
        <v>7</v>
      </c>
      <c r="D201" s="145" t="str">
        <v>Veículos Comerciais com 6 Eixos Articulado</v>
      </c>
      <c r="E201" s="147">
        <f ca="1"/>
        <v>0</v>
      </c>
      <c r="F201" s="147">
        <f ca="1"/>
        <v>0</v>
      </c>
      <c r="G201" s="147">
        <f ca="1"/>
        <v>0</v>
      </c>
      <c r="H201" s="147">
        <f ca="1"/>
        <v>0</v>
      </c>
      <c r="I201" s="147">
        <f ca="1"/>
        <v>0</v>
      </c>
      <c r="J201" s="147">
        <f ca="1"/>
        <v>0</v>
      </c>
      <c r="K201" s="147">
        <f ca="1"/>
        <v>0</v>
      </c>
      <c r="L201" s="147">
        <f ca="1"/>
        <v>0</v>
      </c>
      <c r="M201" s="147">
        <f ca="1"/>
        <v>0</v>
      </c>
      <c r="N201" s="147">
        <f ca="1"/>
        <v>0</v>
      </c>
      <c r="O201" s="147">
        <f ca="1"/>
        <v>0</v>
      </c>
      <c r="P201" s="147">
        <f ca="1"/>
        <v>0</v>
      </c>
      <c r="Q201" s="147">
        <f ca="1"/>
        <v>0</v>
      </c>
      <c r="R201" s="147">
        <f ca="1"/>
        <v>0</v>
      </c>
      <c r="S201" s="147">
        <f ca="1"/>
        <v>0</v>
      </c>
      <c r="T201" s="147">
        <f ca="1"/>
        <v>0</v>
      </c>
      <c r="U201" s="147">
        <f ca="1"/>
        <v>0</v>
      </c>
      <c r="V201" s="147">
        <f ca="1"/>
        <v>0</v>
      </c>
      <c r="W201" s="147">
        <f ca="1"/>
        <v>0</v>
      </c>
      <c r="X201" s="147">
        <f ca="1"/>
        <v>0</v>
      </c>
      <c r="Y201" s="147">
        <f ca="1"/>
        <v>0</v>
      </c>
      <c r="Z201" s="147">
        <f ca="1"/>
        <v>0</v>
      </c>
      <c r="AA201" s="147">
        <f ca="1"/>
        <v>0</v>
      </c>
      <c r="AB201" s="147">
        <f ca="1"/>
        <v>0</v>
      </c>
      <c r="AC201" s="147">
        <f ca="1"/>
        <v>0</v>
      </c>
      <c r="AD201" s="147">
        <f ca="1"/>
        <v>0</v>
      </c>
      <c r="AE201" s="147">
        <f ca="1"/>
        <v>0</v>
      </c>
      <c r="AF201" s="147">
        <f ca="1"/>
        <v>0</v>
      </c>
      <c r="AG201" s="147">
        <f ca="1"/>
        <v>0</v>
      </c>
      <c r="AH201" s="147">
        <f ca="1"/>
        <v>0</v>
      </c>
    </row>
    <row r="202" spans="2:34">
      <c r="B202" s="149">
        <v>3</v>
      </c>
      <c r="C202" s="149">
        <v>8</v>
      </c>
      <c r="D202" s="145" t="str">
        <v>Veículos Comerciais com 7 Eixos Articulado</v>
      </c>
      <c r="E202" s="147">
        <f ca="1"/>
        <v>0</v>
      </c>
      <c r="F202" s="147">
        <f ca="1"/>
        <v>0</v>
      </c>
      <c r="G202" s="147">
        <f ca="1"/>
        <v>0</v>
      </c>
      <c r="H202" s="147">
        <f ca="1"/>
        <v>0</v>
      </c>
      <c r="I202" s="147">
        <f ca="1"/>
        <v>0</v>
      </c>
      <c r="J202" s="147">
        <f ca="1"/>
        <v>0</v>
      </c>
      <c r="K202" s="147">
        <f ca="1"/>
        <v>0</v>
      </c>
      <c r="L202" s="147">
        <f ca="1"/>
        <v>0</v>
      </c>
      <c r="M202" s="147">
        <f ca="1"/>
        <v>0</v>
      </c>
      <c r="N202" s="147">
        <f ca="1"/>
        <v>0</v>
      </c>
      <c r="O202" s="147">
        <f ca="1"/>
        <v>0</v>
      </c>
      <c r="P202" s="147">
        <f ca="1"/>
        <v>0</v>
      </c>
      <c r="Q202" s="147">
        <f ca="1"/>
        <v>0</v>
      </c>
      <c r="R202" s="147">
        <f ca="1"/>
        <v>0</v>
      </c>
      <c r="S202" s="147">
        <f ca="1"/>
        <v>0</v>
      </c>
      <c r="T202" s="147">
        <f ca="1"/>
        <v>0</v>
      </c>
      <c r="U202" s="147">
        <f ca="1"/>
        <v>0</v>
      </c>
      <c r="V202" s="147">
        <f ca="1"/>
        <v>0</v>
      </c>
      <c r="W202" s="147">
        <f ca="1"/>
        <v>0</v>
      </c>
      <c r="X202" s="147">
        <f ca="1"/>
        <v>0</v>
      </c>
      <c r="Y202" s="147">
        <f ca="1"/>
        <v>0</v>
      </c>
      <c r="Z202" s="147">
        <f ca="1"/>
        <v>0</v>
      </c>
      <c r="AA202" s="147">
        <f ca="1"/>
        <v>0</v>
      </c>
      <c r="AB202" s="147">
        <f ca="1"/>
        <v>0</v>
      </c>
      <c r="AC202" s="147">
        <f ca="1"/>
        <v>0</v>
      </c>
      <c r="AD202" s="147">
        <f ca="1"/>
        <v>0</v>
      </c>
      <c r="AE202" s="147">
        <f ca="1"/>
        <v>0</v>
      </c>
      <c r="AF202" s="147">
        <f ca="1"/>
        <v>0</v>
      </c>
      <c r="AG202" s="147">
        <f ca="1"/>
        <v>0</v>
      </c>
      <c r="AH202" s="147">
        <f ca="1"/>
        <v>0</v>
      </c>
    </row>
    <row r="203" spans="2:34">
      <c r="B203" s="149">
        <v>3</v>
      </c>
      <c r="C203" s="149">
        <v>9</v>
      </c>
      <c r="D203" s="145" t="str">
        <v>Veículos Comerciais com 8 Eixos Articulado</v>
      </c>
      <c r="E203" s="147">
        <f ca="1"/>
        <v>0</v>
      </c>
      <c r="F203" s="147">
        <f ca="1"/>
        <v>0</v>
      </c>
      <c r="G203" s="147">
        <f ca="1"/>
        <v>0</v>
      </c>
      <c r="H203" s="147">
        <f ca="1"/>
        <v>0</v>
      </c>
      <c r="I203" s="147">
        <f ca="1"/>
        <v>0</v>
      </c>
      <c r="J203" s="147">
        <f ca="1"/>
        <v>0</v>
      </c>
      <c r="K203" s="147">
        <f ca="1"/>
        <v>0</v>
      </c>
      <c r="L203" s="147">
        <f ca="1"/>
        <v>0</v>
      </c>
      <c r="M203" s="147">
        <f ca="1"/>
        <v>0</v>
      </c>
      <c r="N203" s="147">
        <f ca="1"/>
        <v>0</v>
      </c>
      <c r="O203" s="147">
        <f ca="1"/>
        <v>0</v>
      </c>
      <c r="P203" s="147">
        <f ca="1"/>
        <v>0</v>
      </c>
      <c r="Q203" s="147">
        <f ca="1"/>
        <v>0</v>
      </c>
      <c r="R203" s="147">
        <f ca="1"/>
        <v>0</v>
      </c>
      <c r="S203" s="147">
        <f ca="1"/>
        <v>0</v>
      </c>
      <c r="T203" s="147">
        <f ca="1"/>
        <v>0</v>
      </c>
      <c r="U203" s="147">
        <f ca="1"/>
        <v>0</v>
      </c>
      <c r="V203" s="147">
        <f ca="1"/>
        <v>0</v>
      </c>
      <c r="W203" s="147">
        <f ca="1"/>
        <v>0</v>
      </c>
      <c r="X203" s="147">
        <f ca="1"/>
        <v>0</v>
      </c>
      <c r="Y203" s="147">
        <f ca="1"/>
        <v>0</v>
      </c>
      <c r="Z203" s="147">
        <f ca="1"/>
        <v>0</v>
      </c>
      <c r="AA203" s="147">
        <f ca="1"/>
        <v>0</v>
      </c>
      <c r="AB203" s="147">
        <f ca="1"/>
        <v>0</v>
      </c>
      <c r="AC203" s="147">
        <f ca="1"/>
        <v>0</v>
      </c>
      <c r="AD203" s="147">
        <f ca="1"/>
        <v>0</v>
      </c>
      <c r="AE203" s="147">
        <f ca="1"/>
        <v>0</v>
      </c>
      <c r="AF203" s="147">
        <f ca="1"/>
        <v>0</v>
      </c>
      <c r="AG203" s="147">
        <f ca="1"/>
        <v>0</v>
      </c>
      <c r="AH203" s="147">
        <f ca="1"/>
        <v>0</v>
      </c>
    </row>
    <row r="204" spans="2:34">
      <c r="B204" s="149">
        <v>3</v>
      </c>
      <c r="C204" s="149">
        <v>10</v>
      </c>
      <c r="D204" s="145" t="str">
        <v>Veículos Comerciais com 9 Eixos Articulado</v>
      </c>
      <c r="E204" s="147">
        <f ca="1"/>
        <v>0</v>
      </c>
      <c r="F204" s="147">
        <f ca="1"/>
        <v>0</v>
      </c>
      <c r="G204" s="147">
        <f ca="1"/>
        <v>0</v>
      </c>
      <c r="H204" s="147">
        <f ca="1"/>
        <v>0</v>
      </c>
      <c r="I204" s="147">
        <f ca="1"/>
        <v>0</v>
      </c>
      <c r="J204" s="147">
        <f ca="1"/>
        <v>0</v>
      </c>
      <c r="K204" s="147">
        <f ca="1"/>
        <v>0</v>
      </c>
      <c r="L204" s="147">
        <f ca="1"/>
        <v>0</v>
      </c>
      <c r="M204" s="147">
        <f ca="1"/>
        <v>0</v>
      </c>
      <c r="N204" s="147">
        <f ca="1"/>
        <v>0</v>
      </c>
      <c r="O204" s="147">
        <f ca="1"/>
        <v>0</v>
      </c>
      <c r="P204" s="147">
        <f ca="1"/>
        <v>0</v>
      </c>
      <c r="Q204" s="147">
        <f ca="1"/>
        <v>0</v>
      </c>
      <c r="R204" s="147">
        <f ca="1"/>
        <v>0</v>
      </c>
      <c r="S204" s="147">
        <f ca="1"/>
        <v>0</v>
      </c>
      <c r="T204" s="147">
        <f ca="1"/>
        <v>0</v>
      </c>
      <c r="U204" s="147">
        <f ca="1"/>
        <v>0</v>
      </c>
      <c r="V204" s="147">
        <f ca="1"/>
        <v>0</v>
      </c>
      <c r="W204" s="147">
        <f ca="1"/>
        <v>0</v>
      </c>
      <c r="X204" s="147">
        <f ca="1"/>
        <v>0</v>
      </c>
      <c r="Y204" s="147">
        <f ca="1"/>
        <v>0</v>
      </c>
      <c r="Z204" s="147">
        <f ca="1"/>
        <v>0</v>
      </c>
      <c r="AA204" s="147">
        <f ca="1"/>
        <v>0</v>
      </c>
      <c r="AB204" s="147">
        <f ca="1"/>
        <v>0</v>
      </c>
      <c r="AC204" s="147">
        <f ca="1"/>
        <v>0</v>
      </c>
      <c r="AD204" s="147">
        <f ca="1"/>
        <v>0</v>
      </c>
      <c r="AE204" s="147">
        <f ca="1"/>
        <v>0</v>
      </c>
      <c r="AF204" s="147">
        <f ca="1"/>
        <v>0</v>
      </c>
      <c r="AG204" s="147">
        <f ca="1"/>
        <v>0</v>
      </c>
      <c r="AH204" s="147">
        <f ca="1"/>
        <v>0</v>
      </c>
    </row>
    <row r="205" spans="2:34">
      <c r="B205" s="149">
        <v>3</v>
      </c>
      <c r="C205" s="149">
        <v>11</v>
      </c>
      <c r="D205" s="145" t="str">
        <v>Motocicleta</v>
      </c>
      <c r="E205" s="147">
        <f ca="1"/>
        <v>0</v>
      </c>
      <c r="F205" s="147">
        <f ca="1"/>
        <v>1284.123504202716</v>
      </c>
      <c r="G205" s="147">
        <f ca="1"/>
        <v>2436.5544360139311</v>
      </c>
      <c r="H205" s="147">
        <f ca="1"/>
        <v>3094.7157613198533</v>
      </c>
      <c r="I205" s="147">
        <f ca="1"/>
        <v>3739.2837068021936</v>
      </c>
      <c r="J205" s="147">
        <f ca="1"/>
        <v>4297.0257326013161</v>
      </c>
      <c r="K205" s="147">
        <f ca="1"/>
        <v>4821.5787945352258</v>
      </c>
      <c r="L205" s="147">
        <f ca="1"/>
        <v>5376.7809145752071</v>
      </c>
      <c r="M205" s="147">
        <f ca="1"/>
        <v>5886.2350178623474</v>
      </c>
      <c r="N205" s="147">
        <f ca="1"/>
        <v>6261.9853578696066</v>
      </c>
      <c r="O205" s="147">
        <f ca="1"/>
        <v>6566.6155039601454</v>
      </c>
      <c r="P205" s="147">
        <f ca="1"/>
        <v>6790.0313828881081</v>
      </c>
      <c r="Q205" s="147">
        <f ca="1"/>
        <v>7009.1583647553689</v>
      </c>
      <c r="R205" s="147">
        <f ca="1"/>
        <v>7222.6523998886387</v>
      </c>
      <c r="S205" s="147">
        <f ca="1"/>
        <v>7429.1097674907733</v>
      </c>
      <c r="T205" s="147">
        <f ca="1"/>
        <v>7627.1763417190823</v>
      </c>
      <c r="U205" s="147">
        <f ca="1"/>
        <v>7815.8326587942665</v>
      </c>
      <c r="V205" s="147">
        <f ca="1"/>
        <v>7994.1910271189317</v>
      </c>
      <c r="W205" s="147">
        <f ca="1"/>
        <v>8161.3165274751864</v>
      </c>
      <c r="X205" s="147">
        <f ca="1"/>
        <v>8316.3921469501802</v>
      </c>
      <c r="Y205" s="147">
        <f ca="1"/>
        <v>8458.5629960123024</v>
      </c>
      <c r="Z205" s="147">
        <f ca="1"/>
        <v>8587.1552590773645</v>
      </c>
      <c r="AA205" s="147">
        <f ca="1"/>
        <v>8701.6468386904016</v>
      </c>
      <c r="AB205" s="147">
        <f ca="1"/>
        <v>8801.464623642918</v>
      </c>
      <c r="AC205" s="147">
        <f ca="1"/>
        <v>8886.0644428427568</v>
      </c>
      <c r="AD205" s="147">
        <f ca="1"/>
        <v>8955.0518889824743</v>
      </c>
      <c r="AE205" s="147">
        <f ca="1"/>
        <v>9008.1025581301819</v>
      </c>
      <c r="AF205" s="147">
        <f ca="1"/>
        <v>9044.8159782867733</v>
      </c>
      <c r="AG205" s="147">
        <f ca="1"/>
        <v>9064.8321899016773</v>
      </c>
      <c r="AH205" s="147">
        <f ca="1"/>
        <v>9067.8685095700457</v>
      </c>
    </row>
    <row r="206" spans="2:34">
      <c r="B206" s="149">
        <v>3</v>
      </c>
      <c r="C206" s="149">
        <v>12</v>
      </c>
      <c r="D206" s="145" t="str">
        <v xml:space="preserve">Veículos do transporte público coletivo intermunicipal e metropolitano </v>
      </c>
      <c r="E206" s="147">
        <f ca="1"/>
        <v>0</v>
      </c>
      <c r="F206" s="147">
        <f ca="1"/>
        <v>0</v>
      </c>
      <c r="G206" s="147">
        <f ca="1"/>
        <v>0</v>
      </c>
      <c r="H206" s="147">
        <f ca="1"/>
        <v>0</v>
      </c>
      <c r="I206" s="147">
        <f ca="1"/>
        <v>0</v>
      </c>
      <c r="J206" s="147">
        <f ca="1"/>
        <v>0</v>
      </c>
      <c r="K206" s="147">
        <f ca="1"/>
        <v>0</v>
      </c>
      <c r="L206" s="147">
        <f ca="1"/>
        <v>0</v>
      </c>
      <c r="M206" s="147">
        <f ca="1"/>
        <v>0</v>
      </c>
      <c r="N206" s="147">
        <f ca="1"/>
        <v>0</v>
      </c>
      <c r="O206" s="147">
        <f ca="1"/>
        <v>0</v>
      </c>
      <c r="P206" s="147">
        <f ca="1"/>
        <v>0</v>
      </c>
      <c r="Q206" s="147">
        <f ca="1"/>
        <v>0</v>
      </c>
      <c r="R206" s="147">
        <f ca="1"/>
        <v>0</v>
      </c>
      <c r="S206" s="147">
        <f ca="1"/>
        <v>0</v>
      </c>
      <c r="T206" s="147">
        <f ca="1"/>
        <v>0</v>
      </c>
      <c r="U206" s="147">
        <f ca="1"/>
        <v>0</v>
      </c>
      <c r="V206" s="147">
        <f ca="1"/>
        <v>0</v>
      </c>
      <c r="W206" s="147">
        <f ca="1"/>
        <v>0</v>
      </c>
      <c r="X206" s="147">
        <f ca="1"/>
        <v>0</v>
      </c>
      <c r="Y206" s="147">
        <f ca="1"/>
        <v>0</v>
      </c>
      <c r="Z206" s="147">
        <f ca="1"/>
        <v>0</v>
      </c>
      <c r="AA206" s="147">
        <f ca="1"/>
        <v>0</v>
      </c>
      <c r="AB206" s="147">
        <f ca="1"/>
        <v>0</v>
      </c>
      <c r="AC206" s="147">
        <f ca="1"/>
        <v>0</v>
      </c>
      <c r="AD206" s="147">
        <f ca="1"/>
        <v>0</v>
      </c>
      <c r="AE206" s="147">
        <f ca="1"/>
        <v>0</v>
      </c>
      <c r="AF206" s="147">
        <f ca="1"/>
        <v>0</v>
      </c>
      <c r="AG206" s="147">
        <f ca="1"/>
        <v>0</v>
      </c>
      <c r="AH206" s="147">
        <f ca="1"/>
        <v>0</v>
      </c>
    </row>
    <row r="207" spans="2:34">
      <c r="B207" s="149">
        <v>4</v>
      </c>
      <c r="C207" s="149">
        <v>1</v>
      </c>
      <c r="D207" s="145" t="str">
        <v>Automóvel</v>
      </c>
      <c r="E207" s="147">
        <f ca="1"/>
        <v>0</v>
      </c>
      <c r="F207" s="147">
        <f ca="1"/>
        <v>42714.958143230848</v>
      </c>
      <c r="G207" s="147">
        <f ca="1"/>
        <v>81049.307490604508</v>
      </c>
      <c r="H207" s="147">
        <f ca="1"/>
        <v>102942.32118432301</v>
      </c>
      <c r="I207" s="147">
        <f ca="1"/>
        <v>124383.1660264559</v>
      </c>
      <c r="J207" s="147">
        <f ca="1"/>
        <v>142935.84200252726</v>
      </c>
      <c r="K207" s="147">
        <f ca="1"/>
        <v>160384.52354373311</v>
      </c>
      <c r="L207" s="147">
        <f ca="1"/>
        <v>178852.71234405049</v>
      </c>
      <c r="M207" s="147">
        <f ca="1"/>
        <v>195799.14360754372</v>
      </c>
      <c r="N207" s="147">
        <f ca="1"/>
        <v>208298.06601896713</v>
      </c>
      <c r="O207" s="147">
        <f ca="1"/>
        <v>218431.2532839278</v>
      </c>
      <c r="P207" s="147">
        <f ca="1"/>
        <v>225862.93714121086</v>
      </c>
      <c r="Q207" s="147">
        <f ca="1"/>
        <v>233151.95554783533</v>
      </c>
      <c r="R207" s="147">
        <f ca="1"/>
        <v>240253.60016745396</v>
      </c>
      <c r="S207" s="147">
        <f ca="1"/>
        <v>247121.17776931563</v>
      </c>
      <c r="T207" s="147">
        <f ca="1"/>
        <v>355193.5027821096</v>
      </c>
      <c r="U207" s="147">
        <f ca="1"/>
        <v>363979.12606937758</v>
      </c>
      <c r="V207" s="147">
        <f ca="1"/>
        <v>372285.17941827147</v>
      </c>
      <c r="W207" s="147">
        <f ca="1"/>
        <v>380068.12414331391</v>
      </c>
      <c r="X207" s="147">
        <f ca="1"/>
        <v>387289.91239228117</v>
      </c>
      <c r="Y207" s="147">
        <f ca="1"/>
        <v>393910.73241917201</v>
      </c>
      <c r="Z207" s="147">
        <f ca="1"/>
        <v>399899.20499439287</v>
      </c>
      <c r="AA207" s="147">
        <f ca="1"/>
        <v>405231.01632008277</v>
      </c>
      <c r="AB207" s="147">
        <f ca="1"/>
        <v>409879.47691529751</v>
      </c>
      <c r="AC207" s="147">
        <f ca="1"/>
        <v>413819.24502475635</v>
      </c>
      <c r="AD207" s="147">
        <f ca="1"/>
        <v>417031.95331213757</v>
      </c>
      <c r="AE207" s="147">
        <f ca="1"/>
        <v>419502.49446069333</v>
      </c>
      <c r="AF207" s="147">
        <f ca="1"/>
        <v>421212.21870467113</v>
      </c>
      <c r="AG207" s="147">
        <f ca="1"/>
        <v>422144.36292127165</v>
      </c>
      <c r="AH207" s="147">
        <f ca="1"/>
        <v>422285.7626962678</v>
      </c>
    </row>
    <row r="208" spans="2:34">
      <c r="B208" s="149">
        <v>4</v>
      </c>
      <c r="C208" s="149">
        <v>2</v>
      </c>
      <c r="D208" s="145" t="str">
        <v xml:space="preserve">Automóvel com reboque </v>
      </c>
      <c r="E208" s="147">
        <f ca="1"/>
        <v>0</v>
      </c>
      <c r="F208" s="147">
        <f ca="1"/>
        <v>0</v>
      </c>
      <c r="G208" s="147">
        <f ca="1"/>
        <v>0</v>
      </c>
      <c r="H208" s="147">
        <f ca="1"/>
        <v>0</v>
      </c>
      <c r="I208" s="147">
        <f ca="1"/>
        <v>0</v>
      </c>
      <c r="J208" s="147">
        <f ca="1"/>
        <v>0</v>
      </c>
      <c r="K208" s="147">
        <f ca="1"/>
        <v>0</v>
      </c>
      <c r="L208" s="147">
        <f ca="1"/>
        <v>0</v>
      </c>
      <c r="M208" s="147">
        <f ca="1"/>
        <v>0</v>
      </c>
      <c r="N208" s="147">
        <f ca="1"/>
        <v>0</v>
      </c>
      <c r="O208" s="147">
        <f ca="1"/>
        <v>0</v>
      </c>
      <c r="P208" s="147">
        <f ca="1"/>
        <v>0</v>
      </c>
      <c r="Q208" s="147">
        <f ca="1"/>
        <v>0</v>
      </c>
      <c r="R208" s="147">
        <f ca="1"/>
        <v>0</v>
      </c>
      <c r="S208" s="147">
        <f ca="1"/>
        <v>0</v>
      </c>
      <c r="T208" s="147">
        <f ca="1"/>
        <v>0</v>
      </c>
      <c r="U208" s="147">
        <f ca="1"/>
        <v>0</v>
      </c>
      <c r="V208" s="147">
        <f ca="1"/>
        <v>0</v>
      </c>
      <c r="W208" s="147">
        <f ca="1"/>
        <v>0</v>
      </c>
      <c r="X208" s="147">
        <f ca="1"/>
        <v>0</v>
      </c>
      <c r="Y208" s="147">
        <f ca="1"/>
        <v>0</v>
      </c>
      <c r="Z208" s="147">
        <f ca="1"/>
        <v>0</v>
      </c>
      <c r="AA208" s="147">
        <f ca="1"/>
        <v>0</v>
      </c>
      <c r="AB208" s="147">
        <f ca="1"/>
        <v>0</v>
      </c>
      <c r="AC208" s="147">
        <f ca="1"/>
        <v>0</v>
      </c>
      <c r="AD208" s="147">
        <f ca="1"/>
        <v>0</v>
      </c>
      <c r="AE208" s="147">
        <f ca="1"/>
        <v>0</v>
      </c>
      <c r="AF208" s="147">
        <f ca="1"/>
        <v>0</v>
      </c>
      <c r="AG208" s="147">
        <f ca="1"/>
        <v>0</v>
      </c>
      <c r="AH208" s="147">
        <f ca="1"/>
        <v>0</v>
      </c>
    </row>
    <row r="209" spans="2:35">
      <c r="B209" s="149">
        <v>4</v>
      </c>
      <c r="C209" s="149">
        <v>3</v>
      </c>
      <c r="D209" s="145" t="str">
        <v>Veículos Comerciais com 2 Eixos</v>
      </c>
      <c r="E209" s="147">
        <f ca="1"/>
        <v>0</v>
      </c>
      <c r="F209" s="147">
        <f ca="1"/>
        <v>0</v>
      </c>
      <c r="G209" s="147">
        <f ca="1"/>
        <v>0</v>
      </c>
      <c r="H209" s="147">
        <f ca="1"/>
        <v>0</v>
      </c>
      <c r="I209" s="147">
        <f ca="1"/>
        <v>0</v>
      </c>
      <c r="J209" s="147">
        <f ca="1"/>
        <v>0</v>
      </c>
      <c r="K209" s="147">
        <f ca="1"/>
        <v>0</v>
      </c>
      <c r="L209" s="147">
        <f ca="1"/>
        <v>0</v>
      </c>
      <c r="M209" s="147">
        <f ca="1"/>
        <v>0</v>
      </c>
      <c r="N209" s="147">
        <f ca="1"/>
        <v>0</v>
      </c>
      <c r="O209" s="147">
        <f ca="1"/>
        <v>0</v>
      </c>
      <c r="P209" s="147">
        <f ca="1"/>
        <v>0</v>
      </c>
      <c r="Q209" s="147">
        <f ca="1"/>
        <v>0</v>
      </c>
      <c r="R209" s="147">
        <f ca="1"/>
        <v>0</v>
      </c>
      <c r="S209" s="147">
        <f ca="1"/>
        <v>0</v>
      </c>
      <c r="T209" s="147">
        <f ca="1"/>
        <v>0</v>
      </c>
      <c r="U209" s="147">
        <f ca="1"/>
        <v>0</v>
      </c>
      <c r="V209" s="147">
        <f ca="1"/>
        <v>0</v>
      </c>
      <c r="W209" s="147">
        <f ca="1"/>
        <v>0</v>
      </c>
      <c r="X209" s="147">
        <f ca="1"/>
        <v>0</v>
      </c>
      <c r="Y209" s="147">
        <f ca="1"/>
        <v>0</v>
      </c>
      <c r="Z209" s="147">
        <f ca="1"/>
        <v>0</v>
      </c>
      <c r="AA209" s="147">
        <f ca="1"/>
        <v>0</v>
      </c>
      <c r="AB209" s="147">
        <f ca="1"/>
        <v>0</v>
      </c>
      <c r="AC209" s="147">
        <f ca="1"/>
        <v>0</v>
      </c>
      <c r="AD209" s="147">
        <f ca="1"/>
        <v>0</v>
      </c>
      <c r="AE209" s="147">
        <f ca="1"/>
        <v>0</v>
      </c>
      <c r="AF209" s="147">
        <f ca="1"/>
        <v>0</v>
      </c>
      <c r="AG209" s="147">
        <f ca="1"/>
        <v>0</v>
      </c>
      <c r="AH209" s="147">
        <f ca="1"/>
        <v>0</v>
      </c>
    </row>
    <row r="210" spans="2:35">
      <c r="B210" s="149">
        <v>4</v>
      </c>
      <c r="C210" s="149">
        <v>4</v>
      </c>
      <c r="D210" s="145" t="str">
        <v>Veículos Comerciais com 3 Eixos</v>
      </c>
      <c r="E210" s="147">
        <f ca="1"/>
        <v>0</v>
      </c>
      <c r="F210" s="147">
        <f ca="1"/>
        <v>0</v>
      </c>
      <c r="G210" s="147">
        <f ca="1"/>
        <v>0</v>
      </c>
      <c r="H210" s="147">
        <f ca="1"/>
        <v>0</v>
      </c>
      <c r="I210" s="147">
        <f ca="1"/>
        <v>0</v>
      </c>
      <c r="J210" s="147">
        <f ca="1"/>
        <v>0</v>
      </c>
      <c r="K210" s="147">
        <f ca="1"/>
        <v>0</v>
      </c>
      <c r="L210" s="147">
        <f ca="1"/>
        <v>0</v>
      </c>
      <c r="M210" s="147">
        <f ca="1"/>
        <v>0</v>
      </c>
      <c r="N210" s="147">
        <f ca="1"/>
        <v>0</v>
      </c>
      <c r="O210" s="147">
        <f ca="1"/>
        <v>0</v>
      </c>
      <c r="P210" s="147">
        <f ca="1"/>
        <v>0</v>
      </c>
      <c r="Q210" s="147">
        <f ca="1"/>
        <v>0</v>
      </c>
      <c r="R210" s="147">
        <f ca="1"/>
        <v>0</v>
      </c>
      <c r="S210" s="147">
        <f ca="1"/>
        <v>0</v>
      </c>
      <c r="T210" s="147">
        <f ca="1"/>
        <v>0</v>
      </c>
      <c r="U210" s="147">
        <f ca="1"/>
        <v>0</v>
      </c>
      <c r="V210" s="147">
        <f ca="1"/>
        <v>0</v>
      </c>
      <c r="W210" s="147">
        <f ca="1"/>
        <v>0</v>
      </c>
      <c r="X210" s="147">
        <f ca="1"/>
        <v>0</v>
      </c>
      <c r="Y210" s="147">
        <f ca="1"/>
        <v>0</v>
      </c>
      <c r="Z210" s="147">
        <f ca="1"/>
        <v>0</v>
      </c>
      <c r="AA210" s="147">
        <f ca="1"/>
        <v>0</v>
      </c>
      <c r="AB210" s="147">
        <f ca="1"/>
        <v>0</v>
      </c>
      <c r="AC210" s="147">
        <f ca="1"/>
        <v>0</v>
      </c>
      <c r="AD210" s="147">
        <f ca="1"/>
        <v>0</v>
      </c>
      <c r="AE210" s="147">
        <f ca="1"/>
        <v>0</v>
      </c>
      <c r="AF210" s="147">
        <f ca="1"/>
        <v>0</v>
      </c>
      <c r="AG210" s="147">
        <f ca="1"/>
        <v>0</v>
      </c>
      <c r="AH210" s="147">
        <f ca="1"/>
        <v>0</v>
      </c>
    </row>
    <row r="211" spans="2:35">
      <c r="B211" s="149">
        <v>4</v>
      </c>
      <c r="C211" s="149">
        <v>5</v>
      </c>
      <c r="D211" s="145" t="str">
        <v>Veículos Comerciais com 4 Eixos</v>
      </c>
      <c r="E211" s="147">
        <f ca="1"/>
        <v>0</v>
      </c>
      <c r="F211" s="147">
        <f ca="1"/>
        <v>0</v>
      </c>
      <c r="G211" s="147">
        <f ca="1"/>
        <v>0</v>
      </c>
      <c r="H211" s="147">
        <f ca="1"/>
        <v>0</v>
      </c>
      <c r="I211" s="147">
        <f ca="1"/>
        <v>0</v>
      </c>
      <c r="J211" s="147">
        <f ca="1"/>
        <v>0</v>
      </c>
      <c r="K211" s="147">
        <f ca="1"/>
        <v>0</v>
      </c>
      <c r="L211" s="147">
        <f ca="1"/>
        <v>0</v>
      </c>
      <c r="M211" s="147">
        <f ca="1"/>
        <v>0</v>
      </c>
      <c r="N211" s="147">
        <f ca="1"/>
        <v>0</v>
      </c>
      <c r="O211" s="147">
        <f ca="1"/>
        <v>0</v>
      </c>
      <c r="P211" s="147">
        <f ca="1"/>
        <v>0</v>
      </c>
      <c r="Q211" s="147">
        <f ca="1"/>
        <v>0</v>
      </c>
      <c r="R211" s="147">
        <f ca="1"/>
        <v>0</v>
      </c>
      <c r="S211" s="147">
        <f ca="1"/>
        <v>0</v>
      </c>
      <c r="T211" s="147">
        <f ca="1"/>
        <v>0</v>
      </c>
      <c r="U211" s="147">
        <f ca="1"/>
        <v>0</v>
      </c>
      <c r="V211" s="147">
        <f ca="1"/>
        <v>0</v>
      </c>
      <c r="W211" s="147">
        <f ca="1"/>
        <v>0</v>
      </c>
      <c r="X211" s="147">
        <f ca="1"/>
        <v>0</v>
      </c>
      <c r="Y211" s="147">
        <f ca="1"/>
        <v>0</v>
      </c>
      <c r="Z211" s="147">
        <f ca="1"/>
        <v>0</v>
      </c>
      <c r="AA211" s="147">
        <f ca="1"/>
        <v>0</v>
      </c>
      <c r="AB211" s="147">
        <f ca="1"/>
        <v>0</v>
      </c>
      <c r="AC211" s="147">
        <f ca="1"/>
        <v>0</v>
      </c>
      <c r="AD211" s="147">
        <f ca="1"/>
        <v>0</v>
      </c>
      <c r="AE211" s="147">
        <f ca="1"/>
        <v>0</v>
      </c>
      <c r="AF211" s="147">
        <f ca="1"/>
        <v>0</v>
      </c>
      <c r="AG211" s="147">
        <f ca="1"/>
        <v>0</v>
      </c>
      <c r="AH211" s="147">
        <f ca="1"/>
        <v>0</v>
      </c>
    </row>
    <row r="212" spans="2:35">
      <c r="B212" s="149">
        <v>4</v>
      </c>
      <c r="C212" s="149">
        <v>6</v>
      </c>
      <c r="D212" s="145" t="str">
        <v>Veículos Comerciais com 5 Eixos Articulado</v>
      </c>
      <c r="E212" s="147">
        <f ca="1"/>
        <v>0</v>
      </c>
      <c r="F212" s="147">
        <f ca="1"/>
        <v>0</v>
      </c>
      <c r="G212" s="147">
        <f ca="1"/>
        <v>0</v>
      </c>
      <c r="H212" s="147">
        <f ca="1"/>
        <v>0</v>
      </c>
      <c r="I212" s="147">
        <f ca="1"/>
        <v>0</v>
      </c>
      <c r="J212" s="147">
        <f ca="1"/>
        <v>0</v>
      </c>
      <c r="K212" s="147">
        <f ca="1"/>
        <v>0</v>
      </c>
      <c r="L212" s="147">
        <f ca="1"/>
        <v>0</v>
      </c>
      <c r="M212" s="147">
        <f ca="1"/>
        <v>0</v>
      </c>
      <c r="N212" s="147">
        <f ca="1"/>
        <v>0</v>
      </c>
      <c r="O212" s="147">
        <f ca="1"/>
        <v>0</v>
      </c>
      <c r="P212" s="147">
        <f ca="1"/>
        <v>0</v>
      </c>
      <c r="Q212" s="147">
        <f ca="1"/>
        <v>0</v>
      </c>
      <c r="R212" s="147">
        <f ca="1"/>
        <v>0</v>
      </c>
      <c r="S212" s="147">
        <f ca="1"/>
        <v>0</v>
      </c>
      <c r="T212" s="147">
        <f ca="1"/>
        <v>0</v>
      </c>
      <c r="U212" s="147">
        <f ca="1"/>
        <v>0</v>
      </c>
      <c r="V212" s="147">
        <f ca="1"/>
        <v>0</v>
      </c>
      <c r="W212" s="147">
        <f ca="1"/>
        <v>0</v>
      </c>
      <c r="X212" s="147">
        <f ca="1"/>
        <v>0</v>
      </c>
      <c r="Y212" s="147">
        <f ca="1"/>
        <v>0</v>
      </c>
      <c r="Z212" s="147">
        <f ca="1"/>
        <v>0</v>
      </c>
      <c r="AA212" s="147">
        <f ca="1"/>
        <v>0</v>
      </c>
      <c r="AB212" s="147">
        <f ca="1"/>
        <v>0</v>
      </c>
      <c r="AC212" s="147">
        <f ca="1"/>
        <v>0</v>
      </c>
      <c r="AD212" s="147">
        <f ca="1"/>
        <v>0</v>
      </c>
      <c r="AE212" s="147">
        <f ca="1"/>
        <v>0</v>
      </c>
      <c r="AF212" s="147">
        <f ca="1"/>
        <v>0</v>
      </c>
      <c r="AG212" s="147">
        <f ca="1"/>
        <v>0</v>
      </c>
      <c r="AH212" s="147">
        <f ca="1"/>
        <v>0</v>
      </c>
    </row>
    <row r="213" spans="2:35">
      <c r="B213" s="149">
        <v>4</v>
      </c>
      <c r="C213" s="149">
        <v>7</v>
      </c>
      <c r="D213" s="145" t="str">
        <v>Veículos Comerciais com 6 Eixos Articulado</v>
      </c>
      <c r="E213" s="147">
        <f ca="1"/>
        <v>0</v>
      </c>
      <c r="F213" s="147">
        <f ca="1"/>
        <v>0</v>
      </c>
      <c r="G213" s="147">
        <f ca="1"/>
        <v>0</v>
      </c>
      <c r="H213" s="147">
        <f ca="1"/>
        <v>0</v>
      </c>
      <c r="I213" s="147">
        <f ca="1"/>
        <v>0</v>
      </c>
      <c r="J213" s="147">
        <f ca="1"/>
        <v>0</v>
      </c>
      <c r="K213" s="147">
        <f ca="1"/>
        <v>0</v>
      </c>
      <c r="L213" s="147">
        <f ca="1"/>
        <v>0</v>
      </c>
      <c r="M213" s="147">
        <f ca="1"/>
        <v>0</v>
      </c>
      <c r="N213" s="147">
        <f ca="1"/>
        <v>0</v>
      </c>
      <c r="O213" s="147">
        <f ca="1"/>
        <v>0</v>
      </c>
      <c r="P213" s="147">
        <f ca="1"/>
        <v>0</v>
      </c>
      <c r="Q213" s="147">
        <f ca="1"/>
        <v>0</v>
      </c>
      <c r="R213" s="147">
        <f ca="1"/>
        <v>0</v>
      </c>
      <c r="S213" s="147">
        <f ca="1"/>
        <v>0</v>
      </c>
      <c r="T213" s="147">
        <f ca="1"/>
        <v>0</v>
      </c>
      <c r="U213" s="147">
        <f ca="1"/>
        <v>0</v>
      </c>
      <c r="V213" s="147">
        <f ca="1"/>
        <v>0</v>
      </c>
      <c r="W213" s="147">
        <f ca="1"/>
        <v>0</v>
      </c>
      <c r="X213" s="147">
        <f ca="1"/>
        <v>0</v>
      </c>
      <c r="Y213" s="147">
        <f ca="1"/>
        <v>0</v>
      </c>
      <c r="Z213" s="147">
        <f ca="1"/>
        <v>0</v>
      </c>
      <c r="AA213" s="147">
        <f ca="1"/>
        <v>0</v>
      </c>
      <c r="AB213" s="147">
        <f ca="1"/>
        <v>0</v>
      </c>
      <c r="AC213" s="147">
        <f ca="1"/>
        <v>0</v>
      </c>
      <c r="AD213" s="147">
        <f ca="1"/>
        <v>0</v>
      </c>
      <c r="AE213" s="147">
        <f ca="1"/>
        <v>0</v>
      </c>
      <c r="AF213" s="147">
        <f ca="1"/>
        <v>0</v>
      </c>
      <c r="AG213" s="147">
        <f ca="1"/>
        <v>0</v>
      </c>
      <c r="AH213" s="147">
        <f ca="1"/>
        <v>0</v>
      </c>
    </row>
    <row r="214" spans="2:35">
      <c r="B214" s="182">
        <v>4</v>
      </c>
      <c r="C214" s="182">
        <v>8</v>
      </c>
      <c r="D214" s="184" t="str">
        <v>Veículos Comerciais com 7 Eixos Articulado</v>
      </c>
      <c r="E214" s="185">
        <f ca="1"/>
        <v>0</v>
      </c>
      <c r="F214" s="185">
        <f ca="1"/>
        <v>0</v>
      </c>
      <c r="G214" s="185">
        <f ca="1"/>
        <v>0</v>
      </c>
      <c r="H214" s="185">
        <f ca="1"/>
        <v>0</v>
      </c>
      <c r="I214" s="185">
        <f ca="1"/>
        <v>0</v>
      </c>
      <c r="J214" s="185">
        <f ca="1"/>
        <v>0</v>
      </c>
      <c r="K214" s="185">
        <f ca="1"/>
        <v>0</v>
      </c>
      <c r="L214" s="185">
        <f ca="1"/>
        <v>0</v>
      </c>
      <c r="M214" s="185">
        <f ca="1"/>
        <v>0</v>
      </c>
      <c r="N214" s="185">
        <f ca="1"/>
        <v>0</v>
      </c>
      <c r="O214" s="185">
        <f ca="1"/>
        <v>0</v>
      </c>
      <c r="P214" s="185">
        <f ca="1"/>
        <v>0</v>
      </c>
      <c r="Q214" s="185">
        <f ca="1"/>
        <v>0</v>
      </c>
      <c r="R214" s="185">
        <f ca="1"/>
        <v>0</v>
      </c>
      <c r="S214" s="185">
        <f ca="1"/>
        <v>0</v>
      </c>
      <c r="T214" s="185">
        <f ca="1"/>
        <v>0</v>
      </c>
      <c r="U214" s="185">
        <f ca="1"/>
        <v>0</v>
      </c>
      <c r="V214" s="185">
        <f ca="1"/>
        <v>0</v>
      </c>
      <c r="W214" s="185">
        <f ca="1"/>
        <v>0</v>
      </c>
      <c r="X214" s="185">
        <f ca="1"/>
        <v>0</v>
      </c>
      <c r="Y214" s="185">
        <f ca="1"/>
        <v>0</v>
      </c>
      <c r="Z214" s="185">
        <f ca="1"/>
        <v>0</v>
      </c>
      <c r="AA214" s="185">
        <f ca="1"/>
        <v>0</v>
      </c>
      <c r="AB214" s="185">
        <f ca="1"/>
        <v>0</v>
      </c>
      <c r="AC214" s="185">
        <f ca="1"/>
        <v>0</v>
      </c>
      <c r="AD214" s="185">
        <f ca="1"/>
        <v>0</v>
      </c>
      <c r="AE214" s="185">
        <f ca="1"/>
        <v>0</v>
      </c>
      <c r="AF214" s="185">
        <f ca="1"/>
        <v>0</v>
      </c>
      <c r="AG214" s="185">
        <f ca="1"/>
        <v>0</v>
      </c>
      <c r="AH214" s="185">
        <f ca="1"/>
        <v>0</v>
      </c>
    </row>
    <row r="215" spans="2:35">
      <c r="B215" s="182">
        <v>4</v>
      </c>
      <c r="C215" s="182">
        <v>9</v>
      </c>
      <c r="D215" s="338" t="str">
        <v>Veículos Comerciais com 8 Eixos Articulado</v>
      </c>
      <c r="E215" s="185">
        <f ca="1"/>
        <v>0</v>
      </c>
      <c r="F215" s="185">
        <f ca="1"/>
        <v>0</v>
      </c>
      <c r="G215" s="185">
        <f ca="1"/>
        <v>0</v>
      </c>
      <c r="H215" s="185">
        <f ca="1"/>
        <v>0</v>
      </c>
      <c r="I215" s="185">
        <f ca="1"/>
        <v>0</v>
      </c>
      <c r="J215" s="185">
        <f ca="1"/>
        <v>0</v>
      </c>
      <c r="K215" s="185">
        <f ca="1"/>
        <v>0</v>
      </c>
      <c r="L215" s="185">
        <f ca="1"/>
        <v>0</v>
      </c>
      <c r="M215" s="185">
        <f ca="1"/>
        <v>0</v>
      </c>
      <c r="N215" s="185">
        <f ca="1"/>
        <v>0</v>
      </c>
      <c r="O215" s="185">
        <f ca="1"/>
        <v>0</v>
      </c>
      <c r="P215" s="185">
        <f ca="1"/>
        <v>0</v>
      </c>
      <c r="Q215" s="185">
        <f ca="1"/>
        <v>0</v>
      </c>
      <c r="R215" s="185">
        <f ca="1"/>
        <v>0</v>
      </c>
      <c r="S215" s="185">
        <f ca="1"/>
        <v>0</v>
      </c>
      <c r="T215" s="185">
        <f ca="1"/>
        <v>0</v>
      </c>
      <c r="U215" s="185">
        <f ca="1"/>
        <v>0</v>
      </c>
      <c r="V215" s="185">
        <f ca="1"/>
        <v>0</v>
      </c>
      <c r="W215" s="185">
        <f ca="1"/>
        <v>0</v>
      </c>
      <c r="X215" s="185">
        <f ca="1"/>
        <v>0</v>
      </c>
      <c r="Y215" s="185">
        <f ca="1"/>
        <v>0</v>
      </c>
      <c r="Z215" s="185">
        <f ca="1"/>
        <v>0</v>
      </c>
      <c r="AA215" s="185">
        <f ca="1"/>
        <v>0</v>
      </c>
      <c r="AB215" s="185">
        <f ca="1"/>
        <v>0</v>
      </c>
      <c r="AC215" s="185">
        <f ca="1"/>
        <v>0</v>
      </c>
      <c r="AD215" s="185">
        <f ca="1"/>
        <v>0</v>
      </c>
      <c r="AE215" s="185">
        <f ca="1"/>
        <v>0</v>
      </c>
      <c r="AF215" s="185">
        <f ca="1"/>
        <v>0</v>
      </c>
      <c r="AG215" s="185">
        <f ca="1"/>
        <v>0</v>
      </c>
      <c r="AH215" s="185">
        <f ca="1"/>
        <v>0</v>
      </c>
    </row>
    <row r="216" spans="2:35">
      <c r="B216" s="182">
        <v>4</v>
      </c>
      <c r="C216" s="182">
        <v>10</v>
      </c>
      <c r="D216" s="338" t="str">
        <v>Veículos Comerciais com 9 Eixos Articulado</v>
      </c>
      <c r="E216" s="185">
        <f ca="1"/>
        <v>0</v>
      </c>
      <c r="F216" s="185">
        <f ca="1"/>
        <v>0</v>
      </c>
      <c r="G216" s="185">
        <f ca="1"/>
        <v>0</v>
      </c>
      <c r="H216" s="185">
        <f ca="1"/>
        <v>0</v>
      </c>
      <c r="I216" s="185">
        <f ca="1"/>
        <v>0</v>
      </c>
      <c r="J216" s="185">
        <f ca="1"/>
        <v>0</v>
      </c>
      <c r="K216" s="185">
        <f ca="1"/>
        <v>0</v>
      </c>
      <c r="L216" s="185">
        <f ca="1"/>
        <v>0</v>
      </c>
      <c r="M216" s="185">
        <f ca="1"/>
        <v>0</v>
      </c>
      <c r="N216" s="185">
        <f ca="1"/>
        <v>0</v>
      </c>
      <c r="O216" s="185">
        <f ca="1"/>
        <v>0</v>
      </c>
      <c r="P216" s="185">
        <f ca="1"/>
        <v>0</v>
      </c>
      <c r="Q216" s="185">
        <f ca="1"/>
        <v>0</v>
      </c>
      <c r="R216" s="185">
        <f ca="1"/>
        <v>0</v>
      </c>
      <c r="S216" s="185">
        <f ca="1"/>
        <v>0</v>
      </c>
      <c r="T216" s="185">
        <f ca="1"/>
        <v>0</v>
      </c>
      <c r="U216" s="185">
        <f ca="1"/>
        <v>0</v>
      </c>
      <c r="V216" s="185">
        <f ca="1"/>
        <v>0</v>
      </c>
      <c r="W216" s="185">
        <f ca="1"/>
        <v>0</v>
      </c>
      <c r="X216" s="185">
        <f ca="1"/>
        <v>0</v>
      </c>
      <c r="Y216" s="185">
        <f ca="1"/>
        <v>0</v>
      </c>
      <c r="Z216" s="185">
        <f ca="1"/>
        <v>0</v>
      </c>
      <c r="AA216" s="185">
        <f ca="1"/>
        <v>0</v>
      </c>
      <c r="AB216" s="185">
        <f ca="1"/>
        <v>0</v>
      </c>
      <c r="AC216" s="185">
        <f ca="1"/>
        <v>0</v>
      </c>
      <c r="AD216" s="185">
        <f ca="1"/>
        <v>0</v>
      </c>
      <c r="AE216" s="185">
        <f ca="1"/>
        <v>0</v>
      </c>
      <c r="AF216" s="185">
        <f ca="1"/>
        <v>0</v>
      </c>
      <c r="AG216" s="185">
        <f ca="1"/>
        <v>0</v>
      </c>
      <c r="AH216" s="185">
        <f ca="1"/>
        <v>0</v>
      </c>
    </row>
    <row r="217" spans="2:35">
      <c r="B217" s="182">
        <v>4</v>
      </c>
      <c r="C217" s="182">
        <v>11</v>
      </c>
      <c r="D217" s="338" t="str">
        <v>Motocicleta</v>
      </c>
      <c r="E217" s="185">
        <f ca="1"/>
        <v>0</v>
      </c>
      <c r="F217" s="185">
        <f ca="1"/>
        <v>3298.5878541496809</v>
      </c>
      <c r="G217" s="185">
        <f ca="1"/>
        <v>6258.8908639283827</v>
      </c>
      <c r="H217" s="185">
        <f ca="1"/>
        <v>7949.5405145420909</v>
      </c>
      <c r="I217" s="185">
        <f ca="1"/>
        <v>9605.2722172822796</v>
      </c>
      <c r="J217" s="185">
        <f ca="1"/>
        <v>11037.970136157375</v>
      </c>
      <c r="K217" s="185">
        <f ca="1"/>
        <v>12385.414017753887</v>
      </c>
      <c r="L217" s="185">
        <f ca="1"/>
        <v>13811.58756240768</v>
      </c>
      <c r="M217" s="185">
        <f ca="1"/>
        <v>15120.246045684216</v>
      </c>
      <c r="N217" s="185">
        <f ca="1"/>
        <v>16085.453444882247</v>
      </c>
      <c r="O217" s="185">
        <f ca="1"/>
        <v>16867.971089496175</v>
      </c>
      <c r="P217" s="185">
        <f ca="1"/>
        <v>17441.869863441221</v>
      </c>
      <c r="Q217" s="185">
        <f ca="1"/>
        <v>18004.751547748219</v>
      </c>
      <c r="R217" s="185">
        <f ca="1"/>
        <v>18553.163619421382</v>
      </c>
      <c r="S217" s="185">
        <f ca="1"/>
        <v>19083.500275469851</v>
      </c>
      <c r="T217" s="185">
        <f ca="1"/>
        <v>27429.196353681091</v>
      </c>
      <c r="U217" s="185">
        <f ca="1"/>
        <v>28107.650729530913</v>
      </c>
      <c r="V217" s="185">
        <f ca="1"/>
        <v>28749.071156555779</v>
      </c>
      <c r="W217" s="185">
        <f ca="1"/>
        <v>29350.095436000425</v>
      </c>
      <c r="X217" s="185">
        <f ca="1"/>
        <v>29907.785389093817</v>
      </c>
      <c r="Y217" s="185">
        <f ca="1"/>
        <v>30419.066623456307</v>
      </c>
      <c r="Z217" s="185">
        <f ca="1"/>
        <v>30881.515933023577</v>
      </c>
      <c r="AA217" s="185">
        <f ca="1"/>
        <v>31293.255727326185</v>
      </c>
      <c r="AB217" s="185">
        <f ca="1"/>
        <v>31652.224957928098</v>
      </c>
      <c r="AC217" s="185">
        <f ca="1"/>
        <v>31956.466652147963</v>
      </c>
      <c r="AD217" s="185">
        <f ca="1"/>
        <v>32204.562424597199</v>
      </c>
      <c r="AE217" s="185">
        <f ca="1"/>
        <v>32395.345639190957</v>
      </c>
      <c r="AF217" s="185">
        <f ca="1"/>
        <v>32527.376100422345</v>
      </c>
      <c r="AG217" s="185">
        <f ca="1"/>
        <v>32599.3593054833</v>
      </c>
      <c r="AH217" s="185">
        <f ca="1"/>
        <v>32610.278655534337</v>
      </c>
    </row>
    <row r="218" spans="2:35">
      <c r="B218" s="182">
        <v>4</v>
      </c>
      <c r="C218" s="182">
        <v>12</v>
      </c>
      <c r="D218" s="338" t="str">
        <v xml:space="preserve">Veículos do transporte público coletivo intermunicipal e metropolitano </v>
      </c>
      <c r="E218" s="185">
        <f ca="1"/>
        <v>0</v>
      </c>
      <c r="F218" s="185">
        <f ca="1"/>
        <v>0</v>
      </c>
      <c r="G218" s="185">
        <f ca="1"/>
        <v>0</v>
      </c>
      <c r="H218" s="185">
        <f ca="1"/>
        <v>0</v>
      </c>
      <c r="I218" s="185">
        <f ca="1"/>
        <v>0</v>
      </c>
      <c r="J218" s="185">
        <f ca="1"/>
        <v>0</v>
      </c>
      <c r="K218" s="185">
        <f ca="1"/>
        <v>0</v>
      </c>
      <c r="L218" s="185">
        <f ca="1"/>
        <v>0</v>
      </c>
      <c r="M218" s="185">
        <f ca="1"/>
        <v>0</v>
      </c>
      <c r="N218" s="185">
        <f ca="1"/>
        <v>0</v>
      </c>
      <c r="O218" s="185">
        <f ca="1"/>
        <v>0</v>
      </c>
      <c r="P218" s="185">
        <f ca="1"/>
        <v>0</v>
      </c>
      <c r="Q218" s="185">
        <f ca="1"/>
        <v>0</v>
      </c>
      <c r="R218" s="185">
        <f ca="1"/>
        <v>0</v>
      </c>
      <c r="S218" s="185">
        <f ca="1"/>
        <v>0</v>
      </c>
      <c r="T218" s="185">
        <f ca="1"/>
        <v>0</v>
      </c>
      <c r="U218" s="185">
        <f ca="1"/>
        <v>0</v>
      </c>
      <c r="V218" s="185">
        <f ca="1"/>
        <v>0</v>
      </c>
      <c r="W218" s="185">
        <f ca="1"/>
        <v>0</v>
      </c>
      <c r="X218" s="185">
        <f ca="1"/>
        <v>0</v>
      </c>
      <c r="Y218" s="185">
        <f ca="1"/>
        <v>0</v>
      </c>
      <c r="Z218" s="185">
        <f ca="1"/>
        <v>0</v>
      </c>
      <c r="AA218" s="185">
        <f ca="1"/>
        <v>0</v>
      </c>
      <c r="AB218" s="185">
        <f ca="1"/>
        <v>0</v>
      </c>
      <c r="AC218" s="185">
        <f ca="1"/>
        <v>0</v>
      </c>
      <c r="AD218" s="185">
        <f ca="1"/>
        <v>0</v>
      </c>
      <c r="AE218" s="185">
        <f ca="1"/>
        <v>0</v>
      </c>
      <c r="AF218" s="185">
        <f ca="1"/>
        <v>0</v>
      </c>
      <c r="AG218" s="185">
        <f ca="1"/>
        <v>0</v>
      </c>
      <c r="AH218" s="185">
        <f ca="1"/>
        <v>0</v>
      </c>
    </row>
    <row r="219" spans="2:35">
      <c r="B219" s="620" t="s">
        <v>73</v>
      </c>
      <c r="C219" s="620"/>
      <c r="D219" s="607"/>
      <c r="E219" s="196">
        <f t="shared" ref="E219:AH219" ca="1" si="53">SUM(E171:E218)</f>
        <v>0</v>
      </c>
      <c r="F219" s="196">
        <f t="shared" ca="1" si="53"/>
        <v>576121.7491038983</v>
      </c>
      <c r="G219" s="196">
        <f t="shared" ca="1" si="53"/>
        <v>1093159.6523768697</v>
      </c>
      <c r="H219" s="196">
        <f t="shared" ca="1" si="53"/>
        <v>1388443.5971740743</v>
      </c>
      <c r="I219" s="196">
        <f t="shared" ca="1" si="53"/>
        <v>2005678.9831442465</v>
      </c>
      <c r="J219" s="196">
        <f t="shared" ca="1" si="53"/>
        <v>2304840.9475404327</v>
      </c>
      <c r="K219" s="196">
        <f t="shared" ca="1" si="53"/>
        <v>2925883.4707264714</v>
      </c>
      <c r="L219" s="196">
        <f t="shared" ca="1" si="53"/>
        <v>3262797.3271957343</v>
      </c>
      <c r="M219" s="196">
        <f t="shared" ca="1" si="53"/>
        <v>3571949.8690127567</v>
      </c>
      <c r="N219" s="196">
        <f t="shared" ca="1" si="53"/>
        <v>3799966.8227527132</v>
      </c>
      <c r="O219" s="196">
        <f t="shared" ca="1" si="53"/>
        <v>3984825.8382564127</v>
      </c>
      <c r="P219" s="196">
        <f t="shared" ca="1" si="53"/>
        <v>4120401.518984485</v>
      </c>
      <c r="Q219" s="196">
        <f t="shared" ca="1" si="53"/>
        <v>4253374.5640298706</v>
      </c>
      <c r="R219" s="196">
        <f t="shared" ca="1" si="53"/>
        <v>4382929.3623882663</v>
      </c>
      <c r="S219" s="196">
        <f t="shared" ca="1" si="53"/>
        <v>4508214.092767749</v>
      </c>
      <c r="T219" s="196">
        <f t="shared" ca="1" si="53"/>
        <v>4737727.8008137466</v>
      </c>
      <c r="U219" s="196">
        <f t="shared" ca="1" si="53"/>
        <v>4854914.3241300248</v>
      </c>
      <c r="V219" s="196">
        <f t="shared" ca="1" si="53"/>
        <v>4965704.1318203891</v>
      </c>
      <c r="W219" s="196">
        <f t="shared" ca="1" si="53"/>
        <v>5069516.4856703691</v>
      </c>
      <c r="X219" s="196">
        <f t="shared" ca="1" si="53"/>
        <v>5165843.8866242971</v>
      </c>
      <c r="Y219" s="196">
        <f t="shared" ca="1" si="53"/>
        <v>5254155.3080323264</v>
      </c>
      <c r="Z219" s="196">
        <f t="shared" ca="1" si="53"/>
        <v>5334032.1998724323</v>
      </c>
      <c r="AA219" s="196">
        <f t="shared" ca="1" si="53"/>
        <v>5405150.2539712703</v>
      </c>
      <c r="AB219" s="196">
        <f t="shared" ca="1" si="53"/>
        <v>5467153.4742453927</v>
      </c>
      <c r="AC219" s="196">
        <f t="shared" ca="1" si="53"/>
        <v>5519703.8411714258</v>
      </c>
      <c r="AD219" s="196">
        <f t="shared" ca="1" si="53"/>
        <v>5562556.3631061176</v>
      </c>
      <c r="AE219" s="196">
        <f t="shared" ca="1" si="53"/>
        <v>5595509.53198699</v>
      </c>
      <c r="AF219" s="196">
        <f t="shared" ca="1" si="53"/>
        <v>5618314.589002314</v>
      </c>
      <c r="AG219" s="196">
        <f t="shared" ca="1" si="53"/>
        <v>5630747.9402172575</v>
      </c>
      <c r="AH219" s="196">
        <f t="shared" ca="1" si="53"/>
        <v>5632633.9928611843</v>
      </c>
    </row>
    <row r="220" spans="2:35">
      <c r="B220" s="607" t="s">
        <v>623</v>
      </c>
      <c r="C220" s="606"/>
      <c r="D220" s="606"/>
      <c r="E220" s="253" t="e" cm="1">
        <f t="array" aca="1" ref="E220:AH220" ca="1">E219:AH219 / D462:AG462</f>
        <v>#DIV/0!</v>
      </c>
      <c r="F220" s="253">
        <f ca="1"/>
        <v>5.2739963648649E-3</v>
      </c>
      <c r="G220" s="253">
        <f ca="1"/>
        <v>7.4096827982891326E-3</v>
      </c>
      <c r="H220" s="253">
        <f ca="1"/>
        <v>9.2612880660213545E-3</v>
      </c>
      <c r="I220" s="253">
        <f ca="1"/>
        <v>1.1301497170340907E-2</v>
      </c>
      <c r="J220" s="253">
        <f ca="1"/>
        <v>1.2700222932014369E-2</v>
      </c>
      <c r="K220" s="253">
        <f ca="1"/>
        <v>1.4010306499762468E-2</v>
      </c>
      <c r="L220" s="253">
        <f ca="1"/>
        <v>1.5270128447358963E-2</v>
      </c>
      <c r="M220" s="253">
        <f ca="1"/>
        <v>1.6298345232225116E-2</v>
      </c>
      <c r="N220" s="253">
        <f ca="1"/>
        <v>1.6857489728802712E-2</v>
      </c>
      <c r="O220" s="253">
        <f ca="1"/>
        <v>1.7185912075663598E-2</v>
      </c>
      <c r="P220" s="253">
        <f ca="1"/>
        <v>1.7276836728090304E-2</v>
      </c>
      <c r="Q220" s="253">
        <f ca="1"/>
        <v>1.7366732171066501E-2</v>
      </c>
      <c r="R220" s="253">
        <f ca="1"/>
        <v>1.7455350511046821E-2</v>
      </c>
      <c r="S220" s="253">
        <f ca="1"/>
        <v>1.7542455744831105E-2</v>
      </c>
      <c r="T220" s="253">
        <f ca="1"/>
        <v>1.7251454059702541E-2</v>
      </c>
      <c r="U220" s="253">
        <f ca="1"/>
        <v>1.7332585349285945E-2</v>
      </c>
      <c r="V220" s="253">
        <f ca="1"/>
        <v>1.7411860486408658E-2</v>
      </c>
      <c r="W220" s="253">
        <f ca="1"/>
        <v>1.7489229694380447E-2</v>
      </c>
      <c r="X220" s="253">
        <f ca="1"/>
        <v>1.7564658177455877E-2</v>
      </c>
      <c r="Y220" s="253">
        <f ca="1"/>
        <v>1.7638120628043544E-2</v>
      </c>
      <c r="Z220" s="253">
        <f ca="1"/>
        <v>1.770961531920737E-2</v>
      </c>
      <c r="AA220" s="253">
        <f ca="1"/>
        <v>1.7779159750994988E-2</v>
      </c>
      <c r="AB220" s="253">
        <f ca="1"/>
        <v>1.7846775238733393E-2</v>
      </c>
      <c r="AC220" s="253">
        <f ca="1"/>
        <v>1.7912484356208323E-2</v>
      </c>
      <c r="AD220" s="253">
        <f ca="1"/>
        <v>1.797631487551914E-2</v>
      </c>
      <c r="AE220" s="253">
        <f ca="1"/>
        <v>1.8038285110522929E-2</v>
      </c>
      <c r="AF220" s="253">
        <f ca="1"/>
        <v>1.8098396094564324E-2</v>
      </c>
      <c r="AG220" s="253">
        <f ca="1"/>
        <v>1.8156644534524251E-2</v>
      </c>
      <c r="AH220" s="253">
        <f ca="1"/>
        <v>1.8213028719332815E-2</v>
      </c>
    </row>
    <row r="221" spans="2:35">
      <c r="E221" s="3"/>
      <c r="F221" s="426"/>
      <c r="G221" s="3"/>
      <c r="H221" s="3"/>
    </row>
    <row r="222" spans="2:35">
      <c r="B222" s="2" t="s">
        <v>624</v>
      </c>
      <c r="E222" s="3"/>
      <c r="G222" s="3"/>
      <c r="H222" s="3"/>
    </row>
    <row r="223" spans="2:35" hidden="1">
      <c r="B223" s="2"/>
      <c r="E223" s="218"/>
      <c r="F223" s="218">
        <v>1</v>
      </c>
      <c r="G223" s="218">
        <v>2</v>
      </c>
      <c r="H223" s="218">
        <v>3</v>
      </c>
      <c r="I223" s="218">
        <v>4</v>
      </c>
      <c r="J223" s="218">
        <v>5</v>
      </c>
      <c r="K223" s="218">
        <v>6</v>
      </c>
      <c r="L223" s="218">
        <v>7</v>
      </c>
      <c r="M223" s="218">
        <v>8</v>
      </c>
      <c r="N223" s="218">
        <v>9</v>
      </c>
      <c r="O223" s="218">
        <v>10</v>
      </c>
      <c r="P223" s="218">
        <v>11</v>
      </c>
      <c r="Q223" s="218">
        <v>12</v>
      </c>
      <c r="R223" s="218">
        <v>13</v>
      </c>
      <c r="S223" s="218">
        <v>14</v>
      </c>
      <c r="T223" s="218">
        <v>15</v>
      </c>
      <c r="U223" s="218">
        <v>16</v>
      </c>
      <c r="V223" s="218">
        <v>17</v>
      </c>
      <c r="W223" s="218">
        <v>18</v>
      </c>
      <c r="X223" s="218">
        <v>19</v>
      </c>
      <c r="Y223" s="218">
        <v>20</v>
      </c>
      <c r="Z223" s="218">
        <v>21</v>
      </c>
      <c r="AA223" s="218">
        <v>22</v>
      </c>
      <c r="AB223" s="218">
        <v>23</v>
      </c>
      <c r="AC223" s="218">
        <v>24</v>
      </c>
      <c r="AD223" s="218">
        <v>25</v>
      </c>
      <c r="AE223" s="218">
        <v>26</v>
      </c>
      <c r="AF223" s="218">
        <v>27</v>
      </c>
      <c r="AG223" s="218">
        <v>28</v>
      </c>
      <c r="AH223" s="218">
        <v>29</v>
      </c>
      <c r="AI223" s="218">
        <v>30</v>
      </c>
    </row>
    <row r="224" spans="2:35">
      <c r="B224" s="46" t="str" cm="1">
        <f t="array" ref="B224:E272">_xlfn.ANCHORARRAY(Tráfego!B$141)</f>
        <v>Pórtico</v>
      </c>
      <c r="C224" s="46" t="str">
        <v>Categoria</v>
      </c>
      <c r="D224" s="46" t="str">
        <v>Categoria de Veículo</v>
      </c>
      <c r="E224" s="46" t="str">
        <v>Grupo</v>
      </c>
      <c r="F224" s="46" t="str" cm="1">
        <f t="array" ref="F224:AI224">D$66:AG$66</f>
        <v>Ano 1</v>
      </c>
      <c r="G224" s="46" t="str">
        <v>Ano 2</v>
      </c>
      <c r="H224" s="46" t="str">
        <v>Ano 3</v>
      </c>
      <c r="I224" s="46" t="str">
        <v>Ano 4</v>
      </c>
      <c r="J224" s="46" t="str">
        <v>Ano 5</v>
      </c>
      <c r="K224" s="46" t="str">
        <v>Ano 6</v>
      </c>
      <c r="L224" s="46" t="str">
        <v>Ano 7</v>
      </c>
      <c r="M224" s="46" t="str">
        <v>Ano 8</v>
      </c>
      <c r="N224" s="46" t="str">
        <v>Ano 9</v>
      </c>
      <c r="O224" s="46" t="str">
        <v>Ano 10</v>
      </c>
      <c r="P224" s="46" t="str">
        <v>Ano 11</v>
      </c>
      <c r="Q224" s="46" t="str">
        <v>Ano 12</v>
      </c>
      <c r="R224" s="46" t="str">
        <v>Ano 13</v>
      </c>
      <c r="S224" s="46" t="str">
        <v>Ano 14</v>
      </c>
      <c r="T224" s="46" t="str">
        <v>Ano 15</v>
      </c>
      <c r="U224" s="46" t="str">
        <v>Ano 16</v>
      </c>
      <c r="V224" s="46" t="str">
        <v>Ano 17</v>
      </c>
      <c r="W224" s="46" t="str">
        <v>Ano 18</v>
      </c>
      <c r="X224" s="46" t="str">
        <v>Ano 19</v>
      </c>
      <c r="Y224" s="46" t="str">
        <v>Ano 20</v>
      </c>
      <c r="Z224" s="46" t="str">
        <v>Ano 21</v>
      </c>
      <c r="AA224" s="46" t="str">
        <v>Ano 22</v>
      </c>
      <c r="AB224" s="46" t="str">
        <v>Ano 23</v>
      </c>
      <c r="AC224" s="46" t="str">
        <v>Ano 24</v>
      </c>
      <c r="AD224" s="46" t="str">
        <v>Ano 25</v>
      </c>
      <c r="AE224" s="46" t="str">
        <v>Ano 26</v>
      </c>
      <c r="AF224" s="46" t="str">
        <v>Ano 27</v>
      </c>
      <c r="AG224" s="46" t="str">
        <v>Ano 28</v>
      </c>
      <c r="AH224" s="46" t="str">
        <v>Ano 29</v>
      </c>
      <c r="AI224" s="46" t="str">
        <v>Ano 30</v>
      </c>
    </row>
    <row r="225" spans="2:35">
      <c r="B225" s="149">
        <v>1</v>
      </c>
      <c r="C225" s="149">
        <v>1</v>
      </c>
      <c r="D225" s="145" t="str">
        <v>Automóvel</v>
      </c>
      <c r="E225" s="145" t="str">
        <v>Leves</v>
      </c>
      <c r="F225" s="141" cm="1">
        <f t="array" ref="F225">INDEX('TAG e inad.'!$C$4:$AF$6,MATCH($E225,'TAG e inad.'!$B$4:$B$6,0),'Receitas Tarifárias'!F$223)</f>
        <v>0.22999999999999998</v>
      </c>
      <c r="G225" s="141" cm="1">
        <f t="array" ref="G225">INDEX('TAG e inad.'!$C$4:$AF$6,MATCH($E225,'TAG e inad.'!$B$4:$B$6,0),'Receitas Tarifárias'!G$223)</f>
        <v>0.30000000000000004</v>
      </c>
      <c r="H225" s="141" cm="1">
        <f t="array" ref="H225">INDEX('TAG e inad.'!$C$4:$AF$6,MATCH($E225,'TAG e inad.'!$B$4:$B$6,0),'Receitas Tarifárias'!H$223)</f>
        <v>0.41000000000000003</v>
      </c>
      <c r="I225" s="141" cm="1">
        <f t="array" ref="I225">INDEX('TAG e inad.'!$C$4:$AF$6,MATCH($E225,'TAG e inad.'!$B$4:$B$6,0),'Receitas Tarifárias'!I$223)</f>
        <v>0.5</v>
      </c>
      <c r="J225" s="141" cm="1">
        <f t="array" ref="J225">INDEX('TAG e inad.'!$C$4:$AF$6,MATCH($E225,'TAG e inad.'!$B$4:$B$6,0),'Receitas Tarifárias'!J$223)</f>
        <v>0.58000000000000007</v>
      </c>
      <c r="K225" s="141" cm="1">
        <f t="array" ref="K225">INDEX('TAG e inad.'!$C$4:$AF$6,MATCH($E225,'TAG e inad.'!$B$4:$B$6,0),'Receitas Tarifárias'!K$223)</f>
        <v>0.64</v>
      </c>
      <c r="L225" s="141" cm="1">
        <f t="array" ref="L225">INDEX('TAG e inad.'!$C$4:$AF$6,MATCH($E225,'TAG e inad.'!$B$4:$B$6,0),'Receitas Tarifárias'!L$223)</f>
        <v>0.69</v>
      </c>
      <c r="M225" s="141" cm="1">
        <f t="array" ref="M225">INDEX('TAG e inad.'!$C$4:$AF$6,MATCH($E225,'TAG e inad.'!$B$4:$B$6,0),'Receitas Tarifárias'!M$223)</f>
        <v>0.74</v>
      </c>
      <c r="N225" s="141" cm="1">
        <f t="array" ref="N225">INDEX('TAG e inad.'!$C$4:$AF$6,MATCH($E225,'TAG e inad.'!$B$4:$B$6,0),'Receitas Tarifárias'!N$223)</f>
        <v>0.78</v>
      </c>
      <c r="O225" s="141" cm="1">
        <f t="array" ref="O225">INDEX('TAG e inad.'!$C$4:$AF$6,MATCH($E225,'TAG e inad.'!$B$4:$B$6,0),'Receitas Tarifárias'!O$223)</f>
        <v>0.8</v>
      </c>
      <c r="P225" s="141" cm="1">
        <f t="array" ref="P225">INDEX('TAG e inad.'!$C$4:$AF$6,MATCH($E225,'TAG e inad.'!$B$4:$B$6,0),'Receitas Tarifárias'!P$223)</f>
        <v>0.81</v>
      </c>
      <c r="Q225" s="141" cm="1">
        <f t="array" ref="Q225">INDEX('TAG e inad.'!$C$4:$AF$6,MATCH($E225,'TAG e inad.'!$B$4:$B$6,0),'Receitas Tarifárias'!Q$223)</f>
        <v>0.81</v>
      </c>
      <c r="R225" s="141" cm="1">
        <f t="array" ref="R225">INDEX('TAG e inad.'!$C$4:$AF$6,MATCH($E225,'TAG e inad.'!$B$4:$B$6,0),'Receitas Tarifárias'!R$223)</f>
        <v>0.81</v>
      </c>
      <c r="S225" s="141" cm="1">
        <f t="array" ref="S225">INDEX('TAG e inad.'!$C$4:$AF$6,MATCH($E225,'TAG e inad.'!$B$4:$B$6,0),'Receitas Tarifárias'!S$223)</f>
        <v>0.81</v>
      </c>
      <c r="T225" s="141" cm="1">
        <f t="array" ref="T225">INDEX('TAG e inad.'!$C$4:$AF$6,MATCH($E225,'TAG e inad.'!$B$4:$B$6,0),'Receitas Tarifárias'!T$223)</f>
        <v>0.81</v>
      </c>
      <c r="U225" s="141" cm="1">
        <f t="array" ref="U225">INDEX('TAG e inad.'!$C$4:$AF$6,MATCH($E225,'TAG e inad.'!$B$4:$B$6,0),'Receitas Tarifárias'!U$223)</f>
        <v>0.81</v>
      </c>
      <c r="V225" s="141" cm="1">
        <f t="array" ref="V225">INDEX('TAG e inad.'!$C$4:$AF$6,MATCH($E225,'TAG e inad.'!$B$4:$B$6,0),'Receitas Tarifárias'!V$223)</f>
        <v>0.81</v>
      </c>
      <c r="W225" s="141" cm="1">
        <f t="array" ref="W225">INDEX('TAG e inad.'!$C$4:$AF$6,MATCH($E225,'TAG e inad.'!$B$4:$B$6,0),'Receitas Tarifárias'!W$223)</f>
        <v>0.81</v>
      </c>
      <c r="X225" s="141" cm="1">
        <f t="array" ref="X225">INDEX('TAG e inad.'!$C$4:$AF$6,MATCH($E225,'TAG e inad.'!$B$4:$B$6,0),'Receitas Tarifárias'!X$223)</f>
        <v>0.81</v>
      </c>
      <c r="Y225" s="141" cm="1">
        <f t="array" ref="Y225">INDEX('TAG e inad.'!$C$4:$AF$6,MATCH($E225,'TAG e inad.'!$B$4:$B$6,0),'Receitas Tarifárias'!Y$223)</f>
        <v>0.81</v>
      </c>
      <c r="Z225" s="141" cm="1">
        <f t="array" ref="Z225">INDEX('TAG e inad.'!$C$4:$AF$6,MATCH($E225,'TAG e inad.'!$B$4:$B$6,0),'Receitas Tarifárias'!Z$223)</f>
        <v>0.81</v>
      </c>
      <c r="AA225" s="141" cm="1">
        <f t="array" ref="AA225">INDEX('TAG e inad.'!$C$4:$AF$6,MATCH($E225,'TAG e inad.'!$B$4:$B$6,0),'Receitas Tarifárias'!AA$223)</f>
        <v>0.81</v>
      </c>
      <c r="AB225" s="141" cm="1">
        <f t="array" ref="AB225">INDEX('TAG e inad.'!$C$4:$AF$6,MATCH($E225,'TAG e inad.'!$B$4:$B$6,0),'Receitas Tarifárias'!AB$223)</f>
        <v>0.81</v>
      </c>
      <c r="AC225" s="141" cm="1">
        <f t="array" ref="AC225">INDEX('TAG e inad.'!$C$4:$AF$6,MATCH($E225,'TAG e inad.'!$B$4:$B$6,0),'Receitas Tarifárias'!AC$223)</f>
        <v>0.81</v>
      </c>
      <c r="AD225" s="141" cm="1">
        <f t="array" ref="AD225">INDEX('TAG e inad.'!$C$4:$AF$6,MATCH($E225,'TAG e inad.'!$B$4:$B$6,0),'Receitas Tarifárias'!AD$223)</f>
        <v>0.81</v>
      </c>
      <c r="AE225" s="141" cm="1">
        <f t="array" ref="AE225">INDEX('TAG e inad.'!$C$4:$AF$6,MATCH($E225,'TAG e inad.'!$B$4:$B$6,0),'Receitas Tarifárias'!AE$223)</f>
        <v>0.81</v>
      </c>
      <c r="AF225" s="141" cm="1">
        <f t="array" ref="AF225">INDEX('TAG e inad.'!$C$4:$AF$6,MATCH($E225,'TAG e inad.'!$B$4:$B$6,0),'Receitas Tarifárias'!AF$223)</f>
        <v>0.81</v>
      </c>
      <c r="AG225" s="141" cm="1">
        <f t="array" ref="AG225">INDEX('TAG e inad.'!$C$4:$AF$6,MATCH($E225,'TAG e inad.'!$B$4:$B$6,0),'Receitas Tarifárias'!AG$223)</f>
        <v>0.81</v>
      </c>
      <c r="AH225" s="141" cm="1">
        <f t="array" ref="AH225">INDEX('TAG e inad.'!$C$4:$AF$6,MATCH($E225,'TAG e inad.'!$B$4:$B$6,0),'Receitas Tarifárias'!AH$223)</f>
        <v>0.81</v>
      </c>
      <c r="AI225" s="141" cm="1">
        <f t="array" ref="AI225">INDEX('TAG e inad.'!$C$4:$AF$6,MATCH($E225,'TAG e inad.'!$B$4:$B$6,0),'Receitas Tarifárias'!AI$223)</f>
        <v>0.81</v>
      </c>
    </row>
    <row r="226" spans="2:35">
      <c r="B226" s="149">
        <v>1</v>
      </c>
      <c r="C226" s="149">
        <v>2</v>
      </c>
      <c r="D226" s="145" t="str">
        <v xml:space="preserve">Automóvel com reboque </v>
      </c>
      <c r="E226" s="145" t="str">
        <v>Leves</v>
      </c>
      <c r="F226" s="141" cm="1">
        <f t="array" ref="F226">INDEX('TAG e inad.'!$C$4:$AF$6,MATCH($E226,'TAG e inad.'!$B$4:$B$6,0),'Receitas Tarifárias'!F$223)</f>
        <v>0.22999999999999998</v>
      </c>
      <c r="G226" s="141" cm="1">
        <f t="array" ref="G226">INDEX('TAG e inad.'!$C$4:$AF$6,MATCH($E226,'TAG e inad.'!$B$4:$B$6,0),'Receitas Tarifárias'!G$223)</f>
        <v>0.30000000000000004</v>
      </c>
      <c r="H226" s="141" cm="1">
        <f t="array" ref="H226">INDEX('TAG e inad.'!$C$4:$AF$6,MATCH($E226,'TAG e inad.'!$B$4:$B$6,0),'Receitas Tarifárias'!H$223)</f>
        <v>0.41000000000000003</v>
      </c>
      <c r="I226" s="141" cm="1">
        <f t="array" ref="I226">INDEX('TAG e inad.'!$C$4:$AF$6,MATCH($E226,'TAG e inad.'!$B$4:$B$6,0),'Receitas Tarifárias'!I$223)</f>
        <v>0.5</v>
      </c>
      <c r="J226" s="141" cm="1">
        <f t="array" ref="J226">INDEX('TAG e inad.'!$C$4:$AF$6,MATCH($E226,'TAG e inad.'!$B$4:$B$6,0),'Receitas Tarifárias'!J$223)</f>
        <v>0.58000000000000007</v>
      </c>
      <c r="K226" s="141" cm="1">
        <f t="array" ref="K226">INDEX('TAG e inad.'!$C$4:$AF$6,MATCH($E226,'TAG e inad.'!$B$4:$B$6,0),'Receitas Tarifárias'!K$223)</f>
        <v>0.64</v>
      </c>
      <c r="L226" s="141" cm="1">
        <f t="array" ref="L226">INDEX('TAG e inad.'!$C$4:$AF$6,MATCH($E226,'TAG e inad.'!$B$4:$B$6,0),'Receitas Tarifárias'!L$223)</f>
        <v>0.69</v>
      </c>
      <c r="M226" s="141" cm="1">
        <f t="array" ref="M226">INDEX('TAG e inad.'!$C$4:$AF$6,MATCH($E226,'TAG e inad.'!$B$4:$B$6,0),'Receitas Tarifárias'!M$223)</f>
        <v>0.74</v>
      </c>
      <c r="N226" s="141" cm="1">
        <f t="array" ref="N226">INDEX('TAG e inad.'!$C$4:$AF$6,MATCH($E226,'TAG e inad.'!$B$4:$B$6,0),'Receitas Tarifárias'!N$223)</f>
        <v>0.78</v>
      </c>
      <c r="O226" s="141" cm="1">
        <f t="array" ref="O226">INDEX('TAG e inad.'!$C$4:$AF$6,MATCH($E226,'TAG e inad.'!$B$4:$B$6,0),'Receitas Tarifárias'!O$223)</f>
        <v>0.8</v>
      </c>
      <c r="P226" s="141" cm="1">
        <f t="array" ref="P226">INDEX('TAG e inad.'!$C$4:$AF$6,MATCH($E226,'TAG e inad.'!$B$4:$B$6,0),'Receitas Tarifárias'!P$223)</f>
        <v>0.81</v>
      </c>
      <c r="Q226" s="141" cm="1">
        <f t="array" ref="Q226">INDEX('TAG e inad.'!$C$4:$AF$6,MATCH($E226,'TAG e inad.'!$B$4:$B$6,0),'Receitas Tarifárias'!Q$223)</f>
        <v>0.81</v>
      </c>
      <c r="R226" s="141" cm="1">
        <f t="array" ref="R226">INDEX('TAG e inad.'!$C$4:$AF$6,MATCH($E226,'TAG e inad.'!$B$4:$B$6,0),'Receitas Tarifárias'!R$223)</f>
        <v>0.81</v>
      </c>
      <c r="S226" s="141" cm="1">
        <f t="array" ref="S226">INDEX('TAG e inad.'!$C$4:$AF$6,MATCH($E226,'TAG e inad.'!$B$4:$B$6,0),'Receitas Tarifárias'!S$223)</f>
        <v>0.81</v>
      </c>
      <c r="T226" s="141" cm="1">
        <f t="array" ref="T226">INDEX('TAG e inad.'!$C$4:$AF$6,MATCH($E226,'TAG e inad.'!$B$4:$B$6,0),'Receitas Tarifárias'!T$223)</f>
        <v>0.81</v>
      </c>
      <c r="U226" s="141" cm="1">
        <f t="array" ref="U226">INDEX('TAG e inad.'!$C$4:$AF$6,MATCH($E226,'TAG e inad.'!$B$4:$B$6,0),'Receitas Tarifárias'!U$223)</f>
        <v>0.81</v>
      </c>
      <c r="V226" s="141" cm="1">
        <f t="array" ref="V226">INDEX('TAG e inad.'!$C$4:$AF$6,MATCH($E226,'TAG e inad.'!$B$4:$B$6,0),'Receitas Tarifárias'!V$223)</f>
        <v>0.81</v>
      </c>
      <c r="W226" s="141" cm="1">
        <f t="array" ref="W226">INDEX('TAG e inad.'!$C$4:$AF$6,MATCH($E226,'TAG e inad.'!$B$4:$B$6,0),'Receitas Tarifárias'!W$223)</f>
        <v>0.81</v>
      </c>
      <c r="X226" s="141" cm="1">
        <f t="array" ref="X226">INDEX('TAG e inad.'!$C$4:$AF$6,MATCH($E226,'TAG e inad.'!$B$4:$B$6,0),'Receitas Tarifárias'!X$223)</f>
        <v>0.81</v>
      </c>
      <c r="Y226" s="141" cm="1">
        <f t="array" ref="Y226">INDEX('TAG e inad.'!$C$4:$AF$6,MATCH($E226,'TAG e inad.'!$B$4:$B$6,0),'Receitas Tarifárias'!Y$223)</f>
        <v>0.81</v>
      </c>
      <c r="Z226" s="141" cm="1">
        <f t="array" ref="Z226">INDEX('TAG e inad.'!$C$4:$AF$6,MATCH($E226,'TAG e inad.'!$B$4:$B$6,0),'Receitas Tarifárias'!Z$223)</f>
        <v>0.81</v>
      </c>
      <c r="AA226" s="141" cm="1">
        <f t="array" ref="AA226">INDEX('TAG e inad.'!$C$4:$AF$6,MATCH($E226,'TAG e inad.'!$B$4:$B$6,0),'Receitas Tarifárias'!AA$223)</f>
        <v>0.81</v>
      </c>
      <c r="AB226" s="141" cm="1">
        <f t="array" ref="AB226">INDEX('TAG e inad.'!$C$4:$AF$6,MATCH($E226,'TAG e inad.'!$B$4:$B$6,0),'Receitas Tarifárias'!AB$223)</f>
        <v>0.81</v>
      </c>
      <c r="AC226" s="141" cm="1">
        <f t="array" ref="AC226">INDEX('TAG e inad.'!$C$4:$AF$6,MATCH($E226,'TAG e inad.'!$B$4:$B$6,0),'Receitas Tarifárias'!AC$223)</f>
        <v>0.81</v>
      </c>
      <c r="AD226" s="141" cm="1">
        <f t="array" ref="AD226">INDEX('TAG e inad.'!$C$4:$AF$6,MATCH($E226,'TAG e inad.'!$B$4:$B$6,0),'Receitas Tarifárias'!AD$223)</f>
        <v>0.81</v>
      </c>
      <c r="AE226" s="141" cm="1">
        <f t="array" ref="AE226">INDEX('TAG e inad.'!$C$4:$AF$6,MATCH($E226,'TAG e inad.'!$B$4:$B$6,0),'Receitas Tarifárias'!AE$223)</f>
        <v>0.81</v>
      </c>
      <c r="AF226" s="141" cm="1">
        <f t="array" ref="AF226">INDEX('TAG e inad.'!$C$4:$AF$6,MATCH($E226,'TAG e inad.'!$B$4:$B$6,0),'Receitas Tarifárias'!AF$223)</f>
        <v>0.81</v>
      </c>
      <c r="AG226" s="141" cm="1">
        <f t="array" ref="AG226">INDEX('TAG e inad.'!$C$4:$AF$6,MATCH($E226,'TAG e inad.'!$B$4:$B$6,0),'Receitas Tarifárias'!AG$223)</f>
        <v>0.81</v>
      </c>
      <c r="AH226" s="141" cm="1">
        <f t="array" ref="AH226">INDEX('TAG e inad.'!$C$4:$AF$6,MATCH($E226,'TAG e inad.'!$B$4:$B$6,0),'Receitas Tarifárias'!AH$223)</f>
        <v>0.81</v>
      </c>
      <c r="AI226" s="141" cm="1">
        <f t="array" ref="AI226">INDEX('TAG e inad.'!$C$4:$AF$6,MATCH($E226,'TAG e inad.'!$B$4:$B$6,0),'Receitas Tarifárias'!AI$223)</f>
        <v>0.81</v>
      </c>
    </row>
    <row r="227" spans="2:35">
      <c r="B227" s="149">
        <v>1</v>
      </c>
      <c r="C227" s="149">
        <v>3</v>
      </c>
      <c r="D227" s="145" t="str">
        <v>Veículos Comerciais com 2 Eixos</v>
      </c>
      <c r="E227" s="145" t="str">
        <v>Pesados I</v>
      </c>
      <c r="F227" s="141" cm="1">
        <f t="array" ref="F227">INDEX('TAG e inad.'!$C$4:$AF$6,MATCH($E227,'TAG e inad.'!$B$4:$B$6,0),'Receitas Tarifárias'!F$223)</f>
        <v>0.5</v>
      </c>
      <c r="G227" s="141" cm="1">
        <f t="array" ref="G227">INDEX('TAG e inad.'!$C$4:$AF$6,MATCH($E227,'TAG e inad.'!$B$4:$B$6,0),'Receitas Tarifárias'!G$223)</f>
        <v>0.56999999999999995</v>
      </c>
      <c r="H227" s="141" cm="1">
        <f t="array" ref="H227">INDEX('TAG e inad.'!$C$4:$AF$6,MATCH($E227,'TAG e inad.'!$B$4:$B$6,0),'Receitas Tarifárias'!H$223)</f>
        <v>0.65</v>
      </c>
      <c r="I227" s="141" cm="1">
        <f t="array" ref="I227">INDEX('TAG e inad.'!$C$4:$AF$6,MATCH($E227,'TAG e inad.'!$B$4:$B$6,0),'Receitas Tarifárias'!I$223)</f>
        <v>0.72</v>
      </c>
      <c r="J227" s="141" cm="1">
        <f t="array" ref="J227">INDEX('TAG e inad.'!$C$4:$AF$6,MATCH($E227,'TAG e inad.'!$B$4:$B$6,0),'Receitas Tarifárias'!J$223)</f>
        <v>0.78</v>
      </c>
      <c r="K227" s="141" cm="1">
        <f t="array" ref="K227">INDEX('TAG e inad.'!$C$4:$AF$6,MATCH($E227,'TAG e inad.'!$B$4:$B$6,0),'Receitas Tarifárias'!K$223)</f>
        <v>0.82</v>
      </c>
      <c r="L227" s="141" cm="1">
        <f t="array" ref="L227">INDEX('TAG e inad.'!$C$4:$AF$6,MATCH($E227,'TAG e inad.'!$B$4:$B$6,0),'Receitas Tarifárias'!L$223)</f>
        <v>0.86</v>
      </c>
      <c r="M227" s="141" cm="1">
        <f t="array" ref="M227">INDEX('TAG e inad.'!$C$4:$AF$6,MATCH($E227,'TAG e inad.'!$B$4:$B$6,0),'Receitas Tarifárias'!M$223)</f>
        <v>0.89</v>
      </c>
      <c r="N227" s="141" cm="1">
        <f t="array" ref="N227">INDEX('TAG e inad.'!$C$4:$AF$6,MATCH($E227,'TAG e inad.'!$B$4:$B$6,0),'Receitas Tarifárias'!N$223)</f>
        <v>0.9</v>
      </c>
      <c r="O227" s="141" cm="1">
        <f t="array" ref="O227">INDEX('TAG e inad.'!$C$4:$AF$6,MATCH($E227,'TAG e inad.'!$B$4:$B$6,0),'Receitas Tarifárias'!O$223)</f>
        <v>0.9</v>
      </c>
      <c r="P227" s="141" cm="1">
        <f t="array" ref="P227">INDEX('TAG e inad.'!$C$4:$AF$6,MATCH($E227,'TAG e inad.'!$B$4:$B$6,0),'Receitas Tarifárias'!P$223)</f>
        <v>0.9</v>
      </c>
      <c r="Q227" s="141" cm="1">
        <f t="array" ref="Q227">INDEX('TAG e inad.'!$C$4:$AF$6,MATCH($E227,'TAG e inad.'!$B$4:$B$6,0),'Receitas Tarifárias'!Q$223)</f>
        <v>0.9</v>
      </c>
      <c r="R227" s="141" cm="1">
        <f t="array" ref="R227">INDEX('TAG e inad.'!$C$4:$AF$6,MATCH($E227,'TAG e inad.'!$B$4:$B$6,0),'Receitas Tarifárias'!R$223)</f>
        <v>0.9</v>
      </c>
      <c r="S227" s="141" cm="1">
        <f t="array" ref="S227">INDEX('TAG e inad.'!$C$4:$AF$6,MATCH($E227,'TAG e inad.'!$B$4:$B$6,0),'Receitas Tarifárias'!S$223)</f>
        <v>0.9</v>
      </c>
      <c r="T227" s="141" cm="1">
        <f t="array" ref="T227">INDEX('TAG e inad.'!$C$4:$AF$6,MATCH($E227,'TAG e inad.'!$B$4:$B$6,0),'Receitas Tarifárias'!T$223)</f>
        <v>0.9</v>
      </c>
      <c r="U227" s="141" cm="1">
        <f t="array" ref="U227">INDEX('TAG e inad.'!$C$4:$AF$6,MATCH($E227,'TAG e inad.'!$B$4:$B$6,0),'Receitas Tarifárias'!U$223)</f>
        <v>0.9</v>
      </c>
      <c r="V227" s="141" cm="1">
        <f t="array" ref="V227">INDEX('TAG e inad.'!$C$4:$AF$6,MATCH($E227,'TAG e inad.'!$B$4:$B$6,0),'Receitas Tarifárias'!V$223)</f>
        <v>0.9</v>
      </c>
      <c r="W227" s="141" cm="1">
        <f t="array" ref="W227">INDEX('TAG e inad.'!$C$4:$AF$6,MATCH($E227,'TAG e inad.'!$B$4:$B$6,0),'Receitas Tarifárias'!W$223)</f>
        <v>0.9</v>
      </c>
      <c r="X227" s="141" cm="1">
        <f t="array" ref="X227">INDEX('TAG e inad.'!$C$4:$AF$6,MATCH($E227,'TAG e inad.'!$B$4:$B$6,0),'Receitas Tarifárias'!X$223)</f>
        <v>0.9</v>
      </c>
      <c r="Y227" s="141" cm="1">
        <f t="array" ref="Y227">INDEX('TAG e inad.'!$C$4:$AF$6,MATCH($E227,'TAG e inad.'!$B$4:$B$6,0),'Receitas Tarifárias'!Y$223)</f>
        <v>0.9</v>
      </c>
      <c r="Z227" s="141" cm="1">
        <f t="array" ref="Z227">INDEX('TAG e inad.'!$C$4:$AF$6,MATCH($E227,'TAG e inad.'!$B$4:$B$6,0),'Receitas Tarifárias'!Z$223)</f>
        <v>0.9</v>
      </c>
      <c r="AA227" s="141" cm="1">
        <f t="array" ref="AA227">INDEX('TAG e inad.'!$C$4:$AF$6,MATCH($E227,'TAG e inad.'!$B$4:$B$6,0),'Receitas Tarifárias'!AA$223)</f>
        <v>0.9</v>
      </c>
      <c r="AB227" s="141" cm="1">
        <f t="array" ref="AB227">INDEX('TAG e inad.'!$C$4:$AF$6,MATCH($E227,'TAG e inad.'!$B$4:$B$6,0),'Receitas Tarifárias'!AB$223)</f>
        <v>0.9</v>
      </c>
      <c r="AC227" s="141" cm="1">
        <f t="array" ref="AC227">INDEX('TAG e inad.'!$C$4:$AF$6,MATCH($E227,'TAG e inad.'!$B$4:$B$6,0),'Receitas Tarifárias'!AC$223)</f>
        <v>0.9</v>
      </c>
      <c r="AD227" s="141" cm="1">
        <f t="array" ref="AD227">INDEX('TAG e inad.'!$C$4:$AF$6,MATCH($E227,'TAG e inad.'!$B$4:$B$6,0),'Receitas Tarifárias'!AD$223)</f>
        <v>0.9</v>
      </c>
      <c r="AE227" s="141" cm="1">
        <f t="array" ref="AE227">INDEX('TAG e inad.'!$C$4:$AF$6,MATCH($E227,'TAG e inad.'!$B$4:$B$6,0),'Receitas Tarifárias'!AE$223)</f>
        <v>0.9</v>
      </c>
      <c r="AF227" s="141" cm="1">
        <f t="array" ref="AF227">INDEX('TAG e inad.'!$C$4:$AF$6,MATCH($E227,'TAG e inad.'!$B$4:$B$6,0),'Receitas Tarifárias'!AF$223)</f>
        <v>0.9</v>
      </c>
      <c r="AG227" s="141" cm="1">
        <f t="array" ref="AG227">INDEX('TAG e inad.'!$C$4:$AF$6,MATCH($E227,'TAG e inad.'!$B$4:$B$6,0),'Receitas Tarifárias'!AG$223)</f>
        <v>0.9</v>
      </c>
      <c r="AH227" s="141" cm="1">
        <f t="array" ref="AH227">INDEX('TAG e inad.'!$C$4:$AF$6,MATCH($E227,'TAG e inad.'!$B$4:$B$6,0),'Receitas Tarifárias'!AH$223)</f>
        <v>0.9</v>
      </c>
      <c r="AI227" s="141" cm="1">
        <f t="array" ref="AI227">INDEX('TAG e inad.'!$C$4:$AF$6,MATCH($E227,'TAG e inad.'!$B$4:$B$6,0),'Receitas Tarifárias'!AI$223)</f>
        <v>0.9</v>
      </c>
    </row>
    <row r="228" spans="2:35">
      <c r="B228" s="149">
        <v>1</v>
      </c>
      <c r="C228" s="149">
        <v>4</v>
      </c>
      <c r="D228" s="145" t="str">
        <v>Veículos Comerciais com 3 Eixos</v>
      </c>
      <c r="E228" s="145" t="str">
        <v>Pesados I</v>
      </c>
      <c r="F228" s="141" cm="1">
        <f t="array" ref="F228">INDEX('TAG e inad.'!$C$4:$AF$6,MATCH($E228,'TAG e inad.'!$B$4:$B$6,0),'Receitas Tarifárias'!F$223)</f>
        <v>0.5</v>
      </c>
      <c r="G228" s="141" cm="1">
        <f t="array" ref="G228">INDEX('TAG e inad.'!$C$4:$AF$6,MATCH($E228,'TAG e inad.'!$B$4:$B$6,0),'Receitas Tarifárias'!G$223)</f>
        <v>0.56999999999999995</v>
      </c>
      <c r="H228" s="141" cm="1">
        <f t="array" ref="H228">INDEX('TAG e inad.'!$C$4:$AF$6,MATCH($E228,'TAG e inad.'!$B$4:$B$6,0),'Receitas Tarifárias'!H$223)</f>
        <v>0.65</v>
      </c>
      <c r="I228" s="141" cm="1">
        <f t="array" ref="I228">INDEX('TAG e inad.'!$C$4:$AF$6,MATCH($E228,'TAG e inad.'!$B$4:$B$6,0),'Receitas Tarifárias'!I$223)</f>
        <v>0.72</v>
      </c>
      <c r="J228" s="141" cm="1">
        <f t="array" ref="J228">INDEX('TAG e inad.'!$C$4:$AF$6,MATCH($E228,'TAG e inad.'!$B$4:$B$6,0),'Receitas Tarifárias'!J$223)</f>
        <v>0.78</v>
      </c>
      <c r="K228" s="141" cm="1">
        <f t="array" ref="K228">INDEX('TAG e inad.'!$C$4:$AF$6,MATCH($E228,'TAG e inad.'!$B$4:$B$6,0),'Receitas Tarifárias'!K$223)</f>
        <v>0.82</v>
      </c>
      <c r="L228" s="141" cm="1">
        <f t="array" ref="L228">INDEX('TAG e inad.'!$C$4:$AF$6,MATCH($E228,'TAG e inad.'!$B$4:$B$6,0),'Receitas Tarifárias'!L$223)</f>
        <v>0.86</v>
      </c>
      <c r="M228" s="141" cm="1">
        <f t="array" ref="M228">INDEX('TAG e inad.'!$C$4:$AF$6,MATCH($E228,'TAG e inad.'!$B$4:$B$6,0),'Receitas Tarifárias'!M$223)</f>
        <v>0.89</v>
      </c>
      <c r="N228" s="141" cm="1">
        <f t="array" ref="N228">INDEX('TAG e inad.'!$C$4:$AF$6,MATCH($E228,'TAG e inad.'!$B$4:$B$6,0),'Receitas Tarifárias'!N$223)</f>
        <v>0.9</v>
      </c>
      <c r="O228" s="141" cm="1">
        <f t="array" ref="O228">INDEX('TAG e inad.'!$C$4:$AF$6,MATCH($E228,'TAG e inad.'!$B$4:$B$6,0),'Receitas Tarifárias'!O$223)</f>
        <v>0.9</v>
      </c>
      <c r="P228" s="141" cm="1">
        <f t="array" ref="P228">INDEX('TAG e inad.'!$C$4:$AF$6,MATCH($E228,'TAG e inad.'!$B$4:$B$6,0),'Receitas Tarifárias'!P$223)</f>
        <v>0.9</v>
      </c>
      <c r="Q228" s="141" cm="1">
        <f t="array" ref="Q228">INDEX('TAG e inad.'!$C$4:$AF$6,MATCH($E228,'TAG e inad.'!$B$4:$B$6,0),'Receitas Tarifárias'!Q$223)</f>
        <v>0.9</v>
      </c>
      <c r="R228" s="141" cm="1">
        <f t="array" ref="R228">INDEX('TAG e inad.'!$C$4:$AF$6,MATCH($E228,'TAG e inad.'!$B$4:$B$6,0),'Receitas Tarifárias'!R$223)</f>
        <v>0.9</v>
      </c>
      <c r="S228" s="141" cm="1">
        <f t="array" ref="S228">INDEX('TAG e inad.'!$C$4:$AF$6,MATCH($E228,'TAG e inad.'!$B$4:$B$6,0),'Receitas Tarifárias'!S$223)</f>
        <v>0.9</v>
      </c>
      <c r="T228" s="141" cm="1">
        <f t="array" ref="T228">INDEX('TAG e inad.'!$C$4:$AF$6,MATCH($E228,'TAG e inad.'!$B$4:$B$6,0),'Receitas Tarifárias'!T$223)</f>
        <v>0.9</v>
      </c>
      <c r="U228" s="141" cm="1">
        <f t="array" ref="U228">INDEX('TAG e inad.'!$C$4:$AF$6,MATCH($E228,'TAG e inad.'!$B$4:$B$6,0),'Receitas Tarifárias'!U$223)</f>
        <v>0.9</v>
      </c>
      <c r="V228" s="141" cm="1">
        <f t="array" ref="V228">INDEX('TAG e inad.'!$C$4:$AF$6,MATCH($E228,'TAG e inad.'!$B$4:$B$6,0),'Receitas Tarifárias'!V$223)</f>
        <v>0.9</v>
      </c>
      <c r="W228" s="141" cm="1">
        <f t="array" ref="W228">INDEX('TAG e inad.'!$C$4:$AF$6,MATCH($E228,'TAG e inad.'!$B$4:$B$6,0),'Receitas Tarifárias'!W$223)</f>
        <v>0.9</v>
      </c>
      <c r="X228" s="141" cm="1">
        <f t="array" ref="X228">INDEX('TAG e inad.'!$C$4:$AF$6,MATCH($E228,'TAG e inad.'!$B$4:$B$6,0),'Receitas Tarifárias'!X$223)</f>
        <v>0.9</v>
      </c>
      <c r="Y228" s="141" cm="1">
        <f t="array" ref="Y228">INDEX('TAG e inad.'!$C$4:$AF$6,MATCH($E228,'TAG e inad.'!$B$4:$B$6,0),'Receitas Tarifárias'!Y$223)</f>
        <v>0.9</v>
      </c>
      <c r="Z228" s="141" cm="1">
        <f t="array" ref="Z228">INDEX('TAG e inad.'!$C$4:$AF$6,MATCH($E228,'TAG e inad.'!$B$4:$B$6,0),'Receitas Tarifárias'!Z$223)</f>
        <v>0.9</v>
      </c>
      <c r="AA228" s="141" cm="1">
        <f t="array" ref="AA228">INDEX('TAG e inad.'!$C$4:$AF$6,MATCH($E228,'TAG e inad.'!$B$4:$B$6,0),'Receitas Tarifárias'!AA$223)</f>
        <v>0.9</v>
      </c>
      <c r="AB228" s="141" cm="1">
        <f t="array" ref="AB228">INDEX('TAG e inad.'!$C$4:$AF$6,MATCH($E228,'TAG e inad.'!$B$4:$B$6,0),'Receitas Tarifárias'!AB$223)</f>
        <v>0.9</v>
      </c>
      <c r="AC228" s="141" cm="1">
        <f t="array" ref="AC228">INDEX('TAG e inad.'!$C$4:$AF$6,MATCH($E228,'TAG e inad.'!$B$4:$B$6,0),'Receitas Tarifárias'!AC$223)</f>
        <v>0.9</v>
      </c>
      <c r="AD228" s="141" cm="1">
        <f t="array" ref="AD228">INDEX('TAG e inad.'!$C$4:$AF$6,MATCH($E228,'TAG e inad.'!$B$4:$B$6,0),'Receitas Tarifárias'!AD$223)</f>
        <v>0.9</v>
      </c>
      <c r="AE228" s="141" cm="1">
        <f t="array" ref="AE228">INDEX('TAG e inad.'!$C$4:$AF$6,MATCH($E228,'TAG e inad.'!$B$4:$B$6,0),'Receitas Tarifárias'!AE$223)</f>
        <v>0.9</v>
      </c>
      <c r="AF228" s="141" cm="1">
        <f t="array" ref="AF228">INDEX('TAG e inad.'!$C$4:$AF$6,MATCH($E228,'TAG e inad.'!$B$4:$B$6,0),'Receitas Tarifárias'!AF$223)</f>
        <v>0.9</v>
      </c>
      <c r="AG228" s="141" cm="1">
        <f t="array" ref="AG228">INDEX('TAG e inad.'!$C$4:$AF$6,MATCH($E228,'TAG e inad.'!$B$4:$B$6,0),'Receitas Tarifárias'!AG$223)</f>
        <v>0.9</v>
      </c>
      <c r="AH228" s="141" cm="1">
        <f t="array" ref="AH228">INDEX('TAG e inad.'!$C$4:$AF$6,MATCH($E228,'TAG e inad.'!$B$4:$B$6,0),'Receitas Tarifárias'!AH$223)</f>
        <v>0.9</v>
      </c>
      <c r="AI228" s="141" cm="1">
        <f t="array" ref="AI228">INDEX('TAG e inad.'!$C$4:$AF$6,MATCH($E228,'TAG e inad.'!$B$4:$B$6,0),'Receitas Tarifárias'!AI$223)</f>
        <v>0.9</v>
      </c>
    </row>
    <row r="229" spans="2:35">
      <c r="B229" s="149">
        <v>1</v>
      </c>
      <c r="C229" s="149">
        <v>5</v>
      </c>
      <c r="D229" s="145" t="str">
        <v>Veículos Comerciais com 4 Eixos</v>
      </c>
      <c r="E229" s="145" t="str">
        <v>Pesados I</v>
      </c>
      <c r="F229" s="141" cm="1">
        <f t="array" ref="F229">INDEX('TAG e inad.'!$C$4:$AF$6,MATCH($E229,'TAG e inad.'!$B$4:$B$6,0),'Receitas Tarifárias'!F$223)</f>
        <v>0.5</v>
      </c>
      <c r="G229" s="141" cm="1">
        <f t="array" ref="G229">INDEX('TAG e inad.'!$C$4:$AF$6,MATCH($E229,'TAG e inad.'!$B$4:$B$6,0),'Receitas Tarifárias'!G$223)</f>
        <v>0.56999999999999995</v>
      </c>
      <c r="H229" s="141" cm="1">
        <f t="array" ref="H229">INDEX('TAG e inad.'!$C$4:$AF$6,MATCH($E229,'TAG e inad.'!$B$4:$B$6,0),'Receitas Tarifárias'!H$223)</f>
        <v>0.65</v>
      </c>
      <c r="I229" s="141" cm="1">
        <f t="array" ref="I229">INDEX('TAG e inad.'!$C$4:$AF$6,MATCH($E229,'TAG e inad.'!$B$4:$B$6,0),'Receitas Tarifárias'!I$223)</f>
        <v>0.72</v>
      </c>
      <c r="J229" s="141" cm="1">
        <f t="array" ref="J229">INDEX('TAG e inad.'!$C$4:$AF$6,MATCH($E229,'TAG e inad.'!$B$4:$B$6,0),'Receitas Tarifárias'!J$223)</f>
        <v>0.78</v>
      </c>
      <c r="K229" s="141" cm="1">
        <f t="array" ref="K229">INDEX('TAG e inad.'!$C$4:$AF$6,MATCH($E229,'TAG e inad.'!$B$4:$B$6,0),'Receitas Tarifárias'!K$223)</f>
        <v>0.82</v>
      </c>
      <c r="L229" s="141" cm="1">
        <f t="array" ref="L229">INDEX('TAG e inad.'!$C$4:$AF$6,MATCH($E229,'TAG e inad.'!$B$4:$B$6,0),'Receitas Tarifárias'!L$223)</f>
        <v>0.86</v>
      </c>
      <c r="M229" s="141" cm="1">
        <f t="array" ref="M229">INDEX('TAG e inad.'!$C$4:$AF$6,MATCH($E229,'TAG e inad.'!$B$4:$B$6,0),'Receitas Tarifárias'!M$223)</f>
        <v>0.89</v>
      </c>
      <c r="N229" s="141" cm="1">
        <f t="array" ref="N229">INDEX('TAG e inad.'!$C$4:$AF$6,MATCH($E229,'TAG e inad.'!$B$4:$B$6,0),'Receitas Tarifárias'!N$223)</f>
        <v>0.9</v>
      </c>
      <c r="O229" s="141" cm="1">
        <f t="array" ref="O229">INDEX('TAG e inad.'!$C$4:$AF$6,MATCH($E229,'TAG e inad.'!$B$4:$B$6,0),'Receitas Tarifárias'!O$223)</f>
        <v>0.9</v>
      </c>
      <c r="P229" s="141" cm="1">
        <f t="array" ref="P229">INDEX('TAG e inad.'!$C$4:$AF$6,MATCH($E229,'TAG e inad.'!$B$4:$B$6,0),'Receitas Tarifárias'!P$223)</f>
        <v>0.9</v>
      </c>
      <c r="Q229" s="141" cm="1">
        <f t="array" ref="Q229">INDEX('TAG e inad.'!$C$4:$AF$6,MATCH($E229,'TAG e inad.'!$B$4:$B$6,0),'Receitas Tarifárias'!Q$223)</f>
        <v>0.9</v>
      </c>
      <c r="R229" s="141" cm="1">
        <f t="array" ref="R229">INDEX('TAG e inad.'!$C$4:$AF$6,MATCH($E229,'TAG e inad.'!$B$4:$B$6,0),'Receitas Tarifárias'!R$223)</f>
        <v>0.9</v>
      </c>
      <c r="S229" s="141" cm="1">
        <f t="array" ref="S229">INDEX('TAG e inad.'!$C$4:$AF$6,MATCH($E229,'TAG e inad.'!$B$4:$B$6,0),'Receitas Tarifárias'!S$223)</f>
        <v>0.9</v>
      </c>
      <c r="T229" s="141" cm="1">
        <f t="array" ref="T229">INDEX('TAG e inad.'!$C$4:$AF$6,MATCH($E229,'TAG e inad.'!$B$4:$B$6,0),'Receitas Tarifárias'!T$223)</f>
        <v>0.9</v>
      </c>
      <c r="U229" s="141" cm="1">
        <f t="array" ref="U229">INDEX('TAG e inad.'!$C$4:$AF$6,MATCH($E229,'TAG e inad.'!$B$4:$B$6,0),'Receitas Tarifárias'!U$223)</f>
        <v>0.9</v>
      </c>
      <c r="V229" s="141" cm="1">
        <f t="array" ref="V229">INDEX('TAG e inad.'!$C$4:$AF$6,MATCH($E229,'TAG e inad.'!$B$4:$B$6,0),'Receitas Tarifárias'!V$223)</f>
        <v>0.9</v>
      </c>
      <c r="W229" s="141" cm="1">
        <f t="array" ref="W229">INDEX('TAG e inad.'!$C$4:$AF$6,MATCH($E229,'TAG e inad.'!$B$4:$B$6,0),'Receitas Tarifárias'!W$223)</f>
        <v>0.9</v>
      </c>
      <c r="X229" s="141" cm="1">
        <f t="array" ref="X229">INDEX('TAG e inad.'!$C$4:$AF$6,MATCH($E229,'TAG e inad.'!$B$4:$B$6,0),'Receitas Tarifárias'!X$223)</f>
        <v>0.9</v>
      </c>
      <c r="Y229" s="141" cm="1">
        <f t="array" ref="Y229">INDEX('TAG e inad.'!$C$4:$AF$6,MATCH($E229,'TAG e inad.'!$B$4:$B$6,0),'Receitas Tarifárias'!Y$223)</f>
        <v>0.9</v>
      </c>
      <c r="Z229" s="141" cm="1">
        <f t="array" ref="Z229">INDEX('TAG e inad.'!$C$4:$AF$6,MATCH($E229,'TAG e inad.'!$B$4:$B$6,0),'Receitas Tarifárias'!Z$223)</f>
        <v>0.9</v>
      </c>
      <c r="AA229" s="141" cm="1">
        <f t="array" ref="AA229">INDEX('TAG e inad.'!$C$4:$AF$6,MATCH($E229,'TAG e inad.'!$B$4:$B$6,0),'Receitas Tarifárias'!AA$223)</f>
        <v>0.9</v>
      </c>
      <c r="AB229" s="141" cm="1">
        <f t="array" ref="AB229">INDEX('TAG e inad.'!$C$4:$AF$6,MATCH($E229,'TAG e inad.'!$B$4:$B$6,0),'Receitas Tarifárias'!AB$223)</f>
        <v>0.9</v>
      </c>
      <c r="AC229" s="141" cm="1">
        <f t="array" ref="AC229">INDEX('TAG e inad.'!$C$4:$AF$6,MATCH($E229,'TAG e inad.'!$B$4:$B$6,0),'Receitas Tarifárias'!AC$223)</f>
        <v>0.9</v>
      </c>
      <c r="AD229" s="141" cm="1">
        <f t="array" ref="AD229">INDEX('TAG e inad.'!$C$4:$AF$6,MATCH($E229,'TAG e inad.'!$B$4:$B$6,0),'Receitas Tarifárias'!AD$223)</f>
        <v>0.9</v>
      </c>
      <c r="AE229" s="141" cm="1">
        <f t="array" ref="AE229">INDEX('TAG e inad.'!$C$4:$AF$6,MATCH($E229,'TAG e inad.'!$B$4:$B$6,0),'Receitas Tarifárias'!AE$223)</f>
        <v>0.9</v>
      </c>
      <c r="AF229" s="141" cm="1">
        <f t="array" ref="AF229">INDEX('TAG e inad.'!$C$4:$AF$6,MATCH($E229,'TAG e inad.'!$B$4:$B$6,0),'Receitas Tarifárias'!AF$223)</f>
        <v>0.9</v>
      </c>
      <c r="AG229" s="141" cm="1">
        <f t="array" ref="AG229">INDEX('TAG e inad.'!$C$4:$AF$6,MATCH($E229,'TAG e inad.'!$B$4:$B$6,0),'Receitas Tarifárias'!AG$223)</f>
        <v>0.9</v>
      </c>
      <c r="AH229" s="141" cm="1">
        <f t="array" ref="AH229">INDEX('TAG e inad.'!$C$4:$AF$6,MATCH($E229,'TAG e inad.'!$B$4:$B$6,0),'Receitas Tarifárias'!AH$223)</f>
        <v>0.9</v>
      </c>
      <c r="AI229" s="141" cm="1">
        <f t="array" ref="AI229">INDEX('TAG e inad.'!$C$4:$AF$6,MATCH($E229,'TAG e inad.'!$B$4:$B$6,0),'Receitas Tarifárias'!AI$223)</f>
        <v>0.9</v>
      </c>
    </row>
    <row r="230" spans="2:35">
      <c r="B230" s="149">
        <v>1</v>
      </c>
      <c r="C230" s="149">
        <v>6</v>
      </c>
      <c r="D230" s="145" t="str">
        <v>Veículos Comerciais com 5 Eixos Articulado</v>
      </c>
      <c r="E230" s="145" t="str">
        <v>Pesados II</v>
      </c>
      <c r="F230" s="141" cm="1">
        <f t="array" ref="F230">INDEX('TAG e inad.'!$C$4:$AF$6,MATCH($E230,'TAG e inad.'!$B$4:$B$6,0),'Receitas Tarifárias'!F$223)</f>
        <v>0.5</v>
      </c>
      <c r="G230" s="141" cm="1">
        <f t="array" ref="G230">INDEX('TAG e inad.'!$C$4:$AF$6,MATCH($E230,'TAG e inad.'!$B$4:$B$6,0),'Receitas Tarifárias'!G$223)</f>
        <v>0.56999999999999995</v>
      </c>
      <c r="H230" s="141" cm="1">
        <f t="array" ref="H230">INDEX('TAG e inad.'!$C$4:$AF$6,MATCH($E230,'TAG e inad.'!$B$4:$B$6,0),'Receitas Tarifárias'!H$223)</f>
        <v>0.65</v>
      </c>
      <c r="I230" s="141" cm="1">
        <f t="array" ref="I230">INDEX('TAG e inad.'!$C$4:$AF$6,MATCH($E230,'TAG e inad.'!$B$4:$B$6,0),'Receitas Tarifárias'!I$223)</f>
        <v>0.72</v>
      </c>
      <c r="J230" s="141" cm="1">
        <f t="array" ref="J230">INDEX('TAG e inad.'!$C$4:$AF$6,MATCH($E230,'TAG e inad.'!$B$4:$B$6,0),'Receitas Tarifárias'!J$223)</f>
        <v>0.78</v>
      </c>
      <c r="K230" s="141" cm="1">
        <f t="array" ref="K230">INDEX('TAG e inad.'!$C$4:$AF$6,MATCH($E230,'TAG e inad.'!$B$4:$B$6,0),'Receitas Tarifárias'!K$223)</f>
        <v>0.82</v>
      </c>
      <c r="L230" s="141" cm="1">
        <f t="array" ref="L230">INDEX('TAG e inad.'!$C$4:$AF$6,MATCH($E230,'TAG e inad.'!$B$4:$B$6,0),'Receitas Tarifárias'!L$223)</f>
        <v>0.86</v>
      </c>
      <c r="M230" s="141" cm="1">
        <f t="array" ref="M230">INDEX('TAG e inad.'!$C$4:$AF$6,MATCH($E230,'TAG e inad.'!$B$4:$B$6,0),'Receitas Tarifárias'!M$223)</f>
        <v>0.89</v>
      </c>
      <c r="N230" s="141" cm="1">
        <f t="array" ref="N230">INDEX('TAG e inad.'!$C$4:$AF$6,MATCH($E230,'TAG e inad.'!$B$4:$B$6,0),'Receitas Tarifárias'!N$223)</f>
        <v>0.9</v>
      </c>
      <c r="O230" s="141" cm="1">
        <f t="array" ref="O230">INDEX('TAG e inad.'!$C$4:$AF$6,MATCH($E230,'TAG e inad.'!$B$4:$B$6,0),'Receitas Tarifárias'!O$223)</f>
        <v>0.9</v>
      </c>
      <c r="P230" s="141" cm="1">
        <f t="array" ref="P230">INDEX('TAG e inad.'!$C$4:$AF$6,MATCH($E230,'TAG e inad.'!$B$4:$B$6,0),'Receitas Tarifárias'!P$223)</f>
        <v>0.9</v>
      </c>
      <c r="Q230" s="141" cm="1">
        <f t="array" ref="Q230">INDEX('TAG e inad.'!$C$4:$AF$6,MATCH($E230,'TAG e inad.'!$B$4:$B$6,0),'Receitas Tarifárias'!Q$223)</f>
        <v>0.9</v>
      </c>
      <c r="R230" s="141" cm="1">
        <f t="array" ref="R230">INDEX('TAG e inad.'!$C$4:$AF$6,MATCH($E230,'TAG e inad.'!$B$4:$B$6,0),'Receitas Tarifárias'!R$223)</f>
        <v>0.9</v>
      </c>
      <c r="S230" s="141" cm="1">
        <f t="array" ref="S230">INDEX('TAG e inad.'!$C$4:$AF$6,MATCH($E230,'TAG e inad.'!$B$4:$B$6,0),'Receitas Tarifárias'!S$223)</f>
        <v>0.9</v>
      </c>
      <c r="T230" s="141" cm="1">
        <f t="array" ref="T230">INDEX('TAG e inad.'!$C$4:$AF$6,MATCH($E230,'TAG e inad.'!$B$4:$B$6,0),'Receitas Tarifárias'!T$223)</f>
        <v>0.9</v>
      </c>
      <c r="U230" s="141" cm="1">
        <f t="array" ref="U230">INDEX('TAG e inad.'!$C$4:$AF$6,MATCH($E230,'TAG e inad.'!$B$4:$B$6,0),'Receitas Tarifárias'!U$223)</f>
        <v>0.9</v>
      </c>
      <c r="V230" s="141" cm="1">
        <f t="array" ref="V230">INDEX('TAG e inad.'!$C$4:$AF$6,MATCH($E230,'TAG e inad.'!$B$4:$B$6,0),'Receitas Tarifárias'!V$223)</f>
        <v>0.9</v>
      </c>
      <c r="W230" s="141" cm="1">
        <f t="array" ref="W230">INDEX('TAG e inad.'!$C$4:$AF$6,MATCH($E230,'TAG e inad.'!$B$4:$B$6,0),'Receitas Tarifárias'!W$223)</f>
        <v>0.9</v>
      </c>
      <c r="X230" s="141" cm="1">
        <f t="array" ref="X230">INDEX('TAG e inad.'!$C$4:$AF$6,MATCH($E230,'TAG e inad.'!$B$4:$B$6,0),'Receitas Tarifárias'!X$223)</f>
        <v>0.9</v>
      </c>
      <c r="Y230" s="141" cm="1">
        <f t="array" ref="Y230">INDEX('TAG e inad.'!$C$4:$AF$6,MATCH($E230,'TAG e inad.'!$B$4:$B$6,0),'Receitas Tarifárias'!Y$223)</f>
        <v>0.9</v>
      </c>
      <c r="Z230" s="141" cm="1">
        <f t="array" ref="Z230">INDEX('TAG e inad.'!$C$4:$AF$6,MATCH($E230,'TAG e inad.'!$B$4:$B$6,0),'Receitas Tarifárias'!Z$223)</f>
        <v>0.9</v>
      </c>
      <c r="AA230" s="141" cm="1">
        <f t="array" ref="AA230">INDEX('TAG e inad.'!$C$4:$AF$6,MATCH($E230,'TAG e inad.'!$B$4:$B$6,0),'Receitas Tarifárias'!AA$223)</f>
        <v>0.9</v>
      </c>
      <c r="AB230" s="141" cm="1">
        <f t="array" ref="AB230">INDEX('TAG e inad.'!$C$4:$AF$6,MATCH($E230,'TAG e inad.'!$B$4:$B$6,0),'Receitas Tarifárias'!AB$223)</f>
        <v>0.9</v>
      </c>
      <c r="AC230" s="141" cm="1">
        <f t="array" ref="AC230">INDEX('TAG e inad.'!$C$4:$AF$6,MATCH($E230,'TAG e inad.'!$B$4:$B$6,0),'Receitas Tarifárias'!AC$223)</f>
        <v>0.9</v>
      </c>
      <c r="AD230" s="141" cm="1">
        <f t="array" ref="AD230">INDEX('TAG e inad.'!$C$4:$AF$6,MATCH($E230,'TAG e inad.'!$B$4:$B$6,0),'Receitas Tarifárias'!AD$223)</f>
        <v>0.9</v>
      </c>
      <c r="AE230" s="141" cm="1">
        <f t="array" ref="AE230">INDEX('TAG e inad.'!$C$4:$AF$6,MATCH($E230,'TAG e inad.'!$B$4:$B$6,0),'Receitas Tarifárias'!AE$223)</f>
        <v>0.9</v>
      </c>
      <c r="AF230" s="141" cm="1">
        <f t="array" ref="AF230">INDEX('TAG e inad.'!$C$4:$AF$6,MATCH($E230,'TAG e inad.'!$B$4:$B$6,0),'Receitas Tarifárias'!AF$223)</f>
        <v>0.9</v>
      </c>
      <c r="AG230" s="141" cm="1">
        <f t="array" ref="AG230">INDEX('TAG e inad.'!$C$4:$AF$6,MATCH($E230,'TAG e inad.'!$B$4:$B$6,0),'Receitas Tarifárias'!AG$223)</f>
        <v>0.9</v>
      </c>
      <c r="AH230" s="141" cm="1">
        <f t="array" ref="AH230">INDEX('TAG e inad.'!$C$4:$AF$6,MATCH($E230,'TAG e inad.'!$B$4:$B$6,0),'Receitas Tarifárias'!AH$223)</f>
        <v>0.9</v>
      </c>
      <c r="AI230" s="141" cm="1">
        <f t="array" ref="AI230">INDEX('TAG e inad.'!$C$4:$AF$6,MATCH($E230,'TAG e inad.'!$B$4:$B$6,0),'Receitas Tarifárias'!AI$223)</f>
        <v>0.9</v>
      </c>
    </row>
    <row r="231" spans="2:35">
      <c r="B231" s="149">
        <v>1</v>
      </c>
      <c r="C231" s="149">
        <v>7</v>
      </c>
      <c r="D231" s="145" t="str">
        <v>Veículos Comerciais com 6 Eixos Articulado</v>
      </c>
      <c r="E231" s="145" t="str">
        <v>Pesados II</v>
      </c>
      <c r="F231" s="141" cm="1">
        <f t="array" ref="F231">INDEX('TAG e inad.'!$C$4:$AF$6,MATCH($E231,'TAG e inad.'!$B$4:$B$6,0),'Receitas Tarifárias'!F$223)</f>
        <v>0.5</v>
      </c>
      <c r="G231" s="141" cm="1">
        <f t="array" ref="G231">INDEX('TAG e inad.'!$C$4:$AF$6,MATCH($E231,'TAG e inad.'!$B$4:$B$6,0),'Receitas Tarifárias'!G$223)</f>
        <v>0.56999999999999995</v>
      </c>
      <c r="H231" s="141" cm="1">
        <f t="array" ref="H231">INDEX('TAG e inad.'!$C$4:$AF$6,MATCH($E231,'TAG e inad.'!$B$4:$B$6,0),'Receitas Tarifárias'!H$223)</f>
        <v>0.65</v>
      </c>
      <c r="I231" s="141" cm="1">
        <f t="array" ref="I231">INDEX('TAG e inad.'!$C$4:$AF$6,MATCH($E231,'TAG e inad.'!$B$4:$B$6,0),'Receitas Tarifárias'!I$223)</f>
        <v>0.72</v>
      </c>
      <c r="J231" s="141" cm="1">
        <f t="array" ref="J231">INDEX('TAG e inad.'!$C$4:$AF$6,MATCH($E231,'TAG e inad.'!$B$4:$B$6,0),'Receitas Tarifárias'!J$223)</f>
        <v>0.78</v>
      </c>
      <c r="K231" s="141" cm="1">
        <f t="array" ref="K231">INDEX('TAG e inad.'!$C$4:$AF$6,MATCH($E231,'TAG e inad.'!$B$4:$B$6,0),'Receitas Tarifárias'!K$223)</f>
        <v>0.82</v>
      </c>
      <c r="L231" s="141" cm="1">
        <f t="array" ref="L231">INDEX('TAG e inad.'!$C$4:$AF$6,MATCH($E231,'TAG e inad.'!$B$4:$B$6,0),'Receitas Tarifárias'!L$223)</f>
        <v>0.86</v>
      </c>
      <c r="M231" s="141" cm="1">
        <f t="array" ref="M231">INDEX('TAG e inad.'!$C$4:$AF$6,MATCH($E231,'TAG e inad.'!$B$4:$B$6,0),'Receitas Tarifárias'!M$223)</f>
        <v>0.89</v>
      </c>
      <c r="N231" s="141" cm="1">
        <f t="array" ref="N231">INDEX('TAG e inad.'!$C$4:$AF$6,MATCH($E231,'TAG e inad.'!$B$4:$B$6,0),'Receitas Tarifárias'!N$223)</f>
        <v>0.9</v>
      </c>
      <c r="O231" s="141" cm="1">
        <f t="array" ref="O231">INDEX('TAG e inad.'!$C$4:$AF$6,MATCH($E231,'TAG e inad.'!$B$4:$B$6,0),'Receitas Tarifárias'!O$223)</f>
        <v>0.9</v>
      </c>
      <c r="P231" s="141" cm="1">
        <f t="array" ref="P231">INDEX('TAG e inad.'!$C$4:$AF$6,MATCH($E231,'TAG e inad.'!$B$4:$B$6,0),'Receitas Tarifárias'!P$223)</f>
        <v>0.9</v>
      </c>
      <c r="Q231" s="141" cm="1">
        <f t="array" ref="Q231">INDEX('TAG e inad.'!$C$4:$AF$6,MATCH($E231,'TAG e inad.'!$B$4:$B$6,0),'Receitas Tarifárias'!Q$223)</f>
        <v>0.9</v>
      </c>
      <c r="R231" s="141" cm="1">
        <f t="array" ref="R231">INDEX('TAG e inad.'!$C$4:$AF$6,MATCH($E231,'TAG e inad.'!$B$4:$B$6,0),'Receitas Tarifárias'!R$223)</f>
        <v>0.9</v>
      </c>
      <c r="S231" s="141" cm="1">
        <f t="array" ref="S231">INDEX('TAG e inad.'!$C$4:$AF$6,MATCH($E231,'TAG e inad.'!$B$4:$B$6,0),'Receitas Tarifárias'!S$223)</f>
        <v>0.9</v>
      </c>
      <c r="T231" s="141" cm="1">
        <f t="array" ref="T231">INDEX('TAG e inad.'!$C$4:$AF$6,MATCH($E231,'TAG e inad.'!$B$4:$B$6,0),'Receitas Tarifárias'!T$223)</f>
        <v>0.9</v>
      </c>
      <c r="U231" s="141" cm="1">
        <f t="array" ref="U231">INDEX('TAG e inad.'!$C$4:$AF$6,MATCH($E231,'TAG e inad.'!$B$4:$B$6,0),'Receitas Tarifárias'!U$223)</f>
        <v>0.9</v>
      </c>
      <c r="V231" s="141" cm="1">
        <f t="array" ref="V231">INDEX('TAG e inad.'!$C$4:$AF$6,MATCH($E231,'TAG e inad.'!$B$4:$B$6,0),'Receitas Tarifárias'!V$223)</f>
        <v>0.9</v>
      </c>
      <c r="W231" s="141" cm="1">
        <f t="array" ref="W231">INDEX('TAG e inad.'!$C$4:$AF$6,MATCH($E231,'TAG e inad.'!$B$4:$B$6,0),'Receitas Tarifárias'!W$223)</f>
        <v>0.9</v>
      </c>
      <c r="X231" s="141" cm="1">
        <f t="array" ref="X231">INDEX('TAG e inad.'!$C$4:$AF$6,MATCH($E231,'TAG e inad.'!$B$4:$B$6,0),'Receitas Tarifárias'!X$223)</f>
        <v>0.9</v>
      </c>
      <c r="Y231" s="141" cm="1">
        <f t="array" ref="Y231">INDEX('TAG e inad.'!$C$4:$AF$6,MATCH($E231,'TAG e inad.'!$B$4:$B$6,0),'Receitas Tarifárias'!Y$223)</f>
        <v>0.9</v>
      </c>
      <c r="Z231" s="141" cm="1">
        <f t="array" ref="Z231">INDEX('TAG e inad.'!$C$4:$AF$6,MATCH($E231,'TAG e inad.'!$B$4:$B$6,0),'Receitas Tarifárias'!Z$223)</f>
        <v>0.9</v>
      </c>
      <c r="AA231" s="141" cm="1">
        <f t="array" ref="AA231">INDEX('TAG e inad.'!$C$4:$AF$6,MATCH($E231,'TAG e inad.'!$B$4:$B$6,0),'Receitas Tarifárias'!AA$223)</f>
        <v>0.9</v>
      </c>
      <c r="AB231" s="141" cm="1">
        <f t="array" ref="AB231">INDEX('TAG e inad.'!$C$4:$AF$6,MATCH($E231,'TAG e inad.'!$B$4:$B$6,0),'Receitas Tarifárias'!AB$223)</f>
        <v>0.9</v>
      </c>
      <c r="AC231" s="141" cm="1">
        <f t="array" ref="AC231">INDEX('TAG e inad.'!$C$4:$AF$6,MATCH($E231,'TAG e inad.'!$B$4:$B$6,0),'Receitas Tarifárias'!AC$223)</f>
        <v>0.9</v>
      </c>
      <c r="AD231" s="141" cm="1">
        <f t="array" ref="AD231">INDEX('TAG e inad.'!$C$4:$AF$6,MATCH($E231,'TAG e inad.'!$B$4:$B$6,0),'Receitas Tarifárias'!AD$223)</f>
        <v>0.9</v>
      </c>
      <c r="AE231" s="141" cm="1">
        <f t="array" ref="AE231">INDEX('TAG e inad.'!$C$4:$AF$6,MATCH($E231,'TAG e inad.'!$B$4:$B$6,0),'Receitas Tarifárias'!AE$223)</f>
        <v>0.9</v>
      </c>
      <c r="AF231" s="141" cm="1">
        <f t="array" ref="AF231">INDEX('TAG e inad.'!$C$4:$AF$6,MATCH($E231,'TAG e inad.'!$B$4:$B$6,0),'Receitas Tarifárias'!AF$223)</f>
        <v>0.9</v>
      </c>
      <c r="AG231" s="141" cm="1">
        <f t="array" ref="AG231">INDEX('TAG e inad.'!$C$4:$AF$6,MATCH($E231,'TAG e inad.'!$B$4:$B$6,0),'Receitas Tarifárias'!AG$223)</f>
        <v>0.9</v>
      </c>
      <c r="AH231" s="141" cm="1">
        <f t="array" ref="AH231">INDEX('TAG e inad.'!$C$4:$AF$6,MATCH($E231,'TAG e inad.'!$B$4:$B$6,0),'Receitas Tarifárias'!AH$223)</f>
        <v>0.9</v>
      </c>
      <c r="AI231" s="141" cm="1">
        <f t="array" ref="AI231">INDEX('TAG e inad.'!$C$4:$AF$6,MATCH($E231,'TAG e inad.'!$B$4:$B$6,0),'Receitas Tarifárias'!AI$223)</f>
        <v>0.9</v>
      </c>
    </row>
    <row r="232" spans="2:35">
      <c r="B232" s="149">
        <v>1</v>
      </c>
      <c r="C232" s="149">
        <v>8</v>
      </c>
      <c r="D232" s="145" t="str">
        <v>Veículos Comerciais com 7 Eixos Articulado</v>
      </c>
      <c r="E232" s="145" t="str">
        <v>Pesados II</v>
      </c>
      <c r="F232" s="141" cm="1">
        <f t="array" ref="F232">INDEX('TAG e inad.'!$C$4:$AF$6,MATCH($E232,'TAG e inad.'!$B$4:$B$6,0),'Receitas Tarifárias'!F$223)</f>
        <v>0.5</v>
      </c>
      <c r="G232" s="141" cm="1">
        <f t="array" ref="G232">INDEX('TAG e inad.'!$C$4:$AF$6,MATCH($E232,'TAG e inad.'!$B$4:$B$6,0),'Receitas Tarifárias'!G$223)</f>
        <v>0.56999999999999995</v>
      </c>
      <c r="H232" s="141" cm="1">
        <f t="array" ref="H232">INDEX('TAG e inad.'!$C$4:$AF$6,MATCH($E232,'TAG e inad.'!$B$4:$B$6,0),'Receitas Tarifárias'!H$223)</f>
        <v>0.65</v>
      </c>
      <c r="I232" s="141" cm="1">
        <f t="array" ref="I232">INDEX('TAG e inad.'!$C$4:$AF$6,MATCH($E232,'TAG e inad.'!$B$4:$B$6,0),'Receitas Tarifárias'!I$223)</f>
        <v>0.72</v>
      </c>
      <c r="J232" s="141" cm="1">
        <f t="array" ref="J232">INDEX('TAG e inad.'!$C$4:$AF$6,MATCH($E232,'TAG e inad.'!$B$4:$B$6,0),'Receitas Tarifárias'!J$223)</f>
        <v>0.78</v>
      </c>
      <c r="K232" s="141" cm="1">
        <f t="array" ref="K232">INDEX('TAG e inad.'!$C$4:$AF$6,MATCH($E232,'TAG e inad.'!$B$4:$B$6,0),'Receitas Tarifárias'!K$223)</f>
        <v>0.82</v>
      </c>
      <c r="L232" s="141" cm="1">
        <f t="array" ref="L232">INDEX('TAG e inad.'!$C$4:$AF$6,MATCH($E232,'TAG e inad.'!$B$4:$B$6,0),'Receitas Tarifárias'!L$223)</f>
        <v>0.86</v>
      </c>
      <c r="M232" s="141" cm="1">
        <f t="array" ref="M232">INDEX('TAG e inad.'!$C$4:$AF$6,MATCH($E232,'TAG e inad.'!$B$4:$B$6,0),'Receitas Tarifárias'!M$223)</f>
        <v>0.89</v>
      </c>
      <c r="N232" s="141" cm="1">
        <f t="array" ref="N232">INDEX('TAG e inad.'!$C$4:$AF$6,MATCH($E232,'TAG e inad.'!$B$4:$B$6,0),'Receitas Tarifárias'!N$223)</f>
        <v>0.9</v>
      </c>
      <c r="O232" s="141" cm="1">
        <f t="array" ref="O232">INDEX('TAG e inad.'!$C$4:$AF$6,MATCH($E232,'TAG e inad.'!$B$4:$B$6,0),'Receitas Tarifárias'!O$223)</f>
        <v>0.9</v>
      </c>
      <c r="P232" s="141" cm="1">
        <f t="array" ref="P232">INDEX('TAG e inad.'!$C$4:$AF$6,MATCH($E232,'TAG e inad.'!$B$4:$B$6,0),'Receitas Tarifárias'!P$223)</f>
        <v>0.9</v>
      </c>
      <c r="Q232" s="141" cm="1">
        <f t="array" ref="Q232">INDEX('TAG e inad.'!$C$4:$AF$6,MATCH($E232,'TAG e inad.'!$B$4:$B$6,0),'Receitas Tarifárias'!Q$223)</f>
        <v>0.9</v>
      </c>
      <c r="R232" s="141" cm="1">
        <f t="array" ref="R232">INDEX('TAG e inad.'!$C$4:$AF$6,MATCH($E232,'TAG e inad.'!$B$4:$B$6,0),'Receitas Tarifárias'!R$223)</f>
        <v>0.9</v>
      </c>
      <c r="S232" s="141" cm="1">
        <f t="array" ref="S232">INDEX('TAG e inad.'!$C$4:$AF$6,MATCH($E232,'TAG e inad.'!$B$4:$B$6,0),'Receitas Tarifárias'!S$223)</f>
        <v>0.9</v>
      </c>
      <c r="T232" s="141" cm="1">
        <f t="array" ref="T232">INDEX('TAG e inad.'!$C$4:$AF$6,MATCH($E232,'TAG e inad.'!$B$4:$B$6,0),'Receitas Tarifárias'!T$223)</f>
        <v>0.9</v>
      </c>
      <c r="U232" s="141" cm="1">
        <f t="array" ref="U232">INDEX('TAG e inad.'!$C$4:$AF$6,MATCH($E232,'TAG e inad.'!$B$4:$B$6,0),'Receitas Tarifárias'!U$223)</f>
        <v>0.9</v>
      </c>
      <c r="V232" s="141" cm="1">
        <f t="array" ref="V232">INDEX('TAG e inad.'!$C$4:$AF$6,MATCH($E232,'TAG e inad.'!$B$4:$B$6,0),'Receitas Tarifárias'!V$223)</f>
        <v>0.9</v>
      </c>
      <c r="W232" s="141" cm="1">
        <f t="array" ref="W232">INDEX('TAG e inad.'!$C$4:$AF$6,MATCH($E232,'TAG e inad.'!$B$4:$B$6,0),'Receitas Tarifárias'!W$223)</f>
        <v>0.9</v>
      </c>
      <c r="X232" s="141" cm="1">
        <f t="array" ref="X232">INDEX('TAG e inad.'!$C$4:$AF$6,MATCH($E232,'TAG e inad.'!$B$4:$B$6,0),'Receitas Tarifárias'!X$223)</f>
        <v>0.9</v>
      </c>
      <c r="Y232" s="141" cm="1">
        <f t="array" ref="Y232">INDEX('TAG e inad.'!$C$4:$AF$6,MATCH($E232,'TAG e inad.'!$B$4:$B$6,0),'Receitas Tarifárias'!Y$223)</f>
        <v>0.9</v>
      </c>
      <c r="Z232" s="141" cm="1">
        <f t="array" ref="Z232">INDEX('TAG e inad.'!$C$4:$AF$6,MATCH($E232,'TAG e inad.'!$B$4:$B$6,0),'Receitas Tarifárias'!Z$223)</f>
        <v>0.9</v>
      </c>
      <c r="AA232" s="141" cm="1">
        <f t="array" ref="AA232">INDEX('TAG e inad.'!$C$4:$AF$6,MATCH($E232,'TAG e inad.'!$B$4:$B$6,0),'Receitas Tarifárias'!AA$223)</f>
        <v>0.9</v>
      </c>
      <c r="AB232" s="141" cm="1">
        <f t="array" ref="AB232">INDEX('TAG e inad.'!$C$4:$AF$6,MATCH($E232,'TAG e inad.'!$B$4:$B$6,0),'Receitas Tarifárias'!AB$223)</f>
        <v>0.9</v>
      </c>
      <c r="AC232" s="141" cm="1">
        <f t="array" ref="AC232">INDEX('TAG e inad.'!$C$4:$AF$6,MATCH($E232,'TAG e inad.'!$B$4:$B$6,0),'Receitas Tarifárias'!AC$223)</f>
        <v>0.9</v>
      </c>
      <c r="AD232" s="141" cm="1">
        <f t="array" ref="AD232">INDEX('TAG e inad.'!$C$4:$AF$6,MATCH($E232,'TAG e inad.'!$B$4:$B$6,0),'Receitas Tarifárias'!AD$223)</f>
        <v>0.9</v>
      </c>
      <c r="AE232" s="141" cm="1">
        <f t="array" ref="AE232">INDEX('TAG e inad.'!$C$4:$AF$6,MATCH($E232,'TAG e inad.'!$B$4:$B$6,0),'Receitas Tarifárias'!AE$223)</f>
        <v>0.9</v>
      </c>
      <c r="AF232" s="141" cm="1">
        <f t="array" ref="AF232">INDEX('TAG e inad.'!$C$4:$AF$6,MATCH($E232,'TAG e inad.'!$B$4:$B$6,0),'Receitas Tarifárias'!AF$223)</f>
        <v>0.9</v>
      </c>
      <c r="AG232" s="141" cm="1">
        <f t="array" ref="AG232">INDEX('TAG e inad.'!$C$4:$AF$6,MATCH($E232,'TAG e inad.'!$B$4:$B$6,0),'Receitas Tarifárias'!AG$223)</f>
        <v>0.9</v>
      </c>
      <c r="AH232" s="141" cm="1">
        <f t="array" ref="AH232">INDEX('TAG e inad.'!$C$4:$AF$6,MATCH($E232,'TAG e inad.'!$B$4:$B$6,0),'Receitas Tarifárias'!AH$223)</f>
        <v>0.9</v>
      </c>
      <c r="AI232" s="141" cm="1">
        <f t="array" ref="AI232">INDEX('TAG e inad.'!$C$4:$AF$6,MATCH($E232,'TAG e inad.'!$B$4:$B$6,0),'Receitas Tarifárias'!AI$223)</f>
        <v>0.9</v>
      </c>
    </row>
    <row r="233" spans="2:35">
      <c r="B233" s="149">
        <v>1</v>
      </c>
      <c r="C233" s="149">
        <v>9</v>
      </c>
      <c r="D233" s="145" t="str">
        <v>Veículos Comerciais com 8 Eixos Articulado</v>
      </c>
      <c r="E233" s="145" t="str">
        <v>Pesados II</v>
      </c>
      <c r="F233" s="141" cm="1">
        <f t="array" ref="F233">INDEX('TAG e inad.'!$C$4:$AF$6,MATCH($E233,'TAG e inad.'!$B$4:$B$6,0),'Receitas Tarifárias'!F$223)</f>
        <v>0.5</v>
      </c>
      <c r="G233" s="141" cm="1">
        <f t="array" ref="G233">INDEX('TAG e inad.'!$C$4:$AF$6,MATCH($E233,'TAG e inad.'!$B$4:$B$6,0),'Receitas Tarifárias'!G$223)</f>
        <v>0.56999999999999995</v>
      </c>
      <c r="H233" s="141" cm="1">
        <f t="array" ref="H233">INDEX('TAG e inad.'!$C$4:$AF$6,MATCH($E233,'TAG e inad.'!$B$4:$B$6,0),'Receitas Tarifárias'!H$223)</f>
        <v>0.65</v>
      </c>
      <c r="I233" s="141" cm="1">
        <f t="array" ref="I233">INDEX('TAG e inad.'!$C$4:$AF$6,MATCH($E233,'TAG e inad.'!$B$4:$B$6,0),'Receitas Tarifárias'!I$223)</f>
        <v>0.72</v>
      </c>
      <c r="J233" s="141" cm="1">
        <f t="array" ref="J233">INDEX('TAG e inad.'!$C$4:$AF$6,MATCH($E233,'TAG e inad.'!$B$4:$B$6,0),'Receitas Tarifárias'!J$223)</f>
        <v>0.78</v>
      </c>
      <c r="K233" s="141" cm="1">
        <f t="array" ref="K233">INDEX('TAG e inad.'!$C$4:$AF$6,MATCH($E233,'TAG e inad.'!$B$4:$B$6,0),'Receitas Tarifárias'!K$223)</f>
        <v>0.82</v>
      </c>
      <c r="L233" s="141" cm="1">
        <f t="array" ref="L233">INDEX('TAG e inad.'!$C$4:$AF$6,MATCH($E233,'TAG e inad.'!$B$4:$B$6,0),'Receitas Tarifárias'!L$223)</f>
        <v>0.86</v>
      </c>
      <c r="M233" s="141" cm="1">
        <f t="array" ref="M233">INDEX('TAG e inad.'!$C$4:$AF$6,MATCH($E233,'TAG e inad.'!$B$4:$B$6,0),'Receitas Tarifárias'!M$223)</f>
        <v>0.89</v>
      </c>
      <c r="N233" s="141" cm="1">
        <f t="array" ref="N233">INDEX('TAG e inad.'!$C$4:$AF$6,MATCH($E233,'TAG e inad.'!$B$4:$B$6,0),'Receitas Tarifárias'!N$223)</f>
        <v>0.9</v>
      </c>
      <c r="O233" s="141" cm="1">
        <f t="array" ref="O233">INDEX('TAG e inad.'!$C$4:$AF$6,MATCH($E233,'TAG e inad.'!$B$4:$B$6,0),'Receitas Tarifárias'!O$223)</f>
        <v>0.9</v>
      </c>
      <c r="P233" s="141" cm="1">
        <f t="array" ref="P233">INDEX('TAG e inad.'!$C$4:$AF$6,MATCH($E233,'TAG e inad.'!$B$4:$B$6,0),'Receitas Tarifárias'!P$223)</f>
        <v>0.9</v>
      </c>
      <c r="Q233" s="141" cm="1">
        <f t="array" ref="Q233">INDEX('TAG e inad.'!$C$4:$AF$6,MATCH($E233,'TAG e inad.'!$B$4:$B$6,0),'Receitas Tarifárias'!Q$223)</f>
        <v>0.9</v>
      </c>
      <c r="R233" s="141" cm="1">
        <f t="array" ref="R233">INDEX('TAG e inad.'!$C$4:$AF$6,MATCH($E233,'TAG e inad.'!$B$4:$B$6,0),'Receitas Tarifárias'!R$223)</f>
        <v>0.9</v>
      </c>
      <c r="S233" s="141" cm="1">
        <f t="array" ref="S233">INDEX('TAG e inad.'!$C$4:$AF$6,MATCH($E233,'TAG e inad.'!$B$4:$B$6,0),'Receitas Tarifárias'!S$223)</f>
        <v>0.9</v>
      </c>
      <c r="T233" s="141" cm="1">
        <f t="array" ref="T233">INDEX('TAG e inad.'!$C$4:$AF$6,MATCH($E233,'TAG e inad.'!$B$4:$B$6,0),'Receitas Tarifárias'!T$223)</f>
        <v>0.9</v>
      </c>
      <c r="U233" s="141" cm="1">
        <f t="array" ref="U233">INDEX('TAG e inad.'!$C$4:$AF$6,MATCH($E233,'TAG e inad.'!$B$4:$B$6,0),'Receitas Tarifárias'!U$223)</f>
        <v>0.9</v>
      </c>
      <c r="V233" s="141" cm="1">
        <f t="array" ref="V233">INDEX('TAG e inad.'!$C$4:$AF$6,MATCH($E233,'TAG e inad.'!$B$4:$B$6,0),'Receitas Tarifárias'!V$223)</f>
        <v>0.9</v>
      </c>
      <c r="W233" s="141" cm="1">
        <f t="array" ref="W233">INDEX('TAG e inad.'!$C$4:$AF$6,MATCH($E233,'TAG e inad.'!$B$4:$B$6,0),'Receitas Tarifárias'!W$223)</f>
        <v>0.9</v>
      </c>
      <c r="X233" s="141" cm="1">
        <f t="array" ref="X233">INDEX('TAG e inad.'!$C$4:$AF$6,MATCH($E233,'TAG e inad.'!$B$4:$B$6,0),'Receitas Tarifárias'!X$223)</f>
        <v>0.9</v>
      </c>
      <c r="Y233" s="141" cm="1">
        <f t="array" ref="Y233">INDEX('TAG e inad.'!$C$4:$AF$6,MATCH($E233,'TAG e inad.'!$B$4:$B$6,0),'Receitas Tarifárias'!Y$223)</f>
        <v>0.9</v>
      </c>
      <c r="Z233" s="141" cm="1">
        <f t="array" ref="Z233">INDEX('TAG e inad.'!$C$4:$AF$6,MATCH($E233,'TAG e inad.'!$B$4:$B$6,0),'Receitas Tarifárias'!Z$223)</f>
        <v>0.9</v>
      </c>
      <c r="AA233" s="141" cm="1">
        <f t="array" ref="AA233">INDEX('TAG e inad.'!$C$4:$AF$6,MATCH($E233,'TAG e inad.'!$B$4:$B$6,0),'Receitas Tarifárias'!AA$223)</f>
        <v>0.9</v>
      </c>
      <c r="AB233" s="141" cm="1">
        <f t="array" ref="AB233">INDEX('TAG e inad.'!$C$4:$AF$6,MATCH($E233,'TAG e inad.'!$B$4:$B$6,0),'Receitas Tarifárias'!AB$223)</f>
        <v>0.9</v>
      </c>
      <c r="AC233" s="141" cm="1">
        <f t="array" ref="AC233">INDEX('TAG e inad.'!$C$4:$AF$6,MATCH($E233,'TAG e inad.'!$B$4:$B$6,0),'Receitas Tarifárias'!AC$223)</f>
        <v>0.9</v>
      </c>
      <c r="AD233" s="141" cm="1">
        <f t="array" ref="AD233">INDEX('TAG e inad.'!$C$4:$AF$6,MATCH($E233,'TAG e inad.'!$B$4:$B$6,0),'Receitas Tarifárias'!AD$223)</f>
        <v>0.9</v>
      </c>
      <c r="AE233" s="141" cm="1">
        <f t="array" ref="AE233">INDEX('TAG e inad.'!$C$4:$AF$6,MATCH($E233,'TAG e inad.'!$B$4:$B$6,0),'Receitas Tarifárias'!AE$223)</f>
        <v>0.9</v>
      </c>
      <c r="AF233" s="141" cm="1">
        <f t="array" ref="AF233">INDEX('TAG e inad.'!$C$4:$AF$6,MATCH($E233,'TAG e inad.'!$B$4:$B$6,0),'Receitas Tarifárias'!AF$223)</f>
        <v>0.9</v>
      </c>
      <c r="AG233" s="141" cm="1">
        <f t="array" ref="AG233">INDEX('TAG e inad.'!$C$4:$AF$6,MATCH($E233,'TAG e inad.'!$B$4:$B$6,0),'Receitas Tarifárias'!AG$223)</f>
        <v>0.9</v>
      </c>
      <c r="AH233" s="141" cm="1">
        <f t="array" ref="AH233">INDEX('TAG e inad.'!$C$4:$AF$6,MATCH($E233,'TAG e inad.'!$B$4:$B$6,0),'Receitas Tarifárias'!AH$223)</f>
        <v>0.9</v>
      </c>
      <c r="AI233" s="141" cm="1">
        <f t="array" ref="AI233">INDEX('TAG e inad.'!$C$4:$AF$6,MATCH($E233,'TAG e inad.'!$B$4:$B$6,0),'Receitas Tarifárias'!AI$223)</f>
        <v>0.9</v>
      </c>
    </row>
    <row r="234" spans="2:35">
      <c r="B234" s="149">
        <v>1</v>
      </c>
      <c r="C234" s="149">
        <v>10</v>
      </c>
      <c r="D234" s="145" t="str">
        <v>Veículos Comerciais com 9 Eixos Articulado</v>
      </c>
      <c r="E234" s="145" t="str">
        <v>Pesados II</v>
      </c>
      <c r="F234" s="141" cm="1">
        <f t="array" ref="F234">INDEX('TAG e inad.'!$C$4:$AF$6,MATCH($E234,'TAG e inad.'!$B$4:$B$6,0),'Receitas Tarifárias'!F$223)</f>
        <v>0.5</v>
      </c>
      <c r="G234" s="141" cm="1">
        <f t="array" ref="G234">INDEX('TAG e inad.'!$C$4:$AF$6,MATCH($E234,'TAG e inad.'!$B$4:$B$6,0),'Receitas Tarifárias'!G$223)</f>
        <v>0.56999999999999995</v>
      </c>
      <c r="H234" s="141" cm="1">
        <f t="array" ref="H234">INDEX('TAG e inad.'!$C$4:$AF$6,MATCH($E234,'TAG e inad.'!$B$4:$B$6,0),'Receitas Tarifárias'!H$223)</f>
        <v>0.65</v>
      </c>
      <c r="I234" s="141" cm="1">
        <f t="array" ref="I234">INDEX('TAG e inad.'!$C$4:$AF$6,MATCH($E234,'TAG e inad.'!$B$4:$B$6,0),'Receitas Tarifárias'!I$223)</f>
        <v>0.72</v>
      </c>
      <c r="J234" s="141" cm="1">
        <f t="array" ref="J234">INDEX('TAG e inad.'!$C$4:$AF$6,MATCH($E234,'TAG e inad.'!$B$4:$B$6,0),'Receitas Tarifárias'!J$223)</f>
        <v>0.78</v>
      </c>
      <c r="K234" s="141" cm="1">
        <f t="array" ref="K234">INDEX('TAG e inad.'!$C$4:$AF$6,MATCH($E234,'TAG e inad.'!$B$4:$B$6,0),'Receitas Tarifárias'!K$223)</f>
        <v>0.82</v>
      </c>
      <c r="L234" s="141" cm="1">
        <f t="array" ref="L234">INDEX('TAG e inad.'!$C$4:$AF$6,MATCH($E234,'TAG e inad.'!$B$4:$B$6,0),'Receitas Tarifárias'!L$223)</f>
        <v>0.86</v>
      </c>
      <c r="M234" s="141" cm="1">
        <f t="array" ref="M234">INDEX('TAG e inad.'!$C$4:$AF$6,MATCH($E234,'TAG e inad.'!$B$4:$B$6,0),'Receitas Tarifárias'!M$223)</f>
        <v>0.89</v>
      </c>
      <c r="N234" s="141" cm="1">
        <f t="array" ref="N234">INDEX('TAG e inad.'!$C$4:$AF$6,MATCH($E234,'TAG e inad.'!$B$4:$B$6,0),'Receitas Tarifárias'!N$223)</f>
        <v>0.9</v>
      </c>
      <c r="O234" s="141" cm="1">
        <f t="array" ref="O234">INDEX('TAG e inad.'!$C$4:$AF$6,MATCH($E234,'TAG e inad.'!$B$4:$B$6,0),'Receitas Tarifárias'!O$223)</f>
        <v>0.9</v>
      </c>
      <c r="P234" s="141" cm="1">
        <f t="array" ref="P234">INDEX('TAG e inad.'!$C$4:$AF$6,MATCH($E234,'TAG e inad.'!$B$4:$B$6,0),'Receitas Tarifárias'!P$223)</f>
        <v>0.9</v>
      </c>
      <c r="Q234" s="141" cm="1">
        <f t="array" ref="Q234">INDEX('TAG e inad.'!$C$4:$AF$6,MATCH($E234,'TAG e inad.'!$B$4:$B$6,0),'Receitas Tarifárias'!Q$223)</f>
        <v>0.9</v>
      </c>
      <c r="R234" s="141" cm="1">
        <f t="array" ref="R234">INDEX('TAG e inad.'!$C$4:$AF$6,MATCH($E234,'TAG e inad.'!$B$4:$B$6,0),'Receitas Tarifárias'!R$223)</f>
        <v>0.9</v>
      </c>
      <c r="S234" s="141" cm="1">
        <f t="array" ref="S234">INDEX('TAG e inad.'!$C$4:$AF$6,MATCH($E234,'TAG e inad.'!$B$4:$B$6,0),'Receitas Tarifárias'!S$223)</f>
        <v>0.9</v>
      </c>
      <c r="T234" s="141" cm="1">
        <f t="array" ref="T234">INDEX('TAG e inad.'!$C$4:$AF$6,MATCH($E234,'TAG e inad.'!$B$4:$B$6,0),'Receitas Tarifárias'!T$223)</f>
        <v>0.9</v>
      </c>
      <c r="U234" s="141" cm="1">
        <f t="array" ref="U234">INDEX('TAG e inad.'!$C$4:$AF$6,MATCH($E234,'TAG e inad.'!$B$4:$B$6,0),'Receitas Tarifárias'!U$223)</f>
        <v>0.9</v>
      </c>
      <c r="V234" s="141" cm="1">
        <f t="array" ref="V234">INDEX('TAG e inad.'!$C$4:$AF$6,MATCH($E234,'TAG e inad.'!$B$4:$B$6,0),'Receitas Tarifárias'!V$223)</f>
        <v>0.9</v>
      </c>
      <c r="W234" s="141" cm="1">
        <f t="array" ref="W234">INDEX('TAG e inad.'!$C$4:$AF$6,MATCH($E234,'TAG e inad.'!$B$4:$B$6,0),'Receitas Tarifárias'!W$223)</f>
        <v>0.9</v>
      </c>
      <c r="X234" s="141" cm="1">
        <f t="array" ref="X234">INDEX('TAG e inad.'!$C$4:$AF$6,MATCH($E234,'TAG e inad.'!$B$4:$B$6,0),'Receitas Tarifárias'!X$223)</f>
        <v>0.9</v>
      </c>
      <c r="Y234" s="141" cm="1">
        <f t="array" ref="Y234">INDEX('TAG e inad.'!$C$4:$AF$6,MATCH($E234,'TAG e inad.'!$B$4:$B$6,0),'Receitas Tarifárias'!Y$223)</f>
        <v>0.9</v>
      </c>
      <c r="Z234" s="141" cm="1">
        <f t="array" ref="Z234">INDEX('TAG e inad.'!$C$4:$AF$6,MATCH($E234,'TAG e inad.'!$B$4:$B$6,0),'Receitas Tarifárias'!Z$223)</f>
        <v>0.9</v>
      </c>
      <c r="AA234" s="141" cm="1">
        <f t="array" ref="AA234">INDEX('TAG e inad.'!$C$4:$AF$6,MATCH($E234,'TAG e inad.'!$B$4:$B$6,0),'Receitas Tarifárias'!AA$223)</f>
        <v>0.9</v>
      </c>
      <c r="AB234" s="141" cm="1">
        <f t="array" ref="AB234">INDEX('TAG e inad.'!$C$4:$AF$6,MATCH($E234,'TAG e inad.'!$B$4:$B$6,0),'Receitas Tarifárias'!AB$223)</f>
        <v>0.9</v>
      </c>
      <c r="AC234" s="141" cm="1">
        <f t="array" ref="AC234">INDEX('TAG e inad.'!$C$4:$AF$6,MATCH($E234,'TAG e inad.'!$B$4:$B$6,0),'Receitas Tarifárias'!AC$223)</f>
        <v>0.9</v>
      </c>
      <c r="AD234" s="141" cm="1">
        <f t="array" ref="AD234">INDEX('TAG e inad.'!$C$4:$AF$6,MATCH($E234,'TAG e inad.'!$B$4:$B$6,0),'Receitas Tarifárias'!AD$223)</f>
        <v>0.9</v>
      </c>
      <c r="AE234" s="141" cm="1">
        <f t="array" ref="AE234">INDEX('TAG e inad.'!$C$4:$AF$6,MATCH($E234,'TAG e inad.'!$B$4:$B$6,0),'Receitas Tarifárias'!AE$223)</f>
        <v>0.9</v>
      </c>
      <c r="AF234" s="141" cm="1">
        <f t="array" ref="AF234">INDEX('TAG e inad.'!$C$4:$AF$6,MATCH($E234,'TAG e inad.'!$B$4:$B$6,0),'Receitas Tarifárias'!AF$223)</f>
        <v>0.9</v>
      </c>
      <c r="AG234" s="141" cm="1">
        <f t="array" ref="AG234">INDEX('TAG e inad.'!$C$4:$AF$6,MATCH($E234,'TAG e inad.'!$B$4:$B$6,0),'Receitas Tarifárias'!AG$223)</f>
        <v>0.9</v>
      </c>
      <c r="AH234" s="141" cm="1">
        <f t="array" ref="AH234">INDEX('TAG e inad.'!$C$4:$AF$6,MATCH($E234,'TAG e inad.'!$B$4:$B$6,0),'Receitas Tarifárias'!AH$223)</f>
        <v>0.9</v>
      </c>
      <c r="AI234" s="141" cm="1">
        <f t="array" ref="AI234">INDEX('TAG e inad.'!$C$4:$AF$6,MATCH($E234,'TAG e inad.'!$B$4:$B$6,0),'Receitas Tarifárias'!AI$223)</f>
        <v>0.9</v>
      </c>
    </row>
    <row r="235" spans="2:35">
      <c r="B235" s="149">
        <v>1</v>
      </c>
      <c r="C235" s="149">
        <v>11</v>
      </c>
      <c r="D235" s="145" t="str">
        <v>Motocicleta</v>
      </c>
      <c r="E235" s="145" t="str">
        <v>Leves</v>
      </c>
      <c r="F235" s="141" cm="1">
        <f t="array" ref="F235">INDEX('TAG e inad.'!$C$4:$AF$6,MATCH($E235,'TAG e inad.'!$B$4:$B$6,0),'Receitas Tarifárias'!F$223)</f>
        <v>0.22999999999999998</v>
      </c>
      <c r="G235" s="141" cm="1">
        <f t="array" ref="G235">INDEX('TAG e inad.'!$C$4:$AF$6,MATCH($E235,'TAG e inad.'!$B$4:$B$6,0),'Receitas Tarifárias'!G$223)</f>
        <v>0.30000000000000004</v>
      </c>
      <c r="H235" s="141" cm="1">
        <f t="array" ref="H235">INDEX('TAG e inad.'!$C$4:$AF$6,MATCH($E235,'TAG e inad.'!$B$4:$B$6,0),'Receitas Tarifárias'!H$223)</f>
        <v>0.41000000000000003</v>
      </c>
      <c r="I235" s="141" cm="1">
        <f t="array" ref="I235">INDEX('TAG e inad.'!$C$4:$AF$6,MATCH($E235,'TAG e inad.'!$B$4:$B$6,0),'Receitas Tarifárias'!I$223)</f>
        <v>0.5</v>
      </c>
      <c r="J235" s="141" cm="1">
        <f t="array" ref="J235">INDEX('TAG e inad.'!$C$4:$AF$6,MATCH($E235,'TAG e inad.'!$B$4:$B$6,0),'Receitas Tarifárias'!J$223)</f>
        <v>0.58000000000000007</v>
      </c>
      <c r="K235" s="141" cm="1">
        <f t="array" ref="K235">INDEX('TAG e inad.'!$C$4:$AF$6,MATCH($E235,'TAG e inad.'!$B$4:$B$6,0),'Receitas Tarifárias'!K$223)</f>
        <v>0.64</v>
      </c>
      <c r="L235" s="141" cm="1">
        <f t="array" ref="L235">INDEX('TAG e inad.'!$C$4:$AF$6,MATCH($E235,'TAG e inad.'!$B$4:$B$6,0),'Receitas Tarifárias'!L$223)</f>
        <v>0.69</v>
      </c>
      <c r="M235" s="141" cm="1">
        <f t="array" ref="M235">INDEX('TAG e inad.'!$C$4:$AF$6,MATCH($E235,'TAG e inad.'!$B$4:$B$6,0),'Receitas Tarifárias'!M$223)</f>
        <v>0.74</v>
      </c>
      <c r="N235" s="141" cm="1">
        <f t="array" ref="N235">INDEX('TAG e inad.'!$C$4:$AF$6,MATCH($E235,'TAG e inad.'!$B$4:$B$6,0),'Receitas Tarifárias'!N$223)</f>
        <v>0.78</v>
      </c>
      <c r="O235" s="141" cm="1">
        <f t="array" ref="O235">INDEX('TAG e inad.'!$C$4:$AF$6,MATCH($E235,'TAG e inad.'!$B$4:$B$6,0),'Receitas Tarifárias'!O$223)</f>
        <v>0.8</v>
      </c>
      <c r="P235" s="141" cm="1">
        <f t="array" ref="P235">INDEX('TAG e inad.'!$C$4:$AF$6,MATCH($E235,'TAG e inad.'!$B$4:$B$6,0),'Receitas Tarifárias'!P$223)</f>
        <v>0.81</v>
      </c>
      <c r="Q235" s="141" cm="1">
        <f t="array" ref="Q235">INDEX('TAG e inad.'!$C$4:$AF$6,MATCH($E235,'TAG e inad.'!$B$4:$B$6,0),'Receitas Tarifárias'!Q$223)</f>
        <v>0.81</v>
      </c>
      <c r="R235" s="141" cm="1">
        <f t="array" ref="R235">INDEX('TAG e inad.'!$C$4:$AF$6,MATCH($E235,'TAG e inad.'!$B$4:$B$6,0),'Receitas Tarifárias'!R$223)</f>
        <v>0.81</v>
      </c>
      <c r="S235" s="141" cm="1">
        <f t="array" ref="S235">INDEX('TAG e inad.'!$C$4:$AF$6,MATCH($E235,'TAG e inad.'!$B$4:$B$6,0),'Receitas Tarifárias'!S$223)</f>
        <v>0.81</v>
      </c>
      <c r="T235" s="141" cm="1">
        <f t="array" ref="T235">INDEX('TAG e inad.'!$C$4:$AF$6,MATCH($E235,'TAG e inad.'!$B$4:$B$6,0),'Receitas Tarifárias'!T$223)</f>
        <v>0.81</v>
      </c>
      <c r="U235" s="141" cm="1">
        <f t="array" ref="U235">INDEX('TAG e inad.'!$C$4:$AF$6,MATCH($E235,'TAG e inad.'!$B$4:$B$6,0),'Receitas Tarifárias'!U$223)</f>
        <v>0.81</v>
      </c>
      <c r="V235" s="141" cm="1">
        <f t="array" ref="V235">INDEX('TAG e inad.'!$C$4:$AF$6,MATCH($E235,'TAG e inad.'!$B$4:$B$6,0),'Receitas Tarifárias'!V$223)</f>
        <v>0.81</v>
      </c>
      <c r="W235" s="141" cm="1">
        <f t="array" ref="W235">INDEX('TAG e inad.'!$C$4:$AF$6,MATCH($E235,'TAG e inad.'!$B$4:$B$6,0),'Receitas Tarifárias'!W$223)</f>
        <v>0.81</v>
      </c>
      <c r="X235" s="141" cm="1">
        <f t="array" ref="X235">INDEX('TAG e inad.'!$C$4:$AF$6,MATCH($E235,'TAG e inad.'!$B$4:$B$6,0),'Receitas Tarifárias'!X$223)</f>
        <v>0.81</v>
      </c>
      <c r="Y235" s="141" cm="1">
        <f t="array" ref="Y235">INDEX('TAG e inad.'!$C$4:$AF$6,MATCH($E235,'TAG e inad.'!$B$4:$B$6,0),'Receitas Tarifárias'!Y$223)</f>
        <v>0.81</v>
      </c>
      <c r="Z235" s="141" cm="1">
        <f t="array" ref="Z235">INDEX('TAG e inad.'!$C$4:$AF$6,MATCH($E235,'TAG e inad.'!$B$4:$B$6,0),'Receitas Tarifárias'!Z$223)</f>
        <v>0.81</v>
      </c>
      <c r="AA235" s="141" cm="1">
        <f t="array" ref="AA235">INDEX('TAG e inad.'!$C$4:$AF$6,MATCH($E235,'TAG e inad.'!$B$4:$B$6,0),'Receitas Tarifárias'!AA$223)</f>
        <v>0.81</v>
      </c>
      <c r="AB235" s="141" cm="1">
        <f t="array" ref="AB235">INDEX('TAG e inad.'!$C$4:$AF$6,MATCH($E235,'TAG e inad.'!$B$4:$B$6,0),'Receitas Tarifárias'!AB$223)</f>
        <v>0.81</v>
      </c>
      <c r="AC235" s="141" cm="1">
        <f t="array" ref="AC235">INDEX('TAG e inad.'!$C$4:$AF$6,MATCH($E235,'TAG e inad.'!$B$4:$B$6,0),'Receitas Tarifárias'!AC$223)</f>
        <v>0.81</v>
      </c>
      <c r="AD235" s="141" cm="1">
        <f t="array" ref="AD235">INDEX('TAG e inad.'!$C$4:$AF$6,MATCH($E235,'TAG e inad.'!$B$4:$B$6,0),'Receitas Tarifárias'!AD$223)</f>
        <v>0.81</v>
      </c>
      <c r="AE235" s="141" cm="1">
        <f t="array" ref="AE235">INDEX('TAG e inad.'!$C$4:$AF$6,MATCH($E235,'TAG e inad.'!$B$4:$B$6,0),'Receitas Tarifárias'!AE$223)</f>
        <v>0.81</v>
      </c>
      <c r="AF235" s="141" cm="1">
        <f t="array" ref="AF235">INDEX('TAG e inad.'!$C$4:$AF$6,MATCH($E235,'TAG e inad.'!$B$4:$B$6,0),'Receitas Tarifárias'!AF$223)</f>
        <v>0.81</v>
      </c>
      <c r="AG235" s="141" cm="1">
        <f t="array" ref="AG235">INDEX('TAG e inad.'!$C$4:$AF$6,MATCH($E235,'TAG e inad.'!$B$4:$B$6,0),'Receitas Tarifárias'!AG$223)</f>
        <v>0.81</v>
      </c>
      <c r="AH235" s="141" cm="1">
        <f t="array" ref="AH235">INDEX('TAG e inad.'!$C$4:$AF$6,MATCH($E235,'TAG e inad.'!$B$4:$B$6,0),'Receitas Tarifárias'!AH$223)</f>
        <v>0.81</v>
      </c>
      <c r="AI235" s="141" cm="1">
        <f t="array" ref="AI235">INDEX('TAG e inad.'!$C$4:$AF$6,MATCH($E235,'TAG e inad.'!$B$4:$B$6,0),'Receitas Tarifárias'!AI$223)</f>
        <v>0.81</v>
      </c>
    </row>
    <row r="236" spans="2:35">
      <c r="B236" s="149">
        <v>1</v>
      </c>
      <c r="C236" s="149">
        <v>12</v>
      </c>
      <c r="D236" s="145" t="str">
        <v xml:space="preserve">Veículos do transporte público coletivo intermunicipal e metropolitano </v>
      </c>
      <c r="E236" s="145" t="str">
        <v>Pesados I</v>
      </c>
      <c r="F236" s="141" cm="1">
        <f t="array" ref="F236">INDEX('TAG e inad.'!$C$4:$AF$6,MATCH($E236,'TAG e inad.'!$B$4:$B$6,0),'Receitas Tarifárias'!F$223)</f>
        <v>0.5</v>
      </c>
      <c r="G236" s="141" cm="1">
        <f t="array" ref="G236">INDEX('TAG e inad.'!$C$4:$AF$6,MATCH($E236,'TAG e inad.'!$B$4:$B$6,0),'Receitas Tarifárias'!G$223)</f>
        <v>0.56999999999999995</v>
      </c>
      <c r="H236" s="141" cm="1">
        <f t="array" ref="H236">INDEX('TAG e inad.'!$C$4:$AF$6,MATCH($E236,'TAG e inad.'!$B$4:$B$6,0),'Receitas Tarifárias'!H$223)</f>
        <v>0.65</v>
      </c>
      <c r="I236" s="141" cm="1">
        <f t="array" ref="I236">INDEX('TAG e inad.'!$C$4:$AF$6,MATCH($E236,'TAG e inad.'!$B$4:$B$6,0),'Receitas Tarifárias'!I$223)</f>
        <v>0.72</v>
      </c>
      <c r="J236" s="141" cm="1">
        <f t="array" ref="J236">INDEX('TAG e inad.'!$C$4:$AF$6,MATCH($E236,'TAG e inad.'!$B$4:$B$6,0),'Receitas Tarifárias'!J$223)</f>
        <v>0.78</v>
      </c>
      <c r="K236" s="141" cm="1">
        <f t="array" ref="K236">INDEX('TAG e inad.'!$C$4:$AF$6,MATCH($E236,'TAG e inad.'!$B$4:$B$6,0),'Receitas Tarifárias'!K$223)</f>
        <v>0.82</v>
      </c>
      <c r="L236" s="141" cm="1">
        <f t="array" ref="L236">INDEX('TAG e inad.'!$C$4:$AF$6,MATCH($E236,'TAG e inad.'!$B$4:$B$6,0),'Receitas Tarifárias'!L$223)</f>
        <v>0.86</v>
      </c>
      <c r="M236" s="141" cm="1">
        <f t="array" ref="M236">INDEX('TAG e inad.'!$C$4:$AF$6,MATCH($E236,'TAG e inad.'!$B$4:$B$6,0),'Receitas Tarifárias'!M$223)</f>
        <v>0.89</v>
      </c>
      <c r="N236" s="141" cm="1">
        <f t="array" ref="N236">INDEX('TAG e inad.'!$C$4:$AF$6,MATCH($E236,'TAG e inad.'!$B$4:$B$6,0),'Receitas Tarifárias'!N$223)</f>
        <v>0.9</v>
      </c>
      <c r="O236" s="141" cm="1">
        <f t="array" ref="O236">INDEX('TAG e inad.'!$C$4:$AF$6,MATCH($E236,'TAG e inad.'!$B$4:$B$6,0),'Receitas Tarifárias'!O$223)</f>
        <v>0.9</v>
      </c>
      <c r="P236" s="141" cm="1">
        <f t="array" ref="P236">INDEX('TAG e inad.'!$C$4:$AF$6,MATCH($E236,'TAG e inad.'!$B$4:$B$6,0),'Receitas Tarifárias'!P$223)</f>
        <v>0.9</v>
      </c>
      <c r="Q236" s="141" cm="1">
        <f t="array" ref="Q236">INDEX('TAG e inad.'!$C$4:$AF$6,MATCH($E236,'TAG e inad.'!$B$4:$B$6,0),'Receitas Tarifárias'!Q$223)</f>
        <v>0.9</v>
      </c>
      <c r="R236" s="141" cm="1">
        <f t="array" ref="R236">INDEX('TAG e inad.'!$C$4:$AF$6,MATCH($E236,'TAG e inad.'!$B$4:$B$6,0),'Receitas Tarifárias'!R$223)</f>
        <v>0.9</v>
      </c>
      <c r="S236" s="141" cm="1">
        <f t="array" ref="S236">INDEX('TAG e inad.'!$C$4:$AF$6,MATCH($E236,'TAG e inad.'!$B$4:$B$6,0),'Receitas Tarifárias'!S$223)</f>
        <v>0.9</v>
      </c>
      <c r="T236" s="141" cm="1">
        <f t="array" ref="T236">INDEX('TAG e inad.'!$C$4:$AF$6,MATCH($E236,'TAG e inad.'!$B$4:$B$6,0),'Receitas Tarifárias'!T$223)</f>
        <v>0.9</v>
      </c>
      <c r="U236" s="141" cm="1">
        <f t="array" ref="U236">INDEX('TAG e inad.'!$C$4:$AF$6,MATCH($E236,'TAG e inad.'!$B$4:$B$6,0),'Receitas Tarifárias'!U$223)</f>
        <v>0.9</v>
      </c>
      <c r="V236" s="141" cm="1">
        <f t="array" ref="V236">INDEX('TAG e inad.'!$C$4:$AF$6,MATCH($E236,'TAG e inad.'!$B$4:$B$6,0),'Receitas Tarifárias'!V$223)</f>
        <v>0.9</v>
      </c>
      <c r="W236" s="141" cm="1">
        <f t="array" ref="W236">INDEX('TAG e inad.'!$C$4:$AF$6,MATCH($E236,'TAG e inad.'!$B$4:$B$6,0),'Receitas Tarifárias'!W$223)</f>
        <v>0.9</v>
      </c>
      <c r="X236" s="141" cm="1">
        <f t="array" ref="X236">INDEX('TAG e inad.'!$C$4:$AF$6,MATCH($E236,'TAG e inad.'!$B$4:$B$6,0),'Receitas Tarifárias'!X$223)</f>
        <v>0.9</v>
      </c>
      <c r="Y236" s="141" cm="1">
        <f t="array" ref="Y236">INDEX('TAG e inad.'!$C$4:$AF$6,MATCH($E236,'TAG e inad.'!$B$4:$B$6,0),'Receitas Tarifárias'!Y$223)</f>
        <v>0.9</v>
      </c>
      <c r="Z236" s="141" cm="1">
        <f t="array" ref="Z236">INDEX('TAG e inad.'!$C$4:$AF$6,MATCH($E236,'TAG e inad.'!$B$4:$B$6,0),'Receitas Tarifárias'!Z$223)</f>
        <v>0.9</v>
      </c>
      <c r="AA236" s="141" cm="1">
        <f t="array" ref="AA236">INDEX('TAG e inad.'!$C$4:$AF$6,MATCH($E236,'TAG e inad.'!$B$4:$B$6,0),'Receitas Tarifárias'!AA$223)</f>
        <v>0.9</v>
      </c>
      <c r="AB236" s="141" cm="1">
        <f t="array" ref="AB236">INDEX('TAG e inad.'!$C$4:$AF$6,MATCH($E236,'TAG e inad.'!$B$4:$B$6,0),'Receitas Tarifárias'!AB$223)</f>
        <v>0.9</v>
      </c>
      <c r="AC236" s="141" cm="1">
        <f t="array" ref="AC236">INDEX('TAG e inad.'!$C$4:$AF$6,MATCH($E236,'TAG e inad.'!$B$4:$B$6,0),'Receitas Tarifárias'!AC$223)</f>
        <v>0.9</v>
      </c>
      <c r="AD236" s="141" cm="1">
        <f t="array" ref="AD236">INDEX('TAG e inad.'!$C$4:$AF$6,MATCH($E236,'TAG e inad.'!$B$4:$B$6,0),'Receitas Tarifárias'!AD$223)</f>
        <v>0.9</v>
      </c>
      <c r="AE236" s="141" cm="1">
        <f t="array" ref="AE236">INDEX('TAG e inad.'!$C$4:$AF$6,MATCH($E236,'TAG e inad.'!$B$4:$B$6,0),'Receitas Tarifárias'!AE$223)</f>
        <v>0.9</v>
      </c>
      <c r="AF236" s="141" cm="1">
        <f t="array" ref="AF236">INDEX('TAG e inad.'!$C$4:$AF$6,MATCH($E236,'TAG e inad.'!$B$4:$B$6,0),'Receitas Tarifárias'!AF$223)</f>
        <v>0.9</v>
      </c>
      <c r="AG236" s="141" cm="1">
        <f t="array" ref="AG236">INDEX('TAG e inad.'!$C$4:$AF$6,MATCH($E236,'TAG e inad.'!$B$4:$B$6,0),'Receitas Tarifárias'!AG$223)</f>
        <v>0.9</v>
      </c>
      <c r="AH236" s="141" cm="1">
        <f t="array" ref="AH236">INDEX('TAG e inad.'!$C$4:$AF$6,MATCH($E236,'TAG e inad.'!$B$4:$B$6,0),'Receitas Tarifárias'!AH$223)</f>
        <v>0.9</v>
      </c>
      <c r="AI236" s="141" cm="1">
        <f t="array" ref="AI236">INDEX('TAG e inad.'!$C$4:$AF$6,MATCH($E236,'TAG e inad.'!$B$4:$B$6,0),'Receitas Tarifárias'!AI$223)</f>
        <v>0.9</v>
      </c>
    </row>
    <row r="237" spans="2:35">
      <c r="B237" s="149">
        <v>2</v>
      </c>
      <c r="C237" s="149">
        <v>1</v>
      </c>
      <c r="D237" s="145" t="str">
        <v>Automóvel</v>
      </c>
      <c r="E237" s="145" t="str">
        <v>Leves</v>
      </c>
      <c r="F237" s="141" cm="1">
        <f t="array" ref="F237">INDEX('TAG e inad.'!$C$4:$AF$6,MATCH($E237,'TAG e inad.'!$B$4:$B$6,0),'Receitas Tarifárias'!F$223)</f>
        <v>0.22999999999999998</v>
      </c>
      <c r="G237" s="141" cm="1">
        <f t="array" ref="G237">INDEX('TAG e inad.'!$C$4:$AF$6,MATCH($E237,'TAG e inad.'!$B$4:$B$6,0),'Receitas Tarifárias'!G$223)</f>
        <v>0.30000000000000004</v>
      </c>
      <c r="H237" s="141" cm="1">
        <f t="array" ref="H237">INDEX('TAG e inad.'!$C$4:$AF$6,MATCH($E237,'TAG e inad.'!$B$4:$B$6,0),'Receitas Tarifárias'!H$223)</f>
        <v>0.41000000000000003</v>
      </c>
      <c r="I237" s="141" cm="1">
        <f t="array" ref="I237">INDEX('TAG e inad.'!$C$4:$AF$6,MATCH($E237,'TAG e inad.'!$B$4:$B$6,0),'Receitas Tarifárias'!I$223)</f>
        <v>0.5</v>
      </c>
      <c r="J237" s="141" cm="1">
        <f t="array" ref="J237">INDEX('TAG e inad.'!$C$4:$AF$6,MATCH($E237,'TAG e inad.'!$B$4:$B$6,0),'Receitas Tarifárias'!J$223)</f>
        <v>0.58000000000000007</v>
      </c>
      <c r="K237" s="141" cm="1">
        <f t="array" ref="K237">INDEX('TAG e inad.'!$C$4:$AF$6,MATCH($E237,'TAG e inad.'!$B$4:$B$6,0),'Receitas Tarifárias'!K$223)</f>
        <v>0.64</v>
      </c>
      <c r="L237" s="141" cm="1">
        <f t="array" ref="L237">INDEX('TAG e inad.'!$C$4:$AF$6,MATCH($E237,'TAG e inad.'!$B$4:$B$6,0),'Receitas Tarifárias'!L$223)</f>
        <v>0.69</v>
      </c>
      <c r="M237" s="141" cm="1">
        <f t="array" ref="M237">INDEX('TAG e inad.'!$C$4:$AF$6,MATCH($E237,'TAG e inad.'!$B$4:$B$6,0),'Receitas Tarifárias'!M$223)</f>
        <v>0.74</v>
      </c>
      <c r="N237" s="141" cm="1">
        <f t="array" ref="N237">INDEX('TAG e inad.'!$C$4:$AF$6,MATCH($E237,'TAG e inad.'!$B$4:$B$6,0),'Receitas Tarifárias'!N$223)</f>
        <v>0.78</v>
      </c>
      <c r="O237" s="141" cm="1">
        <f t="array" ref="O237">INDEX('TAG e inad.'!$C$4:$AF$6,MATCH($E237,'TAG e inad.'!$B$4:$B$6,0),'Receitas Tarifárias'!O$223)</f>
        <v>0.8</v>
      </c>
      <c r="P237" s="141" cm="1">
        <f t="array" ref="P237">INDEX('TAG e inad.'!$C$4:$AF$6,MATCH($E237,'TAG e inad.'!$B$4:$B$6,0),'Receitas Tarifárias'!P$223)</f>
        <v>0.81</v>
      </c>
      <c r="Q237" s="141" cm="1">
        <f t="array" ref="Q237">INDEX('TAG e inad.'!$C$4:$AF$6,MATCH($E237,'TAG e inad.'!$B$4:$B$6,0),'Receitas Tarifárias'!Q$223)</f>
        <v>0.81</v>
      </c>
      <c r="R237" s="141" cm="1">
        <f t="array" ref="R237">INDEX('TAG e inad.'!$C$4:$AF$6,MATCH($E237,'TAG e inad.'!$B$4:$B$6,0),'Receitas Tarifárias'!R$223)</f>
        <v>0.81</v>
      </c>
      <c r="S237" s="141" cm="1">
        <f t="array" ref="S237">INDEX('TAG e inad.'!$C$4:$AF$6,MATCH($E237,'TAG e inad.'!$B$4:$B$6,0),'Receitas Tarifárias'!S$223)</f>
        <v>0.81</v>
      </c>
      <c r="T237" s="141" cm="1">
        <f t="array" ref="T237">INDEX('TAG e inad.'!$C$4:$AF$6,MATCH($E237,'TAG e inad.'!$B$4:$B$6,0),'Receitas Tarifárias'!T$223)</f>
        <v>0.81</v>
      </c>
      <c r="U237" s="141" cm="1">
        <f t="array" ref="U237">INDEX('TAG e inad.'!$C$4:$AF$6,MATCH($E237,'TAG e inad.'!$B$4:$B$6,0),'Receitas Tarifárias'!U$223)</f>
        <v>0.81</v>
      </c>
      <c r="V237" s="141" cm="1">
        <f t="array" ref="V237">INDEX('TAG e inad.'!$C$4:$AF$6,MATCH($E237,'TAG e inad.'!$B$4:$B$6,0),'Receitas Tarifárias'!V$223)</f>
        <v>0.81</v>
      </c>
      <c r="W237" s="141" cm="1">
        <f t="array" ref="W237">INDEX('TAG e inad.'!$C$4:$AF$6,MATCH($E237,'TAG e inad.'!$B$4:$B$6,0),'Receitas Tarifárias'!W$223)</f>
        <v>0.81</v>
      </c>
      <c r="X237" s="141" cm="1">
        <f t="array" ref="X237">INDEX('TAG e inad.'!$C$4:$AF$6,MATCH($E237,'TAG e inad.'!$B$4:$B$6,0),'Receitas Tarifárias'!X$223)</f>
        <v>0.81</v>
      </c>
      <c r="Y237" s="141" cm="1">
        <f t="array" ref="Y237">INDEX('TAG e inad.'!$C$4:$AF$6,MATCH($E237,'TAG e inad.'!$B$4:$B$6,0),'Receitas Tarifárias'!Y$223)</f>
        <v>0.81</v>
      </c>
      <c r="Z237" s="141" cm="1">
        <f t="array" ref="Z237">INDEX('TAG e inad.'!$C$4:$AF$6,MATCH($E237,'TAG e inad.'!$B$4:$B$6,0),'Receitas Tarifárias'!Z$223)</f>
        <v>0.81</v>
      </c>
      <c r="AA237" s="141" cm="1">
        <f t="array" ref="AA237">INDEX('TAG e inad.'!$C$4:$AF$6,MATCH($E237,'TAG e inad.'!$B$4:$B$6,0),'Receitas Tarifárias'!AA$223)</f>
        <v>0.81</v>
      </c>
      <c r="AB237" s="141" cm="1">
        <f t="array" ref="AB237">INDEX('TAG e inad.'!$C$4:$AF$6,MATCH($E237,'TAG e inad.'!$B$4:$B$6,0),'Receitas Tarifárias'!AB$223)</f>
        <v>0.81</v>
      </c>
      <c r="AC237" s="141" cm="1">
        <f t="array" ref="AC237">INDEX('TAG e inad.'!$C$4:$AF$6,MATCH($E237,'TAG e inad.'!$B$4:$B$6,0),'Receitas Tarifárias'!AC$223)</f>
        <v>0.81</v>
      </c>
      <c r="AD237" s="141" cm="1">
        <f t="array" ref="AD237">INDEX('TAG e inad.'!$C$4:$AF$6,MATCH($E237,'TAG e inad.'!$B$4:$B$6,0),'Receitas Tarifárias'!AD$223)</f>
        <v>0.81</v>
      </c>
      <c r="AE237" s="141" cm="1">
        <f t="array" ref="AE237">INDEX('TAG e inad.'!$C$4:$AF$6,MATCH($E237,'TAG e inad.'!$B$4:$B$6,0),'Receitas Tarifárias'!AE$223)</f>
        <v>0.81</v>
      </c>
      <c r="AF237" s="141" cm="1">
        <f t="array" ref="AF237">INDEX('TAG e inad.'!$C$4:$AF$6,MATCH($E237,'TAG e inad.'!$B$4:$B$6,0),'Receitas Tarifárias'!AF$223)</f>
        <v>0.81</v>
      </c>
      <c r="AG237" s="141" cm="1">
        <f t="array" ref="AG237">INDEX('TAG e inad.'!$C$4:$AF$6,MATCH($E237,'TAG e inad.'!$B$4:$B$6,0),'Receitas Tarifárias'!AG$223)</f>
        <v>0.81</v>
      </c>
      <c r="AH237" s="141" cm="1">
        <f t="array" ref="AH237">INDEX('TAG e inad.'!$C$4:$AF$6,MATCH($E237,'TAG e inad.'!$B$4:$B$6,0),'Receitas Tarifárias'!AH$223)</f>
        <v>0.81</v>
      </c>
      <c r="AI237" s="141" cm="1">
        <f t="array" ref="AI237">INDEX('TAG e inad.'!$C$4:$AF$6,MATCH($E237,'TAG e inad.'!$B$4:$B$6,0),'Receitas Tarifárias'!AI$223)</f>
        <v>0.81</v>
      </c>
    </row>
    <row r="238" spans="2:35">
      <c r="B238" s="149">
        <v>2</v>
      </c>
      <c r="C238" s="149">
        <v>2</v>
      </c>
      <c r="D238" s="145" t="str">
        <v xml:space="preserve">Automóvel com reboque </v>
      </c>
      <c r="E238" s="145" t="str">
        <v>Leves</v>
      </c>
      <c r="F238" s="141" cm="1">
        <f t="array" ref="F238">INDEX('TAG e inad.'!$C$4:$AF$6,MATCH($E238,'TAG e inad.'!$B$4:$B$6,0),'Receitas Tarifárias'!F$223)</f>
        <v>0.22999999999999998</v>
      </c>
      <c r="G238" s="141" cm="1">
        <f t="array" ref="G238">INDEX('TAG e inad.'!$C$4:$AF$6,MATCH($E238,'TAG e inad.'!$B$4:$B$6,0),'Receitas Tarifárias'!G$223)</f>
        <v>0.30000000000000004</v>
      </c>
      <c r="H238" s="141" cm="1">
        <f t="array" ref="H238">INDEX('TAG e inad.'!$C$4:$AF$6,MATCH($E238,'TAG e inad.'!$B$4:$B$6,0),'Receitas Tarifárias'!H$223)</f>
        <v>0.41000000000000003</v>
      </c>
      <c r="I238" s="141" cm="1">
        <f t="array" ref="I238">INDEX('TAG e inad.'!$C$4:$AF$6,MATCH($E238,'TAG e inad.'!$B$4:$B$6,0),'Receitas Tarifárias'!I$223)</f>
        <v>0.5</v>
      </c>
      <c r="J238" s="141" cm="1">
        <f t="array" ref="J238">INDEX('TAG e inad.'!$C$4:$AF$6,MATCH($E238,'TAG e inad.'!$B$4:$B$6,0),'Receitas Tarifárias'!J$223)</f>
        <v>0.58000000000000007</v>
      </c>
      <c r="K238" s="141" cm="1">
        <f t="array" ref="K238">INDEX('TAG e inad.'!$C$4:$AF$6,MATCH($E238,'TAG e inad.'!$B$4:$B$6,0),'Receitas Tarifárias'!K$223)</f>
        <v>0.64</v>
      </c>
      <c r="L238" s="141" cm="1">
        <f t="array" ref="L238">INDEX('TAG e inad.'!$C$4:$AF$6,MATCH($E238,'TAG e inad.'!$B$4:$B$6,0),'Receitas Tarifárias'!L$223)</f>
        <v>0.69</v>
      </c>
      <c r="M238" s="141" cm="1">
        <f t="array" ref="M238">INDEX('TAG e inad.'!$C$4:$AF$6,MATCH($E238,'TAG e inad.'!$B$4:$B$6,0),'Receitas Tarifárias'!M$223)</f>
        <v>0.74</v>
      </c>
      <c r="N238" s="141" cm="1">
        <f t="array" ref="N238">INDEX('TAG e inad.'!$C$4:$AF$6,MATCH($E238,'TAG e inad.'!$B$4:$B$6,0),'Receitas Tarifárias'!N$223)</f>
        <v>0.78</v>
      </c>
      <c r="O238" s="141" cm="1">
        <f t="array" ref="O238">INDEX('TAG e inad.'!$C$4:$AF$6,MATCH($E238,'TAG e inad.'!$B$4:$B$6,0),'Receitas Tarifárias'!O$223)</f>
        <v>0.8</v>
      </c>
      <c r="P238" s="141" cm="1">
        <f t="array" ref="P238">INDEX('TAG e inad.'!$C$4:$AF$6,MATCH($E238,'TAG e inad.'!$B$4:$B$6,0),'Receitas Tarifárias'!P$223)</f>
        <v>0.81</v>
      </c>
      <c r="Q238" s="141" cm="1">
        <f t="array" ref="Q238">INDEX('TAG e inad.'!$C$4:$AF$6,MATCH($E238,'TAG e inad.'!$B$4:$B$6,0),'Receitas Tarifárias'!Q$223)</f>
        <v>0.81</v>
      </c>
      <c r="R238" s="141" cm="1">
        <f t="array" ref="R238">INDEX('TAG e inad.'!$C$4:$AF$6,MATCH($E238,'TAG e inad.'!$B$4:$B$6,0),'Receitas Tarifárias'!R$223)</f>
        <v>0.81</v>
      </c>
      <c r="S238" s="141" cm="1">
        <f t="array" ref="S238">INDEX('TAG e inad.'!$C$4:$AF$6,MATCH($E238,'TAG e inad.'!$B$4:$B$6,0),'Receitas Tarifárias'!S$223)</f>
        <v>0.81</v>
      </c>
      <c r="T238" s="141" cm="1">
        <f t="array" ref="T238">INDEX('TAG e inad.'!$C$4:$AF$6,MATCH($E238,'TAG e inad.'!$B$4:$B$6,0),'Receitas Tarifárias'!T$223)</f>
        <v>0.81</v>
      </c>
      <c r="U238" s="141" cm="1">
        <f t="array" ref="U238">INDEX('TAG e inad.'!$C$4:$AF$6,MATCH($E238,'TAG e inad.'!$B$4:$B$6,0),'Receitas Tarifárias'!U$223)</f>
        <v>0.81</v>
      </c>
      <c r="V238" s="141" cm="1">
        <f t="array" ref="V238">INDEX('TAG e inad.'!$C$4:$AF$6,MATCH($E238,'TAG e inad.'!$B$4:$B$6,0),'Receitas Tarifárias'!V$223)</f>
        <v>0.81</v>
      </c>
      <c r="W238" s="141" cm="1">
        <f t="array" ref="W238">INDEX('TAG e inad.'!$C$4:$AF$6,MATCH($E238,'TAG e inad.'!$B$4:$B$6,0),'Receitas Tarifárias'!W$223)</f>
        <v>0.81</v>
      </c>
      <c r="X238" s="141" cm="1">
        <f t="array" ref="X238">INDEX('TAG e inad.'!$C$4:$AF$6,MATCH($E238,'TAG e inad.'!$B$4:$B$6,0),'Receitas Tarifárias'!X$223)</f>
        <v>0.81</v>
      </c>
      <c r="Y238" s="141" cm="1">
        <f t="array" ref="Y238">INDEX('TAG e inad.'!$C$4:$AF$6,MATCH($E238,'TAG e inad.'!$B$4:$B$6,0),'Receitas Tarifárias'!Y$223)</f>
        <v>0.81</v>
      </c>
      <c r="Z238" s="141" cm="1">
        <f t="array" ref="Z238">INDEX('TAG e inad.'!$C$4:$AF$6,MATCH($E238,'TAG e inad.'!$B$4:$B$6,0),'Receitas Tarifárias'!Z$223)</f>
        <v>0.81</v>
      </c>
      <c r="AA238" s="141" cm="1">
        <f t="array" ref="AA238">INDEX('TAG e inad.'!$C$4:$AF$6,MATCH($E238,'TAG e inad.'!$B$4:$B$6,0),'Receitas Tarifárias'!AA$223)</f>
        <v>0.81</v>
      </c>
      <c r="AB238" s="141" cm="1">
        <f t="array" ref="AB238">INDEX('TAG e inad.'!$C$4:$AF$6,MATCH($E238,'TAG e inad.'!$B$4:$B$6,0),'Receitas Tarifárias'!AB$223)</f>
        <v>0.81</v>
      </c>
      <c r="AC238" s="141" cm="1">
        <f t="array" ref="AC238">INDEX('TAG e inad.'!$C$4:$AF$6,MATCH($E238,'TAG e inad.'!$B$4:$B$6,0),'Receitas Tarifárias'!AC$223)</f>
        <v>0.81</v>
      </c>
      <c r="AD238" s="141" cm="1">
        <f t="array" ref="AD238">INDEX('TAG e inad.'!$C$4:$AF$6,MATCH($E238,'TAG e inad.'!$B$4:$B$6,0),'Receitas Tarifárias'!AD$223)</f>
        <v>0.81</v>
      </c>
      <c r="AE238" s="141" cm="1">
        <f t="array" ref="AE238">INDEX('TAG e inad.'!$C$4:$AF$6,MATCH($E238,'TAG e inad.'!$B$4:$B$6,0),'Receitas Tarifárias'!AE$223)</f>
        <v>0.81</v>
      </c>
      <c r="AF238" s="141" cm="1">
        <f t="array" ref="AF238">INDEX('TAG e inad.'!$C$4:$AF$6,MATCH($E238,'TAG e inad.'!$B$4:$B$6,0),'Receitas Tarifárias'!AF$223)</f>
        <v>0.81</v>
      </c>
      <c r="AG238" s="141" cm="1">
        <f t="array" ref="AG238">INDEX('TAG e inad.'!$C$4:$AF$6,MATCH($E238,'TAG e inad.'!$B$4:$B$6,0),'Receitas Tarifárias'!AG$223)</f>
        <v>0.81</v>
      </c>
      <c r="AH238" s="141" cm="1">
        <f t="array" ref="AH238">INDEX('TAG e inad.'!$C$4:$AF$6,MATCH($E238,'TAG e inad.'!$B$4:$B$6,0),'Receitas Tarifárias'!AH$223)</f>
        <v>0.81</v>
      </c>
      <c r="AI238" s="141" cm="1">
        <f t="array" ref="AI238">INDEX('TAG e inad.'!$C$4:$AF$6,MATCH($E238,'TAG e inad.'!$B$4:$B$6,0),'Receitas Tarifárias'!AI$223)</f>
        <v>0.81</v>
      </c>
    </row>
    <row r="239" spans="2:35">
      <c r="B239" s="149">
        <v>2</v>
      </c>
      <c r="C239" s="149">
        <v>3</v>
      </c>
      <c r="D239" s="145" t="str">
        <v>Veículos Comerciais com 2 Eixos</v>
      </c>
      <c r="E239" s="145" t="str">
        <v>Pesados I</v>
      </c>
      <c r="F239" s="141" cm="1">
        <f t="array" ref="F239">INDEX('TAG e inad.'!$C$4:$AF$6,MATCH($E239,'TAG e inad.'!$B$4:$B$6,0),'Receitas Tarifárias'!F$223)</f>
        <v>0.5</v>
      </c>
      <c r="G239" s="141" cm="1">
        <f t="array" ref="G239">INDEX('TAG e inad.'!$C$4:$AF$6,MATCH($E239,'TAG e inad.'!$B$4:$B$6,0),'Receitas Tarifárias'!G$223)</f>
        <v>0.56999999999999995</v>
      </c>
      <c r="H239" s="141" cm="1">
        <f t="array" ref="H239">INDEX('TAG e inad.'!$C$4:$AF$6,MATCH($E239,'TAG e inad.'!$B$4:$B$6,0),'Receitas Tarifárias'!H$223)</f>
        <v>0.65</v>
      </c>
      <c r="I239" s="141" cm="1">
        <f t="array" ref="I239">INDEX('TAG e inad.'!$C$4:$AF$6,MATCH($E239,'TAG e inad.'!$B$4:$B$6,0),'Receitas Tarifárias'!I$223)</f>
        <v>0.72</v>
      </c>
      <c r="J239" s="141" cm="1">
        <f t="array" ref="J239">INDEX('TAG e inad.'!$C$4:$AF$6,MATCH($E239,'TAG e inad.'!$B$4:$B$6,0),'Receitas Tarifárias'!J$223)</f>
        <v>0.78</v>
      </c>
      <c r="K239" s="141" cm="1">
        <f t="array" ref="K239">INDEX('TAG e inad.'!$C$4:$AF$6,MATCH($E239,'TAG e inad.'!$B$4:$B$6,0),'Receitas Tarifárias'!K$223)</f>
        <v>0.82</v>
      </c>
      <c r="L239" s="141" cm="1">
        <f t="array" ref="L239">INDEX('TAG e inad.'!$C$4:$AF$6,MATCH($E239,'TAG e inad.'!$B$4:$B$6,0),'Receitas Tarifárias'!L$223)</f>
        <v>0.86</v>
      </c>
      <c r="M239" s="141" cm="1">
        <f t="array" ref="M239">INDEX('TAG e inad.'!$C$4:$AF$6,MATCH($E239,'TAG e inad.'!$B$4:$B$6,0),'Receitas Tarifárias'!M$223)</f>
        <v>0.89</v>
      </c>
      <c r="N239" s="141" cm="1">
        <f t="array" ref="N239">INDEX('TAG e inad.'!$C$4:$AF$6,MATCH($E239,'TAG e inad.'!$B$4:$B$6,0),'Receitas Tarifárias'!N$223)</f>
        <v>0.9</v>
      </c>
      <c r="O239" s="141" cm="1">
        <f t="array" ref="O239">INDEX('TAG e inad.'!$C$4:$AF$6,MATCH($E239,'TAG e inad.'!$B$4:$B$6,0),'Receitas Tarifárias'!O$223)</f>
        <v>0.9</v>
      </c>
      <c r="P239" s="141" cm="1">
        <f t="array" ref="P239">INDEX('TAG e inad.'!$C$4:$AF$6,MATCH($E239,'TAG e inad.'!$B$4:$B$6,0),'Receitas Tarifárias'!P$223)</f>
        <v>0.9</v>
      </c>
      <c r="Q239" s="141" cm="1">
        <f t="array" ref="Q239">INDEX('TAG e inad.'!$C$4:$AF$6,MATCH($E239,'TAG e inad.'!$B$4:$B$6,0),'Receitas Tarifárias'!Q$223)</f>
        <v>0.9</v>
      </c>
      <c r="R239" s="141" cm="1">
        <f t="array" ref="R239">INDEX('TAG e inad.'!$C$4:$AF$6,MATCH($E239,'TAG e inad.'!$B$4:$B$6,0),'Receitas Tarifárias'!R$223)</f>
        <v>0.9</v>
      </c>
      <c r="S239" s="141" cm="1">
        <f t="array" ref="S239">INDEX('TAG e inad.'!$C$4:$AF$6,MATCH($E239,'TAG e inad.'!$B$4:$B$6,0),'Receitas Tarifárias'!S$223)</f>
        <v>0.9</v>
      </c>
      <c r="T239" s="141" cm="1">
        <f t="array" ref="T239">INDEX('TAG e inad.'!$C$4:$AF$6,MATCH($E239,'TAG e inad.'!$B$4:$B$6,0),'Receitas Tarifárias'!T$223)</f>
        <v>0.9</v>
      </c>
      <c r="U239" s="141" cm="1">
        <f t="array" ref="U239">INDEX('TAG e inad.'!$C$4:$AF$6,MATCH($E239,'TAG e inad.'!$B$4:$B$6,0),'Receitas Tarifárias'!U$223)</f>
        <v>0.9</v>
      </c>
      <c r="V239" s="141" cm="1">
        <f t="array" ref="V239">INDEX('TAG e inad.'!$C$4:$AF$6,MATCH($E239,'TAG e inad.'!$B$4:$B$6,0),'Receitas Tarifárias'!V$223)</f>
        <v>0.9</v>
      </c>
      <c r="W239" s="141" cm="1">
        <f t="array" ref="W239">INDEX('TAG e inad.'!$C$4:$AF$6,MATCH($E239,'TAG e inad.'!$B$4:$B$6,0),'Receitas Tarifárias'!W$223)</f>
        <v>0.9</v>
      </c>
      <c r="X239" s="141" cm="1">
        <f t="array" ref="X239">INDEX('TAG e inad.'!$C$4:$AF$6,MATCH($E239,'TAG e inad.'!$B$4:$B$6,0),'Receitas Tarifárias'!X$223)</f>
        <v>0.9</v>
      </c>
      <c r="Y239" s="141" cm="1">
        <f t="array" ref="Y239">INDEX('TAG e inad.'!$C$4:$AF$6,MATCH($E239,'TAG e inad.'!$B$4:$B$6,0),'Receitas Tarifárias'!Y$223)</f>
        <v>0.9</v>
      </c>
      <c r="Z239" s="141" cm="1">
        <f t="array" ref="Z239">INDEX('TAG e inad.'!$C$4:$AF$6,MATCH($E239,'TAG e inad.'!$B$4:$B$6,0),'Receitas Tarifárias'!Z$223)</f>
        <v>0.9</v>
      </c>
      <c r="AA239" s="141" cm="1">
        <f t="array" ref="AA239">INDEX('TAG e inad.'!$C$4:$AF$6,MATCH($E239,'TAG e inad.'!$B$4:$B$6,0),'Receitas Tarifárias'!AA$223)</f>
        <v>0.9</v>
      </c>
      <c r="AB239" s="141" cm="1">
        <f t="array" ref="AB239">INDEX('TAG e inad.'!$C$4:$AF$6,MATCH($E239,'TAG e inad.'!$B$4:$B$6,0),'Receitas Tarifárias'!AB$223)</f>
        <v>0.9</v>
      </c>
      <c r="AC239" s="141" cm="1">
        <f t="array" ref="AC239">INDEX('TAG e inad.'!$C$4:$AF$6,MATCH($E239,'TAG e inad.'!$B$4:$B$6,0),'Receitas Tarifárias'!AC$223)</f>
        <v>0.9</v>
      </c>
      <c r="AD239" s="141" cm="1">
        <f t="array" ref="AD239">INDEX('TAG e inad.'!$C$4:$AF$6,MATCH($E239,'TAG e inad.'!$B$4:$B$6,0),'Receitas Tarifárias'!AD$223)</f>
        <v>0.9</v>
      </c>
      <c r="AE239" s="141" cm="1">
        <f t="array" ref="AE239">INDEX('TAG e inad.'!$C$4:$AF$6,MATCH($E239,'TAG e inad.'!$B$4:$B$6,0),'Receitas Tarifárias'!AE$223)</f>
        <v>0.9</v>
      </c>
      <c r="AF239" s="141" cm="1">
        <f t="array" ref="AF239">INDEX('TAG e inad.'!$C$4:$AF$6,MATCH($E239,'TAG e inad.'!$B$4:$B$6,0),'Receitas Tarifárias'!AF$223)</f>
        <v>0.9</v>
      </c>
      <c r="AG239" s="141" cm="1">
        <f t="array" ref="AG239">INDEX('TAG e inad.'!$C$4:$AF$6,MATCH($E239,'TAG e inad.'!$B$4:$B$6,0),'Receitas Tarifárias'!AG$223)</f>
        <v>0.9</v>
      </c>
      <c r="AH239" s="141" cm="1">
        <f t="array" ref="AH239">INDEX('TAG e inad.'!$C$4:$AF$6,MATCH($E239,'TAG e inad.'!$B$4:$B$6,0),'Receitas Tarifárias'!AH$223)</f>
        <v>0.9</v>
      </c>
      <c r="AI239" s="141" cm="1">
        <f t="array" ref="AI239">INDEX('TAG e inad.'!$C$4:$AF$6,MATCH($E239,'TAG e inad.'!$B$4:$B$6,0),'Receitas Tarifárias'!AI$223)</f>
        <v>0.9</v>
      </c>
    </row>
    <row r="240" spans="2:35">
      <c r="B240" s="149">
        <v>2</v>
      </c>
      <c r="C240" s="149">
        <v>4</v>
      </c>
      <c r="D240" s="145" t="str">
        <v>Veículos Comerciais com 3 Eixos</v>
      </c>
      <c r="E240" s="145" t="str">
        <v>Pesados I</v>
      </c>
      <c r="F240" s="141" cm="1">
        <f t="array" ref="F240">INDEX('TAG e inad.'!$C$4:$AF$6,MATCH($E240,'TAG e inad.'!$B$4:$B$6,0),'Receitas Tarifárias'!F$223)</f>
        <v>0.5</v>
      </c>
      <c r="G240" s="141" cm="1">
        <f t="array" ref="G240">INDEX('TAG e inad.'!$C$4:$AF$6,MATCH($E240,'TAG e inad.'!$B$4:$B$6,0),'Receitas Tarifárias'!G$223)</f>
        <v>0.56999999999999995</v>
      </c>
      <c r="H240" s="141" cm="1">
        <f t="array" ref="H240">INDEX('TAG e inad.'!$C$4:$AF$6,MATCH($E240,'TAG e inad.'!$B$4:$B$6,0),'Receitas Tarifárias'!H$223)</f>
        <v>0.65</v>
      </c>
      <c r="I240" s="141" cm="1">
        <f t="array" ref="I240">INDEX('TAG e inad.'!$C$4:$AF$6,MATCH($E240,'TAG e inad.'!$B$4:$B$6,0),'Receitas Tarifárias'!I$223)</f>
        <v>0.72</v>
      </c>
      <c r="J240" s="141" cm="1">
        <f t="array" ref="J240">INDEX('TAG e inad.'!$C$4:$AF$6,MATCH($E240,'TAG e inad.'!$B$4:$B$6,0),'Receitas Tarifárias'!J$223)</f>
        <v>0.78</v>
      </c>
      <c r="K240" s="141" cm="1">
        <f t="array" ref="K240">INDEX('TAG e inad.'!$C$4:$AF$6,MATCH($E240,'TAG e inad.'!$B$4:$B$6,0),'Receitas Tarifárias'!K$223)</f>
        <v>0.82</v>
      </c>
      <c r="L240" s="141" cm="1">
        <f t="array" ref="L240">INDEX('TAG e inad.'!$C$4:$AF$6,MATCH($E240,'TAG e inad.'!$B$4:$B$6,0),'Receitas Tarifárias'!L$223)</f>
        <v>0.86</v>
      </c>
      <c r="M240" s="141" cm="1">
        <f t="array" ref="M240">INDEX('TAG e inad.'!$C$4:$AF$6,MATCH($E240,'TAG e inad.'!$B$4:$B$6,0),'Receitas Tarifárias'!M$223)</f>
        <v>0.89</v>
      </c>
      <c r="N240" s="141" cm="1">
        <f t="array" ref="N240">INDEX('TAG e inad.'!$C$4:$AF$6,MATCH($E240,'TAG e inad.'!$B$4:$B$6,0),'Receitas Tarifárias'!N$223)</f>
        <v>0.9</v>
      </c>
      <c r="O240" s="141" cm="1">
        <f t="array" ref="O240">INDEX('TAG e inad.'!$C$4:$AF$6,MATCH($E240,'TAG e inad.'!$B$4:$B$6,0),'Receitas Tarifárias'!O$223)</f>
        <v>0.9</v>
      </c>
      <c r="P240" s="141" cm="1">
        <f t="array" ref="P240">INDEX('TAG e inad.'!$C$4:$AF$6,MATCH($E240,'TAG e inad.'!$B$4:$B$6,0),'Receitas Tarifárias'!P$223)</f>
        <v>0.9</v>
      </c>
      <c r="Q240" s="141" cm="1">
        <f t="array" ref="Q240">INDEX('TAG e inad.'!$C$4:$AF$6,MATCH($E240,'TAG e inad.'!$B$4:$B$6,0),'Receitas Tarifárias'!Q$223)</f>
        <v>0.9</v>
      </c>
      <c r="R240" s="141" cm="1">
        <f t="array" ref="R240">INDEX('TAG e inad.'!$C$4:$AF$6,MATCH($E240,'TAG e inad.'!$B$4:$B$6,0),'Receitas Tarifárias'!R$223)</f>
        <v>0.9</v>
      </c>
      <c r="S240" s="141" cm="1">
        <f t="array" ref="S240">INDEX('TAG e inad.'!$C$4:$AF$6,MATCH($E240,'TAG e inad.'!$B$4:$B$6,0),'Receitas Tarifárias'!S$223)</f>
        <v>0.9</v>
      </c>
      <c r="T240" s="141" cm="1">
        <f t="array" ref="T240">INDEX('TAG e inad.'!$C$4:$AF$6,MATCH($E240,'TAG e inad.'!$B$4:$B$6,0),'Receitas Tarifárias'!T$223)</f>
        <v>0.9</v>
      </c>
      <c r="U240" s="141" cm="1">
        <f t="array" ref="U240">INDEX('TAG e inad.'!$C$4:$AF$6,MATCH($E240,'TAG e inad.'!$B$4:$B$6,0),'Receitas Tarifárias'!U$223)</f>
        <v>0.9</v>
      </c>
      <c r="V240" s="141" cm="1">
        <f t="array" ref="V240">INDEX('TAG e inad.'!$C$4:$AF$6,MATCH($E240,'TAG e inad.'!$B$4:$B$6,0),'Receitas Tarifárias'!V$223)</f>
        <v>0.9</v>
      </c>
      <c r="W240" s="141" cm="1">
        <f t="array" ref="W240">INDEX('TAG e inad.'!$C$4:$AF$6,MATCH($E240,'TAG e inad.'!$B$4:$B$6,0),'Receitas Tarifárias'!W$223)</f>
        <v>0.9</v>
      </c>
      <c r="X240" s="141" cm="1">
        <f t="array" ref="X240">INDEX('TAG e inad.'!$C$4:$AF$6,MATCH($E240,'TAG e inad.'!$B$4:$B$6,0),'Receitas Tarifárias'!X$223)</f>
        <v>0.9</v>
      </c>
      <c r="Y240" s="141" cm="1">
        <f t="array" ref="Y240">INDEX('TAG e inad.'!$C$4:$AF$6,MATCH($E240,'TAG e inad.'!$B$4:$B$6,0),'Receitas Tarifárias'!Y$223)</f>
        <v>0.9</v>
      </c>
      <c r="Z240" s="141" cm="1">
        <f t="array" ref="Z240">INDEX('TAG e inad.'!$C$4:$AF$6,MATCH($E240,'TAG e inad.'!$B$4:$B$6,0),'Receitas Tarifárias'!Z$223)</f>
        <v>0.9</v>
      </c>
      <c r="AA240" s="141" cm="1">
        <f t="array" ref="AA240">INDEX('TAG e inad.'!$C$4:$AF$6,MATCH($E240,'TAG e inad.'!$B$4:$B$6,0),'Receitas Tarifárias'!AA$223)</f>
        <v>0.9</v>
      </c>
      <c r="AB240" s="141" cm="1">
        <f t="array" ref="AB240">INDEX('TAG e inad.'!$C$4:$AF$6,MATCH($E240,'TAG e inad.'!$B$4:$B$6,0),'Receitas Tarifárias'!AB$223)</f>
        <v>0.9</v>
      </c>
      <c r="AC240" s="141" cm="1">
        <f t="array" ref="AC240">INDEX('TAG e inad.'!$C$4:$AF$6,MATCH($E240,'TAG e inad.'!$B$4:$B$6,0),'Receitas Tarifárias'!AC$223)</f>
        <v>0.9</v>
      </c>
      <c r="AD240" s="141" cm="1">
        <f t="array" ref="AD240">INDEX('TAG e inad.'!$C$4:$AF$6,MATCH($E240,'TAG e inad.'!$B$4:$B$6,0),'Receitas Tarifárias'!AD$223)</f>
        <v>0.9</v>
      </c>
      <c r="AE240" s="141" cm="1">
        <f t="array" ref="AE240">INDEX('TAG e inad.'!$C$4:$AF$6,MATCH($E240,'TAG e inad.'!$B$4:$B$6,0),'Receitas Tarifárias'!AE$223)</f>
        <v>0.9</v>
      </c>
      <c r="AF240" s="141" cm="1">
        <f t="array" ref="AF240">INDEX('TAG e inad.'!$C$4:$AF$6,MATCH($E240,'TAG e inad.'!$B$4:$B$6,0),'Receitas Tarifárias'!AF$223)</f>
        <v>0.9</v>
      </c>
      <c r="AG240" s="141" cm="1">
        <f t="array" ref="AG240">INDEX('TAG e inad.'!$C$4:$AF$6,MATCH($E240,'TAG e inad.'!$B$4:$B$6,0),'Receitas Tarifárias'!AG$223)</f>
        <v>0.9</v>
      </c>
      <c r="AH240" s="141" cm="1">
        <f t="array" ref="AH240">INDEX('TAG e inad.'!$C$4:$AF$6,MATCH($E240,'TAG e inad.'!$B$4:$B$6,0),'Receitas Tarifárias'!AH$223)</f>
        <v>0.9</v>
      </c>
      <c r="AI240" s="141" cm="1">
        <f t="array" ref="AI240">INDEX('TAG e inad.'!$C$4:$AF$6,MATCH($E240,'TAG e inad.'!$B$4:$B$6,0),'Receitas Tarifárias'!AI$223)</f>
        <v>0.9</v>
      </c>
    </row>
    <row r="241" spans="2:35">
      <c r="B241" s="149">
        <v>2</v>
      </c>
      <c r="C241" s="149">
        <v>5</v>
      </c>
      <c r="D241" s="145" t="str">
        <v>Veículos Comerciais com 4 Eixos</v>
      </c>
      <c r="E241" s="145" t="str">
        <v>Pesados I</v>
      </c>
      <c r="F241" s="141" cm="1">
        <f t="array" ref="F241">INDEX('TAG e inad.'!$C$4:$AF$6,MATCH($E241,'TAG e inad.'!$B$4:$B$6,0),'Receitas Tarifárias'!F$223)</f>
        <v>0.5</v>
      </c>
      <c r="G241" s="141" cm="1">
        <f t="array" ref="G241">INDEX('TAG e inad.'!$C$4:$AF$6,MATCH($E241,'TAG e inad.'!$B$4:$B$6,0),'Receitas Tarifárias'!G$223)</f>
        <v>0.56999999999999995</v>
      </c>
      <c r="H241" s="141" cm="1">
        <f t="array" ref="H241">INDEX('TAG e inad.'!$C$4:$AF$6,MATCH($E241,'TAG e inad.'!$B$4:$B$6,0),'Receitas Tarifárias'!H$223)</f>
        <v>0.65</v>
      </c>
      <c r="I241" s="141" cm="1">
        <f t="array" ref="I241">INDEX('TAG e inad.'!$C$4:$AF$6,MATCH($E241,'TAG e inad.'!$B$4:$B$6,0),'Receitas Tarifárias'!I$223)</f>
        <v>0.72</v>
      </c>
      <c r="J241" s="141" cm="1">
        <f t="array" ref="J241">INDEX('TAG e inad.'!$C$4:$AF$6,MATCH($E241,'TAG e inad.'!$B$4:$B$6,0),'Receitas Tarifárias'!J$223)</f>
        <v>0.78</v>
      </c>
      <c r="K241" s="141" cm="1">
        <f t="array" ref="K241">INDEX('TAG e inad.'!$C$4:$AF$6,MATCH($E241,'TAG e inad.'!$B$4:$B$6,0),'Receitas Tarifárias'!K$223)</f>
        <v>0.82</v>
      </c>
      <c r="L241" s="141" cm="1">
        <f t="array" ref="L241">INDEX('TAG e inad.'!$C$4:$AF$6,MATCH($E241,'TAG e inad.'!$B$4:$B$6,0),'Receitas Tarifárias'!L$223)</f>
        <v>0.86</v>
      </c>
      <c r="M241" s="141" cm="1">
        <f t="array" ref="M241">INDEX('TAG e inad.'!$C$4:$AF$6,MATCH($E241,'TAG e inad.'!$B$4:$B$6,0),'Receitas Tarifárias'!M$223)</f>
        <v>0.89</v>
      </c>
      <c r="N241" s="141" cm="1">
        <f t="array" ref="N241">INDEX('TAG e inad.'!$C$4:$AF$6,MATCH($E241,'TAG e inad.'!$B$4:$B$6,0),'Receitas Tarifárias'!N$223)</f>
        <v>0.9</v>
      </c>
      <c r="O241" s="141" cm="1">
        <f t="array" ref="O241">INDEX('TAG e inad.'!$C$4:$AF$6,MATCH($E241,'TAG e inad.'!$B$4:$B$6,0),'Receitas Tarifárias'!O$223)</f>
        <v>0.9</v>
      </c>
      <c r="P241" s="141" cm="1">
        <f t="array" ref="P241">INDEX('TAG e inad.'!$C$4:$AF$6,MATCH($E241,'TAG e inad.'!$B$4:$B$6,0),'Receitas Tarifárias'!P$223)</f>
        <v>0.9</v>
      </c>
      <c r="Q241" s="141" cm="1">
        <f t="array" ref="Q241">INDEX('TAG e inad.'!$C$4:$AF$6,MATCH($E241,'TAG e inad.'!$B$4:$B$6,0),'Receitas Tarifárias'!Q$223)</f>
        <v>0.9</v>
      </c>
      <c r="R241" s="141" cm="1">
        <f t="array" ref="R241">INDEX('TAG e inad.'!$C$4:$AF$6,MATCH($E241,'TAG e inad.'!$B$4:$B$6,0),'Receitas Tarifárias'!R$223)</f>
        <v>0.9</v>
      </c>
      <c r="S241" s="141" cm="1">
        <f t="array" ref="S241">INDEX('TAG e inad.'!$C$4:$AF$6,MATCH($E241,'TAG e inad.'!$B$4:$B$6,0),'Receitas Tarifárias'!S$223)</f>
        <v>0.9</v>
      </c>
      <c r="T241" s="141" cm="1">
        <f t="array" ref="T241">INDEX('TAG e inad.'!$C$4:$AF$6,MATCH($E241,'TAG e inad.'!$B$4:$B$6,0),'Receitas Tarifárias'!T$223)</f>
        <v>0.9</v>
      </c>
      <c r="U241" s="141" cm="1">
        <f t="array" ref="U241">INDEX('TAG e inad.'!$C$4:$AF$6,MATCH($E241,'TAG e inad.'!$B$4:$B$6,0),'Receitas Tarifárias'!U$223)</f>
        <v>0.9</v>
      </c>
      <c r="V241" s="141" cm="1">
        <f t="array" ref="V241">INDEX('TAG e inad.'!$C$4:$AF$6,MATCH($E241,'TAG e inad.'!$B$4:$B$6,0),'Receitas Tarifárias'!V$223)</f>
        <v>0.9</v>
      </c>
      <c r="W241" s="141" cm="1">
        <f t="array" ref="W241">INDEX('TAG e inad.'!$C$4:$AF$6,MATCH($E241,'TAG e inad.'!$B$4:$B$6,0),'Receitas Tarifárias'!W$223)</f>
        <v>0.9</v>
      </c>
      <c r="X241" s="141" cm="1">
        <f t="array" ref="X241">INDEX('TAG e inad.'!$C$4:$AF$6,MATCH($E241,'TAG e inad.'!$B$4:$B$6,0),'Receitas Tarifárias'!X$223)</f>
        <v>0.9</v>
      </c>
      <c r="Y241" s="141" cm="1">
        <f t="array" ref="Y241">INDEX('TAG e inad.'!$C$4:$AF$6,MATCH($E241,'TAG e inad.'!$B$4:$B$6,0),'Receitas Tarifárias'!Y$223)</f>
        <v>0.9</v>
      </c>
      <c r="Z241" s="141" cm="1">
        <f t="array" ref="Z241">INDEX('TAG e inad.'!$C$4:$AF$6,MATCH($E241,'TAG e inad.'!$B$4:$B$6,0),'Receitas Tarifárias'!Z$223)</f>
        <v>0.9</v>
      </c>
      <c r="AA241" s="141" cm="1">
        <f t="array" ref="AA241">INDEX('TAG e inad.'!$C$4:$AF$6,MATCH($E241,'TAG e inad.'!$B$4:$B$6,0),'Receitas Tarifárias'!AA$223)</f>
        <v>0.9</v>
      </c>
      <c r="AB241" s="141" cm="1">
        <f t="array" ref="AB241">INDEX('TAG e inad.'!$C$4:$AF$6,MATCH($E241,'TAG e inad.'!$B$4:$B$6,0),'Receitas Tarifárias'!AB$223)</f>
        <v>0.9</v>
      </c>
      <c r="AC241" s="141" cm="1">
        <f t="array" ref="AC241">INDEX('TAG e inad.'!$C$4:$AF$6,MATCH($E241,'TAG e inad.'!$B$4:$B$6,0),'Receitas Tarifárias'!AC$223)</f>
        <v>0.9</v>
      </c>
      <c r="AD241" s="141" cm="1">
        <f t="array" ref="AD241">INDEX('TAG e inad.'!$C$4:$AF$6,MATCH($E241,'TAG e inad.'!$B$4:$B$6,0),'Receitas Tarifárias'!AD$223)</f>
        <v>0.9</v>
      </c>
      <c r="AE241" s="141" cm="1">
        <f t="array" ref="AE241">INDEX('TAG e inad.'!$C$4:$AF$6,MATCH($E241,'TAG e inad.'!$B$4:$B$6,0),'Receitas Tarifárias'!AE$223)</f>
        <v>0.9</v>
      </c>
      <c r="AF241" s="141" cm="1">
        <f t="array" ref="AF241">INDEX('TAG e inad.'!$C$4:$AF$6,MATCH($E241,'TAG e inad.'!$B$4:$B$6,0),'Receitas Tarifárias'!AF$223)</f>
        <v>0.9</v>
      </c>
      <c r="AG241" s="141" cm="1">
        <f t="array" ref="AG241">INDEX('TAG e inad.'!$C$4:$AF$6,MATCH($E241,'TAG e inad.'!$B$4:$B$6,0),'Receitas Tarifárias'!AG$223)</f>
        <v>0.9</v>
      </c>
      <c r="AH241" s="141" cm="1">
        <f t="array" ref="AH241">INDEX('TAG e inad.'!$C$4:$AF$6,MATCH($E241,'TAG e inad.'!$B$4:$B$6,0),'Receitas Tarifárias'!AH$223)</f>
        <v>0.9</v>
      </c>
      <c r="AI241" s="141" cm="1">
        <f t="array" ref="AI241">INDEX('TAG e inad.'!$C$4:$AF$6,MATCH($E241,'TAG e inad.'!$B$4:$B$6,0),'Receitas Tarifárias'!AI$223)</f>
        <v>0.9</v>
      </c>
    </row>
    <row r="242" spans="2:35">
      <c r="B242" s="149">
        <v>2</v>
      </c>
      <c r="C242" s="149">
        <v>6</v>
      </c>
      <c r="D242" s="145" t="str">
        <v>Veículos Comerciais com 5 Eixos Articulado</v>
      </c>
      <c r="E242" s="145" t="str">
        <v>Pesados II</v>
      </c>
      <c r="F242" s="141" cm="1">
        <f t="array" ref="F242">INDEX('TAG e inad.'!$C$4:$AF$6,MATCH($E242,'TAG e inad.'!$B$4:$B$6,0),'Receitas Tarifárias'!F$223)</f>
        <v>0.5</v>
      </c>
      <c r="G242" s="141" cm="1">
        <f t="array" ref="G242">INDEX('TAG e inad.'!$C$4:$AF$6,MATCH($E242,'TAG e inad.'!$B$4:$B$6,0),'Receitas Tarifárias'!G$223)</f>
        <v>0.56999999999999995</v>
      </c>
      <c r="H242" s="141" cm="1">
        <f t="array" ref="H242">INDEX('TAG e inad.'!$C$4:$AF$6,MATCH($E242,'TAG e inad.'!$B$4:$B$6,0),'Receitas Tarifárias'!H$223)</f>
        <v>0.65</v>
      </c>
      <c r="I242" s="141" cm="1">
        <f t="array" ref="I242">INDEX('TAG e inad.'!$C$4:$AF$6,MATCH($E242,'TAG e inad.'!$B$4:$B$6,0),'Receitas Tarifárias'!I$223)</f>
        <v>0.72</v>
      </c>
      <c r="J242" s="141" cm="1">
        <f t="array" ref="J242">INDEX('TAG e inad.'!$C$4:$AF$6,MATCH($E242,'TAG e inad.'!$B$4:$B$6,0),'Receitas Tarifárias'!J$223)</f>
        <v>0.78</v>
      </c>
      <c r="K242" s="141" cm="1">
        <f t="array" ref="K242">INDEX('TAG e inad.'!$C$4:$AF$6,MATCH($E242,'TAG e inad.'!$B$4:$B$6,0),'Receitas Tarifárias'!K$223)</f>
        <v>0.82</v>
      </c>
      <c r="L242" s="141" cm="1">
        <f t="array" ref="L242">INDEX('TAG e inad.'!$C$4:$AF$6,MATCH($E242,'TAG e inad.'!$B$4:$B$6,0),'Receitas Tarifárias'!L$223)</f>
        <v>0.86</v>
      </c>
      <c r="M242" s="141" cm="1">
        <f t="array" ref="M242">INDEX('TAG e inad.'!$C$4:$AF$6,MATCH($E242,'TAG e inad.'!$B$4:$B$6,0),'Receitas Tarifárias'!M$223)</f>
        <v>0.89</v>
      </c>
      <c r="N242" s="141" cm="1">
        <f t="array" ref="N242">INDEX('TAG e inad.'!$C$4:$AF$6,MATCH($E242,'TAG e inad.'!$B$4:$B$6,0),'Receitas Tarifárias'!N$223)</f>
        <v>0.9</v>
      </c>
      <c r="O242" s="141" cm="1">
        <f t="array" ref="O242">INDEX('TAG e inad.'!$C$4:$AF$6,MATCH($E242,'TAG e inad.'!$B$4:$B$6,0),'Receitas Tarifárias'!O$223)</f>
        <v>0.9</v>
      </c>
      <c r="P242" s="141" cm="1">
        <f t="array" ref="P242">INDEX('TAG e inad.'!$C$4:$AF$6,MATCH($E242,'TAG e inad.'!$B$4:$B$6,0),'Receitas Tarifárias'!P$223)</f>
        <v>0.9</v>
      </c>
      <c r="Q242" s="141" cm="1">
        <f t="array" ref="Q242">INDEX('TAG e inad.'!$C$4:$AF$6,MATCH($E242,'TAG e inad.'!$B$4:$B$6,0),'Receitas Tarifárias'!Q$223)</f>
        <v>0.9</v>
      </c>
      <c r="R242" s="141" cm="1">
        <f t="array" ref="R242">INDEX('TAG e inad.'!$C$4:$AF$6,MATCH($E242,'TAG e inad.'!$B$4:$B$6,0),'Receitas Tarifárias'!R$223)</f>
        <v>0.9</v>
      </c>
      <c r="S242" s="141" cm="1">
        <f t="array" ref="S242">INDEX('TAG e inad.'!$C$4:$AF$6,MATCH($E242,'TAG e inad.'!$B$4:$B$6,0),'Receitas Tarifárias'!S$223)</f>
        <v>0.9</v>
      </c>
      <c r="T242" s="141" cm="1">
        <f t="array" ref="T242">INDEX('TAG e inad.'!$C$4:$AF$6,MATCH($E242,'TAG e inad.'!$B$4:$B$6,0),'Receitas Tarifárias'!T$223)</f>
        <v>0.9</v>
      </c>
      <c r="U242" s="141" cm="1">
        <f t="array" ref="U242">INDEX('TAG e inad.'!$C$4:$AF$6,MATCH($E242,'TAG e inad.'!$B$4:$B$6,0),'Receitas Tarifárias'!U$223)</f>
        <v>0.9</v>
      </c>
      <c r="V242" s="141" cm="1">
        <f t="array" ref="V242">INDEX('TAG e inad.'!$C$4:$AF$6,MATCH($E242,'TAG e inad.'!$B$4:$B$6,0),'Receitas Tarifárias'!V$223)</f>
        <v>0.9</v>
      </c>
      <c r="W242" s="141" cm="1">
        <f t="array" ref="W242">INDEX('TAG e inad.'!$C$4:$AF$6,MATCH($E242,'TAG e inad.'!$B$4:$B$6,0),'Receitas Tarifárias'!W$223)</f>
        <v>0.9</v>
      </c>
      <c r="X242" s="141" cm="1">
        <f t="array" ref="X242">INDEX('TAG e inad.'!$C$4:$AF$6,MATCH($E242,'TAG e inad.'!$B$4:$B$6,0),'Receitas Tarifárias'!X$223)</f>
        <v>0.9</v>
      </c>
      <c r="Y242" s="141" cm="1">
        <f t="array" ref="Y242">INDEX('TAG e inad.'!$C$4:$AF$6,MATCH($E242,'TAG e inad.'!$B$4:$B$6,0),'Receitas Tarifárias'!Y$223)</f>
        <v>0.9</v>
      </c>
      <c r="Z242" s="141" cm="1">
        <f t="array" ref="Z242">INDEX('TAG e inad.'!$C$4:$AF$6,MATCH($E242,'TAG e inad.'!$B$4:$B$6,0),'Receitas Tarifárias'!Z$223)</f>
        <v>0.9</v>
      </c>
      <c r="AA242" s="141" cm="1">
        <f t="array" ref="AA242">INDEX('TAG e inad.'!$C$4:$AF$6,MATCH($E242,'TAG e inad.'!$B$4:$B$6,0),'Receitas Tarifárias'!AA$223)</f>
        <v>0.9</v>
      </c>
      <c r="AB242" s="141" cm="1">
        <f t="array" ref="AB242">INDEX('TAG e inad.'!$C$4:$AF$6,MATCH($E242,'TAG e inad.'!$B$4:$B$6,0),'Receitas Tarifárias'!AB$223)</f>
        <v>0.9</v>
      </c>
      <c r="AC242" s="141" cm="1">
        <f t="array" ref="AC242">INDEX('TAG e inad.'!$C$4:$AF$6,MATCH($E242,'TAG e inad.'!$B$4:$B$6,0),'Receitas Tarifárias'!AC$223)</f>
        <v>0.9</v>
      </c>
      <c r="AD242" s="141" cm="1">
        <f t="array" ref="AD242">INDEX('TAG e inad.'!$C$4:$AF$6,MATCH($E242,'TAG e inad.'!$B$4:$B$6,0),'Receitas Tarifárias'!AD$223)</f>
        <v>0.9</v>
      </c>
      <c r="AE242" s="141" cm="1">
        <f t="array" ref="AE242">INDEX('TAG e inad.'!$C$4:$AF$6,MATCH($E242,'TAG e inad.'!$B$4:$B$6,0),'Receitas Tarifárias'!AE$223)</f>
        <v>0.9</v>
      </c>
      <c r="AF242" s="141" cm="1">
        <f t="array" ref="AF242">INDEX('TAG e inad.'!$C$4:$AF$6,MATCH($E242,'TAG e inad.'!$B$4:$B$6,0),'Receitas Tarifárias'!AF$223)</f>
        <v>0.9</v>
      </c>
      <c r="AG242" s="141" cm="1">
        <f t="array" ref="AG242">INDEX('TAG e inad.'!$C$4:$AF$6,MATCH($E242,'TAG e inad.'!$B$4:$B$6,0),'Receitas Tarifárias'!AG$223)</f>
        <v>0.9</v>
      </c>
      <c r="AH242" s="141" cm="1">
        <f t="array" ref="AH242">INDEX('TAG e inad.'!$C$4:$AF$6,MATCH($E242,'TAG e inad.'!$B$4:$B$6,0),'Receitas Tarifárias'!AH$223)</f>
        <v>0.9</v>
      </c>
      <c r="AI242" s="141" cm="1">
        <f t="array" ref="AI242">INDEX('TAG e inad.'!$C$4:$AF$6,MATCH($E242,'TAG e inad.'!$B$4:$B$6,0),'Receitas Tarifárias'!AI$223)</f>
        <v>0.9</v>
      </c>
    </row>
    <row r="243" spans="2:35">
      <c r="B243" s="149">
        <v>2</v>
      </c>
      <c r="C243" s="149">
        <v>7</v>
      </c>
      <c r="D243" s="145" t="str">
        <v>Veículos Comerciais com 6 Eixos Articulado</v>
      </c>
      <c r="E243" s="145" t="str">
        <v>Pesados II</v>
      </c>
      <c r="F243" s="141" cm="1">
        <f t="array" ref="F243">INDEX('TAG e inad.'!$C$4:$AF$6,MATCH($E243,'TAG e inad.'!$B$4:$B$6,0),'Receitas Tarifárias'!F$223)</f>
        <v>0.5</v>
      </c>
      <c r="G243" s="141" cm="1">
        <f t="array" ref="G243">INDEX('TAG e inad.'!$C$4:$AF$6,MATCH($E243,'TAG e inad.'!$B$4:$B$6,0),'Receitas Tarifárias'!G$223)</f>
        <v>0.56999999999999995</v>
      </c>
      <c r="H243" s="141" cm="1">
        <f t="array" ref="H243">INDEX('TAG e inad.'!$C$4:$AF$6,MATCH($E243,'TAG e inad.'!$B$4:$B$6,0),'Receitas Tarifárias'!H$223)</f>
        <v>0.65</v>
      </c>
      <c r="I243" s="141" cm="1">
        <f t="array" ref="I243">INDEX('TAG e inad.'!$C$4:$AF$6,MATCH($E243,'TAG e inad.'!$B$4:$B$6,0),'Receitas Tarifárias'!I$223)</f>
        <v>0.72</v>
      </c>
      <c r="J243" s="141" cm="1">
        <f t="array" ref="J243">INDEX('TAG e inad.'!$C$4:$AF$6,MATCH($E243,'TAG e inad.'!$B$4:$B$6,0),'Receitas Tarifárias'!J$223)</f>
        <v>0.78</v>
      </c>
      <c r="K243" s="141" cm="1">
        <f t="array" ref="K243">INDEX('TAG e inad.'!$C$4:$AF$6,MATCH($E243,'TAG e inad.'!$B$4:$B$6,0),'Receitas Tarifárias'!K$223)</f>
        <v>0.82</v>
      </c>
      <c r="L243" s="141" cm="1">
        <f t="array" ref="L243">INDEX('TAG e inad.'!$C$4:$AF$6,MATCH($E243,'TAG e inad.'!$B$4:$B$6,0),'Receitas Tarifárias'!L$223)</f>
        <v>0.86</v>
      </c>
      <c r="M243" s="141" cm="1">
        <f t="array" ref="M243">INDEX('TAG e inad.'!$C$4:$AF$6,MATCH($E243,'TAG e inad.'!$B$4:$B$6,0),'Receitas Tarifárias'!M$223)</f>
        <v>0.89</v>
      </c>
      <c r="N243" s="141" cm="1">
        <f t="array" ref="N243">INDEX('TAG e inad.'!$C$4:$AF$6,MATCH($E243,'TAG e inad.'!$B$4:$B$6,0),'Receitas Tarifárias'!N$223)</f>
        <v>0.9</v>
      </c>
      <c r="O243" s="141" cm="1">
        <f t="array" ref="O243">INDEX('TAG e inad.'!$C$4:$AF$6,MATCH($E243,'TAG e inad.'!$B$4:$B$6,0),'Receitas Tarifárias'!O$223)</f>
        <v>0.9</v>
      </c>
      <c r="P243" s="141" cm="1">
        <f t="array" ref="P243">INDEX('TAG e inad.'!$C$4:$AF$6,MATCH($E243,'TAG e inad.'!$B$4:$B$6,0),'Receitas Tarifárias'!P$223)</f>
        <v>0.9</v>
      </c>
      <c r="Q243" s="141" cm="1">
        <f t="array" ref="Q243">INDEX('TAG e inad.'!$C$4:$AF$6,MATCH($E243,'TAG e inad.'!$B$4:$B$6,0),'Receitas Tarifárias'!Q$223)</f>
        <v>0.9</v>
      </c>
      <c r="R243" s="141" cm="1">
        <f t="array" ref="R243">INDEX('TAG e inad.'!$C$4:$AF$6,MATCH($E243,'TAG e inad.'!$B$4:$B$6,0),'Receitas Tarifárias'!R$223)</f>
        <v>0.9</v>
      </c>
      <c r="S243" s="141" cm="1">
        <f t="array" ref="S243">INDEX('TAG e inad.'!$C$4:$AF$6,MATCH($E243,'TAG e inad.'!$B$4:$B$6,0),'Receitas Tarifárias'!S$223)</f>
        <v>0.9</v>
      </c>
      <c r="T243" s="141" cm="1">
        <f t="array" ref="T243">INDEX('TAG e inad.'!$C$4:$AF$6,MATCH($E243,'TAG e inad.'!$B$4:$B$6,0),'Receitas Tarifárias'!T$223)</f>
        <v>0.9</v>
      </c>
      <c r="U243" s="141" cm="1">
        <f t="array" ref="U243">INDEX('TAG e inad.'!$C$4:$AF$6,MATCH($E243,'TAG e inad.'!$B$4:$B$6,0),'Receitas Tarifárias'!U$223)</f>
        <v>0.9</v>
      </c>
      <c r="V243" s="141" cm="1">
        <f t="array" ref="V243">INDEX('TAG e inad.'!$C$4:$AF$6,MATCH($E243,'TAG e inad.'!$B$4:$B$6,0),'Receitas Tarifárias'!V$223)</f>
        <v>0.9</v>
      </c>
      <c r="W243" s="141" cm="1">
        <f t="array" ref="W243">INDEX('TAG e inad.'!$C$4:$AF$6,MATCH($E243,'TAG e inad.'!$B$4:$B$6,0),'Receitas Tarifárias'!W$223)</f>
        <v>0.9</v>
      </c>
      <c r="X243" s="141" cm="1">
        <f t="array" ref="X243">INDEX('TAG e inad.'!$C$4:$AF$6,MATCH($E243,'TAG e inad.'!$B$4:$B$6,0),'Receitas Tarifárias'!X$223)</f>
        <v>0.9</v>
      </c>
      <c r="Y243" s="141" cm="1">
        <f t="array" ref="Y243">INDEX('TAG e inad.'!$C$4:$AF$6,MATCH($E243,'TAG e inad.'!$B$4:$B$6,0),'Receitas Tarifárias'!Y$223)</f>
        <v>0.9</v>
      </c>
      <c r="Z243" s="141" cm="1">
        <f t="array" ref="Z243">INDEX('TAG e inad.'!$C$4:$AF$6,MATCH($E243,'TAG e inad.'!$B$4:$B$6,0),'Receitas Tarifárias'!Z$223)</f>
        <v>0.9</v>
      </c>
      <c r="AA243" s="141" cm="1">
        <f t="array" ref="AA243">INDEX('TAG e inad.'!$C$4:$AF$6,MATCH($E243,'TAG e inad.'!$B$4:$B$6,0),'Receitas Tarifárias'!AA$223)</f>
        <v>0.9</v>
      </c>
      <c r="AB243" s="141" cm="1">
        <f t="array" ref="AB243">INDEX('TAG e inad.'!$C$4:$AF$6,MATCH($E243,'TAG e inad.'!$B$4:$B$6,0),'Receitas Tarifárias'!AB$223)</f>
        <v>0.9</v>
      </c>
      <c r="AC243" s="141" cm="1">
        <f t="array" ref="AC243">INDEX('TAG e inad.'!$C$4:$AF$6,MATCH($E243,'TAG e inad.'!$B$4:$B$6,0),'Receitas Tarifárias'!AC$223)</f>
        <v>0.9</v>
      </c>
      <c r="AD243" s="141" cm="1">
        <f t="array" ref="AD243">INDEX('TAG e inad.'!$C$4:$AF$6,MATCH($E243,'TAG e inad.'!$B$4:$B$6,0),'Receitas Tarifárias'!AD$223)</f>
        <v>0.9</v>
      </c>
      <c r="AE243" s="141" cm="1">
        <f t="array" ref="AE243">INDEX('TAG e inad.'!$C$4:$AF$6,MATCH($E243,'TAG e inad.'!$B$4:$B$6,0),'Receitas Tarifárias'!AE$223)</f>
        <v>0.9</v>
      </c>
      <c r="AF243" s="141" cm="1">
        <f t="array" ref="AF243">INDEX('TAG e inad.'!$C$4:$AF$6,MATCH($E243,'TAG e inad.'!$B$4:$B$6,0),'Receitas Tarifárias'!AF$223)</f>
        <v>0.9</v>
      </c>
      <c r="AG243" s="141" cm="1">
        <f t="array" ref="AG243">INDEX('TAG e inad.'!$C$4:$AF$6,MATCH($E243,'TAG e inad.'!$B$4:$B$6,0),'Receitas Tarifárias'!AG$223)</f>
        <v>0.9</v>
      </c>
      <c r="AH243" s="141" cm="1">
        <f t="array" ref="AH243">INDEX('TAG e inad.'!$C$4:$AF$6,MATCH($E243,'TAG e inad.'!$B$4:$B$6,0),'Receitas Tarifárias'!AH$223)</f>
        <v>0.9</v>
      </c>
      <c r="AI243" s="141" cm="1">
        <f t="array" ref="AI243">INDEX('TAG e inad.'!$C$4:$AF$6,MATCH($E243,'TAG e inad.'!$B$4:$B$6,0),'Receitas Tarifárias'!AI$223)</f>
        <v>0.9</v>
      </c>
    </row>
    <row r="244" spans="2:35">
      <c r="B244" s="149">
        <v>2</v>
      </c>
      <c r="C244" s="149">
        <v>8</v>
      </c>
      <c r="D244" s="145" t="str">
        <v>Veículos Comerciais com 7 Eixos Articulado</v>
      </c>
      <c r="E244" s="145" t="str">
        <v>Pesados II</v>
      </c>
      <c r="F244" s="141" cm="1">
        <f t="array" ref="F244">INDEX('TAG e inad.'!$C$4:$AF$6,MATCH($E244,'TAG e inad.'!$B$4:$B$6,0),'Receitas Tarifárias'!F$223)</f>
        <v>0.5</v>
      </c>
      <c r="G244" s="141" cm="1">
        <f t="array" ref="G244">INDEX('TAG e inad.'!$C$4:$AF$6,MATCH($E244,'TAG e inad.'!$B$4:$B$6,0),'Receitas Tarifárias'!G$223)</f>
        <v>0.56999999999999995</v>
      </c>
      <c r="H244" s="141" cm="1">
        <f t="array" ref="H244">INDEX('TAG e inad.'!$C$4:$AF$6,MATCH($E244,'TAG e inad.'!$B$4:$B$6,0),'Receitas Tarifárias'!H$223)</f>
        <v>0.65</v>
      </c>
      <c r="I244" s="141" cm="1">
        <f t="array" ref="I244">INDEX('TAG e inad.'!$C$4:$AF$6,MATCH($E244,'TAG e inad.'!$B$4:$B$6,0),'Receitas Tarifárias'!I$223)</f>
        <v>0.72</v>
      </c>
      <c r="J244" s="141" cm="1">
        <f t="array" ref="J244">INDEX('TAG e inad.'!$C$4:$AF$6,MATCH($E244,'TAG e inad.'!$B$4:$B$6,0),'Receitas Tarifárias'!J$223)</f>
        <v>0.78</v>
      </c>
      <c r="K244" s="141" cm="1">
        <f t="array" ref="K244">INDEX('TAG e inad.'!$C$4:$AF$6,MATCH($E244,'TAG e inad.'!$B$4:$B$6,0),'Receitas Tarifárias'!K$223)</f>
        <v>0.82</v>
      </c>
      <c r="L244" s="141" cm="1">
        <f t="array" ref="L244">INDEX('TAG e inad.'!$C$4:$AF$6,MATCH($E244,'TAG e inad.'!$B$4:$B$6,0),'Receitas Tarifárias'!L$223)</f>
        <v>0.86</v>
      </c>
      <c r="M244" s="141" cm="1">
        <f t="array" ref="M244">INDEX('TAG e inad.'!$C$4:$AF$6,MATCH($E244,'TAG e inad.'!$B$4:$B$6,0),'Receitas Tarifárias'!M$223)</f>
        <v>0.89</v>
      </c>
      <c r="N244" s="141" cm="1">
        <f t="array" ref="N244">INDEX('TAG e inad.'!$C$4:$AF$6,MATCH($E244,'TAG e inad.'!$B$4:$B$6,0),'Receitas Tarifárias'!N$223)</f>
        <v>0.9</v>
      </c>
      <c r="O244" s="141" cm="1">
        <f t="array" ref="O244">INDEX('TAG e inad.'!$C$4:$AF$6,MATCH($E244,'TAG e inad.'!$B$4:$B$6,0),'Receitas Tarifárias'!O$223)</f>
        <v>0.9</v>
      </c>
      <c r="P244" s="141" cm="1">
        <f t="array" ref="P244">INDEX('TAG e inad.'!$C$4:$AF$6,MATCH($E244,'TAG e inad.'!$B$4:$B$6,0),'Receitas Tarifárias'!P$223)</f>
        <v>0.9</v>
      </c>
      <c r="Q244" s="141" cm="1">
        <f t="array" ref="Q244">INDEX('TAG e inad.'!$C$4:$AF$6,MATCH($E244,'TAG e inad.'!$B$4:$B$6,0),'Receitas Tarifárias'!Q$223)</f>
        <v>0.9</v>
      </c>
      <c r="R244" s="141" cm="1">
        <f t="array" ref="R244">INDEX('TAG e inad.'!$C$4:$AF$6,MATCH($E244,'TAG e inad.'!$B$4:$B$6,0),'Receitas Tarifárias'!R$223)</f>
        <v>0.9</v>
      </c>
      <c r="S244" s="141" cm="1">
        <f t="array" ref="S244">INDEX('TAG e inad.'!$C$4:$AF$6,MATCH($E244,'TAG e inad.'!$B$4:$B$6,0),'Receitas Tarifárias'!S$223)</f>
        <v>0.9</v>
      </c>
      <c r="T244" s="141" cm="1">
        <f t="array" ref="T244">INDEX('TAG e inad.'!$C$4:$AF$6,MATCH($E244,'TAG e inad.'!$B$4:$B$6,0),'Receitas Tarifárias'!T$223)</f>
        <v>0.9</v>
      </c>
      <c r="U244" s="141" cm="1">
        <f t="array" ref="U244">INDEX('TAG e inad.'!$C$4:$AF$6,MATCH($E244,'TAG e inad.'!$B$4:$B$6,0),'Receitas Tarifárias'!U$223)</f>
        <v>0.9</v>
      </c>
      <c r="V244" s="141" cm="1">
        <f t="array" ref="V244">INDEX('TAG e inad.'!$C$4:$AF$6,MATCH($E244,'TAG e inad.'!$B$4:$B$6,0),'Receitas Tarifárias'!V$223)</f>
        <v>0.9</v>
      </c>
      <c r="W244" s="141" cm="1">
        <f t="array" ref="W244">INDEX('TAG e inad.'!$C$4:$AF$6,MATCH($E244,'TAG e inad.'!$B$4:$B$6,0),'Receitas Tarifárias'!W$223)</f>
        <v>0.9</v>
      </c>
      <c r="X244" s="141" cm="1">
        <f t="array" ref="X244">INDEX('TAG e inad.'!$C$4:$AF$6,MATCH($E244,'TAG e inad.'!$B$4:$B$6,0),'Receitas Tarifárias'!X$223)</f>
        <v>0.9</v>
      </c>
      <c r="Y244" s="141" cm="1">
        <f t="array" ref="Y244">INDEX('TAG e inad.'!$C$4:$AF$6,MATCH($E244,'TAG e inad.'!$B$4:$B$6,0),'Receitas Tarifárias'!Y$223)</f>
        <v>0.9</v>
      </c>
      <c r="Z244" s="141" cm="1">
        <f t="array" ref="Z244">INDEX('TAG e inad.'!$C$4:$AF$6,MATCH($E244,'TAG e inad.'!$B$4:$B$6,0),'Receitas Tarifárias'!Z$223)</f>
        <v>0.9</v>
      </c>
      <c r="AA244" s="141" cm="1">
        <f t="array" ref="AA244">INDEX('TAG e inad.'!$C$4:$AF$6,MATCH($E244,'TAG e inad.'!$B$4:$B$6,0),'Receitas Tarifárias'!AA$223)</f>
        <v>0.9</v>
      </c>
      <c r="AB244" s="141" cm="1">
        <f t="array" ref="AB244">INDEX('TAG e inad.'!$C$4:$AF$6,MATCH($E244,'TAG e inad.'!$B$4:$B$6,0),'Receitas Tarifárias'!AB$223)</f>
        <v>0.9</v>
      </c>
      <c r="AC244" s="141" cm="1">
        <f t="array" ref="AC244">INDEX('TAG e inad.'!$C$4:$AF$6,MATCH($E244,'TAG e inad.'!$B$4:$B$6,0),'Receitas Tarifárias'!AC$223)</f>
        <v>0.9</v>
      </c>
      <c r="AD244" s="141" cm="1">
        <f t="array" ref="AD244">INDEX('TAG e inad.'!$C$4:$AF$6,MATCH($E244,'TAG e inad.'!$B$4:$B$6,0),'Receitas Tarifárias'!AD$223)</f>
        <v>0.9</v>
      </c>
      <c r="AE244" s="141" cm="1">
        <f t="array" ref="AE244">INDEX('TAG e inad.'!$C$4:$AF$6,MATCH($E244,'TAG e inad.'!$B$4:$B$6,0),'Receitas Tarifárias'!AE$223)</f>
        <v>0.9</v>
      </c>
      <c r="AF244" s="141" cm="1">
        <f t="array" ref="AF244">INDEX('TAG e inad.'!$C$4:$AF$6,MATCH($E244,'TAG e inad.'!$B$4:$B$6,0),'Receitas Tarifárias'!AF$223)</f>
        <v>0.9</v>
      </c>
      <c r="AG244" s="141" cm="1">
        <f t="array" ref="AG244">INDEX('TAG e inad.'!$C$4:$AF$6,MATCH($E244,'TAG e inad.'!$B$4:$B$6,0),'Receitas Tarifárias'!AG$223)</f>
        <v>0.9</v>
      </c>
      <c r="AH244" s="141" cm="1">
        <f t="array" ref="AH244">INDEX('TAG e inad.'!$C$4:$AF$6,MATCH($E244,'TAG e inad.'!$B$4:$B$6,0),'Receitas Tarifárias'!AH$223)</f>
        <v>0.9</v>
      </c>
      <c r="AI244" s="141" cm="1">
        <f t="array" ref="AI244">INDEX('TAG e inad.'!$C$4:$AF$6,MATCH($E244,'TAG e inad.'!$B$4:$B$6,0),'Receitas Tarifárias'!AI$223)</f>
        <v>0.9</v>
      </c>
    </row>
    <row r="245" spans="2:35">
      <c r="B245" s="149">
        <v>2</v>
      </c>
      <c r="C245" s="149">
        <v>9</v>
      </c>
      <c r="D245" s="145" t="str">
        <v>Veículos Comerciais com 8 Eixos Articulado</v>
      </c>
      <c r="E245" s="145" t="str">
        <v>Pesados II</v>
      </c>
      <c r="F245" s="141" cm="1">
        <f t="array" ref="F245">INDEX('TAG e inad.'!$C$4:$AF$6,MATCH($E245,'TAG e inad.'!$B$4:$B$6,0),'Receitas Tarifárias'!F$223)</f>
        <v>0.5</v>
      </c>
      <c r="G245" s="141" cm="1">
        <f t="array" ref="G245">INDEX('TAG e inad.'!$C$4:$AF$6,MATCH($E245,'TAG e inad.'!$B$4:$B$6,0),'Receitas Tarifárias'!G$223)</f>
        <v>0.56999999999999995</v>
      </c>
      <c r="H245" s="141" cm="1">
        <f t="array" ref="H245">INDEX('TAG e inad.'!$C$4:$AF$6,MATCH($E245,'TAG e inad.'!$B$4:$B$6,0),'Receitas Tarifárias'!H$223)</f>
        <v>0.65</v>
      </c>
      <c r="I245" s="141" cm="1">
        <f t="array" ref="I245">INDEX('TAG e inad.'!$C$4:$AF$6,MATCH($E245,'TAG e inad.'!$B$4:$B$6,0),'Receitas Tarifárias'!I$223)</f>
        <v>0.72</v>
      </c>
      <c r="J245" s="141" cm="1">
        <f t="array" ref="J245">INDEX('TAG e inad.'!$C$4:$AF$6,MATCH($E245,'TAG e inad.'!$B$4:$B$6,0),'Receitas Tarifárias'!J$223)</f>
        <v>0.78</v>
      </c>
      <c r="K245" s="141" cm="1">
        <f t="array" ref="K245">INDEX('TAG e inad.'!$C$4:$AF$6,MATCH($E245,'TAG e inad.'!$B$4:$B$6,0),'Receitas Tarifárias'!K$223)</f>
        <v>0.82</v>
      </c>
      <c r="L245" s="141" cm="1">
        <f t="array" ref="L245">INDEX('TAG e inad.'!$C$4:$AF$6,MATCH($E245,'TAG e inad.'!$B$4:$B$6,0),'Receitas Tarifárias'!L$223)</f>
        <v>0.86</v>
      </c>
      <c r="M245" s="141" cm="1">
        <f t="array" ref="M245">INDEX('TAG e inad.'!$C$4:$AF$6,MATCH($E245,'TAG e inad.'!$B$4:$B$6,0),'Receitas Tarifárias'!M$223)</f>
        <v>0.89</v>
      </c>
      <c r="N245" s="141" cm="1">
        <f t="array" ref="N245">INDEX('TAG e inad.'!$C$4:$AF$6,MATCH($E245,'TAG e inad.'!$B$4:$B$6,0),'Receitas Tarifárias'!N$223)</f>
        <v>0.9</v>
      </c>
      <c r="O245" s="141" cm="1">
        <f t="array" ref="O245">INDEX('TAG e inad.'!$C$4:$AF$6,MATCH($E245,'TAG e inad.'!$B$4:$B$6,0),'Receitas Tarifárias'!O$223)</f>
        <v>0.9</v>
      </c>
      <c r="P245" s="141" cm="1">
        <f t="array" ref="P245">INDEX('TAG e inad.'!$C$4:$AF$6,MATCH($E245,'TAG e inad.'!$B$4:$B$6,0),'Receitas Tarifárias'!P$223)</f>
        <v>0.9</v>
      </c>
      <c r="Q245" s="141" cm="1">
        <f t="array" ref="Q245">INDEX('TAG e inad.'!$C$4:$AF$6,MATCH($E245,'TAG e inad.'!$B$4:$B$6,0),'Receitas Tarifárias'!Q$223)</f>
        <v>0.9</v>
      </c>
      <c r="R245" s="141" cm="1">
        <f t="array" ref="R245">INDEX('TAG e inad.'!$C$4:$AF$6,MATCH($E245,'TAG e inad.'!$B$4:$B$6,0),'Receitas Tarifárias'!R$223)</f>
        <v>0.9</v>
      </c>
      <c r="S245" s="141" cm="1">
        <f t="array" ref="S245">INDEX('TAG e inad.'!$C$4:$AF$6,MATCH($E245,'TAG e inad.'!$B$4:$B$6,0),'Receitas Tarifárias'!S$223)</f>
        <v>0.9</v>
      </c>
      <c r="T245" s="141" cm="1">
        <f t="array" ref="T245">INDEX('TAG e inad.'!$C$4:$AF$6,MATCH($E245,'TAG e inad.'!$B$4:$B$6,0),'Receitas Tarifárias'!T$223)</f>
        <v>0.9</v>
      </c>
      <c r="U245" s="141" cm="1">
        <f t="array" ref="U245">INDEX('TAG e inad.'!$C$4:$AF$6,MATCH($E245,'TAG e inad.'!$B$4:$B$6,0),'Receitas Tarifárias'!U$223)</f>
        <v>0.9</v>
      </c>
      <c r="V245" s="141" cm="1">
        <f t="array" ref="V245">INDEX('TAG e inad.'!$C$4:$AF$6,MATCH($E245,'TAG e inad.'!$B$4:$B$6,0),'Receitas Tarifárias'!V$223)</f>
        <v>0.9</v>
      </c>
      <c r="W245" s="141" cm="1">
        <f t="array" ref="W245">INDEX('TAG e inad.'!$C$4:$AF$6,MATCH($E245,'TAG e inad.'!$B$4:$B$6,0),'Receitas Tarifárias'!W$223)</f>
        <v>0.9</v>
      </c>
      <c r="X245" s="141" cm="1">
        <f t="array" ref="X245">INDEX('TAG e inad.'!$C$4:$AF$6,MATCH($E245,'TAG e inad.'!$B$4:$B$6,0),'Receitas Tarifárias'!X$223)</f>
        <v>0.9</v>
      </c>
      <c r="Y245" s="141" cm="1">
        <f t="array" ref="Y245">INDEX('TAG e inad.'!$C$4:$AF$6,MATCH($E245,'TAG e inad.'!$B$4:$B$6,0),'Receitas Tarifárias'!Y$223)</f>
        <v>0.9</v>
      </c>
      <c r="Z245" s="141" cm="1">
        <f t="array" ref="Z245">INDEX('TAG e inad.'!$C$4:$AF$6,MATCH($E245,'TAG e inad.'!$B$4:$B$6,0),'Receitas Tarifárias'!Z$223)</f>
        <v>0.9</v>
      </c>
      <c r="AA245" s="141" cm="1">
        <f t="array" ref="AA245">INDEX('TAG e inad.'!$C$4:$AF$6,MATCH($E245,'TAG e inad.'!$B$4:$B$6,0),'Receitas Tarifárias'!AA$223)</f>
        <v>0.9</v>
      </c>
      <c r="AB245" s="141" cm="1">
        <f t="array" ref="AB245">INDEX('TAG e inad.'!$C$4:$AF$6,MATCH($E245,'TAG e inad.'!$B$4:$B$6,0),'Receitas Tarifárias'!AB$223)</f>
        <v>0.9</v>
      </c>
      <c r="AC245" s="141" cm="1">
        <f t="array" ref="AC245">INDEX('TAG e inad.'!$C$4:$AF$6,MATCH($E245,'TAG e inad.'!$B$4:$B$6,0),'Receitas Tarifárias'!AC$223)</f>
        <v>0.9</v>
      </c>
      <c r="AD245" s="141" cm="1">
        <f t="array" ref="AD245">INDEX('TAG e inad.'!$C$4:$AF$6,MATCH($E245,'TAG e inad.'!$B$4:$B$6,0),'Receitas Tarifárias'!AD$223)</f>
        <v>0.9</v>
      </c>
      <c r="AE245" s="141" cm="1">
        <f t="array" ref="AE245">INDEX('TAG e inad.'!$C$4:$AF$6,MATCH($E245,'TAG e inad.'!$B$4:$B$6,0),'Receitas Tarifárias'!AE$223)</f>
        <v>0.9</v>
      </c>
      <c r="AF245" s="141" cm="1">
        <f t="array" ref="AF245">INDEX('TAG e inad.'!$C$4:$AF$6,MATCH($E245,'TAG e inad.'!$B$4:$B$6,0),'Receitas Tarifárias'!AF$223)</f>
        <v>0.9</v>
      </c>
      <c r="AG245" s="141" cm="1">
        <f t="array" ref="AG245">INDEX('TAG e inad.'!$C$4:$AF$6,MATCH($E245,'TAG e inad.'!$B$4:$B$6,0),'Receitas Tarifárias'!AG$223)</f>
        <v>0.9</v>
      </c>
      <c r="AH245" s="141" cm="1">
        <f t="array" ref="AH245">INDEX('TAG e inad.'!$C$4:$AF$6,MATCH($E245,'TAG e inad.'!$B$4:$B$6,0),'Receitas Tarifárias'!AH$223)</f>
        <v>0.9</v>
      </c>
      <c r="AI245" s="141" cm="1">
        <f t="array" ref="AI245">INDEX('TAG e inad.'!$C$4:$AF$6,MATCH($E245,'TAG e inad.'!$B$4:$B$6,0),'Receitas Tarifárias'!AI$223)</f>
        <v>0.9</v>
      </c>
    </row>
    <row r="246" spans="2:35">
      <c r="B246" s="149">
        <v>2</v>
      </c>
      <c r="C246" s="149">
        <v>10</v>
      </c>
      <c r="D246" s="145" t="str">
        <v>Veículos Comerciais com 9 Eixos Articulado</v>
      </c>
      <c r="E246" s="145" t="str">
        <v>Pesados II</v>
      </c>
      <c r="F246" s="141" cm="1">
        <f t="array" ref="F246">INDEX('TAG e inad.'!$C$4:$AF$6,MATCH($E246,'TAG e inad.'!$B$4:$B$6,0),'Receitas Tarifárias'!F$223)</f>
        <v>0.5</v>
      </c>
      <c r="G246" s="141" cm="1">
        <f t="array" ref="G246">INDEX('TAG e inad.'!$C$4:$AF$6,MATCH($E246,'TAG e inad.'!$B$4:$B$6,0),'Receitas Tarifárias'!G$223)</f>
        <v>0.56999999999999995</v>
      </c>
      <c r="H246" s="141" cm="1">
        <f t="array" ref="H246">INDEX('TAG e inad.'!$C$4:$AF$6,MATCH($E246,'TAG e inad.'!$B$4:$B$6,0),'Receitas Tarifárias'!H$223)</f>
        <v>0.65</v>
      </c>
      <c r="I246" s="141" cm="1">
        <f t="array" ref="I246">INDEX('TAG e inad.'!$C$4:$AF$6,MATCH($E246,'TAG e inad.'!$B$4:$B$6,0),'Receitas Tarifárias'!I$223)</f>
        <v>0.72</v>
      </c>
      <c r="J246" s="141" cm="1">
        <f t="array" ref="J246">INDEX('TAG e inad.'!$C$4:$AF$6,MATCH($E246,'TAG e inad.'!$B$4:$B$6,0),'Receitas Tarifárias'!J$223)</f>
        <v>0.78</v>
      </c>
      <c r="K246" s="141" cm="1">
        <f t="array" ref="K246">INDEX('TAG e inad.'!$C$4:$AF$6,MATCH($E246,'TAG e inad.'!$B$4:$B$6,0),'Receitas Tarifárias'!K$223)</f>
        <v>0.82</v>
      </c>
      <c r="L246" s="141" cm="1">
        <f t="array" ref="L246">INDEX('TAG e inad.'!$C$4:$AF$6,MATCH($E246,'TAG e inad.'!$B$4:$B$6,0),'Receitas Tarifárias'!L$223)</f>
        <v>0.86</v>
      </c>
      <c r="M246" s="141" cm="1">
        <f t="array" ref="M246">INDEX('TAG e inad.'!$C$4:$AF$6,MATCH($E246,'TAG e inad.'!$B$4:$B$6,0),'Receitas Tarifárias'!M$223)</f>
        <v>0.89</v>
      </c>
      <c r="N246" s="141" cm="1">
        <f t="array" ref="N246">INDEX('TAG e inad.'!$C$4:$AF$6,MATCH($E246,'TAG e inad.'!$B$4:$B$6,0),'Receitas Tarifárias'!N$223)</f>
        <v>0.9</v>
      </c>
      <c r="O246" s="141" cm="1">
        <f t="array" ref="O246">INDEX('TAG e inad.'!$C$4:$AF$6,MATCH($E246,'TAG e inad.'!$B$4:$B$6,0),'Receitas Tarifárias'!O$223)</f>
        <v>0.9</v>
      </c>
      <c r="P246" s="141" cm="1">
        <f t="array" ref="P246">INDEX('TAG e inad.'!$C$4:$AF$6,MATCH($E246,'TAG e inad.'!$B$4:$B$6,0),'Receitas Tarifárias'!P$223)</f>
        <v>0.9</v>
      </c>
      <c r="Q246" s="141" cm="1">
        <f t="array" ref="Q246">INDEX('TAG e inad.'!$C$4:$AF$6,MATCH($E246,'TAG e inad.'!$B$4:$B$6,0),'Receitas Tarifárias'!Q$223)</f>
        <v>0.9</v>
      </c>
      <c r="R246" s="141" cm="1">
        <f t="array" ref="R246">INDEX('TAG e inad.'!$C$4:$AF$6,MATCH($E246,'TAG e inad.'!$B$4:$B$6,0),'Receitas Tarifárias'!R$223)</f>
        <v>0.9</v>
      </c>
      <c r="S246" s="141" cm="1">
        <f t="array" ref="S246">INDEX('TAG e inad.'!$C$4:$AF$6,MATCH($E246,'TAG e inad.'!$B$4:$B$6,0),'Receitas Tarifárias'!S$223)</f>
        <v>0.9</v>
      </c>
      <c r="T246" s="141" cm="1">
        <f t="array" ref="T246">INDEX('TAG e inad.'!$C$4:$AF$6,MATCH($E246,'TAG e inad.'!$B$4:$B$6,0),'Receitas Tarifárias'!T$223)</f>
        <v>0.9</v>
      </c>
      <c r="U246" s="141" cm="1">
        <f t="array" ref="U246">INDEX('TAG e inad.'!$C$4:$AF$6,MATCH($E246,'TAG e inad.'!$B$4:$B$6,0),'Receitas Tarifárias'!U$223)</f>
        <v>0.9</v>
      </c>
      <c r="V246" s="141" cm="1">
        <f t="array" ref="V246">INDEX('TAG e inad.'!$C$4:$AF$6,MATCH($E246,'TAG e inad.'!$B$4:$B$6,0),'Receitas Tarifárias'!V$223)</f>
        <v>0.9</v>
      </c>
      <c r="W246" s="141" cm="1">
        <f t="array" ref="W246">INDEX('TAG e inad.'!$C$4:$AF$6,MATCH($E246,'TAG e inad.'!$B$4:$B$6,0),'Receitas Tarifárias'!W$223)</f>
        <v>0.9</v>
      </c>
      <c r="X246" s="141" cm="1">
        <f t="array" ref="X246">INDEX('TAG e inad.'!$C$4:$AF$6,MATCH($E246,'TAG e inad.'!$B$4:$B$6,0),'Receitas Tarifárias'!X$223)</f>
        <v>0.9</v>
      </c>
      <c r="Y246" s="141" cm="1">
        <f t="array" ref="Y246">INDEX('TAG e inad.'!$C$4:$AF$6,MATCH($E246,'TAG e inad.'!$B$4:$B$6,0),'Receitas Tarifárias'!Y$223)</f>
        <v>0.9</v>
      </c>
      <c r="Z246" s="141" cm="1">
        <f t="array" ref="Z246">INDEX('TAG e inad.'!$C$4:$AF$6,MATCH($E246,'TAG e inad.'!$B$4:$B$6,0),'Receitas Tarifárias'!Z$223)</f>
        <v>0.9</v>
      </c>
      <c r="AA246" s="141" cm="1">
        <f t="array" ref="AA246">INDEX('TAG e inad.'!$C$4:$AF$6,MATCH($E246,'TAG e inad.'!$B$4:$B$6,0),'Receitas Tarifárias'!AA$223)</f>
        <v>0.9</v>
      </c>
      <c r="AB246" s="141" cm="1">
        <f t="array" ref="AB246">INDEX('TAG e inad.'!$C$4:$AF$6,MATCH($E246,'TAG e inad.'!$B$4:$B$6,0),'Receitas Tarifárias'!AB$223)</f>
        <v>0.9</v>
      </c>
      <c r="AC246" s="141" cm="1">
        <f t="array" ref="AC246">INDEX('TAG e inad.'!$C$4:$AF$6,MATCH($E246,'TAG e inad.'!$B$4:$B$6,0),'Receitas Tarifárias'!AC$223)</f>
        <v>0.9</v>
      </c>
      <c r="AD246" s="141" cm="1">
        <f t="array" ref="AD246">INDEX('TAG e inad.'!$C$4:$AF$6,MATCH($E246,'TAG e inad.'!$B$4:$B$6,0),'Receitas Tarifárias'!AD$223)</f>
        <v>0.9</v>
      </c>
      <c r="AE246" s="141" cm="1">
        <f t="array" ref="AE246">INDEX('TAG e inad.'!$C$4:$AF$6,MATCH($E246,'TAG e inad.'!$B$4:$B$6,0),'Receitas Tarifárias'!AE$223)</f>
        <v>0.9</v>
      </c>
      <c r="AF246" s="141" cm="1">
        <f t="array" ref="AF246">INDEX('TAG e inad.'!$C$4:$AF$6,MATCH($E246,'TAG e inad.'!$B$4:$B$6,0),'Receitas Tarifárias'!AF$223)</f>
        <v>0.9</v>
      </c>
      <c r="AG246" s="141" cm="1">
        <f t="array" ref="AG246">INDEX('TAG e inad.'!$C$4:$AF$6,MATCH($E246,'TAG e inad.'!$B$4:$B$6,0),'Receitas Tarifárias'!AG$223)</f>
        <v>0.9</v>
      </c>
      <c r="AH246" s="141" cm="1">
        <f t="array" ref="AH246">INDEX('TAG e inad.'!$C$4:$AF$6,MATCH($E246,'TAG e inad.'!$B$4:$B$6,0),'Receitas Tarifárias'!AH$223)</f>
        <v>0.9</v>
      </c>
      <c r="AI246" s="141" cm="1">
        <f t="array" ref="AI246">INDEX('TAG e inad.'!$C$4:$AF$6,MATCH($E246,'TAG e inad.'!$B$4:$B$6,0),'Receitas Tarifárias'!AI$223)</f>
        <v>0.9</v>
      </c>
    </row>
    <row r="247" spans="2:35">
      <c r="B247" s="149">
        <v>2</v>
      </c>
      <c r="C247" s="149">
        <v>11</v>
      </c>
      <c r="D247" s="145" t="str">
        <v>Motocicleta</v>
      </c>
      <c r="E247" s="145" t="str">
        <v>Leves</v>
      </c>
      <c r="F247" s="141" cm="1">
        <f t="array" ref="F247">INDEX('TAG e inad.'!$C$4:$AF$6,MATCH($E247,'TAG e inad.'!$B$4:$B$6,0),'Receitas Tarifárias'!F$223)</f>
        <v>0.22999999999999998</v>
      </c>
      <c r="G247" s="141" cm="1">
        <f t="array" ref="G247">INDEX('TAG e inad.'!$C$4:$AF$6,MATCH($E247,'TAG e inad.'!$B$4:$B$6,0),'Receitas Tarifárias'!G$223)</f>
        <v>0.30000000000000004</v>
      </c>
      <c r="H247" s="141" cm="1">
        <f t="array" ref="H247">INDEX('TAG e inad.'!$C$4:$AF$6,MATCH($E247,'TAG e inad.'!$B$4:$B$6,0),'Receitas Tarifárias'!H$223)</f>
        <v>0.41000000000000003</v>
      </c>
      <c r="I247" s="141" cm="1">
        <f t="array" ref="I247">INDEX('TAG e inad.'!$C$4:$AF$6,MATCH($E247,'TAG e inad.'!$B$4:$B$6,0),'Receitas Tarifárias'!I$223)</f>
        <v>0.5</v>
      </c>
      <c r="J247" s="141" cm="1">
        <f t="array" ref="J247">INDEX('TAG e inad.'!$C$4:$AF$6,MATCH($E247,'TAG e inad.'!$B$4:$B$6,0),'Receitas Tarifárias'!J$223)</f>
        <v>0.58000000000000007</v>
      </c>
      <c r="K247" s="141" cm="1">
        <f t="array" ref="K247">INDEX('TAG e inad.'!$C$4:$AF$6,MATCH($E247,'TAG e inad.'!$B$4:$B$6,0),'Receitas Tarifárias'!K$223)</f>
        <v>0.64</v>
      </c>
      <c r="L247" s="141" cm="1">
        <f t="array" ref="L247">INDEX('TAG e inad.'!$C$4:$AF$6,MATCH($E247,'TAG e inad.'!$B$4:$B$6,0),'Receitas Tarifárias'!L$223)</f>
        <v>0.69</v>
      </c>
      <c r="M247" s="141" cm="1">
        <f t="array" ref="M247">INDEX('TAG e inad.'!$C$4:$AF$6,MATCH($E247,'TAG e inad.'!$B$4:$B$6,0),'Receitas Tarifárias'!M$223)</f>
        <v>0.74</v>
      </c>
      <c r="N247" s="141" cm="1">
        <f t="array" ref="N247">INDEX('TAG e inad.'!$C$4:$AF$6,MATCH($E247,'TAG e inad.'!$B$4:$B$6,0),'Receitas Tarifárias'!N$223)</f>
        <v>0.78</v>
      </c>
      <c r="O247" s="141" cm="1">
        <f t="array" ref="O247">INDEX('TAG e inad.'!$C$4:$AF$6,MATCH($E247,'TAG e inad.'!$B$4:$B$6,0),'Receitas Tarifárias'!O$223)</f>
        <v>0.8</v>
      </c>
      <c r="P247" s="141" cm="1">
        <f t="array" ref="P247">INDEX('TAG e inad.'!$C$4:$AF$6,MATCH($E247,'TAG e inad.'!$B$4:$B$6,0),'Receitas Tarifárias'!P$223)</f>
        <v>0.81</v>
      </c>
      <c r="Q247" s="141" cm="1">
        <f t="array" ref="Q247">INDEX('TAG e inad.'!$C$4:$AF$6,MATCH($E247,'TAG e inad.'!$B$4:$B$6,0),'Receitas Tarifárias'!Q$223)</f>
        <v>0.81</v>
      </c>
      <c r="R247" s="141" cm="1">
        <f t="array" ref="R247">INDEX('TAG e inad.'!$C$4:$AF$6,MATCH($E247,'TAG e inad.'!$B$4:$B$6,0),'Receitas Tarifárias'!R$223)</f>
        <v>0.81</v>
      </c>
      <c r="S247" s="141" cm="1">
        <f t="array" ref="S247">INDEX('TAG e inad.'!$C$4:$AF$6,MATCH($E247,'TAG e inad.'!$B$4:$B$6,0),'Receitas Tarifárias'!S$223)</f>
        <v>0.81</v>
      </c>
      <c r="T247" s="141" cm="1">
        <f t="array" ref="T247">INDEX('TAG e inad.'!$C$4:$AF$6,MATCH($E247,'TAG e inad.'!$B$4:$B$6,0),'Receitas Tarifárias'!T$223)</f>
        <v>0.81</v>
      </c>
      <c r="U247" s="141" cm="1">
        <f t="array" ref="U247">INDEX('TAG e inad.'!$C$4:$AF$6,MATCH($E247,'TAG e inad.'!$B$4:$B$6,0),'Receitas Tarifárias'!U$223)</f>
        <v>0.81</v>
      </c>
      <c r="V247" s="141" cm="1">
        <f t="array" ref="V247">INDEX('TAG e inad.'!$C$4:$AF$6,MATCH($E247,'TAG e inad.'!$B$4:$B$6,0),'Receitas Tarifárias'!V$223)</f>
        <v>0.81</v>
      </c>
      <c r="W247" s="141" cm="1">
        <f t="array" ref="W247">INDEX('TAG e inad.'!$C$4:$AF$6,MATCH($E247,'TAG e inad.'!$B$4:$B$6,0),'Receitas Tarifárias'!W$223)</f>
        <v>0.81</v>
      </c>
      <c r="X247" s="141" cm="1">
        <f t="array" ref="X247">INDEX('TAG e inad.'!$C$4:$AF$6,MATCH($E247,'TAG e inad.'!$B$4:$B$6,0),'Receitas Tarifárias'!X$223)</f>
        <v>0.81</v>
      </c>
      <c r="Y247" s="141" cm="1">
        <f t="array" ref="Y247">INDEX('TAG e inad.'!$C$4:$AF$6,MATCH($E247,'TAG e inad.'!$B$4:$B$6,0),'Receitas Tarifárias'!Y$223)</f>
        <v>0.81</v>
      </c>
      <c r="Z247" s="141" cm="1">
        <f t="array" ref="Z247">INDEX('TAG e inad.'!$C$4:$AF$6,MATCH($E247,'TAG e inad.'!$B$4:$B$6,0),'Receitas Tarifárias'!Z$223)</f>
        <v>0.81</v>
      </c>
      <c r="AA247" s="141" cm="1">
        <f t="array" ref="AA247">INDEX('TAG e inad.'!$C$4:$AF$6,MATCH($E247,'TAG e inad.'!$B$4:$B$6,0),'Receitas Tarifárias'!AA$223)</f>
        <v>0.81</v>
      </c>
      <c r="AB247" s="141" cm="1">
        <f t="array" ref="AB247">INDEX('TAG e inad.'!$C$4:$AF$6,MATCH($E247,'TAG e inad.'!$B$4:$B$6,0),'Receitas Tarifárias'!AB$223)</f>
        <v>0.81</v>
      </c>
      <c r="AC247" s="141" cm="1">
        <f t="array" ref="AC247">INDEX('TAG e inad.'!$C$4:$AF$6,MATCH($E247,'TAG e inad.'!$B$4:$B$6,0),'Receitas Tarifárias'!AC$223)</f>
        <v>0.81</v>
      </c>
      <c r="AD247" s="141" cm="1">
        <f t="array" ref="AD247">INDEX('TAG e inad.'!$C$4:$AF$6,MATCH($E247,'TAG e inad.'!$B$4:$B$6,0),'Receitas Tarifárias'!AD$223)</f>
        <v>0.81</v>
      </c>
      <c r="AE247" s="141" cm="1">
        <f t="array" ref="AE247">INDEX('TAG e inad.'!$C$4:$AF$6,MATCH($E247,'TAG e inad.'!$B$4:$B$6,0),'Receitas Tarifárias'!AE$223)</f>
        <v>0.81</v>
      </c>
      <c r="AF247" s="141" cm="1">
        <f t="array" ref="AF247">INDEX('TAG e inad.'!$C$4:$AF$6,MATCH($E247,'TAG e inad.'!$B$4:$B$6,0),'Receitas Tarifárias'!AF$223)</f>
        <v>0.81</v>
      </c>
      <c r="AG247" s="141" cm="1">
        <f t="array" ref="AG247">INDEX('TAG e inad.'!$C$4:$AF$6,MATCH($E247,'TAG e inad.'!$B$4:$B$6,0),'Receitas Tarifárias'!AG$223)</f>
        <v>0.81</v>
      </c>
      <c r="AH247" s="141" cm="1">
        <f t="array" ref="AH247">INDEX('TAG e inad.'!$C$4:$AF$6,MATCH($E247,'TAG e inad.'!$B$4:$B$6,0),'Receitas Tarifárias'!AH$223)</f>
        <v>0.81</v>
      </c>
      <c r="AI247" s="141" cm="1">
        <f t="array" ref="AI247">INDEX('TAG e inad.'!$C$4:$AF$6,MATCH($E247,'TAG e inad.'!$B$4:$B$6,0),'Receitas Tarifárias'!AI$223)</f>
        <v>0.81</v>
      </c>
    </row>
    <row r="248" spans="2:35">
      <c r="B248" s="149">
        <v>2</v>
      </c>
      <c r="C248" s="149">
        <v>12</v>
      </c>
      <c r="D248" s="145" t="str">
        <v xml:space="preserve">Veículos do transporte público coletivo intermunicipal e metropolitano </v>
      </c>
      <c r="E248" s="145" t="str">
        <v>Pesados I</v>
      </c>
      <c r="F248" s="141" cm="1">
        <f t="array" ref="F248">INDEX('TAG e inad.'!$C$4:$AF$6,MATCH($E248,'TAG e inad.'!$B$4:$B$6,0),'Receitas Tarifárias'!F$223)</f>
        <v>0.5</v>
      </c>
      <c r="G248" s="141" cm="1">
        <f t="array" ref="G248">INDEX('TAG e inad.'!$C$4:$AF$6,MATCH($E248,'TAG e inad.'!$B$4:$B$6,0),'Receitas Tarifárias'!G$223)</f>
        <v>0.56999999999999995</v>
      </c>
      <c r="H248" s="141" cm="1">
        <f t="array" ref="H248">INDEX('TAG e inad.'!$C$4:$AF$6,MATCH($E248,'TAG e inad.'!$B$4:$B$6,0),'Receitas Tarifárias'!H$223)</f>
        <v>0.65</v>
      </c>
      <c r="I248" s="141" cm="1">
        <f t="array" ref="I248">INDEX('TAG e inad.'!$C$4:$AF$6,MATCH($E248,'TAG e inad.'!$B$4:$B$6,0),'Receitas Tarifárias'!I$223)</f>
        <v>0.72</v>
      </c>
      <c r="J248" s="141" cm="1">
        <f t="array" ref="J248">INDEX('TAG e inad.'!$C$4:$AF$6,MATCH($E248,'TAG e inad.'!$B$4:$B$6,0),'Receitas Tarifárias'!J$223)</f>
        <v>0.78</v>
      </c>
      <c r="K248" s="141" cm="1">
        <f t="array" ref="K248">INDEX('TAG e inad.'!$C$4:$AF$6,MATCH($E248,'TAG e inad.'!$B$4:$B$6,0),'Receitas Tarifárias'!K$223)</f>
        <v>0.82</v>
      </c>
      <c r="L248" s="141" cm="1">
        <f t="array" ref="L248">INDEX('TAG e inad.'!$C$4:$AF$6,MATCH($E248,'TAG e inad.'!$B$4:$B$6,0),'Receitas Tarifárias'!L$223)</f>
        <v>0.86</v>
      </c>
      <c r="M248" s="141" cm="1">
        <f t="array" ref="M248">INDEX('TAG e inad.'!$C$4:$AF$6,MATCH($E248,'TAG e inad.'!$B$4:$B$6,0),'Receitas Tarifárias'!M$223)</f>
        <v>0.89</v>
      </c>
      <c r="N248" s="141" cm="1">
        <f t="array" ref="N248">INDEX('TAG e inad.'!$C$4:$AF$6,MATCH($E248,'TAG e inad.'!$B$4:$B$6,0),'Receitas Tarifárias'!N$223)</f>
        <v>0.9</v>
      </c>
      <c r="O248" s="141" cm="1">
        <f t="array" ref="O248">INDEX('TAG e inad.'!$C$4:$AF$6,MATCH($E248,'TAG e inad.'!$B$4:$B$6,0),'Receitas Tarifárias'!O$223)</f>
        <v>0.9</v>
      </c>
      <c r="P248" s="141" cm="1">
        <f t="array" ref="P248">INDEX('TAG e inad.'!$C$4:$AF$6,MATCH($E248,'TAG e inad.'!$B$4:$B$6,0),'Receitas Tarifárias'!P$223)</f>
        <v>0.9</v>
      </c>
      <c r="Q248" s="141" cm="1">
        <f t="array" ref="Q248">INDEX('TAG e inad.'!$C$4:$AF$6,MATCH($E248,'TAG e inad.'!$B$4:$B$6,0),'Receitas Tarifárias'!Q$223)</f>
        <v>0.9</v>
      </c>
      <c r="R248" s="141" cm="1">
        <f t="array" ref="R248">INDEX('TAG e inad.'!$C$4:$AF$6,MATCH($E248,'TAG e inad.'!$B$4:$B$6,0),'Receitas Tarifárias'!R$223)</f>
        <v>0.9</v>
      </c>
      <c r="S248" s="141" cm="1">
        <f t="array" ref="S248">INDEX('TAG e inad.'!$C$4:$AF$6,MATCH($E248,'TAG e inad.'!$B$4:$B$6,0),'Receitas Tarifárias'!S$223)</f>
        <v>0.9</v>
      </c>
      <c r="T248" s="141" cm="1">
        <f t="array" ref="T248">INDEX('TAG e inad.'!$C$4:$AF$6,MATCH($E248,'TAG e inad.'!$B$4:$B$6,0),'Receitas Tarifárias'!T$223)</f>
        <v>0.9</v>
      </c>
      <c r="U248" s="141" cm="1">
        <f t="array" ref="U248">INDEX('TAG e inad.'!$C$4:$AF$6,MATCH($E248,'TAG e inad.'!$B$4:$B$6,0),'Receitas Tarifárias'!U$223)</f>
        <v>0.9</v>
      </c>
      <c r="V248" s="141" cm="1">
        <f t="array" ref="V248">INDEX('TAG e inad.'!$C$4:$AF$6,MATCH($E248,'TAG e inad.'!$B$4:$B$6,0),'Receitas Tarifárias'!V$223)</f>
        <v>0.9</v>
      </c>
      <c r="W248" s="141" cm="1">
        <f t="array" ref="W248">INDEX('TAG e inad.'!$C$4:$AF$6,MATCH($E248,'TAG e inad.'!$B$4:$B$6,0),'Receitas Tarifárias'!W$223)</f>
        <v>0.9</v>
      </c>
      <c r="X248" s="141" cm="1">
        <f t="array" ref="X248">INDEX('TAG e inad.'!$C$4:$AF$6,MATCH($E248,'TAG e inad.'!$B$4:$B$6,0),'Receitas Tarifárias'!X$223)</f>
        <v>0.9</v>
      </c>
      <c r="Y248" s="141" cm="1">
        <f t="array" ref="Y248">INDEX('TAG e inad.'!$C$4:$AF$6,MATCH($E248,'TAG e inad.'!$B$4:$B$6,0),'Receitas Tarifárias'!Y$223)</f>
        <v>0.9</v>
      </c>
      <c r="Z248" s="141" cm="1">
        <f t="array" ref="Z248">INDEX('TAG e inad.'!$C$4:$AF$6,MATCH($E248,'TAG e inad.'!$B$4:$B$6,0),'Receitas Tarifárias'!Z$223)</f>
        <v>0.9</v>
      </c>
      <c r="AA248" s="141" cm="1">
        <f t="array" ref="AA248">INDEX('TAG e inad.'!$C$4:$AF$6,MATCH($E248,'TAG e inad.'!$B$4:$B$6,0),'Receitas Tarifárias'!AA$223)</f>
        <v>0.9</v>
      </c>
      <c r="AB248" s="141" cm="1">
        <f t="array" ref="AB248">INDEX('TAG e inad.'!$C$4:$AF$6,MATCH($E248,'TAG e inad.'!$B$4:$B$6,0),'Receitas Tarifárias'!AB$223)</f>
        <v>0.9</v>
      </c>
      <c r="AC248" s="141" cm="1">
        <f t="array" ref="AC248">INDEX('TAG e inad.'!$C$4:$AF$6,MATCH($E248,'TAG e inad.'!$B$4:$B$6,0),'Receitas Tarifárias'!AC$223)</f>
        <v>0.9</v>
      </c>
      <c r="AD248" s="141" cm="1">
        <f t="array" ref="AD248">INDEX('TAG e inad.'!$C$4:$AF$6,MATCH($E248,'TAG e inad.'!$B$4:$B$6,0),'Receitas Tarifárias'!AD$223)</f>
        <v>0.9</v>
      </c>
      <c r="AE248" s="141" cm="1">
        <f t="array" ref="AE248">INDEX('TAG e inad.'!$C$4:$AF$6,MATCH($E248,'TAG e inad.'!$B$4:$B$6,0),'Receitas Tarifárias'!AE$223)</f>
        <v>0.9</v>
      </c>
      <c r="AF248" s="141" cm="1">
        <f t="array" ref="AF248">INDEX('TAG e inad.'!$C$4:$AF$6,MATCH($E248,'TAG e inad.'!$B$4:$B$6,0),'Receitas Tarifárias'!AF$223)</f>
        <v>0.9</v>
      </c>
      <c r="AG248" s="141" cm="1">
        <f t="array" ref="AG248">INDEX('TAG e inad.'!$C$4:$AF$6,MATCH($E248,'TAG e inad.'!$B$4:$B$6,0),'Receitas Tarifárias'!AG$223)</f>
        <v>0.9</v>
      </c>
      <c r="AH248" s="141" cm="1">
        <f t="array" ref="AH248">INDEX('TAG e inad.'!$C$4:$AF$6,MATCH($E248,'TAG e inad.'!$B$4:$B$6,0),'Receitas Tarifárias'!AH$223)</f>
        <v>0.9</v>
      </c>
      <c r="AI248" s="141" cm="1">
        <f t="array" ref="AI248">INDEX('TAG e inad.'!$C$4:$AF$6,MATCH($E248,'TAG e inad.'!$B$4:$B$6,0),'Receitas Tarifárias'!AI$223)</f>
        <v>0.9</v>
      </c>
    </row>
    <row r="249" spans="2:35">
      <c r="B249" s="149">
        <v>3</v>
      </c>
      <c r="C249" s="149">
        <v>1</v>
      </c>
      <c r="D249" s="145" t="str">
        <v>Automóvel</v>
      </c>
      <c r="E249" s="145" t="str">
        <v>Leves</v>
      </c>
      <c r="F249" s="141" cm="1">
        <f t="array" ref="F249">INDEX('TAG e inad.'!$C$4:$AF$6,MATCH($E249,'TAG e inad.'!$B$4:$B$6,0),'Receitas Tarifárias'!F$223)</f>
        <v>0.22999999999999998</v>
      </c>
      <c r="G249" s="141" cm="1">
        <f t="array" ref="G249">INDEX('TAG e inad.'!$C$4:$AF$6,MATCH($E249,'TAG e inad.'!$B$4:$B$6,0),'Receitas Tarifárias'!G$223)</f>
        <v>0.30000000000000004</v>
      </c>
      <c r="H249" s="141" cm="1">
        <f t="array" ref="H249">INDEX('TAG e inad.'!$C$4:$AF$6,MATCH($E249,'TAG e inad.'!$B$4:$B$6,0),'Receitas Tarifárias'!H$223)</f>
        <v>0.41000000000000003</v>
      </c>
      <c r="I249" s="141" cm="1">
        <f t="array" ref="I249">INDEX('TAG e inad.'!$C$4:$AF$6,MATCH($E249,'TAG e inad.'!$B$4:$B$6,0),'Receitas Tarifárias'!I$223)</f>
        <v>0.5</v>
      </c>
      <c r="J249" s="141" cm="1">
        <f t="array" ref="J249">INDEX('TAG e inad.'!$C$4:$AF$6,MATCH($E249,'TAG e inad.'!$B$4:$B$6,0),'Receitas Tarifárias'!J$223)</f>
        <v>0.58000000000000007</v>
      </c>
      <c r="K249" s="141" cm="1">
        <f t="array" ref="K249">INDEX('TAG e inad.'!$C$4:$AF$6,MATCH($E249,'TAG e inad.'!$B$4:$B$6,0),'Receitas Tarifárias'!K$223)</f>
        <v>0.64</v>
      </c>
      <c r="L249" s="141" cm="1">
        <f t="array" ref="L249">INDEX('TAG e inad.'!$C$4:$AF$6,MATCH($E249,'TAG e inad.'!$B$4:$B$6,0),'Receitas Tarifárias'!L$223)</f>
        <v>0.69</v>
      </c>
      <c r="M249" s="141" cm="1">
        <f t="array" ref="M249">INDEX('TAG e inad.'!$C$4:$AF$6,MATCH($E249,'TAG e inad.'!$B$4:$B$6,0),'Receitas Tarifárias'!M$223)</f>
        <v>0.74</v>
      </c>
      <c r="N249" s="141" cm="1">
        <f t="array" ref="N249">INDEX('TAG e inad.'!$C$4:$AF$6,MATCH($E249,'TAG e inad.'!$B$4:$B$6,0),'Receitas Tarifárias'!N$223)</f>
        <v>0.78</v>
      </c>
      <c r="O249" s="141" cm="1">
        <f t="array" ref="O249">INDEX('TAG e inad.'!$C$4:$AF$6,MATCH($E249,'TAG e inad.'!$B$4:$B$6,0),'Receitas Tarifárias'!O$223)</f>
        <v>0.8</v>
      </c>
      <c r="P249" s="141" cm="1">
        <f t="array" ref="P249">INDEX('TAG e inad.'!$C$4:$AF$6,MATCH($E249,'TAG e inad.'!$B$4:$B$6,0),'Receitas Tarifárias'!P$223)</f>
        <v>0.81</v>
      </c>
      <c r="Q249" s="141" cm="1">
        <f t="array" ref="Q249">INDEX('TAG e inad.'!$C$4:$AF$6,MATCH($E249,'TAG e inad.'!$B$4:$B$6,0),'Receitas Tarifárias'!Q$223)</f>
        <v>0.81</v>
      </c>
      <c r="R249" s="141" cm="1">
        <f t="array" ref="R249">INDEX('TAG e inad.'!$C$4:$AF$6,MATCH($E249,'TAG e inad.'!$B$4:$B$6,0),'Receitas Tarifárias'!R$223)</f>
        <v>0.81</v>
      </c>
      <c r="S249" s="141" cm="1">
        <f t="array" ref="S249">INDEX('TAG e inad.'!$C$4:$AF$6,MATCH($E249,'TAG e inad.'!$B$4:$B$6,0),'Receitas Tarifárias'!S$223)</f>
        <v>0.81</v>
      </c>
      <c r="T249" s="141" cm="1">
        <f t="array" ref="T249">INDEX('TAG e inad.'!$C$4:$AF$6,MATCH($E249,'TAG e inad.'!$B$4:$B$6,0),'Receitas Tarifárias'!T$223)</f>
        <v>0.81</v>
      </c>
      <c r="U249" s="141" cm="1">
        <f t="array" ref="U249">INDEX('TAG e inad.'!$C$4:$AF$6,MATCH($E249,'TAG e inad.'!$B$4:$B$6,0),'Receitas Tarifárias'!U$223)</f>
        <v>0.81</v>
      </c>
      <c r="V249" s="141" cm="1">
        <f t="array" ref="V249">INDEX('TAG e inad.'!$C$4:$AF$6,MATCH($E249,'TAG e inad.'!$B$4:$B$6,0),'Receitas Tarifárias'!V$223)</f>
        <v>0.81</v>
      </c>
      <c r="W249" s="141" cm="1">
        <f t="array" ref="W249">INDEX('TAG e inad.'!$C$4:$AF$6,MATCH($E249,'TAG e inad.'!$B$4:$B$6,0),'Receitas Tarifárias'!W$223)</f>
        <v>0.81</v>
      </c>
      <c r="X249" s="141" cm="1">
        <f t="array" ref="X249">INDEX('TAG e inad.'!$C$4:$AF$6,MATCH($E249,'TAG e inad.'!$B$4:$B$6,0),'Receitas Tarifárias'!X$223)</f>
        <v>0.81</v>
      </c>
      <c r="Y249" s="141" cm="1">
        <f t="array" ref="Y249">INDEX('TAG e inad.'!$C$4:$AF$6,MATCH($E249,'TAG e inad.'!$B$4:$B$6,0),'Receitas Tarifárias'!Y$223)</f>
        <v>0.81</v>
      </c>
      <c r="Z249" s="141" cm="1">
        <f t="array" ref="Z249">INDEX('TAG e inad.'!$C$4:$AF$6,MATCH($E249,'TAG e inad.'!$B$4:$B$6,0),'Receitas Tarifárias'!Z$223)</f>
        <v>0.81</v>
      </c>
      <c r="AA249" s="141" cm="1">
        <f t="array" ref="AA249">INDEX('TAG e inad.'!$C$4:$AF$6,MATCH($E249,'TAG e inad.'!$B$4:$B$6,0),'Receitas Tarifárias'!AA$223)</f>
        <v>0.81</v>
      </c>
      <c r="AB249" s="141" cm="1">
        <f t="array" ref="AB249">INDEX('TAG e inad.'!$C$4:$AF$6,MATCH($E249,'TAG e inad.'!$B$4:$B$6,0),'Receitas Tarifárias'!AB$223)</f>
        <v>0.81</v>
      </c>
      <c r="AC249" s="141" cm="1">
        <f t="array" ref="AC249">INDEX('TAG e inad.'!$C$4:$AF$6,MATCH($E249,'TAG e inad.'!$B$4:$B$6,0),'Receitas Tarifárias'!AC$223)</f>
        <v>0.81</v>
      </c>
      <c r="AD249" s="141" cm="1">
        <f t="array" ref="AD249">INDEX('TAG e inad.'!$C$4:$AF$6,MATCH($E249,'TAG e inad.'!$B$4:$B$6,0),'Receitas Tarifárias'!AD$223)</f>
        <v>0.81</v>
      </c>
      <c r="AE249" s="141" cm="1">
        <f t="array" ref="AE249">INDEX('TAG e inad.'!$C$4:$AF$6,MATCH($E249,'TAG e inad.'!$B$4:$B$6,0),'Receitas Tarifárias'!AE$223)</f>
        <v>0.81</v>
      </c>
      <c r="AF249" s="141" cm="1">
        <f t="array" ref="AF249">INDEX('TAG e inad.'!$C$4:$AF$6,MATCH($E249,'TAG e inad.'!$B$4:$B$6,0),'Receitas Tarifárias'!AF$223)</f>
        <v>0.81</v>
      </c>
      <c r="AG249" s="141" cm="1">
        <f t="array" ref="AG249">INDEX('TAG e inad.'!$C$4:$AF$6,MATCH($E249,'TAG e inad.'!$B$4:$B$6,0),'Receitas Tarifárias'!AG$223)</f>
        <v>0.81</v>
      </c>
      <c r="AH249" s="141" cm="1">
        <f t="array" ref="AH249">INDEX('TAG e inad.'!$C$4:$AF$6,MATCH($E249,'TAG e inad.'!$B$4:$B$6,0),'Receitas Tarifárias'!AH$223)</f>
        <v>0.81</v>
      </c>
      <c r="AI249" s="141" cm="1">
        <f t="array" ref="AI249">INDEX('TAG e inad.'!$C$4:$AF$6,MATCH($E249,'TAG e inad.'!$B$4:$B$6,0),'Receitas Tarifárias'!AI$223)</f>
        <v>0.81</v>
      </c>
    </row>
    <row r="250" spans="2:35">
      <c r="B250" s="149">
        <v>3</v>
      </c>
      <c r="C250" s="149">
        <v>2</v>
      </c>
      <c r="D250" s="145" t="str">
        <v xml:space="preserve">Automóvel com reboque </v>
      </c>
      <c r="E250" s="145" t="str">
        <v>Leves</v>
      </c>
      <c r="F250" s="141" cm="1">
        <f t="array" ref="F250">INDEX('TAG e inad.'!$C$4:$AF$6,MATCH($E250,'TAG e inad.'!$B$4:$B$6,0),'Receitas Tarifárias'!F$223)</f>
        <v>0.22999999999999998</v>
      </c>
      <c r="G250" s="141" cm="1">
        <f t="array" ref="G250">INDEX('TAG e inad.'!$C$4:$AF$6,MATCH($E250,'TAG e inad.'!$B$4:$B$6,0),'Receitas Tarifárias'!G$223)</f>
        <v>0.30000000000000004</v>
      </c>
      <c r="H250" s="141" cm="1">
        <f t="array" ref="H250">INDEX('TAG e inad.'!$C$4:$AF$6,MATCH($E250,'TAG e inad.'!$B$4:$B$6,0),'Receitas Tarifárias'!H$223)</f>
        <v>0.41000000000000003</v>
      </c>
      <c r="I250" s="141" cm="1">
        <f t="array" ref="I250">INDEX('TAG e inad.'!$C$4:$AF$6,MATCH($E250,'TAG e inad.'!$B$4:$B$6,0),'Receitas Tarifárias'!I$223)</f>
        <v>0.5</v>
      </c>
      <c r="J250" s="141" cm="1">
        <f t="array" ref="J250">INDEX('TAG e inad.'!$C$4:$AF$6,MATCH($E250,'TAG e inad.'!$B$4:$B$6,0),'Receitas Tarifárias'!J$223)</f>
        <v>0.58000000000000007</v>
      </c>
      <c r="K250" s="141" cm="1">
        <f t="array" ref="K250">INDEX('TAG e inad.'!$C$4:$AF$6,MATCH($E250,'TAG e inad.'!$B$4:$B$6,0),'Receitas Tarifárias'!K$223)</f>
        <v>0.64</v>
      </c>
      <c r="L250" s="141" cm="1">
        <f t="array" ref="L250">INDEX('TAG e inad.'!$C$4:$AF$6,MATCH($E250,'TAG e inad.'!$B$4:$B$6,0),'Receitas Tarifárias'!L$223)</f>
        <v>0.69</v>
      </c>
      <c r="M250" s="141" cm="1">
        <f t="array" ref="M250">INDEX('TAG e inad.'!$C$4:$AF$6,MATCH($E250,'TAG e inad.'!$B$4:$B$6,0),'Receitas Tarifárias'!M$223)</f>
        <v>0.74</v>
      </c>
      <c r="N250" s="141" cm="1">
        <f t="array" ref="N250">INDEX('TAG e inad.'!$C$4:$AF$6,MATCH($E250,'TAG e inad.'!$B$4:$B$6,0),'Receitas Tarifárias'!N$223)</f>
        <v>0.78</v>
      </c>
      <c r="O250" s="141" cm="1">
        <f t="array" ref="O250">INDEX('TAG e inad.'!$C$4:$AF$6,MATCH($E250,'TAG e inad.'!$B$4:$B$6,0),'Receitas Tarifárias'!O$223)</f>
        <v>0.8</v>
      </c>
      <c r="P250" s="141" cm="1">
        <f t="array" ref="P250">INDEX('TAG e inad.'!$C$4:$AF$6,MATCH($E250,'TAG e inad.'!$B$4:$B$6,0),'Receitas Tarifárias'!P$223)</f>
        <v>0.81</v>
      </c>
      <c r="Q250" s="141" cm="1">
        <f t="array" ref="Q250">INDEX('TAG e inad.'!$C$4:$AF$6,MATCH($E250,'TAG e inad.'!$B$4:$B$6,0),'Receitas Tarifárias'!Q$223)</f>
        <v>0.81</v>
      </c>
      <c r="R250" s="141" cm="1">
        <f t="array" ref="R250">INDEX('TAG e inad.'!$C$4:$AF$6,MATCH($E250,'TAG e inad.'!$B$4:$B$6,0),'Receitas Tarifárias'!R$223)</f>
        <v>0.81</v>
      </c>
      <c r="S250" s="141" cm="1">
        <f t="array" ref="S250">INDEX('TAG e inad.'!$C$4:$AF$6,MATCH($E250,'TAG e inad.'!$B$4:$B$6,0),'Receitas Tarifárias'!S$223)</f>
        <v>0.81</v>
      </c>
      <c r="T250" s="141" cm="1">
        <f t="array" ref="T250">INDEX('TAG e inad.'!$C$4:$AF$6,MATCH($E250,'TAG e inad.'!$B$4:$B$6,0),'Receitas Tarifárias'!T$223)</f>
        <v>0.81</v>
      </c>
      <c r="U250" s="141" cm="1">
        <f t="array" ref="U250">INDEX('TAG e inad.'!$C$4:$AF$6,MATCH($E250,'TAG e inad.'!$B$4:$B$6,0),'Receitas Tarifárias'!U$223)</f>
        <v>0.81</v>
      </c>
      <c r="V250" s="141" cm="1">
        <f t="array" ref="V250">INDEX('TAG e inad.'!$C$4:$AF$6,MATCH($E250,'TAG e inad.'!$B$4:$B$6,0),'Receitas Tarifárias'!V$223)</f>
        <v>0.81</v>
      </c>
      <c r="W250" s="141" cm="1">
        <f t="array" ref="W250">INDEX('TAG e inad.'!$C$4:$AF$6,MATCH($E250,'TAG e inad.'!$B$4:$B$6,0),'Receitas Tarifárias'!W$223)</f>
        <v>0.81</v>
      </c>
      <c r="X250" s="141" cm="1">
        <f t="array" ref="X250">INDEX('TAG e inad.'!$C$4:$AF$6,MATCH($E250,'TAG e inad.'!$B$4:$B$6,0),'Receitas Tarifárias'!X$223)</f>
        <v>0.81</v>
      </c>
      <c r="Y250" s="141" cm="1">
        <f t="array" ref="Y250">INDEX('TAG e inad.'!$C$4:$AF$6,MATCH($E250,'TAG e inad.'!$B$4:$B$6,0),'Receitas Tarifárias'!Y$223)</f>
        <v>0.81</v>
      </c>
      <c r="Z250" s="141" cm="1">
        <f t="array" ref="Z250">INDEX('TAG e inad.'!$C$4:$AF$6,MATCH($E250,'TAG e inad.'!$B$4:$B$6,0),'Receitas Tarifárias'!Z$223)</f>
        <v>0.81</v>
      </c>
      <c r="AA250" s="141" cm="1">
        <f t="array" ref="AA250">INDEX('TAG e inad.'!$C$4:$AF$6,MATCH($E250,'TAG e inad.'!$B$4:$B$6,0),'Receitas Tarifárias'!AA$223)</f>
        <v>0.81</v>
      </c>
      <c r="AB250" s="141" cm="1">
        <f t="array" ref="AB250">INDEX('TAG e inad.'!$C$4:$AF$6,MATCH($E250,'TAG e inad.'!$B$4:$B$6,0),'Receitas Tarifárias'!AB$223)</f>
        <v>0.81</v>
      </c>
      <c r="AC250" s="141" cm="1">
        <f t="array" ref="AC250">INDEX('TAG e inad.'!$C$4:$AF$6,MATCH($E250,'TAG e inad.'!$B$4:$B$6,0),'Receitas Tarifárias'!AC$223)</f>
        <v>0.81</v>
      </c>
      <c r="AD250" s="141" cm="1">
        <f t="array" ref="AD250">INDEX('TAG e inad.'!$C$4:$AF$6,MATCH($E250,'TAG e inad.'!$B$4:$B$6,0),'Receitas Tarifárias'!AD$223)</f>
        <v>0.81</v>
      </c>
      <c r="AE250" s="141" cm="1">
        <f t="array" ref="AE250">INDEX('TAG e inad.'!$C$4:$AF$6,MATCH($E250,'TAG e inad.'!$B$4:$B$6,0),'Receitas Tarifárias'!AE$223)</f>
        <v>0.81</v>
      </c>
      <c r="AF250" s="141" cm="1">
        <f t="array" ref="AF250">INDEX('TAG e inad.'!$C$4:$AF$6,MATCH($E250,'TAG e inad.'!$B$4:$B$6,0),'Receitas Tarifárias'!AF$223)</f>
        <v>0.81</v>
      </c>
      <c r="AG250" s="141" cm="1">
        <f t="array" ref="AG250">INDEX('TAG e inad.'!$C$4:$AF$6,MATCH($E250,'TAG e inad.'!$B$4:$B$6,0),'Receitas Tarifárias'!AG$223)</f>
        <v>0.81</v>
      </c>
      <c r="AH250" s="141" cm="1">
        <f t="array" ref="AH250">INDEX('TAG e inad.'!$C$4:$AF$6,MATCH($E250,'TAG e inad.'!$B$4:$B$6,0),'Receitas Tarifárias'!AH$223)</f>
        <v>0.81</v>
      </c>
      <c r="AI250" s="141" cm="1">
        <f t="array" ref="AI250">INDEX('TAG e inad.'!$C$4:$AF$6,MATCH($E250,'TAG e inad.'!$B$4:$B$6,0),'Receitas Tarifárias'!AI$223)</f>
        <v>0.81</v>
      </c>
    </row>
    <row r="251" spans="2:35">
      <c r="B251" s="149">
        <v>3</v>
      </c>
      <c r="C251" s="149">
        <v>3</v>
      </c>
      <c r="D251" s="145" t="str">
        <v>Veículos Comerciais com 2 Eixos</v>
      </c>
      <c r="E251" s="145" t="str">
        <v>Pesados I</v>
      </c>
      <c r="F251" s="141" cm="1">
        <f t="array" ref="F251">INDEX('TAG e inad.'!$C$4:$AF$6,MATCH($E251,'TAG e inad.'!$B$4:$B$6,0),'Receitas Tarifárias'!F$223)</f>
        <v>0.5</v>
      </c>
      <c r="G251" s="141" cm="1">
        <f t="array" ref="G251">INDEX('TAG e inad.'!$C$4:$AF$6,MATCH($E251,'TAG e inad.'!$B$4:$B$6,0),'Receitas Tarifárias'!G$223)</f>
        <v>0.56999999999999995</v>
      </c>
      <c r="H251" s="141" cm="1">
        <f t="array" ref="H251">INDEX('TAG e inad.'!$C$4:$AF$6,MATCH($E251,'TAG e inad.'!$B$4:$B$6,0),'Receitas Tarifárias'!H$223)</f>
        <v>0.65</v>
      </c>
      <c r="I251" s="141" cm="1">
        <f t="array" ref="I251">INDEX('TAG e inad.'!$C$4:$AF$6,MATCH($E251,'TAG e inad.'!$B$4:$B$6,0),'Receitas Tarifárias'!I$223)</f>
        <v>0.72</v>
      </c>
      <c r="J251" s="141" cm="1">
        <f t="array" ref="J251">INDEX('TAG e inad.'!$C$4:$AF$6,MATCH($E251,'TAG e inad.'!$B$4:$B$6,0),'Receitas Tarifárias'!J$223)</f>
        <v>0.78</v>
      </c>
      <c r="K251" s="141" cm="1">
        <f t="array" ref="K251">INDEX('TAG e inad.'!$C$4:$AF$6,MATCH($E251,'TAG e inad.'!$B$4:$B$6,0),'Receitas Tarifárias'!K$223)</f>
        <v>0.82</v>
      </c>
      <c r="L251" s="141" cm="1">
        <f t="array" ref="L251">INDEX('TAG e inad.'!$C$4:$AF$6,MATCH($E251,'TAG e inad.'!$B$4:$B$6,0),'Receitas Tarifárias'!L$223)</f>
        <v>0.86</v>
      </c>
      <c r="M251" s="141" cm="1">
        <f t="array" ref="M251">INDEX('TAG e inad.'!$C$4:$AF$6,MATCH($E251,'TAG e inad.'!$B$4:$B$6,0),'Receitas Tarifárias'!M$223)</f>
        <v>0.89</v>
      </c>
      <c r="N251" s="141" cm="1">
        <f t="array" ref="N251">INDEX('TAG e inad.'!$C$4:$AF$6,MATCH($E251,'TAG e inad.'!$B$4:$B$6,0),'Receitas Tarifárias'!N$223)</f>
        <v>0.9</v>
      </c>
      <c r="O251" s="141" cm="1">
        <f t="array" ref="O251">INDEX('TAG e inad.'!$C$4:$AF$6,MATCH($E251,'TAG e inad.'!$B$4:$B$6,0),'Receitas Tarifárias'!O$223)</f>
        <v>0.9</v>
      </c>
      <c r="P251" s="141" cm="1">
        <f t="array" ref="P251">INDEX('TAG e inad.'!$C$4:$AF$6,MATCH($E251,'TAG e inad.'!$B$4:$B$6,0),'Receitas Tarifárias'!P$223)</f>
        <v>0.9</v>
      </c>
      <c r="Q251" s="141" cm="1">
        <f t="array" ref="Q251">INDEX('TAG e inad.'!$C$4:$AF$6,MATCH($E251,'TAG e inad.'!$B$4:$B$6,0),'Receitas Tarifárias'!Q$223)</f>
        <v>0.9</v>
      </c>
      <c r="R251" s="141" cm="1">
        <f t="array" ref="R251">INDEX('TAG e inad.'!$C$4:$AF$6,MATCH($E251,'TAG e inad.'!$B$4:$B$6,0),'Receitas Tarifárias'!R$223)</f>
        <v>0.9</v>
      </c>
      <c r="S251" s="141" cm="1">
        <f t="array" ref="S251">INDEX('TAG e inad.'!$C$4:$AF$6,MATCH($E251,'TAG e inad.'!$B$4:$B$6,0),'Receitas Tarifárias'!S$223)</f>
        <v>0.9</v>
      </c>
      <c r="T251" s="141" cm="1">
        <f t="array" ref="T251">INDEX('TAG e inad.'!$C$4:$AF$6,MATCH($E251,'TAG e inad.'!$B$4:$B$6,0),'Receitas Tarifárias'!T$223)</f>
        <v>0.9</v>
      </c>
      <c r="U251" s="141" cm="1">
        <f t="array" ref="U251">INDEX('TAG e inad.'!$C$4:$AF$6,MATCH($E251,'TAG e inad.'!$B$4:$B$6,0),'Receitas Tarifárias'!U$223)</f>
        <v>0.9</v>
      </c>
      <c r="V251" s="141" cm="1">
        <f t="array" ref="V251">INDEX('TAG e inad.'!$C$4:$AF$6,MATCH($E251,'TAG e inad.'!$B$4:$B$6,0),'Receitas Tarifárias'!V$223)</f>
        <v>0.9</v>
      </c>
      <c r="W251" s="141" cm="1">
        <f t="array" ref="W251">INDEX('TAG e inad.'!$C$4:$AF$6,MATCH($E251,'TAG e inad.'!$B$4:$B$6,0),'Receitas Tarifárias'!W$223)</f>
        <v>0.9</v>
      </c>
      <c r="X251" s="141" cm="1">
        <f t="array" ref="X251">INDEX('TAG e inad.'!$C$4:$AF$6,MATCH($E251,'TAG e inad.'!$B$4:$B$6,0),'Receitas Tarifárias'!X$223)</f>
        <v>0.9</v>
      </c>
      <c r="Y251" s="141" cm="1">
        <f t="array" ref="Y251">INDEX('TAG e inad.'!$C$4:$AF$6,MATCH($E251,'TAG e inad.'!$B$4:$B$6,0),'Receitas Tarifárias'!Y$223)</f>
        <v>0.9</v>
      </c>
      <c r="Z251" s="141" cm="1">
        <f t="array" ref="Z251">INDEX('TAG e inad.'!$C$4:$AF$6,MATCH($E251,'TAG e inad.'!$B$4:$B$6,0),'Receitas Tarifárias'!Z$223)</f>
        <v>0.9</v>
      </c>
      <c r="AA251" s="141" cm="1">
        <f t="array" ref="AA251">INDEX('TAG e inad.'!$C$4:$AF$6,MATCH($E251,'TAG e inad.'!$B$4:$B$6,0),'Receitas Tarifárias'!AA$223)</f>
        <v>0.9</v>
      </c>
      <c r="AB251" s="141" cm="1">
        <f t="array" ref="AB251">INDEX('TAG e inad.'!$C$4:$AF$6,MATCH($E251,'TAG e inad.'!$B$4:$B$6,0),'Receitas Tarifárias'!AB$223)</f>
        <v>0.9</v>
      </c>
      <c r="AC251" s="141" cm="1">
        <f t="array" ref="AC251">INDEX('TAG e inad.'!$C$4:$AF$6,MATCH($E251,'TAG e inad.'!$B$4:$B$6,0),'Receitas Tarifárias'!AC$223)</f>
        <v>0.9</v>
      </c>
      <c r="AD251" s="141" cm="1">
        <f t="array" ref="AD251">INDEX('TAG e inad.'!$C$4:$AF$6,MATCH($E251,'TAG e inad.'!$B$4:$B$6,0),'Receitas Tarifárias'!AD$223)</f>
        <v>0.9</v>
      </c>
      <c r="AE251" s="141" cm="1">
        <f t="array" ref="AE251">INDEX('TAG e inad.'!$C$4:$AF$6,MATCH($E251,'TAG e inad.'!$B$4:$B$6,0),'Receitas Tarifárias'!AE$223)</f>
        <v>0.9</v>
      </c>
      <c r="AF251" s="141" cm="1">
        <f t="array" ref="AF251">INDEX('TAG e inad.'!$C$4:$AF$6,MATCH($E251,'TAG e inad.'!$B$4:$B$6,0),'Receitas Tarifárias'!AF$223)</f>
        <v>0.9</v>
      </c>
      <c r="AG251" s="141" cm="1">
        <f t="array" ref="AG251">INDEX('TAG e inad.'!$C$4:$AF$6,MATCH($E251,'TAG e inad.'!$B$4:$B$6,0),'Receitas Tarifárias'!AG$223)</f>
        <v>0.9</v>
      </c>
      <c r="AH251" s="141" cm="1">
        <f t="array" ref="AH251">INDEX('TAG e inad.'!$C$4:$AF$6,MATCH($E251,'TAG e inad.'!$B$4:$B$6,0),'Receitas Tarifárias'!AH$223)</f>
        <v>0.9</v>
      </c>
      <c r="AI251" s="141" cm="1">
        <f t="array" ref="AI251">INDEX('TAG e inad.'!$C$4:$AF$6,MATCH($E251,'TAG e inad.'!$B$4:$B$6,0),'Receitas Tarifárias'!AI$223)</f>
        <v>0.9</v>
      </c>
    </row>
    <row r="252" spans="2:35">
      <c r="B252" s="149">
        <v>3</v>
      </c>
      <c r="C252" s="149">
        <v>4</v>
      </c>
      <c r="D252" s="145" t="str">
        <v>Veículos Comerciais com 3 Eixos</v>
      </c>
      <c r="E252" s="145" t="str">
        <v>Pesados I</v>
      </c>
      <c r="F252" s="141" cm="1">
        <f t="array" ref="F252">INDEX('TAG e inad.'!$C$4:$AF$6,MATCH($E252,'TAG e inad.'!$B$4:$B$6,0),'Receitas Tarifárias'!F$223)</f>
        <v>0.5</v>
      </c>
      <c r="G252" s="141" cm="1">
        <f t="array" ref="G252">INDEX('TAG e inad.'!$C$4:$AF$6,MATCH($E252,'TAG e inad.'!$B$4:$B$6,0),'Receitas Tarifárias'!G$223)</f>
        <v>0.56999999999999995</v>
      </c>
      <c r="H252" s="141" cm="1">
        <f t="array" ref="H252">INDEX('TAG e inad.'!$C$4:$AF$6,MATCH($E252,'TAG e inad.'!$B$4:$B$6,0),'Receitas Tarifárias'!H$223)</f>
        <v>0.65</v>
      </c>
      <c r="I252" s="141" cm="1">
        <f t="array" ref="I252">INDEX('TAG e inad.'!$C$4:$AF$6,MATCH($E252,'TAG e inad.'!$B$4:$B$6,0),'Receitas Tarifárias'!I$223)</f>
        <v>0.72</v>
      </c>
      <c r="J252" s="141" cm="1">
        <f t="array" ref="J252">INDEX('TAG e inad.'!$C$4:$AF$6,MATCH($E252,'TAG e inad.'!$B$4:$B$6,0),'Receitas Tarifárias'!J$223)</f>
        <v>0.78</v>
      </c>
      <c r="K252" s="141" cm="1">
        <f t="array" ref="K252">INDEX('TAG e inad.'!$C$4:$AF$6,MATCH($E252,'TAG e inad.'!$B$4:$B$6,0),'Receitas Tarifárias'!K$223)</f>
        <v>0.82</v>
      </c>
      <c r="L252" s="141" cm="1">
        <f t="array" ref="L252">INDEX('TAG e inad.'!$C$4:$AF$6,MATCH($E252,'TAG e inad.'!$B$4:$B$6,0),'Receitas Tarifárias'!L$223)</f>
        <v>0.86</v>
      </c>
      <c r="M252" s="141" cm="1">
        <f t="array" ref="M252">INDEX('TAG e inad.'!$C$4:$AF$6,MATCH($E252,'TAG e inad.'!$B$4:$B$6,0),'Receitas Tarifárias'!M$223)</f>
        <v>0.89</v>
      </c>
      <c r="N252" s="141" cm="1">
        <f t="array" ref="N252">INDEX('TAG e inad.'!$C$4:$AF$6,MATCH($E252,'TAG e inad.'!$B$4:$B$6,0),'Receitas Tarifárias'!N$223)</f>
        <v>0.9</v>
      </c>
      <c r="O252" s="141" cm="1">
        <f t="array" ref="O252">INDEX('TAG e inad.'!$C$4:$AF$6,MATCH($E252,'TAG e inad.'!$B$4:$B$6,0),'Receitas Tarifárias'!O$223)</f>
        <v>0.9</v>
      </c>
      <c r="P252" s="141" cm="1">
        <f t="array" ref="P252">INDEX('TAG e inad.'!$C$4:$AF$6,MATCH($E252,'TAG e inad.'!$B$4:$B$6,0),'Receitas Tarifárias'!P$223)</f>
        <v>0.9</v>
      </c>
      <c r="Q252" s="141" cm="1">
        <f t="array" ref="Q252">INDEX('TAG e inad.'!$C$4:$AF$6,MATCH($E252,'TAG e inad.'!$B$4:$B$6,0),'Receitas Tarifárias'!Q$223)</f>
        <v>0.9</v>
      </c>
      <c r="R252" s="141" cm="1">
        <f t="array" ref="R252">INDEX('TAG e inad.'!$C$4:$AF$6,MATCH($E252,'TAG e inad.'!$B$4:$B$6,0),'Receitas Tarifárias'!R$223)</f>
        <v>0.9</v>
      </c>
      <c r="S252" s="141" cm="1">
        <f t="array" ref="S252">INDEX('TAG e inad.'!$C$4:$AF$6,MATCH($E252,'TAG e inad.'!$B$4:$B$6,0),'Receitas Tarifárias'!S$223)</f>
        <v>0.9</v>
      </c>
      <c r="T252" s="141" cm="1">
        <f t="array" ref="T252">INDEX('TAG e inad.'!$C$4:$AF$6,MATCH($E252,'TAG e inad.'!$B$4:$B$6,0),'Receitas Tarifárias'!T$223)</f>
        <v>0.9</v>
      </c>
      <c r="U252" s="141" cm="1">
        <f t="array" ref="U252">INDEX('TAG e inad.'!$C$4:$AF$6,MATCH($E252,'TAG e inad.'!$B$4:$B$6,0),'Receitas Tarifárias'!U$223)</f>
        <v>0.9</v>
      </c>
      <c r="V252" s="141" cm="1">
        <f t="array" ref="V252">INDEX('TAG e inad.'!$C$4:$AF$6,MATCH($E252,'TAG e inad.'!$B$4:$B$6,0),'Receitas Tarifárias'!V$223)</f>
        <v>0.9</v>
      </c>
      <c r="W252" s="141" cm="1">
        <f t="array" ref="W252">INDEX('TAG e inad.'!$C$4:$AF$6,MATCH($E252,'TAG e inad.'!$B$4:$B$6,0),'Receitas Tarifárias'!W$223)</f>
        <v>0.9</v>
      </c>
      <c r="X252" s="141" cm="1">
        <f t="array" ref="X252">INDEX('TAG e inad.'!$C$4:$AF$6,MATCH($E252,'TAG e inad.'!$B$4:$B$6,0),'Receitas Tarifárias'!X$223)</f>
        <v>0.9</v>
      </c>
      <c r="Y252" s="141" cm="1">
        <f t="array" ref="Y252">INDEX('TAG e inad.'!$C$4:$AF$6,MATCH($E252,'TAG e inad.'!$B$4:$B$6,0),'Receitas Tarifárias'!Y$223)</f>
        <v>0.9</v>
      </c>
      <c r="Z252" s="141" cm="1">
        <f t="array" ref="Z252">INDEX('TAG e inad.'!$C$4:$AF$6,MATCH($E252,'TAG e inad.'!$B$4:$B$6,0),'Receitas Tarifárias'!Z$223)</f>
        <v>0.9</v>
      </c>
      <c r="AA252" s="141" cm="1">
        <f t="array" ref="AA252">INDEX('TAG e inad.'!$C$4:$AF$6,MATCH($E252,'TAG e inad.'!$B$4:$B$6,0),'Receitas Tarifárias'!AA$223)</f>
        <v>0.9</v>
      </c>
      <c r="AB252" s="141" cm="1">
        <f t="array" ref="AB252">INDEX('TAG e inad.'!$C$4:$AF$6,MATCH($E252,'TAG e inad.'!$B$4:$B$6,0),'Receitas Tarifárias'!AB$223)</f>
        <v>0.9</v>
      </c>
      <c r="AC252" s="141" cm="1">
        <f t="array" ref="AC252">INDEX('TAG e inad.'!$C$4:$AF$6,MATCH($E252,'TAG e inad.'!$B$4:$B$6,0),'Receitas Tarifárias'!AC$223)</f>
        <v>0.9</v>
      </c>
      <c r="AD252" s="141" cm="1">
        <f t="array" ref="AD252">INDEX('TAG e inad.'!$C$4:$AF$6,MATCH($E252,'TAG e inad.'!$B$4:$B$6,0),'Receitas Tarifárias'!AD$223)</f>
        <v>0.9</v>
      </c>
      <c r="AE252" s="141" cm="1">
        <f t="array" ref="AE252">INDEX('TAG e inad.'!$C$4:$AF$6,MATCH($E252,'TAG e inad.'!$B$4:$B$6,0),'Receitas Tarifárias'!AE$223)</f>
        <v>0.9</v>
      </c>
      <c r="AF252" s="141" cm="1">
        <f t="array" ref="AF252">INDEX('TAG e inad.'!$C$4:$AF$6,MATCH($E252,'TAG e inad.'!$B$4:$B$6,0),'Receitas Tarifárias'!AF$223)</f>
        <v>0.9</v>
      </c>
      <c r="AG252" s="141" cm="1">
        <f t="array" ref="AG252">INDEX('TAG e inad.'!$C$4:$AF$6,MATCH($E252,'TAG e inad.'!$B$4:$B$6,0),'Receitas Tarifárias'!AG$223)</f>
        <v>0.9</v>
      </c>
      <c r="AH252" s="141" cm="1">
        <f t="array" ref="AH252">INDEX('TAG e inad.'!$C$4:$AF$6,MATCH($E252,'TAG e inad.'!$B$4:$B$6,0),'Receitas Tarifárias'!AH$223)</f>
        <v>0.9</v>
      </c>
      <c r="AI252" s="141" cm="1">
        <f t="array" ref="AI252">INDEX('TAG e inad.'!$C$4:$AF$6,MATCH($E252,'TAG e inad.'!$B$4:$B$6,0),'Receitas Tarifárias'!AI$223)</f>
        <v>0.9</v>
      </c>
    </row>
    <row r="253" spans="2:35">
      <c r="B253" s="149">
        <v>3</v>
      </c>
      <c r="C253" s="149">
        <v>5</v>
      </c>
      <c r="D253" s="145" t="str">
        <v>Veículos Comerciais com 4 Eixos</v>
      </c>
      <c r="E253" s="145" t="str">
        <v>Pesados I</v>
      </c>
      <c r="F253" s="141" cm="1">
        <f t="array" ref="F253">INDEX('TAG e inad.'!$C$4:$AF$6,MATCH($E253,'TAG e inad.'!$B$4:$B$6,0),'Receitas Tarifárias'!F$223)</f>
        <v>0.5</v>
      </c>
      <c r="G253" s="141" cm="1">
        <f t="array" ref="G253">INDEX('TAG e inad.'!$C$4:$AF$6,MATCH($E253,'TAG e inad.'!$B$4:$B$6,0),'Receitas Tarifárias'!G$223)</f>
        <v>0.56999999999999995</v>
      </c>
      <c r="H253" s="141" cm="1">
        <f t="array" ref="H253">INDEX('TAG e inad.'!$C$4:$AF$6,MATCH($E253,'TAG e inad.'!$B$4:$B$6,0),'Receitas Tarifárias'!H$223)</f>
        <v>0.65</v>
      </c>
      <c r="I253" s="141" cm="1">
        <f t="array" ref="I253">INDEX('TAG e inad.'!$C$4:$AF$6,MATCH($E253,'TAG e inad.'!$B$4:$B$6,0),'Receitas Tarifárias'!I$223)</f>
        <v>0.72</v>
      </c>
      <c r="J253" s="141" cm="1">
        <f t="array" ref="J253">INDEX('TAG e inad.'!$C$4:$AF$6,MATCH($E253,'TAG e inad.'!$B$4:$B$6,0),'Receitas Tarifárias'!J$223)</f>
        <v>0.78</v>
      </c>
      <c r="K253" s="141" cm="1">
        <f t="array" ref="K253">INDEX('TAG e inad.'!$C$4:$AF$6,MATCH($E253,'TAG e inad.'!$B$4:$B$6,0),'Receitas Tarifárias'!K$223)</f>
        <v>0.82</v>
      </c>
      <c r="L253" s="141" cm="1">
        <f t="array" ref="L253">INDEX('TAG e inad.'!$C$4:$AF$6,MATCH($E253,'TAG e inad.'!$B$4:$B$6,0),'Receitas Tarifárias'!L$223)</f>
        <v>0.86</v>
      </c>
      <c r="M253" s="141" cm="1">
        <f t="array" ref="M253">INDEX('TAG e inad.'!$C$4:$AF$6,MATCH($E253,'TAG e inad.'!$B$4:$B$6,0),'Receitas Tarifárias'!M$223)</f>
        <v>0.89</v>
      </c>
      <c r="N253" s="141" cm="1">
        <f t="array" ref="N253">INDEX('TAG e inad.'!$C$4:$AF$6,MATCH($E253,'TAG e inad.'!$B$4:$B$6,0),'Receitas Tarifárias'!N$223)</f>
        <v>0.9</v>
      </c>
      <c r="O253" s="141" cm="1">
        <f t="array" ref="O253">INDEX('TAG e inad.'!$C$4:$AF$6,MATCH($E253,'TAG e inad.'!$B$4:$B$6,0),'Receitas Tarifárias'!O$223)</f>
        <v>0.9</v>
      </c>
      <c r="P253" s="141" cm="1">
        <f t="array" ref="P253">INDEX('TAG e inad.'!$C$4:$AF$6,MATCH($E253,'TAG e inad.'!$B$4:$B$6,0),'Receitas Tarifárias'!P$223)</f>
        <v>0.9</v>
      </c>
      <c r="Q253" s="141" cm="1">
        <f t="array" ref="Q253">INDEX('TAG e inad.'!$C$4:$AF$6,MATCH($E253,'TAG e inad.'!$B$4:$B$6,0),'Receitas Tarifárias'!Q$223)</f>
        <v>0.9</v>
      </c>
      <c r="R253" s="141" cm="1">
        <f t="array" ref="R253">INDEX('TAG e inad.'!$C$4:$AF$6,MATCH($E253,'TAG e inad.'!$B$4:$B$6,0),'Receitas Tarifárias'!R$223)</f>
        <v>0.9</v>
      </c>
      <c r="S253" s="141" cm="1">
        <f t="array" ref="S253">INDEX('TAG e inad.'!$C$4:$AF$6,MATCH($E253,'TAG e inad.'!$B$4:$B$6,0),'Receitas Tarifárias'!S$223)</f>
        <v>0.9</v>
      </c>
      <c r="T253" s="141" cm="1">
        <f t="array" ref="T253">INDEX('TAG e inad.'!$C$4:$AF$6,MATCH($E253,'TAG e inad.'!$B$4:$B$6,0),'Receitas Tarifárias'!T$223)</f>
        <v>0.9</v>
      </c>
      <c r="U253" s="141" cm="1">
        <f t="array" ref="U253">INDEX('TAG e inad.'!$C$4:$AF$6,MATCH($E253,'TAG e inad.'!$B$4:$B$6,0),'Receitas Tarifárias'!U$223)</f>
        <v>0.9</v>
      </c>
      <c r="V253" s="141" cm="1">
        <f t="array" ref="V253">INDEX('TAG e inad.'!$C$4:$AF$6,MATCH($E253,'TAG e inad.'!$B$4:$B$6,0),'Receitas Tarifárias'!V$223)</f>
        <v>0.9</v>
      </c>
      <c r="W253" s="141" cm="1">
        <f t="array" ref="W253">INDEX('TAG e inad.'!$C$4:$AF$6,MATCH($E253,'TAG e inad.'!$B$4:$B$6,0),'Receitas Tarifárias'!W$223)</f>
        <v>0.9</v>
      </c>
      <c r="X253" s="141" cm="1">
        <f t="array" ref="X253">INDEX('TAG e inad.'!$C$4:$AF$6,MATCH($E253,'TAG e inad.'!$B$4:$B$6,0),'Receitas Tarifárias'!X$223)</f>
        <v>0.9</v>
      </c>
      <c r="Y253" s="141" cm="1">
        <f t="array" ref="Y253">INDEX('TAG e inad.'!$C$4:$AF$6,MATCH($E253,'TAG e inad.'!$B$4:$B$6,0),'Receitas Tarifárias'!Y$223)</f>
        <v>0.9</v>
      </c>
      <c r="Z253" s="141" cm="1">
        <f t="array" ref="Z253">INDEX('TAG e inad.'!$C$4:$AF$6,MATCH($E253,'TAG e inad.'!$B$4:$B$6,0),'Receitas Tarifárias'!Z$223)</f>
        <v>0.9</v>
      </c>
      <c r="AA253" s="141" cm="1">
        <f t="array" ref="AA253">INDEX('TAG e inad.'!$C$4:$AF$6,MATCH($E253,'TAG e inad.'!$B$4:$B$6,0),'Receitas Tarifárias'!AA$223)</f>
        <v>0.9</v>
      </c>
      <c r="AB253" s="141" cm="1">
        <f t="array" ref="AB253">INDEX('TAG e inad.'!$C$4:$AF$6,MATCH($E253,'TAG e inad.'!$B$4:$B$6,0),'Receitas Tarifárias'!AB$223)</f>
        <v>0.9</v>
      </c>
      <c r="AC253" s="141" cm="1">
        <f t="array" ref="AC253">INDEX('TAG e inad.'!$C$4:$AF$6,MATCH($E253,'TAG e inad.'!$B$4:$B$6,0),'Receitas Tarifárias'!AC$223)</f>
        <v>0.9</v>
      </c>
      <c r="AD253" s="141" cm="1">
        <f t="array" ref="AD253">INDEX('TAG e inad.'!$C$4:$AF$6,MATCH($E253,'TAG e inad.'!$B$4:$B$6,0),'Receitas Tarifárias'!AD$223)</f>
        <v>0.9</v>
      </c>
      <c r="AE253" s="141" cm="1">
        <f t="array" ref="AE253">INDEX('TAG e inad.'!$C$4:$AF$6,MATCH($E253,'TAG e inad.'!$B$4:$B$6,0),'Receitas Tarifárias'!AE$223)</f>
        <v>0.9</v>
      </c>
      <c r="AF253" s="141" cm="1">
        <f t="array" ref="AF253">INDEX('TAG e inad.'!$C$4:$AF$6,MATCH($E253,'TAG e inad.'!$B$4:$B$6,0),'Receitas Tarifárias'!AF$223)</f>
        <v>0.9</v>
      </c>
      <c r="AG253" s="141" cm="1">
        <f t="array" ref="AG253">INDEX('TAG e inad.'!$C$4:$AF$6,MATCH($E253,'TAG e inad.'!$B$4:$B$6,0),'Receitas Tarifárias'!AG$223)</f>
        <v>0.9</v>
      </c>
      <c r="AH253" s="141" cm="1">
        <f t="array" ref="AH253">INDEX('TAG e inad.'!$C$4:$AF$6,MATCH($E253,'TAG e inad.'!$B$4:$B$6,0),'Receitas Tarifárias'!AH$223)</f>
        <v>0.9</v>
      </c>
      <c r="AI253" s="141" cm="1">
        <f t="array" ref="AI253">INDEX('TAG e inad.'!$C$4:$AF$6,MATCH($E253,'TAG e inad.'!$B$4:$B$6,0),'Receitas Tarifárias'!AI$223)</f>
        <v>0.9</v>
      </c>
    </row>
    <row r="254" spans="2:35">
      <c r="B254" s="149">
        <v>3</v>
      </c>
      <c r="C254" s="149">
        <v>6</v>
      </c>
      <c r="D254" s="145" t="str">
        <v>Veículos Comerciais com 5 Eixos Articulado</v>
      </c>
      <c r="E254" s="145" t="str">
        <v>Pesados II</v>
      </c>
      <c r="F254" s="141" cm="1">
        <f t="array" ref="F254">INDEX('TAG e inad.'!$C$4:$AF$6,MATCH($E254,'TAG e inad.'!$B$4:$B$6,0),'Receitas Tarifárias'!F$223)</f>
        <v>0.5</v>
      </c>
      <c r="G254" s="141" cm="1">
        <f t="array" ref="G254">INDEX('TAG e inad.'!$C$4:$AF$6,MATCH($E254,'TAG e inad.'!$B$4:$B$6,0),'Receitas Tarifárias'!G$223)</f>
        <v>0.56999999999999995</v>
      </c>
      <c r="H254" s="141" cm="1">
        <f t="array" ref="H254">INDEX('TAG e inad.'!$C$4:$AF$6,MATCH($E254,'TAG e inad.'!$B$4:$B$6,0),'Receitas Tarifárias'!H$223)</f>
        <v>0.65</v>
      </c>
      <c r="I254" s="141" cm="1">
        <f t="array" ref="I254">INDEX('TAG e inad.'!$C$4:$AF$6,MATCH($E254,'TAG e inad.'!$B$4:$B$6,0),'Receitas Tarifárias'!I$223)</f>
        <v>0.72</v>
      </c>
      <c r="J254" s="141" cm="1">
        <f t="array" ref="J254">INDEX('TAG e inad.'!$C$4:$AF$6,MATCH($E254,'TAG e inad.'!$B$4:$B$6,0),'Receitas Tarifárias'!J$223)</f>
        <v>0.78</v>
      </c>
      <c r="K254" s="141" cm="1">
        <f t="array" ref="K254">INDEX('TAG e inad.'!$C$4:$AF$6,MATCH($E254,'TAG e inad.'!$B$4:$B$6,0),'Receitas Tarifárias'!K$223)</f>
        <v>0.82</v>
      </c>
      <c r="L254" s="141" cm="1">
        <f t="array" ref="L254">INDEX('TAG e inad.'!$C$4:$AF$6,MATCH($E254,'TAG e inad.'!$B$4:$B$6,0),'Receitas Tarifárias'!L$223)</f>
        <v>0.86</v>
      </c>
      <c r="M254" s="141" cm="1">
        <f t="array" ref="M254">INDEX('TAG e inad.'!$C$4:$AF$6,MATCH($E254,'TAG e inad.'!$B$4:$B$6,0),'Receitas Tarifárias'!M$223)</f>
        <v>0.89</v>
      </c>
      <c r="N254" s="141" cm="1">
        <f t="array" ref="N254">INDEX('TAG e inad.'!$C$4:$AF$6,MATCH($E254,'TAG e inad.'!$B$4:$B$6,0),'Receitas Tarifárias'!N$223)</f>
        <v>0.9</v>
      </c>
      <c r="O254" s="141" cm="1">
        <f t="array" ref="O254">INDEX('TAG e inad.'!$C$4:$AF$6,MATCH($E254,'TAG e inad.'!$B$4:$B$6,0),'Receitas Tarifárias'!O$223)</f>
        <v>0.9</v>
      </c>
      <c r="P254" s="141" cm="1">
        <f t="array" ref="P254">INDEX('TAG e inad.'!$C$4:$AF$6,MATCH($E254,'TAG e inad.'!$B$4:$B$6,0),'Receitas Tarifárias'!P$223)</f>
        <v>0.9</v>
      </c>
      <c r="Q254" s="141" cm="1">
        <f t="array" ref="Q254">INDEX('TAG e inad.'!$C$4:$AF$6,MATCH($E254,'TAG e inad.'!$B$4:$B$6,0),'Receitas Tarifárias'!Q$223)</f>
        <v>0.9</v>
      </c>
      <c r="R254" s="141" cm="1">
        <f t="array" ref="R254">INDEX('TAG e inad.'!$C$4:$AF$6,MATCH($E254,'TAG e inad.'!$B$4:$B$6,0),'Receitas Tarifárias'!R$223)</f>
        <v>0.9</v>
      </c>
      <c r="S254" s="141" cm="1">
        <f t="array" ref="S254">INDEX('TAG e inad.'!$C$4:$AF$6,MATCH($E254,'TAG e inad.'!$B$4:$B$6,0),'Receitas Tarifárias'!S$223)</f>
        <v>0.9</v>
      </c>
      <c r="T254" s="141" cm="1">
        <f t="array" ref="T254">INDEX('TAG e inad.'!$C$4:$AF$6,MATCH($E254,'TAG e inad.'!$B$4:$B$6,0),'Receitas Tarifárias'!T$223)</f>
        <v>0.9</v>
      </c>
      <c r="U254" s="141" cm="1">
        <f t="array" ref="U254">INDEX('TAG e inad.'!$C$4:$AF$6,MATCH($E254,'TAG e inad.'!$B$4:$B$6,0),'Receitas Tarifárias'!U$223)</f>
        <v>0.9</v>
      </c>
      <c r="V254" s="141" cm="1">
        <f t="array" ref="V254">INDEX('TAG e inad.'!$C$4:$AF$6,MATCH($E254,'TAG e inad.'!$B$4:$B$6,0),'Receitas Tarifárias'!V$223)</f>
        <v>0.9</v>
      </c>
      <c r="W254" s="141" cm="1">
        <f t="array" ref="W254">INDEX('TAG e inad.'!$C$4:$AF$6,MATCH($E254,'TAG e inad.'!$B$4:$B$6,0),'Receitas Tarifárias'!W$223)</f>
        <v>0.9</v>
      </c>
      <c r="X254" s="141" cm="1">
        <f t="array" ref="X254">INDEX('TAG e inad.'!$C$4:$AF$6,MATCH($E254,'TAG e inad.'!$B$4:$B$6,0),'Receitas Tarifárias'!X$223)</f>
        <v>0.9</v>
      </c>
      <c r="Y254" s="141" cm="1">
        <f t="array" ref="Y254">INDEX('TAG e inad.'!$C$4:$AF$6,MATCH($E254,'TAG e inad.'!$B$4:$B$6,0),'Receitas Tarifárias'!Y$223)</f>
        <v>0.9</v>
      </c>
      <c r="Z254" s="141" cm="1">
        <f t="array" ref="Z254">INDEX('TAG e inad.'!$C$4:$AF$6,MATCH($E254,'TAG e inad.'!$B$4:$B$6,0),'Receitas Tarifárias'!Z$223)</f>
        <v>0.9</v>
      </c>
      <c r="AA254" s="141" cm="1">
        <f t="array" ref="AA254">INDEX('TAG e inad.'!$C$4:$AF$6,MATCH($E254,'TAG e inad.'!$B$4:$B$6,0),'Receitas Tarifárias'!AA$223)</f>
        <v>0.9</v>
      </c>
      <c r="AB254" s="141" cm="1">
        <f t="array" ref="AB254">INDEX('TAG e inad.'!$C$4:$AF$6,MATCH($E254,'TAG e inad.'!$B$4:$B$6,0),'Receitas Tarifárias'!AB$223)</f>
        <v>0.9</v>
      </c>
      <c r="AC254" s="141" cm="1">
        <f t="array" ref="AC254">INDEX('TAG e inad.'!$C$4:$AF$6,MATCH($E254,'TAG e inad.'!$B$4:$B$6,0),'Receitas Tarifárias'!AC$223)</f>
        <v>0.9</v>
      </c>
      <c r="AD254" s="141" cm="1">
        <f t="array" ref="AD254">INDEX('TAG e inad.'!$C$4:$AF$6,MATCH($E254,'TAG e inad.'!$B$4:$B$6,0),'Receitas Tarifárias'!AD$223)</f>
        <v>0.9</v>
      </c>
      <c r="AE254" s="141" cm="1">
        <f t="array" ref="AE254">INDEX('TAG e inad.'!$C$4:$AF$6,MATCH($E254,'TAG e inad.'!$B$4:$B$6,0),'Receitas Tarifárias'!AE$223)</f>
        <v>0.9</v>
      </c>
      <c r="AF254" s="141" cm="1">
        <f t="array" ref="AF254">INDEX('TAG e inad.'!$C$4:$AF$6,MATCH($E254,'TAG e inad.'!$B$4:$B$6,0),'Receitas Tarifárias'!AF$223)</f>
        <v>0.9</v>
      </c>
      <c r="AG254" s="141" cm="1">
        <f t="array" ref="AG254">INDEX('TAG e inad.'!$C$4:$AF$6,MATCH($E254,'TAG e inad.'!$B$4:$B$6,0),'Receitas Tarifárias'!AG$223)</f>
        <v>0.9</v>
      </c>
      <c r="AH254" s="141" cm="1">
        <f t="array" ref="AH254">INDEX('TAG e inad.'!$C$4:$AF$6,MATCH($E254,'TAG e inad.'!$B$4:$B$6,0),'Receitas Tarifárias'!AH$223)</f>
        <v>0.9</v>
      </c>
      <c r="AI254" s="141" cm="1">
        <f t="array" ref="AI254">INDEX('TAG e inad.'!$C$4:$AF$6,MATCH($E254,'TAG e inad.'!$B$4:$B$6,0),'Receitas Tarifárias'!AI$223)</f>
        <v>0.9</v>
      </c>
    </row>
    <row r="255" spans="2:35">
      <c r="B255" s="149">
        <v>3</v>
      </c>
      <c r="C255" s="149">
        <v>7</v>
      </c>
      <c r="D255" s="145" t="str">
        <v>Veículos Comerciais com 6 Eixos Articulado</v>
      </c>
      <c r="E255" s="145" t="str">
        <v>Pesados II</v>
      </c>
      <c r="F255" s="141" cm="1">
        <f t="array" ref="F255">INDEX('TAG e inad.'!$C$4:$AF$6,MATCH($E255,'TAG e inad.'!$B$4:$B$6,0),'Receitas Tarifárias'!F$223)</f>
        <v>0.5</v>
      </c>
      <c r="G255" s="141" cm="1">
        <f t="array" ref="G255">INDEX('TAG e inad.'!$C$4:$AF$6,MATCH($E255,'TAG e inad.'!$B$4:$B$6,0),'Receitas Tarifárias'!G$223)</f>
        <v>0.56999999999999995</v>
      </c>
      <c r="H255" s="141" cm="1">
        <f t="array" ref="H255">INDEX('TAG e inad.'!$C$4:$AF$6,MATCH($E255,'TAG e inad.'!$B$4:$B$6,0),'Receitas Tarifárias'!H$223)</f>
        <v>0.65</v>
      </c>
      <c r="I255" s="141" cm="1">
        <f t="array" ref="I255">INDEX('TAG e inad.'!$C$4:$AF$6,MATCH($E255,'TAG e inad.'!$B$4:$B$6,0),'Receitas Tarifárias'!I$223)</f>
        <v>0.72</v>
      </c>
      <c r="J255" s="141" cm="1">
        <f t="array" ref="J255">INDEX('TAG e inad.'!$C$4:$AF$6,MATCH($E255,'TAG e inad.'!$B$4:$B$6,0),'Receitas Tarifárias'!J$223)</f>
        <v>0.78</v>
      </c>
      <c r="K255" s="141" cm="1">
        <f t="array" ref="K255">INDEX('TAG e inad.'!$C$4:$AF$6,MATCH($E255,'TAG e inad.'!$B$4:$B$6,0),'Receitas Tarifárias'!K$223)</f>
        <v>0.82</v>
      </c>
      <c r="L255" s="141" cm="1">
        <f t="array" ref="L255">INDEX('TAG e inad.'!$C$4:$AF$6,MATCH($E255,'TAG e inad.'!$B$4:$B$6,0),'Receitas Tarifárias'!L$223)</f>
        <v>0.86</v>
      </c>
      <c r="M255" s="141" cm="1">
        <f t="array" ref="M255">INDEX('TAG e inad.'!$C$4:$AF$6,MATCH($E255,'TAG e inad.'!$B$4:$B$6,0),'Receitas Tarifárias'!M$223)</f>
        <v>0.89</v>
      </c>
      <c r="N255" s="141" cm="1">
        <f t="array" ref="N255">INDEX('TAG e inad.'!$C$4:$AF$6,MATCH($E255,'TAG e inad.'!$B$4:$B$6,0),'Receitas Tarifárias'!N$223)</f>
        <v>0.9</v>
      </c>
      <c r="O255" s="141" cm="1">
        <f t="array" ref="O255">INDEX('TAG e inad.'!$C$4:$AF$6,MATCH($E255,'TAG e inad.'!$B$4:$B$6,0),'Receitas Tarifárias'!O$223)</f>
        <v>0.9</v>
      </c>
      <c r="P255" s="141" cm="1">
        <f t="array" ref="P255">INDEX('TAG e inad.'!$C$4:$AF$6,MATCH($E255,'TAG e inad.'!$B$4:$B$6,0),'Receitas Tarifárias'!P$223)</f>
        <v>0.9</v>
      </c>
      <c r="Q255" s="141" cm="1">
        <f t="array" ref="Q255">INDEX('TAG e inad.'!$C$4:$AF$6,MATCH($E255,'TAG e inad.'!$B$4:$B$6,0),'Receitas Tarifárias'!Q$223)</f>
        <v>0.9</v>
      </c>
      <c r="R255" s="141" cm="1">
        <f t="array" ref="R255">INDEX('TAG e inad.'!$C$4:$AF$6,MATCH($E255,'TAG e inad.'!$B$4:$B$6,0),'Receitas Tarifárias'!R$223)</f>
        <v>0.9</v>
      </c>
      <c r="S255" s="141" cm="1">
        <f t="array" ref="S255">INDEX('TAG e inad.'!$C$4:$AF$6,MATCH($E255,'TAG e inad.'!$B$4:$B$6,0),'Receitas Tarifárias'!S$223)</f>
        <v>0.9</v>
      </c>
      <c r="T255" s="141" cm="1">
        <f t="array" ref="T255">INDEX('TAG e inad.'!$C$4:$AF$6,MATCH($E255,'TAG e inad.'!$B$4:$B$6,0),'Receitas Tarifárias'!T$223)</f>
        <v>0.9</v>
      </c>
      <c r="U255" s="141" cm="1">
        <f t="array" ref="U255">INDEX('TAG e inad.'!$C$4:$AF$6,MATCH($E255,'TAG e inad.'!$B$4:$B$6,0),'Receitas Tarifárias'!U$223)</f>
        <v>0.9</v>
      </c>
      <c r="V255" s="141" cm="1">
        <f t="array" ref="V255">INDEX('TAG e inad.'!$C$4:$AF$6,MATCH($E255,'TAG e inad.'!$B$4:$B$6,0),'Receitas Tarifárias'!V$223)</f>
        <v>0.9</v>
      </c>
      <c r="W255" s="141" cm="1">
        <f t="array" ref="W255">INDEX('TAG e inad.'!$C$4:$AF$6,MATCH($E255,'TAG e inad.'!$B$4:$B$6,0),'Receitas Tarifárias'!W$223)</f>
        <v>0.9</v>
      </c>
      <c r="X255" s="141" cm="1">
        <f t="array" ref="X255">INDEX('TAG e inad.'!$C$4:$AF$6,MATCH($E255,'TAG e inad.'!$B$4:$B$6,0),'Receitas Tarifárias'!X$223)</f>
        <v>0.9</v>
      </c>
      <c r="Y255" s="141" cm="1">
        <f t="array" ref="Y255">INDEX('TAG e inad.'!$C$4:$AF$6,MATCH($E255,'TAG e inad.'!$B$4:$B$6,0),'Receitas Tarifárias'!Y$223)</f>
        <v>0.9</v>
      </c>
      <c r="Z255" s="141" cm="1">
        <f t="array" ref="Z255">INDEX('TAG e inad.'!$C$4:$AF$6,MATCH($E255,'TAG e inad.'!$B$4:$B$6,0),'Receitas Tarifárias'!Z$223)</f>
        <v>0.9</v>
      </c>
      <c r="AA255" s="141" cm="1">
        <f t="array" ref="AA255">INDEX('TAG e inad.'!$C$4:$AF$6,MATCH($E255,'TAG e inad.'!$B$4:$B$6,0),'Receitas Tarifárias'!AA$223)</f>
        <v>0.9</v>
      </c>
      <c r="AB255" s="141" cm="1">
        <f t="array" ref="AB255">INDEX('TAG e inad.'!$C$4:$AF$6,MATCH($E255,'TAG e inad.'!$B$4:$B$6,0),'Receitas Tarifárias'!AB$223)</f>
        <v>0.9</v>
      </c>
      <c r="AC255" s="141" cm="1">
        <f t="array" ref="AC255">INDEX('TAG e inad.'!$C$4:$AF$6,MATCH($E255,'TAG e inad.'!$B$4:$B$6,0),'Receitas Tarifárias'!AC$223)</f>
        <v>0.9</v>
      </c>
      <c r="AD255" s="141" cm="1">
        <f t="array" ref="AD255">INDEX('TAG e inad.'!$C$4:$AF$6,MATCH($E255,'TAG e inad.'!$B$4:$B$6,0),'Receitas Tarifárias'!AD$223)</f>
        <v>0.9</v>
      </c>
      <c r="AE255" s="141" cm="1">
        <f t="array" ref="AE255">INDEX('TAG e inad.'!$C$4:$AF$6,MATCH($E255,'TAG e inad.'!$B$4:$B$6,0),'Receitas Tarifárias'!AE$223)</f>
        <v>0.9</v>
      </c>
      <c r="AF255" s="141" cm="1">
        <f t="array" ref="AF255">INDEX('TAG e inad.'!$C$4:$AF$6,MATCH($E255,'TAG e inad.'!$B$4:$B$6,0),'Receitas Tarifárias'!AF$223)</f>
        <v>0.9</v>
      </c>
      <c r="AG255" s="141" cm="1">
        <f t="array" ref="AG255">INDEX('TAG e inad.'!$C$4:$AF$6,MATCH($E255,'TAG e inad.'!$B$4:$B$6,0),'Receitas Tarifárias'!AG$223)</f>
        <v>0.9</v>
      </c>
      <c r="AH255" s="141" cm="1">
        <f t="array" ref="AH255">INDEX('TAG e inad.'!$C$4:$AF$6,MATCH($E255,'TAG e inad.'!$B$4:$B$6,0),'Receitas Tarifárias'!AH$223)</f>
        <v>0.9</v>
      </c>
      <c r="AI255" s="141" cm="1">
        <f t="array" ref="AI255">INDEX('TAG e inad.'!$C$4:$AF$6,MATCH($E255,'TAG e inad.'!$B$4:$B$6,0),'Receitas Tarifárias'!AI$223)</f>
        <v>0.9</v>
      </c>
    </row>
    <row r="256" spans="2:35">
      <c r="B256" s="149">
        <v>3</v>
      </c>
      <c r="C256" s="149">
        <v>8</v>
      </c>
      <c r="D256" s="145" t="str">
        <v>Veículos Comerciais com 7 Eixos Articulado</v>
      </c>
      <c r="E256" s="145" t="str">
        <v>Pesados II</v>
      </c>
      <c r="F256" s="141" cm="1">
        <f t="array" ref="F256">INDEX('TAG e inad.'!$C$4:$AF$6,MATCH($E256,'TAG e inad.'!$B$4:$B$6,0),'Receitas Tarifárias'!F$223)</f>
        <v>0.5</v>
      </c>
      <c r="G256" s="141" cm="1">
        <f t="array" ref="G256">INDEX('TAG e inad.'!$C$4:$AF$6,MATCH($E256,'TAG e inad.'!$B$4:$B$6,0),'Receitas Tarifárias'!G$223)</f>
        <v>0.56999999999999995</v>
      </c>
      <c r="H256" s="141" cm="1">
        <f t="array" ref="H256">INDEX('TAG e inad.'!$C$4:$AF$6,MATCH($E256,'TAG e inad.'!$B$4:$B$6,0),'Receitas Tarifárias'!H$223)</f>
        <v>0.65</v>
      </c>
      <c r="I256" s="141" cm="1">
        <f t="array" ref="I256">INDEX('TAG e inad.'!$C$4:$AF$6,MATCH($E256,'TAG e inad.'!$B$4:$B$6,0),'Receitas Tarifárias'!I$223)</f>
        <v>0.72</v>
      </c>
      <c r="J256" s="141" cm="1">
        <f t="array" ref="J256">INDEX('TAG e inad.'!$C$4:$AF$6,MATCH($E256,'TAG e inad.'!$B$4:$B$6,0),'Receitas Tarifárias'!J$223)</f>
        <v>0.78</v>
      </c>
      <c r="K256" s="141" cm="1">
        <f t="array" ref="K256">INDEX('TAG e inad.'!$C$4:$AF$6,MATCH($E256,'TAG e inad.'!$B$4:$B$6,0),'Receitas Tarifárias'!K$223)</f>
        <v>0.82</v>
      </c>
      <c r="L256" s="141" cm="1">
        <f t="array" ref="L256">INDEX('TAG e inad.'!$C$4:$AF$6,MATCH($E256,'TAG e inad.'!$B$4:$B$6,0),'Receitas Tarifárias'!L$223)</f>
        <v>0.86</v>
      </c>
      <c r="M256" s="141" cm="1">
        <f t="array" ref="M256">INDEX('TAG e inad.'!$C$4:$AF$6,MATCH($E256,'TAG e inad.'!$B$4:$B$6,0),'Receitas Tarifárias'!M$223)</f>
        <v>0.89</v>
      </c>
      <c r="N256" s="141" cm="1">
        <f t="array" ref="N256">INDEX('TAG e inad.'!$C$4:$AF$6,MATCH($E256,'TAG e inad.'!$B$4:$B$6,0),'Receitas Tarifárias'!N$223)</f>
        <v>0.9</v>
      </c>
      <c r="O256" s="141" cm="1">
        <f t="array" ref="O256">INDEX('TAG e inad.'!$C$4:$AF$6,MATCH($E256,'TAG e inad.'!$B$4:$B$6,0),'Receitas Tarifárias'!O$223)</f>
        <v>0.9</v>
      </c>
      <c r="P256" s="141" cm="1">
        <f t="array" ref="P256">INDEX('TAG e inad.'!$C$4:$AF$6,MATCH($E256,'TAG e inad.'!$B$4:$B$6,0),'Receitas Tarifárias'!P$223)</f>
        <v>0.9</v>
      </c>
      <c r="Q256" s="141" cm="1">
        <f t="array" ref="Q256">INDEX('TAG e inad.'!$C$4:$AF$6,MATCH($E256,'TAG e inad.'!$B$4:$B$6,0),'Receitas Tarifárias'!Q$223)</f>
        <v>0.9</v>
      </c>
      <c r="R256" s="141" cm="1">
        <f t="array" ref="R256">INDEX('TAG e inad.'!$C$4:$AF$6,MATCH($E256,'TAG e inad.'!$B$4:$B$6,0),'Receitas Tarifárias'!R$223)</f>
        <v>0.9</v>
      </c>
      <c r="S256" s="141" cm="1">
        <f t="array" ref="S256">INDEX('TAG e inad.'!$C$4:$AF$6,MATCH($E256,'TAG e inad.'!$B$4:$B$6,0),'Receitas Tarifárias'!S$223)</f>
        <v>0.9</v>
      </c>
      <c r="T256" s="141" cm="1">
        <f t="array" ref="T256">INDEX('TAG e inad.'!$C$4:$AF$6,MATCH($E256,'TAG e inad.'!$B$4:$B$6,0),'Receitas Tarifárias'!T$223)</f>
        <v>0.9</v>
      </c>
      <c r="U256" s="141" cm="1">
        <f t="array" ref="U256">INDEX('TAG e inad.'!$C$4:$AF$6,MATCH($E256,'TAG e inad.'!$B$4:$B$6,0),'Receitas Tarifárias'!U$223)</f>
        <v>0.9</v>
      </c>
      <c r="V256" s="141" cm="1">
        <f t="array" ref="V256">INDEX('TAG e inad.'!$C$4:$AF$6,MATCH($E256,'TAG e inad.'!$B$4:$B$6,0),'Receitas Tarifárias'!V$223)</f>
        <v>0.9</v>
      </c>
      <c r="W256" s="141" cm="1">
        <f t="array" ref="W256">INDEX('TAG e inad.'!$C$4:$AF$6,MATCH($E256,'TAG e inad.'!$B$4:$B$6,0),'Receitas Tarifárias'!W$223)</f>
        <v>0.9</v>
      </c>
      <c r="X256" s="141" cm="1">
        <f t="array" ref="X256">INDEX('TAG e inad.'!$C$4:$AF$6,MATCH($E256,'TAG e inad.'!$B$4:$B$6,0),'Receitas Tarifárias'!X$223)</f>
        <v>0.9</v>
      </c>
      <c r="Y256" s="141" cm="1">
        <f t="array" ref="Y256">INDEX('TAG e inad.'!$C$4:$AF$6,MATCH($E256,'TAG e inad.'!$B$4:$B$6,0),'Receitas Tarifárias'!Y$223)</f>
        <v>0.9</v>
      </c>
      <c r="Z256" s="141" cm="1">
        <f t="array" ref="Z256">INDEX('TAG e inad.'!$C$4:$AF$6,MATCH($E256,'TAG e inad.'!$B$4:$B$6,0),'Receitas Tarifárias'!Z$223)</f>
        <v>0.9</v>
      </c>
      <c r="AA256" s="141" cm="1">
        <f t="array" ref="AA256">INDEX('TAG e inad.'!$C$4:$AF$6,MATCH($E256,'TAG e inad.'!$B$4:$B$6,0),'Receitas Tarifárias'!AA$223)</f>
        <v>0.9</v>
      </c>
      <c r="AB256" s="141" cm="1">
        <f t="array" ref="AB256">INDEX('TAG e inad.'!$C$4:$AF$6,MATCH($E256,'TAG e inad.'!$B$4:$B$6,0),'Receitas Tarifárias'!AB$223)</f>
        <v>0.9</v>
      </c>
      <c r="AC256" s="141" cm="1">
        <f t="array" ref="AC256">INDEX('TAG e inad.'!$C$4:$AF$6,MATCH($E256,'TAG e inad.'!$B$4:$B$6,0),'Receitas Tarifárias'!AC$223)</f>
        <v>0.9</v>
      </c>
      <c r="AD256" s="141" cm="1">
        <f t="array" ref="AD256">INDEX('TAG e inad.'!$C$4:$AF$6,MATCH($E256,'TAG e inad.'!$B$4:$B$6,0),'Receitas Tarifárias'!AD$223)</f>
        <v>0.9</v>
      </c>
      <c r="AE256" s="141" cm="1">
        <f t="array" ref="AE256">INDEX('TAG e inad.'!$C$4:$AF$6,MATCH($E256,'TAG e inad.'!$B$4:$B$6,0),'Receitas Tarifárias'!AE$223)</f>
        <v>0.9</v>
      </c>
      <c r="AF256" s="141" cm="1">
        <f t="array" ref="AF256">INDEX('TAG e inad.'!$C$4:$AF$6,MATCH($E256,'TAG e inad.'!$B$4:$B$6,0),'Receitas Tarifárias'!AF$223)</f>
        <v>0.9</v>
      </c>
      <c r="AG256" s="141" cm="1">
        <f t="array" ref="AG256">INDEX('TAG e inad.'!$C$4:$AF$6,MATCH($E256,'TAG e inad.'!$B$4:$B$6,0),'Receitas Tarifárias'!AG$223)</f>
        <v>0.9</v>
      </c>
      <c r="AH256" s="141" cm="1">
        <f t="array" ref="AH256">INDEX('TAG e inad.'!$C$4:$AF$6,MATCH($E256,'TAG e inad.'!$B$4:$B$6,0),'Receitas Tarifárias'!AH$223)</f>
        <v>0.9</v>
      </c>
      <c r="AI256" s="141" cm="1">
        <f t="array" ref="AI256">INDEX('TAG e inad.'!$C$4:$AF$6,MATCH($E256,'TAG e inad.'!$B$4:$B$6,0),'Receitas Tarifárias'!AI$223)</f>
        <v>0.9</v>
      </c>
    </row>
    <row r="257" spans="2:35">
      <c r="B257" s="149">
        <v>3</v>
      </c>
      <c r="C257" s="149">
        <v>9</v>
      </c>
      <c r="D257" s="145" t="str">
        <v>Veículos Comerciais com 8 Eixos Articulado</v>
      </c>
      <c r="E257" s="145" t="str">
        <v>Pesados II</v>
      </c>
      <c r="F257" s="141" cm="1">
        <f t="array" ref="F257">INDEX('TAG e inad.'!$C$4:$AF$6,MATCH($E257,'TAG e inad.'!$B$4:$B$6,0),'Receitas Tarifárias'!F$223)</f>
        <v>0.5</v>
      </c>
      <c r="G257" s="141" cm="1">
        <f t="array" ref="G257">INDEX('TAG e inad.'!$C$4:$AF$6,MATCH($E257,'TAG e inad.'!$B$4:$B$6,0),'Receitas Tarifárias'!G$223)</f>
        <v>0.56999999999999995</v>
      </c>
      <c r="H257" s="141" cm="1">
        <f t="array" ref="H257">INDEX('TAG e inad.'!$C$4:$AF$6,MATCH($E257,'TAG e inad.'!$B$4:$B$6,0),'Receitas Tarifárias'!H$223)</f>
        <v>0.65</v>
      </c>
      <c r="I257" s="141" cm="1">
        <f t="array" ref="I257">INDEX('TAG e inad.'!$C$4:$AF$6,MATCH($E257,'TAG e inad.'!$B$4:$B$6,0),'Receitas Tarifárias'!I$223)</f>
        <v>0.72</v>
      </c>
      <c r="J257" s="141" cm="1">
        <f t="array" ref="J257">INDEX('TAG e inad.'!$C$4:$AF$6,MATCH($E257,'TAG e inad.'!$B$4:$B$6,0),'Receitas Tarifárias'!J$223)</f>
        <v>0.78</v>
      </c>
      <c r="K257" s="141" cm="1">
        <f t="array" ref="K257">INDEX('TAG e inad.'!$C$4:$AF$6,MATCH($E257,'TAG e inad.'!$B$4:$B$6,0),'Receitas Tarifárias'!K$223)</f>
        <v>0.82</v>
      </c>
      <c r="L257" s="141" cm="1">
        <f t="array" ref="L257">INDEX('TAG e inad.'!$C$4:$AF$6,MATCH($E257,'TAG e inad.'!$B$4:$B$6,0),'Receitas Tarifárias'!L$223)</f>
        <v>0.86</v>
      </c>
      <c r="M257" s="141" cm="1">
        <f t="array" ref="M257">INDEX('TAG e inad.'!$C$4:$AF$6,MATCH($E257,'TAG e inad.'!$B$4:$B$6,0),'Receitas Tarifárias'!M$223)</f>
        <v>0.89</v>
      </c>
      <c r="N257" s="141" cm="1">
        <f t="array" ref="N257">INDEX('TAG e inad.'!$C$4:$AF$6,MATCH($E257,'TAG e inad.'!$B$4:$B$6,0),'Receitas Tarifárias'!N$223)</f>
        <v>0.9</v>
      </c>
      <c r="O257" s="141" cm="1">
        <f t="array" ref="O257">INDEX('TAG e inad.'!$C$4:$AF$6,MATCH($E257,'TAG e inad.'!$B$4:$B$6,0),'Receitas Tarifárias'!O$223)</f>
        <v>0.9</v>
      </c>
      <c r="P257" s="141" cm="1">
        <f t="array" ref="P257">INDEX('TAG e inad.'!$C$4:$AF$6,MATCH($E257,'TAG e inad.'!$B$4:$B$6,0),'Receitas Tarifárias'!P$223)</f>
        <v>0.9</v>
      </c>
      <c r="Q257" s="141" cm="1">
        <f t="array" ref="Q257">INDEX('TAG e inad.'!$C$4:$AF$6,MATCH($E257,'TAG e inad.'!$B$4:$B$6,0),'Receitas Tarifárias'!Q$223)</f>
        <v>0.9</v>
      </c>
      <c r="R257" s="141" cm="1">
        <f t="array" ref="R257">INDEX('TAG e inad.'!$C$4:$AF$6,MATCH($E257,'TAG e inad.'!$B$4:$B$6,0),'Receitas Tarifárias'!R$223)</f>
        <v>0.9</v>
      </c>
      <c r="S257" s="141" cm="1">
        <f t="array" ref="S257">INDEX('TAG e inad.'!$C$4:$AF$6,MATCH($E257,'TAG e inad.'!$B$4:$B$6,0),'Receitas Tarifárias'!S$223)</f>
        <v>0.9</v>
      </c>
      <c r="T257" s="141" cm="1">
        <f t="array" ref="T257">INDEX('TAG e inad.'!$C$4:$AF$6,MATCH($E257,'TAG e inad.'!$B$4:$B$6,0),'Receitas Tarifárias'!T$223)</f>
        <v>0.9</v>
      </c>
      <c r="U257" s="141" cm="1">
        <f t="array" ref="U257">INDEX('TAG e inad.'!$C$4:$AF$6,MATCH($E257,'TAG e inad.'!$B$4:$B$6,0),'Receitas Tarifárias'!U$223)</f>
        <v>0.9</v>
      </c>
      <c r="V257" s="141" cm="1">
        <f t="array" ref="V257">INDEX('TAG e inad.'!$C$4:$AF$6,MATCH($E257,'TAG e inad.'!$B$4:$B$6,0),'Receitas Tarifárias'!V$223)</f>
        <v>0.9</v>
      </c>
      <c r="W257" s="141" cm="1">
        <f t="array" ref="W257">INDEX('TAG e inad.'!$C$4:$AF$6,MATCH($E257,'TAG e inad.'!$B$4:$B$6,0),'Receitas Tarifárias'!W$223)</f>
        <v>0.9</v>
      </c>
      <c r="X257" s="141" cm="1">
        <f t="array" ref="X257">INDEX('TAG e inad.'!$C$4:$AF$6,MATCH($E257,'TAG e inad.'!$B$4:$B$6,0),'Receitas Tarifárias'!X$223)</f>
        <v>0.9</v>
      </c>
      <c r="Y257" s="141" cm="1">
        <f t="array" ref="Y257">INDEX('TAG e inad.'!$C$4:$AF$6,MATCH($E257,'TAG e inad.'!$B$4:$B$6,0),'Receitas Tarifárias'!Y$223)</f>
        <v>0.9</v>
      </c>
      <c r="Z257" s="141" cm="1">
        <f t="array" ref="Z257">INDEX('TAG e inad.'!$C$4:$AF$6,MATCH($E257,'TAG e inad.'!$B$4:$B$6,0),'Receitas Tarifárias'!Z$223)</f>
        <v>0.9</v>
      </c>
      <c r="AA257" s="141" cm="1">
        <f t="array" ref="AA257">INDEX('TAG e inad.'!$C$4:$AF$6,MATCH($E257,'TAG e inad.'!$B$4:$B$6,0),'Receitas Tarifárias'!AA$223)</f>
        <v>0.9</v>
      </c>
      <c r="AB257" s="141" cm="1">
        <f t="array" ref="AB257">INDEX('TAG e inad.'!$C$4:$AF$6,MATCH($E257,'TAG e inad.'!$B$4:$B$6,0),'Receitas Tarifárias'!AB$223)</f>
        <v>0.9</v>
      </c>
      <c r="AC257" s="141" cm="1">
        <f t="array" ref="AC257">INDEX('TAG e inad.'!$C$4:$AF$6,MATCH($E257,'TAG e inad.'!$B$4:$B$6,0),'Receitas Tarifárias'!AC$223)</f>
        <v>0.9</v>
      </c>
      <c r="AD257" s="141" cm="1">
        <f t="array" ref="AD257">INDEX('TAG e inad.'!$C$4:$AF$6,MATCH($E257,'TAG e inad.'!$B$4:$B$6,0),'Receitas Tarifárias'!AD$223)</f>
        <v>0.9</v>
      </c>
      <c r="AE257" s="141" cm="1">
        <f t="array" ref="AE257">INDEX('TAG e inad.'!$C$4:$AF$6,MATCH($E257,'TAG e inad.'!$B$4:$B$6,0),'Receitas Tarifárias'!AE$223)</f>
        <v>0.9</v>
      </c>
      <c r="AF257" s="141" cm="1">
        <f t="array" ref="AF257">INDEX('TAG e inad.'!$C$4:$AF$6,MATCH($E257,'TAG e inad.'!$B$4:$B$6,0),'Receitas Tarifárias'!AF$223)</f>
        <v>0.9</v>
      </c>
      <c r="AG257" s="141" cm="1">
        <f t="array" ref="AG257">INDEX('TAG e inad.'!$C$4:$AF$6,MATCH($E257,'TAG e inad.'!$B$4:$B$6,0),'Receitas Tarifárias'!AG$223)</f>
        <v>0.9</v>
      </c>
      <c r="AH257" s="141" cm="1">
        <f t="array" ref="AH257">INDEX('TAG e inad.'!$C$4:$AF$6,MATCH($E257,'TAG e inad.'!$B$4:$B$6,0),'Receitas Tarifárias'!AH$223)</f>
        <v>0.9</v>
      </c>
      <c r="AI257" s="141" cm="1">
        <f t="array" ref="AI257">INDEX('TAG e inad.'!$C$4:$AF$6,MATCH($E257,'TAG e inad.'!$B$4:$B$6,0),'Receitas Tarifárias'!AI$223)</f>
        <v>0.9</v>
      </c>
    </row>
    <row r="258" spans="2:35">
      <c r="B258" s="149">
        <v>3</v>
      </c>
      <c r="C258" s="149">
        <v>10</v>
      </c>
      <c r="D258" s="145" t="str">
        <v>Veículos Comerciais com 9 Eixos Articulado</v>
      </c>
      <c r="E258" s="145" t="str">
        <v>Pesados II</v>
      </c>
      <c r="F258" s="141" cm="1">
        <f t="array" ref="F258">INDEX('TAG e inad.'!$C$4:$AF$6,MATCH($E258,'TAG e inad.'!$B$4:$B$6,0),'Receitas Tarifárias'!F$223)</f>
        <v>0.5</v>
      </c>
      <c r="G258" s="141" cm="1">
        <f t="array" ref="G258">INDEX('TAG e inad.'!$C$4:$AF$6,MATCH($E258,'TAG e inad.'!$B$4:$B$6,0),'Receitas Tarifárias'!G$223)</f>
        <v>0.56999999999999995</v>
      </c>
      <c r="H258" s="141" cm="1">
        <f t="array" ref="H258">INDEX('TAG e inad.'!$C$4:$AF$6,MATCH($E258,'TAG e inad.'!$B$4:$B$6,0),'Receitas Tarifárias'!H$223)</f>
        <v>0.65</v>
      </c>
      <c r="I258" s="141" cm="1">
        <f t="array" ref="I258">INDEX('TAG e inad.'!$C$4:$AF$6,MATCH($E258,'TAG e inad.'!$B$4:$B$6,0),'Receitas Tarifárias'!I$223)</f>
        <v>0.72</v>
      </c>
      <c r="J258" s="141" cm="1">
        <f t="array" ref="J258">INDEX('TAG e inad.'!$C$4:$AF$6,MATCH($E258,'TAG e inad.'!$B$4:$B$6,0),'Receitas Tarifárias'!J$223)</f>
        <v>0.78</v>
      </c>
      <c r="K258" s="141" cm="1">
        <f t="array" ref="K258">INDEX('TAG e inad.'!$C$4:$AF$6,MATCH($E258,'TAG e inad.'!$B$4:$B$6,0),'Receitas Tarifárias'!K$223)</f>
        <v>0.82</v>
      </c>
      <c r="L258" s="141" cm="1">
        <f t="array" ref="L258">INDEX('TAG e inad.'!$C$4:$AF$6,MATCH($E258,'TAG e inad.'!$B$4:$B$6,0),'Receitas Tarifárias'!L$223)</f>
        <v>0.86</v>
      </c>
      <c r="M258" s="141" cm="1">
        <f t="array" ref="M258">INDEX('TAG e inad.'!$C$4:$AF$6,MATCH($E258,'TAG e inad.'!$B$4:$B$6,0),'Receitas Tarifárias'!M$223)</f>
        <v>0.89</v>
      </c>
      <c r="N258" s="141" cm="1">
        <f t="array" ref="N258">INDEX('TAG e inad.'!$C$4:$AF$6,MATCH($E258,'TAG e inad.'!$B$4:$B$6,0),'Receitas Tarifárias'!N$223)</f>
        <v>0.9</v>
      </c>
      <c r="O258" s="141" cm="1">
        <f t="array" ref="O258">INDEX('TAG e inad.'!$C$4:$AF$6,MATCH($E258,'TAG e inad.'!$B$4:$B$6,0),'Receitas Tarifárias'!O$223)</f>
        <v>0.9</v>
      </c>
      <c r="P258" s="141" cm="1">
        <f t="array" ref="P258">INDEX('TAG e inad.'!$C$4:$AF$6,MATCH($E258,'TAG e inad.'!$B$4:$B$6,0),'Receitas Tarifárias'!P$223)</f>
        <v>0.9</v>
      </c>
      <c r="Q258" s="141" cm="1">
        <f t="array" ref="Q258">INDEX('TAG e inad.'!$C$4:$AF$6,MATCH($E258,'TAG e inad.'!$B$4:$B$6,0),'Receitas Tarifárias'!Q$223)</f>
        <v>0.9</v>
      </c>
      <c r="R258" s="141" cm="1">
        <f t="array" ref="R258">INDEX('TAG e inad.'!$C$4:$AF$6,MATCH($E258,'TAG e inad.'!$B$4:$B$6,0),'Receitas Tarifárias'!R$223)</f>
        <v>0.9</v>
      </c>
      <c r="S258" s="141" cm="1">
        <f t="array" ref="S258">INDEX('TAG e inad.'!$C$4:$AF$6,MATCH($E258,'TAG e inad.'!$B$4:$B$6,0),'Receitas Tarifárias'!S$223)</f>
        <v>0.9</v>
      </c>
      <c r="T258" s="141" cm="1">
        <f t="array" ref="T258">INDEX('TAG e inad.'!$C$4:$AF$6,MATCH($E258,'TAG e inad.'!$B$4:$B$6,0),'Receitas Tarifárias'!T$223)</f>
        <v>0.9</v>
      </c>
      <c r="U258" s="141" cm="1">
        <f t="array" ref="U258">INDEX('TAG e inad.'!$C$4:$AF$6,MATCH($E258,'TAG e inad.'!$B$4:$B$6,0),'Receitas Tarifárias'!U$223)</f>
        <v>0.9</v>
      </c>
      <c r="V258" s="141" cm="1">
        <f t="array" ref="V258">INDEX('TAG e inad.'!$C$4:$AF$6,MATCH($E258,'TAG e inad.'!$B$4:$B$6,0),'Receitas Tarifárias'!V$223)</f>
        <v>0.9</v>
      </c>
      <c r="W258" s="141" cm="1">
        <f t="array" ref="W258">INDEX('TAG e inad.'!$C$4:$AF$6,MATCH($E258,'TAG e inad.'!$B$4:$B$6,0),'Receitas Tarifárias'!W$223)</f>
        <v>0.9</v>
      </c>
      <c r="X258" s="141" cm="1">
        <f t="array" ref="X258">INDEX('TAG e inad.'!$C$4:$AF$6,MATCH($E258,'TAG e inad.'!$B$4:$B$6,0),'Receitas Tarifárias'!X$223)</f>
        <v>0.9</v>
      </c>
      <c r="Y258" s="141" cm="1">
        <f t="array" ref="Y258">INDEX('TAG e inad.'!$C$4:$AF$6,MATCH($E258,'TAG e inad.'!$B$4:$B$6,0),'Receitas Tarifárias'!Y$223)</f>
        <v>0.9</v>
      </c>
      <c r="Z258" s="141" cm="1">
        <f t="array" ref="Z258">INDEX('TAG e inad.'!$C$4:$AF$6,MATCH($E258,'TAG e inad.'!$B$4:$B$6,0),'Receitas Tarifárias'!Z$223)</f>
        <v>0.9</v>
      </c>
      <c r="AA258" s="141" cm="1">
        <f t="array" ref="AA258">INDEX('TAG e inad.'!$C$4:$AF$6,MATCH($E258,'TAG e inad.'!$B$4:$B$6,0),'Receitas Tarifárias'!AA$223)</f>
        <v>0.9</v>
      </c>
      <c r="AB258" s="141" cm="1">
        <f t="array" ref="AB258">INDEX('TAG e inad.'!$C$4:$AF$6,MATCH($E258,'TAG e inad.'!$B$4:$B$6,0),'Receitas Tarifárias'!AB$223)</f>
        <v>0.9</v>
      </c>
      <c r="AC258" s="141" cm="1">
        <f t="array" ref="AC258">INDEX('TAG e inad.'!$C$4:$AF$6,MATCH($E258,'TAG e inad.'!$B$4:$B$6,0),'Receitas Tarifárias'!AC$223)</f>
        <v>0.9</v>
      </c>
      <c r="AD258" s="141" cm="1">
        <f t="array" ref="AD258">INDEX('TAG e inad.'!$C$4:$AF$6,MATCH($E258,'TAG e inad.'!$B$4:$B$6,0),'Receitas Tarifárias'!AD$223)</f>
        <v>0.9</v>
      </c>
      <c r="AE258" s="141" cm="1">
        <f t="array" ref="AE258">INDEX('TAG e inad.'!$C$4:$AF$6,MATCH($E258,'TAG e inad.'!$B$4:$B$6,0),'Receitas Tarifárias'!AE$223)</f>
        <v>0.9</v>
      </c>
      <c r="AF258" s="141" cm="1">
        <f t="array" ref="AF258">INDEX('TAG e inad.'!$C$4:$AF$6,MATCH($E258,'TAG e inad.'!$B$4:$B$6,0),'Receitas Tarifárias'!AF$223)</f>
        <v>0.9</v>
      </c>
      <c r="AG258" s="141" cm="1">
        <f t="array" ref="AG258">INDEX('TAG e inad.'!$C$4:$AF$6,MATCH($E258,'TAG e inad.'!$B$4:$B$6,0),'Receitas Tarifárias'!AG$223)</f>
        <v>0.9</v>
      </c>
      <c r="AH258" s="141" cm="1">
        <f t="array" ref="AH258">INDEX('TAG e inad.'!$C$4:$AF$6,MATCH($E258,'TAG e inad.'!$B$4:$B$6,0),'Receitas Tarifárias'!AH$223)</f>
        <v>0.9</v>
      </c>
      <c r="AI258" s="141" cm="1">
        <f t="array" ref="AI258">INDEX('TAG e inad.'!$C$4:$AF$6,MATCH($E258,'TAG e inad.'!$B$4:$B$6,0),'Receitas Tarifárias'!AI$223)</f>
        <v>0.9</v>
      </c>
    </row>
    <row r="259" spans="2:35">
      <c r="B259" s="149">
        <v>3</v>
      </c>
      <c r="C259" s="149">
        <v>11</v>
      </c>
      <c r="D259" s="145" t="str">
        <v>Motocicleta</v>
      </c>
      <c r="E259" s="145" t="str">
        <v>Leves</v>
      </c>
      <c r="F259" s="141" cm="1">
        <f t="array" ref="F259">INDEX('TAG e inad.'!$C$4:$AF$6,MATCH($E259,'TAG e inad.'!$B$4:$B$6,0),'Receitas Tarifárias'!F$223)</f>
        <v>0.22999999999999998</v>
      </c>
      <c r="G259" s="141" cm="1">
        <f t="array" ref="G259">INDEX('TAG e inad.'!$C$4:$AF$6,MATCH($E259,'TAG e inad.'!$B$4:$B$6,0),'Receitas Tarifárias'!G$223)</f>
        <v>0.30000000000000004</v>
      </c>
      <c r="H259" s="141" cm="1">
        <f t="array" ref="H259">INDEX('TAG e inad.'!$C$4:$AF$6,MATCH($E259,'TAG e inad.'!$B$4:$B$6,0),'Receitas Tarifárias'!H$223)</f>
        <v>0.41000000000000003</v>
      </c>
      <c r="I259" s="141" cm="1">
        <f t="array" ref="I259">INDEX('TAG e inad.'!$C$4:$AF$6,MATCH($E259,'TAG e inad.'!$B$4:$B$6,0),'Receitas Tarifárias'!I$223)</f>
        <v>0.5</v>
      </c>
      <c r="J259" s="141" cm="1">
        <f t="array" ref="J259">INDEX('TAG e inad.'!$C$4:$AF$6,MATCH($E259,'TAG e inad.'!$B$4:$B$6,0),'Receitas Tarifárias'!J$223)</f>
        <v>0.58000000000000007</v>
      </c>
      <c r="K259" s="141" cm="1">
        <f t="array" ref="K259">INDEX('TAG e inad.'!$C$4:$AF$6,MATCH($E259,'TAG e inad.'!$B$4:$B$6,0),'Receitas Tarifárias'!K$223)</f>
        <v>0.64</v>
      </c>
      <c r="L259" s="141" cm="1">
        <f t="array" ref="L259">INDEX('TAG e inad.'!$C$4:$AF$6,MATCH($E259,'TAG e inad.'!$B$4:$B$6,0),'Receitas Tarifárias'!L$223)</f>
        <v>0.69</v>
      </c>
      <c r="M259" s="141" cm="1">
        <f t="array" ref="M259">INDEX('TAG e inad.'!$C$4:$AF$6,MATCH($E259,'TAG e inad.'!$B$4:$B$6,0),'Receitas Tarifárias'!M$223)</f>
        <v>0.74</v>
      </c>
      <c r="N259" s="141" cm="1">
        <f t="array" ref="N259">INDEX('TAG e inad.'!$C$4:$AF$6,MATCH($E259,'TAG e inad.'!$B$4:$B$6,0),'Receitas Tarifárias'!N$223)</f>
        <v>0.78</v>
      </c>
      <c r="O259" s="141" cm="1">
        <f t="array" ref="O259">INDEX('TAG e inad.'!$C$4:$AF$6,MATCH($E259,'TAG e inad.'!$B$4:$B$6,0),'Receitas Tarifárias'!O$223)</f>
        <v>0.8</v>
      </c>
      <c r="P259" s="141" cm="1">
        <f t="array" ref="P259">INDEX('TAG e inad.'!$C$4:$AF$6,MATCH($E259,'TAG e inad.'!$B$4:$B$6,0),'Receitas Tarifárias'!P$223)</f>
        <v>0.81</v>
      </c>
      <c r="Q259" s="141" cm="1">
        <f t="array" ref="Q259">INDEX('TAG e inad.'!$C$4:$AF$6,MATCH($E259,'TAG e inad.'!$B$4:$B$6,0),'Receitas Tarifárias'!Q$223)</f>
        <v>0.81</v>
      </c>
      <c r="R259" s="141" cm="1">
        <f t="array" ref="R259">INDEX('TAG e inad.'!$C$4:$AF$6,MATCH($E259,'TAG e inad.'!$B$4:$B$6,0),'Receitas Tarifárias'!R$223)</f>
        <v>0.81</v>
      </c>
      <c r="S259" s="141" cm="1">
        <f t="array" ref="S259">INDEX('TAG e inad.'!$C$4:$AF$6,MATCH($E259,'TAG e inad.'!$B$4:$B$6,0),'Receitas Tarifárias'!S$223)</f>
        <v>0.81</v>
      </c>
      <c r="T259" s="141" cm="1">
        <f t="array" ref="T259">INDEX('TAG e inad.'!$C$4:$AF$6,MATCH($E259,'TAG e inad.'!$B$4:$B$6,0),'Receitas Tarifárias'!T$223)</f>
        <v>0.81</v>
      </c>
      <c r="U259" s="141" cm="1">
        <f t="array" ref="U259">INDEX('TAG e inad.'!$C$4:$AF$6,MATCH($E259,'TAG e inad.'!$B$4:$B$6,0),'Receitas Tarifárias'!U$223)</f>
        <v>0.81</v>
      </c>
      <c r="V259" s="141" cm="1">
        <f t="array" ref="V259">INDEX('TAG e inad.'!$C$4:$AF$6,MATCH($E259,'TAG e inad.'!$B$4:$B$6,0),'Receitas Tarifárias'!V$223)</f>
        <v>0.81</v>
      </c>
      <c r="W259" s="141" cm="1">
        <f t="array" ref="W259">INDEX('TAG e inad.'!$C$4:$AF$6,MATCH($E259,'TAG e inad.'!$B$4:$B$6,0),'Receitas Tarifárias'!W$223)</f>
        <v>0.81</v>
      </c>
      <c r="X259" s="141" cm="1">
        <f t="array" ref="X259">INDEX('TAG e inad.'!$C$4:$AF$6,MATCH($E259,'TAG e inad.'!$B$4:$B$6,0),'Receitas Tarifárias'!X$223)</f>
        <v>0.81</v>
      </c>
      <c r="Y259" s="141" cm="1">
        <f t="array" ref="Y259">INDEX('TAG e inad.'!$C$4:$AF$6,MATCH($E259,'TAG e inad.'!$B$4:$B$6,0),'Receitas Tarifárias'!Y$223)</f>
        <v>0.81</v>
      </c>
      <c r="Z259" s="141" cm="1">
        <f t="array" ref="Z259">INDEX('TAG e inad.'!$C$4:$AF$6,MATCH($E259,'TAG e inad.'!$B$4:$B$6,0),'Receitas Tarifárias'!Z$223)</f>
        <v>0.81</v>
      </c>
      <c r="AA259" s="141" cm="1">
        <f t="array" ref="AA259">INDEX('TAG e inad.'!$C$4:$AF$6,MATCH($E259,'TAG e inad.'!$B$4:$B$6,0),'Receitas Tarifárias'!AA$223)</f>
        <v>0.81</v>
      </c>
      <c r="AB259" s="141" cm="1">
        <f t="array" ref="AB259">INDEX('TAG e inad.'!$C$4:$AF$6,MATCH($E259,'TAG e inad.'!$B$4:$B$6,0),'Receitas Tarifárias'!AB$223)</f>
        <v>0.81</v>
      </c>
      <c r="AC259" s="141" cm="1">
        <f t="array" ref="AC259">INDEX('TAG e inad.'!$C$4:$AF$6,MATCH($E259,'TAG e inad.'!$B$4:$B$6,0),'Receitas Tarifárias'!AC$223)</f>
        <v>0.81</v>
      </c>
      <c r="AD259" s="141" cm="1">
        <f t="array" ref="AD259">INDEX('TAG e inad.'!$C$4:$AF$6,MATCH($E259,'TAG e inad.'!$B$4:$B$6,0),'Receitas Tarifárias'!AD$223)</f>
        <v>0.81</v>
      </c>
      <c r="AE259" s="141" cm="1">
        <f t="array" ref="AE259">INDEX('TAG e inad.'!$C$4:$AF$6,MATCH($E259,'TAG e inad.'!$B$4:$B$6,0),'Receitas Tarifárias'!AE$223)</f>
        <v>0.81</v>
      </c>
      <c r="AF259" s="141" cm="1">
        <f t="array" ref="AF259">INDEX('TAG e inad.'!$C$4:$AF$6,MATCH($E259,'TAG e inad.'!$B$4:$B$6,0),'Receitas Tarifárias'!AF$223)</f>
        <v>0.81</v>
      </c>
      <c r="AG259" s="141" cm="1">
        <f t="array" ref="AG259">INDEX('TAG e inad.'!$C$4:$AF$6,MATCH($E259,'TAG e inad.'!$B$4:$B$6,0),'Receitas Tarifárias'!AG$223)</f>
        <v>0.81</v>
      </c>
      <c r="AH259" s="141" cm="1">
        <f t="array" ref="AH259">INDEX('TAG e inad.'!$C$4:$AF$6,MATCH($E259,'TAG e inad.'!$B$4:$B$6,0),'Receitas Tarifárias'!AH$223)</f>
        <v>0.81</v>
      </c>
      <c r="AI259" s="141" cm="1">
        <f t="array" ref="AI259">INDEX('TAG e inad.'!$C$4:$AF$6,MATCH($E259,'TAG e inad.'!$B$4:$B$6,0),'Receitas Tarifárias'!AI$223)</f>
        <v>0.81</v>
      </c>
    </row>
    <row r="260" spans="2:35">
      <c r="B260" s="149">
        <v>3</v>
      </c>
      <c r="C260" s="149">
        <v>12</v>
      </c>
      <c r="D260" s="145" t="str">
        <v xml:space="preserve">Veículos do transporte público coletivo intermunicipal e metropolitano </v>
      </c>
      <c r="E260" s="145" t="str">
        <v>Pesados I</v>
      </c>
      <c r="F260" s="141" cm="1">
        <f t="array" ref="F260">INDEX('TAG e inad.'!$C$4:$AF$6,MATCH($E260,'TAG e inad.'!$B$4:$B$6,0),'Receitas Tarifárias'!F$223)</f>
        <v>0.5</v>
      </c>
      <c r="G260" s="141" cm="1">
        <f t="array" ref="G260">INDEX('TAG e inad.'!$C$4:$AF$6,MATCH($E260,'TAG e inad.'!$B$4:$B$6,0),'Receitas Tarifárias'!G$223)</f>
        <v>0.56999999999999995</v>
      </c>
      <c r="H260" s="141" cm="1">
        <f t="array" ref="H260">INDEX('TAG e inad.'!$C$4:$AF$6,MATCH($E260,'TAG e inad.'!$B$4:$B$6,0),'Receitas Tarifárias'!H$223)</f>
        <v>0.65</v>
      </c>
      <c r="I260" s="141" cm="1">
        <f t="array" ref="I260">INDEX('TAG e inad.'!$C$4:$AF$6,MATCH($E260,'TAG e inad.'!$B$4:$B$6,0),'Receitas Tarifárias'!I$223)</f>
        <v>0.72</v>
      </c>
      <c r="J260" s="141" cm="1">
        <f t="array" ref="J260">INDEX('TAG e inad.'!$C$4:$AF$6,MATCH($E260,'TAG e inad.'!$B$4:$B$6,0),'Receitas Tarifárias'!J$223)</f>
        <v>0.78</v>
      </c>
      <c r="K260" s="141" cm="1">
        <f t="array" ref="K260">INDEX('TAG e inad.'!$C$4:$AF$6,MATCH($E260,'TAG e inad.'!$B$4:$B$6,0),'Receitas Tarifárias'!K$223)</f>
        <v>0.82</v>
      </c>
      <c r="L260" s="141" cm="1">
        <f t="array" ref="L260">INDEX('TAG e inad.'!$C$4:$AF$6,MATCH($E260,'TAG e inad.'!$B$4:$B$6,0),'Receitas Tarifárias'!L$223)</f>
        <v>0.86</v>
      </c>
      <c r="M260" s="141" cm="1">
        <f t="array" ref="M260">INDEX('TAG e inad.'!$C$4:$AF$6,MATCH($E260,'TAG e inad.'!$B$4:$B$6,0),'Receitas Tarifárias'!M$223)</f>
        <v>0.89</v>
      </c>
      <c r="N260" s="141" cm="1">
        <f t="array" ref="N260">INDEX('TAG e inad.'!$C$4:$AF$6,MATCH($E260,'TAG e inad.'!$B$4:$B$6,0),'Receitas Tarifárias'!N$223)</f>
        <v>0.9</v>
      </c>
      <c r="O260" s="141" cm="1">
        <f t="array" ref="O260">INDEX('TAG e inad.'!$C$4:$AF$6,MATCH($E260,'TAG e inad.'!$B$4:$B$6,0),'Receitas Tarifárias'!O$223)</f>
        <v>0.9</v>
      </c>
      <c r="P260" s="141" cm="1">
        <f t="array" ref="P260">INDEX('TAG e inad.'!$C$4:$AF$6,MATCH($E260,'TAG e inad.'!$B$4:$B$6,0),'Receitas Tarifárias'!P$223)</f>
        <v>0.9</v>
      </c>
      <c r="Q260" s="141" cm="1">
        <f t="array" ref="Q260">INDEX('TAG e inad.'!$C$4:$AF$6,MATCH($E260,'TAG e inad.'!$B$4:$B$6,0),'Receitas Tarifárias'!Q$223)</f>
        <v>0.9</v>
      </c>
      <c r="R260" s="141" cm="1">
        <f t="array" ref="R260">INDEX('TAG e inad.'!$C$4:$AF$6,MATCH($E260,'TAG e inad.'!$B$4:$B$6,0),'Receitas Tarifárias'!R$223)</f>
        <v>0.9</v>
      </c>
      <c r="S260" s="141" cm="1">
        <f t="array" ref="S260">INDEX('TAG e inad.'!$C$4:$AF$6,MATCH($E260,'TAG e inad.'!$B$4:$B$6,0),'Receitas Tarifárias'!S$223)</f>
        <v>0.9</v>
      </c>
      <c r="T260" s="141" cm="1">
        <f t="array" ref="T260">INDEX('TAG e inad.'!$C$4:$AF$6,MATCH($E260,'TAG e inad.'!$B$4:$B$6,0),'Receitas Tarifárias'!T$223)</f>
        <v>0.9</v>
      </c>
      <c r="U260" s="141" cm="1">
        <f t="array" ref="U260">INDEX('TAG e inad.'!$C$4:$AF$6,MATCH($E260,'TAG e inad.'!$B$4:$B$6,0),'Receitas Tarifárias'!U$223)</f>
        <v>0.9</v>
      </c>
      <c r="V260" s="141" cm="1">
        <f t="array" ref="V260">INDEX('TAG e inad.'!$C$4:$AF$6,MATCH($E260,'TAG e inad.'!$B$4:$B$6,0),'Receitas Tarifárias'!V$223)</f>
        <v>0.9</v>
      </c>
      <c r="W260" s="141" cm="1">
        <f t="array" ref="W260">INDEX('TAG e inad.'!$C$4:$AF$6,MATCH($E260,'TAG e inad.'!$B$4:$B$6,0),'Receitas Tarifárias'!W$223)</f>
        <v>0.9</v>
      </c>
      <c r="X260" s="141" cm="1">
        <f t="array" ref="X260">INDEX('TAG e inad.'!$C$4:$AF$6,MATCH($E260,'TAG e inad.'!$B$4:$B$6,0),'Receitas Tarifárias'!X$223)</f>
        <v>0.9</v>
      </c>
      <c r="Y260" s="141" cm="1">
        <f t="array" ref="Y260">INDEX('TAG e inad.'!$C$4:$AF$6,MATCH($E260,'TAG e inad.'!$B$4:$B$6,0),'Receitas Tarifárias'!Y$223)</f>
        <v>0.9</v>
      </c>
      <c r="Z260" s="141" cm="1">
        <f t="array" ref="Z260">INDEX('TAG e inad.'!$C$4:$AF$6,MATCH($E260,'TAG e inad.'!$B$4:$B$6,0),'Receitas Tarifárias'!Z$223)</f>
        <v>0.9</v>
      </c>
      <c r="AA260" s="141" cm="1">
        <f t="array" ref="AA260">INDEX('TAG e inad.'!$C$4:$AF$6,MATCH($E260,'TAG e inad.'!$B$4:$B$6,0),'Receitas Tarifárias'!AA$223)</f>
        <v>0.9</v>
      </c>
      <c r="AB260" s="141" cm="1">
        <f t="array" ref="AB260">INDEX('TAG e inad.'!$C$4:$AF$6,MATCH($E260,'TAG e inad.'!$B$4:$B$6,0),'Receitas Tarifárias'!AB$223)</f>
        <v>0.9</v>
      </c>
      <c r="AC260" s="141" cm="1">
        <f t="array" ref="AC260">INDEX('TAG e inad.'!$C$4:$AF$6,MATCH($E260,'TAG e inad.'!$B$4:$B$6,0),'Receitas Tarifárias'!AC$223)</f>
        <v>0.9</v>
      </c>
      <c r="AD260" s="141" cm="1">
        <f t="array" ref="AD260">INDEX('TAG e inad.'!$C$4:$AF$6,MATCH($E260,'TAG e inad.'!$B$4:$B$6,0),'Receitas Tarifárias'!AD$223)</f>
        <v>0.9</v>
      </c>
      <c r="AE260" s="141" cm="1">
        <f t="array" ref="AE260">INDEX('TAG e inad.'!$C$4:$AF$6,MATCH($E260,'TAG e inad.'!$B$4:$B$6,0),'Receitas Tarifárias'!AE$223)</f>
        <v>0.9</v>
      </c>
      <c r="AF260" s="141" cm="1">
        <f t="array" ref="AF260">INDEX('TAG e inad.'!$C$4:$AF$6,MATCH($E260,'TAG e inad.'!$B$4:$B$6,0),'Receitas Tarifárias'!AF$223)</f>
        <v>0.9</v>
      </c>
      <c r="AG260" s="141" cm="1">
        <f t="array" ref="AG260">INDEX('TAG e inad.'!$C$4:$AF$6,MATCH($E260,'TAG e inad.'!$B$4:$B$6,0),'Receitas Tarifárias'!AG$223)</f>
        <v>0.9</v>
      </c>
      <c r="AH260" s="141" cm="1">
        <f t="array" ref="AH260">INDEX('TAG e inad.'!$C$4:$AF$6,MATCH($E260,'TAG e inad.'!$B$4:$B$6,0),'Receitas Tarifárias'!AH$223)</f>
        <v>0.9</v>
      </c>
      <c r="AI260" s="141" cm="1">
        <f t="array" ref="AI260">INDEX('TAG e inad.'!$C$4:$AF$6,MATCH($E260,'TAG e inad.'!$B$4:$B$6,0),'Receitas Tarifárias'!AI$223)</f>
        <v>0.9</v>
      </c>
    </row>
    <row r="261" spans="2:35">
      <c r="B261" s="149">
        <v>4</v>
      </c>
      <c r="C261" s="149">
        <v>1</v>
      </c>
      <c r="D261" s="145" t="str">
        <v>Automóvel</v>
      </c>
      <c r="E261" s="145" t="str">
        <v>Leves</v>
      </c>
      <c r="F261" s="141" cm="1">
        <f t="array" ref="F261">INDEX('TAG e inad.'!$C$4:$AF$6,MATCH($E261,'TAG e inad.'!$B$4:$B$6,0),'Receitas Tarifárias'!F$223)</f>
        <v>0.22999999999999998</v>
      </c>
      <c r="G261" s="141" cm="1">
        <f t="array" ref="G261">INDEX('TAG e inad.'!$C$4:$AF$6,MATCH($E261,'TAG e inad.'!$B$4:$B$6,0),'Receitas Tarifárias'!G$223)</f>
        <v>0.30000000000000004</v>
      </c>
      <c r="H261" s="141" cm="1">
        <f t="array" ref="H261">INDEX('TAG e inad.'!$C$4:$AF$6,MATCH($E261,'TAG e inad.'!$B$4:$B$6,0),'Receitas Tarifárias'!H$223)</f>
        <v>0.41000000000000003</v>
      </c>
      <c r="I261" s="141" cm="1">
        <f t="array" ref="I261">INDEX('TAG e inad.'!$C$4:$AF$6,MATCH($E261,'TAG e inad.'!$B$4:$B$6,0),'Receitas Tarifárias'!I$223)</f>
        <v>0.5</v>
      </c>
      <c r="J261" s="141" cm="1">
        <f t="array" ref="J261">INDEX('TAG e inad.'!$C$4:$AF$6,MATCH($E261,'TAG e inad.'!$B$4:$B$6,0),'Receitas Tarifárias'!J$223)</f>
        <v>0.58000000000000007</v>
      </c>
      <c r="K261" s="141" cm="1">
        <f t="array" ref="K261">INDEX('TAG e inad.'!$C$4:$AF$6,MATCH($E261,'TAG e inad.'!$B$4:$B$6,0),'Receitas Tarifárias'!K$223)</f>
        <v>0.64</v>
      </c>
      <c r="L261" s="141" cm="1">
        <f t="array" ref="L261">INDEX('TAG e inad.'!$C$4:$AF$6,MATCH($E261,'TAG e inad.'!$B$4:$B$6,0),'Receitas Tarifárias'!L$223)</f>
        <v>0.69</v>
      </c>
      <c r="M261" s="141" cm="1">
        <f t="array" ref="M261">INDEX('TAG e inad.'!$C$4:$AF$6,MATCH($E261,'TAG e inad.'!$B$4:$B$6,0),'Receitas Tarifárias'!M$223)</f>
        <v>0.74</v>
      </c>
      <c r="N261" s="141" cm="1">
        <f t="array" ref="N261">INDEX('TAG e inad.'!$C$4:$AF$6,MATCH($E261,'TAG e inad.'!$B$4:$B$6,0),'Receitas Tarifárias'!N$223)</f>
        <v>0.78</v>
      </c>
      <c r="O261" s="141" cm="1">
        <f t="array" ref="O261">INDEX('TAG e inad.'!$C$4:$AF$6,MATCH($E261,'TAG e inad.'!$B$4:$B$6,0),'Receitas Tarifárias'!O$223)</f>
        <v>0.8</v>
      </c>
      <c r="P261" s="141" cm="1">
        <f t="array" ref="P261">INDEX('TAG e inad.'!$C$4:$AF$6,MATCH($E261,'TAG e inad.'!$B$4:$B$6,0),'Receitas Tarifárias'!P$223)</f>
        <v>0.81</v>
      </c>
      <c r="Q261" s="141" cm="1">
        <f t="array" ref="Q261">INDEX('TAG e inad.'!$C$4:$AF$6,MATCH($E261,'TAG e inad.'!$B$4:$B$6,0),'Receitas Tarifárias'!Q$223)</f>
        <v>0.81</v>
      </c>
      <c r="R261" s="141" cm="1">
        <f t="array" ref="R261">INDEX('TAG e inad.'!$C$4:$AF$6,MATCH($E261,'TAG e inad.'!$B$4:$B$6,0),'Receitas Tarifárias'!R$223)</f>
        <v>0.81</v>
      </c>
      <c r="S261" s="141" cm="1">
        <f t="array" ref="S261">INDEX('TAG e inad.'!$C$4:$AF$6,MATCH($E261,'TAG e inad.'!$B$4:$B$6,0),'Receitas Tarifárias'!S$223)</f>
        <v>0.81</v>
      </c>
      <c r="T261" s="141" cm="1">
        <f t="array" ref="T261">INDEX('TAG e inad.'!$C$4:$AF$6,MATCH($E261,'TAG e inad.'!$B$4:$B$6,0),'Receitas Tarifárias'!T$223)</f>
        <v>0.81</v>
      </c>
      <c r="U261" s="141" cm="1">
        <f t="array" ref="U261">INDEX('TAG e inad.'!$C$4:$AF$6,MATCH($E261,'TAG e inad.'!$B$4:$B$6,0),'Receitas Tarifárias'!U$223)</f>
        <v>0.81</v>
      </c>
      <c r="V261" s="141" cm="1">
        <f t="array" ref="V261">INDEX('TAG e inad.'!$C$4:$AF$6,MATCH($E261,'TAG e inad.'!$B$4:$B$6,0),'Receitas Tarifárias'!V$223)</f>
        <v>0.81</v>
      </c>
      <c r="W261" s="141" cm="1">
        <f t="array" ref="W261">INDEX('TAG e inad.'!$C$4:$AF$6,MATCH($E261,'TAG e inad.'!$B$4:$B$6,0),'Receitas Tarifárias'!W$223)</f>
        <v>0.81</v>
      </c>
      <c r="X261" s="141" cm="1">
        <f t="array" ref="X261">INDEX('TAG e inad.'!$C$4:$AF$6,MATCH($E261,'TAG e inad.'!$B$4:$B$6,0),'Receitas Tarifárias'!X$223)</f>
        <v>0.81</v>
      </c>
      <c r="Y261" s="141" cm="1">
        <f t="array" ref="Y261">INDEX('TAG e inad.'!$C$4:$AF$6,MATCH($E261,'TAG e inad.'!$B$4:$B$6,0),'Receitas Tarifárias'!Y$223)</f>
        <v>0.81</v>
      </c>
      <c r="Z261" s="141" cm="1">
        <f t="array" ref="Z261">INDEX('TAG e inad.'!$C$4:$AF$6,MATCH($E261,'TAG e inad.'!$B$4:$B$6,0),'Receitas Tarifárias'!Z$223)</f>
        <v>0.81</v>
      </c>
      <c r="AA261" s="141" cm="1">
        <f t="array" ref="AA261">INDEX('TAG e inad.'!$C$4:$AF$6,MATCH($E261,'TAG e inad.'!$B$4:$B$6,0),'Receitas Tarifárias'!AA$223)</f>
        <v>0.81</v>
      </c>
      <c r="AB261" s="141" cm="1">
        <f t="array" ref="AB261">INDEX('TAG e inad.'!$C$4:$AF$6,MATCH($E261,'TAG e inad.'!$B$4:$B$6,0),'Receitas Tarifárias'!AB$223)</f>
        <v>0.81</v>
      </c>
      <c r="AC261" s="141" cm="1">
        <f t="array" ref="AC261">INDEX('TAG e inad.'!$C$4:$AF$6,MATCH($E261,'TAG e inad.'!$B$4:$B$6,0),'Receitas Tarifárias'!AC$223)</f>
        <v>0.81</v>
      </c>
      <c r="AD261" s="141" cm="1">
        <f t="array" ref="AD261">INDEX('TAG e inad.'!$C$4:$AF$6,MATCH($E261,'TAG e inad.'!$B$4:$B$6,0),'Receitas Tarifárias'!AD$223)</f>
        <v>0.81</v>
      </c>
      <c r="AE261" s="141" cm="1">
        <f t="array" ref="AE261">INDEX('TAG e inad.'!$C$4:$AF$6,MATCH($E261,'TAG e inad.'!$B$4:$B$6,0),'Receitas Tarifárias'!AE$223)</f>
        <v>0.81</v>
      </c>
      <c r="AF261" s="141" cm="1">
        <f t="array" ref="AF261">INDEX('TAG e inad.'!$C$4:$AF$6,MATCH($E261,'TAG e inad.'!$B$4:$B$6,0),'Receitas Tarifárias'!AF$223)</f>
        <v>0.81</v>
      </c>
      <c r="AG261" s="141" cm="1">
        <f t="array" ref="AG261">INDEX('TAG e inad.'!$C$4:$AF$6,MATCH($E261,'TAG e inad.'!$B$4:$B$6,0),'Receitas Tarifárias'!AG$223)</f>
        <v>0.81</v>
      </c>
      <c r="AH261" s="141" cm="1">
        <f t="array" ref="AH261">INDEX('TAG e inad.'!$C$4:$AF$6,MATCH($E261,'TAG e inad.'!$B$4:$B$6,0),'Receitas Tarifárias'!AH$223)</f>
        <v>0.81</v>
      </c>
      <c r="AI261" s="141" cm="1">
        <f t="array" ref="AI261">INDEX('TAG e inad.'!$C$4:$AF$6,MATCH($E261,'TAG e inad.'!$B$4:$B$6,0),'Receitas Tarifárias'!AI$223)</f>
        <v>0.81</v>
      </c>
    </row>
    <row r="262" spans="2:35">
      <c r="B262" s="149">
        <v>4</v>
      </c>
      <c r="C262" s="149">
        <v>2</v>
      </c>
      <c r="D262" s="145" t="str">
        <v xml:space="preserve">Automóvel com reboque </v>
      </c>
      <c r="E262" s="145" t="str">
        <v>Leves</v>
      </c>
      <c r="F262" s="141" cm="1">
        <f t="array" ref="F262">INDEX('TAG e inad.'!$C$4:$AF$6,MATCH($E262,'TAG e inad.'!$B$4:$B$6,0),'Receitas Tarifárias'!F$223)</f>
        <v>0.22999999999999998</v>
      </c>
      <c r="G262" s="141" cm="1">
        <f t="array" ref="G262">INDEX('TAG e inad.'!$C$4:$AF$6,MATCH($E262,'TAG e inad.'!$B$4:$B$6,0),'Receitas Tarifárias'!G$223)</f>
        <v>0.30000000000000004</v>
      </c>
      <c r="H262" s="141" cm="1">
        <f t="array" ref="H262">INDEX('TAG e inad.'!$C$4:$AF$6,MATCH($E262,'TAG e inad.'!$B$4:$B$6,0),'Receitas Tarifárias'!H$223)</f>
        <v>0.41000000000000003</v>
      </c>
      <c r="I262" s="141" cm="1">
        <f t="array" ref="I262">INDEX('TAG e inad.'!$C$4:$AF$6,MATCH($E262,'TAG e inad.'!$B$4:$B$6,0),'Receitas Tarifárias'!I$223)</f>
        <v>0.5</v>
      </c>
      <c r="J262" s="141" cm="1">
        <f t="array" ref="J262">INDEX('TAG e inad.'!$C$4:$AF$6,MATCH($E262,'TAG e inad.'!$B$4:$B$6,0),'Receitas Tarifárias'!J$223)</f>
        <v>0.58000000000000007</v>
      </c>
      <c r="K262" s="141" cm="1">
        <f t="array" ref="K262">INDEX('TAG e inad.'!$C$4:$AF$6,MATCH($E262,'TAG e inad.'!$B$4:$B$6,0),'Receitas Tarifárias'!K$223)</f>
        <v>0.64</v>
      </c>
      <c r="L262" s="141" cm="1">
        <f t="array" ref="L262">INDEX('TAG e inad.'!$C$4:$AF$6,MATCH($E262,'TAG e inad.'!$B$4:$B$6,0),'Receitas Tarifárias'!L$223)</f>
        <v>0.69</v>
      </c>
      <c r="M262" s="141" cm="1">
        <f t="array" ref="M262">INDEX('TAG e inad.'!$C$4:$AF$6,MATCH($E262,'TAG e inad.'!$B$4:$B$6,0),'Receitas Tarifárias'!M$223)</f>
        <v>0.74</v>
      </c>
      <c r="N262" s="141" cm="1">
        <f t="array" ref="N262">INDEX('TAG e inad.'!$C$4:$AF$6,MATCH($E262,'TAG e inad.'!$B$4:$B$6,0),'Receitas Tarifárias'!N$223)</f>
        <v>0.78</v>
      </c>
      <c r="O262" s="141" cm="1">
        <f t="array" ref="O262">INDEX('TAG e inad.'!$C$4:$AF$6,MATCH($E262,'TAG e inad.'!$B$4:$B$6,0),'Receitas Tarifárias'!O$223)</f>
        <v>0.8</v>
      </c>
      <c r="P262" s="141" cm="1">
        <f t="array" ref="P262">INDEX('TAG e inad.'!$C$4:$AF$6,MATCH($E262,'TAG e inad.'!$B$4:$B$6,0),'Receitas Tarifárias'!P$223)</f>
        <v>0.81</v>
      </c>
      <c r="Q262" s="141" cm="1">
        <f t="array" ref="Q262">INDEX('TAG e inad.'!$C$4:$AF$6,MATCH($E262,'TAG e inad.'!$B$4:$B$6,0),'Receitas Tarifárias'!Q$223)</f>
        <v>0.81</v>
      </c>
      <c r="R262" s="141" cm="1">
        <f t="array" ref="R262">INDEX('TAG e inad.'!$C$4:$AF$6,MATCH($E262,'TAG e inad.'!$B$4:$B$6,0),'Receitas Tarifárias'!R$223)</f>
        <v>0.81</v>
      </c>
      <c r="S262" s="141" cm="1">
        <f t="array" ref="S262">INDEX('TAG e inad.'!$C$4:$AF$6,MATCH($E262,'TAG e inad.'!$B$4:$B$6,0),'Receitas Tarifárias'!S$223)</f>
        <v>0.81</v>
      </c>
      <c r="T262" s="141" cm="1">
        <f t="array" ref="T262">INDEX('TAG e inad.'!$C$4:$AF$6,MATCH($E262,'TAG e inad.'!$B$4:$B$6,0),'Receitas Tarifárias'!T$223)</f>
        <v>0.81</v>
      </c>
      <c r="U262" s="141" cm="1">
        <f t="array" ref="U262">INDEX('TAG e inad.'!$C$4:$AF$6,MATCH($E262,'TAG e inad.'!$B$4:$B$6,0),'Receitas Tarifárias'!U$223)</f>
        <v>0.81</v>
      </c>
      <c r="V262" s="141" cm="1">
        <f t="array" ref="V262">INDEX('TAG e inad.'!$C$4:$AF$6,MATCH($E262,'TAG e inad.'!$B$4:$B$6,0),'Receitas Tarifárias'!V$223)</f>
        <v>0.81</v>
      </c>
      <c r="W262" s="141" cm="1">
        <f t="array" ref="W262">INDEX('TAG e inad.'!$C$4:$AF$6,MATCH($E262,'TAG e inad.'!$B$4:$B$6,0),'Receitas Tarifárias'!W$223)</f>
        <v>0.81</v>
      </c>
      <c r="X262" s="141" cm="1">
        <f t="array" ref="X262">INDEX('TAG e inad.'!$C$4:$AF$6,MATCH($E262,'TAG e inad.'!$B$4:$B$6,0),'Receitas Tarifárias'!X$223)</f>
        <v>0.81</v>
      </c>
      <c r="Y262" s="141" cm="1">
        <f t="array" ref="Y262">INDEX('TAG e inad.'!$C$4:$AF$6,MATCH($E262,'TAG e inad.'!$B$4:$B$6,0),'Receitas Tarifárias'!Y$223)</f>
        <v>0.81</v>
      </c>
      <c r="Z262" s="141" cm="1">
        <f t="array" ref="Z262">INDEX('TAG e inad.'!$C$4:$AF$6,MATCH($E262,'TAG e inad.'!$B$4:$B$6,0),'Receitas Tarifárias'!Z$223)</f>
        <v>0.81</v>
      </c>
      <c r="AA262" s="141" cm="1">
        <f t="array" ref="AA262">INDEX('TAG e inad.'!$C$4:$AF$6,MATCH($E262,'TAG e inad.'!$B$4:$B$6,0),'Receitas Tarifárias'!AA$223)</f>
        <v>0.81</v>
      </c>
      <c r="AB262" s="141" cm="1">
        <f t="array" ref="AB262">INDEX('TAG e inad.'!$C$4:$AF$6,MATCH($E262,'TAG e inad.'!$B$4:$B$6,0),'Receitas Tarifárias'!AB$223)</f>
        <v>0.81</v>
      </c>
      <c r="AC262" s="141" cm="1">
        <f t="array" ref="AC262">INDEX('TAG e inad.'!$C$4:$AF$6,MATCH($E262,'TAG e inad.'!$B$4:$B$6,0),'Receitas Tarifárias'!AC$223)</f>
        <v>0.81</v>
      </c>
      <c r="AD262" s="141" cm="1">
        <f t="array" ref="AD262">INDEX('TAG e inad.'!$C$4:$AF$6,MATCH($E262,'TAG e inad.'!$B$4:$B$6,0),'Receitas Tarifárias'!AD$223)</f>
        <v>0.81</v>
      </c>
      <c r="AE262" s="141" cm="1">
        <f t="array" ref="AE262">INDEX('TAG e inad.'!$C$4:$AF$6,MATCH($E262,'TAG e inad.'!$B$4:$B$6,0),'Receitas Tarifárias'!AE$223)</f>
        <v>0.81</v>
      </c>
      <c r="AF262" s="141" cm="1">
        <f t="array" ref="AF262">INDEX('TAG e inad.'!$C$4:$AF$6,MATCH($E262,'TAG e inad.'!$B$4:$B$6,0),'Receitas Tarifárias'!AF$223)</f>
        <v>0.81</v>
      </c>
      <c r="AG262" s="141" cm="1">
        <f t="array" ref="AG262">INDEX('TAG e inad.'!$C$4:$AF$6,MATCH($E262,'TAG e inad.'!$B$4:$B$6,0),'Receitas Tarifárias'!AG$223)</f>
        <v>0.81</v>
      </c>
      <c r="AH262" s="141" cm="1">
        <f t="array" ref="AH262">INDEX('TAG e inad.'!$C$4:$AF$6,MATCH($E262,'TAG e inad.'!$B$4:$B$6,0),'Receitas Tarifárias'!AH$223)</f>
        <v>0.81</v>
      </c>
      <c r="AI262" s="141" cm="1">
        <f t="array" ref="AI262">INDEX('TAG e inad.'!$C$4:$AF$6,MATCH($E262,'TAG e inad.'!$B$4:$B$6,0),'Receitas Tarifárias'!AI$223)</f>
        <v>0.81</v>
      </c>
    </row>
    <row r="263" spans="2:35">
      <c r="B263" s="149">
        <v>4</v>
      </c>
      <c r="C263" s="149">
        <v>3</v>
      </c>
      <c r="D263" s="145" t="str">
        <v>Veículos Comerciais com 2 Eixos</v>
      </c>
      <c r="E263" s="145" t="str">
        <v>Pesados I</v>
      </c>
      <c r="F263" s="141" cm="1">
        <f t="array" ref="F263">INDEX('TAG e inad.'!$C$4:$AF$6,MATCH($E263,'TAG e inad.'!$B$4:$B$6,0),'Receitas Tarifárias'!F$223)</f>
        <v>0.5</v>
      </c>
      <c r="G263" s="141" cm="1">
        <f t="array" ref="G263">INDEX('TAG e inad.'!$C$4:$AF$6,MATCH($E263,'TAG e inad.'!$B$4:$B$6,0),'Receitas Tarifárias'!G$223)</f>
        <v>0.56999999999999995</v>
      </c>
      <c r="H263" s="141" cm="1">
        <f t="array" ref="H263">INDEX('TAG e inad.'!$C$4:$AF$6,MATCH($E263,'TAG e inad.'!$B$4:$B$6,0),'Receitas Tarifárias'!H$223)</f>
        <v>0.65</v>
      </c>
      <c r="I263" s="141" cm="1">
        <f t="array" ref="I263">INDEX('TAG e inad.'!$C$4:$AF$6,MATCH($E263,'TAG e inad.'!$B$4:$B$6,0),'Receitas Tarifárias'!I$223)</f>
        <v>0.72</v>
      </c>
      <c r="J263" s="141" cm="1">
        <f t="array" ref="J263">INDEX('TAG e inad.'!$C$4:$AF$6,MATCH($E263,'TAG e inad.'!$B$4:$B$6,0),'Receitas Tarifárias'!J$223)</f>
        <v>0.78</v>
      </c>
      <c r="K263" s="141" cm="1">
        <f t="array" ref="K263">INDEX('TAG e inad.'!$C$4:$AF$6,MATCH($E263,'TAG e inad.'!$B$4:$B$6,0),'Receitas Tarifárias'!K$223)</f>
        <v>0.82</v>
      </c>
      <c r="L263" s="141" cm="1">
        <f t="array" ref="L263">INDEX('TAG e inad.'!$C$4:$AF$6,MATCH($E263,'TAG e inad.'!$B$4:$B$6,0),'Receitas Tarifárias'!L$223)</f>
        <v>0.86</v>
      </c>
      <c r="M263" s="141" cm="1">
        <f t="array" ref="M263">INDEX('TAG e inad.'!$C$4:$AF$6,MATCH($E263,'TAG e inad.'!$B$4:$B$6,0),'Receitas Tarifárias'!M$223)</f>
        <v>0.89</v>
      </c>
      <c r="N263" s="141" cm="1">
        <f t="array" ref="N263">INDEX('TAG e inad.'!$C$4:$AF$6,MATCH($E263,'TAG e inad.'!$B$4:$B$6,0),'Receitas Tarifárias'!N$223)</f>
        <v>0.9</v>
      </c>
      <c r="O263" s="141" cm="1">
        <f t="array" ref="O263">INDEX('TAG e inad.'!$C$4:$AF$6,MATCH($E263,'TAG e inad.'!$B$4:$B$6,0),'Receitas Tarifárias'!O$223)</f>
        <v>0.9</v>
      </c>
      <c r="P263" s="141" cm="1">
        <f t="array" ref="P263">INDEX('TAG e inad.'!$C$4:$AF$6,MATCH($E263,'TAG e inad.'!$B$4:$B$6,0),'Receitas Tarifárias'!P$223)</f>
        <v>0.9</v>
      </c>
      <c r="Q263" s="141" cm="1">
        <f t="array" ref="Q263">INDEX('TAG e inad.'!$C$4:$AF$6,MATCH($E263,'TAG e inad.'!$B$4:$B$6,0),'Receitas Tarifárias'!Q$223)</f>
        <v>0.9</v>
      </c>
      <c r="R263" s="141" cm="1">
        <f t="array" ref="R263">INDEX('TAG e inad.'!$C$4:$AF$6,MATCH($E263,'TAG e inad.'!$B$4:$B$6,0),'Receitas Tarifárias'!R$223)</f>
        <v>0.9</v>
      </c>
      <c r="S263" s="141" cm="1">
        <f t="array" ref="S263">INDEX('TAG e inad.'!$C$4:$AF$6,MATCH($E263,'TAG e inad.'!$B$4:$B$6,0),'Receitas Tarifárias'!S$223)</f>
        <v>0.9</v>
      </c>
      <c r="T263" s="141" cm="1">
        <f t="array" ref="T263">INDEX('TAG e inad.'!$C$4:$AF$6,MATCH($E263,'TAG e inad.'!$B$4:$B$6,0),'Receitas Tarifárias'!T$223)</f>
        <v>0.9</v>
      </c>
      <c r="U263" s="141" cm="1">
        <f t="array" ref="U263">INDEX('TAG e inad.'!$C$4:$AF$6,MATCH($E263,'TAG e inad.'!$B$4:$B$6,0),'Receitas Tarifárias'!U$223)</f>
        <v>0.9</v>
      </c>
      <c r="V263" s="141" cm="1">
        <f t="array" ref="V263">INDEX('TAG e inad.'!$C$4:$AF$6,MATCH($E263,'TAG e inad.'!$B$4:$B$6,0),'Receitas Tarifárias'!V$223)</f>
        <v>0.9</v>
      </c>
      <c r="W263" s="141" cm="1">
        <f t="array" ref="W263">INDEX('TAG e inad.'!$C$4:$AF$6,MATCH($E263,'TAG e inad.'!$B$4:$B$6,0),'Receitas Tarifárias'!W$223)</f>
        <v>0.9</v>
      </c>
      <c r="X263" s="141" cm="1">
        <f t="array" ref="X263">INDEX('TAG e inad.'!$C$4:$AF$6,MATCH($E263,'TAG e inad.'!$B$4:$B$6,0),'Receitas Tarifárias'!X$223)</f>
        <v>0.9</v>
      </c>
      <c r="Y263" s="141" cm="1">
        <f t="array" ref="Y263">INDEX('TAG e inad.'!$C$4:$AF$6,MATCH($E263,'TAG e inad.'!$B$4:$B$6,0),'Receitas Tarifárias'!Y$223)</f>
        <v>0.9</v>
      </c>
      <c r="Z263" s="141" cm="1">
        <f t="array" ref="Z263">INDEX('TAG e inad.'!$C$4:$AF$6,MATCH($E263,'TAG e inad.'!$B$4:$B$6,0),'Receitas Tarifárias'!Z$223)</f>
        <v>0.9</v>
      </c>
      <c r="AA263" s="141" cm="1">
        <f t="array" ref="AA263">INDEX('TAG e inad.'!$C$4:$AF$6,MATCH($E263,'TAG e inad.'!$B$4:$B$6,0),'Receitas Tarifárias'!AA$223)</f>
        <v>0.9</v>
      </c>
      <c r="AB263" s="141" cm="1">
        <f t="array" ref="AB263">INDEX('TAG e inad.'!$C$4:$AF$6,MATCH($E263,'TAG e inad.'!$B$4:$B$6,0),'Receitas Tarifárias'!AB$223)</f>
        <v>0.9</v>
      </c>
      <c r="AC263" s="141" cm="1">
        <f t="array" ref="AC263">INDEX('TAG e inad.'!$C$4:$AF$6,MATCH($E263,'TAG e inad.'!$B$4:$B$6,0),'Receitas Tarifárias'!AC$223)</f>
        <v>0.9</v>
      </c>
      <c r="AD263" s="141" cm="1">
        <f t="array" ref="AD263">INDEX('TAG e inad.'!$C$4:$AF$6,MATCH($E263,'TAG e inad.'!$B$4:$B$6,0),'Receitas Tarifárias'!AD$223)</f>
        <v>0.9</v>
      </c>
      <c r="AE263" s="141" cm="1">
        <f t="array" ref="AE263">INDEX('TAG e inad.'!$C$4:$AF$6,MATCH($E263,'TAG e inad.'!$B$4:$B$6,0),'Receitas Tarifárias'!AE$223)</f>
        <v>0.9</v>
      </c>
      <c r="AF263" s="141" cm="1">
        <f t="array" ref="AF263">INDEX('TAG e inad.'!$C$4:$AF$6,MATCH($E263,'TAG e inad.'!$B$4:$B$6,0),'Receitas Tarifárias'!AF$223)</f>
        <v>0.9</v>
      </c>
      <c r="AG263" s="141" cm="1">
        <f t="array" ref="AG263">INDEX('TAG e inad.'!$C$4:$AF$6,MATCH($E263,'TAG e inad.'!$B$4:$B$6,0),'Receitas Tarifárias'!AG$223)</f>
        <v>0.9</v>
      </c>
      <c r="AH263" s="141" cm="1">
        <f t="array" ref="AH263">INDEX('TAG e inad.'!$C$4:$AF$6,MATCH($E263,'TAG e inad.'!$B$4:$B$6,0),'Receitas Tarifárias'!AH$223)</f>
        <v>0.9</v>
      </c>
      <c r="AI263" s="141" cm="1">
        <f t="array" ref="AI263">INDEX('TAG e inad.'!$C$4:$AF$6,MATCH($E263,'TAG e inad.'!$B$4:$B$6,0),'Receitas Tarifárias'!AI$223)</f>
        <v>0.9</v>
      </c>
    </row>
    <row r="264" spans="2:35">
      <c r="B264" s="149">
        <v>4</v>
      </c>
      <c r="C264" s="149">
        <v>4</v>
      </c>
      <c r="D264" s="145" t="str">
        <v>Veículos Comerciais com 3 Eixos</v>
      </c>
      <c r="E264" s="145" t="str">
        <v>Pesados I</v>
      </c>
      <c r="F264" s="141" cm="1">
        <f t="array" ref="F264">INDEX('TAG e inad.'!$C$4:$AF$6,MATCH($E264,'TAG e inad.'!$B$4:$B$6,0),'Receitas Tarifárias'!F$223)</f>
        <v>0.5</v>
      </c>
      <c r="G264" s="141" cm="1">
        <f t="array" ref="G264">INDEX('TAG e inad.'!$C$4:$AF$6,MATCH($E264,'TAG e inad.'!$B$4:$B$6,0),'Receitas Tarifárias'!G$223)</f>
        <v>0.56999999999999995</v>
      </c>
      <c r="H264" s="141" cm="1">
        <f t="array" ref="H264">INDEX('TAG e inad.'!$C$4:$AF$6,MATCH($E264,'TAG e inad.'!$B$4:$B$6,0),'Receitas Tarifárias'!H$223)</f>
        <v>0.65</v>
      </c>
      <c r="I264" s="141" cm="1">
        <f t="array" ref="I264">INDEX('TAG e inad.'!$C$4:$AF$6,MATCH($E264,'TAG e inad.'!$B$4:$B$6,0),'Receitas Tarifárias'!I$223)</f>
        <v>0.72</v>
      </c>
      <c r="J264" s="141" cm="1">
        <f t="array" ref="J264">INDEX('TAG e inad.'!$C$4:$AF$6,MATCH($E264,'TAG e inad.'!$B$4:$B$6,0),'Receitas Tarifárias'!J$223)</f>
        <v>0.78</v>
      </c>
      <c r="K264" s="141" cm="1">
        <f t="array" ref="K264">INDEX('TAG e inad.'!$C$4:$AF$6,MATCH($E264,'TAG e inad.'!$B$4:$B$6,0),'Receitas Tarifárias'!K$223)</f>
        <v>0.82</v>
      </c>
      <c r="L264" s="141" cm="1">
        <f t="array" ref="L264">INDEX('TAG e inad.'!$C$4:$AF$6,MATCH($E264,'TAG e inad.'!$B$4:$B$6,0),'Receitas Tarifárias'!L$223)</f>
        <v>0.86</v>
      </c>
      <c r="M264" s="141" cm="1">
        <f t="array" ref="M264">INDEX('TAG e inad.'!$C$4:$AF$6,MATCH($E264,'TAG e inad.'!$B$4:$B$6,0),'Receitas Tarifárias'!M$223)</f>
        <v>0.89</v>
      </c>
      <c r="N264" s="141" cm="1">
        <f t="array" ref="N264">INDEX('TAG e inad.'!$C$4:$AF$6,MATCH($E264,'TAG e inad.'!$B$4:$B$6,0),'Receitas Tarifárias'!N$223)</f>
        <v>0.9</v>
      </c>
      <c r="O264" s="141" cm="1">
        <f t="array" ref="O264">INDEX('TAG e inad.'!$C$4:$AF$6,MATCH($E264,'TAG e inad.'!$B$4:$B$6,0),'Receitas Tarifárias'!O$223)</f>
        <v>0.9</v>
      </c>
      <c r="P264" s="141" cm="1">
        <f t="array" ref="P264">INDEX('TAG e inad.'!$C$4:$AF$6,MATCH($E264,'TAG e inad.'!$B$4:$B$6,0),'Receitas Tarifárias'!P$223)</f>
        <v>0.9</v>
      </c>
      <c r="Q264" s="141" cm="1">
        <f t="array" ref="Q264">INDEX('TAG e inad.'!$C$4:$AF$6,MATCH($E264,'TAG e inad.'!$B$4:$B$6,0),'Receitas Tarifárias'!Q$223)</f>
        <v>0.9</v>
      </c>
      <c r="R264" s="141" cm="1">
        <f t="array" ref="R264">INDEX('TAG e inad.'!$C$4:$AF$6,MATCH($E264,'TAG e inad.'!$B$4:$B$6,0),'Receitas Tarifárias'!R$223)</f>
        <v>0.9</v>
      </c>
      <c r="S264" s="141" cm="1">
        <f t="array" ref="S264">INDEX('TAG e inad.'!$C$4:$AF$6,MATCH($E264,'TAG e inad.'!$B$4:$B$6,0),'Receitas Tarifárias'!S$223)</f>
        <v>0.9</v>
      </c>
      <c r="T264" s="141" cm="1">
        <f t="array" ref="T264">INDEX('TAG e inad.'!$C$4:$AF$6,MATCH($E264,'TAG e inad.'!$B$4:$B$6,0),'Receitas Tarifárias'!T$223)</f>
        <v>0.9</v>
      </c>
      <c r="U264" s="141" cm="1">
        <f t="array" ref="U264">INDEX('TAG e inad.'!$C$4:$AF$6,MATCH($E264,'TAG e inad.'!$B$4:$B$6,0),'Receitas Tarifárias'!U$223)</f>
        <v>0.9</v>
      </c>
      <c r="V264" s="141" cm="1">
        <f t="array" ref="V264">INDEX('TAG e inad.'!$C$4:$AF$6,MATCH($E264,'TAG e inad.'!$B$4:$B$6,0),'Receitas Tarifárias'!V$223)</f>
        <v>0.9</v>
      </c>
      <c r="W264" s="141" cm="1">
        <f t="array" ref="W264">INDEX('TAG e inad.'!$C$4:$AF$6,MATCH($E264,'TAG e inad.'!$B$4:$B$6,0),'Receitas Tarifárias'!W$223)</f>
        <v>0.9</v>
      </c>
      <c r="X264" s="141" cm="1">
        <f t="array" ref="X264">INDEX('TAG e inad.'!$C$4:$AF$6,MATCH($E264,'TAG e inad.'!$B$4:$B$6,0),'Receitas Tarifárias'!X$223)</f>
        <v>0.9</v>
      </c>
      <c r="Y264" s="141" cm="1">
        <f t="array" ref="Y264">INDEX('TAG e inad.'!$C$4:$AF$6,MATCH($E264,'TAG e inad.'!$B$4:$B$6,0),'Receitas Tarifárias'!Y$223)</f>
        <v>0.9</v>
      </c>
      <c r="Z264" s="141" cm="1">
        <f t="array" ref="Z264">INDEX('TAG e inad.'!$C$4:$AF$6,MATCH($E264,'TAG e inad.'!$B$4:$B$6,0),'Receitas Tarifárias'!Z$223)</f>
        <v>0.9</v>
      </c>
      <c r="AA264" s="141" cm="1">
        <f t="array" ref="AA264">INDEX('TAG e inad.'!$C$4:$AF$6,MATCH($E264,'TAG e inad.'!$B$4:$B$6,0),'Receitas Tarifárias'!AA$223)</f>
        <v>0.9</v>
      </c>
      <c r="AB264" s="141" cm="1">
        <f t="array" ref="AB264">INDEX('TAG e inad.'!$C$4:$AF$6,MATCH($E264,'TAG e inad.'!$B$4:$B$6,0),'Receitas Tarifárias'!AB$223)</f>
        <v>0.9</v>
      </c>
      <c r="AC264" s="141" cm="1">
        <f t="array" ref="AC264">INDEX('TAG e inad.'!$C$4:$AF$6,MATCH($E264,'TAG e inad.'!$B$4:$B$6,0),'Receitas Tarifárias'!AC$223)</f>
        <v>0.9</v>
      </c>
      <c r="AD264" s="141" cm="1">
        <f t="array" ref="AD264">INDEX('TAG e inad.'!$C$4:$AF$6,MATCH($E264,'TAG e inad.'!$B$4:$B$6,0),'Receitas Tarifárias'!AD$223)</f>
        <v>0.9</v>
      </c>
      <c r="AE264" s="141" cm="1">
        <f t="array" ref="AE264">INDEX('TAG e inad.'!$C$4:$AF$6,MATCH($E264,'TAG e inad.'!$B$4:$B$6,0),'Receitas Tarifárias'!AE$223)</f>
        <v>0.9</v>
      </c>
      <c r="AF264" s="141" cm="1">
        <f t="array" ref="AF264">INDEX('TAG e inad.'!$C$4:$AF$6,MATCH($E264,'TAG e inad.'!$B$4:$B$6,0),'Receitas Tarifárias'!AF$223)</f>
        <v>0.9</v>
      </c>
      <c r="AG264" s="141" cm="1">
        <f t="array" ref="AG264">INDEX('TAG e inad.'!$C$4:$AF$6,MATCH($E264,'TAG e inad.'!$B$4:$B$6,0),'Receitas Tarifárias'!AG$223)</f>
        <v>0.9</v>
      </c>
      <c r="AH264" s="141" cm="1">
        <f t="array" ref="AH264">INDEX('TAG e inad.'!$C$4:$AF$6,MATCH($E264,'TAG e inad.'!$B$4:$B$6,0),'Receitas Tarifárias'!AH$223)</f>
        <v>0.9</v>
      </c>
      <c r="AI264" s="141" cm="1">
        <f t="array" ref="AI264">INDEX('TAG e inad.'!$C$4:$AF$6,MATCH($E264,'TAG e inad.'!$B$4:$B$6,0),'Receitas Tarifárias'!AI$223)</f>
        <v>0.9</v>
      </c>
    </row>
    <row r="265" spans="2:35">
      <c r="B265" s="149">
        <v>4</v>
      </c>
      <c r="C265" s="149">
        <v>5</v>
      </c>
      <c r="D265" s="145" t="str">
        <v>Veículos Comerciais com 4 Eixos</v>
      </c>
      <c r="E265" s="145" t="str">
        <v>Pesados I</v>
      </c>
      <c r="F265" s="141" cm="1">
        <f t="array" ref="F265">INDEX('TAG e inad.'!$C$4:$AF$6,MATCH($E265,'TAG e inad.'!$B$4:$B$6,0),'Receitas Tarifárias'!F$223)</f>
        <v>0.5</v>
      </c>
      <c r="G265" s="141" cm="1">
        <f t="array" ref="G265">INDEX('TAG e inad.'!$C$4:$AF$6,MATCH($E265,'TAG e inad.'!$B$4:$B$6,0),'Receitas Tarifárias'!G$223)</f>
        <v>0.56999999999999995</v>
      </c>
      <c r="H265" s="141" cm="1">
        <f t="array" ref="H265">INDEX('TAG e inad.'!$C$4:$AF$6,MATCH($E265,'TAG e inad.'!$B$4:$B$6,0),'Receitas Tarifárias'!H$223)</f>
        <v>0.65</v>
      </c>
      <c r="I265" s="141" cm="1">
        <f t="array" ref="I265">INDEX('TAG e inad.'!$C$4:$AF$6,MATCH($E265,'TAG e inad.'!$B$4:$B$6,0),'Receitas Tarifárias'!I$223)</f>
        <v>0.72</v>
      </c>
      <c r="J265" s="141" cm="1">
        <f t="array" ref="J265">INDEX('TAG e inad.'!$C$4:$AF$6,MATCH($E265,'TAG e inad.'!$B$4:$B$6,0),'Receitas Tarifárias'!J$223)</f>
        <v>0.78</v>
      </c>
      <c r="K265" s="141" cm="1">
        <f t="array" ref="K265">INDEX('TAG e inad.'!$C$4:$AF$6,MATCH($E265,'TAG e inad.'!$B$4:$B$6,0),'Receitas Tarifárias'!K$223)</f>
        <v>0.82</v>
      </c>
      <c r="L265" s="141" cm="1">
        <f t="array" ref="L265">INDEX('TAG e inad.'!$C$4:$AF$6,MATCH($E265,'TAG e inad.'!$B$4:$B$6,0),'Receitas Tarifárias'!L$223)</f>
        <v>0.86</v>
      </c>
      <c r="M265" s="141" cm="1">
        <f t="array" ref="M265">INDEX('TAG e inad.'!$C$4:$AF$6,MATCH($E265,'TAG e inad.'!$B$4:$B$6,0),'Receitas Tarifárias'!M$223)</f>
        <v>0.89</v>
      </c>
      <c r="N265" s="141" cm="1">
        <f t="array" ref="N265">INDEX('TAG e inad.'!$C$4:$AF$6,MATCH($E265,'TAG e inad.'!$B$4:$B$6,0),'Receitas Tarifárias'!N$223)</f>
        <v>0.9</v>
      </c>
      <c r="O265" s="141" cm="1">
        <f t="array" ref="O265">INDEX('TAG e inad.'!$C$4:$AF$6,MATCH($E265,'TAG e inad.'!$B$4:$B$6,0),'Receitas Tarifárias'!O$223)</f>
        <v>0.9</v>
      </c>
      <c r="P265" s="141" cm="1">
        <f t="array" ref="P265">INDEX('TAG e inad.'!$C$4:$AF$6,MATCH($E265,'TAG e inad.'!$B$4:$B$6,0),'Receitas Tarifárias'!P$223)</f>
        <v>0.9</v>
      </c>
      <c r="Q265" s="141" cm="1">
        <f t="array" ref="Q265">INDEX('TAG e inad.'!$C$4:$AF$6,MATCH($E265,'TAG e inad.'!$B$4:$B$6,0),'Receitas Tarifárias'!Q$223)</f>
        <v>0.9</v>
      </c>
      <c r="R265" s="141" cm="1">
        <f t="array" ref="R265">INDEX('TAG e inad.'!$C$4:$AF$6,MATCH($E265,'TAG e inad.'!$B$4:$B$6,0),'Receitas Tarifárias'!R$223)</f>
        <v>0.9</v>
      </c>
      <c r="S265" s="141" cm="1">
        <f t="array" ref="S265">INDEX('TAG e inad.'!$C$4:$AF$6,MATCH($E265,'TAG e inad.'!$B$4:$B$6,0),'Receitas Tarifárias'!S$223)</f>
        <v>0.9</v>
      </c>
      <c r="T265" s="141" cm="1">
        <f t="array" ref="T265">INDEX('TAG e inad.'!$C$4:$AF$6,MATCH($E265,'TAG e inad.'!$B$4:$B$6,0),'Receitas Tarifárias'!T$223)</f>
        <v>0.9</v>
      </c>
      <c r="U265" s="141" cm="1">
        <f t="array" ref="U265">INDEX('TAG e inad.'!$C$4:$AF$6,MATCH($E265,'TAG e inad.'!$B$4:$B$6,0),'Receitas Tarifárias'!U$223)</f>
        <v>0.9</v>
      </c>
      <c r="V265" s="141" cm="1">
        <f t="array" ref="V265">INDEX('TAG e inad.'!$C$4:$AF$6,MATCH($E265,'TAG e inad.'!$B$4:$B$6,0),'Receitas Tarifárias'!V$223)</f>
        <v>0.9</v>
      </c>
      <c r="W265" s="141" cm="1">
        <f t="array" ref="W265">INDEX('TAG e inad.'!$C$4:$AF$6,MATCH($E265,'TAG e inad.'!$B$4:$B$6,0),'Receitas Tarifárias'!W$223)</f>
        <v>0.9</v>
      </c>
      <c r="X265" s="141" cm="1">
        <f t="array" ref="X265">INDEX('TAG e inad.'!$C$4:$AF$6,MATCH($E265,'TAG e inad.'!$B$4:$B$6,0),'Receitas Tarifárias'!X$223)</f>
        <v>0.9</v>
      </c>
      <c r="Y265" s="141" cm="1">
        <f t="array" ref="Y265">INDEX('TAG e inad.'!$C$4:$AF$6,MATCH($E265,'TAG e inad.'!$B$4:$B$6,0),'Receitas Tarifárias'!Y$223)</f>
        <v>0.9</v>
      </c>
      <c r="Z265" s="141" cm="1">
        <f t="array" ref="Z265">INDEX('TAG e inad.'!$C$4:$AF$6,MATCH($E265,'TAG e inad.'!$B$4:$B$6,0),'Receitas Tarifárias'!Z$223)</f>
        <v>0.9</v>
      </c>
      <c r="AA265" s="141" cm="1">
        <f t="array" ref="AA265">INDEX('TAG e inad.'!$C$4:$AF$6,MATCH($E265,'TAG e inad.'!$B$4:$B$6,0),'Receitas Tarifárias'!AA$223)</f>
        <v>0.9</v>
      </c>
      <c r="AB265" s="141" cm="1">
        <f t="array" ref="AB265">INDEX('TAG e inad.'!$C$4:$AF$6,MATCH($E265,'TAG e inad.'!$B$4:$B$6,0),'Receitas Tarifárias'!AB$223)</f>
        <v>0.9</v>
      </c>
      <c r="AC265" s="141" cm="1">
        <f t="array" ref="AC265">INDEX('TAG e inad.'!$C$4:$AF$6,MATCH($E265,'TAG e inad.'!$B$4:$B$6,0),'Receitas Tarifárias'!AC$223)</f>
        <v>0.9</v>
      </c>
      <c r="AD265" s="141" cm="1">
        <f t="array" ref="AD265">INDEX('TAG e inad.'!$C$4:$AF$6,MATCH($E265,'TAG e inad.'!$B$4:$B$6,0),'Receitas Tarifárias'!AD$223)</f>
        <v>0.9</v>
      </c>
      <c r="AE265" s="141" cm="1">
        <f t="array" ref="AE265">INDEX('TAG e inad.'!$C$4:$AF$6,MATCH($E265,'TAG e inad.'!$B$4:$B$6,0),'Receitas Tarifárias'!AE$223)</f>
        <v>0.9</v>
      </c>
      <c r="AF265" s="141" cm="1">
        <f t="array" ref="AF265">INDEX('TAG e inad.'!$C$4:$AF$6,MATCH($E265,'TAG e inad.'!$B$4:$B$6,0),'Receitas Tarifárias'!AF$223)</f>
        <v>0.9</v>
      </c>
      <c r="AG265" s="141" cm="1">
        <f t="array" ref="AG265">INDEX('TAG e inad.'!$C$4:$AF$6,MATCH($E265,'TAG e inad.'!$B$4:$B$6,0),'Receitas Tarifárias'!AG$223)</f>
        <v>0.9</v>
      </c>
      <c r="AH265" s="141" cm="1">
        <f t="array" ref="AH265">INDEX('TAG e inad.'!$C$4:$AF$6,MATCH($E265,'TAG e inad.'!$B$4:$B$6,0),'Receitas Tarifárias'!AH$223)</f>
        <v>0.9</v>
      </c>
      <c r="AI265" s="141" cm="1">
        <f t="array" ref="AI265">INDEX('TAG e inad.'!$C$4:$AF$6,MATCH($E265,'TAG e inad.'!$B$4:$B$6,0),'Receitas Tarifárias'!AI$223)</f>
        <v>0.9</v>
      </c>
    </row>
    <row r="266" spans="2:35">
      <c r="B266" s="149">
        <v>4</v>
      </c>
      <c r="C266" s="149">
        <v>6</v>
      </c>
      <c r="D266" s="145" t="str">
        <v>Veículos Comerciais com 5 Eixos Articulado</v>
      </c>
      <c r="E266" s="145" t="str">
        <v>Pesados II</v>
      </c>
      <c r="F266" s="141" cm="1">
        <f t="array" ref="F266">INDEX('TAG e inad.'!$C$4:$AF$6,MATCH($E266,'TAG e inad.'!$B$4:$B$6,0),'Receitas Tarifárias'!F$223)</f>
        <v>0.5</v>
      </c>
      <c r="G266" s="141" cm="1">
        <f t="array" ref="G266">INDEX('TAG e inad.'!$C$4:$AF$6,MATCH($E266,'TAG e inad.'!$B$4:$B$6,0),'Receitas Tarifárias'!G$223)</f>
        <v>0.56999999999999995</v>
      </c>
      <c r="H266" s="141" cm="1">
        <f t="array" ref="H266">INDEX('TAG e inad.'!$C$4:$AF$6,MATCH($E266,'TAG e inad.'!$B$4:$B$6,0),'Receitas Tarifárias'!H$223)</f>
        <v>0.65</v>
      </c>
      <c r="I266" s="141" cm="1">
        <f t="array" ref="I266">INDEX('TAG e inad.'!$C$4:$AF$6,MATCH($E266,'TAG e inad.'!$B$4:$B$6,0),'Receitas Tarifárias'!I$223)</f>
        <v>0.72</v>
      </c>
      <c r="J266" s="141" cm="1">
        <f t="array" ref="J266">INDEX('TAG e inad.'!$C$4:$AF$6,MATCH($E266,'TAG e inad.'!$B$4:$B$6,0),'Receitas Tarifárias'!J$223)</f>
        <v>0.78</v>
      </c>
      <c r="K266" s="141" cm="1">
        <f t="array" ref="K266">INDEX('TAG e inad.'!$C$4:$AF$6,MATCH($E266,'TAG e inad.'!$B$4:$B$6,0),'Receitas Tarifárias'!K$223)</f>
        <v>0.82</v>
      </c>
      <c r="L266" s="141" cm="1">
        <f t="array" ref="L266">INDEX('TAG e inad.'!$C$4:$AF$6,MATCH($E266,'TAG e inad.'!$B$4:$B$6,0),'Receitas Tarifárias'!L$223)</f>
        <v>0.86</v>
      </c>
      <c r="M266" s="141" cm="1">
        <f t="array" ref="M266">INDEX('TAG e inad.'!$C$4:$AF$6,MATCH($E266,'TAG e inad.'!$B$4:$B$6,0),'Receitas Tarifárias'!M$223)</f>
        <v>0.89</v>
      </c>
      <c r="N266" s="141" cm="1">
        <f t="array" ref="N266">INDEX('TAG e inad.'!$C$4:$AF$6,MATCH($E266,'TAG e inad.'!$B$4:$B$6,0),'Receitas Tarifárias'!N$223)</f>
        <v>0.9</v>
      </c>
      <c r="O266" s="141" cm="1">
        <f t="array" ref="O266">INDEX('TAG e inad.'!$C$4:$AF$6,MATCH($E266,'TAG e inad.'!$B$4:$B$6,0),'Receitas Tarifárias'!O$223)</f>
        <v>0.9</v>
      </c>
      <c r="P266" s="141" cm="1">
        <f t="array" ref="P266">INDEX('TAG e inad.'!$C$4:$AF$6,MATCH($E266,'TAG e inad.'!$B$4:$B$6,0),'Receitas Tarifárias'!P$223)</f>
        <v>0.9</v>
      </c>
      <c r="Q266" s="141" cm="1">
        <f t="array" ref="Q266">INDEX('TAG e inad.'!$C$4:$AF$6,MATCH($E266,'TAG e inad.'!$B$4:$B$6,0),'Receitas Tarifárias'!Q$223)</f>
        <v>0.9</v>
      </c>
      <c r="R266" s="141" cm="1">
        <f t="array" ref="R266">INDEX('TAG e inad.'!$C$4:$AF$6,MATCH($E266,'TAG e inad.'!$B$4:$B$6,0),'Receitas Tarifárias'!R$223)</f>
        <v>0.9</v>
      </c>
      <c r="S266" s="141" cm="1">
        <f t="array" ref="S266">INDEX('TAG e inad.'!$C$4:$AF$6,MATCH($E266,'TAG e inad.'!$B$4:$B$6,0),'Receitas Tarifárias'!S$223)</f>
        <v>0.9</v>
      </c>
      <c r="T266" s="141" cm="1">
        <f t="array" ref="T266">INDEX('TAG e inad.'!$C$4:$AF$6,MATCH($E266,'TAG e inad.'!$B$4:$B$6,0),'Receitas Tarifárias'!T$223)</f>
        <v>0.9</v>
      </c>
      <c r="U266" s="141" cm="1">
        <f t="array" ref="U266">INDEX('TAG e inad.'!$C$4:$AF$6,MATCH($E266,'TAG e inad.'!$B$4:$B$6,0),'Receitas Tarifárias'!U$223)</f>
        <v>0.9</v>
      </c>
      <c r="V266" s="141" cm="1">
        <f t="array" ref="V266">INDEX('TAG e inad.'!$C$4:$AF$6,MATCH($E266,'TAG e inad.'!$B$4:$B$6,0),'Receitas Tarifárias'!V$223)</f>
        <v>0.9</v>
      </c>
      <c r="W266" s="141" cm="1">
        <f t="array" ref="W266">INDEX('TAG e inad.'!$C$4:$AF$6,MATCH($E266,'TAG e inad.'!$B$4:$B$6,0),'Receitas Tarifárias'!W$223)</f>
        <v>0.9</v>
      </c>
      <c r="X266" s="141" cm="1">
        <f t="array" ref="X266">INDEX('TAG e inad.'!$C$4:$AF$6,MATCH($E266,'TAG e inad.'!$B$4:$B$6,0),'Receitas Tarifárias'!X$223)</f>
        <v>0.9</v>
      </c>
      <c r="Y266" s="141" cm="1">
        <f t="array" ref="Y266">INDEX('TAG e inad.'!$C$4:$AF$6,MATCH($E266,'TAG e inad.'!$B$4:$B$6,0),'Receitas Tarifárias'!Y$223)</f>
        <v>0.9</v>
      </c>
      <c r="Z266" s="141" cm="1">
        <f t="array" ref="Z266">INDEX('TAG e inad.'!$C$4:$AF$6,MATCH($E266,'TAG e inad.'!$B$4:$B$6,0),'Receitas Tarifárias'!Z$223)</f>
        <v>0.9</v>
      </c>
      <c r="AA266" s="141" cm="1">
        <f t="array" ref="AA266">INDEX('TAG e inad.'!$C$4:$AF$6,MATCH($E266,'TAG e inad.'!$B$4:$B$6,0),'Receitas Tarifárias'!AA$223)</f>
        <v>0.9</v>
      </c>
      <c r="AB266" s="141" cm="1">
        <f t="array" ref="AB266">INDEX('TAG e inad.'!$C$4:$AF$6,MATCH($E266,'TAG e inad.'!$B$4:$B$6,0),'Receitas Tarifárias'!AB$223)</f>
        <v>0.9</v>
      </c>
      <c r="AC266" s="141" cm="1">
        <f t="array" ref="AC266">INDEX('TAG e inad.'!$C$4:$AF$6,MATCH($E266,'TAG e inad.'!$B$4:$B$6,0),'Receitas Tarifárias'!AC$223)</f>
        <v>0.9</v>
      </c>
      <c r="AD266" s="141" cm="1">
        <f t="array" ref="AD266">INDEX('TAG e inad.'!$C$4:$AF$6,MATCH($E266,'TAG e inad.'!$B$4:$B$6,0),'Receitas Tarifárias'!AD$223)</f>
        <v>0.9</v>
      </c>
      <c r="AE266" s="141" cm="1">
        <f t="array" ref="AE266">INDEX('TAG e inad.'!$C$4:$AF$6,MATCH($E266,'TAG e inad.'!$B$4:$B$6,0),'Receitas Tarifárias'!AE$223)</f>
        <v>0.9</v>
      </c>
      <c r="AF266" s="141" cm="1">
        <f t="array" ref="AF266">INDEX('TAG e inad.'!$C$4:$AF$6,MATCH($E266,'TAG e inad.'!$B$4:$B$6,0),'Receitas Tarifárias'!AF$223)</f>
        <v>0.9</v>
      </c>
      <c r="AG266" s="141" cm="1">
        <f t="array" ref="AG266">INDEX('TAG e inad.'!$C$4:$AF$6,MATCH($E266,'TAG e inad.'!$B$4:$B$6,0),'Receitas Tarifárias'!AG$223)</f>
        <v>0.9</v>
      </c>
      <c r="AH266" s="141" cm="1">
        <f t="array" ref="AH266">INDEX('TAG e inad.'!$C$4:$AF$6,MATCH($E266,'TAG e inad.'!$B$4:$B$6,0),'Receitas Tarifárias'!AH$223)</f>
        <v>0.9</v>
      </c>
      <c r="AI266" s="141" cm="1">
        <f t="array" ref="AI266">INDEX('TAG e inad.'!$C$4:$AF$6,MATCH($E266,'TAG e inad.'!$B$4:$B$6,0),'Receitas Tarifárias'!AI$223)</f>
        <v>0.9</v>
      </c>
    </row>
    <row r="267" spans="2:35">
      <c r="B267" s="149">
        <v>4</v>
      </c>
      <c r="C267" s="149">
        <v>7</v>
      </c>
      <c r="D267" s="145" t="str">
        <v>Veículos Comerciais com 6 Eixos Articulado</v>
      </c>
      <c r="E267" s="145" t="str">
        <v>Pesados II</v>
      </c>
      <c r="F267" s="141" cm="1">
        <f t="array" ref="F267">INDEX('TAG e inad.'!$C$4:$AF$6,MATCH($E267,'TAG e inad.'!$B$4:$B$6,0),'Receitas Tarifárias'!F$223)</f>
        <v>0.5</v>
      </c>
      <c r="G267" s="141" cm="1">
        <f t="array" ref="G267">INDEX('TAG e inad.'!$C$4:$AF$6,MATCH($E267,'TAG e inad.'!$B$4:$B$6,0),'Receitas Tarifárias'!G$223)</f>
        <v>0.56999999999999995</v>
      </c>
      <c r="H267" s="141" cm="1">
        <f t="array" ref="H267">INDEX('TAG e inad.'!$C$4:$AF$6,MATCH($E267,'TAG e inad.'!$B$4:$B$6,0),'Receitas Tarifárias'!H$223)</f>
        <v>0.65</v>
      </c>
      <c r="I267" s="141" cm="1">
        <f t="array" ref="I267">INDEX('TAG e inad.'!$C$4:$AF$6,MATCH($E267,'TAG e inad.'!$B$4:$B$6,0),'Receitas Tarifárias'!I$223)</f>
        <v>0.72</v>
      </c>
      <c r="J267" s="141" cm="1">
        <f t="array" ref="J267">INDEX('TAG e inad.'!$C$4:$AF$6,MATCH($E267,'TAG e inad.'!$B$4:$B$6,0),'Receitas Tarifárias'!J$223)</f>
        <v>0.78</v>
      </c>
      <c r="K267" s="141" cm="1">
        <f t="array" ref="K267">INDEX('TAG e inad.'!$C$4:$AF$6,MATCH($E267,'TAG e inad.'!$B$4:$B$6,0),'Receitas Tarifárias'!K$223)</f>
        <v>0.82</v>
      </c>
      <c r="L267" s="141" cm="1">
        <f t="array" ref="L267">INDEX('TAG e inad.'!$C$4:$AF$6,MATCH($E267,'TAG e inad.'!$B$4:$B$6,0),'Receitas Tarifárias'!L$223)</f>
        <v>0.86</v>
      </c>
      <c r="M267" s="141" cm="1">
        <f t="array" ref="M267">INDEX('TAG e inad.'!$C$4:$AF$6,MATCH($E267,'TAG e inad.'!$B$4:$B$6,0),'Receitas Tarifárias'!M$223)</f>
        <v>0.89</v>
      </c>
      <c r="N267" s="141" cm="1">
        <f t="array" ref="N267">INDEX('TAG e inad.'!$C$4:$AF$6,MATCH($E267,'TAG e inad.'!$B$4:$B$6,0),'Receitas Tarifárias'!N$223)</f>
        <v>0.9</v>
      </c>
      <c r="O267" s="141" cm="1">
        <f t="array" ref="O267">INDEX('TAG e inad.'!$C$4:$AF$6,MATCH($E267,'TAG e inad.'!$B$4:$B$6,0),'Receitas Tarifárias'!O$223)</f>
        <v>0.9</v>
      </c>
      <c r="P267" s="141" cm="1">
        <f t="array" ref="P267">INDEX('TAG e inad.'!$C$4:$AF$6,MATCH($E267,'TAG e inad.'!$B$4:$B$6,0),'Receitas Tarifárias'!P$223)</f>
        <v>0.9</v>
      </c>
      <c r="Q267" s="141" cm="1">
        <f t="array" ref="Q267">INDEX('TAG e inad.'!$C$4:$AF$6,MATCH($E267,'TAG e inad.'!$B$4:$B$6,0),'Receitas Tarifárias'!Q$223)</f>
        <v>0.9</v>
      </c>
      <c r="R267" s="141" cm="1">
        <f t="array" ref="R267">INDEX('TAG e inad.'!$C$4:$AF$6,MATCH($E267,'TAG e inad.'!$B$4:$B$6,0),'Receitas Tarifárias'!R$223)</f>
        <v>0.9</v>
      </c>
      <c r="S267" s="141" cm="1">
        <f t="array" ref="S267">INDEX('TAG e inad.'!$C$4:$AF$6,MATCH($E267,'TAG e inad.'!$B$4:$B$6,0),'Receitas Tarifárias'!S$223)</f>
        <v>0.9</v>
      </c>
      <c r="T267" s="141" cm="1">
        <f t="array" ref="T267">INDEX('TAG e inad.'!$C$4:$AF$6,MATCH($E267,'TAG e inad.'!$B$4:$B$6,0),'Receitas Tarifárias'!T$223)</f>
        <v>0.9</v>
      </c>
      <c r="U267" s="141" cm="1">
        <f t="array" ref="U267">INDEX('TAG e inad.'!$C$4:$AF$6,MATCH($E267,'TAG e inad.'!$B$4:$B$6,0),'Receitas Tarifárias'!U$223)</f>
        <v>0.9</v>
      </c>
      <c r="V267" s="141" cm="1">
        <f t="array" ref="V267">INDEX('TAG e inad.'!$C$4:$AF$6,MATCH($E267,'TAG e inad.'!$B$4:$B$6,0),'Receitas Tarifárias'!V$223)</f>
        <v>0.9</v>
      </c>
      <c r="W267" s="141" cm="1">
        <f t="array" ref="W267">INDEX('TAG e inad.'!$C$4:$AF$6,MATCH($E267,'TAG e inad.'!$B$4:$B$6,0),'Receitas Tarifárias'!W$223)</f>
        <v>0.9</v>
      </c>
      <c r="X267" s="141" cm="1">
        <f t="array" ref="X267">INDEX('TAG e inad.'!$C$4:$AF$6,MATCH($E267,'TAG e inad.'!$B$4:$B$6,0),'Receitas Tarifárias'!X$223)</f>
        <v>0.9</v>
      </c>
      <c r="Y267" s="141" cm="1">
        <f t="array" ref="Y267">INDEX('TAG e inad.'!$C$4:$AF$6,MATCH($E267,'TAG e inad.'!$B$4:$B$6,0),'Receitas Tarifárias'!Y$223)</f>
        <v>0.9</v>
      </c>
      <c r="Z267" s="141" cm="1">
        <f t="array" ref="Z267">INDEX('TAG e inad.'!$C$4:$AF$6,MATCH($E267,'TAG e inad.'!$B$4:$B$6,0),'Receitas Tarifárias'!Z$223)</f>
        <v>0.9</v>
      </c>
      <c r="AA267" s="141" cm="1">
        <f t="array" ref="AA267">INDEX('TAG e inad.'!$C$4:$AF$6,MATCH($E267,'TAG e inad.'!$B$4:$B$6,0),'Receitas Tarifárias'!AA$223)</f>
        <v>0.9</v>
      </c>
      <c r="AB267" s="141" cm="1">
        <f t="array" ref="AB267">INDEX('TAG e inad.'!$C$4:$AF$6,MATCH($E267,'TAG e inad.'!$B$4:$B$6,0),'Receitas Tarifárias'!AB$223)</f>
        <v>0.9</v>
      </c>
      <c r="AC267" s="141" cm="1">
        <f t="array" ref="AC267">INDEX('TAG e inad.'!$C$4:$AF$6,MATCH($E267,'TAG e inad.'!$B$4:$B$6,0),'Receitas Tarifárias'!AC$223)</f>
        <v>0.9</v>
      </c>
      <c r="AD267" s="141" cm="1">
        <f t="array" ref="AD267">INDEX('TAG e inad.'!$C$4:$AF$6,MATCH($E267,'TAG e inad.'!$B$4:$B$6,0),'Receitas Tarifárias'!AD$223)</f>
        <v>0.9</v>
      </c>
      <c r="AE267" s="141" cm="1">
        <f t="array" ref="AE267">INDEX('TAG e inad.'!$C$4:$AF$6,MATCH($E267,'TAG e inad.'!$B$4:$B$6,0),'Receitas Tarifárias'!AE$223)</f>
        <v>0.9</v>
      </c>
      <c r="AF267" s="141" cm="1">
        <f t="array" ref="AF267">INDEX('TAG e inad.'!$C$4:$AF$6,MATCH($E267,'TAG e inad.'!$B$4:$B$6,0),'Receitas Tarifárias'!AF$223)</f>
        <v>0.9</v>
      </c>
      <c r="AG267" s="141" cm="1">
        <f t="array" ref="AG267">INDEX('TAG e inad.'!$C$4:$AF$6,MATCH($E267,'TAG e inad.'!$B$4:$B$6,0),'Receitas Tarifárias'!AG$223)</f>
        <v>0.9</v>
      </c>
      <c r="AH267" s="141" cm="1">
        <f t="array" ref="AH267">INDEX('TAG e inad.'!$C$4:$AF$6,MATCH($E267,'TAG e inad.'!$B$4:$B$6,0),'Receitas Tarifárias'!AH$223)</f>
        <v>0.9</v>
      </c>
      <c r="AI267" s="141" cm="1">
        <f t="array" ref="AI267">INDEX('TAG e inad.'!$C$4:$AF$6,MATCH($E267,'TAG e inad.'!$B$4:$B$6,0),'Receitas Tarifárias'!AI$223)</f>
        <v>0.9</v>
      </c>
    </row>
    <row r="268" spans="2:35">
      <c r="B268" s="149">
        <v>4</v>
      </c>
      <c r="C268" s="149">
        <v>8</v>
      </c>
      <c r="D268" s="145" t="str">
        <v>Veículos Comerciais com 7 Eixos Articulado</v>
      </c>
      <c r="E268" s="145" t="str">
        <v>Pesados II</v>
      </c>
      <c r="F268" s="141" cm="1">
        <f t="array" ref="F268">INDEX('TAG e inad.'!$C$4:$AF$6,MATCH($E268,'TAG e inad.'!$B$4:$B$6,0),'Receitas Tarifárias'!F$223)</f>
        <v>0.5</v>
      </c>
      <c r="G268" s="141" cm="1">
        <f t="array" ref="G268">INDEX('TAG e inad.'!$C$4:$AF$6,MATCH($E268,'TAG e inad.'!$B$4:$B$6,0),'Receitas Tarifárias'!G$223)</f>
        <v>0.56999999999999995</v>
      </c>
      <c r="H268" s="141" cm="1">
        <f t="array" ref="H268">INDEX('TAG e inad.'!$C$4:$AF$6,MATCH($E268,'TAG e inad.'!$B$4:$B$6,0),'Receitas Tarifárias'!H$223)</f>
        <v>0.65</v>
      </c>
      <c r="I268" s="141" cm="1">
        <f t="array" ref="I268">INDEX('TAG e inad.'!$C$4:$AF$6,MATCH($E268,'TAG e inad.'!$B$4:$B$6,0),'Receitas Tarifárias'!I$223)</f>
        <v>0.72</v>
      </c>
      <c r="J268" s="141" cm="1">
        <f t="array" ref="J268">INDEX('TAG e inad.'!$C$4:$AF$6,MATCH($E268,'TAG e inad.'!$B$4:$B$6,0),'Receitas Tarifárias'!J$223)</f>
        <v>0.78</v>
      </c>
      <c r="K268" s="141" cm="1">
        <f t="array" ref="K268">INDEX('TAG e inad.'!$C$4:$AF$6,MATCH($E268,'TAG e inad.'!$B$4:$B$6,0),'Receitas Tarifárias'!K$223)</f>
        <v>0.82</v>
      </c>
      <c r="L268" s="141" cm="1">
        <f t="array" ref="L268">INDEX('TAG e inad.'!$C$4:$AF$6,MATCH($E268,'TAG e inad.'!$B$4:$B$6,0),'Receitas Tarifárias'!L$223)</f>
        <v>0.86</v>
      </c>
      <c r="M268" s="141" cm="1">
        <f t="array" ref="M268">INDEX('TAG e inad.'!$C$4:$AF$6,MATCH($E268,'TAG e inad.'!$B$4:$B$6,0),'Receitas Tarifárias'!M$223)</f>
        <v>0.89</v>
      </c>
      <c r="N268" s="141" cm="1">
        <f t="array" ref="N268">INDEX('TAG e inad.'!$C$4:$AF$6,MATCH($E268,'TAG e inad.'!$B$4:$B$6,0),'Receitas Tarifárias'!N$223)</f>
        <v>0.9</v>
      </c>
      <c r="O268" s="141" cm="1">
        <f t="array" ref="O268">INDEX('TAG e inad.'!$C$4:$AF$6,MATCH($E268,'TAG e inad.'!$B$4:$B$6,0),'Receitas Tarifárias'!O$223)</f>
        <v>0.9</v>
      </c>
      <c r="P268" s="141" cm="1">
        <f t="array" ref="P268">INDEX('TAG e inad.'!$C$4:$AF$6,MATCH($E268,'TAG e inad.'!$B$4:$B$6,0),'Receitas Tarifárias'!P$223)</f>
        <v>0.9</v>
      </c>
      <c r="Q268" s="141" cm="1">
        <f t="array" ref="Q268">INDEX('TAG e inad.'!$C$4:$AF$6,MATCH($E268,'TAG e inad.'!$B$4:$B$6,0),'Receitas Tarifárias'!Q$223)</f>
        <v>0.9</v>
      </c>
      <c r="R268" s="141" cm="1">
        <f t="array" ref="R268">INDEX('TAG e inad.'!$C$4:$AF$6,MATCH($E268,'TAG e inad.'!$B$4:$B$6,0),'Receitas Tarifárias'!R$223)</f>
        <v>0.9</v>
      </c>
      <c r="S268" s="141" cm="1">
        <f t="array" ref="S268">INDEX('TAG e inad.'!$C$4:$AF$6,MATCH($E268,'TAG e inad.'!$B$4:$B$6,0),'Receitas Tarifárias'!S$223)</f>
        <v>0.9</v>
      </c>
      <c r="T268" s="141" cm="1">
        <f t="array" ref="T268">INDEX('TAG e inad.'!$C$4:$AF$6,MATCH($E268,'TAG e inad.'!$B$4:$B$6,0),'Receitas Tarifárias'!T$223)</f>
        <v>0.9</v>
      </c>
      <c r="U268" s="141" cm="1">
        <f t="array" ref="U268">INDEX('TAG e inad.'!$C$4:$AF$6,MATCH($E268,'TAG e inad.'!$B$4:$B$6,0),'Receitas Tarifárias'!U$223)</f>
        <v>0.9</v>
      </c>
      <c r="V268" s="141" cm="1">
        <f t="array" ref="V268">INDEX('TAG e inad.'!$C$4:$AF$6,MATCH($E268,'TAG e inad.'!$B$4:$B$6,0),'Receitas Tarifárias'!V$223)</f>
        <v>0.9</v>
      </c>
      <c r="W268" s="141" cm="1">
        <f t="array" ref="W268">INDEX('TAG e inad.'!$C$4:$AF$6,MATCH($E268,'TAG e inad.'!$B$4:$B$6,0),'Receitas Tarifárias'!W$223)</f>
        <v>0.9</v>
      </c>
      <c r="X268" s="141" cm="1">
        <f t="array" ref="X268">INDEX('TAG e inad.'!$C$4:$AF$6,MATCH($E268,'TAG e inad.'!$B$4:$B$6,0),'Receitas Tarifárias'!X$223)</f>
        <v>0.9</v>
      </c>
      <c r="Y268" s="141" cm="1">
        <f t="array" ref="Y268">INDEX('TAG e inad.'!$C$4:$AF$6,MATCH($E268,'TAG e inad.'!$B$4:$B$6,0),'Receitas Tarifárias'!Y$223)</f>
        <v>0.9</v>
      </c>
      <c r="Z268" s="141" cm="1">
        <f t="array" ref="Z268">INDEX('TAG e inad.'!$C$4:$AF$6,MATCH($E268,'TAG e inad.'!$B$4:$B$6,0),'Receitas Tarifárias'!Z$223)</f>
        <v>0.9</v>
      </c>
      <c r="AA268" s="141" cm="1">
        <f t="array" ref="AA268">INDEX('TAG e inad.'!$C$4:$AF$6,MATCH($E268,'TAG e inad.'!$B$4:$B$6,0),'Receitas Tarifárias'!AA$223)</f>
        <v>0.9</v>
      </c>
      <c r="AB268" s="141" cm="1">
        <f t="array" ref="AB268">INDEX('TAG e inad.'!$C$4:$AF$6,MATCH($E268,'TAG e inad.'!$B$4:$B$6,0),'Receitas Tarifárias'!AB$223)</f>
        <v>0.9</v>
      </c>
      <c r="AC268" s="141" cm="1">
        <f t="array" ref="AC268">INDEX('TAG e inad.'!$C$4:$AF$6,MATCH($E268,'TAG e inad.'!$B$4:$B$6,0),'Receitas Tarifárias'!AC$223)</f>
        <v>0.9</v>
      </c>
      <c r="AD268" s="141" cm="1">
        <f t="array" ref="AD268">INDEX('TAG e inad.'!$C$4:$AF$6,MATCH($E268,'TAG e inad.'!$B$4:$B$6,0),'Receitas Tarifárias'!AD$223)</f>
        <v>0.9</v>
      </c>
      <c r="AE268" s="141" cm="1">
        <f t="array" ref="AE268">INDEX('TAG e inad.'!$C$4:$AF$6,MATCH($E268,'TAG e inad.'!$B$4:$B$6,0),'Receitas Tarifárias'!AE$223)</f>
        <v>0.9</v>
      </c>
      <c r="AF268" s="141" cm="1">
        <f t="array" ref="AF268">INDEX('TAG e inad.'!$C$4:$AF$6,MATCH($E268,'TAG e inad.'!$B$4:$B$6,0),'Receitas Tarifárias'!AF$223)</f>
        <v>0.9</v>
      </c>
      <c r="AG268" s="141" cm="1">
        <f t="array" ref="AG268">INDEX('TAG e inad.'!$C$4:$AF$6,MATCH($E268,'TAG e inad.'!$B$4:$B$6,0),'Receitas Tarifárias'!AG$223)</f>
        <v>0.9</v>
      </c>
      <c r="AH268" s="141" cm="1">
        <f t="array" ref="AH268">INDEX('TAG e inad.'!$C$4:$AF$6,MATCH($E268,'TAG e inad.'!$B$4:$B$6,0),'Receitas Tarifárias'!AH$223)</f>
        <v>0.9</v>
      </c>
      <c r="AI268" s="141" cm="1">
        <f t="array" ref="AI268">INDEX('TAG e inad.'!$C$4:$AF$6,MATCH($E268,'TAG e inad.'!$B$4:$B$6,0),'Receitas Tarifárias'!AI$223)</f>
        <v>0.9</v>
      </c>
    </row>
    <row r="269" spans="2:35">
      <c r="B269" s="149">
        <v>4</v>
      </c>
      <c r="C269" s="149">
        <v>9</v>
      </c>
      <c r="D269" s="145" t="str">
        <v>Veículos Comerciais com 8 Eixos Articulado</v>
      </c>
      <c r="E269" s="141" t="str">
        <v>Pesados II</v>
      </c>
      <c r="F269" s="141" cm="1">
        <f t="array" ref="F269">INDEX('TAG e inad.'!$C$4:$AF$6,MATCH($E269,'TAG e inad.'!$B$4:$B$6,0),'Receitas Tarifárias'!F$223)</f>
        <v>0.5</v>
      </c>
      <c r="G269" s="141" cm="1">
        <f t="array" ref="G269">INDEX('TAG e inad.'!$C$4:$AF$6,MATCH($E269,'TAG e inad.'!$B$4:$B$6,0),'Receitas Tarifárias'!G$223)</f>
        <v>0.56999999999999995</v>
      </c>
      <c r="H269" s="141" cm="1">
        <f t="array" ref="H269">INDEX('TAG e inad.'!$C$4:$AF$6,MATCH($E269,'TAG e inad.'!$B$4:$B$6,0),'Receitas Tarifárias'!H$223)</f>
        <v>0.65</v>
      </c>
      <c r="I269" s="141" cm="1">
        <f t="array" ref="I269">INDEX('TAG e inad.'!$C$4:$AF$6,MATCH($E269,'TAG e inad.'!$B$4:$B$6,0),'Receitas Tarifárias'!I$223)</f>
        <v>0.72</v>
      </c>
      <c r="J269" s="141" cm="1">
        <f t="array" ref="J269">INDEX('TAG e inad.'!$C$4:$AF$6,MATCH($E269,'TAG e inad.'!$B$4:$B$6,0),'Receitas Tarifárias'!J$223)</f>
        <v>0.78</v>
      </c>
      <c r="K269" s="141" cm="1">
        <f t="array" ref="K269">INDEX('TAG e inad.'!$C$4:$AF$6,MATCH($E269,'TAG e inad.'!$B$4:$B$6,0),'Receitas Tarifárias'!K$223)</f>
        <v>0.82</v>
      </c>
      <c r="L269" s="141" cm="1">
        <f t="array" ref="L269">INDEX('TAG e inad.'!$C$4:$AF$6,MATCH($E269,'TAG e inad.'!$B$4:$B$6,0),'Receitas Tarifárias'!L$223)</f>
        <v>0.86</v>
      </c>
      <c r="M269" s="141" cm="1">
        <f t="array" ref="M269">INDEX('TAG e inad.'!$C$4:$AF$6,MATCH($E269,'TAG e inad.'!$B$4:$B$6,0),'Receitas Tarifárias'!M$223)</f>
        <v>0.89</v>
      </c>
      <c r="N269" s="141" cm="1">
        <f t="array" ref="N269">INDEX('TAG e inad.'!$C$4:$AF$6,MATCH($E269,'TAG e inad.'!$B$4:$B$6,0),'Receitas Tarifárias'!N$223)</f>
        <v>0.9</v>
      </c>
      <c r="O269" s="141" cm="1">
        <f t="array" ref="O269">INDEX('TAG e inad.'!$C$4:$AF$6,MATCH($E269,'TAG e inad.'!$B$4:$B$6,0),'Receitas Tarifárias'!O$223)</f>
        <v>0.9</v>
      </c>
      <c r="P269" s="141" cm="1">
        <f t="array" ref="P269">INDEX('TAG e inad.'!$C$4:$AF$6,MATCH($E269,'TAG e inad.'!$B$4:$B$6,0),'Receitas Tarifárias'!P$223)</f>
        <v>0.9</v>
      </c>
      <c r="Q269" s="141" cm="1">
        <f t="array" ref="Q269">INDEX('TAG e inad.'!$C$4:$AF$6,MATCH($E269,'TAG e inad.'!$B$4:$B$6,0),'Receitas Tarifárias'!Q$223)</f>
        <v>0.9</v>
      </c>
      <c r="R269" s="141" cm="1">
        <f t="array" ref="R269">INDEX('TAG e inad.'!$C$4:$AF$6,MATCH($E269,'TAG e inad.'!$B$4:$B$6,0),'Receitas Tarifárias'!R$223)</f>
        <v>0.9</v>
      </c>
      <c r="S269" s="141" cm="1">
        <f t="array" ref="S269">INDEX('TAG e inad.'!$C$4:$AF$6,MATCH($E269,'TAG e inad.'!$B$4:$B$6,0),'Receitas Tarifárias'!S$223)</f>
        <v>0.9</v>
      </c>
      <c r="T269" s="141" cm="1">
        <f t="array" ref="T269">INDEX('TAG e inad.'!$C$4:$AF$6,MATCH($E269,'TAG e inad.'!$B$4:$B$6,0),'Receitas Tarifárias'!T$223)</f>
        <v>0.9</v>
      </c>
      <c r="U269" s="141" cm="1">
        <f t="array" ref="U269">INDEX('TAG e inad.'!$C$4:$AF$6,MATCH($E269,'TAG e inad.'!$B$4:$B$6,0),'Receitas Tarifárias'!U$223)</f>
        <v>0.9</v>
      </c>
      <c r="V269" s="141" cm="1">
        <f t="array" ref="V269">INDEX('TAG e inad.'!$C$4:$AF$6,MATCH($E269,'TAG e inad.'!$B$4:$B$6,0),'Receitas Tarifárias'!V$223)</f>
        <v>0.9</v>
      </c>
      <c r="W269" s="141" cm="1">
        <f t="array" ref="W269">INDEX('TAG e inad.'!$C$4:$AF$6,MATCH($E269,'TAG e inad.'!$B$4:$B$6,0),'Receitas Tarifárias'!W$223)</f>
        <v>0.9</v>
      </c>
      <c r="X269" s="141" cm="1">
        <f t="array" ref="X269">INDEX('TAG e inad.'!$C$4:$AF$6,MATCH($E269,'TAG e inad.'!$B$4:$B$6,0),'Receitas Tarifárias'!X$223)</f>
        <v>0.9</v>
      </c>
      <c r="Y269" s="141" cm="1">
        <f t="array" ref="Y269">INDEX('TAG e inad.'!$C$4:$AF$6,MATCH($E269,'TAG e inad.'!$B$4:$B$6,0),'Receitas Tarifárias'!Y$223)</f>
        <v>0.9</v>
      </c>
      <c r="Z269" s="141" cm="1">
        <f t="array" ref="Z269">INDEX('TAG e inad.'!$C$4:$AF$6,MATCH($E269,'TAG e inad.'!$B$4:$B$6,0),'Receitas Tarifárias'!Z$223)</f>
        <v>0.9</v>
      </c>
      <c r="AA269" s="141" cm="1">
        <f t="array" ref="AA269">INDEX('TAG e inad.'!$C$4:$AF$6,MATCH($E269,'TAG e inad.'!$B$4:$B$6,0),'Receitas Tarifárias'!AA$223)</f>
        <v>0.9</v>
      </c>
      <c r="AB269" s="141" cm="1">
        <f t="array" ref="AB269">INDEX('TAG e inad.'!$C$4:$AF$6,MATCH($E269,'TAG e inad.'!$B$4:$B$6,0),'Receitas Tarifárias'!AB$223)</f>
        <v>0.9</v>
      </c>
      <c r="AC269" s="141" cm="1">
        <f t="array" ref="AC269">INDEX('TAG e inad.'!$C$4:$AF$6,MATCH($E269,'TAG e inad.'!$B$4:$B$6,0),'Receitas Tarifárias'!AC$223)</f>
        <v>0.9</v>
      </c>
      <c r="AD269" s="141" cm="1">
        <f t="array" ref="AD269">INDEX('TAG e inad.'!$C$4:$AF$6,MATCH($E269,'TAG e inad.'!$B$4:$B$6,0),'Receitas Tarifárias'!AD$223)</f>
        <v>0.9</v>
      </c>
      <c r="AE269" s="141" cm="1">
        <f t="array" ref="AE269">INDEX('TAG e inad.'!$C$4:$AF$6,MATCH($E269,'TAG e inad.'!$B$4:$B$6,0),'Receitas Tarifárias'!AE$223)</f>
        <v>0.9</v>
      </c>
      <c r="AF269" s="141" cm="1">
        <f t="array" ref="AF269">INDEX('TAG e inad.'!$C$4:$AF$6,MATCH($E269,'TAG e inad.'!$B$4:$B$6,0),'Receitas Tarifárias'!AF$223)</f>
        <v>0.9</v>
      </c>
      <c r="AG269" s="141" cm="1">
        <f t="array" ref="AG269">INDEX('TAG e inad.'!$C$4:$AF$6,MATCH($E269,'TAG e inad.'!$B$4:$B$6,0),'Receitas Tarifárias'!AG$223)</f>
        <v>0.9</v>
      </c>
      <c r="AH269" s="141" cm="1">
        <f t="array" ref="AH269">INDEX('TAG e inad.'!$C$4:$AF$6,MATCH($E269,'TAG e inad.'!$B$4:$B$6,0),'Receitas Tarifárias'!AH$223)</f>
        <v>0.9</v>
      </c>
      <c r="AI269" s="141" cm="1">
        <f t="array" ref="AI269">INDEX('TAG e inad.'!$C$4:$AF$6,MATCH($E269,'TAG e inad.'!$B$4:$B$6,0),'Receitas Tarifárias'!AI$223)</f>
        <v>0.9</v>
      </c>
    </row>
    <row r="270" spans="2:35">
      <c r="B270" s="149">
        <v>4</v>
      </c>
      <c r="C270" s="149">
        <v>10</v>
      </c>
      <c r="D270" s="145" t="str">
        <v>Veículos Comerciais com 9 Eixos Articulado</v>
      </c>
      <c r="E270" s="141" t="str">
        <v>Pesados II</v>
      </c>
      <c r="F270" s="141" cm="1">
        <f t="array" ref="F270">INDEX('TAG e inad.'!$C$4:$AF$6,MATCH($E270,'TAG e inad.'!$B$4:$B$6,0),'Receitas Tarifárias'!F$223)</f>
        <v>0.5</v>
      </c>
      <c r="G270" s="141" cm="1">
        <f t="array" ref="G270">INDEX('TAG e inad.'!$C$4:$AF$6,MATCH($E270,'TAG e inad.'!$B$4:$B$6,0),'Receitas Tarifárias'!G$223)</f>
        <v>0.56999999999999995</v>
      </c>
      <c r="H270" s="141" cm="1">
        <f t="array" ref="H270">INDEX('TAG e inad.'!$C$4:$AF$6,MATCH($E270,'TAG e inad.'!$B$4:$B$6,0),'Receitas Tarifárias'!H$223)</f>
        <v>0.65</v>
      </c>
      <c r="I270" s="141" cm="1">
        <f t="array" ref="I270">INDEX('TAG e inad.'!$C$4:$AF$6,MATCH($E270,'TAG e inad.'!$B$4:$B$6,0),'Receitas Tarifárias'!I$223)</f>
        <v>0.72</v>
      </c>
      <c r="J270" s="141" cm="1">
        <f t="array" ref="J270">INDEX('TAG e inad.'!$C$4:$AF$6,MATCH($E270,'TAG e inad.'!$B$4:$B$6,0),'Receitas Tarifárias'!J$223)</f>
        <v>0.78</v>
      </c>
      <c r="K270" s="141" cm="1">
        <f t="array" ref="K270">INDEX('TAG e inad.'!$C$4:$AF$6,MATCH($E270,'TAG e inad.'!$B$4:$B$6,0),'Receitas Tarifárias'!K$223)</f>
        <v>0.82</v>
      </c>
      <c r="L270" s="141" cm="1">
        <f t="array" ref="L270">INDEX('TAG e inad.'!$C$4:$AF$6,MATCH($E270,'TAG e inad.'!$B$4:$B$6,0),'Receitas Tarifárias'!L$223)</f>
        <v>0.86</v>
      </c>
      <c r="M270" s="141" cm="1">
        <f t="array" ref="M270">INDEX('TAG e inad.'!$C$4:$AF$6,MATCH($E270,'TAG e inad.'!$B$4:$B$6,0),'Receitas Tarifárias'!M$223)</f>
        <v>0.89</v>
      </c>
      <c r="N270" s="141" cm="1">
        <f t="array" ref="N270">INDEX('TAG e inad.'!$C$4:$AF$6,MATCH($E270,'TAG e inad.'!$B$4:$B$6,0),'Receitas Tarifárias'!N$223)</f>
        <v>0.9</v>
      </c>
      <c r="O270" s="141" cm="1">
        <f t="array" ref="O270">INDEX('TAG e inad.'!$C$4:$AF$6,MATCH($E270,'TAG e inad.'!$B$4:$B$6,0),'Receitas Tarifárias'!O$223)</f>
        <v>0.9</v>
      </c>
      <c r="P270" s="141" cm="1">
        <f t="array" ref="P270">INDEX('TAG e inad.'!$C$4:$AF$6,MATCH($E270,'TAG e inad.'!$B$4:$B$6,0),'Receitas Tarifárias'!P$223)</f>
        <v>0.9</v>
      </c>
      <c r="Q270" s="141" cm="1">
        <f t="array" ref="Q270">INDEX('TAG e inad.'!$C$4:$AF$6,MATCH($E270,'TAG e inad.'!$B$4:$B$6,0),'Receitas Tarifárias'!Q$223)</f>
        <v>0.9</v>
      </c>
      <c r="R270" s="141" cm="1">
        <f t="array" ref="R270">INDEX('TAG e inad.'!$C$4:$AF$6,MATCH($E270,'TAG e inad.'!$B$4:$B$6,0),'Receitas Tarifárias'!R$223)</f>
        <v>0.9</v>
      </c>
      <c r="S270" s="141" cm="1">
        <f t="array" ref="S270">INDEX('TAG e inad.'!$C$4:$AF$6,MATCH($E270,'TAG e inad.'!$B$4:$B$6,0),'Receitas Tarifárias'!S$223)</f>
        <v>0.9</v>
      </c>
      <c r="T270" s="141" cm="1">
        <f t="array" ref="T270">INDEX('TAG e inad.'!$C$4:$AF$6,MATCH($E270,'TAG e inad.'!$B$4:$B$6,0),'Receitas Tarifárias'!T$223)</f>
        <v>0.9</v>
      </c>
      <c r="U270" s="141" cm="1">
        <f t="array" ref="U270">INDEX('TAG e inad.'!$C$4:$AF$6,MATCH($E270,'TAG e inad.'!$B$4:$B$6,0),'Receitas Tarifárias'!U$223)</f>
        <v>0.9</v>
      </c>
      <c r="V270" s="141" cm="1">
        <f t="array" ref="V270">INDEX('TAG e inad.'!$C$4:$AF$6,MATCH($E270,'TAG e inad.'!$B$4:$B$6,0),'Receitas Tarifárias'!V$223)</f>
        <v>0.9</v>
      </c>
      <c r="W270" s="141" cm="1">
        <f t="array" ref="W270">INDEX('TAG e inad.'!$C$4:$AF$6,MATCH($E270,'TAG e inad.'!$B$4:$B$6,0),'Receitas Tarifárias'!W$223)</f>
        <v>0.9</v>
      </c>
      <c r="X270" s="141" cm="1">
        <f t="array" ref="X270">INDEX('TAG e inad.'!$C$4:$AF$6,MATCH($E270,'TAG e inad.'!$B$4:$B$6,0),'Receitas Tarifárias'!X$223)</f>
        <v>0.9</v>
      </c>
      <c r="Y270" s="141" cm="1">
        <f t="array" ref="Y270">INDEX('TAG e inad.'!$C$4:$AF$6,MATCH($E270,'TAG e inad.'!$B$4:$B$6,0),'Receitas Tarifárias'!Y$223)</f>
        <v>0.9</v>
      </c>
      <c r="Z270" s="141" cm="1">
        <f t="array" ref="Z270">INDEX('TAG e inad.'!$C$4:$AF$6,MATCH($E270,'TAG e inad.'!$B$4:$B$6,0),'Receitas Tarifárias'!Z$223)</f>
        <v>0.9</v>
      </c>
      <c r="AA270" s="141" cm="1">
        <f t="array" ref="AA270">INDEX('TAG e inad.'!$C$4:$AF$6,MATCH($E270,'TAG e inad.'!$B$4:$B$6,0),'Receitas Tarifárias'!AA$223)</f>
        <v>0.9</v>
      </c>
      <c r="AB270" s="141" cm="1">
        <f t="array" ref="AB270">INDEX('TAG e inad.'!$C$4:$AF$6,MATCH($E270,'TAG e inad.'!$B$4:$B$6,0),'Receitas Tarifárias'!AB$223)</f>
        <v>0.9</v>
      </c>
      <c r="AC270" s="141" cm="1">
        <f t="array" ref="AC270">INDEX('TAG e inad.'!$C$4:$AF$6,MATCH($E270,'TAG e inad.'!$B$4:$B$6,0),'Receitas Tarifárias'!AC$223)</f>
        <v>0.9</v>
      </c>
      <c r="AD270" s="141" cm="1">
        <f t="array" ref="AD270">INDEX('TAG e inad.'!$C$4:$AF$6,MATCH($E270,'TAG e inad.'!$B$4:$B$6,0),'Receitas Tarifárias'!AD$223)</f>
        <v>0.9</v>
      </c>
      <c r="AE270" s="141" cm="1">
        <f t="array" ref="AE270">INDEX('TAG e inad.'!$C$4:$AF$6,MATCH($E270,'TAG e inad.'!$B$4:$B$6,0),'Receitas Tarifárias'!AE$223)</f>
        <v>0.9</v>
      </c>
      <c r="AF270" s="141" cm="1">
        <f t="array" ref="AF270">INDEX('TAG e inad.'!$C$4:$AF$6,MATCH($E270,'TAG e inad.'!$B$4:$B$6,0),'Receitas Tarifárias'!AF$223)</f>
        <v>0.9</v>
      </c>
      <c r="AG270" s="141" cm="1">
        <f t="array" ref="AG270">INDEX('TAG e inad.'!$C$4:$AF$6,MATCH($E270,'TAG e inad.'!$B$4:$B$6,0),'Receitas Tarifárias'!AG$223)</f>
        <v>0.9</v>
      </c>
      <c r="AH270" s="141" cm="1">
        <f t="array" ref="AH270">INDEX('TAG e inad.'!$C$4:$AF$6,MATCH($E270,'TAG e inad.'!$B$4:$B$6,0),'Receitas Tarifárias'!AH$223)</f>
        <v>0.9</v>
      </c>
      <c r="AI270" s="141" cm="1">
        <f t="array" ref="AI270">INDEX('TAG e inad.'!$C$4:$AF$6,MATCH($E270,'TAG e inad.'!$B$4:$B$6,0),'Receitas Tarifárias'!AI$223)</f>
        <v>0.9</v>
      </c>
    </row>
    <row r="271" spans="2:35">
      <c r="B271" s="149">
        <v>4</v>
      </c>
      <c r="C271" s="149">
        <v>11</v>
      </c>
      <c r="D271" s="145" t="str">
        <v>Motocicleta</v>
      </c>
      <c r="E271" s="141" t="str">
        <v>Leves</v>
      </c>
      <c r="F271" s="141" cm="1">
        <f t="array" ref="F271">INDEX('TAG e inad.'!$C$4:$AF$6,MATCH($E271,'TAG e inad.'!$B$4:$B$6,0),'Receitas Tarifárias'!F$223)</f>
        <v>0.22999999999999998</v>
      </c>
      <c r="G271" s="141" cm="1">
        <f t="array" ref="G271">INDEX('TAG e inad.'!$C$4:$AF$6,MATCH($E271,'TAG e inad.'!$B$4:$B$6,0),'Receitas Tarifárias'!G$223)</f>
        <v>0.30000000000000004</v>
      </c>
      <c r="H271" s="141" cm="1">
        <f t="array" ref="H271">INDEX('TAG e inad.'!$C$4:$AF$6,MATCH($E271,'TAG e inad.'!$B$4:$B$6,0),'Receitas Tarifárias'!H$223)</f>
        <v>0.41000000000000003</v>
      </c>
      <c r="I271" s="141" cm="1">
        <f t="array" ref="I271">INDEX('TAG e inad.'!$C$4:$AF$6,MATCH($E271,'TAG e inad.'!$B$4:$B$6,0),'Receitas Tarifárias'!I$223)</f>
        <v>0.5</v>
      </c>
      <c r="J271" s="141" cm="1">
        <f t="array" ref="J271">INDEX('TAG e inad.'!$C$4:$AF$6,MATCH($E271,'TAG e inad.'!$B$4:$B$6,0),'Receitas Tarifárias'!J$223)</f>
        <v>0.58000000000000007</v>
      </c>
      <c r="K271" s="141" cm="1">
        <f t="array" ref="K271">INDEX('TAG e inad.'!$C$4:$AF$6,MATCH($E271,'TAG e inad.'!$B$4:$B$6,0),'Receitas Tarifárias'!K$223)</f>
        <v>0.64</v>
      </c>
      <c r="L271" s="141" cm="1">
        <f t="array" ref="L271">INDEX('TAG e inad.'!$C$4:$AF$6,MATCH($E271,'TAG e inad.'!$B$4:$B$6,0),'Receitas Tarifárias'!L$223)</f>
        <v>0.69</v>
      </c>
      <c r="M271" s="141" cm="1">
        <f t="array" ref="M271">INDEX('TAG e inad.'!$C$4:$AF$6,MATCH($E271,'TAG e inad.'!$B$4:$B$6,0),'Receitas Tarifárias'!M$223)</f>
        <v>0.74</v>
      </c>
      <c r="N271" s="141" cm="1">
        <f t="array" ref="N271">INDEX('TAG e inad.'!$C$4:$AF$6,MATCH($E271,'TAG e inad.'!$B$4:$B$6,0),'Receitas Tarifárias'!N$223)</f>
        <v>0.78</v>
      </c>
      <c r="O271" s="141" cm="1">
        <f t="array" ref="O271">INDEX('TAG e inad.'!$C$4:$AF$6,MATCH($E271,'TAG e inad.'!$B$4:$B$6,0),'Receitas Tarifárias'!O$223)</f>
        <v>0.8</v>
      </c>
      <c r="P271" s="141" cm="1">
        <f t="array" ref="P271">INDEX('TAG e inad.'!$C$4:$AF$6,MATCH($E271,'TAG e inad.'!$B$4:$B$6,0),'Receitas Tarifárias'!P$223)</f>
        <v>0.81</v>
      </c>
      <c r="Q271" s="141" cm="1">
        <f t="array" ref="Q271">INDEX('TAG e inad.'!$C$4:$AF$6,MATCH($E271,'TAG e inad.'!$B$4:$B$6,0),'Receitas Tarifárias'!Q$223)</f>
        <v>0.81</v>
      </c>
      <c r="R271" s="141" cm="1">
        <f t="array" ref="R271">INDEX('TAG e inad.'!$C$4:$AF$6,MATCH($E271,'TAG e inad.'!$B$4:$B$6,0),'Receitas Tarifárias'!R$223)</f>
        <v>0.81</v>
      </c>
      <c r="S271" s="141" cm="1">
        <f t="array" ref="S271">INDEX('TAG e inad.'!$C$4:$AF$6,MATCH($E271,'TAG e inad.'!$B$4:$B$6,0),'Receitas Tarifárias'!S$223)</f>
        <v>0.81</v>
      </c>
      <c r="T271" s="141" cm="1">
        <f t="array" ref="T271">INDEX('TAG e inad.'!$C$4:$AF$6,MATCH($E271,'TAG e inad.'!$B$4:$B$6,0),'Receitas Tarifárias'!T$223)</f>
        <v>0.81</v>
      </c>
      <c r="U271" s="141" cm="1">
        <f t="array" ref="U271">INDEX('TAG e inad.'!$C$4:$AF$6,MATCH($E271,'TAG e inad.'!$B$4:$B$6,0),'Receitas Tarifárias'!U$223)</f>
        <v>0.81</v>
      </c>
      <c r="V271" s="141" cm="1">
        <f t="array" ref="V271">INDEX('TAG e inad.'!$C$4:$AF$6,MATCH($E271,'TAG e inad.'!$B$4:$B$6,0),'Receitas Tarifárias'!V$223)</f>
        <v>0.81</v>
      </c>
      <c r="W271" s="141" cm="1">
        <f t="array" ref="W271">INDEX('TAG e inad.'!$C$4:$AF$6,MATCH($E271,'TAG e inad.'!$B$4:$B$6,0),'Receitas Tarifárias'!W$223)</f>
        <v>0.81</v>
      </c>
      <c r="X271" s="141" cm="1">
        <f t="array" ref="X271">INDEX('TAG e inad.'!$C$4:$AF$6,MATCH($E271,'TAG e inad.'!$B$4:$B$6,0),'Receitas Tarifárias'!X$223)</f>
        <v>0.81</v>
      </c>
      <c r="Y271" s="141" cm="1">
        <f t="array" ref="Y271">INDEX('TAG e inad.'!$C$4:$AF$6,MATCH($E271,'TAG e inad.'!$B$4:$B$6,0),'Receitas Tarifárias'!Y$223)</f>
        <v>0.81</v>
      </c>
      <c r="Z271" s="141" cm="1">
        <f t="array" ref="Z271">INDEX('TAG e inad.'!$C$4:$AF$6,MATCH($E271,'TAG e inad.'!$B$4:$B$6,0),'Receitas Tarifárias'!Z$223)</f>
        <v>0.81</v>
      </c>
      <c r="AA271" s="141" cm="1">
        <f t="array" ref="AA271">INDEX('TAG e inad.'!$C$4:$AF$6,MATCH($E271,'TAG e inad.'!$B$4:$B$6,0),'Receitas Tarifárias'!AA$223)</f>
        <v>0.81</v>
      </c>
      <c r="AB271" s="141" cm="1">
        <f t="array" ref="AB271">INDEX('TAG e inad.'!$C$4:$AF$6,MATCH($E271,'TAG e inad.'!$B$4:$B$6,0),'Receitas Tarifárias'!AB$223)</f>
        <v>0.81</v>
      </c>
      <c r="AC271" s="141" cm="1">
        <f t="array" ref="AC271">INDEX('TAG e inad.'!$C$4:$AF$6,MATCH($E271,'TAG e inad.'!$B$4:$B$6,0),'Receitas Tarifárias'!AC$223)</f>
        <v>0.81</v>
      </c>
      <c r="AD271" s="141" cm="1">
        <f t="array" ref="AD271">INDEX('TAG e inad.'!$C$4:$AF$6,MATCH($E271,'TAG e inad.'!$B$4:$B$6,0),'Receitas Tarifárias'!AD$223)</f>
        <v>0.81</v>
      </c>
      <c r="AE271" s="141" cm="1">
        <f t="array" ref="AE271">INDEX('TAG e inad.'!$C$4:$AF$6,MATCH($E271,'TAG e inad.'!$B$4:$B$6,0),'Receitas Tarifárias'!AE$223)</f>
        <v>0.81</v>
      </c>
      <c r="AF271" s="141" cm="1">
        <f t="array" ref="AF271">INDEX('TAG e inad.'!$C$4:$AF$6,MATCH($E271,'TAG e inad.'!$B$4:$B$6,0),'Receitas Tarifárias'!AF$223)</f>
        <v>0.81</v>
      </c>
      <c r="AG271" s="141" cm="1">
        <f t="array" ref="AG271">INDEX('TAG e inad.'!$C$4:$AF$6,MATCH($E271,'TAG e inad.'!$B$4:$B$6,0),'Receitas Tarifárias'!AG$223)</f>
        <v>0.81</v>
      </c>
      <c r="AH271" s="141" cm="1">
        <f t="array" ref="AH271">INDEX('TAG e inad.'!$C$4:$AF$6,MATCH($E271,'TAG e inad.'!$B$4:$B$6,0),'Receitas Tarifárias'!AH$223)</f>
        <v>0.81</v>
      </c>
      <c r="AI271" s="141" cm="1">
        <f t="array" ref="AI271">INDEX('TAG e inad.'!$C$4:$AF$6,MATCH($E271,'TAG e inad.'!$B$4:$B$6,0),'Receitas Tarifárias'!AI$223)</f>
        <v>0.81</v>
      </c>
    </row>
    <row r="272" spans="2:35">
      <c r="B272" s="149">
        <v>4</v>
      </c>
      <c r="C272" s="149">
        <v>12</v>
      </c>
      <c r="D272" s="145" t="str">
        <v xml:space="preserve">Veículos do transporte público coletivo intermunicipal e metropolitano </v>
      </c>
      <c r="E272" s="141" t="str">
        <v>Pesados I</v>
      </c>
      <c r="F272" s="141" cm="1">
        <f t="array" ref="F272">INDEX('TAG e inad.'!$C$4:$AF$6,MATCH($E272,'TAG e inad.'!$B$4:$B$6,0),'Receitas Tarifárias'!F$223)</f>
        <v>0.5</v>
      </c>
      <c r="G272" s="141" cm="1">
        <f t="array" ref="G272">INDEX('TAG e inad.'!$C$4:$AF$6,MATCH($E272,'TAG e inad.'!$B$4:$B$6,0),'Receitas Tarifárias'!G$223)</f>
        <v>0.56999999999999995</v>
      </c>
      <c r="H272" s="141" cm="1">
        <f t="array" ref="H272">INDEX('TAG e inad.'!$C$4:$AF$6,MATCH($E272,'TAG e inad.'!$B$4:$B$6,0),'Receitas Tarifárias'!H$223)</f>
        <v>0.65</v>
      </c>
      <c r="I272" s="141" cm="1">
        <f t="array" ref="I272">INDEX('TAG e inad.'!$C$4:$AF$6,MATCH($E272,'TAG e inad.'!$B$4:$B$6,0),'Receitas Tarifárias'!I$223)</f>
        <v>0.72</v>
      </c>
      <c r="J272" s="141" cm="1">
        <f t="array" ref="J272">INDEX('TAG e inad.'!$C$4:$AF$6,MATCH($E272,'TAG e inad.'!$B$4:$B$6,0),'Receitas Tarifárias'!J$223)</f>
        <v>0.78</v>
      </c>
      <c r="K272" s="141" cm="1">
        <f t="array" ref="K272">INDEX('TAG e inad.'!$C$4:$AF$6,MATCH($E272,'TAG e inad.'!$B$4:$B$6,0),'Receitas Tarifárias'!K$223)</f>
        <v>0.82</v>
      </c>
      <c r="L272" s="141" cm="1">
        <f t="array" ref="L272">INDEX('TAG e inad.'!$C$4:$AF$6,MATCH($E272,'TAG e inad.'!$B$4:$B$6,0),'Receitas Tarifárias'!L$223)</f>
        <v>0.86</v>
      </c>
      <c r="M272" s="141" cm="1">
        <f t="array" ref="M272">INDEX('TAG e inad.'!$C$4:$AF$6,MATCH($E272,'TAG e inad.'!$B$4:$B$6,0),'Receitas Tarifárias'!M$223)</f>
        <v>0.89</v>
      </c>
      <c r="N272" s="141" cm="1">
        <f t="array" ref="N272">INDEX('TAG e inad.'!$C$4:$AF$6,MATCH($E272,'TAG e inad.'!$B$4:$B$6,0),'Receitas Tarifárias'!N$223)</f>
        <v>0.9</v>
      </c>
      <c r="O272" s="141" cm="1">
        <f t="array" ref="O272">INDEX('TAG e inad.'!$C$4:$AF$6,MATCH($E272,'TAG e inad.'!$B$4:$B$6,0),'Receitas Tarifárias'!O$223)</f>
        <v>0.9</v>
      </c>
      <c r="P272" s="141" cm="1">
        <f t="array" ref="P272">INDEX('TAG e inad.'!$C$4:$AF$6,MATCH($E272,'TAG e inad.'!$B$4:$B$6,0),'Receitas Tarifárias'!P$223)</f>
        <v>0.9</v>
      </c>
      <c r="Q272" s="141" cm="1">
        <f t="array" ref="Q272">INDEX('TAG e inad.'!$C$4:$AF$6,MATCH($E272,'TAG e inad.'!$B$4:$B$6,0),'Receitas Tarifárias'!Q$223)</f>
        <v>0.9</v>
      </c>
      <c r="R272" s="141" cm="1">
        <f t="array" ref="R272">INDEX('TAG e inad.'!$C$4:$AF$6,MATCH($E272,'TAG e inad.'!$B$4:$B$6,0),'Receitas Tarifárias'!R$223)</f>
        <v>0.9</v>
      </c>
      <c r="S272" s="141" cm="1">
        <f t="array" ref="S272">INDEX('TAG e inad.'!$C$4:$AF$6,MATCH($E272,'TAG e inad.'!$B$4:$B$6,0),'Receitas Tarifárias'!S$223)</f>
        <v>0.9</v>
      </c>
      <c r="T272" s="141" cm="1">
        <f t="array" ref="T272">INDEX('TAG e inad.'!$C$4:$AF$6,MATCH($E272,'TAG e inad.'!$B$4:$B$6,0),'Receitas Tarifárias'!T$223)</f>
        <v>0.9</v>
      </c>
      <c r="U272" s="141" cm="1">
        <f t="array" ref="U272">INDEX('TAG e inad.'!$C$4:$AF$6,MATCH($E272,'TAG e inad.'!$B$4:$B$6,0),'Receitas Tarifárias'!U$223)</f>
        <v>0.9</v>
      </c>
      <c r="V272" s="141" cm="1">
        <f t="array" ref="V272">INDEX('TAG e inad.'!$C$4:$AF$6,MATCH($E272,'TAG e inad.'!$B$4:$B$6,0),'Receitas Tarifárias'!V$223)</f>
        <v>0.9</v>
      </c>
      <c r="W272" s="141" cm="1">
        <f t="array" ref="W272">INDEX('TAG e inad.'!$C$4:$AF$6,MATCH($E272,'TAG e inad.'!$B$4:$B$6,0),'Receitas Tarifárias'!W$223)</f>
        <v>0.9</v>
      </c>
      <c r="X272" s="141" cm="1">
        <f t="array" ref="X272">INDEX('TAG e inad.'!$C$4:$AF$6,MATCH($E272,'TAG e inad.'!$B$4:$B$6,0),'Receitas Tarifárias'!X$223)</f>
        <v>0.9</v>
      </c>
      <c r="Y272" s="141" cm="1">
        <f t="array" ref="Y272">INDEX('TAG e inad.'!$C$4:$AF$6,MATCH($E272,'TAG e inad.'!$B$4:$B$6,0),'Receitas Tarifárias'!Y$223)</f>
        <v>0.9</v>
      </c>
      <c r="Z272" s="141" cm="1">
        <f t="array" ref="Z272">INDEX('TAG e inad.'!$C$4:$AF$6,MATCH($E272,'TAG e inad.'!$B$4:$B$6,0),'Receitas Tarifárias'!Z$223)</f>
        <v>0.9</v>
      </c>
      <c r="AA272" s="141" cm="1">
        <f t="array" ref="AA272">INDEX('TAG e inad.'!$C$4:$AF$6,MATCH($E272,'TAG e inad.'!$B$4:$B$6,0),'Receitas Tarifárias'!AA$223)</f>
        <v>0.9</v>
      </c>
      <c r="AB272" s="141" cm="1">
        <f t="array" ref="AB272">INDEX('TAG e inad.'!$C$4:$AF$6,MATCH($E272,'TAG e inad.'!$B$4:$B$6,0),'Receitas Tarifárias'!AB$223)</f>
        <v>0.9</v>
      </c>
      <c r="AC272" s="141" cm="1">
        <f t="array" ref="AC272">INDEX('TAG e inad.'!$C$4:$AF$6,MATCH($E272,'TAG e inad.'!$B$4:$B$6,0),'Receitas Tarifárias'!AC$223)</f>
        <v>0.9</v>
      </c>
      <c r="AD272" s="141" cm="1">
        <f t="array" ref="AD272">INDEX('TAG e inad.'!$C$4:$AF$6,MATCH($E272,'TAG e inad.'!$B$4:$B$6,0),'Receitas Tarifárias'!AD$223)</f>
        <v>0.9</v>
      </c>
      <c r="AE272" s="141" cm="1">
        <f t="array" ref="AE272">INDEX('TAG e inad.'!$C$4:$AF$6,MATCH($E272,'TAG e inad.'!$B$4:$B$6,0),'Receitas Tarifárias'!AE$223)</f>
        <v>0.9</v>
      </c>
      <c r="AF272" s="141" cm="1">
        <f t="array" ref="AF272">INDEX('TAG e inad.'!$C$4:$AF$6,MATCH($E272,'TAG e inad.'!$B$4:$B$6,0),'Receitas Tarifárias'!AF$223)</f>
        <v>0.9</v>
      </c>
      <c r="AG272" s="141" cm="1">
        <f t="array" ref="AG272">INDEX('TAG e inad.'!$C$4:$AF$6,MATCH($E272,'TAG e inad.'!$B$4:$B$6,0),'Receitas Tarifárias'!AG$223)</f>
        <v>0.9</v>
      </c>
      <c r="AH272" s="141" cm="1">
        <f t="array" ref="AH272">INDEX('TAG e inad.'!$C$4:$AF$6,MATCH($E272,'TAG e inad.'!$B$4:$B$6,0),'Receitas Tarifárias'!AH$223)</f>
        <v>0.9</v>
      </c>
      <c r="AI272" s="141" cm="1">
        <f t="array" ref="AI272">INDEX('TAG e inad.'!$C$4:$AF$6,MATCH($E272,'TAG e inad.'!$B$4:$B$6,0),'Receitas Tarifárias'!AI$223)</f>
        <v>0.9</v>
      </c>
    </row>
    <row r="273" spans="2:34">
      <c r="E273" s="3"/>
      <c r="G273" s="3"/>
      <c r="H273" s="3"/>
    </row>
    <row r="274" spans="2:34">
      <c r="B274" s="2" t="s">
        <v>625</v>
      </c>
    </row>
    <row r="275" spans="2:34">
      <c r="B275" s="46" t="str" cm="1">
        <f t="array" ref="B275:D323">_xlfn.ANCHORARRAY(B170)</f>
        <v>Pórtico</v>
      </c>
      <c r="C275" s="46" t="str">
        <v>Categoria</v>
      </c>
      <c r="D275" s="46" t="str">
        <v>Categoria de Veículo</v>
      </c>
      <c r="E275" s="46" t="str" cm="1">
        <f t="array" ref="E275:AH275">_xlfn.ANCHORARRAY(E170)</f>
        <v>Ano 1</v>
      </c>
      <c r="F275" s="46" t="str">
        <v>Ano 2</v>
      </c>
      <c r="G275" s="46" t="str">
        <v>Ano 3</v>
      </c>
      <c r="H275" s="46" t="str">
        <v>Ano 4</v>
      </c>
      <c r="I275" s="46" t="str">
        <v>Ano 5</v>
      </c>
      <c r="J275" s="46" t="str">
        <v>Ano 6</v>
      </c>
      <c r="K275" s="46" t="str">
        <v>Ano 7</v>
      </c>
      <c r="L275" s="46" t="str">
        <v>Ano 8</v>
      </c>
      <c r="M275" s="46" t="str">
        <v>Ano 9</v>
      </c>
      <c r="N275" s="46" t="str">
        <v>Ano 10</v>
      </c>
      <c r="O275" s="46" t="str">
        <v>Ano 11</v>
      </c>
      <c r="P275" s="46" t="str">
        <v>Ano 12</v>
      </c>
      <c r="Q275" s="46" t="str">
        <v>Ano 13</v>
      </c>
      <c r="R275" s="46" t="str">
        <v>Ano 14</v>
      </c>
      <c r="S275" s="46" t="str">
        <v>Ano 15</v>
      </c>
      <c r="T275" s="46" t="str">
        <v>Ano 16</v>
      </c>
      <c r="U275" s="46" t="str">
        <v>Ano 17</v>
      </c>
      <c r="V275" s="46" t="str">
        <v>Ano 18</v>
      </c>
      <c r="W275" s="46" t="str">
        <v>Ano 19</v>
      </c>
      <c r="X275" s="46" t="str">
        <v>Ano 20</v>
      </c>
      <c r="Y275" s="46" t="str">
        <v>Ano 21</v>
      </c>
      <c r="Z275" s="46" t="str">
        <v>Ano 22</v>
      </c>
      <c r="AA275" s="46" t="str">
        <v>Ano 23</v>
      </c>
      <c r="AB275" s="46" t="str">
        <v>Ano 24</v>
      </c>
      <c r="AC275" s="46" t="str">
        <v>Ano 25</v>
      </c>
      <c r="AD275" s="46" t="str">
        <v>Ano 26</v>
      </c>
      <c r="AE275" s="46" t="str">
        <v>Ano 27</v>
      </c>
      <c r="AF275" s="46" t="str">
        <v>Ano 28</v>
      </c>
      <c r="AG275" s="46" t="str">
        <v>Ano 29</v>
      </c>
      <c r="AH275" s="46" t="str">
        <v>Ano 30</v>
      </c>
    </row>
    <row r="276" spans="2:34">
      <c r="B276" s="149">
        <v>1</v>
      </c>
      <c r="C276" s="149">
        <v>1</v>
      </c>
      <c r="D276" s="145" t="str">
        <v>Automóvel</v>
      </c>
      <c r="E276" s="147" cm="1">
        <f t="array" aca="1" ref="E276:AH323" ca="1">D67:AG114 * (1-F225:AI272) * 'Painel Controle'!C38</f>
        <v>0</v>
      </c>
      <c r="F276" s="147">
        <f ca="1"/>
        <v>2928795.0866873306</v>
      </c>
      <c r="G276" s="147">
        <f ca="1"/>
        <v>3427280.7389470222</v>
      </c>
      <c r="H276" s="147">
        <f ca="1"/>
        <v>3025005.5343864202</v>
      </c>
      <c r="I276" s="147">
        <f ca="1"/>
        <v>3705468.762474048</v>
      </c>
      <c r="J276" s="147">
        <f ca="1"/>
        <v>3307683.3236758132</v>
      </c>
      <c r="K276" s="147">
        <f ca="1"/>
        <v>2964389.8253393471</v>
      </c>
      <c r="L276" s="147">
        <f ca="1"/>
        <v>2585219.4310697801</v>
      </c>
      <c r="M276" s="147">
        <f ca="1"/>
        <v>2271951.8269768609</v>
      </c>
      <c r="N276" s="147">
        <f ca="1"/>
        <v>2142325.7057065703</v>
      </c>
      <c r="O276" s="147">
        <f ca="1"/>
        <v>2107868.9778333665</v>
      </c>
      <c r="P276" s="147">
        <f ca="1"/>
        <v>2179584.9782697586</v>
      </c>
      <c r="Q276" s="147">
        <f ca="1"/>
        <v>2249924.252284768</v>
      </c>
      <c r="R276" s="147">
        <f ca="1"/>
        <v>2318455.3629213646</v>
      </c>
      <c r="S276" s="147">
        <f ca="1"/>
        <v>2384727.7189244274</v>
      </c>
      <c r="T276" s="147">
        <f ca="1"/>
        <v>2448306.6489089532</v>
      </c>
      <c r="U276" s="147">
        <f ca="1"/>
        <v>2508864.9072682639</v>
      </c>
      <c r="V276" s="147">
        <f ca="1"/>
        <v>2566117.5469731186</v>
      </c>
      <c r="W276" s="147">
        <f ca="1"/>
        <v>2619764.46103309</v>
      </c>
      <c r="X276" s="147">
        <f ca="1"/>
        <v>2669543.3901195428</v>
      </c>
      <c r="Y276" s="147">
        <f ca="1"/>
        <v>2715179.9165934236</v>
      </c>
      <c r="Z276" s="147">
        <f ca="1"/>
        <v>2756457.7471502405</v>
      </c>
      <c r="AA276" s="147">
        <f ca="1"/>
        <v>2793209.2896676785</v>
      </c>
      <c r="AB276" s="147">
        <f ca="1"/>
        <v>2825250.5767219546</v>
      </c>
      <c r="AC276" s="147">
        <f ca="1"/>
        <v>2852406.9306022921</v>
      </c>
      <c r="AD276" s="147">
        <f ca="1"/>
        <v>2874551.7474398492</v>
      </c>
      <c r="AE276" s="147">
        <f ca="1"/>
        <v>2891580.8942937064</v>
      </c>
      <c r="AF276" s="147">
        <f ca="1"/>
        <v>2903365.8205424831</v>
      </c>
      <c r="AG276" s="147">
        <f ca="1"/>
        <v>2909790.9799707085</v>
      </c>
      <c r="AH276" s="147">
        <f ca="1"/>
        <v>2910765.6318338914</v>
      </c>
    </row>
    <row r="277" spans="2:34">
      <c r="B277" s="149">
        <v>1</v>
      </c>
      <c r="C277" s="149">
        <v>2</v>
      </c>
      <c r="D277" s="145" t="str">
        <v xml:space="preserve">Automóvel com reboque </v>
      </c>
      <c r="E277" s="147">
        <f ca="1"/>
        <v>0</v>
      </c>
      <c r="F277" s="147">
        <f ca="1"/>
        <v>11543.674328159523</v>
      </c>
      <c r="G277" s="147">
        <f ca="1"/>
        <v>13508.426335939836</v>
      </c>
      <c r="H277" s="147">
        <f ca="1"/>
        <v>11922.88217382035</v>
      </c>
      <c r="I277" s="147">
        <f ca="1"/>
        <v>14604.888140381951</v>
      </c>
      <c r="J277" s="147">
        <f ca="1"/>
        <v>13037.040127100614</v>
      </c>
      <c r="K277" s="147">
        <f ca="1"/>
        <v>11683.968906179862</v>
      </c>
      <c r="L277" s="147">
        <f ca="1"/>
        <v>10189.491000838098</v>
      </c>
      <c r="M277" s="147">
        <f ca="1"/>
        <v>8954.7650838051941</v>
      </c>
      <c r="N277" s="147">
        <f ca="1"/>
        <v>8443.851317537159</v>
      </c>
      <c r="O277" s="147">
        <f ca="1"/>
        <v>8308.0421423612406</v>
      </c>
      <c r="P277" s="147">
        <f ca="1"/>
        <v>8590.7065584956708</v>
      </c>
      <c r="Q277" s="147">
        <f ca="1"/>
        <v>8867.9446880593332</v>
      </c>
      <c r="R277" s="147">
        <f ca="1"/>
        <v>9138.0560475504244</v>
      </c>
      <c r="S277" s="147">
        <f ca="1"/>
        <v>9399.2646579228549</v>
      </c>
      <c r="T277" s="147">
        <f ca="1"/>
        <v>9649.8572873663688</v>
      </c>
      <c r="U277" s="147">
        <f ca="1"/>
        <v>9888.5441164852728</v>
      </c>
      <c r="V277" s="147">
        <f ca="1"/>
        <v>10114.202043249901</v>
      </c>
      <c r="W277" s="147">
        <f ca="1"/>
        <v>10325.648213531324</v>
      </c>
      <c r="X277" s="147">
        <f ca="1"/>
        <v>10521.848947543242</v>
      </c>
      <c r="Y277" s="147">
        <f ca="1"/>
        <v>10701.722644230837</v>
      </c>
      <c r="Z277" s="147">
        <f ca="1"/>
        <v>10864.416796200268</v>
      </c>
      <c r="AA277" s="147">
        <f ca="1"/>
        <v>11009.270848915399</v>
      </c>
      <c r="AB277" s="147">
        <f ca="1"/>
        <v>11135.559705548245</v>
      </c>
      <c r="AC277" s="147">
        <f ca="1"/>
        <v>11242.594884130656</v>
      </c>
      <c r="AD277" s="147">
        <f ca="1"/>
        <v>11329.877382927334</v>
      </c>
      <c r="AE277" s="147">
        <f ca="1"/>
        <v>11396.996768049517</v>
      </c>
      <c r="AF277" s="147">
        <f ca="1"/>
        <v>11443.446364750776</v>
      </c>
      <c r="AG277" s="147">
        <f ca="1"/>
        <v>11468.770754389054</v>
      </c>
      <c r="AH277" s="147">
        <f ca="1"/>
        <v>11472.612287633581</v>
      </c>
    </row>
    <row r="278" spans="2:34">
      <c r="B278" s="149">
        <v>1</v>
      </c>
      <c r="C278" s="149">
        <v>3</v>
      </c>
      <c r="D278" s="145" t="str">
        <v>Veículos Comerciais com 2 Eixos</v>
      </c>
      <c r="E278" s="147">
        <f ca="1"/>
        <v>0</v>
      </c>
      <c r="F278" s="147">
        <f ca="1"/>
        <v>459501.66773761628</v>
      </c>
      <c r="G278" s="147">
        <f ca="1"/>
        <v>510585.81180904276</v>
      </c>
      <c r="H278" s="147">
        <f ca="1"/>
        <v>417920.94475627976</v>
      </c>
      <c r="I278" s="147">
        <f ca="1"/>
        <v>470003.44358298805</v>
      </c>
      <c r="J278" s="147">
        <f ca="1"/>
        <v>392818.06042286201</v>
      </c>
      <c r="K278" s="147">
        <f ca="1"/>
        <v>311772.87281931832</v>
      </c>
      <c r="L278" s="147">
        <f ca="1"/>
        <v>249690.44125142644</v>
      </c>
      <c r="M278" s="147">
        <f ca="1"/>
        <v>231091.21315093929</v>
      </c>
      <c r="N278" s="147">
        <f ca="1"/>
        <v>234968.43011381247</v>
      </c>
      <c r="O278" s="147">
        <f ca="1"/>
        <v>238595.59076121365</v>
      </c>
      <c r="P278" s="147">
        <f ca="1"/>
        <v>241947.33141296165</v>
      </c>
      <c r="Q278" s="147">
        <f ca="1"/>
        <v>245007.54767514105</v>
      </c>
      <c r="R278" s="147">
        <f ca="1"/>
        <v>247761.8959591162</v>
      </c>
      <c r="S278" s="147">
        <f ca="1"/>
        <v>250196.48473271684</v>
      </c>
      <c r="T278" s="147">
        <f ca="1"/>
        <v>252299.3104917109</v>
      </c>
      <c r="U278" s="147">
        <f ca="1"/>
        <v>254066.41047553936</v>
      </c>
      <c r="V278" s="147">
        <f ca="1"/>
        <v>255496.23981589492</v>
      </c>
      <c r="W278" s="147">
        <f ca="1"/>
        <v>256585.79926903656</v>
      </c>
      <c r="X278" s="147">
        <f ca="1"/>
        <v>257334.87793393084</v>
      </c>
      <c r="Y278" s="147">
        <f ca="1"/>
        <v>257741.72894750646</v>
      </c>
      <c r="Z278" s="147">
        <f ca="1"/>
        <v>257808.17363102551</v>
      </c>
      <c r="AA278" s="147">
        <f ca="1"/>
        <v>257538.59073208011</v>
      </c>
      <c r="AB278" s="147">
        <f ca="1"/>
        <v>256935.11830660491</v>
      </c>
      <c r="AC278" s="147">
        <f ca="1"/>
        <v>255999.89207026386</v>
      </c>
      <c r="AD278" s="147">
        <f ca="1"/>
        <v>254737.82754806755</v>
      </c>
      <c r="AE278" s="147">
        <f ca="1"/>
        <v>253155.1035357065</v>
      </c>
      <c r="AF278" s="147">
        <f ca="1"/>
        <v>251255.8692709367</v>
      </c>
      <c r="AG278" s="147">
        <f ca="1"/>
        <v>249044.56144863812</v>
      </c>
      <c r="AH278" s="147">
        <f ca="1"/>
        <v>246526.44665902157</v>
      </c>
    </row>
    <row r="279" spans="2:34">
      <c r="B279" s="149">
        <v>1</v>
      </c>
      <c r="C279" s="149">
        <v>4</v>
      </c>
      <c r="D279" s="145" t="str">
        <v>Veículos Comerciais com 3 Eixos</v>
      </c>
      <c r="E279" s="147">
        <f ca="1"/>
        <v>0</v>
      </c>
      <c r="F279" s="147">
        <f ca="1"/>
        <v>188427.4806607065</v>
      </c>
      <c r="G279" s="147">
        <f ca="1"/>
        <v>209375.51468304198</v>
      </c>
      <c r="H279" s="147">
        <f ca="1"/>
        <v>171376.50690907729</v>
      </c>
      <c r="I279" s="147">
        <f ca="1"/>
        <v>192733.93546586475</v>
      </c>
      <c r="J279" s="147">
        <f ca="1"/>
        <v>161082.58724704027</v>
      </c>
      <c r="K279" s="147">
        <f ca="1"/>
        <v>127848.45211321495</v>
      </c>
      <c r="L279" s="147">
        <f ca="1"/>
        <v>102390.35915084431</v>
      </c>
      <c r="M279" s="147">
        <f ca="1"/>
        <v>94763.388588444024</v>
      </c>
      <c r="N279" s="147">
        <f ca="1"/>
        <v>96353.315841344272</v>
      </c>
      <c r="O279" s="147">
        <f ca="1"/>
        <v>97840.702701345246</v>
      </c>
      <c r="P279" s="147">
        <f ca="1"/>
        <v>99215.148304440605</v>
      </c>
      <c r="Q279" s="147">
        <f ca="1"/>
        <v>100470.04873472295</v>
      </c>
      <c r="R279" s="147">
        <f ca="1"/>
        <v>101599.52212829492</v>
      </c>
      <c r="S279" s="147">
        <f ca="1"/>
        <v>102597.8719956916</v>
      </c>
      <c r="T279" s="147">
        <f ca="1"/>
        <v>103460.17606955176</v>
      </c>
      <c r="U279" s="147">
        <f ca="1"/>
        <v>104184.80934382859</v>
      </c>
      <c r="V279" s="147">
        <f ca="1"/>
        <v>104771.13831561332</v>
      </c>
      <c r="W279" s="147">
        <f ca="1"/>
        <v>105217.93308742852</v>
      </c>
      <c r="X279" s="147">
        <f ca="1"/>
        <v>105525.10717525645</v>
      </c>
      <c r="Y279" s="147">
        <f ca="1"/>
        <v>105691.94424435734</v>
      </c>
      <c r="Z279" s="147">
        <f ca="1"/>
        <v>105719.19116248155</v>
      </c>
      <c r="AA279" s="147">
        <f ca="1"/>
        <v>105608.64351914525</v>
      </c>
      <c r="AB279" s="147">
        <f ca="1"/>
        <v>105361.17806523219</v>
      </c>
      <c r="AC279" s="147">
        <f ca="1"/>
        <v>104977.67059195318</v>
      </c>
      <c r="AD279" s="147">
        <f ca="1"/>
        <v>104460.13680471023</v>
      </c>
      <c r="AE279" s="147">
        <f ca="1"/>
        <v>103811.11043730062</v>
      </c>
      <c r="AF279" s="147">
        <f ca="1"/>
        <v>103032.29296432594</v>
      </c>
      <c r="AG279" s="147">
        <f ca="1"/>
        <v>102125.50373770019</v>
      </c>
      <c r="AH279" s="147">
        <f ca="1"/>
        <v>101092.90242385065</v>
      </c>
    </row>
    <row r="280" spans="2:34">
      <c r="B280" s="149">
        <v>1</v>
      </c>
      <c r="C280" s="149">
        <v>5</v>
      </c>
      <c r="D280" s="145" t="str">
        <v>Veículos Comerciais com 4 Eixos</v>
      </c>
      <c r="E280" s="147">
        <f ca="1"/>
        <v>0</v>
      </c>
      <c r="F280" s="147">
        <f ca="1"/>
        <v>131730.23135323919</v>
      </c>
      <c r="G280" s="147">
        <f ca="1"/>
        <v>146375.06637667547</v>
      </c>
      <c r="H280" s="147">
        <f ca="1"/>
        <v>119809.84315283311</v>
      </c>
      <c r="I280" s="147">
        <f ca="1"/>
        <v>134740.88715464671</v>
      </c>
      <c r="J280" s="147">
        <f ca="1"/>
        <v>112613.33225189123</v>
      </c>
      <c r="K280" s="147">
        <f ca="1"/>
        <v>89379.246148034639</v>
      </c>
      <c r="L280" s="147">
        <f ca="1"/>
        <v>71581.415046189984</v>
      </c>
      <c r="M280" s="147">
        <f ca="1"/>
        <v>66249.37646462844</v>
      </c>
      <c r="N280" s="147">
        <f ca="1"/>
        <v>67360.899497919439</v>
      </c>
      <c r="O280" s="147">
        <f ca="1"/>
        <v>68400.736227109213</v>
      </c>
      <c r="P280" s="147">
        <f ca="1"/>
        <v>69361.615376176735</v>
      </c>
      <c r="Q280" s="147">
        <f ca="1"/>
        <v>70238.920127196732</v>
      </c>
      <c r="R280" s="147">
        <f ca="1"/>
        <v>71028.538451025393</v>
      </c>
      <c r="S280" s="147">
        <f ca="1"/>
        <v>71726.48791435473</v>
      </c>
      <c r="T280" s="147">
        <f ca="1"/>
        <v>72329.327344931095</v>
      </c>
      <c r="U280" s="147">
        <f ca="1"/>
        <v>72835.920696028479</v>
      </c>
      <c r="V280" s="147">
        <f ca="1"/>
        <v>73245.825083814605</v>
      </c>
      <c r="W280" s="147">
        <f ca="1"/>
        <v>73558.180683179715</v>
      </c>
      <c r="X280" s="147">
        <f ca="1"/>
        <v>73772.92703288098</v>
      </c>
      <c r="Y280" s="147">
        <f ca="1"/>
        <v>73889.563341098299</v>
      </c>
      <c r="Z280" s="147">
        <f ca="1"/>
        <v>73908.611745373404</v>
      </c>
      <c r="AA280" s="147">
        <f ca="1"/>
        <v>73831.327547860492</v>
      </c>
      <c r="AB280" s="147">
        <f ca="1"/>
        <v>73658.323687799304</v>
      </c>
      <c r="AC280" s="147">
        <f ca="1"/>
        <v>73390.212433519438</v>
      </c>
      <c r="AD280" s="147">
        <f ca="1"/>
        <v>73028.402970867886</v>
      </c>
      <c r="AE280" s="147">
        <f ca="1"/>
        <v>72574.666640936455</v>
      </c>
      <c r="AF280" s="147">
        <f ca="1"/>
        <v>72030.192949852964</v>
      </c>
      <c r="AG280" s="147">
        <f ca="1"/>
        <v>71396.253812137016</v>
      </c>
      <c r="AH280" s="147">
        <f ca="1"/>
        <v>70674.359057231297</v>
      </c>
    </row>
    <row r="281" spans="2:34">
      <c r="B281" s="149">
        <v>1</v>
      </c>
      <c r="C281" s="149">
        <v>6</v>
      </c>
      <c r="D281" s="145" t="str">
        <v>Veículos Comerciais com 5 Eixos Articulado</v>
      </c>
      <c r="E281" s="147">
        <f ca="1"/>
        <v>0</v>
      </c>
      <c r="F281" s="147">
        <f ca="1"/>
        <v>45697.659395341521</v>
      </c>
      <c r="G281" s="147">
        <f ca="1"/>
        <v>51402.81323910848</v>
      </c>
      <c r="H281" s="147">
        <f ca="1"/>
        <v>42608.868143055828</v>
      </c>
      <c r="I281" s="147">
        <f ca="1"/>
        <v>48546.19015420779</v>
      </c>
      <c r="J281" s="147">
        <f ca="1"/>
        <v>41115.314892454553</v>
      </c>
      <c r="K281" s="147">
        <f ca="1"/>
        <v>33070.793670119288</v>
      </c>
      <c r="L281" s="147">
        <f ca="1"/>
        <v>26840.311899220393</v>
      </c>
      <c r="M281" s="147">
        <f ca="1"/>
        <v>25170.664914830257</v>
      </c>
      <c r="N281" s="147">
        <f ca="1"/>
        <v>25927.547241734683</v>
      </c>
      <c r="O281" s="147">
        <f ca="1"/>
        <v>26665.006589701497</v>
      </c>
      <c r="P281" s="147">
        <f ca="1"/>
        <v>27377.293611205103</v>
      </c>
      <c r="Q281" s="147">
        <f ca="1"/>
        <v>28059.989041294943</v>
      </c>
      <c r="R281" s="147">
        <f ca="1"/>
        <v>28708.842315208625</v>
      </c>
      <c r="S281" s="147">
        <f ca="1"/>
        <v>29319.549561195996</v>
      </c>
      <c r="T281" s="147">
        <f ca="1"/>
        <v>29888.093221853254</v>
      </c>
      <c r="U281" s="147">
        <f ca="1"/>
        <v>30411.780913598468</v>
      </c>
      <c r="V281" s="147">
        <f ca="1"/>
        <v>30888.425036513578</v>
      </c>
      <c r="W281" s="147">
        <f ca="1"/>
        <v>31315.690747364457</v>
      </c>
      <c r="X281" s="147">
        <f ca="1"/>
        <v>31691.742743352555</v>
      </c>
      <c r="Y281" s="147">
        <f ca="1"/>
        <v>32014.610271012607</v>
      </c>
      <c r="Z281" s="147">
        <f ca="1"/>
        <v>32283.007208969913</v>
      </c>
      <c r="AA281" s="147">
        <f ca="1"/>
        <v>32496.195755914603</v>
      </c>
      <c r="AB281" s="147">
        <f ca="1"/>
        <v>32653.216604064786</v>
      </c>
      <c r="AC281" s="147">
        <f ca="1"/>
        <v>32753.21436527558</v>
      </c>
      <c r="AD281" s="147">
        <f ca="1"/>
        <v>32795.886505791146</v>
      </c>
      <c r="AE281" s="147">
        <f ca="1"/>
        <v>32781.207508903804</v>
      </c>
      <c r="AF281" s="147">
        <f ca="1"/>
        <v>32708.888580709521</v>
      </c>
      <c r="AG281" s="147">
        <f ca="1"/>
        <v>32578.783738429804</v>
      </c>
      <c r="AH281" s="147">
        <f ca="1"/>
        <v>32391.001385189302</v>
      </c>
    </row>
    <row r="282" spans="2:34">
      <c r="B282" s="149">
        <v>1</v>
      </c>
      <c r="C282" s="149">
        <v>7</v>
      </c>
      <c r="D282" s="145" t="str">
        <v>Veículos Comerciais com 6 Eixos Articulado</v>
      </c>
      <c r="E282" s="147">
        <f ca="1"/>
        <v>0</v>
      </c>
      <c r="F282" s="147">
        <f ca="1"/>
        <v>1430153.9484366081</v>
      </c>
      <c r="G282" s="147">
        <f ca="1"/>
        <v>1608702.443131139</v>
      </c>
      <c r="H282" s="147">
        <f ca="1"/>
        <v>1333487.1374050751</v>
      </c>
      <c r="I282" s="147">
        <f ca="1"/>
        <v>1519301.5670660869</v>
      </c>
      <c r="J282" s="147">
        <f ca="1"/>
        <v>1286744.8948742577</v>
      </c>
      <c r="K282" s="147">
        <f ca="1"/>
        <v>1034983.5587000533</v>
      </c>
      <c r="L282" s="147">
        <f ca="1"/>
        <v>839994.40119800135</v>
      </c>
      <c r="M282" s="147">
        <f ca="1"/>
        <v>787741.12917452783</v>
      </c>
      <c r="N282" s="147">
        <f ca="1"/>
        <v>811428.5184773287</v>
      </c>
      <c r="O282" s="147">
        <f ca="1"/>
        <v>834508.04623129801</v>
      </c>
      <c r="P282" s="147">
        <f ca="1"/>
        <v>856799.78085627477</v>
      </c>
      <c r="Q282" s="147">
        <f ca="1"/>
        <v>878165.41703636642</v>
      </c>
      <c r="R282" s="147">
        <f ca="1"/>
        <v>898471.92909676873</v>
      </c>
      <c r="S282" s="147">
        <f ca="1"/>
        <v>917584.62306718971</v>
      </c>
      <c r="T282" s="147">
        <f ca="1"/>
        <v>935377.76547111943</v>
      </c>
      <c r="U282" s="147">
        <f ca="1"/>
        <v>951767.09547197737</v>
      </c>
      <c r="V282" s="147">
        <f ca="1"/>
        <v>966684.14994272881</v>
      </c>
      <c r="W282" s="147">
        <f ca="1"/>
        <v>980055.85762951802</v>
      </c>
      <c r="X282" s="147">
        <f ca="1"/>
        <v>991824.78089596156</v>
      </c>
      <c r="Y282" s="147">
        <f ca="1"/>
        <v>1001929.2430416108</v>
      </c>
      <c r="Z282" s="147">
        <f ca="1"/>
        <v>1010328.9936119225</v>
      </c>
      <c r="AA282" s="147">
        <f ca="1"/>
        <v>1017000.9423771033</v>
      </c>
      <c r="AB282" s="147">
        <f ca="1"/>
        <v>1021915.0668408116</v>
      </c>
      <c r="AC282" s="147">
        <f ca="1"/>
        <v>1025044.5967756647</v>
      </c>
      <c r="AD282" s="147">
        <f ca="1"/>
        <v>1026380.0640852399</v>
      </c>
      <c r="AE282" s="147">
        <f ca="1"/>
        <v>1025920.6701986532</v>
      </c>
      <c r="AF282" s="147">
        <f ca="1"/>
        <v>1023657.3770218849</v>
      </c>
      <c r="AG282" s="147">
        <f ca="1"/>
        <v>1019585.6158778988</v>
      </c>
      <c r="AH282" s="147">
        <f ca="1"/>
        <v>1013708.7793508844</v>
      </c>
    </row>
    <row r="283" spans="2:34">
      <c r="B283" s="149">
        <v>1</v>
      </c>
      <c r="C283" s="149">
        <v>8</v>
      </c>
      <c r="D283" s="145" t="str">
        <v>Veículos Comerciais com 7 Eixos Articulado</v>
      </c>
      <c r="E283" s="147">
        <f ca="1"/>
        <v>0</v>
      </c>
      <c r="F283" s="147">
        <f ca="1"/>
        <v>98524.153656356299</v>
      </c>
      <c r="G283" s="147">
        <f ca="1"/>
        <v>110824.46534351786</v>
      </c>
      <c r="H283" s="147">
        <f ca="1"/>
        <v>91864.719716428343</v>
      </c>
      <c r="I283" s="147">
        <f ca="1"/>
        <v>104665.58597247199</v>
      </c>
      <c r="J283" s="147">
        <f ca="1"/>
        <v>88644.618908132034</v>
      </c>
      <c r="K283" s="147">
        <f ca="1"/>
        <v>71300.631152777205</v>
      </c>
      <c r="L283" s="147">
        <f ca="1"/>
        <v>57867.712454719178</v>
      </c>
      <c r="M283" s="147">
        <f ca="1"/>
        <v>54267.953556374043</v>
      </c>
      <c r="N283" s="147">
        <f ca="1"/>
        <v>55899.791853179981</v>
      </c>
      <c r="O283" s="147">
        <f ca="1"/>
        <v>57489.754207396414</v>
      </c>
      <c r="P283" s="147">
        <f ca="1"/>
        <v>59025.445025758185</v>
      </c>
      <c r="Q283" s="147">
        <f ca="1"/>
        <v>60497.336373031903</v>
      </c>
      <c r="R283" s="147">
        <f ca="1"/>
        <v>61896.264031589788</v>
      </c>
      <c r="S283" s="147">
        <f ca="1"/>
        <v>63212.948853938557</v>
      </c>
      <c r="T283" s="147">
        <f ca="1"/>
        <v>64438.728986315611</v>
      </c>
      <c r="U283" s="147">
        <f ca="1"/>
        <v>65567.79964971829</v>
      </c>
      <c r="V283" s="147">
        <f ca="1"/>
        <v>66595.444378723274</v>
      </c>
      <c r="W283" s="147">
        <f ca="1"/>
        <v>67516.629251317776</v>
      </c>
      <c r="X283" s="147">
        <f ca="1"/>
        <v>68327.397354668137</v>
      </c>
      <c r="Y283" s="147">
        <f ca="1"/>
        <v>69023.499744303219</v>
      </c>
      <c r="Z283" s="147">
        <f ca="1"/>
        <v>69602.163542539143</v>
      </c>
      <c r="AA283" s="147">
        <f ca="1"/>
        <v>70061.798049751902</v>
      </c>
      <c r="AB283" s="147">
        <f ca="1"/>
        <v>70400.334998363702</v>
      </c>
      <c r="AC283" s="147">
        <f ca="1"/>
        <v>70615.930171534201</v>
      </c>
      <c r="AD283" s="147">
        <f ca="1"/>
        <v>70707.931306485756</v>
      </c>
      <c r="AE283" s="147">
        <f ca="1"/>
        <v>70676.283389196629</v>
      </c>
      <c r="AF283" s="147">
        <f ca="1"/>
        <v>70520.363780009764</v>
      </c>
      <c r="AG283" s="147">
        <f ca="1"/>
        <v>70239.857740054693</v>
      </c>
      <c r="AH283" s="147">
        <f ca="1"/>
        <v>69834.99898646817</v>
      </c>
    </row>
    <row r="284" spans="2:34">
      <c r="B284" s="149">
        <v>1</v>
      </c>
      <c r="C284" s="149">
        <v>9</v>
      </c>
      <c r="D284" s="145" t="str">
        <v>Veículos Comerciais com 8 Eixos Articulado</v>
      </c>
      <c r="E284" s="147">
        <f ca="1"/>
        <v>0</v>
      </c>
      <c r="F284" s="147">
        <f ca="1"/>
        <v>0</v>
      </c>
      <c r="G284" s="147">
        <f ca="1"/>
        <v>0</v>
      </c>
      <c r="H284" s="147">
        <f ca="1"/>
        <v>0</v>
      </c>
      <c r="I284" s="147">
        <f ca="1"/>
        <v>0</v>
      </c>
      <c r="J284" s="147">
        <f ca="1"/>
        <v>0</v>
      </c>
      <c r="K284" s="147">
        <f ca="1"/>
        <v>0</v>
      </c>
      <c r="L284" s="147">
        <f ca="1"/>
        <v>0</v>
      </c>
      <c r="M284" s="147">
        <f ca="1"/>
        <v>0</v>
      </c>
      <c r="N284" s="147">
        <f ca="1"/>
        <v>0</v>
      </c>
      <c r="O284" s="147">
        <f ca="1"/>
        <v>0</v>
      </c>
      <c r="P284" s="147">
        <f ca="1"/>
        <v>0</v>
      </c>
      <c r="Q284" s="147">
        <f ca="1"/>
        <v>0</v>
      </c>
      <c r="R284" s="147">
        <f ca="1"/>
        <v>0</v>
      </c>
      <c r="S284" s="147">
        <f ca="1"/>
        <v>0</v>
      </c>
      <c r="T284" s="147">
        <f ca="1"/>
        <v>0</v>
      </c>
      <c r="U284" s="147">
        <f ca="1"/>
        <v>0</v>
      </c>
      <c r="V284" s="147">
        <f ca="1"/>
        <v>0</v>
      </c>
      <c r="W284" s="147">
        <f ca="1"/>
        <v>0</v>
      </c>
      <c r="X284" s="147">
        <f ca="1"/>
        <v>0</v>
      </c>
      <c r="Y284" s="147">
        <f ca="1"/>
        <v>0</v>
      </c>
      <c r="Z284" s="147">
        <f ca="1"/>
        <v>0</v>
      </c>
      <c r="AA284" s="147">
        <f ca="1"/>
        <v>0</v>
      </c>
      <c r="AB284" s="147">
        <f ca="1"/>
        <v>0</v>
      </c>
      <c r="AC284" s="147">
        <f ca="1"/>
        <v>0</v>
      </c>
      <c r="AD284" s="147">
        <f ca="1"/>
        <v>0</v>
      </c>
      <c r="AE284" s="147">
        <f ca="1"/>
        <v>0</v>
      </c>
      <c r="AF284" s="147">
        <f ca="1"/>
        <v>0</v>
      </c>
      <c r="AG284" s="147">
        <f ca="1"/>
        <v>0</v>
      </c>
      <c r="AH284" s="147">
        <f ca="1"/>
        <v>0</v>
      </c>
    </row>
    <row r="285" spans="2:34">
      <c r="B285" s="149">
        <v>1</v>
      </c>
      <c r="C285" s="149">
        <v>10</v>
      </c>
      <c r="D285" s="145" t="str">
        <v>Veículos Comerciais com 9 Eixos Articulado</v>
      </c>
      <c r="E285" s="147">
        <f ca="1"/>
        <v>0</v>
      </c>
      <c r="F285" s="147">
        <f ca="1"/>
        <v>31257.199026413604</v>
      </c>
      <c r="G285" s="147">
        <f ca="1"/>
        <v>35159.524255550212</v>
      </c>
      <c r="H285" s="147">
        <f ca="1"/>
        <v>29144.46580985019</v>
      </c>
      <c r="I285" s="147">
        <f ca="1"/>
        <v>33205.59406547813</v>
      </c>
      <c r="J285" s="147">
        <f ca="1"/>
        <v>28122.875386438918</v>
      </c>
      <c r="K285" s="147">
        <f ca="1"/>
        <v>22620.422870361599</v>
      </c>
      <c r="L285" s="147">
        <f ca="1"/>
        <v>18358.773339066753</v>
      </c>
      <c r="M285" s="147">
        <f ca="1"/>
        <v>17216.734801743896</v>
      </c>
      <c r="N285" s="147">
        <f ca="1"/>
        <v>17734.442313346528</v>
      </c>
      <c r="O285" s="147">
        <f ca="1"/>
        <v>18238.864507355825</v>
      </c>
      <c r="P285" s="147">
        <f ca="1"/>
        <v>18726.068830064287</v>
      </c>
      <c r="Q285" s="147">
        <f ca="1"/>
        <v>19193.032504245741</v>
      </c>
      <c r="R285" s="147">
        <f ca="1"/>
        <v>19636.848143602692</v>
      </c>
      <c r="S285" s="147">
        <f ca="1"/>
        <v>20054.57189985806</v>
      </c>
      <c r="T285" s="147">
        <f ca="1"/>
        <v>20443.455763747625</v>
      </c>
      <c r="U285" s="147">
        <f ca="1"/>
        <v>20801.65814490135</v>
      </c>
      <c r="V285" s="147">
        <f ca="1"/>
        <v>21127.68272497529</v>
      </c>
      <c r="W285" s="147">
        <f ca="1"/>
        <v>21419.932471197291</v>
      </c>
      <c r="X285" s="147">
        <f ca="1"/>
        <v>21677.15203645315</v>
      </c>
      <c r="Y285" s="147">
        <f ca="1"/>
        <v>21897.993425372635</v>
      </c>
      <c r="Z285" s="147">
        <f ca="1"/>
        <v>22081.576930935422</v>
      </c>
      <c r="AA285" s="147">
        <f ca="1"/>
        <v>22227.39789704559</v>
      </c>
      <c r="AB285" s="147">
        <f ca="1"/>
        <v>22334.800157180318</v>
      </c>
      <c r="AC285" s="147">
        <f ca="1"/>
        <v>22403.198625848501</v>
      </c>
      <c r="AD285" s="147">
        <f ca="1"/>
        <v>22432.38636996115</v>
      </c>
      <c r="AE285" s="147">
        <f ca="1"/>
        <v>22422.345936090205</v>
      </c>
      <c r="AF285" s="147">
        <f ca="1"/>
        <v>22372.879789205312</v>
      </c>
      <c r="AG285" s="147">
        <f ca="1"/>
        <v>22283.888077085991</v>
      </c>
      <c r="AH285" s="147">
        <f ca="1"/>
        <v>22155.444947469481</v>
      </c>
    </row>
    <row r="286" spans="2:34">
      <c r="B286" s="149">
        <v>1</v>
      </c>
      <c r="C286" s="149">
        <v>11</v>
      </c>
      <c r="D286" s="145" t="str">
        <v>Motocicleta</v>
      </c>
      <c r="E286" s="147">
        <f ca="1"/>
        <v>0</v>
      </c>
      <c r="F286" s="147">
        <f ca="1"/>
        <v>65689.003915003021</v>
      </c>
      <c r="G286" s="147">
        <f ca="1"/>
        <v>76869.378435467195</v>
      </c>
      <c r="H286" s="147">
        <f ca="1"/>
        <v>67846.877131977715</v>
      </c>
      <c r="I286" s="147">
        <f ca="1"/>
        <v>83108.768227411565</v>
      </c>
      <c r="J286" s="147">
        <f ca="1"/>
        <v>74186.966437548748</v>
      </c>
      <c r="K286" s="147">
        <f ca="1"/>
        <v>66487.346870880647</v>
      </c>
      <c r="L286" s="147">
        <f ca="1"/>
        <v>57983.055933340627</v>
      </c>
      <c r="M286" s="147">
        <f ca="1"/>
        <v>50956.87750070099</v>
      </c>
      <c r="N286" s="147">
        <f ca="1"/>
        <v>48049.534878366219</v>
      </c>
      <c r="O286" s="147">
        <f ca="1"/>
        <v>47276.71600057945</v>
      </c>
      <c r="P286" s="147">
        <f ca="1"/>
        <v>48885.211130487281</v>
      </c>
      <c r="Q286" s="147">
        <f ca="1"/>
        <v>50462.828105861459</v>
      </c>
      <c r="R286" s="147">
        <f ca="1"/>
        <v>51999.890365822677</v>
      </c>
      <c r="S286" s="147">
        <f ca="1"/>
        <v>53486.291743894355</v>
      </c>
      <c r="T286" s="147">
        <f ca="1"/>
        <v>54912.283135251491</v>
      </c>
      <c r="U286" s="147">
        <f ca="1"/>
        <v>56270.524853332885</v>
      </c>
      <c r="V286" s="147">
        <f ca="1"/>
        <v>57554.625912779222</v>
      </c>
      <c r="W286" s="147">
        <f ca="1"/>
        <v>58757.85531033302</v>
      </c>
      <c r="X286" s="147">
        <f ca="1"/>
        <v>59874.330915781793</v>
      </c>
      <c r="Y286" s="147">
        <f ca="1"/>
        <v>60897.897904075493</v>
      </c>
      <c r="Z286" s="147">
        <f ca="1"/>
        <v>61823.705102187283</v>
      </c>
      <c r="AA286" s="147">
        <f ca="1"/>
        <v>62647.993640256696</v>
      </c>
      <c r="AB286" s="147">
        <f ca="1"/>
        <v>63366.637372048375</v>
      </c>
      <c r="AC286" s="147">
        <f ca="1"/>
        <v>63975.718507314959</v>
      </c>
      <c r="AD286" s="147">
        <f ca="1"/>
        <v>64472.397488562725</v>
      </c>
      <c r="AE286" s="147">
        <f ca="1"/>
        <v>64854.338751519907</v>
      </c>
      <c r="AF286" s="147">
        <f ca="1"/>
        <v>65118.659075605654</v>
      </c>
      <c r="AG286" s="147">
        <f ca="1"/>
        <v>65262.766911880593</v>
      </c>
      <c r="AH286" s="147">
        <f ca="1"/>
        <v>65284.627065343513</v>
      </c>
    </row>
    <row r="287" spans="2:34">
      <c r="B287" s="149">
        <v>1</v>
      </c>
      <c r="C287" s="149">
        <v>12</v>
      </c>
      <c r="D287" s="145" t="str">
        <v xml:space="preserve">Veículos do transporte público coletivo intermunicipal e metropolitano </v>
      </c>
      <c r="E287" s="147">
        <f ca="1"/>
        <v>0</v>
      </c>
      <c r="F287" s="147">
        <f ca="1"/>
        <v>0</v>
      </c>
      <c r="G287" s="147">
        <f ca="1"/>
        <v>0</v>
      </c>
      <c r="H287" s="147">
        <f ca="1"/>
        <v>0</v>
      </c>
      <c r="I287" s="147">
        <f ca="1"/>
        <v>0</v>
      </c>
      <c r="J287" s="147">
        <f ca="1"/>
        <v>0</v>
      </c>
      <c r="K287" s="147">
        <f ca="1"/>
        <v>0</v>
      </c>
      <c r="L287" s="147">
        <f ca="1"/>
        <v>0</v>
      </c>
      <c r="M287" s="147">
        <f ca="1"/>
        <v>0</v>
      </c>
      <c r="N287" s="147">
        <f ca="1"/>
        <v>0</v>
      </c>
      <c r="O287" s="147">
        <f ca="1"/>
        <v>0</v>
      </c>
      <c r="P287" s="147">
        <f ca="1"/>
        <v>0</v>
      </c>
      <c r="Q287" s="147">
        <f ca="1"/>
        <v>0</v>
      </c>
      <c r="R287" s="147">
        <f ca="1"/>
        <v>0</v>
      </c>
      <c r="S287" s="147">
        <f ca="1"/>
        <v>0</v>
      </c>
      <c r="T287" s="147">
        <f ca="1"/>
        <v>0</v>
      </c>
      <c r="U287" s="147">
        <f ca="1"/>
        <v>0</v>
      </c>
      <c r="V287" s="147">
        <f ca="1"/>
        <v>0</v>
      </c>
      <c r="W287" s="147">
        <f ca="1"/>
        <v>0</v>
      </c>
      <c r="X287" s="147">
        <f ca="1"/>
        <v>0</v>
      </c>
      <c r="Y287" s="147">
        <f ca="1"/>
        <v>0</v>
      </c>
      <c r="Z287" s="147">
        <f ca="1"/>
        <v>0</v>
      </c>
      <c r="AA287" s="147">
        <f ca="1"/>
        <v>0</v>
      </c>
      <c r="AB287" s="147">
        <f ca="1"/>
        <v>0</v>
      </c>
      <c r="AC287" s="147">
        <f ca="1"/>
        <v>0</v>
      </c>
      <c r="AD287" s="147">
        <f ca="1"/>
        <v>0</v>
      </c>
      <c r="AE287" s="147">
        <f ca="1"/>
        <v>0</v>
      </c>
      <c r="AF287" s="147">
        <f ca="1"/>
        <v>0</v>
      </c>
      <c r="AG287" s="147">
        <f ca="1"/>
        <v>0</v>
      </c>
      <c r="AH287" s="147">
        <f ca="1"/>
        <v>0</v>
      </c>
    </row>
    <row r="288" spans="2:34">
      <c r="B288" s="149">
        <v>2</v>
      </c>
      <c r="C288" s="149">
        <v>1</v>
      </c>
      <c r="D288" s="145" t="str">
        <v>Automóvel</v>
      </c>
      <c r="E288" s="147">
        <f ca="1"/>
        <v>0</v>
      </c>
      <c r="F288" s="147">
        <f ca="1"/>
        <v>3087831.5376204434</v>
      </c>
      <c r="G288" s="147">
        <f ca="1"/>
        <v>3613385.4505914464</v>
      </c>
      <c r="H288" s="147">
        <f ca="1"/>
        <v>3189266.3071624297</v>
      </c>
      <c r="I288" s="147">
        <f ca="1"/>
        <v>2790485.2550951983</v>
      </c>
      <c r="J288" s="147">
        <f ca="1"/>
        <v>2490924.1272564302</v>
      </c>
      <c r="K288" s="147">
        <f ca="1"/>
        <v>3125359.1055553425</v>
      </c>
      <c r="L288" s="147">
        <f ca="1"/>
        <v>2725599.3863180983</v>
      </c>
      <c r="M288" s="147">
        <f ca="1"/>
        <v>2395321.0435177432</v>
      </c>
      <c r="N288" s="147">
        <f ca="1"/>
        <v>2258656.0964966328</v>
      </c>
      <c r="O288" s="147">
        <f ca="1"/>
        <v>2222328.3344440036</v>
      </c>
      <c r="P288" s="147">
        <f ca="1"/>
        <v>2297938.5841695885</v>
      </c>
      <c r="Q288" s="147">
        <f ca="1"/>
        <v>2372097.349876388</v>
      </c>
      <c r="R288" s="147">
        <f ca="1"/>
        <v>2444349.7671566932</v>
      </c>
      <c r="S288" s="147">
        <f ca="1"/>
        <v>2514220.7772074933</v>
      </c>
      <c r="T288" s="147">
        <f ca="1"/>
        <v>2581252.1055604899</v>
      </c>
      <c r="U288" s="147">
        <f ca="1"/>
        <v>2645098.7368510207</v>
      </c>
      <c r="V288" s="147">
        <f ca="1"/>
        <v>2705460.2511461806</v>
      </c>
      <c r="W288" s="147">
        <f ca="1"/>
        <v>2762020.2453510873</v>
      </c>
      <c r="X288" s="147">
        <f ca="1"/>
        <v>2814502.219197873</v>
      </c>
      <c r="Y288" s="147">
        <f ca="1"/>
        <v>2862616.8539000535</v>
      </c>
      <c r="Z288" s="147">
        <f ca="1"/>
        <v>2906136.1112141781</v>
      </c>
      <c r="AA288" s="147">
        <f ca="1"/>
        <v>2944883.2986010234</v>
      </c>
      <c r="AB288" s="147">
        <f ca="1"/>
        <v>2978664.4590249332</v>
      </c>
      <c r="AC288" s="147">
        <f ca="1"/>
        <v>3007295.4296038044</v>
      </c>
      <c r="AD288" s="147">
        <f ca="1"/>
        <v>3030642.7317543216</v>
      </c>
      <c r="AE288" s="147">
        <f ca="1"/>
        <v>3048596.5780145545</v>
      </c>
      <c r="AF288" s="147">
        <f ca="1"/>
        <v>3061021.4373380723</v>
      </c>
      <c r="AG288" s="147">
        <f ca="1"/>
        <v>3067795.4892363753</v>
      </c>
      <c r="AH288" s="147">
        <f ca="1"/>
        <v>3068823.0656533861</v>
      </c>
    </row>
    <row r="289" spans="2:34">
      <c r="B289" s="149">
        <v>2</v>
      </c>
      <c r="C289" s="149">
        <v>2</v>
      </c>
      <c r="D289" s="145" t="str">
        <v xml:space="preserve">Automóvel com reboque </v>
      </c>
      <c r="E289" s="147">
        <f ca="1"/>
        <v>0</v>
      </c>
      <c r="F289" s="147">
        <f ca="1"/>
        <v>15681.254244865044</v>
      </c>
      <c r="G289" s="147">
        <f ca="1"/>
        <v>18350.22903454315</v>
      </c>
      <c r="H289" s="147">
        <f ca="1"/>
        <v>16196.380925539777</v>
      </c>
      <c r="I289" s="147">
        <f ca="1"/>
        <v>14171.209866395779</v>
      </c>
      <c r="J289" s="147">
        <f ca="1"/>
        <v>12649.917609908811</v>
      </c>
      <c r="K289" s="147">
        <f ca="1"/>
        <v>15871.834374256452</v>
      </c>
      <c r="L289" s="147">
        <f ca="1"/>
        <v>13841.693248408012</v>
      </c>
      <c r="M289" s="147">
        <f ca="1"/>
        <v>12164.406582369147</v>
      </c>
      <c r="N289" s="147">
        <f ca="1"/>
        <v>11470.366847853527</v>
      </c>
      <c r="O289" s="147">
        <f ca="1"/>
        <v>11285.879816759458</v>
      </c>
      <c r="P289" s="147">
        <f ca="1"/>
        <v>11669.859167646693</v>
      </c>
      <c r="Q289" s="147">
        <f ca="1"/>
        <v>12046.467297127054</v>
      </c>
      <c r="R289" s="147">
        <f ca="1"/>
        <v>12413.394220236229</v>
      </c>
      <c r="S289" s="147">
        <f ca="1"/>
        <v>12768.227396723723</v>
      </c>
      <c r="T289" s="147">
        <f ca="1"/>
        <v>13108.639523961854</v>
      </c>
      <c r="U289" s="147">
        <f ca="1"/>
        <v>13432.878474742352</v>
      </c>
      <c r="V289" s="147">
        <f ca="1"/>
        <v>13739.418595450126</v>
      </c>
      <c r="W289" s="147">
        <f ca="1"/>
        <v>14026.653063525648</v>
      </c>
      <c r="X289" s="147">
        <f ca="1"/>
        <v>14293.177699062608</v>
      </c>
      <c r="Y289" s="147">
        <f ca="1"/>
        <v>14537.523224545883</v>
      </c>
      <c r="Z289" s="147">
        <f ca="1"/>
        <v>14758.531569779765</v>
      </c>
      <c r="AA289" s="147">
        <f ca="1"/>
        <v>14955.305418768558</v>
      </c>
      <c r="AB289" s="147">
        <f ca="1"/>
        <v>15126.859779438804</v>
      </c>
      <c r="AC289" s="147">
        <f ca="1"/>
        <v>15272.259398379969</v>
      </c>
      <c r="AD289" s="147">
        <f ca="1"/>
        <v>15390.826417497889</v>
      </c>
      <c r="AE289" s="147">
        <f ca="1"/>
        <v>15482.003291770272</v>
      </c>
      <c r="AF289" s="147">
        <f ca="1"/>
        <v>15545.101739867257</v>
      </c>
      <c r="AG289" s="147">
        <f ca="1"/>
        <v>15579.503108203256</v>
      </c>
      <c r="AH289" s="147">
        <f ca="1"/>
        <v>15584.721555794991</v>
      </c>
    </row>
    <row r="290" spans="2:34">
      <c r="B290" s="149">
        <v>2</v>
      </c>
      <c r="C290" s="149">
        <v>3</v>
      </c>
      <c r="D290" s="145" t="str">
        <v>Veículos Comerciais com 2 Eixos</v>
      </c>
      <c r="E290" s="147">
        <f ca="1"/>
        <v>0</v>
      </c>
      <c r="F290" s="147">
        <f ca="1"/>
        <v>362529.95300896146</v>
      </c>
      <c r="G290" s="147">
        <f ca="1"/>
        <v>402833.46799052693</v>
      </c>
      <c r="H290" s="147">
        <f ca="1"/>
        <v>329724.28851002391</v>
      </c>
      <c r="I290" s="147">
        <f ca="1"/>
        <v>264868.19196842035</v>
      </c>
      <c r="J290" s="147">
        <f ca="1"/>
        <v>221370.73857071437</v>
      </c>
      <c r="K290" s="147">
        <f ca="1"/>
        <v>245977.35518382688</v>
      </c>
      <c r="L290" s="147">
        <f ca="1"/>
        <v>196996.59498375363</v>
      </c>
      <c r="M290" s="147">
        <f ca="1"/>
        <v>182322.48656871554</v>
      </c>
      <c r="N290" s="147">
        <f ca="1"/>
        <v>185381.46846594464</v>
      </c>
      <c r="O290" s="147">
        <f ca="1"/>
        <v>188243.16510685693</v>
      </c>
      <c r="P290" s="147">
        <f ca="1"/>
        <v>190887.56547858808</v>
      </c>
      <c r="Q290" s="147">
        <f ca="1"/>
        <v>193301.96380533942</v>
      </c>
      <c r="R290" s="147">
        <f ca="1"/>
        <v>195475.04352205989</v>
      </c>
      <c r="S290" s="147">
        <f ca="1"/>
        <v>197395.84471965977</v>
      </c>
      <c r="T290" s="147">
        <f ca="1"/>
        <v>199054.89707380586</v>
      </c>
      <c r="U290" s="147">
        <f ca="1"/>
        <v>200449.07411184281</v>
      </c>
      <c r="V290" s="147">
        <f ca="1"/>
        <v>201577.15698936986</v>
      </c>
      <c r="W290" s="147">
        <f ca="1"/>
        <v>202436.77941314192</v>
      </c>
      <c r="X290" s="147">
        <f ca="1"/>
        <v>203027.77498998324</v>
      </c>
      <c r="Y290" s="147">
        <f ca="1"/>
        <v>203348.76550903713</v>
      </c>
      <c r="Z290" s="147">
        <f ca="1"/>
        <v>203401.18792594032</v>
      </c>
      <c r="AA290" s="147">
        <f ca="1"/>
        <v>203188.49691185137</v>
      </c>
      <c r="AB290" s="147">
        <f ca="1"/>
        <v>202712.37931444004</v>
      </c>
      <c r="AC290" s="147">
        <f ca="1"/>
        <v>201974.52013498853</v>
      </c>
      <c r="AD290" s="147">
        <f ca="1"/>
        <v>200978.7975423398</v>
      </c>
      <c r="AE290" s="147">
        <f ca="1"/>
        <v>199730.0863795437</v>
      </c>
      <c r="AF290" s="147">
        <f ca="1"/>
        <v>198231.66024292048</v>
      </c>
      <c r="AG290" s="147">
        <f ca="1"/>
        <v>196487.01952191221</v>
      </c>
      <c r="AH290" s="147">
        <f ca="1"/>
        <v>194500.31936292141</v>
      </c>
    </row>
    <row r="291" spans="2:34">
      <c r="B291" s="149">
        <v>2</v>
      </c>
      <c r="C291" s="149">
        <v>4</v>
      </c>
      <c r="D291" s="145" t="str">
        <v>Veículos Comerciais com 3 Eixos</v>
      </c>
      <c r="E291" s="147">
        <f ca="1"/>
        <v>0</v>
      </c>
      <c r="F291" s="147">
        <f ca="1"/>
        <v>148834.26749908799</v>
      </c>
      <c r="G291" s="147">
        <f ca="1"/>
        <v>165380.60823626709</v>
      </c>
      <c r="H291" s="147">
        <f ca="1"/>
        <v>135366.11954332577</v>
      </c>
      <c r="I291" s="147">
        <f ca="1"/>
        <v>108739.87930716774</v>
      </c>
      <c r="J291" s="147">
        <f ca="1"/>
        <v>90882.288339054663</v>
      </c>
      <c r="K291" s="147">
        <f ca="1"/>
        <v>100984.37157065168</v>
      </c>
      <c r="L291" s="147">
        <f ca="1"/>
        <v>80875.645366320154</v>
      </c>
      <c r="M291" s="147">
        <f ca="1"/>
        <v>74851.287491812589</v>
      </c>
      <c r="N291" s="147">
        <f ca="1"/>
        <v>76107.132219091756</v>
      </c>
      <c r="O291" s="147">
        <f ca="1"/>
        <v>77281.98279300901</v>
      </c>
      <c r="P291" s="147">
        <f ca="1"/>
        <v>78367.623824968643</v>
      </c>
      <c r="Q291" s="147">
        <f ca="1"/>
        <v>79358.839042995533</v>
      </c>
      <c r="R291" s="147">
        <f ca="1"/>
        <v>80250.982506372267</v>
      </c>
      <c r="S291" s="147">
        <f ca="1"/>
        <v>81039.554697120562</v>
      </c>
      <c r="T291" s="147">
        <f ca="1"/>
        <v>81720.66763640329</v>
      </c>
      <c r="U291" s="147">
        <f ca="1"/>
        <v>82293.037771610165</v>
      </c>
      <c r="V291" s="147">
        <f ca="1"/>
        <v>82756.164714257175</v>
      </c>
      <c r="W291" s="147">
        <f ca="1"/>
        <v>83109.076998348464</v>
      </c>
      <c r="X291" s="147">
        <f ca="1"/>
        <v>83351.706312269482</v>
      </c>
      <c r="Y291" s="147">
        <f ca="1"/>
        <v>83483.486840694808</v>
      </c>
      <c r="Z291" s="147">
        <f ca="1"/>
        <v>83505.008516229631</v>
      </c>
      <c r="AA291" s="147">
        <f ca="1"/>
        <v>83417.689631202811</v>
      </c>
      <c r="AB291" s="147">
        <f ca="1"/>
        <v>83222.222709736088</v>
      </c>
      <c r="AC291" s="147">
        <f ca="1"/>
        <v>82919.29951792903</v>
      </c>
      <c r="AD291" s="147">
        <f ca="1"/>
        <v>82510.512212275658</v>
      </c>
      <c r="AE291" s="147">
        <f ca="1"/>
        <v>81997.862127254703</v>
      </c>
      <c r="AF291" s="147">
        <f ca="1"/>
        <v>81382.693216121173</v>
      </c>
      <c r="AG291" s="147">
        <f ca="1"/>
        <v>80666.442540542033</v>
      </c>
      <c r="AH291" s="147">
        <f ca="1"/>
        <v>79850.815968311159</v>
      </c>
    </row>
    <row r="292" spans="2:34">
      <c r="B292" s="149">
        <v>2</v>
      </c>
      <c r="C292" s="149">
        <v>5</v>
      </c>
      <c r="D292" s="145" t="str">
        <v>Veículos Comerciais com 4 Eixos</v>
      </c>
      <c r="E292" s="147">
        <f ca="1"/>
        <v>0</v>
      </c>
      <c r="F292" s="147">
        <f ca="1"/>
        <v>76795.467145028073</v>
      </c>
      <c r="G292" s="147">
        <f ca="1"/>
        <v>85333.04379188639</v>
      </c>
      <c r="H292" s="147">
        <f ca="1"/>
        <v>69846.175619489775</v>
      </c>
      <c r="I292" s="147">
        <f ca="1"/>
        <v>56107.575016211165</v>
      </c>
      <c r="J292" s="147">
        <f ca="1"/>
        <v>46893.419811735293</v>
      </c>
      <c r="K292" s="147">
        <f ca="1"/>
        <v>52105.890124818266</v>
      </c>
      <c r="L292" s="147">
        <f ca="1"/>
        <v>41730.194738924889</v>
      </c>
      <c r="M292" s="147">
        <f ca="1"/>
        <v>38621.748109021792</v>
      </c>
      <c r="N292" s="147">
        <f ca="1"/>
        <v>39269.738549083675</v>
      </c>
      <c r="O292" s="147">
        <f ca="1"/>
        <v>39875.937646681501</v>
      </c>
      <c r="P292" s="147">
        <f ca="1"/>
        <v>40436.106427716157</v>
      </c>
      <c r="Q292" s="147">
        <f ca="1"/>
        <v>40947.55340151272</v>
      </c>
      <c r="R292" s="147">
        <f ca="1"/>
        <v>41407.881356772203</v>
      </c>
      <c r="S292" s="147">
        <f ca="1"/>
        <v>41814.768633363034</v>
      </c>
      <c r="T292" s="147">
        <f ca="1"/>
        <v>42166.209112962679</v>
      </c>
      <c r="U292" s="147">
        <f ca="1"/>
        <v>42461.54050842471</v>
      </c>
      <c r="V292" s="147">
        <f ca="1"/>
        <v>42700.504629427574</v>
      </c>
      <c r="W292" s="147">
        <f ca="1"/>
        <v>42882.60021919608</v>
      </c>
      <c r="X292" s="147">
        <f ca="1"/>
        <v>43007.792030320859</v>
      </c>
      <c r="Y292" s="147">
        <f ca="1"/>
        <v>43075.788113555558</v>
      </c>
      <c r="Z292" s="147">
        <f ca="1"/>
        <v>43086.892862174362</v>
      </c>
      <c r="AA292" s="147">
        <f ca="1"/>
        <v>43041.838086289106</v>
      </c>
      <c r="AB292" s="147">
        <f ca="1"/>
        <v>42940.981114318383</v>
      </c>
      <c r="AC292" s="147">
        <f ca="1"/>
        <v>42784.678883556706</v>
      </c>
      <c r="AD292" s="147">
        <f ca="1"/>
        <v>42573.75291450326</v>
      </c>
      <c r="AE292" s="147">
        <f ca="1"/>
        <v>42309.235855208659</v>
      </c>
      <c r="AF292" s="147">
        <f ca="1"/>
        <v>41991.821158328545</v>
      </c>
      <c r="AG292" s="147">
        <f ca="1"/>
        <v>41622.25031857298</v>
      </c>
      <c r="AH292" s="147">
        <f ca="1"/>
        <v>41201.403529168434</v>
      </c>
    </row>
    <row r="293" spans="2:34">
      <c r="B293" s="149">
        <v>2</v>
      </c>
      <c r="C293" s="149">
        <v>6</v>
      </c>
      <c r="D293" s="145" t="str">
        <v>Veículos Comerciais com 5 Eixos Articulado</v>
      </c>
      <c r="E293" s="147">
        <f ca="1"/>
        <v>0</v>
      </c>
      <c r="F293" s="147">
        <f ca="1"/>
        <v>90793.168336092684</v>
      </c>
      <c r="G293" s="147">
        <f ca="1"/>
        <v>102128.30016066149</v>
      </c>
      <c r="H293" s="147">
        <f ca="1"/>
        <v>84656.286319933803</v>
      </c>
      <c r="I293" s="147">
        <f ca="1"/>
        <v>68894.782312828247</v>
      </c>
      <c r="J293" s="147">
        <f ca="1"/>
        <v>58349.185801010186</v>
      </c>
      <c r="K293" s="147">
        <f ca="1"/>
        <v>65705.818994427958</v>
      </c>
      <c r="L293" s="147">
        <f ca="1"/>
        <v>53326.953474286078</v>
      </c>
      <c r="M293" s="147">
        <f ca="1"/>
        <v>50009.660166020127</v>
      </c>
      <c r="N293" s="147">
        <f ca="1"/>
        <v>51513.451507338854</v>
      </c>
      <c r="O293" s="147">
        <f ca="1"/>
        <v>52978.652824144192</v>
      </c>
      <c r="P293" s="147">
        <f ca="1"/>
        <v>54393.841179580682</v>
      </c>
      <c r="Q293" s="147">
        <f ca="1"/>
        <v>55750.236275666219</v>
      </c>
      <c r="R293" s="147">
        <f ca="1"/>
        <v>57039.392991860637</v>
      </c>
      <c r="S293" s="147">
        <f ca="1"/>
        <v>58252.760296065615</v>
      </c>
      <c r="T293" s="147">
        <f ca="1"/>
        <v>59382.356012159013</v>
      </c>
      <c r="U293" s="147">
        <f ca="1"/>
        <v>60422.830850067454</v>
      </c>
      <c r="V293" s="147">
        <f ca="1"/>
        <v>61369.838435594967</v>
      </c>
      <c r="W293" s="147">
        <f ca="1"/>
        <v>62218.739848114128</v>
      </c>
      <c r="X293" s="147">
        <f ca="1"/>
        <v>62965.888665507417</v>
      </c>
      <c r="Y293" s="147">
        <f ca="1"/>
        <v>63607.369349134853</v>
      </c>
      <c r="Z293" s="147">
        <f ca="1"/>
        <v>64140.626603254379</v>
      </c>
      <c r="AA293" s="147">
        <f ca="1"/>
        <v>64564.194547131374</v>
      </c>
      <c r="AB293" s="147">
        <f ca="1"/>
        <v>64876.167205841091</v>
      </c>
      <c r="AC293" s="147">
        <f ca="1"/>
        <v>65074.845074401033</v>
      </c>
      <c r="AD293" s="147">
        <f ca="1"/>
        <v>65159.627071736482</v>
      </c>
      <c r="AE293" s="147">
        <f ca="1"/>
        <v>65130.462500661444</v>
      </c>
      <c r="AF293" s="147">
        <f ca="1"/>
        <v>64986.777578757115</v>
      </c>
      <c r="AG293" s="147">
        <f ca="1"/>
        <v>64728.282264057321</v>
      </c>
      <c r="AH293" s="147">
        <f ca="1"/>
        <v>64355.191934401388</v>
      </c>
    </row>
    <row r="294" spans="2:34">
      <c r="B294" s="149">
        <v>2</v>
      </c>
      <c r="C294" s="149">
        <v>7</v>
      </c>
      <c r="D294" s="145" t="str">
        <v>Veículos Comerciais com 6 Eixos Articulado</v>
      </c>
      <c r="E294" s="147">
        <f ca="1"/>
        <v>0</v>
      </c>
      <c r="F294" s="147">
        <f ca="1"/>
        <v>1007534.4858524029</v>
      </c>
      <c r="G294" s="147">
        <f ca="1"/>
        <v>1133320.7803967264</v>
      </c>
      <c r="H294" s="147">
        <f ca="1"/>
        <v>939433.32383546315</v>
      </c>
      <c r="I294" s="147">
        <f ca="1"/>
        <v>764527.44570512755</v>
      </c>
      <c r="J294" s="147">
        <f ca="1"/>
        <v>647502.64797794272</v>
      </c>
      <c r="K294" s="147">
        <f ca="1"/>
        <v>729139.42503915692</v>
      </c>
      <c r="L294" s="147">
        <f ca="1"/>
        <v>591770.7866730676</v>
      </c>
      <c r="M294" s="147">
        <f ca="1"/>
        <v>554958.6842977755</v>
      </c>
      <c r="N294" s="147">
        <f ca="1"/>
        <v>571646.30147945916</v>
      </c>
      <c r="O294" s="147">
        <f ca="1"/>
        <v>587905.68401287915</v>
      </c>
      <c r="P294" s="147">
        <f ca="1"/>
        <v>603610.07122845564</v>
      </c>
      <c r="Q294" s="147">
        <f ca="1"/>
        <v>618662.02789867995</v>
      </c>
      <c r="R294" s="147">
        <f ca="1"/>
        <v>632967.83827007317</v>
      </c>
      <c r="S294" s="147">
        <f ca="1"/>
        <v>646432.61128544877</v>
      </c>
      <c r="T294" s="147">
        <f ca="1"/>
        <v>658967.76849928533</v>
      </c>
      <c r="U294" s="147">
        <f ca="1"/>
        <v>670513.94868074835</v>
      </c>
      <c r="V294" s="147">
        <f ca="1"/>
        <v>681022.91998628527</v>
      </c>
      <c r="W294" s="147">
        <f ca="1"/>
        <v>690443.20417590381</v>
      </c>
      <c r="X294" s="147">
        <f ca="1"/>
        <v>698734.33679505636</v>
      </c>
      <c r="Y294" s="147">
        <f ca="1"/>
        <v>705852.86699515174</v>
      </c>
      <c r="Z294" s="147">
        <f ca="1"/>
        <v>711770.4385834405</v>
      </c>
      <c r="AA294" s="147">
        <f ca="1"/>
        <v>716470.78463786957</v>
      </c>
      <c r="AB294" s="147">
        <f ca="1"/>
        <v>719932.75449808594</v>
      </c>
      <c r="AC294" s="147">
        <f ca="1"/>
        <v>722137.48870681855</v>
      </c>
      <c r="AD294" s="147">
        <f ca="1"/>
        <v>723078.31704952673</v>
      </c>
      <c r="AE294" s="147">
        <f ca="1"/>
        <v>722754.67693803296</v>
      </c>
      <c r="AF294" s="147">
        <f ca="1"/>
        <v>721160.20109179174</v>
      </c>
      <c r="AG294" s="147">
        <f ca="1"/>
        <v>718291.67090648948</v>
      </c>
      <c r="AH294" s="147">
        <f ca="1"/>
        <v>714151.47643640661</v>
      </c>
    </row>
    <row r="295" spans="2:34">
      <c r="B295" s="149">
        <v>2</v>
      </c>
      <c r="C295" s="149">
        <v>8</v>
      </c>
      <c r="D295" s="145" t="str">
        <v>Veículos Comerciais com 7 Eixos Articulado</v>
      </c>
      <c r="E295" s="147">
        <f ca="1"/>
        <v>0</v>
      </c>
      <c r="F295" s="147">
        <f ca="1"/>
        <v>42789.651611861504</v>
      </c>
      <c r="G295" s="147">
        <f ca="1"/>
        <v>48131.753343044409</v>
      </c>
      <c r="H295" s="147">
        <f ca="1"/>
        <v>39897.418107216319</v>
      </c>
      <c r="I295" s="147">
        <f ca="1"/>
        <v>32469.224139511123</v>
      </c>
      <c r="J295" s="147">
        <f ca="1"/>
        <v>27499.220238891925</v>
      </c>
      <c r="K295" s="147">
        <f ca="1"/>
        <v>30966.306773611588</v>
      </c>
      <c r="L295" s="147">
        <f ca="1"/>
        <v>25132.306785901161</v>
      </c>
      <c r="M295" s="147">
        <f ca="1"/>
        <v>23568.909147550075</v>
      </c>
      <c r="N295" s="147">
        <f ca="1"/>
        <v>24277.62665098346</v>
      </c>
      <c r="O295" s="147">
        <f ca="1"/>
        <v>24968.157172566964</v>
      </c>
      <c r="P295" s="147">
        <f ca="1"/>
        <v>25635.117229188523</v>
      </c>
      <c r="Q295" s="147">
        <f ca="1"/>
        <v>26274.36877942289</v>
      </c>
      <c r="R295" s="147">
        <f ca="1"/>
        <v>26881.93174665908</v>
      </c>
      <c r="S295" s="147">
        <f ca="1"/>
        <v>27453.776139531918</v>
      </c>
      <c r="T295" s="147">
        <f ca="1"/>
        <v>27986.140061175935</v>
      </c>
      <c r="U295" s="147">
        <f ca="1"/>
        <v>28476.502460031792</v>
      </c>
      <c r="V295" s="147">
        <f ca="1"/>
        <v>28922.814945884358</v>
      </c>
      <c r="W295" s="147">
        <f ca="1"/>
        <v>29322.891255150815</v>
      </c>
      <c r="X295" s="147">
        <f ca="1"/>
        <v>29675.012876021316</v>
      </c>
      <c r="Y295" s="147">
        <f ca="1"/>
        <v>29977.334465532858</v>
      </c>
      <c r="Z295" s="147">
        <f ca="1"/>
        <v>30228.651745692161</v>
      </c>
      <c r="AA295" s="147">
        <f ca="1"/>
        <v>30428.273865776751</v>
      </c>
      <c r="AB295" s="147">
        <f ca="1"/>
        <v>30575.30256433698</v>
      </c>
      <c r="AC295" s="147">
        <f ca="1"/>
        <v>30668.936886549396</v>
      </c>
      <c r="AD295" s="147">
        <f ca="1"/>
        <v>30708.893550640147</v>
      </c>
      <c r="AE295" s="147">
        <f ca="1"/>
        <v>30695.14866367805</v>
      </c>
      <c r="AF295" s="147">
        <f ca="1"/>
        <v>30627.431809394435</v>
      </c>
      <c r="AG295" s="147">
        <f ca="1"/>
        <v>30505.606294743837</v>
      </c>
      <c r="AH295" s="147">
        <f ca="1"/>
        <v>30329.77362452976</v>
      </c>
    </row>
    <row r="296" spans="2:34">
      <c r="B296" s="149">
        <v>2</v>
      </c>
      <c r="C296" s="149">
        <v>9</v>
      </c>
      <c r="D296" s="145" t="str">
        <v>Veículos Comerciais com 8 Eixos Articulado</v>
      </c>
      <c r="E296" s="147">
        <f ca="1"/>
        <v>0</v>
      </c>
      <c r="F296" s="147">
        <f ca="1"/>
        <v>0</v>
      </c>
      <c r="G296" s="147">
        <f ca="1"/>
        <v>0</v>
      </c>
      <c r="H296" s="147">
        <f ca="1"/>
        <v>0</v>
      </c>
      <c r="I296" s="147">
        <f ca="1"/>
        <v>0</v>
      </c>
      <c r="J296" s="147">
        <f ca="1"/>
        <v>0</v>
      </c>
      <c r="K296" s="147">
        <f ca="1"/>
        <v>0</v>
      </c>
      <c r="L296" s="147">
        <f ca="1"/>
        <v>0</v>
      </c>
      <c r="M296" s="147">
        <f ca="1"/>
        <v>0</v>
      </c>
      <c r="N296" s="147">
        <f ca="1"/>
        <v>0</v>
      </c>
      <c r="O296" s="147">
        <f ca="1"/>
        <v>0</v>
      </c>
      <c r="P296" s="147">
        <f ca="1"/>
        <v>0</v>
      </c>
      <c r="Q296" s="147">
        <f ca="1"/>
        <v>0</v>
      </c>
      <c r="R296" s="147">
        <f ca="1"/>
        <v>0</v>
      </c>
      <c r="S296" s="147">
        <f ca="1"/>
        <v>0</v>
      </c>
      <c r="T296" s="147">
        <f ca="1"/>
        <v>0</v>
      </c>
      <c r="U296" s="147">
        <f ca="1"/>
        <v>0</v>
      </c>
      <c r="V296" s="147">
        <f ca="1"/>
        <v>0</v>
      </c>
      <c r="W296" s="147">
        <f ca="1"/>
        <v>0</v>
      </c>
      <c r="X296" s="147">
        <f ca="1"/>
        <v>0</v>
      </c>
      <c r="Y296" s="147">
        <f ca="1"/>
        <v>0</v>
      </c>
      <c r="Z296" s="147">
        <f ca="1"/>
        <v>0</v>
      </c>
      <c r="AA296" s="147">
        <f ca="1"/>
        <v>0</v>
      </c>
      <c r="AB296" s="147">
        <f ca="1"/>
        <v>0</v>
      </c>
      <c r="AC296" s="147">
        <f ca="1"/>
        <v>0</v>
      </c>
      <c r="AD296" s="147">
        <f ca="1"/>
        <v>0</v>
      </c>
      <c r="AE296" s="147">
        <f ca="1"/>
        <v>0</v>
      </c>
      <c r="AF296" s="147">
        <f ca="1"/>
        <v>0</v>
      </c>
      <c r="AG296" s="147">
        <f ca="1"/>
        <v>0</v>
      </c>
      <c r="AH296" s="147">
        <f ca="1"/>
        <v>0</v>
      </c>
    </row>
    <row r="297" spans="2:34">
      <c r="B297" s="149">
        <v>2</v>
      </c>
      <c r="C297" s="149">
        <v>10</v>
      </c>
      <c r="D297" s="145" t="str">
        <v>Veículos Comerciais com 9 Eixos Articulado</v>
      </c>
      <c r="E297" s="147">
        <f ca="1"/>
        <v>0</v>
      </c>
      <c r="F297" s="147">
        <f ca="1"/>
        <v>30743.825317766052</v>
      </c>
      <c r="G297" s="147">
        <f ca="1"/>
        <v>34582.058074204193</v>
      </c>
      <c r="H297" s="147">
        <f ca="1"/>
        <v>28665.792001403333</v>
      </c>
      <c r="I297" s="147">
        <f ca="1"/>
        <v>23328.728268304218</v>
      </c>
      <c r="J297" s="147">
        <f ca="1"/>
        <v>19757.843112817314</v>
      </c>
      <c r="K297" s="147">
        <f ca="1"/>
        <v>22248.901085241949</v>
      </c>
      <c r="L297" s="147">
        <f ca="1"/>
        <v>18057.245631886977</v>
      </c>
      <c r="M297" s="147">
        <f ca="1"/>
        <v>16933.964135424634</v>
      </c>
      <c r="N297" s="147">
        <f ca="1"/>
        <v>17443.168728227614</v>
      </c>
      <c r="O297" s="147">
        <f ca="1"/>
        <v>17939.306203819124</v>
      </c>
      <c r="P297" s="147">
        <f ca="1"/>
        <v>18418.508597442178</v>
      </c>
      <c r="Q297" s="147">
        <f ca="1"/>
        <v>18877.802778492925</v>
      </c>
      <c r="R297" s="147">
        <f ca="1"/>
        <v>19314.329112095387</v>
      </c>
      <c r="S297" s="147">
        <f ca="1"/>
        <v>19725.19210025193</v>
      </c>
      <c r="T297" s="147">
        <f ca="1"/>
        <v>20107.688867483554</v>
      </c>
      <c r="U297" s="147">
        <f ca="1"/>
        <v>20460.008070022846</v>
      </c>
      <c r="V297" s="147">
        <f ca="1"/>
        <v>20780.677965320283</v>
      </c>
      <c r="W297" s="147">
        <f ca="1"/>
        <v>21068.127750549538</v>
      </c>
      <c r="X297" s="147">
        <f ca="1"/>
        <v>21321.122696637172</v>
      </c>
      <c r="Y297" s="147">
        <f ca="1"/>
        <v>21538.336947924876</v>
      </c>
      <c r="Z297" s="147">
        <f ca="1"/>
        <v>21718.905245854457</v>
      </c>
      <c r="AA297" s="147">
        <f ca="1"/>
        <v>21862.331222890036</v>
      </c>
      <c r="AB297" s="147">
        <f ca="1"/>
        <v>21967.96948950263</v>
      </c>
      <c r="AC297" s="147">
        <f ca="1"/>
        <v>22035.24456974768</v>
      </c>
      <c r="AD297" s="147">
        <f ca="1"/>
        <v>22063.952929241455</v>
      </c>
      <c r="AE297" s="147">
        <f ca="1"/>
        <v>22054.077401214072</v>
      </c>
      <c r="AF297" s="147">
        <f ca="1"/>
        <v>22005.423694985086</v>
      </c>
      <c r="AG297" s="147">
        <f ca="1"/>
        <v>21917.893598324368</v>
      </c>
      <c r="AH297" s="147">
        <f ca="1"/>
        <v>21791.560041153742</v>
      </c>
    </row>
    <row r="298" spans="2:34">
      <c r="B298" s="149">
        <v>2</v>
      </c>
      <c r="C298" s="149">
        <v>11</v>
      </c>
      <c r="D298" s="145" t="str">
        <v>Motocicleta</v>
      </c>
      <c r="E298" s="147">
        <f ca="1"/>
        <v>0</v>
      </c>
      <c r="F298" s="147">
        <f ca="1"/>
        <v>121323.38810500853</v>
      </c>
      <c r="G298" s="147">
        <f ca="1"/>
        <v>141972.82463567602</v>
      </c>
      <c r="H298" s="147">
        <f ca="1"/>
        <v>125308.84189759725</v>
      </c>
      <c r="I298" s="147">
        <f ca="1"/>
        <v>109640.41317685159</v>
      </c>
      <c r="J298" s="147">
        <f ca="1"/>
        <v>97870.415192452434</v>
      </c>
      <c r="K298" s="147">
        <f ca="1"/>
        <v>122797.87647451051</v>
      </c>
      <c r="L298" s="147">
        <f ca="1"/>
        <v>107090.99513241994</v>
      </c>
      <c r="M298" s="147">
        <f ca="1"/>
        <v>94114.09303201396</v>
      </c>
      <c r="N298" s="147">
        <f ca="1"/>
        <v>88744.417191287852</v>
      </c>
      <c r="O298" s="147">
        <f ca="1"/>
        <v>87317.070161244264</v>
      </c>
      <c r="P298" s="147">
        <f ca="1"/>
        <v>90287.857770740244</v>
      </c>
      <c r="Q298" s="147">
        <f ca="1"/>
        <v>93201.615404088283</v>
      </c>
      <c r="R298" s="147">
        <f ca="1"/>
        <v>96040.471072354034</v>
      </c>
      <c r="S298" s="147">
        <f ca="1"/>
        <v>98785.759332546731</v>
      </c>
      <c r="T298" s="147">
        <f ca="1"/>
        <v>101419.4742117049</v>
      </c>
      <c r="U298" s="147">
        <f ca="1"/>
        <v>103928.05977826982</v>
      </c>
      <c r="V298" s="147">
        <f ca="1"/>
        <v>106299.71229111419</v>
      </c>
      <c r="W298" s="147">
        <f ca="1"/>
        <v>108522.00001780374</v>
      </c>
      <c r="X298" s="147">
        <f ca="1"/>
        <v>110584.05904011599</v>
      </c>
      <c r="Y298" s="147">
        <f ca="1"/>
        <v>112474.52178990765</v>
      </c>
      <c r="Z298" s="147">
        <f ca="1"/>
        <v>114184.42846092772</v>
      </c>
      <c r="AA298" s="147">
        <f ca="1"/>
        <v>115706.83666099884</v>
      </c>
      <c r="AB298" s="147">
        <f ca="1"/>
        <v>117034.12566197394</v>
      </c>
      <c r="AC298" s="147">
        <f ca="1"/>
        <v>118159.05955588717</v>
      </c>
      <c r="AD298" s="147">
        <f ca="1"/>
        <v>119076.39386169419</v>
      </c>
      <c r="AE298" s="147">
        <f ca="1"/>
        <v>119781.81494159109</v>
      </c>
      <c r="AF298" s="147">
        <f ca="1"/>
        <v>120269.99767160459</v>
      </c>
      <c r="AG298" s="147">
        <f ca="1"/>
        <v>120536.15562662523</v>
      </c>
      <c r="AH298" s="147">
        <f ca="1"/>
        <v>120576.52993167707</v>
      </c>
    </row>
    <row r="299" spans="2:34">
      <c r="B299" s="149">
        <v>2</v>
      </c>
      <c r="C299" s="149">
        <v>12</v>
      </c>
      <c r="D299" s="145" t="str">
        <v xml:space="preserve">Veículos do transporte público coletivo intermunicipal e metropolitano </v>
      </c>
      <c r="E299" s="147">
        <f ca="1"/>
        <v>0</v>
      </c>
      <c r="F299" s="147">
        <f ca="1"/>
        <v>0</v>
      </c>
      <c r="G299" s="147">
        <f ca="1"/>
        <v>0</v>
      </c>
      <c r="H299" s="147">
        <f ca="1"/>
        <v>0</v>
      </c>
      <c r="I299" s="147">
        <f ca="1"/>
        <v>0</v>
      </c>
      <c r="J299" s="147">
        <f ca="1"/>
        <v>0</v>
      </c>
      <c r="K299" s="147">
        <f ca="1"/>
        <v>0</v>
      </c>
      <c r="L299" s="147">
        <f ca="1"/>
        <v>0</v>
      </c>
      <c r="M299" s="147">
        <f ca="1"/>
        <v>0</v>
      </c>
      <c r="N299" s="147">
        <f ca="1"/>
        <v>0</v>
      </c>
      <c r="O299" s="147">
        <f ca="1"/>
        <v>0</v>
      </c>
      <c r="P299" s="147">
        <f ca="1"/>
        <v>0</v>
      </c>
      <c r="Q299" s="147">
        <f ca="1"/>
        <v>0</v>
      </c>
      <c r="R299" s="147">
        <f ca="1"/>
        <v>0</v>
      </c>
      <c r="S299" s="147">
        <f ca="1"/>
        <v>0</v>
      </c>
      <c r="T299" s="147">
        <f ca="1"/>
        <v>0</v>
      </c>
      <c r="U299" s="147">
        <f ca="1"/>
        <v>0</v>
      </c>
      <c r="V299" s="147">
        <f ca="1"/>
        <v>0</v>
      </c>
      <c r="W299" s="147">
        <f ca="1"/>
        <v>0</v>
      </c>
      <c r="X299" s="147">
        <f ca="1"/>
        <v>0</v>
      </c>
      <c r="Y299" s="147">
        <f ca="1"/>
        <v>0</v>
      </c>
      <c r="Z299" s="147">
        <f ca="1"/>
        <v>0</v>
      </c>
      <c r="AA299" s="147">
        <f ca="1"/>
        <v>0</v>
      </c>
      <c r="AB299" s="147">
        <f ca="1"/>
        <v>0</v>
      </c>
      <c r="AC299" s="147">
        <f ca="1"/>
        <v>0</v>
      </c>
      <c r="AD299" s="147">
        <f ca="1"/>
        <v>0</v>
      </c>
      <c r="AE299" s="147">
        <f ca="1"/>
        <v>0</v>
      </c>
      <c r="AF299" s="147">
        <f ca="1"/>
        <v>0</v>
      </c>
      <c r="AG299" s="147">
        <f ca="1"/>
        <v>0</v>
      </c>
      <c r="AH299" s="147">
        <f ca="1"/>
        <v>0</v>
      </c>
    </row>
    <row r="300" spans="2:34">
      <c r="B300" s="149">
        <v>3</v>
      </c>
      <c r="C300" s="149">
        <v>1</v>
      </c>
      <c r="D300" s="145" t="str">
        <v>Automóvel</v>
      </c>
      <c r="E300" s="147">
        <f ca="1"/>
        <v>0</v>
      </c>
      <c r="F300" s="147">
        <f ca="1"/>
        <v>836284.29991215956</v>
      </c>
      <c r="G300" s="147">
        <f ca="1"/>
        <v>978621.23792845721</v>
      </c>
      <c r="H300" s="147">
        <f ca="1"/>
        <v>863756.10470450937</v>
      </c>
      <c r="I300" s="147">
        <f ca="1"/>
        <v>755753.34325746575</v>
      </c>
      <c r="J300" s="147">
        <f ca="1"/>
        <v>674622.53510832821</v>
      </c>
      <c r="K300" s="147">
        <f ca="1"/>
        <v>604605.696290583</v>
      </c>
      <c r="L300" s="147">
        <f ca="1"/>
        <v>527271.54196292697</v>
      </c>
      <c r="M300" s="147">
        <f ca="1"/>
        <v>463378.67056022579</v>
      </c>
      <c r="N300" s="147">
        <f ca="1"/>
        <v>436940.61891190743</v>
      </c>
      <c r="O300" s="147">
        <f ca="1"/>
        <v>429912.95548869722</v>
      </c>
      <c r="P300" s="147">
        <f ca="1"/>
        <v>444539.87871194689</v>
      </c>
      <c r="Q300" s="147">
        <f ca="1"/>
        <v>458886.01004018751</v>
      </c>
      <c r="R300" s="147">
        <f ca="1"/>
        <v>472863.35522934917</v>
      </c>
      <c r="S300" s="147">
        <f ca="1"/>
        <v>486380.01339743001</v>
      </c>
      <c r="T300" s="147">
        <f ca="1"/>
        <v>499347.33061870799</v>
      </c>
      <c r="U300" s="147">
        <f ca="1"/>
        <v>511698.56312143221</v>
      </c>
      <c r="V300" s="147">
        <f ca="1"/>
        <v>523375.59419114474</v>
      </c>
      <c r="W300" s="147">
        <f ca="1"/>
        <v>534317.21514525032</v>
      </c>
      <c r="X300" s="147">
        <f ca="1"/>
        <v>544469.93656658661</v>
      </c>
      <c r="Y300" s="147">
        <f ca="1"/>
        <v>553777.78927515075</v>
      </c>
      <c r="Z300" s="147">
        <f ca="1"/>
        <v>562196.65890958265</v>
      </c>
      <c r="AA300" s="147">
        <f ca="1"/>
        <v>569692.36401677632</v>
      </c>
      <c r="AB300" s="147">
        <f ca="1"/>
        <v>576227.38329929567</v>
      </c>
      <c r="AC300" s="147">
        <f ca="1"/>
        <v>581766.09015430766</v>
      </c>
      <c r="AD300" s="147">
        <f ca="1"/>
        <v>586282.66293729725</v>
      </c>
      <c r="AE300" s="147">
        <f ca="1"/>
        <v>589755.86308891093</v>
      </c>
      <c r="AF300" s="147">
        <f ca="1"/>
        <v>592159.47191237565</v>
      </c>
      <c r="AG300" s="147">
        <f ca="1"/>
        <v>593469.92304018431</v>
      </c>
      <c r="AH300" s="147">
        <f ca="1"/>
        <v>593668.70933453192</v>
      </c>
    </row>
    <row r="301" spans="2:34">
      <c r="B301" s="149">
        <v>3</v>
      </c>
      <c r="C301" s="149">
        <v>2</v>
      </c>
      <c r="D301" s="145" t="str">
        <v xml:space="preserve">Automóvel com reboque </v>
      </c>
      <c r="E301" s="147">
        <f ca="1"/>
        <v>0</v>
      </c>
      <c r="F301" s="147">
        <f ca="1"/>
        <v>9447.9225940093329</v>
      </c>
      <c r="G301" s="147">
        <f ca="1"/>
        <v>11055.974273070555</v>
      </c>
      <c r="H301" s="147">
        <f ca="1"/>
        <v>9758.2853321632374</v>
      </c>
      <c r="I301" s="147">
        <f ca="1"/>
        <v>8538.1240422787978</v>
      </c>
      <c r="J301" s="147">
        <f ca="1"/>
        <v>7621.5486677763874</v>
      </c>
      <c r="K301" s="147">
        <f ca="1"/>
        <v>6830.5333713075097</v>
      </c>
      <c r="L301" s="147">
        <f ca="1"/>
        <v>5956.8506966027335</v>
      </c>
      <c r="M301" s="147">
        <f ca="1"/>
        <v>5235.0209272466454</v>
      </c>
      <c r="N301" s="147">
        <f ca="1"/>
        <v>4936.3370161221974</v>
      </c>
      <c r="O301" s="147">
        <f ca="1"/>
        <v>4856.9419825837067</v>
      </c>
      <c r="P301" s="147">
        <f ca="1"/>
        <v>5022.1896602171328</v>
      </c>
      <c r="Q301" s="147">
        <f ca="1"/>
        <v>5184.2650911763722</v>
      </c>
      <c r="R301" s="147">
        <f ca="1"/>
        <v>5342.1741604137351</v>
      </c>
      <c r="S301" s="147">
        <f ca="1"/>
        <v>5494.8786176361473</v>
      </c>
      <c r="T301" s="147">
        <f ca="1"/>
        <v>5641.3768950418898</v>
      </c>
      <c r="U301" s="147">
        <f ca="1"/>
        <v>5780.9149548124806</v>
      </c>
      <c r="V301" s="147">
        <f ca="1"/>
        <v>5912.8362233165954</v>
      </c>
      <c r="W301" s="147">
        <f ca="1"/>
        <v>6036.4491954102214</v>
      </c>
      <c r="X301" s="147">
        <f ca="1"/>
        <v>6151.1495743571913</v>
      </c>
      <c r="Y301" s="147">
        <f ca="1"/>
        <v>6256.3050482985182</v>
      </c>
      <c r="Z301" s="147">
        <f ca="1"/>
        <v>6351.4172351989846</v>
      </c>
      <c r="AA301" s="147">
        <f ca="1"/>
        <v>6436.0999700628618</v>
      </c>
      <c r="AB301" s="147">
        <f ca="1"/>
        <v>6509.9293560002598</v>
      </c>
      <c r="AC301" s="147">
        <f ca="1"/>
        <v>6572.5029014351785</v>
      </c>
      <c r="AD301" s="147">
        <f ca="1"/>
        <v>6623.5288863166079</v>
      </c>
      <c r="AE301" s="147">
        <f ca="1"/>
        <v>6662.7673680020753</v>
      </c>
      <c r="AF301" s="147">
        <f ca="1"/>
        <v>6689.9221407423474</v>
      </c>
      <c r="AG301" s="147">
        <f ca="1"/>
        <v>6704.7269634803433</v>
      </c>
      <c r="AH301" s="147">
        <f ca="1"/>
        <v>6706.9727518108702</v>
      </c>
    </row>
    <row r="302" spans="2:34">
      <c r="B302" s="149">
        <v>3</v>
      </c>
      <c r="C302" s="149">
        <v>3</v>
      </c>
      <c r="D302" s="145" t="str">
        <v>Veículos Comerciais com 2 Eixos</v>
      </c>
      <c r="E302" s="147">
        <f ca="1"/>
        <v>0</v>
      </c>
      <c r="F302" s="147">
        <f ca="1"/>
        <v>101737.0741014542</v>
      </c>
      <c r="G302" s="147">
        <f ca="1"/>
        <v>113047.48212759384</v>
      </c>
      <c r="H302" s="147">
        <f ca="1"/>
        <v>92530.793924121215</v>
      </c>
      <c r="I302" s="147">
        <f ca="1"/>
        <v>74330.175064853931</v>
      </c>
      <c r="J302" s="147">
        <f ca="1"/>
        <v>62123.449516199566</v>
      </c>
      <c r="K302" s="147">
        <f ca="1"/>
        <v>49306.303035714991</v>
      </c>
      <c r="L302" s="147">
        <f ca="1"/>
        <v>39488.081339902194</v>
      </c>
      <c r="M302" s="147">
        <f ca="1"/>
        <v>36546.647825625696</v>
      </c>
      <c r="N302" s="147">
        <f ca="1"/>
        <v>37159.822515193468</v>
      </c>
      <c r="O302" s="147">
        <f ca="1"/>
        <v>37733.45126109026</v>
      </c>
      <c r="P302" s="147">
        <f ca="1"/>
        <v>38263.5228442199</v>
      </c>
      <c r="Q302" s="147">
        <f ca="1"/>
        <v>38747.490384478879</v>
      </c>
      <c r="R302" s="147">
        <f ca="1"/>
        <v>39183.085469861071</v>
      </c>
      <c r="S302" s="147">
        <f ca="1"/>
        <v>39568.111180253996</v>
      </c>
      <c r="T302" s="147">
        <f ca="1"/>
        <v>39900.669183670652</v>
      </c>
      <c r="U302" s="147">
        <f ca="1"/>
        <v>40180.132776860002</v>
      </c>
      <c r="V302" s="147">
        <f ca="1"/>
        <v>40406.257641757358</v>
      </c>
      <c r="W302" s="147">
        <f ca="1"/>
        <v>40578.569453513868</v>
      </c>
      <c r="X302" s="147">
        <f ca="1"/>
        <v>40697.034858521285</v>
      </c>
      <c r="Y302" s="147">
        <f ca="1"/>
        <v>40761.3775936167</v>
      </c>
      <c r="Z302" s="147">
        <f ca="1"/>
        <v>40771.885697388119</v>
      </c>
      <c r="AA302" s="147">
        <f ca="1"/>
        <v>40729.251660666305</v>
      </c>
      <c r="AB302" s="147">
        <f ca="1"/>
        <v>40633.813613041733</v>
      </c>
      <c r="AC302" s="147">
        <f ca="1"/>
        <v>40485.909313995457</v>
      </c>
      <c r="AD302" s="147">
        <f ca="1"/>
        <v>40286.316144713848</v>
      </c>
      <c r="AE302" s="147">
        <f ca="1"/>
        <v>40036.01127030421</v>
      </c>
      <c r="AF302" s="147">
        <f ca="1"/>
        <v>39735.650885041243</v>
      </c>
      <c r="AG302" s="147">
        <f ca="1"/>
        <v>39385.936644012043</v>
      </c>
      <c r="AH302" s="147">
        <f ca="1"/>
        <v>38987.701448714914</v>
      </c>
    </row>
    <row r="303" spans="2:34">
      <c r="B303" s="149">
        <v>3</v>
      </c>
      <c r="C303" s="149">
        <v>4</v>
      </c>
      <c r="D303" s="145" t="str">
        <v>Veículos Comerciais com 3 Eixos</v>
      </c>
      <c r="E303" s="147">
        <f ca="1"/>
        <v>0</v>
      </c>
      <c r="F303" s="147">
        <f ca="1"/>
        <v>70582.752884142043</v>
      </c>
      <c r="G303" s="147">
        <f ca="1"/>
        <v>78429.643919476221</v>
      </c>
      <c r="H303" s="147">
        <f ca="1"/>
        <v>64195.655511055891</v>
      </c>
      <c r="I303" s="147">
        <f ca="1"/>
        <v>51568.500713965492</v>
      </c>
      <c r="J303" s="147">
        <f ca="1"/>
        <v>43099.765982455268</v>
      </c>
      <c r="K303" s="147">
        <f ca="1"/>
        <v>34207.535783169806</v>
      </c>
      <c r="L303" s="147">
        <f ca="1"/>
        <v>27395.887995597244</v>
      </c>
      <c r="M303" s="147">
        <f ca="1"/>
        <v>25355.191654593036</v>
      </c>
      <c r="N303" s="147">
        <f ca="1"/>
        <v>25780.597613736441</v>
      </c>
      <c r="O303" s="147">
        <f ca="1"/>
        <v>26178.5675413805</v>
      </c>
      <c r="P303" s="147">
        <f ca="1"/>
        <v>26546.318549490235</v>
      </c>
      <c r="Q303" s="147">
        <f ca="1"/>
        <v>26882.083673460489</v>
      </c>
      <c r="R303" s="147">
        <f ca="1"/>
        <v>27184.289143203187</v>
      </c>
      <c r="S303" s="147">
        <f ca="1"/>
        <v>27451.410787999117</v>
      </c>
      <c r="T303" s="147">
        <f ca="1"/>
        <v>27682.131590441237</v>
      </c>
      <c r="U303" s="147">
        <f ca="1"/>
        <v>27876.016758777496</v>
      </c>
      <c r="V303" s="147">
        <f ca="1"/>
        <v>28032.896790968061</v>
      </c>
      <c r="W303" s="147">
        <f ca="1"/>
        <v>28152.442611758037</v>
      </c>
      <c r="X303" s="147">
        <f ca="1"/>
        <v>28234.631081210373</v>
      </c>
      <c r="Y303" s="147">
        <f ca="1"/>
        <v>28279.270534538868</v>
      </c>
      <c r="Z303" s="147">
        <f ca="1"/>
        <v>28286.560806038517</v>
      </c>
      <c r="AA303" s="147">
        <f ca="1"/>
        <v>28256.98232931341</v>
      </c>
      <c r="AB303" s="147">
        <f ca="1"/>
        <v>28190.769690600097</v>
      </c>
      <c r="AC303" s="147">
        <f ca="1"/>
        <v>28088.15721936198</v>
      </c>
      <c r="AD303" s="147">
        <f ca="1"/>
        <v>27949.684244105021</v>
      </c>
      <c r="AE303" s="147">
        <f ca="1"/>
        <v>27776.028698649345</v>
      </c>
      <c r="AF303" s="147">
        <f ca="1"/>
        <v>27567.645834915125</v>
      </c>
      <c r="AG303" s="147">
        <f ca="1"/>
        <v>27325.022444448696</v>
      </c>
      <c r="AH303" s="147">
        <f ca="1"/>
        <v>27048.736374422781</v>
      </c>
    </row>
    <row r="304" spans="2:34">
      <c r="B304" s="149">
        <v>3</v>
      </c>
      <c r="C304" s="149">
        <v>5</v>
      </c>
      <c r="D304" s="145" t="str">
        <v>Veículos Comerciais com 4 Eixos</v>
      </c>
      <c r="E304" s="147">
        <f ca="1"/>
        <v>0</v>
      </c>
      <c r="F304" s="147">
        <f ca="1"/>
        <v>24331.060301740941</v>
      </c>
      <c r="G304" s="147">
        <f ca="1"/>
        <v>27036.015424068028</v>
      </c>
      <c r="H304" s="147">
        <f ca="1"/>
        <v>22129.320570892822</v>
      </c>
      <c r="I304" s="147">
        <f ca="1"/>
        <v>17776.528249066992</v>
      </c>
      <c r="J304" s="147">
        <f ca="1"/>
        <v>14857.21316128557</v>
      </c>
      <c r="K304" s="147">
        <f ca="1"/>
        <v>11791.912073484193</v>
      </c>
      <c r="L304" s="147">
        <f ca="1"/>
        <v>9443.8226847677579</v>
      </c>
      <c r="M304" s="147">
        <f ca="1"/>
        <v>8740.3603841117165</v>
      </c>
      <c r="N304" s="147">
        <f ca="1"/>
        <v>8887.0049625915071</v>
      </c>
      <c r="O304" s="147">
        <f ca="1"/>
        <v>9024.1918802466043</v>
      </c>
      <c r="P304" s="147">
        <f ca="1"/>
        <v>9150.9618288349175</v>
      </c>
      <c r="Q304" s="147">
        <f ca="1"/>
        <v>9266.7057059822346</v>
      </c>
      <c r="R304" s="147">
        <f ca="1"/>
        <v>9370.8810067089598</v>
      </c>
      <c r="S304" s="147">
        <f ca="1"/>
        <v>9462.9623237709093</v>
      </c>
      <c r="T304" s="147">
        <f ca="1"/>
        <v>9542.4956591495938</v>
      </c>
      <c r="U304" s="147">
        <f ca="1"/>
        <v>9609.3311328260897</v>
      </c>
      <c r="V304" s="147">
        <f ca="1"/>
        <v>9663.4103146006109</v>
      </c>
      <c r="W304" s="147">
        <f ca="1"/>
        <v>9704.6197667062315</v>
      </c>
      <c r="X304" s="147">
        <f ca="1"/>
        <v>9732.951512418038</v>
      </c>
      <c r="Y304" s="147">
        <f ca="1"/>
        <v>9748.3394816653581</v>
      </c>
      <c r="Z304" s="147">
        <f ca="1"/>
        <v>9750.8525606857402</v>
      </c>
      <c r="AA304" s="147">
        <f ca="1"/>
        <v>9740.6563630110268</v>
      </c>
      <c r="AB304" s="147">
        <f ca="1"/>
        <v>9717.8317544566453</v>
      </c>
      <c r="AC304" s="147">
        <f ca="1"/>
        <v>9682.4595123240179</v>
      </c>
      <c r="AD304" s="147">
        <f ca="1"/>
        <v>9634.7255522067517</v>
      </c>
      <c r="AE304" s="147">
        <f ca="1"/>
        <v>9574.8635692780153</v>
      </c>
      <c r="AF304" s="147">
        <f ca="1"/>
        <v>9503.030496520294</v>
      </c>
      <c r="AG304" s="147">
        <f ca="1"/>
        <v>9419.3941391548979</v>
      </c>
      <c r="AH304" s="147">
        <f ca="1"/>
        <v>9324.1536908067592</v>
      </c>
    </row>
    <row r="305" spans="2:34">
      <c r="B305" s="149">
        <v>3</v>
      </c>
      <c r="C305" s="149">
        <v>6</v>
      </c>
      <c r="D305" s="145" t="str">
        <v>Veículos Comerciais com 5 Eixos Articulado</v>
      </c>
      <c r="E305" s="147">
        <f ca="1"/>
        <v>0</v>
      </c>
      <c r="F305" s="147">
        <f ca="1"/>
        <v>5515.9747327171017</v>
      </c>
      <c r="G305" s="147">
        <f ca="1"/>
        <v>6204.6201658722712</v>
      </c>
      <c r="H305" s="147">
        <f ca="1"/>
        <v>5143.1395650589875</v>
      </c>
      <c r="I305" s="147">
        <f ca="1"/>
        <v>4185.577895540152</v>
      </c>
      <c r="J305" s="147">
        <f ca="1"/>
        <v>3544.8992523487332</v>
      </c>
      <c r="K305" s="147">
        <f ca="1"/>
        <v>2851.3129976611103</v>
      </c>
      <c r="L305" s="147">
        <f ca="1"/>
        <v>2314.130436145932</v>
      </c>
      <c r="M305" s="147">
        <f ca="1"/>
        <v>2170.1760395389119</v>
      </c>
      <c r="N305" s="147">
        <f ca="1"/>
        <v>2235.4332703731543</v>
      </c>
      <c r="O305" s="147">
        <f ca="1"/>
        <v>2299.0158818181394</v>
      </c>
      <c r="P305" s="147">
        <f ca="1"/>
        <v>2360.4281739674379</v>
      </c>
      <c r="Q305" s="147">
        <f ca="1"/>
        <v>2419.2891245897936</v>
      </c>
      <c r="R305" s="147">
        <f ca="1"/>
        <v>2475.232256524866</v>
      </c>
      <c r="S305" s="147">
        <f ca="1"/>
        <v>2527.8864965657685</v>
      </c>
      <c r="T305" s="147">
        <f ca="1"/>
        <v>2576.9054570884668</v>
      </c>
      <c r="U305" s="147">
        <f ca="1"/>
        <v>2622.0570049189446</v>
      </c>
      <c r="V305" s="147">
        <f ca="1"/>
        <v>2663.1525285547932</v>
      </c>
      <c r="W305" s="147">
        <f ca="1"/>
        <v>2699.9907214012128</v>
      </c>
      <c r="X305" s="147">
        <f ca="1"/>
        <v>2732.4133464719289</v>
      </c>
      <c r="Y305" s="147">
        <f ca="1"/>
        <v>2760.250488432378</v>
      </c>
      <c r="Z305" s="147">
        <f ca="1"/>
        <v>2783.3912598745078</v>
      </c>
      <c r="AA305" s="147">
        <f ca="1"/>
        <v>2801.7720487034471</v>
      </c>
      <c r="AB305" s="147">
        <f ca="1"/>
        <v>2815.3101448767766</v>
      </c>
      <c r="AC305" s="147">
        <f ca="1"/>
        <v>2823.9317981434465</v>
      </c>
      <c r="AD305" s="147">
        <f ca="1"/>
        <v>2827.6109245080484</v>
      </c>
      <c r="AE305" s="147">
        <f ca="1"/>
        <v>2826.3453239592673</v>
      </c>
      <c r="AF305" s="147">
        <f ca="1"/>
        <v>2820.1100971305991</v>
      </c>
      <c r="AG305" s="147">
        <f ca="1"/>
        <v>2808.8926576112694</v>
      </c>
      <c r="AH305" s="147">
        <f ca="1"/>
        <v>2792.7023517520597</v>
      </c>
    </row>
    <row r="306" spans="2:34">
      <c r="B306" s="149">
        <v>3</v>
      </c>
      <c r="C306" s="149">
        <v>7</v>
      </c>
      <c r="D306" s="145" t="str">
        <v>Veículos Comerciais com 6 Eixos Articulado</v>
      </c>
      <c r="E306" s="147">
        <f ca="1"/>
        <v>0</v>
      </c>
      <c r="F306" s="147">
        <f ca="1"/>
        <v>51850.162487540758</v>
      </c>
      <c r="G306" s="147">
        <f ca="1"/>
        <v>58323.42955919935</v>
      </c>
      <c r="H306" s="147">
        <f ca="1"/>
        <v>48345.511911554488</v>
      </c>
      <c r="I306" s="147">
        <f ca="1"/>
        <v>39344.432218077432</v>
      </c>
      <c r="J306" s="147">
        <f ca="1"/>
        <v>33322.052972078083</v>
      </c>
      <c r="K306" s="147">
        <f ca="1"/>
        <v>26802.342178014434</v>
      </c>
      <c r="L306" s="147">
        <f ca="1"/>
        <v>21752.826099771763</v>
      </c>
      <c r="M306" s="147">
        <f ca="1"/>
        <v>20399.654771665766</v>
      </c>
      <c r="N306" s="147">
        <f ca="1"/>
        <v>21013.072741507651</v>
      </c>
      <c r="O306" s="147">
        <f ca="1"/>
        <v>21610.749289090505</v>
      </c>
      <c r="P306" s="147">
        <f ca="1"/>
        <v>22188.024835293909</v>
      </c>
      <c r="Q306" s="147">
        <f ca="1"/>
        <v>22741.317771144051</v>
      </c>
      <c r="R306" s="147">
        <f ca="1"/>
        <v>23267.183211333733</v>
      </c>
      <c r="S306" s="147">
        <f ca="1"/>
        <v>23762.13306771822</v>
      </c>
      <c r="T306" s="147">
        <f ca="1"/>
        <v>24222.911296631584</v>
      </c>
      <c r="U306" s="147">
        <f ca="1"/>
        <v>24647.335846238075</v>
      </c>
      <c r="V306" s="147">
        <f ca="1"/>
        <v>25033.633768415042</v>
      </c>
      <c r="W306" s="147">
        <f ca="1"/>
        <v>25379.912781171402</v>
      </c>
      <c r="X306" s="147">
        <f ca="1"/>
        <v>25684.685456836123</v>
      </c>
      <c r="Y306" s="147">
        <f ca="1"/>
        <v>25946.354591264339</v>
      </c>
      <c r="Z306" s="147">
        <f ca="1"/>
        <v>26163.87784282037</v>
      </c>
      <c r="AA306" s="147">
        <f ca="1"/>
        <v>26336.657257812396</v>
      </c>
      <c r="AB306" s="147">
        <f ca="1"/>
        <v>26463.915361841693</v>
      </c>
      <c r="AC306" s="147">
        <f ca="1"/>
        <v>26544.958902548395</v>
      </c>
      <c r="AD306" s="147">
        <f ca="1"/>
        <v>26579.542690375656</v>
      </c>
      <c r="AE306" s="147">
        <f ca="1"/>
        <v>26567.646045217109</v>
      </c>
      <c r="AF306" s="147">
        <f ca="1"/>
        <v>26509.034913027637</v>
      </c>
      <c r="AG306" s="147">
        <f ca="1"/>
        <v>26403.590981545927</v>
      </c>
      <c r="AH306" s="147">
        <f ca="1"/>
        <v>26251.40210646937</v>
      </c>
    </row>
    <row r="307" spans="2:34">
      <c r="B307" s="149">
        <v>3</v>
      </c>
      <c r="C307" s="149">
        <v>8</v>
      </c>
      <c r="D307" s="145" t="str">
        <v>Veículos Comerciais com 7 Eixos Articulado</v>
      </c>
      <c r="E307" s="147">
        <f ca="1"/>
        <v>0</v>
      </c>
      <c r="F307" s="147">
        <f ca="1"/>
        <v>16088.259637091543</v>
      </c>
      <c r="G307" s="147">
        <f ca="1"/>
        <v>18096.808817127458</v>
      </c>
      <c r="H307" s="147">
        <f ca="1"/>
        <v>15000.823731422046</v>
      </c>
      <c r="I307" s="147">
        <f ca="1"/>
        <v>12207.935528658776</v>
      </c>
      <c r="J307" s="147">
        <f ca="1"/>
        <v>10339.289486017138</v>
      </c>
      <c r="K307" s="147">
        <f ca="1"/>
        <v>8316.3295765115708</v>
      </c>
      <c r="L307" s="147">
        <f ca="1"/>
        <v>6749.5471054256332</v>
      </c>
      <c r="M307" s="147">
        <f ca="1"/>
        <v>6329.6801153218248</v>
      </c>
      <c r="N307" s="147">
        <f ca="1"/>
        <v>6520.0137052550326</v>
      </c>
      <c r="O307" s="147">
        <f ca="1"/>
        <v>6705.4629886362382</v>
      </c>
      <c r="P307" s="147">
        <f ca="1"/>
        <v>6884.5821740716929</v>
      </c>
      <c r="Q307" s="147">
        <f ca="1"/>
        <v>7056.2599467202317</v>
      </c>
      <c r="R307" s="147">
        <f ca="1"/>
        <v>7219.4274148641925</v>
      </c>
      <c r="S307" s="147">
        <f ca="1"/>
        <v>7373.0022816501569</v>
      </c>
      <c r="T307" s="147">
        <f ca="1"/>
        <v>7515.9742498413598</v>
      </c>
      <c r="U307" s="147">
        <f ca="1"/>
        <v>7647.6662643469217</v>
      </c>
      <c r="V307" s="147">
        <f ca="1"/>
        <v>7767.5282082848107</v>
      </c>
      <c r="W307" s="147">
        <f ca="1"/>
        <v>7874.9729374202025</v>
      </c>
      <c r="X307" s="147">
        <f ca="1"/>
        <v>7969.5389272097918</v>
      </c>
      <c r="Y307" s="147">
        <f ca="1"/>
        <v>8050.7305912610982</v>
      </c>
      <c r="Z307" s="147">
        <f ca="1"/>
        <v>8118.2245079673157</v>
      </c>
      <c r="AA307" s="147">
        <f ca="1"/>
        <v>8171.8351420517174</v>
      </c>
      <c r="AB307" s="147">
        <f ca="1"/>
        <v>8211.3212558905961</v>
      </c>
      <c r="AC307" s="147">
        <f ca="1"/>
        <v>8236.4677445850521</v>
      </c>
      <c r="AD307" s="147">
        <f ca="1"/>
        <v>8247.1985298151412</v>
      </c>
      <c r="AE307" s="147">
        <f ca="1"/>
        <v>8243.5071948811965</v>
      </c>
      <c r="AF307" s="147">
        <f ca="1"/>
        <v>8225.3211166309138</v>
      </c>
      <c r="AG307" s="147">
        <f ca="1"/>
        <v>8192.6035846995328</v>
      </c>
      <c r="AH307" s="147">
        <f ca="1"/>
        <v>8145.3818592768394</v>
      </c>
    </row>
    <row r="308" spans="2:34">
      <c r="B308" s="149">
        <v>3</v>
      </c>
      <c r="C308" s="149">
        <v>9</v>
      </c>
      <c r="D308" s="145" t="str">
        <v>Veículos Comerciais com 8 Eixos Articulado</v>
      </c>
      <c r="E308" s="147">
        <f ca="1"/>
        <v>0</v>
      </c>
      <c r="F308" s="147">
        <f ca="1"/>
        <v>0</v>
      </c>
      <c r="G308" s="147">
        <f ca="1"/>
        <v>0</v>
      </c>
      <c r="H308" s="147">
        <f ca="1"/>
        <v>0</v>
      </c>
      <c r="I308" s="147">
        <f ca="1"/>
        <v>0</v>
      </c>
      <c r="J308" s="147">
        <f ca="1"/>
        <v>0</v>
      </c>
      <c r="K308" s="147">
        <f ca="1"/>
        <v>0</v>
      </c>
      <c r="L308" s="147">
        <f ca="1"/>
        <v>0</v>
      </c>
      <c r="M308" s="147">
        <f ca="1"/>
        <v>0</v>
      </c>
      <c r="N308" s="147">
        <f ca="1"/>
        <v>0</v>
      </c>
      <c r="O308" s="147">
        <f ca="1"/>
        <v>0</v>
      </c>
      <c r="P308" s="147">
        <f ca="1"/>
        <v>0</v>
      </c>
      <c r="Q308" s="147">
        <f ca="1"/>
        <v>0</v>
      </c>
      <c r="R308" s="147">
        <f ca="1"/>
        <v>0</v>
      </c>
      <c r="S308" s="147">
        <f ca="1"/>
        <v>0</v>
      </c>
      <c r="T308" s="147">
        <f ca="1"/>
        <v>0</v>
      </c>
      <c r="U308" s="147">
        <f ca="1"/>
        <v>0</v>
      </c>
      <c r="V308" s="147">
        <f ca="1"/>
        <v>0</v>
      </c>
      <c r="W308" s="147">
        <f ca="1"/>
        <v>0</v>
      </c>
      <c r="X308" s="147">
        <f ca="1"/>
        <v>0</v>
      </c>
      <c r="Y308" s="147">
        <f ca="1"/>
        <v>0</v>
      </c>
      <c r="Z308" s="147">
        <f ca="1"/>
        <v>0</v>
      </c>
      <c r="AA308" s="147">
        <f ca="1"/>
        <v>0</v>
      </c>
      <c r="AB308" s="147">
        <f ca="1"/>
        <v>0</v>
      </c>
      <c r="AC308" s="147">
        <f ca="1"/>
        <v>0</v>
      </c>
      <c r="AD308" s="147">
        <f ca="1"/>
        <v>0</v>
      </c>
      <c r="AE308" s="147">
        <f ca="1"/>
        <v>0</v>
      </c>
      <c r="AF308" s="147">
        <f ca="1"/>
        <v>0</v>
      </c>
      <c r="AG308" s="147">
        <f ca="1"/>
        <v>0</v>
      </c>
      <c r="AH308" s="147">
        <f ca="1"/>
        <v>0</v>
      </c>
    </row>
    <row r="309" spans="2:34">
      <c r="B309" s="149">
        <v>3</v>
      </c>
      <c r="C309" s="149">
        <v>10</v>
      </c>
      <c r="D309" s="145" t="str">
        <v>Veículos Comerciais com 9 Eixos Articulado</v>
      </c>
      <c r="E309" s="147">
        <f ca="1"/>
        <v>0</v>
      </c>
      <c r="F309" s="147">
        <f ca="1"/>
        <v>12410.943148613473</v>
      </c>
      <c r="G309" s="147">
        <f ca="1"/>
        <v>13960.395373212607</v>
      </c>
      <c r="H309" s="147">
        <f ca="1"/>
        <v>11572.064021382719</v>
      </c>
      <c r="I309" s="147">
        <f ca="1"/>
        <v>9417.5502649653372</v>
      </c>
      <c r="J309" s="147">
        <f ca="1"/>
        <v>7976.0233177846476</v>
      </c>
      <c r="K309" s="147">
        <f ca="1"/>
        <v>6415.4542447374961</v>
      </c>
      <c r="L309" s="147">
        <f ca="1"/>
        <v>5206.7934813283446</v>
      </c>
      <c r="M309" s="147">
        <f ca="1"/>
        <v>4882.8960889625496</v>
      </c>
      <c r="N309" s="147">
        <f ca="1"/>
        <v>5029.7248583395958</v>
      </c>
      <c r="O309" s="147">
        <f ca="1"/>
        <v>5172.7857340908104</v>
      </c>
      <c r="P309" s="147">
        <f ca="1"/>
        <v>5310.9633914267324</v>
      </c>
      <c r="Q309" s="147">
        <f ca="1"/>
        <v>5443.4005303270324</v>
      </c>
      <c r="R309" s="147">
        <f ca="1"/>
        <v>5569.2725771809455</v>
      </c>
      <c r="S309" s="147">
        <f ca="1"/>
        <v>5687.7446172729751</v>
      </c>
      <c r="T309" s="147">
        <f ca="1"/>
        <v>5798.0372784490455</v>
      </c>
      <c r="U309" s="147">
        <f ca="1"/>
        <v>5899.6282610676217</v>
      </c>
      <c r="V309" s="147">
        <f ca="1"/>
        <v>5992.0931892482795</v>
      </c>
      <c r="W309" s="147">
        <f ca="1"/>
        <v>6074.9791231527261</v>
      </c>
      <c r="X309" s="147">
        <f ca="1"/>
        <v>6147.9300295618359</v>
      </c>
      <c r="Y309" s="147">
        <f ca="1"/>
        <v>6210.5635989728453</v>
      </c>
      <c r="Z309" s="147">
        <f ca="1"/>
        <v>6262.630334717639</v>
      </c>
      <c r="AA309" s="147">
        <f ca="1"/>
        <v>6303.9871095827511</v>
      </c>
      <c r="AB309" s="147">
        <f ca="1"/>
        <v>6334.4478259727421</v>
      </c>
      <c r="AC309" s="147">
        <f ca="1"/>
        <v>6353.8465458227492</v>
      </c>
      <c r="AD309" s="147">
        <f ca="1"/>
        <v>6362.124580143105</v>
      </c>
      <c r="AE309" s="147">
        <f ca="1"/>
        <v>6359.2769789083477</v>
      </c>
      <c r="AF309" s="147">
        <f ca="1"/>
        <v>6345.2477185438447</v>
      </c>
      <c r="AG309" s="147">
        <f ca="1"/>
        <v>6320.0084796253523</v>
      </c>
      <c r="AH309" s="147">
        <f ca="1"/>
        <v>6283.5802914421311</v>
      </c>
    </row>
    <row r="310" spans="2:34">
      <c r="B310" s="149">
        <v>3</v>
      </c>
      <c r="C310" s="149">
        <v>11</v>
      </c>
      <c r="D310" s="145" t="str">
        <v>Motocicleta</v>
      </c>
      <c r="E310" s="147">
        <f ca="1"/>
        <v>0</v>
      </c>
      <c r="F310" s="147">
        <f ca="1"/>
        <v>51104.672213050486</v>
      </c>
      <c r="G310" s="147">
        <f ca="1"/>
        <v>59802.769931608913</v>
      </c>
      <c r="H310" s="147">
        <f ca="1"/>
        <v>52783.452478519328</v>
      </c>
      <c r="I310" s="147">
        <f ca="1"/>
        <v>46183.489137780773</v>
      </c>
      <c r="J310" s="147">
        <f ca="1"/>
        <v>41225.649612063185</v>
      </c>
      <c r="K310" s="147">
        <f ca="1"/>
        <v>36946.975962981531</v>
      </c>
      <c r="L310" s="147">
        <f ca="1"/>
        <v>32221.146949805701</v>
      </c>
      <c r="M310" s="147">
        <f ca="1"/>
        <v>28316.70410647049</v>
      </c>
      <c r="N310" s="147">
        <f ca="1"/>
        <v>26701.095678115526</v>
      </c>
      <c r="O310" s="147">
        <f ca="1"/>
        <v>26271.640723975499</v>
      </c>
      <c r="P310" s="147">
        <f ca="1"/>
        <v>27165.480434810848</v>
      </c>
      <c r="Q310" s="147">
        <f ca="1"/>
        <v>28042.161174999455</v>
      </c>
      <c r="R310" s="147">
        <f ca="1"/>
        <v>28896.305685874282</v>
      </c>
      <c r="S310" s="147">
        <f ca="1"/>
        <v>29722.297977213704</v>
      </c>
      <c r="T310" s="147">
        <f ca="1"/>
        <v>30514.720477726583</v>
      </c>
      <c r="U310" s="147">
        <f ca="1"/>
        <v>31269.494528303876</v>
      </c>
      <c r="V310" s="147">
        <f ca="1"/>
        <v>31983.068662485213</v>
      </c>
      <c r="W310" s="147">
        <f ca="1"/>
        <v>32651.702466082559</v>
      </c>
      <c r="X310" s="147">
        <f ca="1"/>
        <v>33272.127243113893</v>
      </c>
      <c r="Y310" s="147">
        <f ca="1"/>
        <v>33840.922761251066</v>
      </c>
      <c r="Z310" s="147">
        <f ca="1"/>
        <v>34355.393226758126</v>
      </c>
      <c r="AA310" s="147">
        <f ca="1"/>
        <v>34813.449838067289</v>
      </c>
      <c r="AB310" s="147">
        <f ca="1"/>
        <v>35212.799698365037</v>
      </c>
      <c r="AC310" s="147">
        <f ca="1"/>
        <v>35551.265694126647</v>
      </c>
      <c r="AD310" s="147">
        <f ca="1"/>
        <v>35827.269885076188</v>
      </c>
      <c r="AE310" s="147">
        <f ca="1"/>
        <v>36039.514399647596</v>
      </c>
      <c r="AF310" s="147">
        <f ca="1"/>
        <v>36186.397034015426</v>
      </c>
      <c r="AG310" s="147">
        <f ca="1"/>
        <v>36266.477666098224</v>
      </c>
      <c r="AH310" s="147">
        <f ca="1"/>
        <v>36278.625339340608</v>
      </c>
    </row>
    <row r="311" spans="2:34">
      <c r="B311" s="149">
        <v>3</v>
      </c>
      <c r="C311" s="149">
        <v>12</v>
      </c>
      <c r="D311" s="145" t="str">
        <v xml:space="preserve">Veículos do transporte público coletivo intermunicipal e metropolitano </v>
      </c>
      <c r="E311" s="147">
        <f ca="1"/>
        <v>0</v>
      </c>
      <c r="F311" s="147">
        <f ca="1"/>
        <v>0</v>
      </c>
      <c r="G311" s="147">
        <f ca="1"/>
        <v>0</v>
      </c>
      <c r="H311" s="147">
        <f ca="1"/>
        <v>0</v>
      </c>
      <c r="I311" s="147">
        <f ca="1"/>
        <v>0</v>
      </c>
      <c r="J311" s="147">
        <f ca="1"/>
        <v>0</v>
      </c>
      <c r="K311" s="147">
        <f ca="1"/>
        <v>0</v>
      </c>
      <c r="L311" s="147">
        <f ca="1"/>
        <v>0</v>
      </c>
      <c r="M311" s="147">
        <f ca="1"/>
        <v>0</v>
      </c>
      <c r="N311" s="147">
        <f ca="1"/>
        <v>0</v>
      </c>
      <c r="O311" s="147">
        <f ca="1"/>
        <v>0</v>
      </c>
      <c r="P311" s="147">
        <f ca="1"/>
        <v>0</v>
      </c>
      <c r="Q311" s="147">
        <f ca="1"/>
        <v>0</v>
      </c>
      <c r="R311" s="147">
        <f ca="1"/>
        <v>0</v>
      </c>
      <c r="S311" s="147">
        <f ca="1"/>
        <v>0</v>
      </c>
      <c r="T311" s="147">
        <f ca="1"/>
        <v>0</v>
      </c>
      <c r="U311" s="147">
        <f ca="1"/>
        <v>0</v>
      </c>
      <c r="V311" s="147">
        <f ca="1"/>
        <v>0</v>
      </c>
      <c r="W311" s="147">
        <f ca="1"/>
        <v>0</v>
      </c>
      <c r="X311" s="147">
        <f ca="1"/>
        <v>0</v>
      </c>
      <c r="Y311" s="147">
        <f ca="1"/>
        <v>0</v>
      </c>
      <c r="Z311" s="147">
        <f ca="1"/>
        <v>0</v>
      </c>
      <c r="AA311" s="147">
        <f ca="1"/>
        <v>0</v>
      </c>
      <c r="AB311" s="147">
        <f ca="1"/>
        <v>0</v>
      </c>
      <c r="AC311" s="147">
        <f ca="1"/>
        <v>0</v>
      </c>
      <c r="AD311" s="147">
        <f ca="1"/>
        <v>0</v>
      </c>
      <c r="AE311" s="147">
        <f ca="1"/>
        <v>0</v>
      </c>
      <c r="AF311" s="147">
        <f ca="1"/>
        <v>0</v>
      </c>
      <c r="AG311" s="147">
        <f ca="1"/>
        <v>0</v>
      </c>
      <c r="AH311" s="147">
        <f ca="1"/>
        <v>0</v>
      </c>
    </row>
    <row r="312" spans="2:34">
      <c r="B312" s="149">
        <v>4</v>
      </c>
      <c r="C312" s="149">
        <v>1</v>
      </c>
      <c r="D312" s="145" t="str">
        <v>Automóvel</v>
      </c>
      <c r="E312" s="147">
        <f ca="1"/>
        <v>0</v>
      </c>
      <c r="F312" s="147">
        <f ca="1"/>
        <v>1568149.502713565</v>
      </c>
      <c r="G312" s="147">
        <f ca="1"/>
        <v>1835051.0798344954</v>
      </c>
      <c r="H312" s="147">
        <f ca="1"/>
        <v>1619662.961746926</v>
      </c>
      <c r="I312" s="147">
        <f ca="1"/>
        <v>1417142.7462261238</v>
      </c>
      <c r="J312" s="147">
        <f ca="1"/>
        <v>1265011.184666038</v>
      </c>
      <c r="K312" s="147">
        <f ca="1"/>
        <v>1133719.8630602688</v>
      </c>
      <c r="L312" s="147">
        <f ca="1"/>
        <v>988707.55604407145</v>
      </c>
      <c r="M312" s="147">
        <f ca="1"/>
        <v>868899.52601455688</v>
      </c>
      <c r="N312" s="147">
        <f ca="1"/>
        <v>819324.49806128698</v>
      </c>
      <c r="O312" s="147">
        <f ca="1"/>
        <v>806146.65064324636</v>
      </c>
      <c r="P312" s="147">
        <f ca="1"/>
        <v>833574.16827233206</v>
      </c>
      <c r="Q312" s="147">
        <f ca="1"/>
        <v>860475.16200210457</v>
      </c>
      <c r="R312" s="147">
        <f ca="1"/>
        <v>886684.63037301844</v>
      </c>
      <c r="S312" s="147">
        <f ca="1"/>
        <v>912030.24643546459</v>
      </c>
      <c r="T312" s="147">
        <f ca="1"/>
        <v>1310884.0804289293</v>
      </c>
      <c r="U312" s="147">
        <f ca="1"/>
        <v>1343308.473368882</v>
      </c>
      <c r="V312" s="147">
        <f ca="1"/>
        <v>1373962.9561253916</v>
      </c>
      <c r="W312" s="147">
        <f ca="1"/>
        <v>1402686.8439752634</v>
      </c>
      <c r="X312" s="147">
        <f ca="1"/>
        <v>1429339.7167717777</v>
      </c>
      <c r="Y312" s="147">
        <f ca="1"/>
        <v>1453774.6445073797</v>
      </c>
      <c r="Z312" s="147">
        <f ca="1"/>
        <v>1475875.818384307</v>
      </c>
      <c r="AA312" s="147">
        <f ca="1"/>
        <v>1495553.5054251791</v>
      </c>
      <c r="AB312" s="147">
        <f ca="1"/>
        <v>1512709.204910218</v>
      </c>
      <c r="AC312" s="147">
        <f ca="1"/>
        <v>1527249.3900623079</v>
      </c>
      <c r="AD312" s="147">
        <f ca="1"/>
        <v>1539106.2740311951</v>
      </c>
      <c r="AE312" s="147">
        <f ca="1"/>
        <v>1548224.1014585539</v>
      </c>
      <c r="AF312" s="147">
        <f ca="1"/>
        <v>1554534.0431545561</v>
      </c>
      <c r="AG312" s="147">
        <f ca="1"/>
        <v>1557974.232810714</v>
      </c>
      <c r="AH312" s="147">
        <f ca="1"/>
        <v>1558496.0855827013</v>
      </c>
    </row>
    <row r="313" spans="2:34">
      <c r="B313" s="149">
        <v>4</v>
      </c>
      <c r="C313" s="149">
        <v>2</v>
      </c>
      <c r="D313" s="145" t="str">
        <v xml:space="preserve">Automóvel com reboque </v>
      </c>
      <c r="E313" s="147">
        <f ca="1"/>
        <v>0</v>
      </c>
      <c r="F313" s="147">
        <f ca="1"/>
        <v>14493.063795873977</v>
      </c>
      <c r="G313" s="147">
        <f ca="1"/>
        <v>16959.806652814186</v>
      </c>
      <c r="H313" s="147">
        <f ca="1"/>
        <v>14969.158611339421</v>
      </c>
      <c r="I313" s="147">
        <f ca="1"/>
        <v>13097.437580648088</v>
      </c>
      <c r="J313" s="147">
        <f ca="1"/>
        <v>11691.415754769294</v>
      </c>
      <c r="K313" s="147">
        <f ca="1"/>
        <v>10478.002431240928</v>
      </c>
      <c r="L313" s="147">
        <f ca="1"/>
        <v>9137.7777822927092</v>
      </c>
      <c r="M313" s="147">
        <f ca="1"/>
        <v>8030.4946951437769</v>
      </c>
      <c r="N313" s="147">
        <f ca="1"/>
        <v>7572.3151391985839</v>
      </c>
      <c r="O313" s="147">
        <f ca="1"/>
        <v>7450.5235734126254</v>
      </c>
      <c r="P313" s="147">
        <f ca="1"/>
        <v>7704.0126457701645</v>
      </c>
      <c r="Q313" s="147">
        <f ca="1"/>
        <v>7952.6355083373755</v>
      </c>
      <c r="R313" s="147">
        <f ca="1"/>
        <v>8194.8671938356565</v>
      </c>
      <c r="S313" s="147">
        <f ca="1"/>
        <v>8429.1150317510583</v>
      </c>
      <c r="T313" s="147">
        <f ca="1"/>
        <v>12115.379671247036</v>
      </c>
      <c r="U313" s="147">
        <f ca="1"/>
        <v>12415.050585664343</v>
      </c>
      <c r="V313" s="147">
        <f ca="1"/>
        <v>12698.363734985134</v>
      </c>
      <c r="W313" s="147">
        <f ca="1"/>
        <v>12963.834047830527</v>
      </c>
      <c r="X313" s="147">
        <f ca="1"/>
        <v>13210.163740959129</v>
      </c>
      <c r="Y313" s="147">
        <f ca="1"/>
        <v>13435.994866057115</v>
      </c>
      <c r="Z313" s="147">
        <f ca="1"/>
        <v>13640.257101518548</v>
      </c>
      <c r="AA313" s="147">
        <f ca="1"/>
        <v>13822.121122229011</v>
      </c>
      <c r="AB313" s="147">
        <f ca="1"/>
        <v>13980.676570334734</v>
      </c>
      <c r="AC313" s="147">
        <f ca="1"/>
        <v>14115.059057877153</v>
      </c>
      <c r="AD313" s="147">
        <f ca="1"/>
        <v>14224.64208901289</v>
      </c>
      <c r="AE313" s="147">
        <f ca="1"/>
        <v>14308.910364681646</v>
      </c>
      <c r="AF313" s="147">
        <f ca="1"/>
        <v>14367.227755587397</v>
      </c>
      <c r="AG313" s="147">
        <f ca="1"/>
        <v>14399.022484387375</v>
      </c>
      <c r="AH313" s="147">
        <f ca="1"/>
        <v>14403.845522945485</v>
      </c>
    </row>
    <row r="314" spans="2:34">
      <c r="B314" s="149">
        <v>4</v>
      </c>
      <c r="C314" s="149">
        <v>3</v>
      </c>
      <c r="D314" s="145" t="str">
        <v>Veículos Comerciais com 2 Eixos</v>
      </c>
      <c r="E314" s="147">
        <f ca="1"/>
        <v>0</v>
      </c>
      <c r="F314" s="147">
        <f ca="1"/>
        <v>208223.42534936979</v>
      </c>
      <c r="G314" s="147">
        <f ca="1"/>
        <v>231372.23242979808</v>
      </c>
      <c r="H314" s="147">
        <f ca="1"/>
        <v>189381.09859502804</v>
      </c>
      <c r="I314" s="147">
        <f ca="1"/>
        <v>152130.22190305917</v>
      </c>
      <c r="J314" s="147">
        <f ca="1"/>
        <v>127146.93799707794</v>
      </c>
      <c r="K314" s="147">
        <f ca="1"/>
        <v>100914.31663517687</v>
      </c>
      <c r="L314" s="147">
        <f ca="1"/>
        <v>80819.540267783639</v>
      </c>
      <c r="M314" s="147">
        <f ca="1"/>
        <v>74799.361614234833</v>
      </c>
      <c r="N314" s="147">
        <f ca="1"/>
        <v>76054.335136198089</v>
      </c>
      <c r="O314" s="147">
        <f ca="1"/>
        <v>77228.370692109413</v>
      </c>
      <c r="P314" s="147">
        <f ca="1"/>
        <v>78313.258592557089</v>
      </c>
      <c r="Q314" s="147">
        <f ca="1"/>
        <v>79303.786184201221</v>
      </c>
      <c r="R314" s="147">
        <f ca="1"/>
        <v>80195.310749308934</v>
      </c>
      <c r="S314" s="147">
        <f ca="1"/>
        <v>80983.335891310184</v>
      </c>
      <c r="T314" s="147">
        <f ca="1"/>
        <v>114329.56685995415</v>
      </c>
      <c r="U314" s="147">
        <f ca="1"/>
        <v>115130.32915833541</v>
      </c>
      <c r="V314" s="147">
        <f ca="1"/>
        <v>115778.25708508205</v>
      </c>
      <c r="W314" s="147">
        <f ca="1"/>
        <v>116271.99153129625</v>
      </c>
      <c r="X314" s="147">
        <f ca="1"/>
        <v>116611.43692706246</v>
      </c>
      <c r="Y314" s="147">
        <f ca="1"/>
        <v>116795.80168044993</v>
      </c>
      <c r="Z314" s="147">
        <f ca="1"/>
        <v>116825.91112415816</v>
      </c>
      <c r="AA314" s="147">
        <f ca="1"/>
        <v>116703.7494899896</v>
      </c>
      <c r="AB314" s="147">
        <f ca="1"/>
        <v>116430.28563912908</v>
      </c>
      <c r="AC314" s="147">
        <f ca="1"/>
        <v>116006.48737226678</v>
      </c>
      <c r="AD314" s="147">
        <f ca="1"/>
        <v>115434.58216217801</v>
      </c>
      <c r="AE314" s="147">
        <f ca="1"/>
        <v>114717.36993341916</v>
      </c>
      <c r="AF314" s="147">
        <f ca="1"/>
        <v>113856.73091528816</v>
      </c>
      <c r="AG314" s="147">
        <f ca="1"/>
        <v>112854.67559843173</v>
      </c>
      <c r="AH314" s="147">
        <f ca="1"/>
        <v>111713.59054100758</v>
      </c>
    </row>
    <row r="315" spans="2:34">
      <c r="B315" s="149">
        <v>4</v>
      </c>
      <c r="C315" s="149">
        <v>4</v>
      </c>
      <c r="D315" s="145" t="str">
        <v>Veículos Comerciais com 3 Eixos</v>
      </c>
      <c r="E315" s="147">
        <f ca="1"/>
        <v>0</v>
      </c>
      <c r="F315" s="147">
        <f ca="1"/>
        <v>108562.46452813926</v>
      </c>
      <c r="G315" s="147">
        <f ca="1"/>
        <v>120631.67116673489</v>
      </c>
      <c r="H315" s="147">
        <f ca="1"/>
        <v>98738.548576014015</v>
      </c>
      <c r="I315" s="147">
        <f ca="1"/>
        <v>79316.877009865217</v>
      </c>
      <c r="J315" s="147">
        <f ca="1"/>
        <v>66291.220226586636</v>
      </c>
      <c r="K315" s="147">
        <f ca="1"/>
        <v>52614.190270407831</v>
      </c>
      <c r="L315" s="147">
        <f ca="1"/>
        <v>42137.278544814493</v>
      </c>
      <c r="M315" s="147">
        <f ca="1"/>
        <v>38998.508589261415</v>
      </c>
      <c r="N315" s="147">
        <f ca="1"/>
        <v>39652.820265449111</v>
      </c>
      <c r="O315" s="147">
        <f ca="1"/>
        <v>40264.932918862352</v>
      </c>
      <c r="P315" s="147">
        <f ca="1"/>
        <v>40830.566223624992</v>
      </c>
      <c r="Q315" s="147">
        <f ca="1"/>
        <v>41347.002433199305</v>
      </c>
      <c r="R315" s="147">
        <f ca="1"/>
        <v>41811.82095115941</v>
      </c>
      <c r="S315" s="147">
        <f ca="1"/>
        <v>42222.677469258902</v>
      </c>
      <c r="T315" s="147">
        <f ca="1"/>
        <v>59608.564818900028</v>
      </c>
      <c r="U315" s="147">
        <f ca="1"/>
        <v>60026.062170447396</v>
      </c>
      <c r="V315" s="147">
        <f ca="1"/>
        <v>60363.875518999332</v>
      </c>
      <c r="W315" s="147">
        <f ca="1"/>
        <v>60621.29625930998</v>
      </c>
      <c r="X315" s="147">
        <f ca="1"/>
        <v>60798.27456362552</v>
      </c>
      <c r="Y315" s="147">
        <f ca="1"/>
        <v>60894.397715793843</v>
      </c>
      <c r="Z315" s="147">
        <f ca="1"/>
        <v>60910.096023556544</v>
      </c>
      <c r="AA315" s="147">
        <f ca="1"/>
        <v>60846.404015542204</v>
      </c>
      <c r="AB315" s="147">
        <f ca="1"/>
        <v>60703.826831640057</v>
      </c>
      <c r="AC315" s="147">
        <f ca="1"/>
        <v>60482.869058824028</v>
      </c>
      <c r="AD315" s="147">
        <f ca="1"/>
        <v>60184.692045457006</v>
      </c>
      <c r="AE315" s="147">
        <f ca="1"/>
        <v>59810.755601883771</v>
      </c>
      <c r="AF315" s="147">
        <f ca="1"/>
        <v>59362.040032439028</v>
      </c>
      <c r="AG315" s="147">
        <f ca="1"/>
        <v>58839.593556453277</v>
      </c>
      <c r="AH315" s="147">
        <f ca="1"/>
        <v>58244.660465412519</v>
      </c>
    </row>
    <row r="316" spans="2:34">
      <c r="B316" s="149">
        <v>4</v>
      </c>
      <c r="C316" s="149">
        <v>5</v>
      </c>
      <c r="D316" s="145" t="str">
        <v>Veículos Comerciais com 4 Eixos</v>
      </c>
      <c r="E316" s="147">
        <f ca="1"/>
        <v>0</v>
      </c>
      <c r="F316" s="147">
        <f ca="1"/>
        <v>43612.417524961536</v>
      </c>
      <c r="G316" s="147">
        <f ca="1"/>
        <v>48460.937512097946</v>
      </c>
      <c r="H316" s="147">
        <f ca="1"/>
        <v>39665.890278215375</v>
      </c>
      <c r="I316" s="147">
        <f ca="1"/>
        <v>31863.690382909866</v>
      </c>
      <c r="J316" s="147">
        <f ca="1"/>
        <v>26630.939038894947</v>
      </c>
      <c r="K316" s="147">
        <f ca="1"/>
        <v>21136.513838224713</v>
      </c>
      <c r="L316" s="147">
        <f ca="1"/>
        <v>16927.660893196851</v>
      </c>
      <c r="M316" s="147">
        <f ca="1"/>
        <v>15666.733864583715</v>
      </c>
      <c r="N316" s="147">
        <f ca="1"/>
        <v>15929.588195842547</v>
      </c>
      <c r="O316" s="147">
        <f ca="1"/>
        <v>16175.490061915709</v>
      </c>
      <c r="P316" s="147">
        <f ca="1"/>
        <v>16402.71994252456</v>
      </c>
      <c r="Q316" s="147">
        <f ca="1"/>
        <v>16610.186046899202</v>
      </c>
      <c r="R316" s="147">
        <f ca="1"/>
        <v>16796.915957340352</v>
      </c>
      <c r="S316" s="147">
        <f ca="1"/>
        <v>16961.967903131092</v>
      </c>
      <c r="T316" s="147">
        <f ca="1"/>
        <v>23946.339356286157</v>
      </c>
      <c r="U316" s="147">
        <f ca="1"/>
        <v>24114.059100770501</v>
      </c>
      <c r="V316" s="147">
        <f ca="1"/>
        <v>24249.767670639354</v>
      </c>
      <c r="W316" s="147">
        <f ca="1"/>
        <v>24353.180400396446</v>
      </c>
      <c r="X316" s="147">
        <f ca="1"/>
        <v>24424.277272913267</v>
      </c>
      <c r="Y316" s="147">
        <f ca="1"/>
        <v>24462.892489179791</v>
      </c>
      <c r="Z316" s="147">
        <f ca="1"/>
        <v>24469.198915213481</v>
      </c>
      <c r="AA316" s="147">
        <f ca="1"/>
        <v>24443.612148566299</v>
      </c>
      <c r="AB316" s="147">
        <f ca="1"/>
        <v>24386.335117311522</v>
      </c>
      <c r="AC316" s="147">
        <f ca="1"/>
        <v>24297.570527401709</v>
      </c>
      <c r="AD316" s="147">
        <f ca="1"/>
        <v>24177.784923235202</v>
      </c>
      <c r="AE316" s="147">
        <f ca="1"/>
        <v>24027.564749293884</v>
      </c>
      <c r="AF316" s="147">
        <f ca="1"/>
        <v>23847.303819794597</v>
      </c>
      <c r="AG316" s="147">
        <f ca="1"/>
        <v>23637.423232206897</v>
      </c>
      <c r="AH316" s="147">
        <f ca="1"/>
        <v>23398.422851378575</v>
      </c>
    </row>
    <row r="317" spans="2:34">
      <c r="B317" s="149">
        <v>4</v>
      </c>
      <c r="C317" s="149">
        <v>6</v>
      </c>
      <c r="D317" s="145" t="str">
        <v>Veículos Comerciais com 5 Eixos Articulado</v>
      </c>
      <c r="E317" s="147">
        <f ca="1"/>
        <v>0</v>
      </c>
      <c r="F317" s="147">
        <f ca="1"/>
        <v>6204.2490621762608</v>
      </c>
      <c r="G317" s="147">
        <f ca="1"/>
        <v>6978.8225491581961</v>
      </c>
      <c r="H317" s="147">
        <f ca="1"/>
        <v>5784.8921304686091</v>
      </c>
      <c r="I317" s="147">
        <f ca="1"/>
        <v>4707.8474778072405</v>
      </c>
      <c r="J317" s="147">
        <f ca="1"/>
        <v>3987.225998597034</v>
      </c>
      <c r="K317" s="147">
        <f ca="1"/>
        <v>3207.0951824313238</v>
      </c>
      <c r="L317" s="147">
        <f ca="1"/>
        <v>2602.8838571455235</v>
      </c>
      <c r="M317" s="147">
        <f ca="1"/>
        <v>2440.9670657491079</v>
      </c>
      <c r="N317" s="147">
        <f ca="1"/>
        <v>2514.3669873988824</v>
      </c>
      <c r="O317" s="147">
        <f ca="1"/>
        <v>2585.883333383656</v>
      </c>
      <c r="P317" s="147">
        <f ca="1"/>
        <v>2654.9585511712648</v>
      </c>
      <c r="Q317" s="147">
        <f ca="1"/>
        <v>2721.1640751979608</v>
      </c>
      <c r="R317" s="147">
        <f ca="1"/>
        <v>2784.0876998811377</v>
      </c>
      <c r="S317" s="147">
        <f ca="1"/>
        <v>2843.3120501044482</v>
      </c>
      <c r="T317" s="147">
        <f ca="1"/>
        <v>4057.8265231856267</v>
      </c>
      <c r="U317" s="147">
        <f ca="1"/>
        <v>4128.9262012298523</v>
      </c>
      <c r="V317" s="147">
        <f ca="1"/>
        <v>4193.6388996856813</v>
      </c>
      <c r="W317" s="147">
        <f ca="1"/>
        <v>4251.6476231284596</v>
      </c>
      <c r="X317" s="147">
        <f ca="1"/>
        <v>4302.703197403157</v>
      </c>
      <c r="Y317" s="147">
        <f ca="1"/>
        <v>4346.5380585797948</v>
      </c>
      <c r="Z317" s="147">
        <f ca="1"/>
        <v>4382.9775933972451</v>
      </c>
      <c r="AA317" s="147">
        <f ca="1"/>
        <v>4411.9216325438792</v>
      </c>
      <c r="AB317" s="147">
        <f ca="1"/>
        <v>4433.2399333664644</v>
      </c>
      <c r="AC317" s="147">
        <f ca="1"/>
        <v>4446.8163621030981</v>
      </c>
      <c r="AD317" s="147">
        <f ca="1"/>
        <v>4452.6098445544503</v>
      </c>
      <c r="AE317" s="147">
        <f ca="1"/>
        <v>4450.6169163853265</v>
      </c>
      <c r="AF317" s="147">
        <f ca="1"/>
        <v>4440.798368819349</v>
      </c>
      <c r="AG317" s="147">
        <f ca="1"/>
        <v>4423.134382164907</v>
      </c>
      <c r="AH317" s="147">
        <f ca="1"/>
        <v>4397.6396740244627</v>
      </c>
    </row>
    <row r="318" spans="2:34">
      <c r="B318" s="149">
        <v>4</v>
      </c>
      <c r="C318" s="149">
        <v>7</v>
      </c>
      <c r="D318" s="145" t="str">
        <v>Veículos Comerciais com 6 Eixos Articulado</v>
      </c>
      <c r="E318" s="147">
        <f ca="1"/>
        <v>0</v>
      </c>
      <c r="F318" s="147">
        <f ca="1"/>
        <v>55093.731672125185</v>
      </c>
      <c r="G318" s="147">
        <f ca="1"/>
        <v>61971.944236524774</v>
      </c>
      <c r="H318" s="147">
        <f ca="1"/>
        <v>51369.842118561246</v>
      </c>
      <c r="I318" s="147">
        <f ca="1"/>
        <v>41805.685602928294</v>
      </c>
      <c r="J318" s="147">
        <f ca="1"/>
        <v>35406.566867541667</v>
      </c>
      <c r="K318" s="147">
        <f ca="1"/>
        <v>28479.005219990158</v>
      </c>
      <c r="L318" s="147">
        <f ca="1"/>
        <v>23113.608651452247</v>
      </c>
      <c r="M318" s="147">
        <f ca="1"/>
        <v>21675.787543852082</v>
      </c>
      <c r="N318" s="147">
        <f ca="1"/>
        <v>22327.578848102075</v>
      </c>
      <c r="O318" s="147">
        <f ca="1"/>
        <v>22962.64400044686</v>
      </c>
      <c r="P318" s="147">
        <f ca="1"/>
        <v>23576.031934400828</v>
      </c>
      <c r="Q318" s="147">
        <f ca="1"/>
        <v>24163.936987757897</v>
      </c>
      <c r="R318" s="147">
        <f ca="1"/>
        <v>24722.698774944503</v>
      </c>
      <c r="S318" s="147">
        <f ca="1"/>
        <v>25248.611004927505</v>
      </c>
      <c r="T318" s="147">
        <f ca="1"/>
        <v>36033.499525888365</v>
      </c>
      <c r="U318" s="147">
        <f ca="1"/>
        <v>36664.864666921087</v>
      </c>
      <c r="V318" s="147">
        <f ca="1"/>
        <v>37239.513429208855</v>
      </c>
      <c r="W318" s="147">
        <f ca="1"/>
        <v>37754.63089338073</v>
      </c>
      <c r="X318" s="147">
        <f ca="1"/>
        <v>38208.004392940042</v>
      </c>
      <c r="Y318" s="147">
        <f ca="1"/>
        <v>38597.257960188588</v>
      </c>
      <c r="Z318" s="147">
        <f ca="1"/>
        <v>38920.841029367555</v>
      </c>
      <c r="AA318" s="147">
        <f ca="1"/>
        <v>39177.864096989651</v>
      </c>
      <c r="AB318" s="147">
        <f ca="1"/>
        <v>39367.170608294211</v>
      </c>
      <c r="AC318" s="147">
        <f ca="1"/>
        <v>39487.729295475525</v>
      </c>
      <c r="AD318" s="147">
        <f ca="1"/>
        <v>39539.175419643529</v>
      </c>
      <c r="AE318" s="147">
        <f ca="1"/>
        <v>39521.478217501717</v>
      </c>
      <c r="AF318" s="147">
        <f ca="1"/>
        <v>39434.28951511583</v>
      </c>
      <c r="AG318" s="147">
        <f ca="1"/>
        <v>39277.43331362438</v>
      </c>
      <c r="AH318" s="147">
        <f ca="1"/>
        <v>39051.04030533725</v>
      </c>
    </row>
    <row r="319" spans="2:34">
      <c r="B319" s="149">
        <v>4</v>
      </c>
      <c r="C319" s="149">
        <v>8</v>
      </c>
      <c r="D319" s="145" t="str">
        <v>Veículos Comerciais com 7 Eixos Articulado</v>
      </c>
      <c r="E319" s="147">
        <f ca="1"/>
        <v>0</v>
      </c>
      <c r="F319" s="147">
        <f ca="1"/>
        <v>33875.199879482388</v>
      </c>
      <c r="G319" s="147">
        <f ca="1"/>
        <v>38104.371118403753</v>
      </c>
      <c r="H319" s="147">
        <f ca="1"/>
        <v>31585.511032358605</v>
      </c>
      <c r="I319" s="147">
        <f ca="1"/>
        <v>25704.847228827541</v>
      </c>
      <c r="J319" s="147">
        <f ca="1"/>
        <v>21770.253952339808</v>
      </c>
      <c r="K319" s="147">
        <f ca="1"/>
        <v>17510.73969607503</v>
      </c>
      <c r="L319" s="147">
        <f ca="1"/>
        <v>14211.745860014562</v>
      </c>
      <c r="M319" s="147">
        <f ca="1"/>
        <v>13327.680178990131</v>
      </c>
      <c r="N319" s="147">
        <f ca="1"/>
        <v>13728.443751197899</v>
      </c>
      <c r="O319" s="147">
        <f ca="1"/>
        <v>14118.923000274761</v>
      </c>
      <c r="P319" s="147">
        <f ca="1"/>
        <v>14496.073689395105</v>
      </c>
      <c r="Q319" s="147">
        <f ca="1"/>
        <v>14857.555850580868</v>
      </c>
      <c r="R319" s="147">
        <f ca="1"/>
        <v>15201.11884135101</v>
      </c>
      <c r="S319" s="147">
        <f ca="1"/>
        <v>15524.483793570291</v>
      </c>
      <c r="T319" s="147">
        <f ca="1"/>
        <v>22155.732816593529</v>
      </c>
      <c r="U319" s="147">
        <f ca="1"/>
        <v>22543.937058715001</v>
      </c>
      <c r="V319" s="147">
        <f ca="1"/>
        <v>22897.26839228383</v>
      </c>
      <c r="W319" s="147">
        <f ca="1"/>
        <v>23213.996022281401</v>
      </c>
      <c r="X319" s="147">
        <f ca="1"/>
        <v>23492.759457821252</v>
      </c>
      <c r="Y319" s="147">
        <f ca="1"/>
        <v>23732.097799845691</v>
      </c>
      <c r="Z319" s="147">
        <f ca="1"/>
        <v>23931.057659948972</v>
      </c>
      <c r="AA319" s="147">
        <f ca="1"/>
        <v>24089.092113689589</v>
      </c>
      <c r="AB319" s="147">
        <f ca="1"/>
        <v>24205.490036180909</v>
      </c>
      <c r="AC319" s="147">
        <f ca="1"/>
        <v>24279.617337082931</v>
      </c>
      <c r="AD319" s="147">
        <f ca="1"/>
        <v>24311.249751267311</v>
      </c>
      <c r="AE319" s="147">
        <f ca="1"/>
        <v>24300.368363463895</v>
      </c>
      <c r="AF319" s="147">
        <f ca="1"/>
        <v>24246.759093753655</v>
      </c>
      <c r="AG319" s="147">
        <f ca="1"/>
        <v>24150.313726620407</v>
      </c>
      <c r="AH319" s="147">
        <f ca="1"/>
        <v>24011.112620173586</v>
      </c>
    </row>
    <row r="320" spans="2:34">
      <c r="B320" s="149">
        <v>4</v>
      </c>
      <c r="C320" s="149">
        <v>9</v>
      </c>
      <c r="D320" s="145" t="str">
        <v>Veículos Comerciais com 8 Eixos Articulado</v>
      </c>
      <c r="E320" s="147">
        <f ca="1"/>
        <v>0</v>
      </c>
      <c r="F320" s="147">
        <f ca="1"/>
        <v>0</v>
      </c>
      <c r="G320" s="147">
        <f ca="1"/>
        <v>0</v>
      </c>
      <c r="H320" s="147">
        <f ca="1"/>
        <v>0</v>
      </c>
      <c r="I320" s="147">
        <f ca="1"/>
        <v>0</v>
      </c>
      <c r="J320" s="147">
        <f ca="1"/>
        <v>0</v>
      </c>
      <c r="K320" s="147">
        <f ca="1"/>
        <v>0</v>
      </c>
      <c r="L320" s="147">
        <f ca="1"/>
        <v>0</v>
      </c>
      <c r="M320" s="147">
        <f ca="1"/>
        <v>0</v>
      </c>
      <c r="N320" s="147">
        <f ca="1"/>
        <v>0</v>
      </c>
      <c r="O320" s="147">
        <f ca="1"/>
        <v>0</v>
      </c>
      <c r="P320" s="147">
        <f ca="1"/>
        <v>0</v>
      </c>
      <c r="Q320" s="147">
        <f ca="1"/>
        <v>0</v>
      </c>
      <c r="R320" s="147">
        <f ca="1"/>
        <v>0</v>
      </c>
      <c r="S320" s="147">
        <f ca="1"/>
        <v>0</v>
      </c>
      <c r="T320" s="147">
        <f ca="1"/>
        <v>0</v>
      </c>
      <c r="U320" s="147">
        <f ca="1"/>
        <v>0</v>
      </c>
      <c r="V320" s="147">
        <f ca="1"/>
        <v>0</v>
      </c>
      <c r="W320" s="147">
        <f ca="1"/>
        <v>0</v>
      </c>
      <c r="X320" s="147">
        <f ca="1"/>
        <v>0</v>
      </c>
      <c r="Y320" s="147">
        <f ca="1"/>
        <v>0</v>
      </c>
      <c r="Z320" s="147">
        <f ca="1"/>
        <v>0</v>
      </c>
      <c r="AA320" s="147">
        <f ca="1"/>
        <v>0</v>
      </c>
      <c r="AB320" s="147">
        <f ca="1"/>
        <v>0</v>
      </c>
      <c r="AC320" s="147">
        <f ca="1"/>
        <v>0</v>
      </c>
      <c r="AD320" s="147">
        <f ca="1"/>
        <v>0</v>
      </c>
      <c r="AE320" s="147">
        <f ca="1"/>
        <v>0</v>
      </c>
      <c r="AF320" s="147">
        <f ca="1"/>
        <v>0</v>
      </c>
      <c r="AG320" s="147">
        <f ca="1"/>
        <v>0</v>
      </c>
      <c r="AH320" s="147">
        <f ca="1"/>
        <v>0</v>
      </c>
    </row>
    <row r="321" spans="2:34">
      <c r="B321" s="149">
        <v>4</v>
      </c>
      <c r="C321" s="149">
        <v>10</v>
      </c>
      <c r="D321" s="145" t="str">
        <v>Veículos Comerciais com 9 Eixos Articulado</v>
      </c>
      <c r="E321" s="147">
        <f ca="1"/>
        <v>0</v>
      </c>
      <c r="F321" s="147">
        <f ca="1"/>
        <v>20101.766961451085</v>
      </c>
      <c r="G321" s="147">
        <f ca="1"/>
        <v>22611.385059272554</v>
      </c>
      <c r="H321" s="147">
        <f ca="1"/>
        <v>18743.050502718295</v>
      </c>
      <c r="I321" s="147">
        <f ca="1"/>
        <v>15253.425828095464</v>
      </c>
      <c r="J321" s="147">
        <f ca="1"/>
        <v>12918.612235454393</v>
      </c>
      <c r="K321" s="147">
        <f ca="1"/>
        <v>10390.988391077492</v>
      </c>
      <c r="L321" s="147">
        <f ca="1"/>
        <v>8433.3436971514966</v>
      </c>
      <c r="M321" s="147">
        <f ca="1"/>
        <v>7908.7332930271114</v>
      </c>
      <c r="N321" s="147">
        <f ca="1"/>
        <v>8146.5490391723779</v>
      </c>
      <c r="O321" s="147">
        <f ca="1"/>
        <v>8378.2620001630439</v>
      </c>
      <c r="P321" s="147">
        <f ca="1"/>
        <v>8602.0657057948974</v>
      </c>
      <c r="Q321" s="147">
        <f ca="1"/>
        <v>8816.571603641396</v>
      </c>
      <c r="R321" s="147">
        <f ca="1"/>
        <v>9020.4441476148877</v>
      </c>
      <c r="S321" s="147">
        <f ca="1"/>
        <v>9212.3310423384137</v>
      </c>
      <c r="T321" s="147">
        <f ca="1"/>
        <v>13147.357935121434</v>
      </c>
      <c r="U321" s="147">
        <f ca="1"/>
        <v>13377.720891984727</v>
      </c>
      <c r="V321" s="147">
        <f ca="1"/>
        <v>13587.39003498161</v>
      </c>
      <c r="W321" s="147">
        <f ca="1"/>
        <v>13775.338298936214</v>
      </c>
      <c r="X321" s="147">
        <f ca="1"/>
        <v>13940.758359586232</v>
      </c>
      <c r="Y321" s="147">
        <f ca="1"/>
        <v>14082.783309798539</v>
      </c>
      <c r="Z321" s="147">
        <f ca="1"/>
        <v>14200.847402607082</v>
      </c>
      <c r="AA321" s="147">
        <f ca="1"/>
        <v>14294.626089442174</v>
      </c>
      <c r="AB321" s="147">
        <f ca="1"/>
        <v>14363.69738410735</v>
      </c>
      <c r="AC321" s="147">
        <f ca="1"/>
        <v>14407.685013214044</v>
      </c>
      <c r="AD321" s="147">
        <f ca="1"/>
        <v>14426.455896356425</v>
      </c>
      <c r="AE321" s="147">
        <f ca="1"/>
        <v>14419.99880908846</v>
      </c>
      <c r="AF321" s="147">
        <f ca="1"/>
        <v>14388.186714974698</v>
      </c>
      <c r="AG321" s="147">
        <f ca="1"/>
        <v>14330.955398214306</v>
      </c>
      <c r="AH321" s="147">
        <f ca="1"/>
        <v>14248.352543839268</v>
      </c>
    </row>
    <row r="322" spans="2:34">
      <c r="B322" s="149">
        <v>4</v>
      </c>
      <c r="C322" s="149">
        <v>11</v>
      </c>
      <c r="D322" s="145" t="str">
        <v>Motocicleta</v>
      </c>
      <c r="E322" s="147">
        <f ca="1"/>
        <v>0</v>
      </c>
      <c r="F322" s="147">
        <f ca="1"/>
        <v>121097.59971663593</v>
      </c>
      <c r="G322" s="147">
        <f ca="1"/>
        <v>141708.6066990697</v>
      </c>
      <c r="H322" s="147">
        <f ca="1"/>
        <v>125075.63639696941</v>
      </c>
      <c r="I322" s="147">
        <f ca="1"/>
        <v>109436.3673405263</v>
      </c>
      <c r="J322" s="147">
        <f ca="1"/>
        <v>97688.273862072354</v>
      </c>
      <c r="K322" s="147">
        <f ca="1"/>
        <v>87549.531425479814</v>
      </c>
      <c r="L322" s="147">
        <f ca="1"/>
        <v>76351.209914267994</v>
      </c>
      <c r="M322" s="147">
        <f ca="1"/>
        <v>67099.244563868036</v>
      </c>
      <c r="N322" s="147">
        <f ca="1"/>
        <v>63270.899829748203</v>
      </c>
      <c r="O322" s="147">
        <f ca="1"/>
        <v>62253.263635625539</v>
      </c>
      <c r="P322" s="147">
        <f ca="1"/>
        <v>64371.305662435188</v>
      </c>
      <c r="Q322" s="147">
        <f ca="1"/>
        <v>66448.687802996777</v>
      </c>
      <c r="R322" s="147">
        <f ca="1"/>
        <v>68472.668108493541</v>
      </c>
      <c r="S322" s="147">
        <f ca="1"/>
        <v>70429.938931964425</v>
      </c>
      <c r="T322" s="147">
        <f ca="1"/>
        <v>101230.72791975303</v>
      </c>
      <c r="U322" s="147">
        <f ca="1"/>
        <v>103734.64489355098</v>
      </c>
      <c r="V322" s="147">
        <f ca="1"/>
        <v>106101.88365232025</v>
      </c>
      <c r="W322" s="147">
        <f ca="1"/>
        <v>108320.03559965067</v>
      </c>
      <c r="X322" s="147">
        <f ca="1"/>
        <v>110378.25703556965</v>
      </c>
      <c r="Y322" s="147">
        <f ca="1"/>
        <v>112265.2015474995</v>
      </c>
      <c r="Z322" s="147">
        <f ca="1"/>
        <v>113971.9260037995</v>
      </c>
      <c r="AA322" s="147">
        <f ca="1"/>
        <v>115491.50093240247</v>
      </c>
      <c r="AB322" s="147">
        <f ca="1"/>
        <v>116816.3197876858</v>
      </c>
      <c r="AC322" s="147">
        <f ca="1"/>
        <v>117939.16012804024</v>
      </c>
      <c r="AD322" s="147">
        <f ca="1"/>
        <v>118854.7872326411</v>
      </c>
      <c r="AE322" s="147">
        <f ca="1"/>
        <v>119558.89549156225</v>
      </c>
      <c r="AF322" s="147">
        <f ca="1"/>
        <v>120046.16969113027</v>
      </c>
      <c r="AG322" s="147">
        <f ca="1"/>
        <v>120311.83231399233</v>
      </c>
      <c r="AH322" s="147">
        <f ca="1"/>
        <v>120352.13148061115</v>
      </c>
    </row>
    <row r="323" spans="2:34">
      <c r="B323" s="149">
        <v>4</v>
      </c>
      <c r="C323" s="149">
        <v>12</v>
      </c>
      <c r="D323" s="145" t="str">
        <v xml:space="preserve">Veículos do transporte público coletivo intermunicipal e metropolitano </v>
      </c>
      <c r="E323" s="147">
        <f ca="1"/>
        <v>0</v>
      </c>
      <c r="F323" s="147">
        <f ca="1"/>
        <v>0</v>
      </c>
      <c r="G323" s="147">
        <f ca="1"/>
        <v>0</v>
      </c>
      <c r="H323" s="147">
        <f ca="1"/>
        <v>0</v>
      </c>
      <c r="I323" s="147">
        <f ca="1"/>
        <v>0</v>
      </c>
      <c r="J323" s="147">
        <f ca="1"/>
        <v>0</v>
      </c>
      <c r="K323" s="147">
        <f ca="1"/>
        <v>0</v>
      </c>
      <c r="L323" s="147">
        <f ca="1"/>
        <v>0</v>
      </c>
      <c r="M323" s="147">
        <f ca="1"/>
        <v>0</v>
      </c>
      <c r="N323" s="147">
        <f ca="1"/>
        <v>0</v>
      </c>
      <c r="O323" s="147">
        <f ca="1"/>
        <v>0</v>
      </c>
      <c r="P323" s="147">
        <f ca="1"/>
        <v>0</v>
      </c>
      <c r="Q323" s="147">
        <f ca="1"/>
        <v>0</v>
      </c>
      <c r="R323" s="147">
        <f ca="1"/>
        <v>0</v>
      </c>
      <c r="S323" s="147">
        <f ca="1"/>
        <v>0</v>
      </c>
      <c r="T323" s="147">
        <f ca="1"/>
        <v>0</v>
      </c>
      <c r="U323" s="147">
        <f ca="1"/>
        <v>0</v>
      </c>
      <c r="V323" s="147">
        <f ca="1"/>
        <v>0</v>
      </c>
      <c r="W323" s="147">
        <f ca="1"/>
        <v>0</v>
      </c>
      <c r="X323" s="147">
        <f ca="1"/>
        <v>0</v>
      </c>
      <c r="Y323" s="147">
        <f ca="1"/>
        <v>0</v>
      </c>
      <c r="Z323" s="147">
        <f ca="1"/>
        <v>0</v>
      </c>
      <c r="AA323" s="147">
        <f ca="1"/>
        <v>0</v>
      </c>
      <c r="AB323" s="147">
        <f ca="1"/>
        <v>0</v>
      </c>
      <c r="AC323" s="147">
        <f ca="1"/>
        <v>0</v>
      </c>
      <c r="AD323" s="147">
        <f ca="1"/>
        <v>0</v>
      </c>
      <c r="AE323" s="147">
        <f ca="1"/>
        <v>0</v>
      </c>
      <c r="AF323" s="147">
        <f ca="1"/>
        <v>0</v>
      </c>
      <c r="AG323" s="147">
        <f ca="1"/>
        <v>0</v>
      </c>
      <c r="AH323" s="147">
        <f ca="1"/>
        <v>0</v>
      </c>
    </row>
    <row r="324" spans="2:34">
      <c r="G324" s="155"/>
    </row>
    <row r="325" spans="2:34">
      <c r="B325" s="2" t="s">
        <v>626</v>
      </c>
    </row>
    <row r="326" spans="2:34">
      <c r="B326" s="46" t="str" cm="1">
        <f t="array" ref="B326:D374">_xlfn.ANCHORARRAY(B275)</f>
        <v>Pórtico</v>
      </c>
      <c r="C326" s="46" t="str">
        <v>Categoria</v>
      </c>
      <c r="D326" s="46" t="str">
        <v>Categoria de Veículo</v>
      </c>
      <c r="E326" s="46" t="str" cm="1">
        <f t="array" ref="E326:AH326">_xlfn.ANCHORARRAY(E275)</f>
        <v>Ano 1</v>
      </c>
      <c r="F326" s="46" t="str">
        <v>Ano 2</v>
      </c>
      <c r="G326" s="46" t="str">
        <v>Ano 3</v>
      </c>
      <c r="H326" s="46" t="str">
        <v>Ano 4</v>
      </c>
      <c r="I326" s="46" t="str">
        <v>Ano 5</v>
      </c>
      <c r="J326" s="46" t="str">
        <v>Ano 6</v>
      </c>
      <c r="K326" s="46" t="str">
        <v>Ano 7</v>
      </c>
      <c r="L326" s="46" t="str">
        <v>Ano 8</v>
      </c>
      <c r="M326" s="46" t="str">
        <v>Ano 9</v>
      </c>
      <c r="N326" s="46" t="str">
        <v>Ano 10</v>
      </c>
      <c r="O326" s="46" t="str">
        <v>Ano 11</v>
      </c>
      <c r="P326" s="46" t="str">
        <v>Ano 12</v>
      </c>
      <c r="Q326" s="46" t="str">
        <v>Ano 13</v>
      </c>
      <c r="R326" s="46" t="str">
        <v>Ano 14</v>
      </c>
      <c r="S326" s="46" t="str">
        <v>Ano 15</v>
      </c>
      <c r="T326" s="46" t="str">
        <v>Ano 16</v>
      </c>
      <c r="U326" s="46" t="str">
        <v>Ano 17</v>
      </c>
      <c r="V326" s="46" t="str">
        <v>Ano 18</v>
      </c>
      <c r="W326" s="46" t="str">
        <v>Ano 19</v>
      </c>
      <c r="X326" s="46" t="str">
        <v>Ano 20</v>
      </c>
      <c r="Y326" s="46" t="str">
        <v>Ano 21</v>
      </c>
      <c r="Z326" s="46" t="str">
        <v>Ano 22</v>
      </c>
      <c r="AA326" s="46" t="str">
        <v>Ano 23</v>
      </c>
      <c r="AB326" s="46" t="str">
        <v>Ano 24</v>
      </c>
      <c r="AC326" s="46" t="str">
        <v>Ano 25</v>
      </c>
      <c r="AD326" s="46" t="str">
        <v>Ano 26</v>
      </c>
      <c r="AE326" s="46" t="str">
        <v>Ano 27</v>
      </c>
      <c r="AF326" s="46" t="str">
        <v>Ano 28</v>
      </c>
      <c r="AG326" s="179" t="str">
        <v>Ano 29</v>
      </c>
      <c r="AH326" s="46" t="str">
        <v>Ano 30</v>
      </c>
    </row>
    <row r="327" spans="2:34">
      <c r="B327" s="149">
        <v>1</v>
      </c>
      <c r="C327" s="149">
        <v>1</v>
      </c>
      <c r="D327" s="145" t="str">
        <v>Automóvel</v>
      </c>
      <c r="E327" s="147" cm="1">
        <f t="array" aca="1" ref="E327:AH374" ca="1">D67:AG114 - E171:AH218 + E276:AH323</f>
        <v>0</v>
      </c>
      <c r="F327" s="147">
        <f ca="1"/>
        <v>19389302.566723987</v>
      </c>
      <c r="G327" s="147">
        <f ca="1"/>
        <v>26140403.574113745</v>
      </c>
      <c r="H327" s="147">
        <f ca="1"/>
        <v>26561185.19411758</v>
      </c>
      <c r="I327" s="147">
        <f ca="1"/>
        <v>37872659.216086388</v>
      </c>
      <c r="J327" s="147">
        <f ca="1"/>
        <v>38769229.954055801</v>
      </c>
      <c r="K327" s="147">
        <f ca="1"/>
        <v>39766556.125752576</v>
      </c>
      <c r="L327" s="147">
        <f ca="1"/>
        <v>40743061.794839188</v>
      </c>
      <c r="M327" s="147">
        <f ca="1"/>
        <v>41812402.445634201</v>
      </c>
      <c r="N327" s="147">
        <f ca="1"/>
        <v>43108229.401869103</v>
      </c>
      <c r="O327" s="147">
        <f ca="1"/>
        <v>44511960.507487856</v>
      </c>
      <c r="P327" s="147">
        <f ca="1"/>
        <v>46026390.395089731</v>
      </c>
      <c r="Q327" s="147">
        <f ca="1"/>
        <v>47511747.891218208</v>
      </c>
      <c r="R327" s="147">
        <f ca="1"/>
        <v>48958922.322963953</v>
      </c>
      <c r="S327" s="147">
        <f ca="1"/>
        <v>50358398.535275146</v>
      </c>
      <c r="T327" s="147">
        <f ca="1"/>
        <v>51700997.553686835</v>
      </c>
      <c r="U327" s="147">
        <f ca="1"/>
        <v>52979808.918548144</v>
      </c>
      <c r="V327" s="147">
        <f ca="1"/>
        <v>54188815.391100049</v>
      </c>
      <c r="W327" s="147">
        <f ca="1"/>
        <v>55321679.599026561</v>
      </c>
      <c r="X327" s="147">
        <f ca="1"/>
        <v>56372863.400725067</v>
      </c>
      <c r="Y327" s="147">
        <f ca="1"/>
        <v>57336571.907025263</v>
      </c>
      <c r="Z327" s="147">
        <f ca="1"/>
        <v>58208237.642847411</v>
      </c>
      <c r="AA327" s="147">
        <f ca="1"/>
        <v>58984321.558085322</v>
      </c>
      <c r="AB327" s="147">
        <f ca="1"/>
        <v>59660938.804682404</v>
      </c>
      <c r="AC327" s="147">
        <f ca="1"/>
        <v>60234400.705853999</v>
      </c>
      <c r="AD327" s="147">
        <f ca="1"/>
        <v>60702033.762217909</v>
      </c>
      <c r="AE327" s="147">
        <f ca="1"/>
        <v>61061638.993950218</v>
      </c>
      <c r="AF327" s="147">
        <f ca="1"/>
        <v>61310501.792011037</v>
      </c>
      <c r="AG327" s="147">
        <f ca="1"/>
        <v>61446182.161963373</v>
      </c>
      <c r="AH327" s="147">
        <f ca="1"/>
        <v>61466763.927575357</v>
      </c>
    </row>
    <row r="328" spans="2:34">
      <c r="B328" s="149">
        <v>1</v>
      </c>
      <c r="C328" s="149">
        <v>2</v>
      </c>
      <c r="D328" s="145" t="str">
        <v xml:space="preserve">Automóvel com reboque </v>
      </c>
      <c r="E328" s="147">
        <f ca="1"/>
        <v>0</v>
      </c>
      <c r="F328" s="147">
        <f ca="1"/>
        <v>77507.527631928227</v>
      </c>
      <c r="G328" s="147">
        <f ca="1"/>
        <v>105090.97776604042</v>
      </c>
      <c r="H328" s="147">
        <f ca="1"/>
        <v>107305.93956438315</v>
      </c>
      <c r="I328" s="147">
        <f ca="1"/>
        <v>153699.06090592436</v>
      </c>
      <c r="J328" s="147">
        <f ca="1"/>
        <v>157893.04153932969</v>
      </c>
      <c r="K328" s="147">
        <f ca="1"/>
        <v>162444.85801817806</v>
      </c>
      <c r="L328" s="147">
        <f ca="1"/>
        <v>166950.89101373189</v>
      </c>
      <c r="M328" s="147">
        <f ca="1"/>
        <v>171768.67569844512</v>
      </c>
      <c r="N328" s="147">
        <f ca="1"/>
        <v>177320.87766828039</v>
      </c>
      <c r="O328" s="147">
        <f ca="1"/>
        <v>183214.19250786109</v>
      </c>
      <c r="P328" s="147">
        <f ca="1"/>
        <v>189447.68673735196</v>
      </c>
      <c r="Q328" s="147">
        <f ca="1"/>
        <v>195561.51706825587</v>
      </c>
      <c r="R328" s="147">
        <f ca="1"/>
        <v>201518.18336440154</v>
      </c>
      <c r="S328" s="147">
        <f ca="1"/>
        <v>207278.52061419355</v>
      </c>
      <c r="T328" s="147">
        <f ca="1"/>
        <v>212804.74754771104</v>
      </c>
      <c r="U328" s="147">
        <f ca="1"/>
        <v>218068.42025301739</v>
      </c>
      <c r="V328" s="147">
        <f ca="1"/>
        <v>223044.77137482684</v>
      </c>
      <c r="W328" s="147">
        <f ca="1"/>
        <v>227707.7158668224</v>
      </c>
      <c r="X328" s="147">
        <f ca="1"/>
        <v>232034.45836950629</v>
      </c>
      <c r="Y328" s="147">
        <f ca="1"/>
        <v>236001.14673330117</v>
      </c>
      <c r="Z328" s="147">
        <f ca="1"/>
        <v>239588.9809267323</v>
      </c>
      <c r="AA328" s="147">
        <f ca="1"/>
        <v>242783.39398397651</v>
      </c>
      <c r="AB328" s="147">
        <f ca="1"/>
        <v>245568.39561182717</v>
      </c>
      <c r="AC328" s="147">
        <f ca="1"/>
        <v>247928.80297109191</v>
      </c>
      <c r="AD328" s="147">
        <f ca="1"/>
        <v>249853.61176034497</v>
      </c>
      <c r="AE328" s="147">
        <f ca="1"/>
        <v>251333.77083224995</v>
      </c>
      <c r="AF328" s="147">
        <f ca="1"/>
        <v>252358.1066752935</v>
      </c>
      <c r="AG328" s="147">
        <f ca="1"/>
        <v>252916.57610994816</v>
      </c>
      <c r="AH328" s="147">
        <f ca="1"/>
        <v>253001.292027288</v>
      </c>
    </row>
    <row r="329" spans="2:34">
      <c r="B329" s="149">
        <v>1</v>
      </c>
      <c r="C329" s="149">
        <v>3</v>
      </c>
      <c r="D329" s="145" t="str">
        <v>Veículos Comerciais com 2 Eixos</v>
      </c>
      <c r="E329" s="147">
        <f ca="1"/>
        <v>0</v>
      </c>
      <c r="F329" s="147">
        <f ca="1"/>
        <v>4733935.7862270698</v>
      </c>
      <c r="G329" s="147">
        <f ca="1"/>
        <v>6345852.2324838173</v>
      </c>
      <c r="H329" s="147">
        <f ca="1"/>
        <v>6388220.1555602755</v>
      </c>
      <c r="I329" s="147">
        <f ca="1"/>
        <v>9015520.5996373165</v>
      </c>
      <c r="J329" s="147">
        <f ca="1"/>
        <v>9122108.2920420151</v>
      </c>
      <c r="K329" s="147">
        <f ca="1"/>
        <v>9219569.2390855551</v>
      </c>
      <c r="L329" s="147">
        <f ca="1"/>
        <v>9329342.850394208</v>
      </c>
      <c r="M329" s="147">
        <f ca="1"/>
        <v>9474739.7391885128</v>
      </c>
      <c r="N329" s="147">
        <f ca="1"/>
        <v>9633705.6346663143</v>
      </c>
      <c r="O329" s="147">
        <f ca="1"/>
        <v>9782419.2212097626</v>
      </c>
      <c r="P329" s="147">
        <f ca="1"/>
        <v>9919840.58793143</v>
      </c>
      <c r="Q329" s="147">
        <f ca="1"/>
        <v>10045309.454680784</v>
      </c>
      <c r="R329" s="147">
        <f ca="1"/>
        <v>10158237.734323766</v>
      </c>
      <c r="S329" s="147">
        <f ca="1"/>
        <v>10258055.874041393</v>
      </c>
      <c r="T329" s="147">
        <f ca="1"/>
        <v>10344271.730160149</v>
      </c>
      <c r="U329" s="147">
        <f ca="1"/>
        <v>10416722.829497116</v>
      </c>
      <c r="V329" s="147">
        <f ca="1"/>
        <v>10475345.832451694</v>
      </c>
      <c r="W329" s="147">
        <f ca="1"/>
        <v>10520017.770030502</v>
      </c>
      <c r="X329" s="147">
        <f ca="1"/>
        <v>10550729.995291166</v>
      </c>
      <c r="Y329" s="147">
        <f ca="1"/>
        <v>10567410.886847768</v>
      </c>
      <c r="Z329" s="147">
        <f ca="1"/>
        <v>10570135.118872048</v>
      </c>
      <c r="AA329" s="147">
        <f ca="1"/>
        <v>10559082.220015287</v>
      </c>
      <c r="AB329" s="147">
        <f ca="1"/>
        <v>10534339.850570804</v>
      </c>
      <c r="AC329" s="147">
        <f ca="1"/>
        <v>10495995.57488082</v>
      </c>
      <c r="AD329" s="147">
        <f ca="1"/>
        <v>10444250.929470772</v>
      </c>
      <c r="AE329" s="147">
        <f ca="1"/>
        <v>10379359.244963968</v>
      </c>
      <c r="AF329" s="147">
        <f ca="1"/>
        <v>10301490.640108408</v>
      </c>
      <c r="AG329" s="147">
        <f ca="1"/>
        <v>10210827.019394165</v>
      </c>
      <c r="AH329" s="147">
        <f ca="1"/>
        <v>10107584.313019887</v>
      </c>
    </row>
    <row r="330" spans="2:34">
      <c r="B330" s="149">
        <v>1</v>
      </c>
      <c r="C330" s="149">
        <v>4</v>
      </c>
      <c r="D330" s="145" t="str">
        <v>Veículos Comerciais com 3 Eixos</v>
      </c>
      <c r="E330" s="147">
        <f ca="1"/>
        <v>0</v>
      </c>
      <c r="F330" s="147">
        <f ca="1"/>
        <v>1941241.2542486738</v>
      </c>
      <c r="G330" s="147">
        <f ca="1"/>
        <v>2602238.5396320936</v>
      </c>
      <c r="H330" s="147">
        <f ca="1"/>
        <v>2619612.3198958952</v>
      </c>
      <c r="I330" s="147">
        <f ca="1"/>
        <v>3696987.3075724971</v>
      </c>
      <c r="J330" s="147">
        <f ca="1"/>
        <v>3740695.6371812676</v>
      </c>
      <c r="K330" s="147">
        <f ca="1"/>
        <v>3780661.3696336416</v>
      </c>
      <c r="L330" s="147">
        <f ca="1"/>
        <v>3825676.1464542737</v>
      </c>
      <c r="M330" s="147">
        <f ca="1"/>
        <v>3885298.9321262059</v>
      </c>
      <c r="N330" s="147">
        <f ca="1"/>
        <v>3950485.9494951158</v>
      </c>
      <c r="O330" s="147">
        <f ca="1"/>
        <v>4011468.810755156</v>
      </c>
      <c r="P330" s="147">
        <f ca="1"/>
        <v>4067821.0804820657</v>
      </c>
      <c r="Q330" s="147">
        <f ca="1"/>
        <v>4119271.9981236421</v>
      </c>
      <c r="R330" s="147">
        <f ca="1"/>
        <v>4165580.4072600929</v>
      </c>
      <c r="S330" s="147">
        <f ca="1"/>
        <v>4206512.7518233564</v>
      </c>
      <c r="T330" s="147">
        <f ca="1"/>
        <v>4241867.2188516231</v>
      </c>
      <c r="U330" s="147">
        <f ca="1"/>
        <v>4271577.1830969732</v>
      </c>
      <c r="V330" s="147">
        <f ca="1"/>
        <v>4295616.6709401468</v>
      </c>
      <c r="W330" s="147">
        <f ca="1"/>
        <v>4313935.2565845698</v>
      </c>
      <c r="X330" s="147">
        <f ca="1"/>
        <v>4326529.3941855151</v>
      </c>
      <c r="Y330" s="147">
        <f ca="1"/>
        <v>4333369.7140186522</v>
      </c>
      <c r="Z330" s="147">
        <f ca="1"/>
        <v>4334486.837661745</v>
      </c>
      <c r="AA330" s="147">
        <f ca="1"/>
        <v>4329954.3842849564</v>
      </c>
      <c r="AB330" s="147">
        <f ca="1"/>
        <v>4319808.3006745204</v>
      </c>
      <c r="AC330" s="147">
        <f ca="1"/>
        <v>4304084.4942700816</v>
      </c>
      <c r="AD330" s="147">
        <f ca="1"/>
        <v>4282865.6089931205</v>
      </c>
      <c r="AE330" s="147">
        <f ca="1"/>
        <v>4256255.5279293265</v>
      </c>
      <c r="AF330" s="147">
        <f ca="1"/>
        <v>4224324.0115373647</v>
      </c>
      <c r="AG330" s="147">
        <f ca="1"/>
        <v>4187145.6532457084</v>
      </c>
      <c r="AH330" s="147">
        <f ca="1"/>
        <v>4144808.9993778779</v>
      </c>
    </row>
    <row r="331" spans="2:34">
      <c r="B331" s="149">
        <v>1</v>
      </c>
      <c r="C331" s="149">
        <v>5</v>
      </c>
      <c r="D331" s="145" t="str">
        <v>Veículos Comerciais com 4 Eixos</v>
      </c>
      <c r="E331" s="147">
        <f ca="1"/>
        <v>0</v>
      </c>
      <c r="F331" s="147">
        <f ca="1"/>
        <v>1357127.7323136036</v>
      </c>
      <c r="G331" s="147">
        <f ca="1"/>
        <v>1819232.9678243953</v>
      </c>
      <c r="H331" s="147">
        <f ca="1"/>
        <v>1831379.031050449</v>
      </c>
      <c r="I331" s="147">
        <f ca="1"/>
        <v>2584575.1990573145</v>
      </c>
      <c r="J331" s="147">
        <f ca="1"/>
        <v>2615131.8267383622</v>
      </c>
      <c r="K331" s="147">
        <f ca="1"/>
        <v>2643071.9932347382</v>
      </c>
      <c r="L331" s="147">
        <f ca="1"/>
        <v>2674541.9621803714</v>
      </c>
      <c r="M331" s="147">
        <f ca="1"/>
        <v>2716224.4350497667</v>
      </c>
      <c r="N331" s="147">
        <f ca="1"/>
        <v>2761796.8794146972</v>
      </c>
      <c r="O331" s="147">
        <f ca="1"/>
        <v>2804430.1853114781</v>
      </c>
      <c r="P331" s="147">
        <f ca="1"/>
        <v>2843826.2304232465</v>
      </c>
      <c r="Q331" s="147">
        <f ca="1"/>
        <v>2879795.7252150667</v>
      </c>
      <c r="R331" s="147">
        <f ca="1"/>
        <v>2912170.0764920413</v>
      </c>
      <c r="S331" s="147">
        <f ca="1"/>
        <v>2940786.0044885445</v>
      </c>
      <c r="T331" s="147">
        <f ca="1"/>
        <v>2965502.4211421758</v>
      </c>
      <c r="U331" s="147">
        <f ca="1"/>
        <v>2986272.7485371684</v>
      </c>
      <c r="V331" s="147">
        <f ca="1"/>
        <v>3003078.8284363993</v>
      </c>
      <c r="W331" s="147">
        <f ca="1"/>
        <v>3015885.4080103692</v>
      </c>
      <c r="X331" s="147">
        <f ca="1"/>
        <v>3024690.0083481208</v>
      </c>
      <c r="Y331" s="147">
        <f ca="1"/>
        <v>3029472.0969850309</v>
      </c>
      <c r="Z331" s="147">
        <f ca="1"/>
        <v>3030253.08156031</v>
      </c>
      <c r="AA331" s="147">
        <f ca="1"/>
        <v>3027084.4294622806</v>
      </c>
      <c r="AB331" s="147">
        <f ca="1"/>
        <v>3019991.2711997721</v>
      </c>
      <c r="AC331" s="147">
        <f ca="1"/>
        <v>3008998.7097742977</v>
      </c>
      <c r="AD331" s="147">
        <f ca="1"/>
        <v>2994164.521805584</v>
      </c>
      <c r="AE331" s="147">
        <f ca="1"/>
        <v>2975561.3322783955</v>
      </c>
      <c r="AF331" s="147">
        <f ca="1"/>
        <v>2953237.9109439719</v>
      </c>
      <c r="AG331" s="147">
        <f ca="1"/>
        <v>2927246.4062976181</v>
      </c>
      <c r="AH331" s="147">
        <f ca="1"/>
        <v>2897648.721346484</v>
      </c>
    </row>
    <row r="332" spans="2:34">
      <c r="B332" s="149">
        <v>1</v>
      </c>
      <c r="C332" s="149">
        <v>6</v>
      </c>
      <c r="D332" s="145" t="str">
        <v>Veículos Comerciais com 5 Eixos Articulado</v>
      </c>
      <c r="E332" s="147">
        <f ca="1"/>
        <v>0</v>
      </c>
      <c r="F332" s="147">
        <f ca="1"/>
        <v>470792.16539851844</v>
      </c>
      <c r="G332" s="147">
        <f ca="1"/>
        <v>638863.53597177682</v>
      </c>
      <c r="H332" s="147">
        <f ca="1"/>
        <v>651306.98447242472</v>
      </c>
      <c r="I332" s="147">
        <f ca="1"/>
        <v>931204.19295798591</v>
      </c>
      <c r="J332" s="147">
        <f ca="1"/>
        <v>954788.97916922218</v>
      </c>
      <c r="K332" s="147">
        <f ca="1"/>
        <v>977950.61281638464</v>
      </c>
      <c r="L332" s="147">
        <f ca="1"/>
        <v>1002851.6536890529</v>
      </c>
      <c r="M332" s="147">
        <f ca="1"/>
        <v>1031997.2615080407</v>
      </c>
      <c r="N332" s="147">
        <f ca="1"/>
        <v>1063029.4369111222</v>
      </c>
      <c r="O332" s="147">
        <f ca="1"/>
        <v>1093265.2701777616</v>
      </c>
      <c r="P332" s="147">
        <f ca="1"/>
        <v>1122469.0380594095</v>
      </c>
      <c r="Q332" s="147">
        <f ca="1"/>
        <v>1150459.5506930929</v>
      </c>
      <c r="R332" s="147">
        <f ca="1"/>
        <v>1177062.5349235539</v>
      </c>
      <c r="S332" s="147">
        <f ca="1"/>
        <v>1202101.532009036</v>
      </c>
      <c r="T332" s="147">
        <f ca="1"/>
        <v>1225411.8220959837</v>
      </c>
      <c r="U332" s="147">
        <f ca="1"/>
        <v>1246883.0174575374</v>
      </c>
      <c r="V332" s="147">
        <f ca="1"/>
        <v>1266425.4264970568</v>
      </c>
      <c r="W332" s="147">
        <f ca="1"/>
        <v>1283943.320641943</v>
      </c>
      <c r="X332" s="147">
        <f ca="1"/>
        <v>1299361.4524774551</v>
      </c>
      <c r="Y332" s="147">
        <f ca="1"/>
        <v>1312599.0211115172</v>
      </c>
      <c r="Z332" s="147">
        <f ca="1"/>
        <v>1323603.2955677668</v>
      </c>
      <c r="AA332" s="147">
        <f ca="1"/>
        <v>1332344.025992499</v>
      </c>
      <c r="AB332" s="147">
        <f ca="1"/>
        <v>1338781.8807666565</v>
      </c>
      <c r="AC332" s="147">
        <f ca="1"/>
        <v>1342881.7889762991</v>
      </c>
      <c r="AD332" s="147">
        <f ca="1"/>
        <v>1344631.3467374374</v>
      </c>
      <c r="AE332" s="147">
        <f ca="1"/>
        <v>1344029.5078650562</v>
      </c>
      <c r="AF332" s="147">
        <f ca="1"/>
        <v>1341064.4318090905</v>
      </c>
      <c r="AG332" s="147">
        <f ca="1"/>
        <v>1335730.1332756223</v>
      </c>
      <c r="AH332" s="147">
        <f ca="1"/>
        <v>1328031.0567927617</v>
      </c>
    </row>
    <row r="333" spans="2:34">
      <c r="B333" s="149">
        <v>1</v>
      </c>
      <c r="C333" s="149">
        <v>7</v>
      </c>
      <c r="D333" s="145" t="str">
        <v>Veículos Comerciais com 6 Eixos Articulado</v>
      </c>
      <c r="E333" s="147">
        <f ca="1"/>
        <v>0</v>
      </c>
      <c r="F333" s="147">
        <f ca="1"/>
        <v>14733911.608312031</v>
      </c>
      <c r="G333" s="147">
        <f ca="1"/>
        <v>19993873.221772727</v>
      </c>
      <c r="H333" s="147">
        <f ca="1"/>
        <v>20383303.386049002</v>
      </c>
      <c r="I333" s="147">
        <f ca="1"/>
        <v>29142966.422813129</v>
      </c>
      <c r="J333" s="147">
        <f ca="1"/>
        <v>29881075.892079975</v>
      </c>
      <c r="K333" s="147">
        <f ca="1"/>
        <v>30605942.378701575</v>
      </c>
      <c r="L333" s="147">
        <f ca="1"/>
        <v>31385245.3538526</v>
      </c>
      <c r="M333" s="147">
        <f ca="1"/>
        <v>32297386.296155646</v>
      </c>
      <c r="N333" s="147">
        <f ca="1"/>
        <v>33268569.257570483</v>
      </c>
      <c r="O333" s="147">
        <f ca="1"/>
        <v>34214829.895483226</v>
      </c>
      <c r="P333" s="147">
        <f ca="1"/>
        <v>35128791.015107274</v>
      </c>
      <c r="Q333" s="147">
        <f ca="1"/>
        <v>36004782.098491035</v>
      </c>
      <c r="R333" s="147">
        <f ca="1"/>
        <v>36837349.092967525</v>
      </c>
      <c r="S333" s="147">
        <f ca="1"/>
        <v>37620969.54575479</v>
      </c>
      <c r="T333" s="147">
        <f ca="1"/>
        <v>38350488.384315908</v>
      </c>
      <c r="U333" s="147">
        <f ca="1"/>
        <v>39022450.914351083</v>
      </c>
      <c r="V333" s="147">
        <f ca="1"/>
        <v>39634050.147651888</v>
      </c>
      <c r="W333" s="147">
        <f ca="1"/>
        <v>40182290.162810244</v>
      </c>
      <c r="X333" s="147">
        <f ca="1"/>
        <v>40664816.016734436</v>
      </c>
      <c r="Y333" s="147">
        <f ca="1"/>
        <v>41079098.964706056</v>
      </c>
      <c r="Z333" s="147">
        <f ca="1"/>
        <v>41423488.738088831</v>
      </c>
      <c r="AA333" s="147">
        <f ca="1"/>
        <v>41697038.637461245</v>
      </c>
      <c r="AB333" s="147">
        <f ca="1"/>
        <v>41898517.740473285</v>
      </c>
      <c r="AC333" s="147">
        <f ca="1"/>
        <v>42026828.467802264</v>
      </c>
      <c r="AD333" s="147">
        <f ca="1"/>
        <v>42081582.627494842</v>
      </c>
      <c r="AE333" s="147">
        <f ca="1"/>
        <v>42062747.478144795</v>
      </c>
      <c r="AF333" s="147">
        <f ca="1"/>
        <v>41969952.457897291</v>
      </c>
      <c r="AG333" s="147">
        <f ca="1"/>
        <v>41803010.250993855</v>
      </c>
      <c r="AH333" s="147">
        <f ca="1"/>
        <v>41562059.95338627</v>
      </c>
    </row>
    <row r="334" spans="2:34">
      <c r="B334" s="149">
        <v>1</v>
      </c>
      <c r="C334" s="149">
        <v>8</v>
      </c>
      <c r="D334" s="145" t="str">
        <v>Veículos Comerciais com 7 Eixos Articulado</v>
      </c>
      <c r="E334" s="147">
        <f ca="1"/>
        <v>0</v>
      </c>
      <c r="F334" s="147">
        <f ca="1"/>
        <v>1015027.9085992054</v>
      </c>
      <c r="G334" s="147">
        <f ca="1"/>
        <v>1377389.7835551507</v>
      </c>
      <c r="H334" s="147">
        <f ca="1"/>
        <v>1404217.8585225474</v>
      </c>
      <c r="I334" s="147">
        <f ca="1"/>
        <v>2007676.2400174176</v>
      </c>
      <c r="J334" s="147">
        <f ca="1"/>
        <v>2058525.0390888432</v>
      </c>
      <c r="K334" s="147">
        <f ca="1"/>
        <v>2108461.5212321258</v>
      </c>
      <c r="L334" s="147">
        <f ca="1"/>
        <v>2162148.1653535985</v>
      </c>
      <c r="M334" s="147">
        <f ca="1"/>
        <v>2224986.0958113363</v>
      </c>
      <c r="N334" s="147">
        <f ca="1"/>
        <v>2291891.4659803798</v>
      </c>
      <c r="O334" s="147">
        <f ca="1"/>
        <v>2357079.9225032534</v>
      </c>
      <c r="P334" s="147">
        <f ca="1"/>
        <v>2420043.2460560864</v>
      </c>
      <c r="Q334" s="147">
        <f ca="1"/>
        <v>2480390.7912943088</v>
      </c>
      <c r="R334" s="147">
        <f ca="1"/>
        <v>2537746.8252951819</v>
      </c>
      <c r="S334" s="147">
        <f ca="1"/>
        <v>2591730.9030114813</v>
      </c>
      <c r="T334" s="147">
        <f ca="1"/>
        <v>2641987.8884389405</v>
      </c>
      <c r="U334" s="147">
        <f ca="1"/>
        <v>2688279.7856384502</v>
      </c>
      <c r="V334" s="147">
        <f ca="1"/>
        <v>2730413.2195276548</v>
      </c>
      <c r="W334" s="147">
        <f ca="1"/>
        <v>2768181.7993040294</v>
      </c>
      <c r="X334" s="147">
        <f ca="1"/>
        <v>2801423.2915413938</v>
      </c>
      <c r="Y334" s="147">
        <f ca="1"/>
        <v>2829963.4895164324</v>
      </c>
      <c r="Z334" s="147">
        <f ca="1"/>
        <v>2853688.7052441058</v>
      </c>
      <c r="AA334" s="147">
        <f ca="1"/>
        <v>2872533.7200398287</v>
      </c>
      <c r="AB334" s="147">
        <f ca="1"/>
        <v>2886413.734932912</v>
      </c>
      <c r="AC334" s="147">
        <f ca="1"/>
        <v>2895253.1370329028</v>
      </c>
      <c r="AD334" s="147">
        <f ca="1"/>
        <v>2899025.1835659165</v>
      </c>
      <c r="AE334" s="147">
        <f ca="1"/>
        <v>2897727.6189570627</v>
      </c>
      <c r="AF334" s="147">
        <f ca="1"/>
        <v>2891334.9149804008</v>
      </c>
      <c r="AG334" s="147">
        <f ca="1"/>
        <v>2879834.1673422433</v>
      </c>
      <c r="AH334" s="147">
        <f ca="1"/>
        <v>2863234.9584451956</v>
      </c>
    </row>
    <row r="335" spans="2:34">
      <c r="B335" s="149">
        <v>1</v>
      </c>
      <c r="C335" s="149">
        <v>9</v>
      </c>
      <c r="D335" s="145" t="str">
        <v>Veículos Comerciais com 8 Eixos Articulado</v>
      </c>
      <c r="E335" s="147">
        <f ca="1"/>
        <v>0</v>
      </c>
      <c r="F335" s="147">
        <f ca="1"/>
        <v>0</v>
      </c>
      <c r="G335" s="147">
        <f ca="1"/>
        <v>0</v>
      </c>
      <c r="H335" s="147">
        <f ca="1"/>
        <v>0</v>
      </c>
      <c r="I335" s="147">
        <f ca="1"/>
        <v>0</v>
      </c>
      <c r="J335" s="147">
        <f ca="1"/>
        <v>0</v>
      </c>
      <c r="K335" s="147">
        <f ca="1"/>
        <v>0</v>
      </c>
      <c r="L335" s="147">
        <f ca="1"/>
        <v>0</v>
      </c>
      <c r="M335" s="147">
        <f ca="1"/>
        <v>0</v>
      </c>
      <c r="N335" s="147">
        <f ca="1"/>
        <v>0</v>
      </c>
      <c r="O335" s="147">
        <f ca="1"/>
        <v>0</v>
      </c>
      <c r="P335" s="147">
        <f ca="1"/>
        <v>0</v>
      </c>
      <c r="Q335" s="147">
        <f ca="1"/>
        <v>0</v>
      </c>
      <c r="R335" s="147">
        <f ca="1"/>
        <v>0</v>
      </c>
      <c r="S335" s="147">
        <f ca="1"/>
        <v>0</v>
      </c>
      <c r="T335" s="147">
        <f ca="1"/>
        <v>0</v>
      </c>
      <c r="U335" s="147">
        <f ca="1"/>
        <v>0</v>
      </c>
      <c r="V335" s="147">
        <f ca="1"/>
        <v>0</v>
      </c>
      <c r="W335" s="147">
        <f ca="1"/>
        <v>0</v>
      </c>
      <c r="X335" s="147">
        <f ca="1"/>
        <v>0</v>
      </c>
      <c r="Y335" s="147">
        <f ca="1"/>
        <v>0</v>
      </c>
      <c r="Z335" s="147">
        <f ca="1"/>
        <v>0</v>
      </c>
      <c r="AA335" s="147">
        <f ca="1"/>
        <v>0</v>
      </c>
      <c r="AB335" s="147">
        <f ca="1"/>
        <v>0</v>
      </c>
      <c r="AC335" s="147">
        <f ca="1"/>
        <v>0</v>
      </c>
      <c r="AD335" s="147">
        <f ca="1"/>
        <v>0</v>
      </c>
      <c r="AE335" s="147">
        <f ca="1"/>
        <v>0</v>
      </c>
      <c r="AF335" s="147">
        <f ca="1"/>
        <v>0</v>
      </c>
      <c r="AG335" s="147">
        <f ca="1"/>
        <v>0</v>
      </c>
      <c r="AH335" s="147">
        <f ca="1"/>
        <v>0</v>
      </c>
    </row>
    <row r="336" spans="2:34">
      <c r="B336" s="149">
        <v>1</v>
      </c>
      <c r="C336" s="149">
        <v>10</v>
      </c>
      <c r="D336" s="145" t="str">
        <v>Veículos Comerciais com 9 Eixos Articulado</v>
      </c>
      <c r="E336" s="147">
        <f ca="1"/>
        <v>0</v>
      </c>
      <c r="F336" s="147">
        <f ca="1"/>
        <v>322021.84113258665</v>
      </c>
      <c r="G336" s="147">
        <f ca="1"/>
        <v>436982.65860469552</v>
      </c>
      <c r="H336" s="147">
        <f ca="1"/>
        <v>445493.97737913858</v>
      </c>
      <c r="I336" s="147">
        <f ca="1"/>
        <v>636943.66798326233</v>
      </c>
      <c r="J336" s="147">
        <f ca="1"/>
        <v>653075.66175174806</v>
      </c>
      <c r="K336" s="147">
        <f ca="1"/>
        <v>668918.21916640725</v>
      </c>
      <c r="L336" s="147">
        <f ca="1"/>
        <v>685950.53112331242</v>
      </c>
      <c r="M336" s="147">
        <f ca="1"/>
        <v>705886.12687149993</v>
      </c>
      <c r="N336" s="147">
        <f ca="1"/>
        <v>727112.13484720781</v>
      </c>
      <c r="O336" s="147">
        <f ca="1"/>
        <v>747793.44480158901</v>
      </c>
      <c r="P336" s="147">
        <f ca="1"/>
        <v>767768.82203263592</v>
      </c>
      <c r="Q336" s="147">
        <f ca="1"/>
        <v>786914.33267407562</v>
      </c>
      <c r="R336" s="147">
        <f ca="1"/>
        <v>805110.77388771065</v>
      </c>
      <c r="S336" s="147">
        <f ca="1"/>
        <v>822237.44789418066</v>
      </c>
      <c r="T336" s="147">
        <f ca="1"/>
        <v>838181.68631365267</v>
      </c>
      <c r="U336" s="147">
        <f ca="1"/>
        <v>852867.9839409556</v>
      </c>
      <c r="V336" s="147">
        <f ca="1"/>
        <v>866234.99172398704</v>
      </c>
      <c r="W336" s="147">
        <f ca="1"/>
        <v>878217.23131908919</v>
      </c>
      <c r="X336" s="147">
        <f ca="1"/>
        <v>888763.23349457933</v>
      </c>
      <c r="Y336" s="147">
        <f ca="1"/>
        <v>897817.73044027819</v>
      </c>
      <c r="Z336" s="147">
        <f ca="1"/>
        <v>905344.65416835248</v>
      </c>
      <c r="AA336" s="147">
        <f ca="1"/>
        <v>911323.31377886934</v>
      </c>
      <c r="AB336" s="147">
        <f ca="1"/>
        <v>915726.80644439324</v>
      </c>
      <c r="AC336" s="147">
        <f ca="1"/>
        <v>918531.14365978877</v>
      </c>
      <c r="AD336" s="147">
        <f ca="1"/>
        <v>919727.84116840747</v>
      </c>
      <c r="AE336" s="147">
        <f ca="1"/>
        <v>919316.18337969866</v>
      </c>
      <c r="AF336" s="147">
        <f ca="1"/>
        <v>917288.07135741797</v>
      </c>
      <c r="AG336" s="147">
        <f ca="1"/>
        <v>913639.41116052575</v>
      </c>
      <c r="AH336" s="147">
        <f ca="1"/>
        <v>908373.2428462489</v>
      </c>
    </row>
    <row r="337" spans="2:34">
      <c r="B337" s="149">
        <v>1</v>
      </c>
      <c r="C337" s="149">
        <v>11</v>
      </c>
      <c r="D337" s="145" t="str">
        <v>Motocicleta</v>
      </c>
      <c r="E337" s="147">
        <f ca="1"/>
        <v>0</v>
      </c>
      <c r="F337" s="147">
        <f ca="1"/>
        <v>434876.43707273219</v>
      </c>
      <c r="G337" s="147">
        <f ca="1"/>
        <v>586294.712294781</v>
      </c>
      <c r="H337" s="147">
        <f ca="1"/>
        <v>595732.2880437409</v>
      </c>
      <c r="I337" s="147">
        <f ca="1"/>
        <v>849433.70426470053</v>
      </c>
      <c r="J337" s="147">
        <f ca="1"/>
        <v>869542.60125932225</v>
      </c>
      <c r="K337" s="147">
        <f ca="1"/>
        <v>891911.30950214609</v>
      </c>
      <c r="L337" s="147">
        <f ca="1"/>
        <v>913813.04138199799</v>
      </c>
      <c r="M337" s="147">
        <f ca="1"/>
        <v>937796.93923672824</v>
      </c>
      <c r="N337" s="147">
        <f ca="1"/>
        <v>966860.62566129095</v>
      </c>
      <c r="O337" s="147">
        <f ca="1"/>
        <v>998344.45958048035</v>
      </c>
      <c r="P337" s="147">
        <f ca="1"/>
        <v>1032311.1209108906</v>
      </c>
      <c r="Q337" s="147">
        <f ca="1"/>
        <v>1065625.7269145229</v>
      </c>
      <c r="R337" s="147">
        <f ca="1"/>
        <v>1098083.9372361477</v>
      </c>
      <c r="S337" s="147">
        <f ca="1"/>
        <v>1129472.3395205294</v>
      </c>
      <c r="T337" s="147">
        <f ca="1"/>
        <v>1159585.0614987947</v>
      </c>
      <c r="U337" s="147">
        <f ca="1"/>
        <v>1188267.1106919115</v>
      </c>
      <c r="V337" s="147">
        <f ca="1"/>
        <v>1215383.528385221</v>
      </c>
      <c r="W337" s="147">
        <f ca="1"/>
        <v>1240792.1756913804</v>
      </c>
      <c r="X337" s="147">
        <f ca="1"/>
        <v>1264368.8394119081</v>
      </c>
      <c r="Y337" s="147">
        <f ca="1"/>
        <v>1285983.5478396248</v>
      </c>
      <c r="Z337" s="147">
        <f ca="1"/>
        <v>1305533.8585435939</v>
      </c>
      <c r="AA337" s="147">
        <f ca="1"/>
        <v>1322940.395306156</v>
      </c>
      <c r="AB337" s="147">
        <f ca="1"/>
        <v>1338116.0261185344</v>
      </c>
      <c r="AC337" s="147">
        <f ca="1"/>
        <v>1350978.0188343765</v>
      </c>
      <c r="AD337" s="147">
        <f ca="1"/>
        <v>1361466.4103950912</v>
      </c>
      <c r="AE337" s="147">
        <f ca="1"/>
        <v>1369531.8805887864</v>
      </c>
      <c r="AF337" s="147">
        <f ca="1"/>
        <v>1375113.5443215696</v>
      </c>
      <c r="AG337" s="147">
        <f ca="1"/>
        <v>1378156.6757422346</v>
      </c>
      <c r="AH337" s="147">
        <f ca="1"/>
        <v>1378618.297549786</v>
      </c>
    </row>
    <row r="338" spans="2:34">
      <c r="B338" s="149">
        <v>1</v>
      </c>
      <c r="C338" s="149">
        <v>12</v>
      </c>
      <c r="D338" s="145" t="str">
        <v xml:space="preserve">Veículos do transporte público coletivo intermunicipal e metropolitano </v>
      </c>
      <c r="E338" s="147">
        <f ca="1"/>
        <v>0</v>
      </c>
      <c r="F338" s="147">
        <f ca="1"/>
        <v>0</v>
      </c>
      <c r="G338" s="147">
        <f ca="1"/>
        <v>0</v>
      </c>
      <c r="H338" s="147">
        <f ca="1"/>
        <v>0</v>
      </c>
      <c r="I338" s="147">
        <f ca="1"/>
        <v>0</v>
      </c>
      <c r="J338" s="147">
        <f ca="1"/>
        <v>0</v>
      </c>
      <c r="K338" s="147">
        <f ca="1"/>
        <v>0</v>
      </c>
      <c r="L338" s="147">
        <f ca="1"/>
        <v>0</v>
      </c>
      <c r="M338" s="147">
        <f ca="1"/>
        <v>0</v>
      </c>
      <c r="N338" s="147">
        <f ca="1"/>
        <v>0</v>
      </c>
      <c r="O338" s="147">
        <f ca="1"/>
        <v>0</v>
      </c>
      <c r="P338" s="147">
        <f ca="1"/>
        <v>0</v>
      </c>
      <c r="Q338" s="147">
        <f ca="1"/>
        <v>0</v>
      </c>
      <c r="R338" s="147">
        <f ca="1"/>
        <v>0</v>
      </c>
      <c r="S338" s="147">
        <f ca="1"/>
        <v>0</v>
      </c>
      <c r="T338" s="147">
        <f ca="1"/>
        <v>0</v>
      </c>
      <c r="U338" s="147">
        <f ca="1"/>
        <v>0</v>
      </c>
      <c r="V338" s="147">
        <f ca="1"/>
        <v>0</v>
      </c>
      <c r="W338" s="147">
        <f ca="1"/>
        <v>0</v>
      </c>
      <c r="X338" s="147">
        <f ca="1"/>
        <v>0</v>
      </c>
      <c r="Y338" s="147">
        <f ca="1"/>
        <v>0</v>
      </c>
      <c r="Z338" s="147">
        <f ca="1"/>
        <v>0</v>
      </c>
      <c r="AA338" s="147">
        <f ca="1"/>
        <v>0</v>
      </c>
      <c r="AB338" s="147">
        <f ca="1"/>
        <v>0</v>
      </c>
      <c r="AC338" s="147">
        <f ca="1"/>
        <v>0</v>
      </c>
      <c r="AD338" s="147">
        <f ca="1"/>
        <v>0</v>
      </c>
      <c r="AE338" s="147">
        <f ca="1"/>
        <v>0</v>
      </c>
      <c r="AF338" s="147">
        <f ca="1"/>
        <v>0</v>
      </c>
      <c r="AG338" s="147">
        <f ca="1"/>
        <v>0</v>
      </c>
      <c r="AH338" s="147">
        <f ca="1"/>
        <v>0</v>
      </c>
    </row>
    <row r="339" spans="2:34">
      <c r="B339" s="149">
        <v>2</v>
      </c>
      <c r="C339" s="149">
        <v>1</v>
      </c>
      <c r="D339" s="145" t="str">
        <v>Automóvel</v>
      </c>
      <c r="E339" s="147">
        <f ca="1"/>
        <v>0</v>
      </c>
      <c r="F339" s="147">
        <f ca="1"/>
        <v>20514965.79538013</v>
      </c>
      <c r="G339" s="147">
        <f ca="1"/>
        <v>27697996.787676297</v>
      </c>
      <c r="H339" s="147">
        <f ca="1"/>
        <v>28178942.573315829</v>
      </c>
      <c r="I339" s="147">
        <f ca="1"/>
        <v>28732847.700892523</v>
      </c>
      <c r="J339" s="147">
        <f ca="1"/>
        <v>29439652.044348668</v>
      </c>
      <c r="K339" s="147">
        <f ca="1"/>
        <v>42308631.127792947</v>
      </c>
      <c r="L339" s="147">
        <f ca="1"/>
        <v>43382231.080496408</v>
      </c>
      <c r="M339" s="147">
        <f ca="1"/>
        <v>44550075.80520381</v>
      </c>
      <c r="N339" s="147">
        <f ca="1"/>
        <v>45946092.552619934</v>
      </c>
      <c r="O339" s="147">
        <f ca="1"/>
        <v>47450227.598424226</v>
      </c>
      <c r="P339" s="147">
        <f ca="1"/>
        <v>49064626.11130207</v>
      </c>
      <c r="Q339" s="147">
        <f ca="1"/>
        <v>50648033.142867558</v>
      </c>
      <c r="R339" s="147">
        <f ca="1"/>
        <v>52190736.618024625</v>
      </c>
      <c r="S339" s="147">
        <f ca="1"/>
        <v>53682593.279372431</v>
      </c>
      <c r="T339" s="147">
        <f ca="1"/>
        <v>55113818.241623633</v>
      </c>
      <c r="U339" s="147">
        <f ca="1"/>
        <v>56477044.880628049</v>
      </c>
      <c r="V339" s="147">
        <f ca="1"/>
        <v>57765858.755292267</v>
      </c>
      <c r="W339" s="147">
        <f ca="1"/>
        <v>58973504.158715442</v>
      </c>
      <c r="X339" s="147">
        <f ca="1"/>
        <v>60094077.372514457</v>
      </c>
      <c r="Y339" s="147">
        <f ca="1"/>
        <v>61121400.982643686</v>
      </c>
      <c r="Z339" s="147">
        <f ca="1"/>
        <v>62050606.011650458</v>
      </c>
      <c r="AA339" s="147">
        <f ca="1"/>
        <v>62877919.79414092</v>
      </c>
      <c r="AB339" s="147">
        <f ca="1"/>
        <v>63599201.040394954</v>
      </c>
      <c r="AC339" s="147">
        <f ca="1"/>
        <v>64210517.581373632</v>
      </c>
      <c r="AD339" s="147">
        <f ca="1"/>
        <v>64709019.438043863</v>
      </c>
      <c r="AE339" s="147">
        <f ca="1"/>
        <v>65092362.474314108</v>
      </c>
      <c r="AF339" s="147">
        <f ca="1"/>
        <v>65357652.887814976</v>
      </c>
      <c r="AG339" s="147">
        <f ca="1"/>
        <v>65502289.618290916</v>
      </c>
      <c r="AH339" s="147">
        <f ca="1"/>
        <v>65524230.001314528</v>
      </c>
    </row>
    <row r="340" spans="2:34">
      <c r="B340" s="149">
        <v>2</v>
      </c>
      <c r="C340" s="149">
        <v>2</v>
      </c>
      <c r="D340" s="145" t="str">
        <v xml:space="preserve">Automóvel com reboque </v>
      </c>
      <c r="E340" s="147">
        <f ca="1"/>
        <v>0</v>
      </c>
      <c r="F340" s="147">
        <f ca="1"/>
        <v>105288.42135837959</v>
      </c>
      <c r="G340" s="147">
        <f ca="1"/>
        <v>142758.56147212384</v>
      </c>
      <c r="H340" s="147">
        <f ca="1"/>
        <v>145767.428329858</v>
      </c>
      <c r="I340" s="147">
        <f ca="1"/>
        <v>149135.11335587941</v>
      </c>
      <c r="J340" s="147">
        <f ca="1"/>
        <v>153204.55772000673</v>
      </c>
      <c r="K340" s="147">
        <f ca="1"/>
        <v>220669.69726788806</v>
      </c>
      <c r="L340" s="147">
        <f ca="1"/>
        <v>226790.8201469928</v>
      </c>
      <c r="M340" s="147">
        <f ca="1"/>
        <v>233335.43535271729</v>
      </c>
      <c r="N340" s="147">
        <f ca="1"/>
        <v>240877.70380492412</v>
      </c>
      <c r="O340" s="147">
        <f ca="1"/>
        <v>248883.34964327441</v>
      </c>
      <c r="P340" s="147">
        <f ca="1"/>
        <v>257351.10480231399</v>
      </c>
      <c r="Q340" s="147">
        <f ca="1"/>
        <v>265656.30513138085</v>
      </c>
      <c r="R340" s="147">
        <f ca="1"/>
        <v>273748.00938310428</v>
      </c>
      <c r="S340" s="147">
        <f ca="1"/>
        <v>281573.01469617058</v>
      </c>
      <c r="T340" s="147">
        <f ca="1"/>
        <v>289079.99792315887</v>
      </c>
      <c r="U340" s="147">
        <f ca="1"/>
        <v>296230.32004826562</v>
      </c>
      <c r="V340" s="147">
        <f ca="1"/>
        <v>302990.33639440022</v>
      </c>
      <c r="W340" s="147">
        <f ca="1"/>
        <v>309324.61229564459</v>
      </c>
      <c r="X340" s="147">
        <f ca="1"/>
        <v>315202.18188985443</v>
      </c>
      <c r="Y340" s="147">
        <f ca="1"/>
        <v>320590.64374130138</v>
      </c>
      <c r="Z340" s="147">
        <f ca="1"/>
        <v>325464.45935461705</v>
      </c>
      <c r="AA340" s="147">
        <f ca="1"/>
        <v>329803.84055073827</v>
      </c>
      <c r="AB340" s="147">
        <f ca="1"/>
        <v>333587.0656623611</v>
      </c>
      <c r="AC340" s="147">
        <f ca="1"/>
        <v>336793.50989058992</v>
      </c>
      <c r="AD340" s="147">
        <f ca="1"/>
        <v>339408.2246806114</v>
      </c>
      <c r="AE340" s="147">
        <f ca="1"/>
        <v>341418.91469746031</v>
      </c>
      <c r="AF340" s="147">
        <f ca="1"/>
        <v>342810.40152654645</v>
      </c>
      <c r="AG340" s="147">
        <f ca="1"/>
        <v>343569.04222827189</v>
      </c>
      <c r="AH340" s="147">
        <f ca="1"/>
        <v>343684.12273042649</v>
      </c>
    </row>
    <row r="341" spans="2:34">
      <c r="B341" s="149">
        <v>2</v>
      </c>
      <c r="C341" s="149">
        <v>3</v>
      </c>
      <c r="D341" s="145" t="str">
        <v>Veículos Comerciais com 2 Eixos</v>
      </c>
      <c r="E341" s="147">
        <f ca="1"/>
        <v>0</v>
      </c>
      <c r="F341" s="147">
        <f ca="1"/>
        <v>3734901.608906277</v>
      </c>
      <c r="G341" s="147">
        <f ca="1"/>
        <v>5006644.5307394061</v>
      </c>
      <c r="H341" s="147">
        <f ca="1"/>
        <v>5040071.2672246508</v>
      </c>
      <c r="I341" s="147">
        <f ca="1"/>
        <v>5080653.5004851548</v>
      </c>
      <c r="J341" s="147">
        <f ca="1"/>
        <v>5140720.4845865881</v>
      </c>
      <c r="K341" s="147">
        <f ca="1"/>
        <v>7273901.7890074514</v>
      </c>
      <c r="L341" s="147">
        <f ca="1"/>
        <v>7360509.1398475226</v>
      </c>
      <c r="M341" s="147">
        <f ca="1"/>
        <v>7475221.9493173389</v>
      </c>
      <c r="N341" s="147">
        <f ca="1"/>
        <v>7600640.207103732</v>
      </c>
      <c r="O341" s="147">
        <f ca="1"/>
        <v>7717969.7693811357</v>
      </c>
      <c r="P341" s="147">
        <f ca="1"/>
        <v>7826390.1846221127</v>
      </c>
      <c r="Q341" s="147">
        <f ca="1"/>
        <v>7925380.5160189178</v>
      </c>
      <c r="R341" s="147">
        <f ca="1"/>
        <v>8014476.7844044566</v>
      </c>
      <c r="S341" s="147">
        <f ca="1"/>
        <v>8093229.6335060522</v>
      </c>
      <c r="T341" s="147">
        <f ca="1"/>
        <v>8161250.7800260419</v>
      </c>
      <c r="U341" s="147">
        <f ca="1"/>
        <v>8218412.0385855567</v>
      </c>
      <c r="V341" s="147">
        <f ca="1"/>
        <v>8264663.4365641661</v>
      </c>
      <c r="W341" s="147">
        <f ca="1"/>
        <v>8299907.9559388207</v>
      </c>
      <c r="X341" s="147">
        <f ca="1"/>
        <v>8324138.7745893151</v>
      </c>
      <c r="Y341" s="147">
        <f ca="1"/>
        <v>8337299.3858705247</v>
      </c>
      <c r="Z341" s="147">
        <f ca="1"/>
        <v>8339448.7049635556</v>
      </c>
      <c r="AA341" s="147">
        <f ca="1"/>
        <v>8330728.3733859081</v>
      </c>
      <c r="AB341" s="147">
        <f ca="1"/>
        <v>8311207.551892044</v>
      </c>
      <c r="AC341" s="147">
        <f ca="1"/>
        <v>8280955.3255345309</v>
      </c>
      <c r="AD341" s="147">
        <f ca="1"/>
        <v>8240130.6992359338</v>
      </c>
      <c r="AE341" s="147">
        <f ca="1"/>
        <v>8188933.5415612943</v>
      </c>
      <c r="AF341" s="147">
        <f ca="1"/>
        <v>8127498.069959742</v>
      </c>
      <c r="AG341" s="147">
        <f ca="1"/>
        <v>8055967.8003984028</v>
      </c>
      <c r="AH341" s="147">
        <f ca="1"/>
        <v>7974513.0938797798</v>
      </c>
    </row>
    <row r="342" spans="2:34">
      <c r="B342" s="149">
        <v>2</v>
      </c>
      <c r="C342" s="149">
        <v>4</v>
      </c>
      <c r="D342" s="145" t="str">
        <v>Veículos Comerciais com 3 Eixos</v>
      </c>
      <c r="E342" s="147">
        <f ca="1"/>
        <v>0</v>
      </c>
      <c r="F342" s="147">
        <f ca="1"/>
        <v>1533339.0814440926</v>
      </c>
      <c r="G342" s="147">
        <f ca="1"/>
        <v>2055444.7023650338</v>
      </c>
      <c r="H342" s="147">
        <f ca="1"/>
        <v>2069167.8273051225</v>
      </c>
      <c r="I342" s="147">
        <f ca="1"/>
        <v>2085828.593982945</v>
      </c>
      <c r="J342" s="147">
        <f ca="1"/>
        <v>2110488.6958736023</v>
      </c>
      <c r="K342" s="147">
        <f ca="1"/>
        <v>2986252.1307321284</v>
      </c>
      <c r="L342" s="147">
        <f ca="1"/>
        <v>3021808.2041415991</v>
      </c>
      <c r="M342" s="147">
        <f ca="1"/>
        <v>3068902.7871643165</v>
      </c>
      <c r="N342" s="147">
        <f ca="1"/>
        <v>3120392.4209827622</v>
      </c>
      <c r="O342" s="147">
        <f ca="1"/>
        <v>3168561.2945133699</v>
      </c>
      <c r="P342" s="147">
        <f ca="1"/>
        <v>3213072.5768237147</v>
      </c>
      <c r="Q342" s="147">
        <f ca="1"/>
        <v>3253712.4007628178</v>
      </c>
      <c r="R342" s="147">
        <f ca="1"/>
        <v>3290290.2827612637</v>
      </c>
      <c r="S342" s="147">
        <f ca="1"/>
        <v>3322621.7425819435</v>
      </c>
      <c r="T342" s="147">
        <f ca="1"/>
        <v>3350547.3730925359</v>
      </c>
      <c r="U342" s="147">
        <f ca="1"/>
        <v>3374014.5486360174</v>
      </c>
      <c r="V342" s="147">
        <f ca="1"/>
        <v>3393002.7532845451</v>
      </c>
      <c r="W342" s="147">
        <f ca="1"/>
        <v>3407472.1569322878</v>
      </c>
      <c r="X342" s="147">
        <f ca="1"/>
        <v>3417419.9588030493</v>
      </c>
      <c r="Y342" s="147">
        <f ca="1"/>
        <v>3422822.9604684878</v>
      </c>
      <c r="Z342" s="147">
        <f ca="1"/>
        <v>3423705.3491654159</v>
      </c>
      <c r="AA342" s="147">
        <f ca="1"/>
        <v>3420125.2748793159</v>
      </c>
      <c r="AB342" s="147">
        <f ca="1"/>
        <v>3412111.1310991803</v>
      </c>
      <c r="AC342" s="147">
        <f ca="1"/>
        <v>3399691.2802350908</v>
      </c>
      <c r="AD342" s="147">
        <f ca="1"/>
        <v>3382931.0007033027</v>
      </c>
      <c r="AE342" s="147">
        <f ca="1"/>
        <v>3361912.3472174434</v>
      </c>
      <c r="AF342" s="147">
        <f ca="1"/>
        <v>3336690.4218609692</v>
      </c>
      <c r="AG342" s="147">
        <f ca="1"/>
        <v>3307324.1441622241</v>
      </c>
      <c r="AH342" s="147">
        <f ca="1"/>
        <v>3273883.4547007577</v>
      </c>
    </row>
    <row r="343" spans="2:34">
      <c r="B343" s="149">
        <v>2</v>
      </c>
      <c r="C343" s="149">
        <v>5</v>
      </c>
      <c r="D343" s="145" t="str">
        <v>Veículos Comerciais com 4 Eixos</v>
      </c>
      <c r="E343" s="147">
        <f ca="1"/>
        <v>0</v>
      </c>
      <c r="F343" s="147">
        <f ca="1"/>
        <v>791171.90570342867</v>
      </c>
      <c r="G343" s="147">
        <f ca="1"/>
        <v>1060567.8299848738</v>
      </c>
      <c r="H343" s="147">
        <f ca="1"/>
        <v>1067648.6844693436</v>
      </c>
      <c r="I343" s="147">
        <f ca="1"/>
        <v>1076245.302583687</v>
      </c>
      <c r="J343" s="147">
        <f ca="1"/>
        <v>1088969.4156280749</v>
      </c>
      <c r="K343" s="147">
        <f ca="1"/>
        <v>1540845.6079767686</v>
      </c>
      <c r="L343" s="147">
        <f ca="1"/>
        <v>1559191.821608921</v>
      </c>
      <c r="M343" s="147">
        <f ca="1"/>
        <v>1583491.6724698937</v>
      </c>
      <c r="N343" s="147">
        <f ca="1"/>
        <v>1610059.2805124312</v>
      </c>
      <c r="O343" s="147">
        <f ca="1"/>
        <v>1634913.443513942</v>
      </c>
      <c r="P343" s="147">
        <f ca="1"/>
        <v>1657880.3635363628</v>
      </c>
      <c r="Q343" s="147">
        <f ca="1"/>
        <v>1678849.6894620219</v>
      </c>
      <c r="R343" s="147">
        <f ca="1"/>
        <v>1697723.1356276607</v>
      </c>
      <c r="S343" s="147">
        <f ca="1"/>
        <v>1714405.5139678847</v>
      </c>
      <c r="T343" s="147">
        <f ca="1"/>
        <v>1728814.5736314701</v>
      </c>
      <c r="U343" s="147">
        <f ca="1"/>
        <v>1740923.1608454133</v>
      </c>
      <c r="V343" s="147">
        <f ca="1"/>
        <v>1750720.689806531</v>
      </c>
      <c r="W343" s="147">
        <f ca="1"/>
        <v>1758186.6089870399</v>
      </c>
      <c r="X343" s="147">
        <f ca="1"/>
        <v>1763319.4732431557</v>
      </c>
      <c r="Y343" s="147">
        <f ca="1"/>
        <v>1766107.3126557784</v>
      </c>
      <c r="Z343" s="147">
        <f ca="1"/>
        <v>1766562.6073491494</v>
      </c>
      <c r="AA343" s="147">
        <f ca="1"/>
        <v>1764715.3615378537</v>
      </c>
      <c r="AB343" s="147">
        <f ca="1"/>
        <v>1760580.225687054</v>
      </c>
      <c r="AC343" s="147">
        <f ca="1"/>
        <v>1754171.8342258253</v>
      </c>
      <c r="AD343" s="147">
        <f ca="1"/>
        <v>1745523.869494634</v>
      </c>
      <c r="AE343" s="147">
        <f ca="1"/>
        <v>1734678.6700635555</v>
      </c>
      <c r="AF343" s="147">
        <f ca="1"/>
        <v>1721664.6674914707</v>
      </c>
      <c r="AG343" s="147">
        <f ca="1"/>
        <v>1706512.2630614927</v>
      </c>
      <c r="AH343" s="147">
        <f ca="1"/>
        <v>1689257.5446959061</v>
      </c>
    </row>
    <row r="344" spans="2:34">
      <c r="B344" s="149">
        <v>2</v>
      </c>
      <c r="C344" s="149">
        <v>6</v>
      </c>
      <c r="D344" s="145" t="str">
        <v>Veículos Comerciais com 5 Eixos Articulado</v>
      </c>
      <c r="E344" s="147">
        <f ca="1"/>
        <v>0</v>
      </c>
      <c r="F344" s="147">
        <f ca="1"/>
        <v>935380.78076486173</v>
      </c>
      <c r="G344" s="147">
        <f ca="1"/>
        <v>1269308.8734253643</v>
      </c>
      <c r="H344" s="147">
        <f ca="1"/>
        <v>1294031.805176131</v>
      </c>
      <c r="I344" s="147">
        <f ca="1"/>
        <v>1321527.1880006148</v>
      </c>
      <c r="J344" s="147">
        <f ca="1"/>
        <v>1354997.7591567917</v>
      </c>
      <c r="K344" s="147">
        <f ca="1"/>
        <v>1943014.933120941</v>
      </c>
      <c r="L344" s="147">
        <f ca="1"/>
        <v>1992488.89799378</v>
      </c>
      <c r="M344" s="147">
        <f ca="1"/>
        <v>2050396.0668068256</v>
      </c>
      <c r="N344" s="147">
        <f ca="1"/>
        <v>2112051.5118008936</v>
      </c>
      <c r="O344" s="147">
        <f ca="1"/>
        <v>2172124.7657899125</v>
      </c>
      <c r="P344" s="147">
        <f ca="1"/>
        <v>2230147.4883628087</v>
      </c>
      <c r="Q344" s="147">
        <f ca="1"/>
        <v>2285759.6873023156</v>
      </c>
      <c r="R344" s="147">
        <f ca="1"/>
        <v>2338615.112666287</v>
      </c>
      <c r="S344" s="147">
        <f ca="1"/>
        <v>2388363.1721386909</v>
      </c>
      <c r="T344" s="147">
        <f ca="1"/>
        <v>2434676.5964985201</v>
      </c>
      <c r="U344" s="147">
        <f ca="1"/>
        <v>2477336.0648527662</v>
      </c>
      <c r="V344" s="147">
        <f ca="1"/>
        <v>2516163.3758593942</v>
      </c>
      <c r="W344" s="147">
        <f ca="1"/>
        <v>2550968.3337726798</v>
      </c>
      <c r="X344" s="147">
        <f ca="1"/>
        <v>2581601.4352858048</v>
      </c>
      <c r="Y344" s="147">
        <f ca="1"/>
        <v>2607902.1433145292</v>
      </c>
      <c r="Z344" s="147">
        <f ca="1"/>
        <v>2629765.6907334304</v>
      </c>
      <c r="AA344" s="147">
        <f ca="1"/>
        <v>2647131.9764323868</v>
      </c>
      <c r="AB344" s="147">
        <f ca="1"/>
        <v>2659922.8554394855</v>
      </c>
      <c r="AC344" s="147">
        <f ca="1"/>
        <v>2668068.6480504433</v>
      </c>
      <c r="AD344" s="147">
        <f ca="1"/>
        <v>2671544.7099411963</v>
      </c>
      <c r="AE344" s="147">
        <f ca="1"/>
        <v>2670348.96252712</v>
      </c>
      <c r="AF344" s="147">
        <f ca="1"/>
        <v>2664457.8807290425</v>
      </c>
      <c r="AG344" s="147">
        <f ca="1"/>
        <v>2653859.572826351</v>
      </c>
      <c r="AH344" s="147">
        <f ca="1"/>
        <v>2638562.8693104573</v>
      </c>
    </row>
    <row r="345" spans="2:34">
      <c r="B345" s="149">
        <v>2</v>
      </c>
      <c r="C345" s="149">
        <v>7</v>
      </c>
      <c r="D345" s="145" t="str">
        <v>Veículos Comerciais com 6 Eixos Articulado</v>
      </c>
      <c r="E345" s="147">
        <f ca="1"/>
        <v>0</v>
      </c>
      <c r="F345" s="147">
        <f ca="1"/>
        <v>10379948.30773522</v>
      </c>
      <c r="G345" s="147">
        <f ca="1"/>
        <v>14085558.270645028</v>
      </c>
      <c r="H345" s="147">
        <f ca="1"/>
        <v>14359909.378627792</v>
      </c>
      <c r="I345" s="147">
        <f ca="1"/>
        <v>14665026.45852563</v>
      </c>
      <c r="J345" s="147">
        <f ca="1"/>
        <v>15036450.380821111</v>
      </c>
      <c r="K345" s="147">
        <f ca="1"/>
        <v>21561694.426157925</v>
      </c>
      <c r="L345" s="147">
        <f ca="1"/>
        <v>22110708.483875532</v>
      </c>
      <c r="M345" s="147">
        <f ca="1"/>
        <v>22753306.056208801</v>
      </c>
      <c r="N345" s="147">
        <f ca="1"/>
        <v>23437498.36065783</v>
      </c>
      <c r="O345" s="147">
        <f ca="1"/>
        <v>24104133.044528048</v>
      </c>
      <c r="P345" s="147">
        <f ca="1"/>
        <v>24748012.920366686</v>
      </c>
      <c r="Q345" s="147">
        <f ca="1"/>
        <v>25365143.143845886</v>
      </c>
      <c r="R345" s="147">
        <f ca="1"/>
        <v>25951681.369073004</v>
      </c>
      <c r="S345" s="147">
        <f ca="1"/>
        <v>26503737.062703405</v>
      </c>
      <c r="T345" s="147">
        <f ca="1"/>
        <v>27017678.508470703</v>
      </c>
      <c r="U345" s="147">
        <f ca="1"/>
        <v>27491071.895910688</v>
      </c>
      <c r="V345" s="147">
        <f ca="1"/>
        <v>27921939.719437703</v>
      </c>
      <c r="W345" s="147">
        <f ca="1"/>
        <v>28308171.371212061</v>
      </c>
      <c r="X345" s="147">
        <f ca="1"/>
        <v>28648107.808597319</v>
      </c>
      <c r="Y345" s="147">
        <f ca="1"/>
        <v>28939967.546801228</v>
      </c>
      <c r="Z345" s="147">
        <f ca="1"/>
        <v>29182587.981921066</v>
      </c>
      <c r="AA345" s="147">
        <f ca="1"/>
        <v>29375302.170152657</v>
      </c>
      <c r="AB345" s="147">
        <f ca="1"/>
        <v>29517242.934421532</v>
      </c>
      <c r="AC345" s="147">
        <f ca="1"/>
        <v>29607637.036979567</v>
      </c>
      <c r="AD345" s="147">
        <f ca="1"/>
        <v>29646210.999030601</v>
      </c>
      <c r="AE345" s="147">
        <f ca="1"/>
        <v>29632941.754459359</v>
      </c>
      <c r="AF345" s="147">
        <f ca="1"/>
        <v>29567568.244763467</v>
      </c>
      <c r="AG345" s="147">
        <f ca="1"/>
        <v>29449958.507166073</v>
      </c>
      <c r="AH345" s="147">
        <f ca="1"/>
        <v>29280210.533892676</v>
      </c>
    </row>
    <row r="346" spans="2:34">
      <c r="B346" s="149">
        <v>2</v>
      </c>
      <c r="C346" s="149">
        <v>8</v>
      </c>
      <c r="D346" s="145" t="str">
        <v>Veículos Comerciais com 7 Eixos Articulado</v>
      </c>
      <c r="E346" s="147">
        <f ca="1"/>
        <v>0</v>
      </c>
      <c r="F346" s="147">
        <f ca="1"/>
        <v>440832.92241987545</v>
      </c>
      <c r="G346" s="147">
        <f ca="1"/>
        <v>598208.93440640916</v>
      </c>
      <c r="H346" s="147">
        <f ca="1"/>
        <v>609860.53392459231</v>
      </c>
      <c r="I346" s="147">
        <f ca="1"/>
        <v>622818.75394880434</v>
      </c>
      <c r="J346" s="147">
        <f ca="1"/>
        <v>638593.00332537899</v>
      </c>
      <c r="K346" s="147">
        <f ca="1"/>
        <v>915717.92887679976</v>
      </c>
      <c r="L346" s="147">
        <f ca="1"/>
        <v>939034.3717277617</v>
      </c>
      <c r="M346" s="147">
        <f ca="1"/>
        <v>966325.27504955337</v>
      </c>
      <c r="N346" s="147">
        <f ca="1"/>
        <v>995382.69269032206</v>
      </c>
      <c r="O346" s="147">
        <f ca="1"/>
        <v>1023694.4440752458</v>
      </c>
      <c r="P346" s="147">
        <f ca="1"/>
        <v>1051039.8063967298</v>
      </c>
      <c r="Q346" s="147">
        <f ca="1"/>
        <v>1077249.1199563388</v>
      </c>
      <c r="R346" s="147">
        <f ca="1"/>
        <v>1102159.2016130225</v>
      </c>
      <c r="S346" s="147">
        <f ca="1"/>
        <v>1125604.821720809</v>
      </c>
      <c r="T346" s="147">
        <f ca="1"/>
        <v>1147431.7425082135</v>
      </c>
      <c r="U346" s="147">
        <f ca="1"/>
        <v>1167536.6008613037</v>
      </c>
      <c r="V346" s="147">
        <f ca="1"/>
        <v>1185835.4127812588</v>
      </c>
      <c r="W346" s="147">
        <f ca="1"/>
        <v>1202238.5414611837</v>
      </c>
      <c r="X346" s="147">
        <f ca="1"/>
        <v>1216675.527916874</v>
      </c>
      <c r="Y346" s="147">
        <f ca="1"/>
        <v>1229070.7130868474</v>
      </c>
      <c r="Z346" s="147">
        <f ca="1"/>
        <v>1239374.7215733789</v>
      </c>
      <c r="AA346" s="147">
        <f ca="1"/>
        <v>1247559.2284968472</v>
      </c>
      <c r="AB346" s="147">
        <f ca="1"/>
        <v>1253587.4051378164</v>
      </c>
      <c r="AC346" s="147">
        <f ca="1"/>
        <v>1257426.4123485256</v>
      </c>
      <c r="AD346" s="147">
        <f ca="1"/>
        <v>1259064.6355762463</v>
      </c>
      <c r="AE346" s="147">
        <f ca="1"/>
        <v>1258501.0952108002</v>
      </c>
      <c r="AF346" s="147">
        <f ca="1"/>
        <v>1255724.704185172</v>
      </c>
      <c r="AG346" s="147">
        <f ca="1"/>
        <v>1250729.8580844977</v>
      </c>
      <c r="AH346" s="147">
        <f ca="1"/>
        <v>1243520.7186057204</v>
      </c>
    </row>
    <row r="347" spans="2:34">
      <c r="B347" s="149">
        <v>2</v>
      </c>
      <c r="C347" s="149">
        <v>9</v>
      </c>
      <c r="D347" s="145" t="str">
        <v>Veículos Comerciais com 8 Eixos Articulado</v>
      </c>
      <c r="E347" s="147">
        <f ca="1"/>
        <v>0</v>
      </c>
      <c r="F347" s="147">
        <f ca="1"/>
        <v>0</v>
      </c>
      <c r="G347" s="147">
        <f ca="1"/>
        <v>0</v>
      </c>
      <c r="H347" s="147">
        <f ca="1"/>
        <v>0</v>
      </c>
      <c r="I347" s="147">
        <f ca="1"/>
        <v>0</v>
      </c>
      <c r="J347" s="147">
        <f ca="1"/>
        <v>0</v>
      </c>
      <c r="K347" s="147">
        <f ca="1"/>
        <v>0</v>
      </c>
      <c r="L347" s="147">
        <f ca="1"/>
        <v>0</v>
      </c>
      <c r="M347" s="147">
        <f ca="1"/>
        <v>0</v>
      </c>
      <c r="N347" s="147">
        <f ca="1"/>
        <v>0</v>
      </c>
      <c r="O347" s="147">
        <f ca="1"/>
        <v>0</v>
      </c>
      <c r="P347" s="147">
        <f ca="1"/>
        <v>0</v>
      </c>
      <c r="Q347" s="147">
        <f ca="1"/>
        <v>0</v>
      </c>
      <c r="R347" s="147">
        <f ca="1"/>
        <v>0</v>
      </c>
      <c r="S347" s="147">
        <f ca="1"/>
        <v>0</v>
      </c>
      <c r="T347" s="147">
        <f ca="1"/>
        <v>0</v>
      </c>
      <c r="U347" s="147">
        <f ca="1"/>
        <v>0</v>
      </c>
      <c r="V347" s="147">
        <f ca="1"/>
        <v>0</v>
      </c>
      <c r="W347" s="147">
        <f ca="1"/>
        <v>0</v>
      </c>
      <c r="X347" s="147">
        <f ca="1"/>
        <v>0</v>
      </c>
      <c r="Y347" s="147">
        <f ca="1"/>
        <v>0</v>
      </c>
      <c r="Z347" s="147">
        <f ca="1"/>
        <v>0</v>
      </c>
      <c r="AA347" s="147">
        <f ca="1"/>
        <v>0</v>
      </c>
      <c r="AB347" s="147">
        <f ca="1"/>
        <v>0</v>
      </c>
      <c r="AC347" s="147">
        <f ca="1"/>
        <v>0</v>
      </c>
      <c r="AD347" s="147">
        <f ca="1"/>
        <v>0</v>
      </c>
      <c r="AE347" s="147">
        <f ca="1"/>
        <v>0</v>
      </c>
      <c r="AF347" s="147">
        <f ca="1"/>
        <v>0</v>
      </c>
      <c r="AG347" s="147">
        <f ca="1"/>
        <v>0</v>
      </c>
      <c r="AH347" s="147">
        <f ca="1"/>
        <v>0</v>
      </c>
    </row>
    <row r="348" spans="2:34">
      <c r="B348" s="149">
        <v>2</v>
      </c>
      <c r="C348" s="149">
        <v>10</v>
      </c>
      <c r="D348" s="145" t="str">
        <v>Veículos Comerciais com 9 Eixos Articulado</v>
      </c>
      <c r="E348" s="147">
        <f ca="1"/>
        <v>0</v>
      </c>
      <c r="F348" s="147">
        <f ca="1"/>
        <v>316732.89804117114</v>
      </c>
      <c r="G348" s="147">
        <f ca="1"/>
        <v>429805.57892225211</v>
      </c>
      <c r="H348" s="147">
        <f ca="1"/>
        <v>438177.10630716523</v>
      </c>
      <c r="I348" s="147">
        <f ca="1"/>
        <v>447487.42405565368</v>
      </c>
      <c r="J348" s="147">
        <f ca="1"/>
        <v>458821.02339764644</v>
      </c>
      <c r="K348" s="147">
        <f ca="1"/>
        <v>657931.78923501179</v>
      </c>
      <c r="L348" s="147">
        <f ca="1"/>
        <v>674684.35951868619</v>
      </c>
      <c r="M348" s="147">
        <f ca="1"/>
        <v>694292.52955241012</v>
      </c>
      <c r="N348" s="147">
        <f ca="1"/>
        <v>715169.91785733239</v>
      </c>
      <c r="O348" s="147">
        <f ca="1"/>
        <v>735511.55435658421</v>
      </c>
      <c r="P348" s="147">
        <f ca="1"/>
        <v>755158.85249512945</v>
      </c>
      <c r="Q348" s="147">
        <f ca="1"/>
        <v>773989.91391821008</v>
      </c>
      <c r="R348" s="147">
        <f ca="1"/>
        <v>791887.49359591107</v>
      </c>
      <c r="S348" s="147">
        <f ca="1"/>
        <v>808732.87611032929</v>
      </c>
      <c r="T348" s="147">
        <f ca="1"/>
        <v>824415.24356682587</v>
      </c>
      <c r="U348" s="147">
        <f ca="1"/>
        <v>838860.33087093686</v>
      </c>
      <c r="V348" s="147">
        <f ca="1"/>
        <v>852007.79657813185</v>
      </c>
      <c r="W348" s="147">
        <f ca="1"/>
        <v>863793.23777253134</v>
      </c>
      <c r="X348" s="147">
        <f ca="1"/>
        <v>874166.03056212422</v>
      </c>
      <c r="Y348" s="147">
        <f ca="1"/>
        <v>883071.81486492022</v>
      </c>
      <c r="Z348" s="147">
        <f ca="1"/>
        <v>890475.11508003296</v>
      </c>
      <c r="AA348" s="147">
        <f ca="1"/>
        <v>896355.5801384917</v>
      </c>
      <c r="AB348" s="147">
        <f ca="1"/>
        <v>900686.74906960805</v>
      </c>
      <c r="AC348" s="147">
        <f ca="1"/>
        <v>903445.02735965513</v>
      </c>
      <c r="AD348" s="147">
        <f ca="1"/>
        <v>904622.07009889989</v>
      </c>
      <c r="AE348" s="147">
        <f ca="1"/>
        <v>904217.17344977707</v>
      </c>
      <c r="AF348" s="147">
        <f ca="1"/>
        <v>902222.37149438879</v>
      </c>
      <c r="AG348" s="147">
        <f ca="1"/>
        <v>898633.63753129926</v>
      </c>
      <c r="AH348" s="147">
        <f ca="1"/>
        <v>893453.9616873035</v>
      </c>
    </row>
    <row r="349" spans="2:34">
      <c r="B349" s="149">
        <v>2</v>
      </c>
      <c r="C349" s="149">
        <v>11</v>
      </c>
      <c r="D349" s="145" t="str">
        <v>Motocicleta</v>
      </c>
      <c r="E349" s="147">
        <f ca="1"/>
        <v>0</v>
      </c>
      <c r="F349" s="147">
        <f ca="1"/>
        <v>806049.52920194564</v>
      </c>
      <c r="G349" s="147">
        <f ca="1"/>
        <v>1088276.6022242736</v>
      </c>
      <c r="H349" s="147">
        <f ca="1"/>
        <v>1107173.3495039451</v>
      </c>
      <c r="I349" s="147">
        <f ca="1"/>
        <v>1128936.7280910194</v>
      </c>
      <c r="J349" s="147">
        <f ca="1"/>
        <v>1156707.6400176201</v>
      </c>
      <c r="K349" s="147">
        <f ca="1"/>
        <v>1662340.193100204</v>
      </c>
      <c r="L349" s="147">
        <f ca="1"/>
        <v>1704522.7999375374</v>
      </c>
      <c r="M349" s="147">
        <f ca="1"/>
        <v>1750408.3597732428</v>
      </c>
      <c r="N349" s="147">
        <f ca="1"/>
        <v>1805258.9821547922</v>
      </c>
      <c r="O349" s="147">
        <f ca="1"/>
        <v>1864357.6595603246</v>
      </c>
      <c r="P349" s="147">
        <f ca="1"/>
        <v>1927788.6773952434</v>
      </c>
      <c r="Q349" s="147">
        <f ca="1"/>
        <v>1990002.0149683347</v>
      </c>
      <c r="R349" s="147">
        <f ca="1"/>
        <v>2050616.0770268051</v>
      </c>
      <c r="S349" s="147">
        <f ca="1"/>
        <v>2109232.3268178226</v>
      </c>
      <c r="T349" s="147">
        <f ca="1"/>
        <v>2165466.3083175356</v>
      </c>
      <c r="U349" s="147">
        <f ca="1"/>
        <v>2219028.58092988</v>
      </c>
      <c r="V349" s="147">
        <f ca="1"/>
        <v>2269667.1160979946</v>
      </c>
      <c r="W349" s="147">
        <f ca="1"/>
        <v>2317116.4766565845</v>
      </c>
      <c r="X349" s="147">
        <f ca="1"/>
        <v>2361144.7007554234</v>
      </c>
      <c r="Y349" s="147">
        <f ca="1"/>
        <v>2401509.0728212637</v>
      </c>
      <c r="Z349" s="147">
        <f ca="1"/>
        <v>2438018.2868084335</v>
      </c>
      <c r="AA349" s="147">
        <f ca="1"/>
        <v>2470524.1116550374</v>
      </c>
      <c r="AB349" s="147">
        <f ca="1"/>
        <v>2498863.83275251</v>
      </c>
      <c r="AC349" s="147">
        <f ca="1"/>
        <v>2522882.9520122744</v>
      </c>
      <c r="AD349" s="147">
        <f ca="1"/>
        <v>2542469.4914626996</v>
      </c>
      <c r="AE349" s="147">
        <f ca="1"/>
        <v>2557531.3481087424</v>
      </c>
      <c r="AF349" s="147">
        <f ca="1"/>
        <v>2567954.8221245906</v>
      </c>
      <c r="AG349" s="147">
        <f ca="1"/>
        <v>2573637.7157578669</v>
      </c>
      <c r="AH349" s="147">
        <f ca="1"/>
        <v>2574499.7710780213</v>
      </c>
    </row>
    <row r="350" spans="2:34">
      <c r="B350" s="149">
        <v>2</v>
      </c>
      <c r="C350" s="149">
        <v>12</v>
      </c>
      <c r="D350" s="145" t="str">
        <v xml:space="preserve">Veículos do transporte público coletivo intermunicipal e metropolitano </v>
      </c>
      <c r="E350" s="147">
        <f ca="1"/>
        <v>0</v>
      </c>
      <c r="F350" s="147">
        <f ca="1"/>
        <v>0</v>
      </c>
      <c r="G350" s="147">
        <f ca="1"/>
        <v>0</v>
      </c>
      <c r="H350" s="147">
        <f ca="1"/>
        <v>0</v>
      </c>
      <c r="I350" s="147">
        <f ca="1"/>
        <v>0</v>
      </c>
      <c r="J350" s="147">
        <f ca="1"/>
        <v>0</v>
      </c>
      <c r="K350" s="147">
        <f ca="1"/>
        <v>0</v>
      </c>
      <c r="L350" s="147">
        <f ca="1"/>
        <v>0</v>
      </c>
      <c r="M350" s="147">
        <f ca="1"/>
        <v>0</v>
      </c>
      <c r="N350" s="147">
        <f ca="1"/>
        <v>0</v>
      </c>
      <c r="O350" s="147">
        <f ca="1"/>
        <v>0</v>
      </c>
      <c r="P350" s="147">
        <f ca="1"/>
        <v>0</v>
      </c>
      <c r="Q350" s="147">
        <f ca="1"/>
        <v>0</v>
      </c>
      <c r="R350" s="147">
        <f ca="1"/>
        <v>0</v>
      </c>
      <c r="S350" s="147">
        <f ca="1"/>
        <v>0</v>
      </c>
      <c r="T350" s="147">
        <f ca="1"/>
        <v>0</v>
      </c>
      <c r="U350" s="147">
        <f ca="1"/>
        <v>0</v>
      </c>
      <c r="V350" s="147">
        <f ca="1"/>
        <v>0</v>
      </c>
      <c r="W350" s="147">
        <f ca="1"/>
        <v>0</v>
      </c>
      <c r="X350" s="147">
        <f ca="1"/>
        <v>0</v>
      </c>
      <c r="Y350" s="147">
        <f ca="1"/>
        <v>0</v>
      </c>
      <c r="Z350" s="147">
        <f ca="1"/>
        <v>0</v>
      </c>
      <c r="AA350" s="147">
        <f ca="1"/>
        <v>0</v>
      </c>
      <c r="AB350" s="147">
        <f ca="1"/>
        <v>0</v>
      </c>
      <c r="AC350" s="147">
        <f ca="1"/>
        <v>0</v>
      </c>
      <c r="AD350" s="147">
        <f ca="1"/>
        <v>0</v>
      </c>
      <c r="AE350" s="147">
        <f ca="1"/>
        <v>0</v>
      </c>
      <c r="AF350" s="147">
        <f ca="1"/>
        <v>0</v>
      </c>
      <c r="AG350" s="147">
        <f ca="1"/>
        <v>0</v>
      </c>
      <c r="AH350" s="147">
        <f ca="1"/>
        <v>0</v>
      </c>
    </row>
    <row r="351" spans="2:34">
      <c r="B351" s="149">
        <v>3</v>
      </c>
      <c r="C351" s="149">
        <v>1</v>
      </c>
      <c r="D351" s="145" t="str">
        <v>Automóvel</v>
      </c>
      <c r="E351" s="147">
        <f ca="1"/>
        <v>0</v>
      </c>
      <c r="F351" s="147">
        <f ca="1"/>
        <v>5594038.14391567</v>
      </c>
      <c r="G351" s="147">
        <f ca="1"/>
        <v>7573469.363375321</v>
      </c>
      <c r="H351" s="147">
        <f ca="1"/>
        <v>7723162.5628514234</v>
      </c>
      <c r="I351" s="147">
        <f ca="1"/>
        <v>7892214.0481881257</v>
      </c>
      <c r="J351" s="147">
        <f ca="1"/>
        <v>8100111.3257708251</v>
      </c>
      <c r="K351" s="147">
        <f ca="1"/>
        <v>8327068.5016983105</v>
      </c>
      <c r="L351" s="147">
        <f ca="1"/>
        <v>8551154.9922569711</v>
      </c>
      <c r="M351" s="147">
        <f ca="1"/>
        <v>8792122.200807808</v>
      </c>
      <c r="N351" s="147">
        <f ca="1"/>
        <v>9073280.956643967</v>
      </c>
      <c r="O351" s="147">
        <f ca="1"/>
        <v>9373254.9658200275</v>
      </c>
      <c r="P351" s="147">
        <f ca="1"/>
        <v>9692161.1048107538</v>
      </c>
      <c r="Q351" s="147">
        <f ca="1"/>
        <v>10004945.227726709</v>
      </c>
      <c r="R351" s="147">
        <f ca="1"/>
        <v>10309688.824146973</v>
      </c>
      <c r="S351" s="147">
        <f ca="1"/>
        <v>10604388.208470564</v>
      </c>
      <c r="T351" s="147">
        <f ca="1"/>
        <v>10887110.487448042</v>
      </c>
      <c r="U351" s="147">
        <f ca="1"/>
        <v>11156400.467924571</v>
      </c>
      <c r="V351" s="147">
        <f ca="1"/>
        <v>11410991.04972223</v>
      </c>
      <c r="W351" s="147">
        <f ca="1"/>
        <v>11649547.719468569</v>
      </c>
      <c r="X351" s="147">
        <f ca="1"/>
        <v>11870904.264471851</v>
      </c>
      <c r="Y351" s="147">
        <f ca="1"/>
        <v>12073840.406562513</v>
      </c>
      <c r="Z351" s="147">
        <f ca="1"/>
        <v>12257394.334398506</v>
      </c>
      <c r="AA351" s="147">
        <f ca="1"/>
        <v>12420820.800666448</v>
      </c>
      <c r="AB351" s="147">
        <f ca="1"/>
        <v>12563301.740492916</v>
      </c>
      <c r="AC351" s="147">
        <f ca="1"/>
        <v>12684060.398426237</v>
      </c>
      <c r="AD351" s="147">
        <f ca="1"/>
        <v>12782533.793391785</v>
      </c>
      <c r="AE351" s="147">
        <f ca="1"/>
        <v>12858258.867858065</v>
      </c>
      <c r="AF351" s="147">
        <f ca="1"/>
        <v>12910663.983946785</v>
      </c>
      <c r="AG351" s="147">
        <f ca="1"/>
        <v>12939235.331668172</v>
      </c>
      <c r="AH351" s="147">
        <f ca="1"/>
        <v>12943569.405803045</v>
      </c>
    </row>
    <row r="352" spans="2:34">
      <c r="B352" s="149">
        <v>3</v>
      </c>
      <c r="C352" s="149">
        <v>2</v>
      </c>
      <c r="D352" s="145" t="str">
        <v xml:space="preserve">Automóvel com reboque </v>
      </c>
      <c r="E352" s="147">
        <f ca="1"/>
        <v>0</v>
      </c>
      <c r="F352" s="147">
        <f ca="1"/>
        <v>63436.051702634097</v>
      </c>
      <c r="G352" s="147">
        <f ca="1"/>
        <v>86011.732056599751</v>
      </c>
      <c r="H352" s="147">
        <f ca="1"/>
        <v>87824.567989469142</v>
      </c>
      <c r="I352" s="147">
        <f ca="1"/>
        <v>89853.59111160069</v>
      </c>
      <c r="J352" s="147">
        <f ca="1"/>
        <v>92305.42275418069</v>
      </c>
      <c r="K352" s="147">
        <f ca="1"/>
        <v>94966.447839791494</v>
      </c>
      <c r="L352" s="147">
        <f ca="1"/>
        <v>97600.707567414021</v>
      </c>
      <c r="M352" s="147">
        <f ca="1"/>
        <v>100417.2196044584</v>
      </c>
      <c r="N352" s="147">
        <f ca="1"/>
        <v>103663.07733856617</v>
      </c>
      <c r="O352" s="147">
        <f ca="1"/>
        <v>107108.35214224072</v>
      </c>
      <c r="P352" s="147">
        <f ca="1"/>
        <v>110752.49829636732</v>
      </c>
      <c r="Q352" s="147">
        <f ca="1"/>
        <v>114326.68806331056</v>
      </c>
      <c r="R352" s="147">
        <f ca="1"/>
        <v>117808.99859017662</v>
      </c>
      <c r="S352" s="147">
        <f ca="1"/>
        <v>121176.53372576559</v>
      </c>
      <c r="T352" s="147">
        <f ca="1"/>
        <v>124407.20626434487</v>
      </c>
      <c r="U352" s="147">
        <f ca="1"/>
        <v>127484.38768770685</v>
      </c>
      <c r="V352" s="147">
        <f ca="1"/>
        <v>130393.59881945548</v>
      </c>
      <c r="W352" s="147">
        <f ca="1"/>
        <v>133119.59015141492</v>
      </c>
      <c r="X352" s="147">
        <f ca="1"/>
        <v>135649.0353502981</v>
      </c>
      <c r="Y352" s="147">
        <f ca="1"/>
        <v>137967.99027563579</v>
      </c>
      <c r="Z352" s="147">
        <f ca="1"/>
        <v>140065.46429201975</v>
      </c>
      <c r="AA352" s="147">
        <f ca="1"/>
        <v>141932.94144507052</v>
      </c>
      <c r="AB352" s="147">
        <f ca="1"/>
        <v>143561.07369284789</v>
      </c>
      <c r="AC352" s="147">
        <f ca="1"/>
        <v>144940.98503691267</v>
      </c>
      <c r="AD352" s="147">
        <f ca="1"/>
        <v>146066.24228245576</v>
      </c>
      <c r="AE352" s="147">
        <f ca="1"/>
        <v>146931.55406278264</v>
      </c>
      <c r="AF352" s="147">
        <f ca="1"/>
        <v>147530.38826163393</v>
      </c>
      <c r="AG352" s="147">
        <f ca="1"/>
        <v>147856.87356306656</v>
      </c>
      <c r="AH352" s="147">
        <f ca="1"/>
        <v>147906.39910572395</v>
      </c>
    </row>
    <row r="353" spans="2:34">
      <c r="B353" s="149">
        <v>3</v>
      </c>
      <c r="C353" s="149">
        <v>3</v>
      </c>
      <c r="D353" s="145" t="str">
        <v>Veículos Comerciais com 2 Eixos</v>
      </c>
      <c r="E353" s="147">
        <f ca="1"/>
        <v>0</v>
      </c>
      <c r="F353" s="147">
        <f ca="1"/>
        <v>1048128.4610917257</v>
      </c>
      <c r="G353" s="147">
        <f ca="1"/>
        <v>1405018.7064429522</v>
      </c>
      <c r="H353" s="147">
        <f ca="1"/>
        <v>1414399.2785544242</v>
      </c>
      <c r="I353" s="147">
        <f ca="1"/>
        <v>1425787.9035167438</v>
      </c>
      <c r="J353" s="147">
        <f ca="1"/>
        <v>1442644.5498761896</v>
      </c>
      <c r="K353" s="147">
        <f ca="1"/>
        <v>1458057.8183418573</v>
      </c>
      <c r="L353" s="147">
        <f ca="1"/>
        <v>1475418.3118818004</v>
      </c>
      <c r="M353" s="147">
        <f ca="1"/>
        <v>1498412.560850654</v>
      </c>
      <c r="N353" s="147">
        <f ca="1"/>
        <v>1523552.7231229325</v>
      </c>
      <c r="O353" s="147">
        <f ca="1"/>
        <v>1547071.501704701</v>
      </c>
      <c r="P353" s="147">
        <f ca="1"/>
        <v>1568804.4366130163</v>
      </c>
      <c r="Q353" s="147">
        <f ca="1"/>
        <v>1588647.1057636342</v>
      </c>
      <c r="R353" s="147">
        <f ca="1"/>
        <v>1606506.5042643042</v>
      </c>
      <c r="S353" s="147">
        <f ca="1"/>
        <v>1622292.5583904143</v>
      </c>
      <c r="T353" s="147">
        <f ca="1"/>
        <v>1635927.4365304969</v>
      </c>
      <c r="U353" s="147">
        <f ca="1"/>
        <v>1647385.4438512602</v>
      </c>
      <c r="V353" s="147">
        <f ca="1"/>
        <v>1656656.5633120521</v>
      </c>
      <c r="W353" s="147">
        <f ca="1"/>
        <v>1663721.3475940691</v>
      </c>
      <c r="X353" s="147">
        <f ca="1"/>
        <v>1668578.4291993731</v>
      </c>
      <c r="Y353" s="147">
        <f ca="1"/>
        <v>1671216.4813382851</v>
      </c>
      <c r="Z353" s="147">
        <f ca="1"/>
        <v>1671647.3135929133</v>
      </c>
      <c r="AA353" s="147">
        <f ca="1"/>
        <v>1669899.3180873187</v>
      </c>
      <c r="AB353" s="147">
        <f ca="1"/>
        <v>1665986.3581347114</v>
      </c>
      <c r="AC353" s="147">
        <f ca="1"/>
        <v>1659922.2818738141</v>
      </c>
      <c r="AD353" s="147">
        <f ca="1"/>
        <v>1651738.9619332682</v>
      </c>
      <c r="AE353" s="147">
        <f ca="1"/>
        <v>1641476.4620824731</v>
      </c>
      <c r="AF353" s="147">
        <f ca="1"/>
        <v>1629161.6862866913</v>
      </c>
      <c r="AG353" s="147">
        <f ca="1"/>
        <v>1614823.4024044941</v>
      </c>
      <c r="AH353" s="147">
        <f ca="1"/>
        <v>1598495.7593973118</v>
      </c>
    </row>
    <row r="354" spans="2:34">
      <c r="B354" s="149">
        <v>3</v>
      </c>
      <c r="C354" s="149">
        <v>4</v>
      </c>
      <c r="D354" s="145" t="str">
        <v>Veículos Comerciais com 3 Eixos</v>
      </c>
      <c r="E354" s="147">
        <f ca="1"/>
        <v>0</v>
      </c>
      <c r="F354" s="147">
        <f ca="1"/>
        <v>727166.50064360281</v>
      </c>
      <c r="G354" s="147">
        <f ca="1"/>
        <v>974768.43157063308</v>
      </c>
      <c r="H354" s="147">
        <f ca="1"/>
        <v>981276.44852613995</v>
      </c>
      <c r="I354" s="147">
        <f ca="1"/>
        <v>989177.60460424726</v>
      </c>
      <c r="J354" s="147">
        <f ca="1"/>
        <v>1000872.3433703498</v>
      </c>
      <c r="K354" s="147">
        <f ca="1"/>
        <v>1011565.7010165927</v>
      </c>
      <c r="L354" s="147">
        <f ca="1"/>
        <v>1023609.9969264062</v>
      </c>
      <c r="M354" s="147">
        <f ca="1"/>
        <v>1039562.8578383147</v>
      </c>
      <c r="N354" s="147">
        <f ca="1"/>
        <v>1057004.5021631944</v>
      </c>
      <c r="O354" s="147">
        <f ca="1"/>
        <v>1073321.2691966007</v>
      </c>
      <c r="P354" s="147">
        <f ca="1"/>
        <v>1088399.0605291</v>
      </c>
      <c r="Q354" s="147">
        <f ca="1"/>
        <v>1102165.4306118803</v>
      </c>
      <c r="R354" s="147">
        <f ca="1"/>
        <v>1114555.854871331</v>
      </c>
      <c r="S354" s="147">
        <f ca="1"/>
        <v>1125507.8423079641</v>
      </c>
      <c r="T354" s="147">
        <f ca="1"/>
        <v>1134967.395208091</v>
      </c>
      <c r="U354" s="147">
        <f ca="1"/>
        <v>1142916.6871098776</v>
      </c>
      <c r="V354" s="147">
        <f ca="1"/>
        <v>1149348.7684296907</v>
      </c>
      <c r="W354" s="147">
        <f ca="1"/>
        <v>1154250.1470820799</v>
      </c>
      <c r="X354" s="147">
        <f ca="1"/>
        <v>1157619.8743296256</v>
      </c>
      <c r="Y354" s="147">
        <f ca="1"/>
        <v>1159450.0919160938</v>
      </c>
      <c r="Z354" s="147">
        <f ca="1"/>
        <v>1159748.9930475794</v>
      </c>
      <c r="AA354" s="147">
        <f ca="1"/>
        <v>1158536.2755018501</v>
      </c>
      <c r="AB354" s="147">
        <f ca="1"/>
        <v>1155821.5573146041</v>
      </c>
      <c r="AC354" s="147">
        <f ca="1"/>
        <v>1151614.4459938414</v>
      </c>
      <c r="AD354" s="147">
        <f ca="1"/>
        <v>1145937.0540083062</v>
      </c>
      <c r="AE354" s="147">
        <f ca="1"/>
        <v>1138817.1766446233</v>
      </c>
      <c r="AF354" s="147">
        <f ca="1"/>
        <v>1130273.4792315203</v>
      </c>
      <c r="AG354" s="147">
        <f ca="1"/>
        <v>1120325.9202223967</v>
      </c>
      <c r="AH354" s="147">
        <f ca="1"/>
        <v>1108998.1913513341</v>
      </c>
    </row>
    <row r="355" spans="2:34">
      <c r="B355" s="149">
        <v>3</v>
      </c>
      <c r="C355" s="149">
        <v>5</v>
      </c>
      <c r="D355" s="145" t="str">
        <v>Veículos Comerciais com 4 Eixos</v>
      </c>
      <c r="E355" s="147">
        <f ca="1"/>
        <v>0</v>
      </c>
      <c r="F355" s="147">
        <f ca="1"/>
        <v>250666.50496909852</v>
      </c>
      <c r="G355" s="147">
        <f ca="1"/>
        <v>336019.04884198838</v>
      </c>
      <c r="H355" s="147">
        <f ca="1"/>
        <v>338262.47158364742</v>
      </c>
      <c r="I355" s="147">
        <f ca="1"/>
        <v>340986.13277755782</v>
      </c>
      <c r="J355" s="147">
        <f ca="1"/>
        <v>345017.50563429814</v>
      </c>
      <c r="K355" s="147">
        <f ca="1"/>
        <v>348703.685601604</v>
      </c>
      <c r="L355" s="147">
        <f ca="1"/>
        <v>352855.55667632265</v>
      </c>
      <c r="M355" s="147">
        <f ca="1"/>
        <v>358354.77574858046</v>
      </c>
      <c r="N355" s="147">
        <f ca="1"/>
        <v>364367.20346625184</v>
      </c>
      <c r="O355" s="147">
        <f ca="1"/>
        <v>369991.8670901109</v>
      </c>
      <c r="P355" s="147">
        <f ca="1"/>
        <v>375189.4349822317</v>
      </c>
      <c r="Q355" s="147">
        <f ca="1"/>
        <v>379934.93394527171</v>
      </c>
      <c r="R355" s="147">
        <f ca="1"/>
        <v>384206.12127506745</v>
      </c>
      <c r="S355" s="147">
        <f ca="1"/>
        <v>387981.4552746074</v>
      </c>
      <c r="T355" s="147">
        <f ca="1"/>
        <v>391242.32202513347</v>
      </c>
      <c r="U355" s="147">
        <f ca="1"/>
        <v>393982.57644586975</v>
      </c>
      <c r="V355" s="147">
        <f ca="1"/>
        <v>396199.82289862516</v>
      </c>
      <c r="W355" s="147">
        <f ca="1"/>
        <v>397889.41043495561</v>
      </c>
      <c r="X355" s="147">
        <f ca="1"/>
        <v>399051.01200913964</v>
      </c>
      <c r="Y355" s="147">
        <f ca="1"/>
        <v>399681.91874827974</v>
      </c>
      <c r="Z355" s="147">
        <f ca="1"/>
        <v>399784.95498811541</v>
      </c>
      <c r="AA355" s="147">
        <f ca="1"/>
        <v>399366.91088345222</v>
      </c>
      <c r="AB355" s="147">
        <f ca="1"/>
        <v>398431.10193272249</v>
      </c>
      <c r="AC355" s="147">
        <f ca="1"/>
        <v>396980.84000528482</v>
      </c>
      <c r="AD355" s="147">
        <f ca="1"/>
        <v>395023.74764047691</v>
      </c>
      <c r="AE355" s="147">
        <f ca="1"/>
        <v>392569.40634039871</v>
      </c>
      <c r="AF355" s="147">
        <f ca="1"/>
        <v>389624.25035733212</v>
      </c>
      <c r="AG355" s="147">
        <f ca="1"/>
        <v>386195.15970535087</v>
      </c>
      <c r="AH355" s="147">
        <f ca="1"/>
        <v>382290.30132307723</v>
      </c>
    </row>
    <row r="356" spans="2:34">
      <c r="B356" s="149">
        <v>3</v>
      </c>
      <c r="C356" s="149">
        <v>6</v>
      </c>
      <c r="D356" s="145" t="str">
        <v>Veículos Comerciais com 5 Eixos Articulado</v>
      </c>
      <c r="E356" s="147">
        <f ca="1"/>
        <v>0</v>
      </c>
      <c r="F356" s="147">
        <f ca="1"/>
        <v>56827.367595201758</v>
      </c>
      <c r="G356" s="147">
        <f ca="1"/>
        <v>77114.564918698234</v>
      </c>
      <c r="H356" s="147">
        <f ca="1"/>
        <v>78616.561923044515</v>
      </c>
      <c r="I356" s="147">
        <f ca="1"/>
        <v>80286.994178088367</v>
      </c>
      <c r="J356" s="147">
        <f ca="1"/>
        <v>82320.438193431677</v>
      </c>
      <c r="K356" s="147">
        <f ca="1"/>
        <v>84317.3986451214</v>
      </c>
      <c r="L356" s="147">
        <f ca="1"/>
        <v>86464.328114179836</v>
      </c>
      <c r="M356" s="147">
        <f ca="1"/>
        <v>88977.217621095406</v>
      </c>
      <c r="N356" s="147">
        <f ca="1"/>
        <v>91652.764085299335</v>
      </c>
      <c r="O356" s="147">
        <f ca="1"/>
        <v>94259.651154543739</v>
      </c>
      <c r="P356" s="147">
        <f ca="1"/>
        <v>96777.555132664973</v>
      </c>
      <c r="Q356" s="147">
        <f ca="1"/>
        <v>99190.854108181564</v>
      </c>
      <c r="R356" s="147">
        <f ca="1"/>
        <v>101484.52251751952</v>
      </c>
      <c r="S356" s="147">
        <f ca="1"/>
        <v>103643.34635919653</v>
      </c>
      <c r="T356" s="147">
        <f ca="1"/>
        <v>105653.12374062715</v>
      </c>
      <c r="U356" s="147">
        <f ca="1"/>
        <v>107504.33720167675</v>
      </c>
      <c r="V356" s="147">
        <f ca="1"/>
        <v>109189.25367074655</v>
      </c>
      <c r="W356" s="147">
        <f ca="1"/>
        <v>110699.61957744975</v>
      </c>
      <c r="X356" s="147">
        <f ca="1"/>
        <v>112028.94720534912</v>
      </c>
      <c r="Y356" s="147">
        <f ca="1"/>
        <v>113170.27002572751</v>
      </c>
      <c r="Z356" s="147">
        <f ca="1"/>
        <v>114119.04165485485</v>
      </c>
      <c r="AA356" s="147">
        <f ca="1"/>
        <v>114872.65399684136</v>
      </c>
      <c r="AB356" s="147">
        <f ca="1"/>
        <v>115427.71593994786</v>
      </c>
      <c r="AC356" s="147">
        <f ca="1"/>
        <v>115781.20372388134</v>
      </c>
      <c r="AD356" s="147">
        <f ca="1"/>
        <v>115932.04790483</v>
      </c>
      <c r="AE356" s="147">
        <f ca="1"/>
        <v>115880.15828232998</v>
      </c>
      <c r="AF356" s="147">
        <f ca="1"/>
        <v>115624.51398235459</v>
      </c>
      <c r="AG356" s="147">
        <f ca="1"/>
        <v>115164.59896206207</v>
      </c>
      <c r="AH356" s="147">
        <f ca="1"/>
        <v>114500.79642183447</v>
      </c>
    </row>
    <row r="357" spans="2:34">
      <c r="B357" s="149">
        <v>3</v>
      </c>
      <c r="C357" s="149">
        <v>7</v>
      </c>
      <c r="D357" s="145" t="str">
        <v>Veículos Comerciais com 6 Eixos Articulado</v>
      </c>
      <c r="E357" s="147">
        <f ca="1"/>
        <v>0</v>
      </c>
      <c r="F357" s="147">
        <f ca="1"/>
        <v>534177.25539489661</v>
      </c>
      <c r="G357" s="147">
        <f ca="1"/>
        <v>724876.91023576341</v>
      </c>
      <c r="H357" s="147">
        <f ca="1"/>
        <v>738995.68207661854</v>
      </c>
      <c r="I357" s="147">
        <f ca="1"/>
        <v>754697.74527403084</v>
      </c>
      <c r="J357" s="147">
        <f ca="1"/>
        <v>773812.1190182576</v>
      </c>
      <c r="K357" s="147">
        <f ca="1"/>
        <v>792583.54726414103</v>
      </c>
      <c r="L357" s="147">
        <f ca="1"/>
        <v>812764.68427329045</v>
      </c>
      <c r="M357" s="147">
        <f ca="1"/>
        <v>836385.84563829668</v>
      </c>
      <c r="N357" s="147">
        <f ca="1"/>
        <v>861535.98240181385</v>
      </c>
      <c r="O357" s="147">
        <f ca="1"/>
        <v>886040.72085271089</v>
      </c>
      <c r="P357" s="147">
        <f ca="1"/>
        <v>909709.01824705047</v>
      </c>
      <c r="Q357" s="147">
        <f ca="1"/>
        <v>932394.02861690638</v>
      </c>
      <c r="R357" s="147">
        <f ca="1"/>
        <v>953954.51166468323</v>
      </c>
      <c r="S357" s="147">
        <f ca="1"/>
        <v>974247.4557764472</v>
      </c>
      <c r="T357" s="147">
        <f ca="1"/>
        <v>993139.36316189507</v>
      </c>
      <c r="U357" s="147">
        <f ca="1"/>
        <v>1010540.7696957613</v>
      </c>
      <c r="V357" s="147">
        <f ca="1"/>
        <v>1026378.9845050171</v>
      </c>
      <c r="W357" s="147">
        <f ca="1"/>
        <v>1040576.4240280277</v>
      </c>
      <c r="X357" s="147">
        <f ca="1"/>
        <v>1053072.1037302813</v>
      </c>
      <c r="Y357" s="147">
        <f ca="1"/>
        <v>1063800.5382418381</v>
      </c>
      <c r="Z357" s="147">
        <f ca="1"/>
        <v>1072718.9915556354</v>
      </c>
      <c r="AA357" s="147">
        <f ca="1"/>
        <v>1079802.9475703083</v>
      </c>
      <c r="AB357" s="147">
        <f ca="1"/>
        <v>1085020.5298355096</v>
      </c>
      <c r="AC357" s="147">
        <f ca="1"/>
        <v>1088343.3150044843</v>
      </c>
      <c r="AD357" s="147">
        <f ca="1"/>
        <v>1089761.2503054021</v>
      </c>
      <c r="AE357" s="147">
        <f ca="1"/>
        <v>1089273.4878539017</v>
      </c>
      <c r="AF357" s="147">
        <f ca="1"/>
        <v>1086870.4314341333</v>
      </c>
      <c r="AG357" s="147">
        <f ca="1"/>
        <v>1082547.2302433832</v>
      </c>
      <c r="AH357" s="147">
        <f ca="1"/>
        <v>1076307.4863652443</v>
      </c>
    </row>
    <row r="358" spans="2:34">
      <c r="B358" s="149">
        <v>3</v>
      </c>
      <c r="C358" s="149">
        <v>8</v>
      </c>
      <c r="D358" s="145" t="str">
        <v>Veículos Comerciais com 7 Eixos Articulado</v>
      </c>
      <c r="E358" s="147">
        <f ca="1"/>
        <v>0</v>
      </c>
      <c r="F358" s="147">
        <f ca="1"/>
        <v>165746.48881933844</v>
      </c>
      <c r="G358" s="147">
        <f ca="1"/>
        <v>224917.48101286983</v>
      </c>
      <c r="H358" s="147">
        <f ca="1"/>
        <v>229298.30560887983</v>
      </c>
      <c r="I358" s="147">
        <f ca="1"/>
        <v>234170.39968609108</v>
      </c>
      <c r="J358" s="147">
        <f ca="1"/>
        <v>240101.27806417571</v>
      </c>
      <c r="K358" s="147">
        <f ca="1"/>
        <v>245925.74604827072</v>
      </c>
      <c r="L358" s="147">
        <f ca="1"/>
        <v>252187.62366635777</v>
      </c>
      <c r="M358" s="147">
        <f ca="1"/>
        <v>259516.88472819488</v>
      </c>
      <c r="N358" s="147">
        <f ca="1"/>
        <v>267320.56191545643</v>
      </c>
      <c r="O358" s="147">
        <f ca="1"/>
        <v>274923.98253408581</v>
      </c>
      <c r="P358" s="147">
        <f ca="1"/>
        <v>282267.86913693947</v>
      </c>
      <c r="Q358" s="147">
        <f ca="1"/>
        <v>289306.65781552956</v>
      </c>
      <c r="R358" s="147">
        <f ca="1"/>
        <v>295996.52400943195</v>
      </c>
      <c r="S358" s="147">
        <f ca="1"/>
        <v>302293.09354765649</v>
      </c>
      <c r="T358" s="147">
        <f ca="1"/>
        <v>308154.94424349582</v>
      </c>
      <c r="U358" s="147">
        <f ca="1"/>
        <v>313554.31683822384</v>
      </c>
      <c r="V358" s="147">
        <f ca="1"/>
        <v>318468.65653967729</v>
      </c>
      <c r="W358" s="147">
        <f ca="1"/>
        <v>322873.89043422835</v>
      </c>
      <c r="X358" s="147">
        <f ca="1"/>
        <v>326751.09601560154</v>
      </c>
      <c r="Y358" s="147">
        <f ca="1"/>
        <v>330079.95424170513</v>
      </c>
      <c r="Z358" s="147">
        <f ca="1"/>
        <v>332847.20482665999</v>
      </c>
      <c r="AA358" s="147">
        <f ca="1"/>
        <v>335045.24082412053</v>
      </c>
      <c r="AB358" s="147">
        <f ca="1"/>
        <v>336664.17149151448</v>
      </c>
      <c r="AC358" s="147">
        <f ca="1"/>
        <v>337695.17752798722</v>
      </c>
      <c r="AD358" s="147">
        <f ca="1"/>
        <v>338135.13972242083</v>
      </c>
      <c r="AE358" s="147">
        <f ca="1"/>
        <v>337983.79499012913</v>
      </c>
      <c r="AF358" s="147">
        <f ca="1"/>
        <v>337238.16578186752</v>
      </c>
      <c r="AG358" s="147">
        <f ca="1"/>
        <v>335896.74697268091</v>
      </c>
      <c r="AH358" s="147">
        <f ca="1"/>
        <v>333960.65623035049</v>
      </c>
    </row>
    <row r="359" spans="2:34">
      <c r="B359" s="149">
        <v>3</v>
      </c>
      <c r="C359" s="149">
        <v>9</v>
      </c>
      <c r="D359" s="145" t="str">
        <v>Veículos Comerciais com 8 Eixos Articulado</v>
      </c>
      <c r="E359" s="147">
        <f ca="1"/>
        <v>0</v>
      </c>
      <c r="F359" s="147">
        <f ca="1"/>
        <v>0</v>
      </c>
      <c r="G359" s="147">
        <f ca="1"/>
        <v>0</v>
      </c>
      <c r="H359" s="147">
        <f ca="1"/>
        <v>0</v>
      </c>
      <c r="I359" s="147">
        <f ca="1"/>
        <v>0</v>
      </c>
      <c r="J359" s="147">
        <f ca="1"/>
        <v>0</v>
      </c>
      <c r="K359" s="147">
        <f ca="1"/>
        <v>0</v>
      </c>
      <c r="L359" s="147">
        <f ca="1"/>
        <v>0</v>
      </c>
      <c r="M359" s="147">
        <f ca="1"/>
        <v>0</v>
      </c>
      <c r="N359" s="147">
        <f ca="1"/>
        <v>0</v>
      </c>
      <c r="O359" s="147">
        <f ca="1"/>
        <v>0</v>
      </c>
      <c r="P359" s="147">
        <f ca="1"/>
        <v>0</v>
      </c>
      <c r="Q359" s="147">
        <f ca="1"/>
        <v>0</v>
      </c>
      <c r="R359" s="147">
        <f ca="1"/>
        <v>0</v>
      </c>
      <c r="S359" s="147">
        <f ca="1"/>
        <v>0</v>
      </c>
      <c r="T359" s="147">
        <f ca="1"/>
        <v>0</v>
      </c>
      <c r="U359" s="147">
        <f ca="1"/>
        <v>0</v>
      </c>
      <c r="V359" s="147">
        <f ca="1"/>
        <v>0</v>
      </c>
      <c r="W359" s="147">
        <f ca="1"/>
        <v>0</v>
      </c>
      <c r="X359" s="147">
        <f ca="1"/>
        <v>0</v>
      </c>
      <c r="Y359" s="147">
        <f ca="1"/>
        <v>0</v>
      </c>
      <c r="Z359" s="147">
        <f ca="1"/>
        <v>0</v>
      </c>
      <c r="AA359" s="147">
        <f ca="1"/>
        <v>0</v>
      </c>
      <c r="AB359" s="147">
        <f ca="1"/>
        <v>0</v>
      </c>
      <c r="AC359" s="147">
        <f ca="1"/>
        <v>0</v>
      </c>
      <c r="AD359" s="147">
        <f ca="1"/>
        <v>0</v>
      </c>
      <c r="AE359" s="147">
        <f ca="1"/>
        <v>0</v>
      </c>
      <c r="AF359" s="147">
        <f ca="1"/>
        <v>0</v>
      </c>
      <c r="AG359" s="147">
        <f ca="1"/>
        <v>0</v>
      </c>
      <c r="AH359" s="147">
        <f ca="1"/>
        <v>0</v>
      </c>
    </row>
    <row r="360" spans="2:34">
      <c r="B360" s="149">
        <v>3</v>
      </c>
      <c r="C360" s="149">
        <v>10</v>
      </c>
      <c r="D360" s="145" t="str">
        <v>Veículos Comerciais com 9 Eixos Articulado</v>
      </c>
      <c r="E360" s="147">
        <f ca="1"/>
        <v>0</v>
      </c>
      <c r="F360" s="147">
        <f ca="1"/>
        <v>127861.5770892039</v>
      </c>
      <c r="G360" s="147">
        <f ca="1"/>
        <v>173507.77106707098</v>
      </c>
      <c r="H360" s="147">
        <f ca="1"/>
        <v>176887.26432685013</v>
      </c>
      <c r="I360" s="147">
        <f ca="1"/>
        <v>180645.73690069877</v>
      </c>
      <c r="J360" s="147">
        <f ca="1"/>
        <v>185220.98593522122</v>
      </c>
      <c r="K360" s="147">
        <f ca="1"/>
        <v>189714.14695152306</v>
      </c>
      <c r="L360" s="147">
        <f ca="1"/>
        <v>194544.73825690453</v>
      </c>
      <c r="M360" s="147">
        <f ca="1"/>
        <v>200198.73964746459</v>
      </c>
      <c r="N360" s="147">
        <f ca="1"/>
        <v>206218.71919192345</v>
      </c>
      <c r="O360" s="147">
        <f ca="1"/>
        <v>212084.21509772327</v>
      </c>
      <c r="P360" s="147">
        <f ca="1"/>
        <v>217749.49904849607</v>
      </c>
      <c r="Q360" s="147">
        <f ca="1"/>
        <v>223179.42174340837</v>
      </c>
      <c r="R360" s="147">
        <f ca="1"/>
        <v>228340.17566441881</v>
      </c>
      <c r="S360" s="147">
        <f ca="1"/>
        <v>233197.52930819205</v>
      </c>
      <c r="T360" s="147">
        <f ca="1"/>
        <v>237719.52841641093</v>
      </c>
      <c r="U360" s="147">
        <f ca="1"/>
        <v>241884.75870377253</v>
      </c>
      <c r="V360" s="147">
        <f ca="1"/>
        <v>245675.82075917954</v>
      </c>
      <c r="W360" s="147">
        <f ca="1"/>
        <v>249074.14404926181</v>
      </c>
      <c r="X360" s="147">
        <f ca="1"/>
        <v>252065.13121203531</v>
      </c>
      <c r="Y360" s="147">
        <f ca="1"/>
        <v>254633.10755788669</v>
      </c>
      <c r="Z360" s="147">
        <f ca="1"/>
        <v>256767.84372342326</v>
      </c>
      <c r="AA360" s="147">
        <f ca="1"/>
        <v>258463.47149289286</v>
      </c>
      <c r="AB360" s="147">
        <f ca="1"/>
        <v>259712.36086488247</v>
      </c>
      <c r="AC360" s="147">
        <f ca="1"/>
        <v>260507.70837873279</v>
      </c>
      <c r="AD360" s="147">
        <f ca="1"/>
        <v>260847.10778586738</v>
      </c>
      <c r="AE360" s="147">
        <f ca="1"/>
        <v>260730.3561352423</v>
      </c>
      <c r="AF360" s="147">
        <f ca="1"/>
        <v>260155.15646029767</v>
      </c>
      <c r="AG360" s="147">
        <f ca="1"/>
        <v>259120.3476646395</v>
      </c>
      <c r="AH360" s="147">
        <f ca="1"/>
        <v>257626.79194912745</v>
      </c>
    </row>
    <row r="361" spans="2:34">
      <c r="B361" s="149">
        <v>3</v>
      </c>
      <c r="C361" s="149">
        <v>11</v>
      </c>
      <c r="D361" s="145" t="str">
        <v>Motocicleta</v>
      </c>
      <c r="E361" s="147">
        <f ca="1"/>
        <v>0</v>
      </c>
      <c r="F361" s="147">
        <f ca="1"/>
        <v>341847.2470691363</v>
      </c>
      <c r="G361" s="147">
        <f ca="1"/>
        <v>462808.72350650292</v>
      </c>
      <c r="H361" s="147">
        <f ca="1"/>
        <v>471956.35654535412</v>
      </c>
      <c r="I361" s="147">
        <f ca="1"/>
        <v>482286.95912412892</v>
      </c>
      <c r="J361" s="147">
        <f ca="1"/>
        <v>494991.39734683064</v>
      </c>
      <c r="K361" s="147">
        <f ca="1"/>
        <v>508860.57088433695</v>
      </c>
      <c r="L361" s="147">
        <f ca="1"/>
        <v>522554.31910916435</v>
      </c>
      <c r="M361" s="147">
        <f ca="1"/>
        <v>537279.63466079894</v>
      </c>
      <c r="N361" s="147">
        <f ca="1"/>
        <v>554461.02388255647</v>
      </c>
      <c r="O361" s="147">
        <f ca="1"/>
        <v>572792.1983563418</v>
      </c>
      <c r="P361" s="147">
        <f ca="1"/>
        <v>592280.30031109869</v>
      </c>
      <c r="Q361" s="147">
        <f ca="1"/>
        <v>611394.29070496967</v>
      </c>
      <c r="R361" s="147">
        <f ca="1"/>
        <v>630016.93088333914</v>
      </c>
      <c r="S361" s="147">
        <f ca="1"/>
        <v>648025.77720369585</v>
      </c>
      <c r="T361" s="147">
        <f ca="1"/>
        <v>665302.71208814625</v>
      </c>
      <c r="U361" s="147">
        <f ca="1"/>
        <v>681758.80983380193</v>
      </c>
      <c r="V361" s="147">
        <f ca="1"/>
        <v>697316.63895084464</v>
      </c>
      <c r="W361" s="147">
        <f ca="1"/>
        <v>711894.64838245092</v>
      </c>
      <c r="X361" s="147">
        <f ca="1"/>
        <v>725421.57179329847</v>
      </c>
      <c r="Y361" s="147">
        <f ca="1"/>
        <v>737822.83894947206</v>
      </c>
      <c r="Z361" s="147">
        <f ca="1"/>
        <v>749039.6743204837</v>
      </c>
      <c r="AA361" s="147">
        <f ca="1"/>
        <v>759026.53643237264</v>
      </c>
      <c r="AB361" s="147">
        <f ca="1"/>
        <v>767733.43398767046</v>
      </c>
      <c r="AC361" s="147">
        <f ca="1"/>
        <v>775112.90007500292</v>
      </c>
      <c r="AD361" s="147">
        <f ca="1"/>
        <v>781130.53136611893</v>
      </c>
      <c r="AE361" s="147">
        <f ca="1"/>
        <v>785758.03078146698</v>
      </c>
      <c r="AF361" s="147">
        <f ca="1"/>
        <v>788960.46598236938</v>
      </c>
      <c r="AG361" s="147">
        <f ca="1"/>
        <v>790706.43844668567</v>
      </c>
      <c r="AH361" s="147">
        <f ca="1"/>
        <v>790971.29028957314</v>
      </c>
    </row>
    <row r="362" spans="2:34">
      <c r="B362" s="149">
        <v>3</v>
      </c>
      <c r="C362" s="149">
        <v>12</v>
      </c>
      <c r="D362" s="145" t="str">
        <v xml:space="preserve">Veículos do transporte público coletivo intermunicipal e metropolitano </v>
      </c>
      <c r="E362" s="147">
        <f ca="1"/>
        <v>0</v>
      </c>
      <c r="F362" s="147">
        <f ca="1"/>
        <v>0</v>
      </c>
      <c r="G362" s="147">
        <f ca="1"/>
        <v>0</v>
      </c>
      <c r="H362" s="147">
        <f ca="1"/>
        <v>0</v>
      </c>
      <c r="I362" s="147">
        <f ca="1"/>
        <v>0</v>
      </c>
      <c r="J362" s="147">
        <f ca="1"/>
        <v>0</v>
      </c>
      <c r="K362" s="147">
        <f ca="1"/>
        <v>0</v>
      </c>
      <c r="L362" s="147">
        <f ca="1"/>
        <v>0</v>
      </c>
      <c r="M362" s="147">
        <f ca="1"/>
        <v>0</v>
      </c>
      <c r="N362" s="147">
        <f ca="1"/>
        <v>0</v>
      </c>
      <c r="O362" s="147">
        <f ca="1"/>
        <v>0</v>
      </c>
      <c r="P362" s="147">
        <f ca="1"/>
        <v>0</v>
      </c>
      <c r="Q362" s="147">
        <f ca="1"/>
        <v>0</v>
      </c>
      <c r="R362" s="147">
        <f ca="1"/>
        <v>0</v>
      </c>
      <c r="S362" s="147">
        <f ca="1"/>
        <v>0</v>
      </c>
      <c r="T362" s="147">
        <f ca="1"/>
        <v>0</v>
      </c>
      <c r="U362" s="147">
        <f ca="1"/>
        <v>0</v>
      </c>
      <c r="V362" s="147">
        <f ca="1"/>
        <v>0</v>
      </c>
      <c r="W362" s="147">
        <f ca="1"/>
        <v>0</v>
      </c>
      <c r="X362" s="147">
        <f ca="1"/>
        <v>0</v>
      </c>
      <c r="Y362" s="147">
        <f ca="1"/>
        <v>0</v>
      </c>
      <c r="Z362" s="147">
        <f ca="1"/>
        <v>0</v>
      </c>
      <c r="AA362" s="147">
        <f ca="1"/>
        <v>0</v>
      </c>
      <c r="AB362" s="147">
        <f ca="1"/>
        <v>0</v>
      </c>
      <c r="AC362" s="147">
        <f ca="1"/>
        <v>0</v>
      </c>
      <c r="AD362" s="147">
        <f ca="1"/>
        <v>0</v>
      </c>
      <c r="AE362" s="147">
        <f ca="1"/>
        <v>0</v>
      </c>
      <c r="AF362" s="147">
        <f ca="1"/>
        <v>0</v>
      </c>
      <c r="AG362" s="147">
        <f ca="1"/>
        <v>0</v>
      </c>
      <c r="AH362" s="147">
        <f ca="1"/>
        <v>0</v>
      </c>
    </row>
    <row r="363" spans="2:34">
      <c r="B363" s="149">
        <v>4</v>
      </c>
      <c r="C363" s="149">
        <v>1</v>
      </c>
      <c r="D363" s="145" t="str">
        <v>Automóvel</v>
      </c>
      <c r="E363" s="147">
        <f ca="1"/>
        <v>0</v>
      </c>
      <c r="F363" s="147">
        <f ca="1"/>
        <v>10486288.845790707</v>
      </c>
      <c r="G363" s="147">
        <f ca="1"/>
        <v>14195026.042408267</v>
      </c>
      <c r="H363" s="147">
        <f ca="1"/>
        <v>14474024.334538011</v>
      </c>
      <c r="I363" s="147">
        <f ca="1"/>
        <v>14789357.16330561</v>
      </c>
      <c r="J363" s="147">
        <f ca="1"/>
        <v>15177755.172286155</v>
      </c>
      <c r="K363" s="147">
        <f ca="1"/>
        <v>15601978.733842585</v>
      </c>
      <c r="L363" s="147">
        <f ca="1"/>
        <v>16020740.321301119</v>
      </c>
      <c r="M363" s="147">
        <f ca="1"/>
        <v>16471273.582671685</v>
      </c>
      <c r="N363" s="147">
        <f ca="1"/>
        <v>16997516.393268064</v>
      </c>
      <c r="O363" s="147">
        <f ca="1"/>
        <v>17559223.831953984</v>
      </c>
      <c r="P363" s="147">
        <f ca="1"/>
        <v>18156641.089496013</v>
      </c>
      <c r="Q363" s="147">
        <f ca="1"/>
        <v>18742589.774919633</v>
      </c>
      <c r="R363" s="147">
        <f ca="1"/>
        <v>19313475.880163856</v>
      </c>
      <c r="S363" s="147">
        <f ca="1"/>
        <v>19865545.835728567</v>
      </c>
      <c r="T363" s="147">
        <f ca="1"/>
        <v>28553250.165624287</v>
      </c>
      <c r="U363" s="147">
        <f ca="1"/>
        <v>29259507.73401282</v>
      </c>
      <c r="V363" s="147">
        <f ca="1"/>
        <v>29927213.69513642</v>
      </c>
      <c r="W363" s="147">
        <f ca="1"/>
        <v>30552868.066679608</v>
      </c>
      <c r="X363" s="147">
        <f ca="1"/>
        <v>31133412.262732718</v>
      </c>
      <c r="Y363" s="147">
        <f ca="1"/>
        <v>31665645.901717264</v>
      </c>
      <c r="Z363" s="147">
        <f ca="1"/>
        <v>32147046.474112179</v>
      </c>
      <c r="AA363" s="147">
        <f ca="1"/>
        <v>32575659.445424665</v>
      </c>
      <c r="AB363" s="147">
        <f ca="1"/>
        <v>32949339.305052154</v>
      </c>
      <c r="AC363" s="147">
        <f ca="1"/>
        <v>33266048.883191414</v>
      </c>
      <c r="AD363" s="147">
        <f ca="1"/>
        <v>33524311.668744229</v>
      </c>
      <c r="AE363" s="147">
        <f ca="1"/>
        <v>33722913.216651633</v>
      </c>
      <c r="AF363" s="147">
        <f ca="1"/>
        <v>33860354.311914235</v>
      </c>
      <c r="AG363" s="147">
        <f ca="1"/>
        <v>33935287.402746588</v>
      </c>
      <c r="AH363" s="147">
        <f ca="1"/>
        <v>33946654.229890682</v>
      </c>
    </row>
    <row r="364" spans="2:34">
      <c r="B364" s="149">
        <v>4</v>
      </c>
      <c r="C364" s="149">
        <v>2</v>
      </c>
      <c r="D364" s="145" t="str">
        <v xml:space="preserve">Automóvel com reboque </v>
      </c>
      <c r="E364" s="147">
        <f ca="1"/>
        <v>0</v>
      </c>
      <c r="F364" s="147">
        <f ca="1"/>
        <v>97310.571200868144</v>
      </c>
      <c r="G364" s="147">
        <f ca="1"/>
        <v>131941.54667189342</v>
      </c>
      <c r="H364" s="147">
        <f ca="1"/>
        <v>134722.42750205478</v>
      </c>
      <c r="I364" s="147">
        <f ca="1"/>
        <v>137834.93834872515</v>
      </c>
      <c r="J364" s="147">
        <f ca="1"/>
        <v>141596.03525220591</v>
      </c>
      <c r="K364" s="147">
        <f ca="1"/>
        <v>145678.03380209158</v>
      </c>
      <c r="L364" s="147">
        <f ca="1"/>
        <v>149718.97443294976</v>
      </c>
      <c r="M364" s="147">
        <f ca="1"/>
        <v>154039.48915230337</v>
      </c>
      <c r="N364" s="147">
        <f ca="1"/>
        <v>159018.6179231703</v>
      </c>
      <c r="O364" s="147">
        <f ca="1"/>
        <v>164303.65143473109</v>
      </c>
      <c r="P364" s="147">
        <f ca="1"/>
        <v>169893.75255672104</v>
      </c>
      <c r="Q364" s="147">
        <f ca="1"/>
        <v>175376.54094701901</v>
      </c>
      <c r="R364" s="147">
        <f ca="1"/>
        <v>180718.38706406008</v>
      </c>
      <c r="S364" s="147">
        <f ca="1"/>
        <v>185884.16833177337</v>
      </c>
      <c r="T364" s="147">
        <f ca="1"/>
        <v>267176.00432907941</v>
      </c>
      <c r="U364" s="147">
        <f ca="1"/>
        <v>273784.53659965057</v>
      </c>
      <c r="V364" s="147">
        <f ca="1"/>
        <v>280032.33710309328</v>
      </c>
      <c r="W364" s="147">
        <f ca="1"/>
        <v>285886.65610742068</v>
      </c>
      <c r="X364" s="147">
        <f ca="1"/>
        <v>291318.87407694088</v>
      </c>
      <c r="Y364" s="147">
        <f ca="1"/>
        <v>296299.04467778595</v>
      </c>
      <c r="Z364" s="147">
        <f ca="1"/>
        <v>300803.56450190913</v>
      </c>
      <c r="AA364" s="147">
        <f ca="1"/>
        <v>304814.14474810305</v>
      </c>
      <c r="AB364" s="147">
        <f ca="1"/>
        <v>308310.70963001344</v>
      </c>
      <c r="AC364" s="147">
        <f ca="1"/>
        <v>311274.19711844891</v>
      </c>
      <c r="AD364" s="147">
        <f ca="1"/>
        <v>313690.79133138963</v>
      </c>
      <c r="AE364" s="147">
        <f ca="1"/>
        <v>315549.12856850581</v>
      </c>
      <c r="AF364" s="147">
        <f ca="1"/>
        <v>316835.1805047958</v>
      </c>
      <c r="AG364" s="147">
        <f ca="1"/>
        <v>317536.33794517431</v>
      </c>
      <c r="AH364" s="147">
        <f ca="1"/>
        <v>317642.69863758737</v>
      </c>
    </row>
    <row r="365" spans="2:34">
      <c r="B365" s="182">
        <v>4</v>
      </c>
      <c r="C365" s="182">
        <v>3</v>
      </c>
      <c r="D365" s="184" t="str">
        <v>Veículos Comerciais com 2 Eixos</v>
      </c>
      <c r="E365" s="185">
        <f ca="1"/>
        <v>0</v>
      </c>
      <c r="F365" s="185">
        <f ca="1"/>
        <v>2145185.5216225768</v>
      </c>
      <c r="G365" s="185">
        <f ca="1"/>
        <v>2875626.3173417766</v>
      </c>
      <c r="H365" s="185">
        <f ca="1"/>
        <v>2894825.3642382855</v>
      </c>
      <c r="I365" s="185">
        <f ca="1"/>
        <v>2918134.2565041352</v>
      </c>
      <c r="J365" s="185">
        <f ca="1"/>
        <v>2952634.4490432539</v>
      </c>
      <c r="K365" s="185">
        <f ca="1"/>
        <v>2984180.5062116589</v>
      </c>
      <c r="L365" s="185">
        <f ca="1"/>
        <v>3019711.9136417345</v>
      </c>
      <c r="M365" s="185">
        <f ca="1"/>
        <v>3066773.8261836288</v>
      </c>
      <c r="N365" s="185">
        <f ca="1"/>
        <v>3118227.740584122</v>
      </c>
      <c r="O365" s="185">
        <f ca="1"/>
        <v>3166363.1983764865</v>
      </c>
      <c r="P365" s="185">
        <f ca="1"/>
        <v>3210843.6022948413</v>
      </c>
      <c r="Q365" s="185">
        <f ca="1"/>
        <v>3251455.2335522505</v>
      </c>
      <c r="R365" s="185">
        <f ca="1"/>
        <v>3288007.7407216672</v>
      </c>
      <c r="S365" s="185">
        <f ca="1"/>
        <v>3320316.7715437184</v>
      </c>
      <c r="T365" s="185">
        <f ca="1"/>
        <v>4687512.2412581211</v>
      </c>
      <c r="U365" s="185">
        <f ca="1"/>
        <v>4720343.4954917524</v>
      </c>
      <c r="V365" s="185">
        <f ca="1"/>
        <v>4746908.5404883651</v>
      </c>
      <c r="W365" s="185">
        <f ca="1"/>
        <v>4767151.652783148</v>
      </c>
      <c r="X365" s="185">
        <f ca="1"/>
        <v>4781068.9140095618</v>
      </c>
      <c r="Y365" s="185">
        <f ca="1"/>
        <v>4788627.8688984485</v>
      </c>
      <c r="Z365" s="185">
        <f ca="1"/>
        <v>4789862.3560904851</v>
      </c>
      <c r="AA365" s="185">
        <f ca="1"/>
        <v>4784853.7290895749</v>
      </c>
      <c r="AB365" s="185">
        <f ca="1"/>
        <v>4773641.7112042932</v>
      </c>
      <c r="AC365" s="185">
        <f ca="1"/>
        <v>4756265.9822629392</v>
      </c>
      <c r="AD365" s="185">
        <f ca="1"/>
        <v>4732817.8686492993</v>
      </c>
      <c r="AE365" s="185">
        <f ca="1"/>
        <v>4703412.1672701864</v>
      </c>
      <c r="AF365" s="185">
        <f ca="1"/>
        <v>4668125.9675268158</v>
      </c>
      <c r="AG365" s="185">
        <f ca="1"/>
        <v>4627041.6995357014</v>
      </c>
      <c r="AH365" s="185">
        <f ca="1"/>
        <v>4580257.212181312</v>
      </c>
    </row>
    <row r="366" spans="2:34">
      <c r="B366" s="149">
        <v>4</v>
      </c>
      <c r="C366" s="149">
        <v>4</v>
      </c>
      <c r="D366" s="145" t="str">
        <v>Veículos Comerciais com 3 Eixos</v>
      </c>
      <c r="E366" s="147">
        <f ca="1"/>
        <v>0</v>
      </c>
      <c r="F366" s="147">
        <f ca="1"/>
        <v>1118445.8554875741</v>
      </c>
      <c r="G366" s="147">
        <f ca="1"/>
        <v>1499279.341643705</v>
      </c>
      <c r="H366" s="147">
        <f ca="1"/>
        <v>1509289.2425190713</v>
      </c>
      <c r="I366" s="147">
        <f ca="1"/>
        <v>1521441.9135528691</v>
      </c>
      <c r="J366" s="147">
        <f ca="1"/>
        <v>1539429.4474840669</v>
      </c>
      <c r="K366" s="147">
        <f ca="1"/>
        <v>1555876.7694249172</v>
      </c>
      <c r="L366" s="147">
        <f ca="1"/>
        <v>1574401.9529017054</v>
      </c>
      <c r="M366" s="147">
        <f ca="1"/>
        <v>1598938.8521597185</v>
      </c>
      <c r="N366" s="147">
        <f ca="1"/>
        <v>1625765.6308834138</v>
      </c>
      <c r="O366" s="147">
        <f ca="1"/>
        <v>1650862.249673357</v>
      </c>
      <c r="P366" s="147">
        <f ca="1"/>
        <v>1674053.2151686251</v>
      </c>
      <c r="Q366" s="147">
        <f ca="1"/>
        <v>1695227.0997611717</v>
      </c>
      <c r="R366" s="147">
        <f ca="1"/>
        <v>1714284.6589975362</v>
      </c>
      <c r="S366" s="147">
        <f ca="1"/>
        <v>1731129.7762396154</v>
      </c>
      <c r="T366" s="147">
        <f ca="1"/>
        <v>2443951.1575749018</v>
      </c>
      <c r="U366" s="147">
        <f ca="1"/>
        <v>2461068.5489883437</v>
      </c>
      <c r="V366" s="147">
        <f ca="1"/>
        <v>2474918.8962789732</v>
      </c>
      <c r="W366" s="147">
        <f ca="1"/>
        <v>2485473.1466317098</v>
      </c>
      <c r="X366" s="147">
        <f ca="1"/>
        <v>2492729.2571086469</v>
      </c>
      <c r="Y366" s="147">
        <f ca="1"/>
        <v>2496670.306347548</v>
      </c>
      <c r="Z366" s="147">
        <f ca="1"/>
        <v>2497313.9369658185</v>
      </c>
      <c r="AA366" s="147">
        <f ca="1"/>
        <v>2494702.5646372307</v>
      </c>
      <c r="AB366" s="147">
        <f ca="1"/>
        <v>2488856.900097243</v>
      </c>
      <c r="AC366" s="147">
        <f ca="1"/>
        <v>2479797.6314117857</v>
      </c>
      <c r="AD366" s="147">
        <f ca="1"/>
        <v>2467572.373863738</v>
      </c>
      <c r="AE366" s="147">
        <f ca="1"/>
        <v>2452240.9796772352</v>
      </c>
      <c r="AF366" s="147">
        <f ca="1"/>
        <v>2433843.6413300005</v>
      </c>
      <c r="AG366" s="147">
        <f ca="1"/>
        <v>2412423.335814585</v>
      </c>
      <c r="AH366" s="147">
        <f ca="1"/>
        <v>2388031.0790819135</v>
      </c>
    </row>
    <row r="367" spans="2:34">
      <c r="B367" s="149">
        <v>4</v>
      </c>
      <c r="C367" s="149">
        <v>5</v>
      </c>
      <c r="D367" s="145" t="str">
        <v>Veículos Comerciais com 4 Eixos</v>
      </c>
      <c r="E367" s="147">
        <f ca="1"/>
        <v>0</v>
      </c>
      <c r="F367" s="147">
        <f ca="1"/>
        <v>449309.32473390602</v>
      </c>
      <c r="G367" s="147">
        <f ca="1"/>
        <v>602300.22336464596</v>
      </c>
      <c r="H367" s="147">
        <f ca="1"/>
        <v>606321.46568129212</v>
      </c>
      <c r="I367" s="147">
        <f ca="1"/>
        <v>611203.51552672568</v>
      </c>
      <c r="J367" s="147">
        <f ca="1"/>
        <v>618429.58434767136</v>
      </c>
      <c r="K367" s="147">
        <f ca="1"/>
        <v>625036.90921607357</v>
      </c>
      <c r="L367" s="147">
        <f ca="1"/>
        <v>632478.96610035514</v>
      </c>
      <c r="M367" s="147">
        <f ca="1"/>
        <v>642336.08844793239</v>
      </c>
      <c r="N367" s="147">
        <f ca="1"/>
        <v>653113.11602954462</v>
      </c>
      <c r="O367" s="147">
        <f ca="1"/>
        <v>663195.09253854421</v>
      </c>
      <c r="P367" s="147">
        <f ca="1"/>
        <v>672511.5176435071</v>
      </c>
      <c r="Q367" s="147">
        <f ca="1"/>
        <v>681017.62792286742</v>
      </c>
      <c r="R367" s="147">
        <f ca="1"/>
        <v>688673.55425095465</v>
      </c>
      <c r="S367" s="147">
        <f ca="1"/>
        <v>695440.68402837485</v>
      </c>
      <c r="T367" s="147">
        <f ca="1"/>
        <v>981799.91360773263</v>
      </c>
      <c r="U367" s="147">
        <f ca="1"/>
        <v>988676.42313159071</v>
      </c>
      <c r="V367" s="147">
        <f ca="1"/>
        <v>994240.47449621372</v>
      </c>
      <c r="W367" s="147">
        <f ca="1"/>
        <v>998480.39641625446</v>
      </c>
      <c r="X367" s="147">
        <f ca="1"/>
        <v>1001395.3681894442</v>
      </c>
      <c r="Y367" s="147">
        <f ca="1"/>
        <v>1002978.5920563715</v>
      </c>
      <c r="Z367" s="147">
        <f ca="1"/>
        <v>1003237.1555237529</v>
      </c>
      <c r="AA367" s="147">
        <f ca="1"/>
        <v>1002188.0980912184</v>
      </c>
      <c r="AB367" s="147">
        <f ca="1"/>
        <v>999839.7398097727</v>
      </c>
      <c r="AC367" s="147">
        <f ca="1"/>
        <v>996200.39162347035</v>
      </c>
      <c r="AD367" s="147">
        <f ca="1"/>
        <v>991289.18185264349</v>
      </c>
      <c r="AE367" s="147">
        <f ca="1"/>
        <v>985130.15472104948</v>
      </c>
      <c r="AF367" s="147">
        <f ca="1"/>
        <v>977739.4566115787</v>
      </c>
      <c r="AG367" s="147">
        <f ca="1"/>
        <v>969134.35252048285</v>
      </c>
      <c r="AH367" s="147">
        <f ca="1"/>
        <v>959335.33690652181</v>
      </c>
    </row>
    <row r="368" spans="2:34">
      <c r="B368" s="149">
        <v>4</v>
      </c>
      <c r="C368" s="149">
        <v>6</v>
      </c>
      <c r="D368" s="145" t="str">
        <v>Veículos Comerciais com 5 Eixos Articulado</v>
      </c>
      <c r="E368" s="147">
        <f ca="1"/>
        <v>0</v>
      </c>
      <c r="F368" s="147">
        <f ca="1"/>
        <v>63918.193826606592</v>
      </c>
      <c r="G368" s="147">
        <f ca="1"/>
        <v>86736.794539537586</v>
      </c>
      <c r="H368" s="147">
        <f ca="1"/>
        <v>88426.208280020161</v>
      </c>
      <c r="I368" s="147">
        <f ca="1"/>
        <v>90305.074347029804</v>
      </c>
      <c r="J368" s="147">
        <f ca="1"/>
        <v>92592.24818964221</v>
      </c>
      <c r="K368" s="147">
        <f ca="1"/>
        <v>94838.38610904057</v>
      </c>
      <c r="L368" s="147">
        <f ca="1"/>
        <v>97253.205935164573</v>
      </c>
      <c r="M368" s="147">
        <f ca="1"/>
        <v>100079.64969571345</v>
      </c>
      <c r="N368" s="147">
        <f ca="1"/>
        <v>103089.04648335421</v>
      </c>
      <c r="O368" s="147">
        <f ca="1"/>
        <v>106021.21666872992</v>
      </c>
      <c r="P368" s="147">
        <f ca="1"/>
        <v>108853.30059802187</v>
      </c>
      <c r="Q368" s="147">
        <f ca="1"/>
        <v>111567.72708311642</v>
      </c>
      <c r="R368" s="147">
        <f ca="1"/>
        <v>114147.59569512667</v>
      </c>
      <c r="S368" s="147">
        <f ca="1"/>
        <v>116575.79405428241</v>
      </c>
      <c r="T368" s="147">
        <f ca="1"/>
        <v>166370.88745061072</v>
      </c>
      <c r="U368" s="147">
        <f ca="1"/>
        <v>169285.97425042398</v>
      </c>
      <c r="V368" s="147">
        <f ca="1"/>
        <v>171939.19488711294</v>
      </c>
      <c r="W368" s="147">
        <f ca="1"/>
        <v>174317.55254826689</v>
      </c>
      <c r="X368" s="147">
        <f ca="1"/>
        <v>176410.83109352947</v>
      </c>
      <c r="Y368" s="147">
        <f ca="1"/>
        <v>178208.06040177163</v>
      </c>
      <c r="Z368" s="147">
        <f ca="1"/>
        <v>179702.08132928709</v>
      </c>
      <c r="AA368" s="147">
        <f ca="1"/>
        <v>180888.78693429907</v>
      </c>
      <c r="AB368" s="147">
        <f ca="1"/>
        <v>181762.83726802506</v>
      </c>
      <c r="AC368" s="147">
        <f ca="1"/>
        <v>182319.47084622705</v>
      </c>
      <c r="AD368" s="147">
        <f ca="1"/>
        <v>182557.0036267325</v>
      </c>
      <c r="AE368" s="147">
        <f ca="1"/>
        <v>182475.29357179842</v>
      </c>
      <c r="AF368" s="147">
        <f ca="1"/>
        <v>182072.73312159334</v>
      </c>
      <c r="AG368" s="147">
        <f ca="1"/>
        <v>181348.50966876122</v>
      </c>
      <c r="AH368" s="147">
        <f ca="1"/>
        <v>180303.226635003</v>
      </c>
    </row>
    <row r="369" spans="2:34">
      <c r="B369" s="149">
        <v>4</v>
      </c>
      <c r="C369" s="149">
        <v>7</v>
      </c>
      <c r="D369" s="145" t="str">
        <v>Veículos Comerciais com 6 Eixos Articulado</v>
      </c>
      <c r="E369" s="147">
        <f ca="1"/>
        <v>0</v>
      </c>
      <c r="F369" s="147">
        <f ca="1"/>
        <v>567593.56118026644</v>
      </c>
      <c r="G369" s="147">
        <f ca="1"/>
        <v>770222.73551109363</v>
      </c>
      <c r="H369" s="147">
        <f ca="1"/>
        <v>785224.72952657903</v>
      </c>
      <c r="I369" s="147">
        <f ca="1"/>
        <v>801909.06020162464</v>
      </c>
      <c r="J369" s="147">
        <f ca="1"/>
        <v>822219.16392402293</v>
      </c>
      <c r="K369" s="147">
        <f ca="1"/>
        <v>842164.86864828027</v>
      </c>
      <c r="L369" s="147">
        <f ca="1"/>
        <v>863608.46870426135</v>
      </c>
      <c r="M369" s="147">
        <f ca="1"/>
        <v>888707.28929793555</v>
      </c>
      <c r="N369" s="147">
        <f ca="1"/>
        <v>915430.73277218535</v>
      </c>
      <c r="O369" s="147">
        <f ca="1"/>
        <v>941468.40401832154</v>
      </c>
      <c r="P369" s="147">
        <f ca="1"/>
        <v>966617.30931043415</v>
      </c>
      <c r="Q369" s="147">
        <f ca="1"/>
        <v>990721.41649807396</v>
      </c>
      <c r="R369" s="147">
        <f ca="1"/>
        <v>1013630.649772725</v>
      </c>
      <c r="S369" s="147">
        <f ca="1"/>
        <v>1035193.0512020279</v>
      </c>
      <c r="T369" s="147">
        <f ca="1"/>
        <v>1477373.4805614233</v>
      </c>
      <c r="U369" s="147">
        <f ca="1"/>
        <v>1503259.451343765</v>
      </c>
      <c r="V369" s="147">
        <f ca="1"/>
        <v>1526820.0505975634</v>
      </c>
      <c r="W369" s="147">
        <f ca="1"/>
        <v>1547939.8666286105</v>
      </c>
      <c r="X369" s="147">
        <f ca="1"/>
        <v>1566528.1801105421</v>
      </c>
      <c r="Y369" s="147">
        <f ca="1"/>
        <v>1582487.5763677326</v>
      </c>
      <c r="Z369" s="147">
        <f ca="1"/>
        <v>1595754.4822040701</v>
      </c>
      <c r="AA369" s="147">
        <f ca="1"/>
        <v>1606292.4279765761</v>
      </c>
      <c r="AB369" s="147">
        <f ca="1"/>
        <v>1614053.994940063</v>
      </c>
      <c r="AC369" s="147">
        <f ca="1"/>
        <v>1618996.9011144969</v>
      </c>
      <c r="AD369" s="147">
        <f ca="1"/>
        <v>1621106.1922053851</v>
      </c>
      <c r="AE369" s="147">
        <f ca="1"/>
        <v>1620380.6069175706</v>
      </c>
      <c r="AF369" s="147">
        <f ca="1"/>
        <v>1616805.8701197493</v>
      </c>
      <c r="AG369" s="147">
        <f ca="1"/>
        <v>1610374.7658586001</v>
      </c>
      <c r="AH369" s="147">
        <f ca="1"/>
        <v>1601092.6525188275</v>
      </c>
    </row>
    <row r="370" spans="2:34">
      <c r="B370" s="149">
        <v>4</v>
      </c>
      <c r="C370" s="149">
        <v>8</v>
      </c>
      <c r="D370" s="145" t="str">
        <v>Veículos Comerciais com 7 Eixos Articulado</v>
      </c>
      <c r="E370" s="147">
        <f ca="1"/>
        <v>0</v>
      </c>
      <c r="F370" s="147">
        <f ca="1"/>
        <v>348993.33829327201</v>
      </c>
      <c r="G370" s="147">
        <f ca="1"/>
        <v>473582.89818587527</v>
      </c>
      <c r="H370" s="147">
        <f ca="1"/>
        <v>482807.0972089101</v>
      </c>
      <c r="I370" s="147">
        <f ca="1"/>
        <v>493065.70593478286</v>
      </c>
      <c r="J370" s="147">
        <f ca="1"/>
        <v>505553.67511544656</v>
      </c>
      <c r="K370" s="147">
        <f ca="1"/>
        <v>517817.58815536159</v>
      </c>
      <c r="L370" s="147">
        <f ca="1"/>
        <v>531002.50440599862</v>
      </c>
      <c r="M370" s="147">
        <f ca="1"/>
        <v>546434.88733859546</v>
      </c>
      <c r="N370" s="147">
        <f ca="1"/>
        <v>562866.19379911397</v>
      </c>
      <c r="O370" s="147">
        <f ca="1"/>
        <v>578875.84301126539</v>
      </c>
      <c r="P370" s="147">
        <f ca="1"/>
        <v>594339.02126519941</v>
      </c>
      <c r="Q370" s="147">
        <f ca="1"/>
        <v>609159.78987381572</v>
      </c>
      <c r="R370" s="147">
        <f ca="1"/>
        <v>623245.87249539152</v>
      </c>
      <c r="S370" s="147">
        <f ca="1"/>
        <v>636503.83553638204</v>
      </c>
      <c r="T370" s="147">
        <f ca="1"/>
        <v>908385.04548033478</v>
      </c>
      <c r="U370" s="147">
        <f ca="1"/>
        <v>924301.41940731532</v>
      </c>
      <c r="V370" s="147">
        <f ca="1"/>
        <v>938788.00408363715</v>
      </c>
      <c r="W370" s="147">
        <f ca="1"/>
        <v>951773.83691353758</v>
      </c>
      <c r="X370" s="147">
        <f ca="1"/>
        <v>963203.13777067151</v>
      </c>
      <c r="Y370" s="147">
        <f ca="1"/>
        <v>973016.00979367353</v>
      </c>
      <c r="Z370" s="147">
        <f ca="1"/>
        <v>981173.36405790807</v>
      </c>
      <c r="AA370" s="147">
        <f ca="1"/>
        <v>987652.77666127332</v>
      </c>
      <c r="AB370" s="147">
        <f ca="1"/>
        <v>992425.09148341755</v>
      </c>
      <c r="AC370" s="147">
        <f ca="1"/>
        <v>995464.31082040048</v>
      </c>
      <c r="AD370" s="147">
        <f ca="1"/>
        <v>996761.23980195983</v>
      </c>
      <c r="AE370" s="147">
        <f ca="1"/>
        <v>996315.10290201986</v>
      </c>
      <c r="AF370" s="147">
        <f ca="1"/>
        <v>994117.12284390011</v>
      </c>
      <c r="AG370" s="147">
        <f ca="1"/>
        <v>990162.86279143684</v>
      </c>
      <c r="AH370" s="147">
        <f ca="1"/>
        <v>984455.61742711719</v>
      </c>
    </row>
    <row r="371" spans="2:34">
      <c r="B371" s="149">
        <v>4</v>
      </c>
      <c r="C371" s="149">
        <v>9</v>
      </c>
      <c r="D371" s="145" t="str">
        <v>Veículos Comerciais com 8 Eixos Articulado</v>
      </c>
      <c r="E371" s="147">
        <f ca="1"/>
        <v>0</v>
      </c>
      <c r="F371" s="147">
        <f ca="1"/>
        <v>0</v>
      </c>
      <c r="G371" s="147">
        <f ca="1"/>
        <v>0</v>
      </c>
      <c r="H371" s="147">
        <f ca="1"/>
        <v>0</v>
      </c>
      <c r="I371" s="147">
        <f ca="1"/>
        <v>0</v>
      </c>
      <c r="J371" s="147">
        <f ca="1"/>
        <v>0</v>
      </c>
      <c r="K371" s="147">
        <f ca="1"/>
        <v>0</v>
      </c>
      <c r="L371" s="147">
        <f ca="1"/>
        <v>0</v>
      </c>
      <c r="M371" s="147">
        <f ca="1"/>
        <v>0</v>
      </c>
      <c r="N371" s="147">
        <f ca="1"/>
        <v>0</v>
      </c>
      <c r="O371" s="147">
        <f ca="1"/>
        <v>0</v>
      </c>
      <c r="P371" s="147">
        <f ca="1"/>
        <v>0</v>
      </c>
      <c r="Q371" s="147">
        <f ca="1"/>
        <v>0</v>
      </c>
      <c r="R371" s="147">
        <f ca="1"/>
        <v>0</v>
      </c>
      <c r="S371" s="147">
        <f ca="1"/>
        <v>0</v>
      </c>
      <c r="T371" s="147">
        <f ca="1"/>
        <v>0</v>
      </c>
      <c r="U371" s="147">
        <f ca="1"/>
        <v>0</v>
      </c>
      <c r="V371" s="147">
        <f ca="1"/>
        <v>0</v>
      </c>
      <c r="W371" s="147">
        <f ca="1"/>
        <v>0</v>
      </c>
      <c r="X371" s="147">
        <f ca="1"/>
        <v>0</v>
      </c>
      <c r="Y371" s="147">
        <f ca="1"/>
        <v>0</v>
      </c>
      <c r="Z371" s="147">
        <f ca="1"/>
        <v>0</v>
      </c>
      <c r="AA371" s="147">
        <f ca="1"/>
        <v>0</v>
      </c>
      <c r="AB371" s="147">
        <f ca="1"/>
        <v>0</v>
      </c>
      <c r="AC371" s="147">
        <f ca="1"/>
        <v>0</v>
      </c>
      <c r="AD371" s="147">
        <f ca="1"/>
        <v>0</v>
      </c>
      <c r="AE371" s="147">
        <f ca="1"/>
        <v>0</v>
      </c>
      <c r="AF371" s="147">
        <f ca="1"/>
        <v>0</v>
      </c>
      <c r="AG371" s="147">
        <f ca="1"/>
        <v>0</v>
      </c>
      <c r="AH371" s="147">
        <f ca="1"/>
        <v>0</v>
      </c>
    </row>
    <row r="372" spans="2:34">
      <c r="B372" s="149">
        <v>4</v>
      </c>
      <c r="C372" s="149">
        <v>10</v>
      </c>
      <c r="D372" s="145" t="str">
        <v>Veículos Comerciais com 9 Eixos Articulado</v>
      </c>
      <c r="E372" s="147">
        <f ca="1"/>
        <v>0</v>
      </c>
      <c r="F372" s="147">
        <f ca="1"/>
        <v>207094.94799820535</v>
      </c>
      <c r="G372" s="147">
        <f ca="1"/>
        <v>281027.2143081018</v>
      </c>
      <c r="H372" s="147">
        <f ca="1"/>
        <v>286500.91482726537</v>
      </c>
      <c r="I372" s="147">
        <f ca="1"/>
        <v>292588.44088437664</v>
      </c>
      <c r="J372" s="147">
        <f ca="1"/>
        <v>299998.8841344408</v>
      </c>
      <c r="K372" s="147">
        <f ca="1"/>
        <v>307276.37099329149</v>
      </c>
      <c r="L372" s="147">
        <f ca="1"/>
        <v>315100.38722993323</v>
      </c>
      <c r="M372" s="147">
        <f ca="1"/>
        <v>324258.06501411163</v>
      </c>
      <c r="N372" s="147">
        <f ca="1"/>
        <v>334008.51060606755</v>
      </c>
      <c r="O372" s="147">
        <f ca="1"/>
        <v>343508.74200668489</v>
      </c>
      <c r="P372" s="147">
        <f ca="1"/>
        <v>352684.69393759087</v>
      </c>
      <c r="Q372" s="147">
        <f ca="1"/>
        <v>361479.43574929726</v>
      </c>
      <c r="R372" s="147">
        <f ca="1"/>
        <v>369838.21005221049</v>
      </c>
      <c r="S372" s="147">
        <f ca="1"/>
        <v>377705.57273587503</v>
      </c>
      <c r="T372" s="147">
        <f ca="1"/>
        <v>539041.67533997889</v>
      </c>
      <c r="U372" s="147">
        <f ca="1"/>
        <v>548486.55657137395</v>
      </c>
      <c r="V372" s="147">
        <f ca="1"/>
        <v>557082.99143424619</v>
      </c>
      <c r="W372" s="147">
        <f ca="1"/>
        <v>564788.87025638495</v>
      </c>
      <c r="X372" s="147">
        <f ca="1"/>
        <v>571571.09274303564</v>
      </c>
      <c r="Y372" s="147">
        <f ca="1"/>
        <v>577394.11570174026</v>
      </c>
      <c r="Z372" s="147">
        <f ca="1"/>
        <v>582234.74350689049</v>
      </c>
      <c r="AA372" s="147">
        <f ca="1"/>
        <v>586079.66966712929</v>
      </c>
      <c r="AB372" s="147">
        <f ca="1"/>
        <v>588911.59274840157</v>
      </c>
      <c r="AC372" s="147">
        <f ca="1"/>
        <v>590715.08554177592</v>
      </c>
      <c r="AD372" s="147">
        <f ca="1"/>
        <v>591484.69175061351</v>
      </c>
      <c r="AE372" s="147">
        <f ca="1"/>
        <v>591219.95117262704</v>
      </c>
      <c r="AF372" s="147">
        <f ca="1"/>
        <v>589915.65531396272</v>
      </c>
      <c r="AG372" s="147">
        <f ca="1"/>
        <v>587569.17132678663</v>
      </c>
      <c r="AH372" s="147">
        <f ca="1"/>
        <v>584182.45429741009</v>
      </c>
    </row>
    <row r="373" spans="2:34">
      <c r="B373" s="149">
        <v>4</v>
      </c>
      <c r="C373" s="149">
        <v>11</v>
      </c>
      <c r="D373" s="145" t="str">
        <v>Motocicleta</v>
      </c>
      <c r="E373" s="147">
        <f ca="1"/>
        <v>0</v>
      </c>
      <c r="F373" s="147">
        <f ca="1"/>
        <v>809785.29595754878</v>
      </c>
      <c r="G373" s="147">
        <f ca="1"/>
        <v>1096186.0324390037</v>
      </c>
      <c r="H373" s="147">
        <f ca="1"/>
        <v>1117731.1870581824</v>
      </c>
      <c r="I373" s="147">
        <f ca="1"/>
        <v>1142082.212652066</v>
      </c>
      <c r="J373" s="147">
        <f ca="1"/>
        <v>1172075.5688600522</v>
      </c>
      <c r="K373" s="147">
        <f ca="1"/>
        <v>1204835.4906397234</v>
      </c>
      <c r="L373" s="147">
        <f ca="1"/>
        <v>1237173.6210329065</v>
      </c>
      <c r="M373" s="147">
        <f ca="1"/>
        <v>1271965.2633157845</v>
      </c>
      <c r="N373" s="147">
        <f ca="1"/>
        <v>1312603.4429798303</v>
      </c>
      <c r="O373" s="147">
        <f ca="1"/>
        <v>1355980.3164540357</v>
      </c>
      <c r="P373" s="147">
        <f ca="1"/>
        <v>1402114.8181660511</v>
      </c>
      <c r="Q373" s="147">
        <f ca="1"/>
        <v>1447363.6794762337</v>
      </c>
      <c r="R373" s="147">
        <f ca="1"/>
        <v>1491449.359404726</v>
      </c>
      <c r="S373" s="147">
        <f ca="1"/>
        <v>1534081.9951189039</v>
      </c>
      <c r="T373" s="147">
        <f ca="1"/>
        <v>2204974.7509292946</v>
      </c>
      <c r="U373" s="147">
        <f ca="1"/>
        <v>2259514.2550808834</v>
      </c>
      <c r="V373" s="147">
        <f ca="1"/>
        <v>2311076.6788604017</v>
      </c>
      <c r="W373" s="147">
        <f ca="1"/>
        <v>2359391.7422615602</v>
      </c>
      <c r="X373" s="147">
        <f ca="1"/>
        <v>2404223.2513426798</v>
      </c>
      <c r="Y373" s="147">
        <f ca="1"/>
        <v>2445324.0622398225</v>
      </c>
      <c r="Z373" s="147">
        <f ca="1"/>
        <v>2482499.3785718181</v>
      </c>
      <c r="AA373" s="147">
        <f ca="1"/>
        <v>2515598.2648346028</v>
      </c>
      <c r="AB373" s="147">
        <f ca="1"/>
        <v>2544455.037728407</v>
      </c>
      <c r="AC373" s="147">
        <f ca="1"/>
        <v>2568912.3803820033</v>
      </c>
      <c r="AD373" s="147">
        <f ca="1"/>
        <v>2588856.271811015</v>
      </c>
      <c r="AE373" s="147">
        <f ca="1"/>
        <v>2604192.9286221033</v>
      </c>
      <c r="AF373" s="147">
        <f ca="1"/>
        <v>2614806.5765618719</v>
      </c>
      <c r="AG373" s="147">
        <f ca="1"/>
        <v>2620593.1533030854</v>
      </c>
      <c r="AH373" s="147">
        <f ca="1"/>
        <v>2621470.9366274173</v>
      </c>
    </row>
    <row r="374" spans="2:34">
      <c r="B374" s="149">
        <v>4</v>
      </c>
      <c r="C374" s="149">
        <v>12</v>
      </c>
      <c r="D374" s="145" t="str">
        <v xml:space="preserve">Veículos do transporte público coletivo intermunicipal e metropolitano </v>
      </c>
      <c r="E374" s="147">
        <f ca="1"/>
        <v>0</v>
      </c>
      <c r="F374" s="147">
        <f ca="1"/>
        <v>0</v>
      </c>
      <c r="G374" s="147">
        <f ca="1"/>
        <v>0</v>
      </c>
      <c r="H374" s="147">
        <f ca="1"/>
        <v>0</v>
      </c>
      <c r="I374" s="147">
        <f ca="1"/>
        <v>0</v>
      </c>
      <c r="J374" s="147">
        <f ca="1"/>
        <v>0</v>
      </c>
      <c r="K374" s="147">
        <f ca="1"/>
        <v>0</v>
      </c>
      <c r="L374" s="147">
        <f ca="1"/>
        <v>0</v>
      </c>
      <c r="M374" s="147">
        <f ca="1"/>
        <v>0</v>
      </c>
      <c r="N374" s="147">
        <f ca="1"/>
        <v>0</v>
      </c>
      <c r="O374" s="147">
        <f ca="1"/>
        <v>0</v>
      </c>
      <c r="P374" s="147">
        <f ca="1"/>
        <v>0</v>
      </c>
      <c r="Q374" s="147">
        <f ca="1"/>
        <v>0</v>
      </c>
      <c r="R374" s="147">
        <f ca="1"/>
        <v>0</v>
      </c>
      <c r="S374" s="147">
        <f ca="1"/>
        <v>0</v>
      </c>
      <c r="T374" s="147">
        <f ca="1"/>
        <v>0</v>
      </c>
      <c r="U374" s="147">
        <f ca="1"/>
        <v>0</v>
      </c>
      <c r="V374" s="147">
        <f ca="1"/>
        <v>0</v>
      </c>
      <c r="W374" s="147">
        <f ca="1"/>
        <v>0</v>
      </c>
      <c r="X374" s="147">
        <f ca="1"/>
        <v>0</v>
      </c>
      <c r="Y374" s="147">
        <f ca="1"/>
        <v>0</v>
      </c>
      <c r="Z374" s="147">
        <f ca="1"/>
        <v>0</v>
      </c>
      <c r="AA374" s="147">
        <f ca="1"/>
        <v>0</v>
      </c>
      <c r="AB374" s="147">
        <f ca="1"/>
        <v>0</v>
      </c>
      <c r="AC374" s="147">
        <f ca="1"/>
        <v>0</v>
      </c>
      <c r="AD374" s="147">
        <f ca="1"/>
        <v>0</v>
      </c>
      <c r="AE374" s="147">
        <f ca="1"/>
        <v>0</v>
      </c>
      <c r="AF374" s="147">
        <f ca="1"/>
        <v>0</v>
      </c>
      <c r="AG374" s="147">
        <f ca="1"/>
        <v>0</v>
      </c>
      <c r="AH374" s="147">
        <f ca="1"/>
        <v>0</v>
      </c>
    </row>
    <row r="375" spans="2:34">
      <c r="E375" s="3"/>
      <c r="F375" s="3"/>
    </row>
    <row r="376" spans="2:34">
      <c r="B376" s="2" t="s">
        <v>627</v>
      </c>
    </row>
    <row r="377" spans="2:34" hidden="1">
      <c r="B377" s="2"/>
      <c r="E377">
        <v>1</v>
      </c>
      <c r="F377">
        <v>2</v>
      </c>
      <c r="G377">
        <v>3</v>
      </c>
      <c r="H377">
        <v>4</v>
      </c>
      <c r="I377">
        <v>5</v>
      </c>
      <c r="J377">
        <v>6</v>
      </c>
      <c r="K377">
        <v>7</v>
      </c>
      <c r="L377">
        <v>8</v>
      </c>
      <c r="M377">
        <v>9</v>
      </c>
      <c r="N377">
        <v>10</v>
      </c>
      <c r="O377">
        <v>11</v>
      </c>
      <c r="P377">
        <v>12</v>
      </c>
      <c r="Q377">
        <v>13</v>
      </c>
      <c r="R377">
        <v>14</v>
      </c>
      <c r="S377">
        <v>15</v>
      </c>
      <c r="T377">
        <v>16</v>
      </c>
      <c r="U377">
        <v>17</v>
      </c>
      <c r="V377">
        <v>18</v>
      </c>
      <c r="W377">
        <v>19</v>
      </c>
      <c r="X377">
        <v>20</v>
      </c>
      <c r="Y377">
        <v>21</v>
      </c>
      <c r="Z377">
        <v>22</v>
      </c>
      <c r="AA377">
        <v>23</v>
      </c>
      <c r="AB377">
        <v>24</v>
      </c>
      <c r="AC377">
        <v>25</v>
      </c>
      <c r="AD377">
        <v>26</v>
      </c>
      <c r="AE377">
        <v>27</v>
      </c>
      <c r="AF377">
        <v>28</v>
      </c>
      <c r="AG377">
        <v>29</v>
      </c>
      <c r="AH377">
        <v>30</v>
      </c>
    </row>
    <row r="378" spans="2:34">
      <c r="B378" s="614" t="s">
        <v>105</v>
      </c>
      <c r="C378" s="619"/>
      <c r="D378" s="599"/>
      <c r="E378" s="11" t="str">
        <f t="shared" ref="E378:AH378" si="54">"Ano "&amp;E377</f>
        <v>Ano 1</v>
      </c>
      <c r="F378" s="11" t="str">
        <f t="shared" si="54"/>
        <v>Ano 2</v>
      </c>
      <c r="G378" s="11" t="str">
        <f t="shared" si="54"/>
        <v>Ano 3</v>
      </c>
      <c r="H378" s="11" t="str">
        <f t="shared" si="54"/>
        <v>Ano 4</v>
      </c>
      <c r="I378" s="11" t="str">
        <f t="shared" si="54"/>
        <v>Ano 5</v>
      </c>
      <c r="J378" s="11" t="str">
        <f t="shared" si="54"/>
        <v>Ano 6</v>
      </c>
      <c r="K378" s="11" t="str">
        <f t="shared" si="54"/>
        <v>Ano 7</v>
      </c>
      <c r="L378" s="11" t="str">
        <f t="shared" si="54"/>
        <v>Ano 8</v>
      </c>
      <c r="M378" s="11" t="str">
        <f t="shared" si="54"/>
        <v>Ano 9</v>
      </c>
      <c r="N378" s="11" t="str">
        <f t="shared" si="54"/>
        <v>Ano 10</v>
      </c>
      <c r="O378" s="11" t="str">
        <f t="shared" si="54"/>
        <v>Ano 11</v>
      </c>
      <c r="P378" s="11" t="str">
        <f t="shared" si="54"/>
        <v>Ano 12</v>
      </c>
      <c r="Q378" s="11" t="str">
        <f t="shared" si="54"/>
        <v>Ano 13</v>
      </c>
      <c r="R378" s="11" t="str">
        <f t="shared" si="54"/>
        <v>Ano 14</v>
      </c>
      <c r="S378" s="11" t="str">
        <f t="shared" si="54"/>
        <v>Ano 15</v>
      </c>
      <c r="T378" s="11" t="str">
        <f t="shared" si="54"/>
        <v>Ano 16</v>
      </c>
      <c r="U378" s="11" t="str">
        <f t="shared" si="54"/>
        <v>Ano 17</v>
      </c>
      <c r="V378" s="11" t="str">
        <f t="shared" si="54"/>
        <v>Ano 18</v>
      </c>
      <c r="W378" s="11" t="str">
        <f t="shared" si="54"/>
        <v>Ano 19</v>
      </c>
      <c r="X378" s="11" t="str">
        <f t="shared" si="54"/>
        <v>Ano 20</v>
      </c>
      <c r="Y378" s="11" t="str">
        <f t="shared" si="54"/>
        <v>Ano 21</v>
      </c>
      <c r="Z378" s="11" t="str">
        <f t="shared" si="54"/>
        <v>Ano 22</v>
      </c>
      <c r="AA378" s="11" t="str">
        <f t="shared" si="54"/>
        <v>Ano 23</v>
      </c>
      <c r="AB378" s="11" t="str">
        <f t="shared" si="54"/>
        <v>Ano 24</v>
      </c>
      <c r="AC378" s="11" t="str">
        <f t="shared" si="54"/>
        <v>Ano 25</v>
      </c>
      <c r="AD378" s="11" t="str">
        <f t="shared" si="54"/>
        <v>Ano 26</v>
      </c>
      <c r="AE378" s="11" t="str">
        <f t="shared" si="54"/>
        <v>Ano 27</v>
      </c>
      <c r="AF378" s="11" t="str">
        <f t="shared" si="54"/>
        <v>Ano 28</v>
      </c>
      <c r="AG378" s="11" t="str">
        <f t="shared" si="54"/>
        <v>Ano 29</v>
      </c>
      <c r="AH378" s="11" t="str">
        <f t="shared" si="54"/>
        <v>Ano 30</v>
      </c>
    </row>
    <row r="379" spans="2:34">
      <c r="B379" s="614">
        <v>1</v>
      </c>
      <c r="C379" s="619"/>
      <c r="D379" s="599"/>
      <c r="E379" s="8">
        <f t="shared" ref="E379:N382" ca="1" si="55">SUMIF($B$327:$B$374,$B379,E$327:E$374)</f>
        <v>0</v>
      </c>
      <c r="F379" s="8">
        <f t="shared" ca="1" si="55"/>
        <v>44475744.827660337</v>
      </c>
      <c r="G379" s="8">
        <f t="shared" ca="1" si="55"/>
        <v>60046222.204019226</v>
      </c>
      <c r="H379" s="8">
        <f t="shared" ca="1" si="55"/>
        <v>60987757.134655431</v>
      </c>
      <c r="I379" s="8">
        <f t="shared" ca="1" si="55"/>
        <v>86891665.611295938</v>
      </c>
      <c r="J379" s="8">
        <f t="shared" ca="1" si="55"/>
        <v>88822066.924905881</v>
      </c>
      <c r="K379" s="8">
        <f t="shared" ca="1" si="55"/>
        <v>90825487.627143323</v>
      </c>
      <c r="L379" s="8">
        <f t="shared" ca="1" si="55"/>
        <v>92889582.390282333</v>
      </c>
      <c r="M379" s="8">
        <f t="shared" ca="1" si="55"/>
        <v>95258486.947280377</v>
      </c>
      <c r="N379" s="8">
        <f t="shared" ca="1" si="55"/>
        <v>97949001.664084002</v>
      </c>
      <c r="O379" s="8">
        <f t="shared" ref="O379:X382" ca="1" si="56">SUMIF($B$327:$B$374,$B379,O$327:O$374)</f>
        <v>100704805.90981841</v>
      </c>
      <c r="P379" s="8">
        <f t="shared" ca="1" si="56"/>
        <v>103518709.22283012</v>
      </c>
      <c r="Q379" s="8">
        <f t="shared" ca="1" si="56"/>
        <v>106239859.086373</v>
      </c>
      <c r="R379" s="8">
        <f t="shared" ca="1" si="56"/>
        <v>108851781.88871436</v>
      </c>
      <c r="S379" s="8">
        <f t="shared" ca="1" si="56"/>
        <v>111337543.45443267</v>
      </c>
      <c r="T379" s="8">
        <f t="shared" ca="1" si="56"/>
        <v>113681098.51405178</v>
      </c>
      <c r="U379" s="8">
        <f t="shared" ca="1" si="56"/>
        <v>115871198.91201234</v>
      </c>
      <c r="V379" s="8">
        <f t="shared" ca="1" si="56"/>
        <v>117898408.80808893</v>
      </c>
      <c r="W379" s="8">
        <f t="shared" ca="1" si="56"/>
        <v>119752650.4392855</v>
      </c>
      <c r="X379" s="8">
        <f t="shared" ca="1" si="56"/>
        <v>121425580.09057915</v>
      </c>
      <c r="Y379" s="8">
        <f t="shared" ref="Y379:AH382" ca="1" si="57">SUMIF($B$327:$B$374,$B379,Y$327:Y$374)</f>
        <v>122908288.50522393</v>
      </c>
      <c r="Z379" s="8">
        <f t="shared" ca="1" si="57"/>
        <v>124194360.91348089</v>
      </c>
      <c r="AA379" s="8">
        <f t="shared" ca="1" si="57"/>
        <v>125279406.07841042</v>
      </c>
      <c r="AB379" s="8">
        <f t="shared" ca="1" si="57"/>
        <v>126158202.81147511</v>
      </c>
      <c r="AC379" s="8">
        <f t="shared" ca="1" si="57"/>
        <v>126825880.84405594</v>
      </c>
      <c r="AD379" s="8">
        <f t="shared" ca="1" si="57"/>
        <v>127279601.84360942</v>
      </c>
      <c r="AE379" s="8">
        <f t="shared" ca="1" si="57"/>
        <v>127517501.53888954</v>
      </c>
      <c r="AF379" s="8">
        <f t="shared" ca="1" si="57"/>
        <v>127536665.88164183</v>
      </c>
      <c r="AG379" s="8">
        <f t="shared" ca="1" si="57"/>
        <v>127334688.45552531</v>
      </c>
      <c r="AH379" s="8">
        <f t="shared" ca="1" si="57"/>
        <v>126910124.76236716</v>
      </c>
    </row>
    <row r="380" spans="2:34">
      <c r="B380" s="614">
        <v>2</v>
      </c>
      <c r="C380" s="619"/>
      <c r="D380" s="599"/>
      <c r="E380" s="8">
        <f t="shared" ca="1" si="55"/>
        <v>0</v>
      </c>
      <c r="F380" s="8">
        <f t="shared" ca="1" si="55"/>
        <v>39558611.250955388</v>
      </c>
      <c r="G380" s="8">
        <f t="shared" ca="1" si="55"/>
        <v>53434570.67186106</v>
      </c>
      <c r="H380" s="8">
        <f t="shared" ca="1" si="55"/>
        <v>54310749.954184428</v>
      </c>
      <c r="I380" s="8">
        <f t="shared" ca="1" si="55"/>
        <v>55310506.763921902</v>
      </c>
      <c r="J380" s="8">
        <f t="shared" ca="1" si="55"/>
        <v>56578605.004875489</v>
      </c>
      <c r="K380" s="8">
        <f t="shared" ca="1" si="55"/>
        <v>81070999.623268068</v>
      </c>
      <c r="L380" s="8">
        <f t="shared" ca="1" si="55"/>
        <v>82971969.979294747</v>
      </c>
      <c r="M380" s="8">
        <f t="shared" ca="1" si="55"/>
        <v>85125755.936898917</v>
      </c>
      <c r="N380" s="8">
        <f t="shared" ca="1" si="55"/>
        <v>87583423.630184948</v>
      </c>
      <c r="O380" s="8">
        <f t="shared" ca="1" si="56"/>
        <v>90120376.923786059</v>
      </c>
      <c r="P380" s="8">
        <f t="shared" ca="1" si="56"/>
        <v>92731468.086103171</v>
      </c>
      <c r="Q380" s="8">
        <f t="shared" ca="1" si="56"/>
        <v>95263775.9342338</v>
      </c>
      <c r="R380" s="8">
        <f t="shared" ca="1" si="56"/>
        <v>97701934.084176138</v>
      </c>
      <c r="S380" s="8">
        <f t="shared" ca="1" si="56"/>
        <v>100030093.44361554</v>
      </c>
      <c r="T380" s="8">
        <f t="shared" ca="1" si="56"/>
        <v>102233179.36565864</v>
      </c>
      <c r="U380" s="8">
        <f t="shared" ca="1" si="56"/>
        <v>104300458.42216887</v>
      </c>
      <c r="V380" s="8">
        <f t="shared" ca="1" si="56"/>
        <v>106222849.3920964</v>
      </c>
      <c r="W380" s="8">
        <f t="shared" ca="1" si="56"/>
        <v>107990683.45374426</v>
      </c>
      <c r="X380" s="8">
        <f t="shared" ca="1" si="56"/>
        <v>109595853.26415737</v>
      </c>
      <c r="Y380" s="8">
        <f t="shared" ca="1" si="57"/>
        <v>111029742.57626855</v>
      </c>
      <c r="Z380" s="8">
        <f t="shared" ca="1" si="57"/>
        <v>112286008.92859952</v>
      </c>
      <c r="AA380" s="8">
        <f t="shared" ca="1" si="57"/>
        <v>113360165.71137017</v>
      </c>
      <c r="AB380" s="8">
        <f t="shared" ca="1" si="57"/>
        <v>114246990.79155654</v>
      </c>
      <c r="AC380" s="8">
        <f t="shared" ca="1" si="57"/>
        <v>114941589.60801013</v>
      </c>
      <c r="AD380" s="8">
        <f t="shared" ca="1" si="57"/>
        <v>115440925.13826799</v>
      </c>
      <c r="AE380" s="8">
        <f t="shared" ca="1" si="57"/>
        <v>115742846.28160965</v>
      </c>
      <c r="AF380" s="8">
        <f t="shared" ca="1" si="57"/>
        <v>115844244.47195035</v>
      </c>
      <c r="AG380" s="8">
        <f t="shared" ca="1" si="57"/>
        <v>115742482.15950739</v>
      </c>
      <c r="AH380" s="8">
        <f t="shared" ca="1" si="57"/>
        <v>115435816.07189555</v>
      </c>
    </row>
    <row r="381" spans="2:34">
      <c r="B381" s="614">
        <v>3</v>
      </c>
      <c r="C381" s="619"/>
      <c r="D381" s="599"/>
      <c r="E381" s="8">
        <f t="shared" ca="1" si="55"/>
        <v>0</v>
      </c>
      <c r="F381" s="8">
        <f t="shared" ca="1" si="55"/>
        <v>8909895.5982905086</v>
      </c>
      <c r="G381" s="8">
        <f t="shared" ca="1" si="55"/>
        <v>12038512.733028399</v>
      </c>
      <c r="H381" s="8">
        <f t="shared" ca="1" si="55"/>
        <v>12240679.499985849</v>
      </c>
      <c r="I381" s="8">
        <f t="shared" ca="1" si="55"/>
        <v>12470107.115361314</v>
      </c>
      <c r="J381" s="8">
        <f t="shared" ca="1" si="55"/>
        <v>12757397.365963761</v>
      </c>
      <c r="K381" s="8">
        <f t="shared" ca="1" si="55"/>
        <v>13061763.56429155</v>
      </c>
      <c r="L381" s="8">
        <f t="shared" ca="1" si="55"/>
        <v>13369155.258728813</v>
      </c>
      <c r="M381" s="8">
        <f t="shared" ca="1" si="55"/>
        <v>13711227.937145667</v>
      </c>
      <c r="N381" s="8">
        <f t="shared" ca="1" si="55"/>
        <v>14103057.514211964</v>
      </c>
      <c r="O381" s="8">
        <f t="shared" ca="1" si="56"/>
        <v>14510848.723949088</v>
      </c>
      <c r="P381" s="8">
        <f t="shared" ca="1" si="56"/>
        <v>14934090.777107716</v>
      </c>
      <c r="Q381" s="8">
        <f t="shared" ca="1" si="56"/>
        <v>15345484.639099801</v>
      </c>
      <c r="R381" s="8">
        <f t="shared" ca="1" si="56"/>
        <v>15742558.967887245</v>
      </c>
      <c r="S381" s="8">
        <f t="shared" ca="1" si="56"/>
        <v>16122753.800364507</v>
      </c>
      <c r="T381" s="8">
        <f t="shared" ca="1" si="56"/>
        <v>16483624.519126683</v>
      </c>
      <c r="U381" s="8">
        <f t="shared" ca="1" si="56"/>
        <v>16823412.555292521</v>
      </c>
      <c r="V381" s="8">
        <f t="shared" ca="1" si="56"/>
        <v>17140619.157607514</v>
      </c>
      <c r="W381" s="8">
        <f t="shared" ca="1" si="56"/>
        <v>17433646.941202506</v>
      </c>
      <c r="X381" s="8">
        <f t="shared" ca="1" si="56"/>
        <v>17701141.465316858</v>
      </c>
      <c r="Y381" s="8">
        <f t="shared" ca="1" si="57"/>
        <v>17941663.597857434</v>
      </c>
      <c r="Z381" s="8">
        <f t="shared" ca="1" si="57"/>
        <v>18154133.816400193</v>
      </c>
      <c r="AA381" s="8">
        <f t="shared" ca="1" si="57"/>
        <v>18337767.096900679</v>
      </c>
      <c r="AB381" s="8">
        <f t="shared" ca="1" si="57"/>
        <v>18491660.043687325</v>
      </c>
      <c r="AC381" s="8">
        <f t="shared" ca="1" si="57"/>
        <v>18614959.256046176</v>
      </c>
      <c r="AD381" s="8">
        <f t="shared" ca="1" si="57"/>
        <v>18707105.876340929</v>
      </c>
      <c r="AE381" s="8">
        <f t="shared" ca="1" si="57"/>
        <v>18767679.295031413</v>
      </c>
      <c r="AF381" s="8">
        <f t="shared" ca="1" si="57"/>
        <v>18796102.521724984</v>
      </c>
      <c r="AG381" s="8">
        <f t="shared" ca="1" si="57"/>
        <v>18791872.04985293</v>
      </c>
      <c r="AH381" s="8">
        <f t="shared" ca="1" si="57"/>
        <v>18754627.078236621</v>
      </c>
    </row>
    <row r="382" spans="2:34">
      <c r="B382" s="614">
        <v>4</v>
      </c>
      <c r="C382" s="619"/>
      <c r="D382" s="599"/>
      <c r="E382" s="8">
        <f t="shared" ca="1" si="55"/>
        <v>0</v>
      </c>
      <c r="F382" s="8">
        <f t="shared" ca="1" si="55"/>
        <v>16293925.456091529</v>
      </c>
      <c r="G382" s="8">
        <f t="shared" ca="1" si="55"/>
        <v>22011929.146413904</v>
      </c>
      <c r="H382" s="8">
        <f t="shared" ca="1" si="55"/>
        <v>22379872.971379668</v>
      </c>
      <c r="I382" s="8">
        <f t="shared" ca="1" si="55"/>
        <v>22797922.281257946</v>
      </c>
      <c r="J382" s="8">
        <f t="shared" ca="1" si="55"/>
        <v>23322284.228636965</v>
      </c>
      <c r="K382" s="8">
        <f t="shared" ca="1" si="55"/>
        <v>23879683.657043017</v>
      </c>
      <c r="L382" s="8">
        <f t="shared" ca="1" si="55"/>
        <v>24441190.315686125</v>
      </c>
      <c r="M382" s="8">
        <f t="shared" ca="1" si="55"/>
        <v>25064806.993277408</v>
      </c>
      <c r="N382" s="8">
        <f t="shared" ca="1" si="55"/>
        <v>25781639.425328869</v>
      </c>
      <c r="O382" s="8">
        <f t="shared" ca="1" si="56"/>
        <v>26529802.546136133</v>
      </c>
      <c r="P382" s="8">
        <f t="shared" ca="1" si="56"/>
        <v>27308552.320437003</v>
      </c>
      <c r="Q382" s="8">
        <f t="shared" ca="1" si="56"/>
        <v>28065958.32578348</v>
      </c>
      <c r="R382" s="8">
        <f t="shared" ca="1" si="56"/>
        <v>28797471.908618256</v>
      </c>
      <c r="S382" s="8">
        <f t="shared" ca="1" si="56"/>
        <v>29498377.484519523</v>
      </c>
      <c r="T382" s="8">
        <f t="shared" ca="1" si="56"/>
        <v>42229835.322155766</v>
      </c>
      <c r="U382" s="8">
        <f t="shared" ca="1" si="56"/>
        <v>43108228.394877918</v>
      </c>
      <c r="V382" s="8">
        <f t="shared" ca="1" si="56"/>
        <v>43929020.86336603</v>
      </c>
      <c r="W382" s="8">
        <f t="shared" ca="1" si="56"/>
        <v>44688071.787226506</v>
      </c>
      <c r="X382" s="8">
        <f t="shared" ca="1" si="56"/>
        <v>45381861.169177771</v>
      </c>
      <c r="Y382" s="8">
        <f t="shared" ca="1" si="57"/>
        <v>46006651.538202174</v>
      </c>
      <c r="Z382" s="8">
        <f t="shared" ca="1" si="57"/>
        <v>46559627.536864117</v>
      </c>
      <c r="AA382" s="8">
        <f t="shared" ca="1" si="57"/>
        <v>47038729.908064678</v>
      </c>
      <c r="AB382" s="8">
        <f t="shared" ca="1" si="57"/>
        <v>47441596.919961788</v>
      </c>
      <c r="AC382" s="8">
        <f t="shared" ca="1" si="57"/>
        <v>47765995.234312952</v>
      </c>
      <c r="AD382" s="8">
        <f t="shared" ca="1" si="57"/>
        <v>48010447.283637002</v>
      </c>
      <c r="AE382" s="8">
        <f t="shared" ca="1" si="57"/>
        <v>48173829.530074731</v>
      </c>
      <c r="AF382" s="8">
        <f t="shared" ca="1" si="57"/>
        <v>48254616.515848517</v>
      </c>
      <c r="AG382" s="8">
        <f t="shared" ca="1" si="57"/>
        <v>48251471.591511197</v>
      </c>
      <c r="AH382" s="8">
        <f t="shared" ca="1" si="57"/>
        <v>48163425.444203801</v>
      </c>
    </row>
    <row r="383" spans="2:34">
      <c r="B383" s="614" t="s">
        <v>73</v>
      </c>
      <c r="C383" s="619"/>
      <c r="D383" s="599"/>
      <c r="E383" s="16">
        <f t="shared" ref="E383:AH383" ca="1" si="58">SUM(E379:E382)</f>
        <v>0</v>
      </c>
      <c r="F383" s="16">
        <f t="shared" ca="1" si="58"/>
        <v>109238177.13299775</v>
      </c>
      <c r="G383" s="16">
        <f t="shared" ca="1" si="58"/>
        <v>147531234.75532258</v>
      </c>
      <c r="H383" s="16">
        <f t="shared" ca="1" si="58"/>
        <v>149919059.56020537</v>
      </c>
      <c r="I383" s="16">
        <f t="shared" ca="1" si="58"/>
        <v>177470201.77183712</v>
      </c>
      <c r="J383" s="16">
        <f t="shared" ca="1" si="58"/>
        <v>181480353.52438211</v>
      </c>
      <c r="K383" s="16">
        <f t="shared" ca="1" si="58"/>
        <v>208837934.47174594</v>
      </c>
      <c r="L383" s="16">
        <f t="shared" ca="1" si="58"/>
        <v>213671897.94399202</v>
      </c>
      <c r="M383" s="16">
        <f t="shared" ca="1" si="58"/>
        <v>219160277.81460238</v>
      </c>
      <c r="N383" s="16">
        <f t="shared" ca="1" si="58"/>
        <v>225417122.2338098</v>
      </c>
      <c r="O383" s="16">
        <f t="shared" ca="1" si="58"/>
        <v>231865834.10368967</v>
      </c>
      <c r="P383" s="16">
        <f t="shared" ca="1" si="58"/>
        <v>238492820.40647802</v>
      </c>
      <c r="Q383" s="16">
        <f t="shared" ca="1" si="58"/>
        <v>244915077.98549011</v>
      </c>
      <c r="R383" s="16">
        <f t="shared" ca="1" si="58"/>
        <v>251093746.84939599</v>
      </c>
      <c r="S383" s="16">
        <f t="shared" ca="1" si="58"/>
        <v>256988768.18293223</v>
      </c>
      <c r="T383" s="16">
        <f t="shared" ca="1" si="58"/>
        <v>274627737.72099286</v>
      </c>
      <c r="U383" s="16">
        <f t="shared" ca="1" si="58"/>
        <v>280103298.28435165</v>
      </c>
      <c r="V383" s="16">
        <f t="shared" ca="1" si="58"/>
        <v>285190898.22115886</v>
      </c>
      <c r="W383" s="16">
        <f t="shared" ca="1" si="58"/>
        <v>289865052.62145877</v>
      </c>
      <c r="X383" s="16">
        <f t="shared" ca="1" si="58"/>
        <v>294104435.98923111</v>
      </c>
      <c r="Y383" s="16">
        <f t="shared" ca="1" si="58"/>
        <v>297886346.21755213</v>
      </c>
      <c r="Z383" s="16">
        <f t="shared" ca="1" si="58"/>
        <v>301194131.19534475</v>
      </c>
      <c r="AA383" s="16">
        <f t="shared" ca="1" si="58"/>
        <v>304016068.79474592</v>
      </c>
      <c r="AB383" s="16">
        <f t="shared" ca="1" si="58"/>
        <v>306338450.56668073</v>
      </c>
      <c r="AC383" s="16">
        <f t="shared" ca="1" si="58"/>
        <v>308148424.94242519</v>
      </c>
      <c r="AD383" s="16">
        <f t="shared" ca="1" si="58"/>
        <v>309438080.14185536</v>
      </c>
      <c r="AE383" s="16">
        <f t="shared" ca="1" si="58"/>
        <v>310201856.64560533</v>
      </c>
      <c r="AF383" s="16">
        <f t="shared" ca="1" si="58"/>
        <v>310431629.39116567</v>
      </c>
      <c r="AG383" s="16">
        <f t="shared" ca="1" si="58"/>
        <v>310120514.25639683</v>
      </c>
      <c r="AH383" s="16">
        <f t="shared" ca="1" si="58"/>
        <v>309263993.35670316</v>
      </c>
    </row>
    <row r="384" spans="2:34">
      <c r="E384" s="3"/>
      <c r="F384" s="3"/>
    </row>
    <row r="385" spans="2:34">
      <c r="B385" s="210" t="s">
        <v>628</v>
      </c>
    </row>
    <row r="386" spans="2:34">
      <c r="B386" s="614" t="s">
        <v>105</v>
      </c>
      <c r="C386" s="619"/>
      <c r="D386" s="599"/>
      <c r="E386" s="11" t="str" cm="1">
        <f t="array" ref="E386:AH386">E378:AH378</f>
        <v>Ano 1</v>
      </c>
      <c r="F386" s="11" t="str">
        <v>Ano 2</v>
      </c>
      <c r="G386" s="11" t="str">
        <v>Ano 3</v>
      </c>
      <c r="H386" s="11" t="str">
        <v>Ano 4</v>
      </c>
      <c r="I386" s="11" t="str">
        <v>Ano 5</v>
      </c>
      <c r="J386" s="11" t="str">
        <v>Ano 6</v>
      </c>
      <c r="K386" s="11" t="str">
        <v>Ano 7</v>
      </c>
      <c r="L386" s="11" t="str">
        <v>Ano 8</v>
      </c>
      <c r="M386" s="11" t="str">
        <v>Ano 9</v>
      </c>
      <c r="N386" s="11" t="str">
        <v>Ano 10</v>
      </c>
      <c r="O386" s="11" t="str">
        <v>Ano 11</v>
      </c>
      <c r="P386" s="11" t="str">
        <v>Ano 12</v>
      </c>
      <c r="Q386" s="11" t="str">
        <v>Ano 13</v>
      </c>
      <c r="R386" s="11" t="str">
        <v>Ano 14</v>
      </c>
      <c r="S386" s="11" t="str">
        <v>Ano 15</v>
      </c>
      <c r="T386" s="11" t="str">
        <v>Ano 16</v>
      </c>
      <c r="U386" s="11" t="str">
        <v>Ano 17</v>
      </c>
      <c r="V386" s="11" t="str">
        <v>Ano 18</v>
      </c>
      <c r="W386" s="11" t="str">
        <v>Ano 19</v>
      </c>
      <c r="X386" s="11" t="str">
        <v>Ano 20</v>
      </c>
      <c r="Y386" s="11" t="str">
        <v>Ano 21</v>
      </c>
      <c r="Z386" s="11" t="str">
        <v>Ano 22</v>
      </c>
      <c r="AA386" s="11" t="str">
        <v>Ano 23</v>
      </c>
      <c r="AB386" s="11" t="str">
        <v>Ano 24</v>
      </c>
      <c r="AC386" s="11" t="str">
        <v>Ano 25</v>
      </c>
      <c r="AD386" s="11" t="str">
        <v>Ano 26</v>
      </c>
      <c r="AE386" s="11" t="str">
        <v>Ano 27</v>
      </c>
      <c r="AF386" s="11" t="str">
        <v>Ano 28</v>
      </c>
      <c r="AG386" s="11" t="str">
        <v>Ano 29</v>
      </c>
      <c r="AH386" s="11" t="str">
        <v>Ano 30</v>
      </c>
    </row>
    <row r="387" spans="2:34">
      <c r="B387" s="614">
        <v>1</v>
      </c>
      <c r="C387" s="619"/>
      <c r="D387" s="599"/>
      <c r="E387" s="8" cm="1">
        <f t="array" aca="1" ref="E387:AH390" ca="1">E379:AH382 * (1 - 'TAG e inad.'!C11:AF11)</f>
        <v>0</v>
      </c>
      <c r="F387" s="8">
        <f ca="1"/>
        <v>36470110.758681476</v>
      </c>
      <c r="G387" s="8">
        <f ca="1"/>
        <v>50438826.651376151</v>
      </c>
      <c r="H387" s="8">
        <f ca="1"/>
        <v>51839593.564457119</v>
      </c>
      <c r="I387" s="8">
        <f ca="1"/>
        <v>75595749.081827462</v>
      </c>
      <c r="J387" s="8">
        <f ca="1"/>
        <v>77275198.224668115</v>
      </c>
      <c r="K387" s="8">
        <f ca="1"/>
        <v>79018174.235614687</v>
      </c>
      <c r="L387" s="8">
        <f ca="1"/>
        <v>80813936.679545626</v>
      </c>
      <c r="M387" s="8">
        <f ca="1"/>
        <v>82874883.644133925</v>
      </c>
      <c r="N387" s="8">
        <f ca="1"/>
        <v>85215631.447753087</v>
      </c>
      <c r="O387" s="8">
        <f ca="1"/>
        <v>87613181.141542017</v>
      </c>
      <c r="P387" s="8">
        <f ca="1"/>
        <v>90061277.023862198</v>
      </c>
      <c r="Q387" s="8">
        <f ca="1"/>
        <v>92428677.405144513</v>
      </c>
      <c r="R387" s="8">
        <f ca="1"/>
        <v>94701050.243181497</v>
      </c>
      <c r="S387" s="8">
        <f ca="1"/>
        <v>96863662.805356413</v>
      </c>
      <c r="T387" s="8">
        <f ca="1"/>
        <v>98902555.707225055</v>
      </c>
      <c r="U387" s="8">
        <f ca="1"/>
        <v>100807943.05345073</v>
      </c>
      <c r="V387" s="8">
        <f ca="1"/>
        <v>102571615.66303737</v>
      </c>
      <c r="W387" s="8">
        <f ca="1"/>
        <v>104184805.88217838</v>
      </c>
      <c r="X387" s="8">
        <f ca="1"/>
        <v>105640254.67880386</v>
      </c>
      <c r="Y387" s="8">
        <f ca="1"/>
        <v>106930210.99954481</v>
      </c>
      <c r="Z387" s="8">
        <f ca="1"/>
        <v>108049093.99472837</v>
      </c>
      <c r="AA387" s="8">
        <f ca="1"/>
        <v>108993083.28821707</v>
      </c>
      <c r="AB387" s="8">
        <f ca="1"/>
        <v>109757636.44598335</v>
      </c>
      <c r="AC387" s="8">
        <f ca="1"/>
        <v>110338516.33432867</v>
      </c>
      <c r="AD387" s="8">
        <f ca="1"/>
        <v>110733253.6039402</v>
      </c>
      <c r="AE387" s="8">
        <f ca="1"/>
        <v>110940226.3388339</v>
      </c>
      <c r="AF387" s="8">
        <f ca="1"/>
        <v>110956899.3170284</v>
      </c>
      <c r="AG387" s="8">
        <f ca="1"/>
        <v>110781178.95630702</v>
      </c>
      <c r="AH387" s="8">
        <f ca="1"/>
        <v>110411808.54325943</v>
      </c>
    </row>
    <row r="388" spans="2:34">
      <c r="B388" s="614">
        <v>2</v>
      </c>
      <c r="C388" s="619"/>
      <c r="D388" s="599"/>
      <c r="E388" s="8">
        <f ca="1"/>
        <v>0</v>
      </c>
      <c r="F388" s="8">
        <f ca="1"/>
        <v>32438061.225783419</v>
      </c>
      <c r="G388" s="8">
        <f ca="1"/>
        <v>44885039.36436329</v>
      </c>
      <c r="H388" s="8">
        <f ca="1"/>
        <v>46164137.461056761</v>
      </c>
      <c r="I388" s="8">
        <f ca="1"/>
        <v>48120140.884612054</v>
      </c>
      <c r="J388" s="8">
        <f ca="1"/>
        <v>49223386.354241677</v>
      </c>
      <c r="K388" s="8">
        <f ca="1"/>
        <v>70531769.672243223</v>
      </c>
      <c r="L388" s="8">
        <f ca="1"/>
        <v>72185613.881986424</v>
      </c>
      <c r="M388" s="8">
        <f ca="1"/>
        <v>74059407.665102065</v>
      </c>
      <c r="N388" s="8">
        <f ca="1"/>
        <v>76197578.558260903</v>
      </c>
      <c r="O388" s="8">
        <f ca="1"/>
        <v>78404727.923693866</v>
      </c>
      <c r="P388" s="8">
        <f ca="1"/>
        <v>80676377.234909758</v>
      </c>
      <c r="Q388" s="8">
        <f ca="1"/>
        <v>82879485.062783405</v>
      </c>
      <c r="R388" s="8">
        <f ca="1"/>
        <v>85000682.653233245</v>
      </c>
      <c r="S388" s="8">
        <f ca="1"/>
        <v>87026181.295945525</v>
      </c>
      <c r="T388" s="8">
        <f ca="1"/>
        <v>88942866.048123017</v>
      </c>
      <c r="U388" s="8">
        <f ca="1"/>
        <v>90741398.827286914</v>
      </c>
      <c r="V388" s="8">
        <f ca="1"/>
        <v>92413878.971123874</v>
      </c>
      <c r="W388" s="8">
        <f ca="1"/>
        <v>93951894.604757503</v>
      </c>
      <c r="X388" s="8">
        <f ca="1"/>
        <v>95348392.339816913</v>
      </c>
      <c r="Y388" s="8">
        <f ca="1"/>
        <v>96595876.041353643</v>
      </c>
      <c r="Z388" s="8">
        <f ca="1"/>
        <v>97688827.767881587</v>
      </c>
      <c r="AA388" s="8">
        <f ca="1"/>
        <v>98623344.168892041</v>
      </c>
      <c r="AB388" s="8">
        <f ca="1"/>
        <v>99394881.988654181</v>
      </c>
      <c r="AC388" s="8">
        <f ca="1"/>
        <v>99999182.958968818</v>
      </c>
      <c r="AD388" s="8">
        <f ca="1"/>
        <v>100433604.87029316</v>
      </c>
      <c r="AE388" s="8">
        <f ca="1"/>
        <v>100696276.2650004</v>
      </c>
      <c r="AF388" s="8">
        <f ca="1"/>
        <v>100784492.6905968</v>
      </c>
      <c r="AG388" s="8">
        <f ca="1"/>
        <v>100695959.47877143</v>
      </c>
      <c r="AH388" s="8">
        <f ca="1"/>
        <v>100429159.98254913</v>
      </c>
    </row>
    <row r="389" spans="2:34">
      <c r="B389" s="614">
        <v>3</v>
      </c>
      <c r="C389" s="619"/>
      <c r="D389" s="599"/>
      <c r="E389" s="8">
        <f ca="1"/>
        <v>0</v>
      </c>
      <c r="F389" s="8">
        <f ca="1"/>
        <v>7306114.390598218</v>
      </c>
      <c r="G389" s="8">
        <f ca="1"/>
        <v>10112350.695743855</v>
      </c>
      <c r="H389" s="8">
        <f ca="1"/>
        <v>10404577.574987972</v>
      </c>
      <c r="I389" s="8">
        <f ca="1"/>
        <v>10848993.190364344</v>
      </c>
      <c r="J389" s="8">
        <f ca="1"/>
        <v>11098935.708388472</v>
      </c>
      <c r="K389" s="8">
        <f ca="1"/>
        <v>11363734.300933648</v>
      </c>
      <c r="L389" s="8">
        <f ca="1"/>
        <v>11631165.075094068</v>
      </c>
      <c r="M389" s="8">
        <f ca="1"/>
        <v>11928768.305316729</v>
      </c>
      <c r="N389" s="8">
        <f ca="1"/>
        <v>12269660.037364408</v>
      </c>
      <c r="O389" s="8">
        <f ca="1"/>
        <v>12624438.389835706</v>
      </c>
      <c r="P389" s="8">
        <f ca="1"/>
        <v>12992658.976083713</v>
      </c>
      <c r="Q389" s="8">
        <f ca="1"/>
        <v>13350571.636016827</v>
      </c>
      <c r="R389" s="8">
        <f ca="1"/>
        <v>13696026.302061902</v>
      </c>
      <c r="S389" s="8">
        <f ca="1"/>
        <v>14026795.806317121</v>
      </c>
      <c r="T389" s="8">
        <f ca="1"/>
        <v>14340753.331640214</v>
      </c>
      <c r="U389" s="8">
        <f ca="1"/>
        <v>14636368.923104493</v>
      </c>
      <c r="V389" s="8">
        <f ca="1"/>
        <v>14912338.667118538</v>
      </c>
      <c r="W389" s="8">
        <f ca="1"/>
        <v>15167272.838846181</v>
      </c>
      <c r="X389" s="8">
        <f ca="1"/>
        <v>15399993.074825667</v>
      </c>
      <c r="Y389" s="8">
        <f ca="1"/>
        <v>15609247.330135968</v>
      </c>
      <c r="Z389" s="8">
        <f ca="1"/>
        <v>15794096.420268167</v>
      </c>
      <c r="AA389" s="8">
        <f ca="1"/>
        <v>15953857.374303591</v>
      </c>
      <c r="AB389" s="8">
        <f ca="1"/>
        <v>16087744.238007972</v>
      </c>
      <c r="AC389" s="8">
        <f ca="1"/>
        <v>16195014.552760173</v>
      </c>
      <c r="AD389" s="8">
        <f ca="1"/>
        <v>16275182.112416608</v>
      </c>
      <c r="AE389" s="8">
        <f ca="1"/>
        <v>16327880.98667733</v>
      </c>
      <c r="AF389" s="8">
        <f ca="1"/>
        <v>16352609.193900736</v>
      </c>
      <c r="AG389" s="8">
        <f ca="1"/>
        <v>16348928.683372049</v>
      </c>
      <c r="AH389" s="8">
        <f ca="1"/>
        <v>16316525.55806586</v>
      </c>
    </row>
    <row r="390" spans="2:34">
      <c r="B390" s="614">
        <v>4</v>
      </c>
      <c r="C390" s="619"/>
      <c r="D390" s="599"/>
      <c r="E390" s="8">
        <f ca="1"/>
        <v>0</v>
      </c>
      <c r="F390" s="8">
        <f ca="1"/>
        <v>13361018.873995055</v>
      </c>
      <c r="G390" s="8">
        <f ca="1"/>
        <v>18490020.48298768</v>
      </c>
      <c r="H390" s="8">
        <f ca="1"/>
        <v>19022892.025672715</v>
      </c>
      <c r="I390" s="8">
        <f ca="1"/>
        <v>19834192.384694412</v>
      </c>
      <c r="J390" s="8">
        <f ca="1"/>
        <v>20290387.278914161</v>
      </c>
      <c r="K390" s="8">
        <f ca="1"/>
        <v>20775324.781627424</v>
      </c>
      <c r="L390" s="8">
        <f ca="1"/>
        <v>21263835.574646927</v>
      </c>
      <c r="M390" s="8">
        <f ca="1"/>
        <v>21806382.084151346</v>
      </c>
      <c r="N390" s="8">
        <f ca="1"/>
        <v>22430026.300036117</v>
      </c>
      <c r="O390" s="8">
        <f ca="1"/>
        <v>23080928.215138435</v>
      </c>
      <c r="P390" s="8">
        <f ca="1"/>
        <v>23758440.518780194</v>
      </c>
      <c r="Q390" s="8">
        <f ca="1"/>
        <v>24417383.743431628</v>
      </c>
      <c r="R390" s="8">
        <f ca="1"/>
        <v>25053800.560497884</v>
      </c>
      <c r="S390" s="8">
        <f ca="1"/>
        <v>25663588.411531985</v>
      </c>
      <c r="T390" s="8">
        <f ca="1"/>
        <v>36739956.730275519</v>
      </c>
      <c r="U390" s="8">
        <f ca="1"/>
        <v>37504158.70354379</v>
      </c>
      <c r="V390" s="8">
        <f ca="1"/>
        <v>38218248.151128449</v>
      </c>
      <c r="W390" s="8">
        <f ca="1"/>
        <v>38878622.454887062</v>
      </c>
      <c r="X390" s="8">
        <f ca="1"/>
        <v>39482219.217184663</v>
      </c>
      <c r="Y390" s="8">
        <f ca="1"/>
        <v>40025786.838235892</v>
      </c>
      <c r="Z390" s="8">
        <f ca="1"/>
        <v>40506875.957071781</v>
      </c>
      <c r="AA390" s="8">
        <f ca="1"/>
        <v>40923695.020016268</v>
      </c>
      <c r="AB390" s="8">
        <f ca="1"/>
        <v>41274189.320366755</v>
      </c>
      <c r="AC390" s="8">
        <f ca="1"/>
        <v>41556415.853852265</v>
      </c>
      <c r="AD390" s="8">
        <f ca="1"/>
        <v>41769089.136764191</v>
      </c>
      <c r="AE390" s="8">
        <f ca="1"/>
        <v>41911231.691165015</v>
      </c>
      <c r="AF390" s="8">
        <f ca="1"/>
        <v>41981516.368788213</v>
      </c>
      <c r="AG390" s="8">
        <f ca="1"/>
        <v>41978780.284614742</v>
      </c>
      <c r="AH390" s="8">
        <f ca="1"/>
        <v>41902180.136457309</v>
      </c>
    </row>
    <row r="391" spans="2:34">
      <c r="B391" s="614" t="s">
        <v>73</v>
      </c>
      <c r="C391" s="619"/>
      <c r="D391" s="599"/>
      <c r="E391" s="16">
        <f t="shared" ref="E391:AH391" ca="1" si="59">SUM(E387:E390)</f>
        <v>0</v>
      </c>
      <c r="F391" s="16">
        <f t="shared" ca="1" si="59"/>
        <v>89575305.249058172</v>
      </c>
      <c r="G391" s="16">
        <f t="shared" ca="1" si="59"/>
        <v>123926237.19447097</v>
      </c>
      <c r="H391" s="16">
        <f t="shared" ca="1" si="59"/>
        <v>127431200.62617458</v>
      </c>
      <c r="I391" s="16">
        <f t="shared" ca="1" si="59"/>
        <v>154399075.54149824</v>
      </c>
      <c r="J391" s="16">
        <f t="shared" ca="1" si="59"/>
        <v>157887907.56621242</v>
      </c>
      <c r="K391" s="16">
        <f t="shared" ca="1" si="59"/>
        <v>181689002.99041897</v>
      </c>
      <c r="L391" s="16">
        <f t="shared" ca="1" si="59"/>
        <v>185894551.21127304</v>
      </c>
      <c r="M391" s="16">
        <f t="shared" ca="1" si="59"/>
        <v>190669441.69870406</v>
      </c>
      <c r="N391" s="16">
        <f t="shared" ca="1" si="59"/>
        <v>196112896.34341455</v>
      </c>
      <c r="O391" s="16">
        <f t="shared" ca="1" si="59"/>
        <v>201723275.67021003</v>
      </c>
      <c r="P391" s="16">
        <f t="shared" ca="1" si="59"/>
        <v>207488753.75363588</v>
      </c>
      <c r="Q391" s="16">
        <f t="shared" ca="1" si="59"/>
        <v>213076117.84737638</v>
      </c>
      <c r="R391" s="16">
        <f t="shared" ca="1" si="59"/>
        <v>218451559.75897455</v>
      </c>
      <c r="S391" s="16">
        <f t="shared" ca="1" si="59"/>
        <v>223580228.31915104</v>
      </c>
      <c r="T391" s="16">
        <f t="shared" ca="1" si="59"/>
        <v>238926131.81726381</v>
      </c>
      <c r="U391" s="16">
        <f t="shared" ca="1" si="59"/>
        <v>243689869.50738594</v>
      </c>
      <c r="V391" s="16">
        <f t="shared" ca="1" si="59"/>
        <v>248116081.45240822</v>
      </c>
      <c r="W391" s="16">
        <f t="shared" ca="1" si="59"/>
        <v>252182595.78066912</v>
      </c>
      <c r="X391" s="16">
        <f t="shared" ca="1" si="59"/>
        <v>255870859.31063113</v>
      </c>
      <c r="Y391" s="16">
        <f t="shared" ca="1" si="59"/>
        <v>259161121.2092703</v>
      </c>
      <c r="Z391" s="16">
        <f t="shared" ca="1" si="59"/>
        <v>262038894.13994992</v>
      </c>
      <c r="AA391" s="16">
        <f t="shared" ca="1" si="59"/>
        <v>264493979.85142893</v>
      </c>
      <c r="AB391" s="16">
        <f t="shared" ca="1" si="59"/>
        <v>266514451.99301225</v>
      </c>
      <c r="AC391" s="16">
        <f t="shared" ca="1" si="59"/>
        <v>268089129.69990993</v>
      </c>
      <c r="AD391" s="16">
        <f t="shared" ca="1" si="59"/>
        <v>269211129.72341412</v>
      </c>
      <c r="AE391" s="16">
        <f t="shared" ca="1" si="59"/>
        <v>269875615.28167665</v>
      </c>
      <c r="AF391" s="16">
        <f t="shared" ca="1" si="59"/>
        <v>270075517.57031417</v>
      </c>
      <c r="AG391" s="16">
        <f t="shared" ca="1" si="59"/>
        <v>269804847.4030652</v>
      </c>
      <c r="AH391" s="16">
        <f t="shared" ca="1" si="59"/>
        <v>269059674.22033173</v>
      </c>
    </row>
    <row r="392" spans="2:34">
      <c r="D392" s="3"/>
      <c r="E392" s="3"/>
    </row>
    <row r="393" spans="2:34">
      <c r="B393" s="210" t="s">
        <v>629</v>
      </c>
    </row>
    <row r="394" spans="2:34">
      <c r="B394" s="614" t="s">
        <v>105</v>
      </c>
      <c r="C394" s="619"/>
      <c r="D394" s="599"/>
      <c r="E394" s="11" t="str" cm="1">
        <f t="array" ref="E394:AH394">_xlfn.ANCHORARRAY(E386)</f>
        <v>Ano 1</v>
      </c>
      <c r="F394" s="11" t="str">
        <v>Ano 2</v>
      </c>
      <c r="G394" s="11" t="str">
        <v>Ano 3</v>
      </c>
      <c r="H394" s="11" t="str">
        <v>Ano 4</v>
      </c>
      <c r="I394" s="11" t="str">
        <v>Ano 5</v>
      </c>
      <c r="J394" s="11" t="str">
        <v>Ano 6</v>
      </c>
      <c r="K394" s="11" t="str">
        <v>Ano 7</v>
      </c>
      <c r="L394" s="11" t="str">
        <v>Ano 8</v>
      </c>
      <c r="M394" s="11" t="str">
        <v>Ano 9</v>
      </c>
      <c r="N394" s="11" t="str">
        <v>Ano 10</v>
      </c>
      <c r="O394" s="11" t="str">
        <v>Ano 11</v>
      </c>
      <c r="P394" s="11" t="str">
        <v>Ano 12</v>
      </c>
      <c r="Q394" s="11" t="str">
        <v>Ano 13</v>
      </c>
      <c r="R394" s="11" t="str">
        <v>Ano 14</v>
      </c>
      <c r="S394" s="11" t="str">
        <v>Ano 15</v>
      </c>
      <c r="T394" s="11" t="str">
        <v>Ano 16</v>
      </c>
      <c r="U394" s="11" t="str">
        <v>Ano 17</v>
      </c>
      <c r="V394" s="11" t="str">
        <v>Ano 18</v>
      </c>
      <c r="W394" s="11" t="str">
        <v>Ano 19</v>
      </c>
      <c r="X394" s="11" t="str">
        <v>Ano 20</v>
      </c>
      <c r="Y394" s="11" t="str">
        <v>Ano 21</v>
      </c>
      <c r="Z394" s="11" t="str">
        <v>Ano 22</v>
      </c>
      <c r="AA394" s="11" t="str">
        <v>Ano 23</v>
      </c>
      <c r="AB394" s="11" t="str">
        <v>Ano 24</v>
      </c>
      <c r="AC394" s="11" t="str">
        <v>Ano 25</v>
      </c>
      <c r="AD394" s="11" t="str">
        <v>Ano 26</v>
      </c>
      <c r="AE394" s="11" t="str">
        <v>Ano 27</v>
      </c>
      <c r="AF394" s="11" t="str">
        <v>Ano 28</v>
      </c>
      <c r="AG394" s="11" t="str">
        <v>Ano 29</v>
      </c>
      <c r="AH394" s="11" t="str">
        <v>Ano 30</v>
      </c>
    </row>
    <row r="395" spans="2:34">
      <c r="B395" s="614">
        <v>1</v>
      </c>
      <c r="C395" s="619"/>
      <c r="D395" s="599"/>
      <c r="E395" s="8" cm="1">
        <f t="array" aca="1" ref="E395:AH398" ca="1">E379:AH382 -_xlfn.ANCHORARRAY( E387)</f>
        <v>0</v>
      </c>
      <c r="F395" s="8">
        <f ca="1"/>
        <v>8005634.068978861</v>
      </c>
      <c r="G395" s="8">
        <f ca="1"/>
        <v>9607395.5526430756</v>
      </c>
      <c r="H395" s="8">
        <f ca="1"/>
        <v>9148163.5701983124</v>
      </c>
      <c r="I395" s="8">
        <f ca="1"/>
        <v>11295916.529468477</v>
      </c>
      <c r="J395" s="8">
        <f ca="1"/>
        <v>11546868.700237766</v>
      </c>
      <c r="K395" s="8">
        <f ca="1"/>
        <v>11807313.391528636</v>
      </c>
      <c r="L395" s="8">
        <f ca="1"/>
        <v>12075645.710736707</v>
      </c>
      <c r="M395" s="8">
        <f ca="1"/>
        <v>12383603.303146452</v>
      </c>
      <c r="N395" s="8">
        <f ca="1"/>
        <v>12733370.216330916</v>
      </c>
      <c r="O395" s="8">
        <f ca="1"/>
        <v>13091624.768276393</v>
      </c>
      <c r="P395" s="8">
        <f ca="1"/>
        <v>13457432.198967919</v>
      </c>
      <c r="Q395" s="8">
        <f ca="1"/>
        <v>13811181.681228489</v>
      </c>
      <c r="R395" s="8">
        <f ca="1"/>
        <v>14150731.645532861</v>
      </c>
      <c r="S395" s="8">
        <f ca="1"/>
        <v>14473880.649076253</v>
      </c>
      <c r="T395" s="8">
        <f ca="1"/>
        <v>14778542.806826726</v>
      </c>
      <c r="U395" s="8">
        <f ca="1"/>
        <v>15063255.858561605</v>
      </c>
      <c r="V395" s="8">
        <f ca="1"/>
        <v>15326793.145051554</v>
      </c>
      <c r="W395" s="8">
        <f ca="1"/>
        <v>15567844.557107121</v>
      </c>
      <c r="X395" s="8">
        <f ca="1"/>
        <v>15785325.411775291</v>
      </c>
      <c r="Y395" s="8">
        <f ca="1"/>
        <v>15978077.505679116</v>
      </c>
      <c r="Z395" s="8">
        <f ca="1"/>
        <v>16145266.918752521</v>
      </c>
      <c r="AA395" s="8">
        <f ca="1"/>
        <v>16286322.790193349</v>
      </c>
      <c r="AB395" s="8">
        <f ca="1"/>
        <v>16400566.365491763</v>
      </c>
      <c r="AC395" s="8">
        <f ca="1"/>
        <v>16487364.509727269</v>
      </c>
      <c r="AD395" s="8">
        <f ca="1"/>
        <v>16546348.239669219</v>
      </c>
      <c r="AE395" s="8">
        <f ca="1"/>
        <v>16577275.200055644</v>
      </c>
      <c r="AF395" s="8">
        <f ca="1"/>
        <v>16579766.564613432</v>
      </c>
      <c r="AG395" s="8">
        <f ca="1"/>
        <v>16553509.499218285</v>
      </c>
      <c r="AH395" s="8">
        <f ca="1"/>
        <v>16498316.219107732</v>
      </c>
    </row>
    <row r="396" spans="2:34">
      <c r="B396" s="614">
        <v>2</v>
      </c>
      <c r="C396" s="619"/>
      <c r="D396" s="599"/>
      <c r="E396" s="8">
        <f ca="1"/>
        <v>0</v>
      </c>
      <c r="F396" s="8">
        <f ca="1"/>
        <v>7120550.0251719691</v>
      </c>
      <c r="G396" s="8">
        <f ca="1"/>
        <v>8549531.3074977696</v>
      </c>
      <c r="H396" s="8">
        <f ca="1"/>
        <v>8146612.4931276664</v>
      </c>
      <c r="I396" s="8">
        <f ca="1"/>
        <v>7190365.879309848</v>
      </c>
      <c r="J396" s="8">
        <f ca="1"/>
        <v>7355218.650633812</v>
      </c>
      <c r="K396" s="8">
        <f ca="1"/>
        <v>10539229.951024845</v>
      </c>
      <c r="L396" s="8">
        <f ca="1"/>
        <v>10786356.097308323</v>
      </c>
      <c r="M396" s="8">
        <f ca="1"/>
        <v>11066348.271796852</v>
      </c>
      <c r="N396" s="8">
        <f ca="1"/>
        <v>11385845.071924046</v>
      </c>
      <c r="O396" s="8">
        <f ca="1"/>
        <v>11715649.000092193</v>
      </c>
      <c r="P396" s="8">
        <f ca="1"/>
        <v>12055090.851193413</v>
      </c>
      <c r="Q396" s="8">
        <f ca="1"/>
        <v>12384290.871450394</v>
      </c>
      <c r="R396" s="8">
        <f ca="1"/>
        <v>12701251.430942893</v>
      </c>
      <c r="S396" s="8">
        <f ca="1"/>
        <v>13003912.147670016</v>
      </c>
      <c r="T396" s="8">
        <f ca="1"/>
        <v>13290313.317535624</v>
      </c>
      <c r="U396" s="8">
        <f ca="1"/>
        <v>13559059.594881952</v>
      </c>
      <c r="V396" s="8">
        <f ca="1"/>
        <v>13808970.420972526</v>
      </c>
      <c r="W396" s="8">
        <f ca="1"/>
        <v>14038788.84898676</v>
      </c>
      <c r="X396" s="8">
        <f ca="1"/>
        <v>14247460.924340457</v>
      </c>
      <c r="Y396" s="8">
        <f ca="1"/>
        <v>14433866.534914911</v>
      </c>
      <c r="Z396" s="8">
        <f ca="1"/>
        <v>14597181.160717934</v>
      </c>
      <c r="AA396" s="8">
        <f ca="1"/>
        <v>14736821.542478129</v>
      </c>
      <c r="AB396" s="8">
        <f ca="1"/>
        <v>14852108.802902356</v>
      </c>
      <c r="AC396" s="8">
        <f ca="1"/>
        <v>14942406.64904131</v>
      </c>
      <c r="AD396" s="8">
        <f ca="1"/>
        <v>15007320.267974839</v>
      </c>
      <c r="AE396" s="8">
        <f ca="1"/>
        <v>15046570.016609251</v>
      </c>
      <c r="AF396" s="8">
        <f ca="1"/>
        <v>15059751.781353548</v>
      </c>
      <c r="AG396" s="8">
        <f ca="1"/>
        <v>15046522.680735961</v>
      </c>
      <c r="AH396" s="8">
        <f ca="1"/>
        <v>15006656.089346424</v>
      </c>
    </row>
    <row r="397" spans="2:34">
      <c r="B397" s="614">
        <v>3</v>
      </c>
      <c r="C397" s="619"/>
      <c r="D397" s="599"/>
      <c r="E397" s="8">
        <f ca="1"/>
        <v>0</v>
      </c>
      <c r="F397" s="8">
        <f ca="1"/>
        <v>1603781.2076922907</v>
      </c>
      <c r="G397" s="8">
        <f ca="1"/>
        <v>1926162.0372845437</v>
      </c>
      <c r="H397" s="8">
        <f ca="1"/>
        <v>1836101.9249978773</v>
      </c>
      <c r="I397" s="8">
        <f ca="1"/>
        <v>1621113.9249969702</v>
      </c>
      <c r="J397" s="8">
        <f ca="1"/>
        <v>1658461.6575752888</v>
      </c>
      <c r="K397" s="8">
        <f ca="1"/>
        <v>1698029.2633579019</v>
      </c>
      <c r="L397" s="8">
        <f ca="1"/>
        <v>1737990.183634745</v>
      </c>
      <c r="M397" s="8">
        <f ca="1"/>
        <v>1782459.6318289377</v>
      </c>
      <c r="N397" s="8">
        <f ca="1"/>
        <v>1833397.4768475555</v>
      </c>
      <c r="O397" s="8">
        <f ca="1"/>
        <v>1886410.3341133818</v>
      </c>
      <c r="P397" s="8">
        <f ca="1"/>
        <v>1941431.801024003</v>
      </c>
      <c r="Q397" s="8">
        <f ca="1"/>
        <v>1994913.0030829739</v>
      </c>
      <c r="R397" s="8">
        <f ca="1"/>
        <v>2046532.6658253428</v>
      </c>
      <c r="S397" s="8">
        <f ca="1"/>
        <v>2095957.9940473866</v>
      </c>
      <c r="T397" s="8">
        <f ca="1"/>
        <v>2142871.1874864697</v>
      </c>
      <c r="U397" s="8">
        <f ca="1"/>
        <v>2187043.6321880277</v>
      </c>
      <c r="V397" s="8">
        <f ca="1"/>
        <v>2228280.4904889762</v>
      </c>
      <c r="W397" s="8">
        <f ca="1"/>
        <v>2266374.1023563258</v>
      </c>
      <c r="X397" s="8">
        <f ca="1"/>
        <v>2301148.3904911913</v>
      </c>
      <c r="Y397" s="8">
        <f ca="1"/>
        <v>2332416.2677214667</v>
      </c>
      <c r="Z397" s="8">
        <f ca="1"/>
        <v>2360037.3961320259</v>
      </c>
      <c r="AA397" s="8">
        <f ca="1"/>
        <v>2383909.7225970887</v>
      </c>
      <c r="AB397" s="8">
        <f ca="1"/>
        <v>2403915.805679353</v>
      </c>
      <c r="AC397" s="8">
        <f ca="1"/>
        <v>2419944.7032860033</v>
      </c>
      <c r="AD397" s="8">
        <f ca="1"/>
        <v>2431923.7639243212</v>
      </c>
      <c r="AE397" s="8">
        <f ca="1"/>
        <v>2439798.3083540834</v>
      </c>
      <c r="AF397" s="8">
        <f ca="1"/>
        <v>2443493.327824248</v>
      </c>
      <c r="AG397" s="8">
        <f ca="1"/>
        <v>2442943.3664808813</v>
      </c>
      <c r="AH397" s="8">
        <f ca="1"/>
        <v>2438101.5201707613</v>
      </c>
    </row>
    <row r="398" spans="2:34">
      <c r="B398" s="614">
        <v>4</v>
      </c>
      <c r="C398" s="619"/>
      <c r="D398" s="599"/>
      <c r="E398" s="8">
        <f ca="1"/>
        <v>0</v>
      </c>
      <c r="F398" s="8">
        <f ca="1"/>
        <v>2932906.5820964742</v>
      </c>
      <c r="G398" s="8">
        <f ca="1"/>
        <v>3521908.6634262241</v>
      </c>
      <c r="H398" s="8">
        <f ca="1"/>
        <v>3356980.9457069524</v>
      </c>
      <c r="I398" s="8">
        <f ca="1"/>
        <v>2963729.8965635337</v>
      </c>
      <c r="J398" s="8">
        <f ca="1"/>
        <v>3031896.9497228041</v>
      </c>
      <c r="K398" s="8">
        <f ca="1"/>
        <v>3104358.8754155934</v>
      </c>
      <c r="L398" s="8">
        <f ca="1"/>
        <v>3177354.7410391979</v>
      </c>
      <c r="M398" s="8">
        <f ca="1"/>
        <v>3258424.9091260619</v>
      </c>
      <c r="N398" s="8">
        <f ca="1"/>
        <v>3351613.1252927519</v>
      </c>
      <c r="O398" s="8">
        <f ca="1"/>
        <v>3448874.330997698</v>
      </c>
      <c r="P398" s="8">
        <f ca="1"/>
        <v>3550111.8016568087</v>
      </c>
      <c r="Q398" s="8">
        <f ca="1"/>
        <v>3648574.5823518522</v>
      </c>
      <c r="R398" s="8">
        <f ca="1"/>
        <v>3743671.3481203727</v>
      </c>
      <c r="S398" s="8">
        <f ca="1"/>
        <v>3834789.0729875378</v>
      </c>
      <c r="T398" s="8">
        <f ca="1"/>
        <v>5489878.591880247</v>
      </c>
      <c r="U398" s="8">
        <f ca="1"/>
        <v>5604069.6913341284</v>
      </c>
      <c r="V398" s="8">
        <f ca="1"/>
        <v>5710772.7122375816</v>
      </c>
      <c r="W398" s="8">
        <f ca="1"/>
        <v>5809449.3323394433</v>
      </c>
      <c r="X398" s="8">
        <f ca="1"/>
        <v>5899641.9519931078</v>
      </c>
      <c r="Y398" s="8">
        <f ca="1"/>
        <v>5980864.6999662817</v>
      </c>
      <c r="Z398" s="8">
        <f ca="1"/>
        <v>6052751.5797923356</v>
      </c>
      <c r="AA398" s="8">
        <f ca="1"/>
        <v>6115034.8880484104</v>
      </c>
      <c r="AB398" s="8">
        <f ca="1"/>
        <v>6167407.5995950326</v>
      </c>
      <c r="AC398" s="8">
        <f ca="1"/>
        <v>6209579.380460687</v>
      </c>
      <c r="AD398" s="8">
        <f ca="1"/>
        <v>6241358.146872811</v>
      </c>
      <c r="AE398" s="8">
        <f ca="1"/>
        <v>6262597.8389097154</v>
      </c>
      <c r="AF398" s="8">
        <f ca="1"/>
        <v>6273100.1470603049</v>
      </c>
      <c r="AG398" s="8">
        <f ca="1"/>
        <v>6272691.3068964556</v>
      </c>
      <c r="AH398" s="8">
        <f ca="1"/>
        <v>6261245.3077464923</v>
      </c>
    </row>
    <row r="399" spans="2:34">
      <c r="B399" s="614" t="s">
        <v>73</v>
      </c>
      <c r="C399" s="619"/>
      <c r="D399" s="599"/>
      <c r="E399" s="16">
        <f t="shared" ref="E399:AH399" ca="1" si="60">SUM(E395:E398)</f>
        <v>0</v>
      </c>
      <c r="F399" s="16">
        <f t="shared" ca="1" si="60"/>
        <v>19662871.883939594</v>
      </c>
      <c r="G399" s="16">
        <f t="shared" ca="1" si="60"/>
        <v>23604997.560851615</v>
      </c>
      <c r="H399" s="16">
        <f t="shared" ca="1" si="60"/>
        <v>22487858.934030809</v>
      </c>
      <c r="I399" s="16">
        <f t="shared" ca="1" si="60"/>
        <v>23071126.230338831</v>
      </c>
      <c r="J399" s="16">
        <f t="shared" ca="1" si="60"/>
        <v>23592445.958169669</v>
      </c>
      <c r="K399" s="16">
        <f t="shared" ca="1" si="60"/>
        <v>27148931.481326975</v>
      </c>
      <c r="L399" s="16">
        <f t="shared" ca="1" si="60"/>
        <v>27777346.732718971</v>
      </c>
      <c r="M399" s="16">
        <f t="shared" ca="1" si="60"/>
        <v>28490836.115898304</v>
      </c>
      <c r="N399" s="16">
        <f t="shared" ca="1" si="60"/>
        <v>29304225.890395269</v>
      </c>
      <c r="O399" s="16">
        <f t="shared" ca="1" si="60"/>
        <v>30142558.433479667</v>
      </c>
      <c r="P399" s="16">
        <f t="shared" ca="1" si="60"/>
        <v>31004066.652842145</v>
      </c>
      <c r="Q399" s="16">
        <f t="shared" ca="1" si="60"/>
        <v>31838960.138113711</v>
      </c>
      <c r="R399" s="16">
        <f t="shared" ca="1" si="60"/>
        <v>32642187.090421472</v>
      </c>
      <c r="S399" s="16">
        <f t="shared" ca="1" si="60"/>
        <v>33408539.863781195</v>
      </c>
      <c r="T399" s="16">
        <f t="shared" ca="1" si="60"/>
        <v>35701605.903729066</v>
      </c>
      <c r="U399" s="16">
        <f t="shared" ca="1" si="60"/>
        <v>36413428.776965715</v>
      </c>
      <c r="V399" s="16">
        <f t="shared" ca="1" si="60"/>
        <v>37074816.768750638</v>
      </c>
      <c r="W399" s="16">
        <f t="shared" ca="1" si="60"/>
        <v>37682456.840789646</v>
      </c>
      <c r="X399" s="16">
        <f t="shared" ca="1" si="60"/>
        <v>38233576.678600043</v>
      </c>
      <c r="Y399" s="16">
        <f t="shared" ca="1" si="60"/>
        <v>38725225.008281775</v>
      </c>
      <c r="Z399" s="16">
        <f t="shared" ca="1" si="60"/>
        <v>39155237.055394813</v>
      </c>
      <c r="AA399" s="16">
        <f t="shared" ca="1" si="60"/>
        <v>39522088.943316981</v>
      </c>
      <c r="AB399" s="16">
        <f t="shared" ca="1" si="60"/>
        <v>39823998.573668502</v>
      </c>
      <c r="AC399" s="16">
        <f t="shared" ca="1" si="60"/>
        <v>40059295.242515273</v>
      </c>
      <c r="AD399" s="16">
        <f t="shared" ca="1" si="60"/>
        <v>40226950.418441191</v>
      </c>
      <c r="AE399" s="16">
        <f t="shared" ca="1" si="60"/>
        <v>40326241.363928691</v>
      </c>
      <c r="AF399" s="16">
        <f t="shared" ca="1" si="60"/>
        <v>40356111.820851535</v>
      </c>
      <c r="AG399" s="16">
        <f t="shared" ca="1" si="60"/>
        <v>40315666.853331581</v>
      </c>
      <c r="AH399" s="16">
        <f t="shared" ca="1" si="60"/>
        <v>40204319.136371411</v>
      </c>
    </row>
    <row r="400" spans="2:34">
      <c r="D400" s="3"/>
      <c r="E400" s="3"/>
    </row>
    <row r="401" spans="2:7">
      <c r="B401" s="2" t="s">
        <v>630</v>
      </c>
    </row>
    <row r="402" spans="2:7">
      <c r="B402" s="10" t="s">
        <v>105</v>
      </c>
      <c r="C402" s="10" t="s">
        <v>180</v>
      </c>
      <c r="D402" s="10" t="s">
        <v>21</v>
      </c>
      <c r="E402" s="17" t="s">
        <v>631</v>
      </c>
    </row>
    <row r="403" spans="2:7">
      <c r="B403" s="10">
        <v>1</v>
      </c>
      <c r="C403" s="6" t="s">
        <v>187</v>
      </c>
      <c r="D403" s="20" t="s">
        <v>259</v>
      </c>
      <c r="E403" s="21">
        <f>10.1 - 0.2</f>
        <v>9.9</v>
      </c>
    </row>
    <row r="404" spans="2:7">
      <c r="B404" s="10">
        <v>1</v>
      </c>
      <c r="C404" s="6" t="s">
        <v>187</v>
      </c>
      <c r="D404" s="20" t="s">
        <v>261</v>
      </c>
      <c r="E404" s="21">
        <v>2.1</v>
      </c>
    </row>
    <row r="405" spans="2:7">
      <c r="B405" s="10">
        <v>1</v>
      </c>
      <c r="C405" s="6" t="s">
        <v>187</v>
      </c>
      <c r="D405" s="20" t="s">
        <v>263</v>
      </c>
      <c r="E405" s="21">
        <v>17</v>
      </c>
    </row>
    <row r="406" spans="2:7">
      <c r="B406" s="10">
        <v>1</v>
      </c>
      <c r="C406" s="6" t="s">
        <v>187</v>
      </c>
      <c r="D406" s="20" t="s">
        <v>265</v>
      </c>
      <c r="E406" s="21">
        <f>12.5-3.3</f>
        <v>9.1999999999999993</v>
      </c>
    </row>
    <row r="407" spans="2:7">
      <c r="B407" s="10">
        <v>2</v>
      </c>
      <c r="C407" s="6" t="s">
        <v>188</v>
      </c>
      <c r="D407" s="20" t="s">
        <v>265</v>
      </c>
      <c r="E407" s="21">
        <f>29.9+3.3</f>
        <v>33.199999999999996</v>
      </c>
      <c r="F407" s="40"/>
      <c r="G407" s="3"/>
    </row>
    <row r="408" spans="2:7">
      <c r="B408" s="10">
        <v>2</v>
      </c>
      <c r="C408" s="6" t="s">
        <v>188</v>
      </c>
      <c r="D408" s="20" t="s">
        <v>267</v>
      </c>
      <c r="E408" s="21">
        <v>11.9</v>
      </c>
    </row>
    <row r="409" spans="2:7">
      <c r="B409" s="10">
        <v>3</v>
      </c>
      <c r="C409" s="6" t="s">
        <v>189</v>
      </c>
      <c r="D409" s="20" t="s">
        <v>267</v>
      </c>
      <c r="E409" s="21">
        <v>31.5</v>
      </c>
      <c r="F409" s="40"/>
    </row>
    <row r="410" spans="2:7">
      <c r="B410" s="10">
        <v>3</v>
      </c>
      <c r="C410" s="6" t="s">
        <v>189</v>
      </c>
      <c r="D410" s="20" t="s">
        <v>269</v>
      </c>
      <c r="E410" s="21">
        <v>19.5</v>
      </c>
    </row>
    <row r="411" spans="2:7">
      <c r="B411" s="10">
        <v>3</v>
      </c>
      <c r="C411" s="6" t="s">
        <v>189</v>
      </c>
      <c r="D411" s="20" t="s">
        <v>271</v>
      </c>
      <c r="E411" s="21">
        <v>20.399999999999999</v>
      </c>
    </row>
    <row r="412" spans="2:7">
      <c r="B412" s="10">
        <v>3</v>
      </c>
      <c r="C412" s="6" t="s">
        <v>189</v>
      </c>
      <c r="D412" s="20" t="s">
        <v>273</v>
      </c>
      <c r="E412" s="21">
        <v>1.4</v>
      </c>
    </row>
    <row r="413" spans="2:7">
      <c r="B413" s="10">
        <v>4</v>
      </c>
      <c r="C413" s="6" t="s">
        <v>190</v>
      </c>
      <c r="D413" s="20" t="s">
        <v>271</v>
      </c>
      <c r="E413" s="21">
        <v>8</v>
      </c>
    </row>
    <row r="414" spans="2:7">
      <c r="B414" s="10">
        <v>4</v>
      </c>
      <c r="C414" s="6" t="s">
        <v>190</v>
      </c>
      <c r="D414" s="20" t="s">
        <v>275</v>
      </c>
      <c r="E414" s="21">
        <v>16</v>
      </c>
    </row>
    <row r="415" spans="2:7">
      <c r="B415" s="10">
        <v>4</v>
      </c>
      <c r="C415" s="6" t="s">
        <v>190</v>
      </c>
      <c r="D415" s="20" t="s">
        <v>277</v>
      </c>
      <c r="E415" s="21">
        <v>5</v>
      </c>
    </row>
    <row r="416" spans="2:7">
      <c r="B416" s="10">
        <v>4</v>
      </c>
      <c r="C416" s="6" t="s">
        <v>190</v>
      </c>
      <c r="D416" s="20" t="s">
        <v>279</v>
      </c>
      <c r="E416" s="21">
        <v>5</v>
      </c>
    </row>
    <row r="418" spans="2:4">
      <c r="B418" s="2" t="s">
        <v>632</v>
      </c>
    </row>
    <row r="419" spans="2:4">
      <c r="B419" s="10" t="s">
        <v>21</v>
      </c>
      <c r="C419" s="10" t="s">
        <v>633</v>
      </c>
      <c r="D419" s="10" t="s">
        <v>634</v>
      </c>
    </row>
    <row r="420" spans="2:4">
      <c r="B420" s="22" t="s">
        <v>259</v>
      </c>
      <c r="C420" s="18">
        <f t="shared" ref="C420:C430" si="61">SUMIF(D$403:D$416,B420,E$403:E$416)</f>
        <v>9.9</v>
      </c>
      <c r="D420" s="13" cm="1">
        <f t="array" ref="D420:D430">'Painel Controle'!D154:D164</f>
        <v>0.05</v>
      </c>
    </row>
    <row r="421" spans="2:4">
      <c r="B421" s="22" t="s">
        <v>261</v>
      </c>
      <c r="C421" s="18">
        <f t="shared" si="61"/>
        <v>2.1</v>
      </c>
      <c r="D421" s="13">
        <v>0.02</v>
      </c>
    </row>
    <row r="422" spans="2:4">
      <c r="B422" s="22" t="s">
        <v>263</v>
      </c>
      <c r="C422" s="18">
        <f t="shared" si="61"/>
        <v>17</v>
      </c>
      <c r="D422" s="13">
        <v>0.05</v>
      </c>
    </row>
    <row r="423" spans="2:4">
      <c r="B423" s="22" t="s">
        <v>265</v>
      </c>
      <c r="C423" s="18">
        <f t="shared" si="61"/>
        <v>42.399999999999991</v>
      </c>
      <c r="D423" s="13">
        <v>0.05</v>
      </c>
    </row>
    <row r="424" spans="2:4">
      <c r="B424" s="17" t="s">
        <v>267</v>
      </c>
      <c r="C424" s="18">
        <f t="shared" si="61"/>
        <v>43.4</v>
      </c>
      <c r="D424" s="13">
        <v>0.03</v>
      </c>
    </row>
    <row r="425" spans="2:4">
      <c r="B425" s="17" t="s">
        <v>269</v>
      </c>
      <c r="C425" s="18">
        <f t="shared" si="61"/>
        <v>19.5</v>
      </c>
      <c r="D425" s="13">
        <v>0.03</v>
      </c>
    </row>
    <row r="426" spans="2:4">
      <c r="B426" s="17" t="s">
        <v>271</v>
      </c>
      <c r="C426" s="18">
        <f t="shared" si="61"/>
        <v>28.4</v>
      </c>
      <c r="D426" s="13">
        <v>0.03</v>
      </c>
    </row>
    <row r="427" spans="2:4">
      <c r="B427" s="17" t="s">
        <v>273</v>
      </c>
      <c r="C427" s="18">
        <f t="shared" si="61"/>
        <v>1.4</v>
      </c>
      <c r="D427" s="13">
        <v>0.05</v>
      </c>
    </row>
    <row r="428" spans="2:4">
      <c r="B428" s="17" t="s">
        <v>275</v>
      </c>
      <c r="C428" s="18">
        <f t="shared" si="61"/>
        <v>16</v>
      </c>
      <c r="D428" s="13">
        <v>0.03</v>
      </c>
    </row>
    <row r="429" spans="2:4">
      <c r="B429" s="17" t="s">
        <v>277</v>
      </c>
      <c r="C429" s="18">
        <f t="shared" si="61"/>
        <v>5</v>
      </c>
      <c r="D429" s="13">
        <v>0.05</v>
      </c>
    </row>
    <row r="430" spans="2:4">
      <c r="B430" s="17" t="s">
        <v>279</v>
      </c>
      <c r="C430" s="18">
        <f t="shared" si="61"/>
        <v>5</v>
      </c>
      <c r="D430" s="13">
        <v>0.03</v>
      </c>
    </row>
    <row r="431" spans="2:4">
      <c r="B431" s="17" t="s">
        <v>73</v>
      </c>
      <c r="C431" s="202">
        <f>SUM(C420:C430)</f>
        <v>190.1</v>
      </c>
      <c r="D431" s="23"/>
    </row>
    <row r="433" spans="2:6">
      <c r="B433" s="2" t="s">
        <v>635</v>
      </c>
    </row>
    <row r="434" spans="2:6">
      <c r="B434" s="17"/>
      <c r="C434" s="600" t="s">
        <v>105</v>
      </c>
      <c r="D434" s="600"/>
      <c r="E434" s="600"/>
      <c r="F434" s="600"/>
    </row>
    <row r="435" spans="2:6">
      <c r="B435" s="10" t="s">
        <v>21</v>
      </c>
      <c r="C435" s="10">
        <v>1</v>
      </c>
      <c r="D435" s="10">
        <v>2</v>
      </c>
      <c r="E435" s="10">
        <v>3</v>
      </c>
      <c r="F435" s="10">
        <v>4</v>
      </c>
    </row>
    <row r="436" spans="2:6">
      <c r="B436" s="22" t="s">
        <v>259</v>
      </c>
      <c r="C436" s="13" cm="1">
        <f t="array" ref="C436">(SUMIFS($E$403:$E$416,$B$403:$B$416,C$435,$D$403:$D$416,$B436))/INDEX('Painel Controle'!$G$84:$G$87,'Receitas Tarifárias'!C$435)</f>
        <v>0.25916230366492143</v>
      </c>
      <c r="D436" s="13" cm="1">
        <f t="array" ref="D436">(SUMIFS($E$403:$E$416,$B$403:$B$416,D$435,$D$403:$D$416,$B436))/INDEX('Painel Controle'!$G$84:$G$87,'Receitas Tarifárias'!D$435)</f>
        <v>0</v>
      </c>
      <c r="E436" s="13" cm="1">
        <f t="array" ref="E436">(SUMIFS($E$403:$E$416,$B$403:$B$416,E$435,$D$403:$D$416,$B436))/INDEX('Painel Controle'!$G$84:$G$87,'Receitas Tarifárias'!E$435)</f>
        <v>0</v>
      </c>
      <c r="F436" s="13" cm="1">
        <f t="array" ref="F436">(SUMIFS($E$403:$E$416,$B$403:$B$416,F$435,$D$403:$D$416,$B436))/INDEX('Painel Controle'!$G$84:$G$87,'Receitas Tarifárias'!F$435)</f>
        <v>0</v>
      </c>
    </row>
    <row r="437" spans="2:6">
      <c r="B437" s="22" t="s">
        <v>261</v>
      </c>
      <c r="C437" s="13" cm="1">
        <f t="array" ref="C437">(SUMIFS($E$403:$E$416,$B$403:$B$416,C$435,$D$403:$D$416,$B437))/INDEX('Painel Controle'!$G$84:$G$87,'Receitas Tarifárias'!C$435)</f>
        <v>5.4973821989528791E-2</v>
      </c>
      <c r="D437" s="13" cm="1">
        <f t="array" ref="D437">(SUMIFS($E$403:$E$416,$B$403:$B$416,D$435,$D$403:$D$416,$B437))/INDEX('Painel Controle'!$G$84:$G$87,'Receitas Tarifárias'!D$435)</f>
        <v>0</v>
      </c>
      <c r="E437" s="13" cm="1">
        <f t="array" ref="E437">(SUMIFS($E$403:$E$416,$B$403:$B$416,E$435,$D$403:$D$416,$B437))/INDEX('Painel Controle'!$G$84:$G$87,'Receitas Tarifárias'!E$435)</f>
        <v>0</v>
      </c>
      <c r="F437" s="13" cm="1">
        <f t="array" ref="F437">(SUMIFS($E$403:$E$416,$B$403:$B$416,F$435,$D$403:$D$416,$B437))/INDEX('Painel Controle'!$G$84:$G$87,'Receitas Tarifárias'!F$435)</f>
        <v>0</v>
      </c>
    </row>
    <row r="438" spans="2:6">
      <c r="B438" s="22" t="s">
        <v>263</v>
      </c>
      <c r="C438" s="13" cm="1">
        <f t="array" ref="C438">(SUMIFS($E$403:$E$416,$B$403:$B$416,C$435,$D$403:$D$416,$B438))/INDEX('Painel Controle'!$G$84:$G$87,'Receitas Tarifárias'!C$435)</f>
        <v>0.44502617801047117</v>
      </c>
      <c r="D438" s="13" cm="1">
        <f t="array" ref="D438">(SUMIFS($E$403:$E$416,$B$403:$B$416,D$435,$D$403:$D$416,$B438))/INDEX('Painel Controle'!$G$84:$G$87,'Receitas Tarifárias'!D$435)</f>
        <v>0</v>
      </c>
      <c r="E438" s="13" cm="1">
        <f t="array" ref="E438">(SUMIFS($E$403:$E$416,$B$403:$B$416,E$435,$D$403:$D$416,$B438))/INDEX('Painel Controle'!$G$84:$G$87,'Receitas Tarifárias'!E$435)</f>
        <v>0</v>
      </c>
      <c r="F438" s="13" cm="1">
        <f t="array" ref="F438">(SUMIFS($E$403:$E$416,$B$403:$B$416,F$435,$D$403:$D$416,$B438))/INDEX('Painel Controle'!$G$84:$G$87,'Receitas Tarifárias'!F$435)</f>
        <v>0</v>
      </c>
    </row>
    <row r="439" spans="2:6">
      <c r="B439" s="22" t="s">
        <v>265</v>
      </c>
      <c r="C439" s="13" cm="1">
        <f t="array" ref="C439">(SUMIFS($E$403:$E$416,$B$403:$B$416,C$435,$D$403:$D$416,$B439))/INDEX('Painel Controle'!$G$84:$G$87,'Receitas Tarifárias'!C$435)</f>
        <v>0.24083769633507851</v>
      </c>
      <c r="D439" s="13" cm="1">
        <f t="array" ref="D439">(SUMIFS($E$403:$E$416,$B$403:$B$416,D$435,$D$403:$D$416,$B439))/INDEX('Painel Controle'!$G$84:$G$87,'Receitas Tarifárias'!D$435)</f>
        <v>0.73614190687361414</v>
      </c>
      <c r="E439" s="13" cm="1">
        <f t="array" ref="E439">(SUMIFS($E$403:$E$416,$B$403:$B$416,E$435,$D$403:$D$416,$B439))/INDEX('Painel Controle'!$G$84:$G$87,'Receitas Tarifárias'!E$435)</f>
        <v>0</v>
      </c>
      <c r="F439" s="13" cm="1">
        <f t="array" ref="F439">(SUMIFS($E$403:$E$416,$B$403:$B$416,F$435,$D$403:$D$416,$B439))/INDEX('Painel Controle'!$G$84:$G$87,'Receitas Tarifárias'!F$435)</f>
        <v>0</v>
      </c>
    </row>
    <row r="440" spans="2:6">
      <c r="B440" s="17" t="s">
        <v>267</v>
      </c>
      <c r="C440" s="13" cm="1">
        <f t="array" ref="C440">(SUMIFS($E$403:$E$416,$B$403:$B$416,C$435,$D$403:$D$416,$B440))/INDEX('Painel Controle'!$G$84:$G$87,'Receitas Tarifárias'!C$435)</f>
        <v>0</v>
      </c>
      <c r="D440" s="13" cm="1">
        <f t="array" ref="D440">(SUMIFS($E$403:$E$416,$B$403:$B$416,D$435,$D$403:$D$416,$B440))/INDEX('Painel Controle'!$G$84:$G$87,'Receitas Tarifárias'!D$435)</f>
        <v>0.26385809312638586</v>
      </c>
      <c r="E440" s="13" cm="1">
        <f t="array" ref="E440">(SUMIFS($E$403:$E$416,$B$403:$B$416,E$435,$D$403:$D$416,$B440))/INDEX('Painel Controle'!$G$84:$G$87,'Receitas Tarifárias'!E$435)</f>
        <v>0.4326923076923076</v>
      </c>
      <c r="F440" s="13" cm="1">
        <f t="array" ref="F440">(SUMIFS($E$403:$E$416,$B$403:$B$416,F$435,$D$403:$D$416,$B440))/INDEX('Painel Controle'!$G$84:$G$87,'Receitas Tarifárias'!F$435)</f>
        <v>0</v>
      </c>
    </row>
    <row r="441" spans="2:6">
      <c r="B441" s="17" t="s">
        <v>269</v>
      </c>
      <c r="C441" s="13" cm="1">
        <f t="array" ref="C441">(SUMIFS($E$403:$E$416,$B$403:$B$416,C$435,$D$403:$D$416,$B441))/INDEX('Painel Controle'!$G$84:$G$87,'Receitas Tarifárias'!C$435)</f>
        <v>0</v>
      </c>
      <c r="D441" s="13" cm="1">
        <f t="array" ref="D441">(SUMIFS($E$403:$E$416,$B$403:$B$416,D$435,$D$403:$D$416,$B441))/INDEX('Painel Controle'!$G$84:$G$87,'Receitas Tarifárias'!D$435)</f>
        <v>0</v>
      </c>
      <c r="E441" s="13" cm="1">
        <f t="array" ref="E441">(SUMIFS($E$403:$E$416,$B$403:$B$416,E$435,$D$403:$D$416,$B441))/INDEX('Painel Controle'!$G$84:$G$87,'Receitas Tarifárias'!E$435)</f>
        <v>0.26785714285714279</v>
      </c>
      <c r="F441" s="13" cm="1">
        <f t="array" ref="F441">(SUMIFS($E$403:$E$416,$B$403:$B$416,F$435,$D$403:$D$416,$B441))/INDEX('Painel Controle'!$G$84:$G$87,'Receitas Tarifárias'!F$435)</f>
        <v>0</v>
      </c>
    </row>
    <row r="442" spans="2:6">
      <c r="B442" s="17" t="s">
        <v>271</v>
      </c>
      <c r="C442" s="13" cm="1">
        <f t="array" ref="C442">(SUMIFS($E$403:$E$416,$B$403:$B$416,C$435,$D$403:$D$416,$B442))/INDEX('Painel Controle'!$G$84:$G$87,'Receitas Tarifárias'!C$435)</f>
        <v>0</v>
      </c>
      <c r="D442" s="13" cm="1">
        <f t="array" ref="D442">(SUMIFS($E$403:$E$416,$B$403:$B$416,D$435,$D$403:$D$416,$B442))/INDEX('Painel Controle'!$G$84:$G$87,'Receitas Tarifárias'!D$435)</f>
        <v>0</v>
      </c>
      <c r="E442" s="13" cm="1">
        <f t="array" ref="E442">(SUMIFS($E$403:$E$416,$B$403:$B$416,E$435,$D$403:$D$416,$B442))/INDEX('Painel Controle'!$G$84:$G$87,'Receitas Tarifárias'!E$435)</f>
        <v>0.28021978021978017</v>
      </c>
      <c r="F442" s="13" cm="1">
        <f t="array" ref="F442">(SUMIFS($E$403:$E$416,$B$403:$B$416,F$435,$D$403:$D$416,$B442))/INDEX('Painel Controle'!$G$84:$G$87,'Receitas Tarifárias'!F$435)</f>
        <v>0.23529411764705882</v>
      </c>
    </row>
    <row r="443" spans="2:6">
      <c r="B443" s="17" t="s">
        <v>273</v>
      </c>
      <c r="C443" s="13" cm="1">
        <f t="array" ref="C443">(SUMIFS($E$403:$E$416,$B$403:$B$416,C$435,$D$403:$D$416,$B443))/INDEX('Painel Controle'!$G$84:$G$87,'Receitas Tarifárias'!C$435)</f>
        <v>0</v>
      </c>
      <c r="D443" s="13" cm="1">
        <f t="array" ref="D443">(SUMIFS($E$403:$E$416,$B$403:$B$416,D$435,$D$403:$D$416,$B443))/INDEX('Painel Controle'!$G$84:$G$87,'Receitas Tarifárias'!D$435)</f>
        <v>0</v>
      </c>
      <c r="E443" s="13" cm="1">
        <f t="array" ref="E443">(SUMIFS($E$403:$E$416,$B$403:$B$416,E$435,$D$403:$D$416,$B443))/INDEX('Painel Controle'!$G$84:$G$87,'Receitas Tarifárias'!E$435)</f>
        <v>1.9230769230769225E-2</v>
      </c>
      <c r="F443" s="13" cm="1">
        <f t="array" ref="F443">(SUMIFS($E$403:$E$416,$B$403:$B$416,F$435,$D$403:$D$416,$B443))/INDEX('Painel Controle'!$G$84:$G$87,'Receitas Tarifárias'!F$435)</f>
        <v>0</v>
      </c>
    </row>
    <row r="444" spans="2:6">
      <c r="B444" s="17" t="s">
        <v>275</v>
      </c>
      <c r="C444" s="13" cm="1">
        <f t="array" ref="C444">(SUMIFS($E$403:$E$416,$B$403:$B$416,C$435,$D$403:$D$416,$B444))/INDEX('Painel Controle'!$G$84:$G$87,'Receitas Tarifárias'!C$435)</f>
        <v>0</v>
      </c>
      <c r="D444" s="13" cm="1">
        <f t="array" ref="D444">(SUMIFS($E$403:$E$416,$B$403:$B$416,D$435,$D$403:$D$416,$B444))/INDEX('Painel Controle'!$G$84:$G$87,'Receitas Tarifárias'!D$435)</f>
        <v>0</v>
      </c>
      <c r="E444" s="13" cm="1">
        <f t="array" ref="E444">(SUMIFS($E$403:$E$416,$B$403:$B$416,E$435,$D$403:$D$416,$B444))/INDEX('Painel Controle'!$G$84:$G$87,'Receitas Tarifárias'!E$435)</f>
        <v>0</v>
      </c>
      <c r="F444" s="13" cm="1">
        <f t="array" ref="F444">(SUMIFS($E$403:$E$416,$B$403:$B$416,F$435,$D$403:$D$416,$B444))/INDEX('Painel Controle'!$G$84:$G$87,'Receitas Tarifárias'!F$435)</f>
        <v>0.47058823529411764</v>
      </c>
    </row>
    <row r="445" spans="2:6">
      <c r="B445" s="17" t="s">
        <v>277</v>
      </c>
      <c r="C445" s="13" cm="1">
        <f t="array" ref="C445">(SUMIFS($E$403:$E$416,$B$403:$B$416,C$435,$D$403:$D$416,$B445))/INDEX('Painel Controle'!$G$84:$G$87,'Receitas Tarifárias'!C$435)</f>
        <v>0</v>
      </c>
      <c r="D445" s="13" cm="1">
        <f t="array" ref="D445">(SUMIFS($E$403:$E$416,$B$403:$B$416,D$435,$D$403:$D$416,$B445))/INDEX('Painel Controle'!$G$84:$G$87,'Receitas Tarifárias'!D$435)</f>
        <v>0</v>
      </c>
      <c r="E445" s="13" cm="1">
        <f t="array" ref="E445">(SUMIFS($E$403:$E$416,$B$403:$B$416,E$435,$D$403:$D$416,$B445))/INDEX('Painel Controle'!$G$84:$G$87,'Receitas Tarifárias'!E$435)</f>
        <v>0</v>
      </c>
      <c r="F445" s="13" cm="1">
        <f t="array" ref="F445">(SUMIFS($E$403:$E$416,$B$403:$B$416,F$435,$D$403:$D$416,$B445))/INDEX('Painel Controle'!$G$84:$G$87,'Receitas Tarifárias'!F$435)</f>
        <v>0.14705882352941177</v>
      </c>
    </row>
    <row r="446" spans="2:6">
      <c r="B446" s="17" t="s">
        <v>279</v>
      </c>
      <c r="C446" s="13" cm="1">
        <f t="array" ref="C446">(SUMIFS($E$403:$E$416,$B$403:$B$416,C$435,$D$403:$D$416,$B446))/INDEX('Painel Controle'!$G$84:$G$87,'Receitas Tarifárias'!C$435)</f>
        <v>0</v>
      </c>
      <c r="D446" s="13" cm="1">
        <f t="array" ref="D446">(SUMIFS($E$403:$E$416,$B$403:$B$416,D$435,$D$403:$D$416,$B446))/INDEX('Painel Controle'!$G$84:$G$87,'Receitas Tarifárias'!D$435)</f>
        <v>0</v>
      </c>
      <c r="E446" s="13" cm="1">
        <f t="array" ref="E446">(SUMIFS($E$403:$E$416,$B$403:$B$416,E$435,$D$403:$D$416,$B446))/INDEX('Painel Controle'!$G$84:$G$87,'Receitas Tarifárias'!E$435)</f>
        <v>0</v>
      </c>
      <c r="F446" s="13" cm="1">
        <f t="array" ref="F446">(SUMIFS($E$403:$E$416,$B$403:$B$416,F$435,$D$403:$D$416,$B446))/INDEX('Painel Controle'!$G$84:$G$87,'Receitas Tarifárias'!F$435)</f>
        <v>0.14705882352941177</v>
      </c>
    </row>
    <row r="447" spans="2:6">
      <c r="B447" s="17" t="s">
        <v>73</v>
      </c>
      <c r="C447" s="23">
        <f>SUM(C436:C446)</f>
        <v>0.99999999999999978</v>
      </c>
      <c r="D447" s="23">
        <f>SUM(D436:D446)</f>
        <v>1</v>
      </c>
      <c r="E447" s="23">
        <f>SUM(E436:E446)</f>
        <v>0.99999999999999989</v>
      </c>
      <c r="F447" s="23">
        <f>SUM(F436:F446)</f>
        <v>1</v>
      </c>
    </row>
    <row r="449" spans="2:33">
      <c r="B449" s="210" t="s">
        <v>636</v>
      </c>
    </row>
    <row r="450" spans="2:33">
      <c r="B450" s="600" t="s">
        <v>21</v>
      </c>
      <c r="C450" s="600"/>
      <c r="D450" s="11" t="str" cm="1">
        <f t="array" ref="D450:AG450">_xlfn.ANCHORARRAY(E394)</f>
        <v>Ano 1</v>
      </c>
      <c r="E450" s="11" t="str">
        <v>Ano 2</v>
      </c>
      <c r="F450" s="11" t="str">
        <v>Ano 3</v>
      </c>
      <c r="G450" s="11" t="str">
        <v>Ano 4</v>
      </c>
      <c r="H450" s="11" t="str">
        <v>Ano 5</v>
      </c>
      <c r="I450" s="11" t="str">
        <v>Ano 6</v>
      </c>
      <c r="J450" s="11" t="str">
        <v>Ano 7</v>
      </c>
      <c r="K450" s="11" t="str">
        <v>Ano 8</v>
      </c>
      <c r="L450" s="11" t="str">
        <v>Ano 9</v>
      </c>
      <c r="M450" s="11" t="str">
        <v>Ano 10</v>
      </c>
      <c r="N450" s="11" t="str">
        <v>Ano 11</v>
      </c>
      <c r="O450" s="11" t="str">
        <v>Ano 12</v>
      </c>
      <c r="P450" s="11" t="str">
        <v>Ano 13</v>
      </c>
      <c r="Q450" s="11" t="str">
        <v>Ano 14</v>
      </c>
      <c r="R450" s="11" t="str">
        <v>Ano 15</v>
      </c>
      <c r="S450" s="11" t="str">
        <v>Ano 16</v>
      </c>
      <c r="T450" s="11" t="str">
        <v>Ano 17</v>
      </c>
      <c r="U450" s="11" t="str">
        <v>Ano 18</v>
      </c>
      <c r="V450" s="11" t="str">
        <v>Ano 19</v>
      </c>
      <c r="W450" s="11" t="str">
        <v>Ano 20</v>
      </c>
      <c r="X450" s="11" t="str">
        <v>Ano 21</v>
      </c>
      <c r="Y450" s="11" t="str">
        <v>Ano 22</v>
      </c>
      <c r="Z450" s="11" t="str">
        <v>Ano 23</v>
      </c>
      <c r="AA450" s="11" t="str">
        <v>Ano 24</v>
      </c>
      <c r="AB450" s="11" t="str">
        <v>Ano 25</v>
      </c>
      <c r="AC450" s="11" t="str">
        <v>Ano 26</v>
      </c>
      <c r="AD450" s="11" t="str">
        <v>Ano 27</v>
      </c>
      <c r="AE450" s="11" t="str">
        <v>Ano 28</v>
      </c>
      <c r="AF450" s="11" t="str">
        <v>Ano 29</v>
      </c>
      <c r="AG450" s="11" t="str">
        <v>Ano 30</v>
      </c>
    </row>
    <row r="451" spans="2:33">
      <c r="B451" s="622" t="s">
        <v>259</v>
      </c>
      <c r="C451" s="622"/>
      <c r="D451" s="8" cm="1">
        <f t="array" aca="1" ref="D451:AG461" ca="1">MMULT(C436:F446,E379:AH382)</f>
        <v>0</v>
      </c>
      <c r="E451" s="8">
        <f ca="1"/>
        <v>11526436.486749668</v>
      </c>
      <c r="F451" s="8">
        <f ca="1"/>
        <v>15561717.272769378</v>
      </c>
      <c r="G451" s="8">
        <f ca="1"/>
        <v>15805727.63437405</v>
      </c>
      <c r="H451" s="8">
        <f ca="1"/>
        <v>22519044.229105487</v>
      </c>
      <c r="I451" s="8">
        <f ca="1"/>
        <v>23019331.480538432</v>
      </c>
      <c r="J451" s="8">
        <f ca="1"/>
        <v>23538542.604940284</v>
      </c>
      <c r="K451" s="8">
        <f ca="1"/>
        <v>24073478.158738088</v>
      </c>
      <c r="L451" s="8">
        <f ca="1"/>
        <v>24687408.920892034</v>
      </c>
      <c r="M451" s="8">
        <f ca="1"/>
        <v>25384688.912943233</v>
      </c>
      <c r="N451" s="8">
        <f ca="1"/>
        <v>26098889.489717335</v>
      </c>
      <c r="O451" s="8">
        <f ca="1"/>
        <v>26828147.154607803</v>
      </c>
      <c r="P451" s="8">
        <f ca="1"/>
        <v>27533366.621861063</v>
      </c>
      <c r="Q451" s="8">
        <f ca="1"/>
        <v>28210278.552310787</v>
      </c>
      <c r="R451" s="8">
        <f ca="1"/>
        <v>28854494.246044066</v>
      </c>
      <c r="S451" s="8">
        <f ca="1"/>
        <v>29461855.374060538</v>
      </c>
      <c r="T451" s="8">
        <f ca="1"/>
        <v>30029446.838453457</v>
      </c>
      <c r="U451" s="8">
        <f ca="1"/>
        <v>30554823.225132991</v>
      </c>
      <c r="V451" s="8">
        <f ca="1"/>
        <v>31035372.757825296</v>
      </c>
      <c r="W451" s="8">
        <f ca="1"/>
        <v>31468933.060123913</v>
      </c>
      <c r="X451" s="8">
        <f ca="1"/>
        <v>31853195.188526616</v>
      </c>
      <c r="Y451" s="8">
        <f ca="1"/>
        <v>32186496.676530384</v>
      </c>
      <c r="Z451" s="8">
        <f ca="1"/>
        <v>32467699.481054004</v>
      </c>
      <c r="AA451" s="8">
        <f ca="1"/>
        <v>32695450.466848258</v>
      </c>
      <c r="AB451" s="8">
        <f ca="1"/>
        <v>32868487.443878368</v>
      </c>
      <c r="AC451" s="8">
        <f ca="1"/>
        <v>32986074.823343799</v>
      </c>
      <c r="AD451" s="8">
        <f ca="1"/>
        <v>33047729.456413779</v>
      </c>
      <c r="AE451" s="8">
        <f ca="1"/>
        <v>33052696.131629687</v>
      </c>
      <c r="AF451" s="8">
        <f ca="1"/>
        <v>33000351.196589015</v>
      </c>
      <c r="AG451" s="8">
        <f ca="1"/>
        <v>32890320.291817661</v>
      </c>
    </row>
    <row r="452" spans="2:33">
      <c r="B452" s="622" t="s">
        <v>261</v>
      </c>
      <c r="C452" s="622"/>
      <c r="D452" s="8">
        <f ca="1"/>
        <v>0</v>
      </c>
      <c r="E452" s="8">
        <f ca="1"/>
        <v>2445001.6790075051</v>
      </c>
      <c r="F452" s="8">
        <f ca="1"/>
        <v>3300970.3305874439</v>
      </c>
      <c r="G452" s="8">
        <f ca="1"/>
        <v>3352730.1042611622</v>
      </c>
      <c r="H452" s="8">
        <f ca="1"/>
        <v>4776766.9576890431</v>
      </c>
      <c r="I452" s="8">
        <f ca="1"/>
        <v>4882888.4958717888</v>
      </c>
      <c r="J452" s="8">
        <f ca="1"/>
        <v>4993024.1889267266</v>
      </c>
      <c r="K452" s="8">
        <f ca="1"/>
        <v>5106495.3670050493</v>
      </c>
      <c r="L452" s="8">
        <f ca="1"/>
        <v>5236723.1044316432</v>
      </c>
      <c r="M452" s="8">
        <f ca="1"/>
        <v>5384630.9815334138</v>
      </c>
      <c r="N452" s="8">
        <f ca="1"/>
        <v>5536128.0735764047</v>
      </c>
      <c r="O452" s="8">
        <f ca="1"/>
        <v>5690819.0934016556</v>
      </c>
      <c r="P452" s="8">
        <f ca="1"/>
        <v>5840411.1016068924</v>
      </c>
      <c r="Q452" s="8">
        <f ca="1"/>
        <v>5983998.4807931976</v>
      </c>
      <c r="R452" s="8">
        <f ca="1"/>
        <v>6120650.2946154075</v>
      </c>
      <c r="S452" s="8">
        <f ca="1"/>
        <v>6249484.4732855689</v>
      </c>
      <c r="T452" s="8">
        <f ca="1"/>
        <v>6369882.6627022484</v>
      </c>
      <c r="U452" s="8">
        <f ca="1"/>
        <v>6481326.1386645744</v>
      </c>
      <c r="V452" s="8">
        <f ca="1"/>
        <v>6583260.8880235478</v>
      </c>
      <c r="W452" s="8">
        <f ca="1"/>
        <v>6675228.2248747693</v>
      </c>
      <c r="X452" s="8">
        <f ca="1"/>
        <v>6756738.373323828</v>
      </c>
      <c r="Y452" s="8">
        <f ca="1"/>
        <v>6827438.6889609909</v>
      </c>
      <c r="Z452" s="8">
        <f ca="1"/>
        <v>6887087.7687084256</v>
      </c>
      <c r="AA452" s="8">
        <f ca="1"/>
        <v>6935398.5838769032</v>
      </c>
      <c r="AB452" s="8">
        <f ca="1"/>
        <v>6972103.3971863203</v>
      </c>
      <c r="AC452" s="8">
        <f ca="1"/>
        <v>6997046.1746486854</v>
      </c>
      <c r="AD452" s="8">
        <f ca="1"/>
        <v>7010124.4301483771</v>
      </c>
      <c r="AE452" s="8">
        <f ca="1"/>
        <v>7011177.9673153879</v>
      </c>
      <c r="AF452" s="8">
        <f ca="1"/>
        <v>7000074.4962461554</v>
      </c>
      <c r="AG452" s="8">
        <f ca="1"/>
        <v>6976734.6073552622</v>
      </c>
    </row>
    <row r="453" spans="2:33">
      <c r="B453" s="622" t="s">
        <v>263</v>
      </c>
      <c r="C453" s="622"/>
      <c r="D453" s="8">
        <f ca="1"/>
        <v>0</v>
      </c>
      <c r="E453" s="8">
        <f ca="1"/>
        <v>19792870.734822661</v>
      </c>
      <c r="F453" s="8">
        <f ca="1"/>
        <v>26722140.771422166</v>
      </c>
      <c r="G453" s="8">
        <f ca="1"/>
        <v>27141148.463066552</v>
      </c>
      <c r="H453" s="8">
        <f ca="1"/>
        <v>38669065.847958922</v>
      </c>
      <c r="I453" s="8">
        <f ca="1"/>
        <v>39528144.966581151</v>
      </c>
      <c r="J453" s="8">
        <f ca="1"/>
        <v>40419719.624644935</v>
      </c>
      <c r="K453" s="8">
        <f ca="1"/>
        <v>41338295.828136116</v>
      </c>
      <c r="L453" s="8">
        <f ca="1"/>
        <v>42392520.369208544</v>
      </c>
      <c r="M453" s="8">
        <f ca="1"/>
        <v>43589869.850508586</v>
      </c>
      <c r="N453" s="8">
        <f ca="1"/>
        <v>44816274.8813328</v>
      </c>
      <c r="O453" s="8">
        <f ca="1"/>
        <v>46068535.518013403</v>
      </c>
      <c r="P453" s="8">
        <f ca="1"/>
        <v>47279518.441579603</v>
      </c>
      <c r="Q453" s="8">
        <f ca="1"/>
        <v>48441892.463563979</v>
      </c>
      <c r="R453" s="8">
        <f ca="1"/>
        <v>49548121.432600923</v>
      </c>
      <c r="S453" s="8">
        <f ca="1"/>
        <v>50591064.783740319</v>
      </c>
      <c r="T453" s="8">
        <f ca="1"/>
        <v>51565716.793303914</v>
      </c>
      <c r="U453" s="8">
        <f ca="1"/>
        <v>52467878.265379883</v>
      </c>
      <c r="V453" s="8">
        <f ca="1"/>
        <v>53293064.331619196</v>
      </c>
      <c r="W453" s="8">
        <f ca="1"/>
        <v>54037561.820414804</v>
      </c>
      <c r="X453" s="8">
        <f ca="1"/>
        <v>54697405.87928813</v>
      </c>
      <c r="Y453" s="8">
        <f ca="1"/>
        <v>55269741.767779455</v>
      </c>
      <c r="Z453" s="8">
        <f ca="1"/>
        <v>55752615.270496778</v>
      </c>
      <c r="AA453" s="8">
        <f ca="1"/>
        <v>56143702.821860649</v>
      </c>
      <c r="AB453" s="8">
        <f ca="1"/>
        <v>56440837.024841644</v>
      </c>
      <c r="AC453" s="8">
        <f ca="1"/>
        <v>56642754.747156024</v>
      </c>
      <c r="AD453" s="8">
        <f ca="1"/>
        <v>56748626.339296386</v>
      </c>
      <c r="AE453" s="8">
        <f ca="1"/>
        <v>56757154.973505527</v>
      </c>
      <c r="AF453" s="8">
        <f ca="1"/>
        <v>56667269.731516495</v>
      </c>
      <c r="AG453" s="8">
        <f ca="1"/>
        <v>56478327.773828313</v>
      </c>
    </row>
    <row r="454" spans="2:33">
      <c r="B454" s="622" t="s">
        <v>265</v>
      </c>
      <c r="C454" s="622"/>
      <c r="D454" s="8">
        <f ca="1"/>
        <v>0</v>
      </c>
      <c r="E454" s="8">
        <f ca="1"/>
        <v>39832187.446630806</v>
      </c>
      <c r="F454" s="8">
        <f ca="1"/>
        <v>53796820.576596931</v>
      </c>
      <c r="G454" s="8">
        <f ca="1"/>
        <v>54668569.96796304</v>
      </c>
      <c r="H454" s="8">
        <f ca="1"/>
        <v>61643170.495881878</v>
      </c>
      <c r="I454" s="8">
        <f ca="1"/>
        <v>63041584.158452556</v>
      </c>
      <c r="J454" s="8">
        <f ca="1"/>
        <v>81553961.463453978</v>
      </c>
      <c r="K454" s="8">
        <f ca="1"/>
        <v>83450457.234021366</v>
      </c>
      <c r="L454" s="8">
        <f ca="1"/>
        <v>85606470.852194801</v>
      </c>
      <c r="M454" s="8">
        <f ca="1"/>
        <v>88063640.400742665</v>
      </c>
      <c r="N454" s="8">
        <f ca="1"/>
        <v>90594899.582036585</v>
      </c>
      <c r="O454" s="8">
        <f ca="1"/>
        <v>93194727.200900942</v>
      </c>
      <c r="P454" s="8">
        <f ca="1"/>
        <v>95714220.593533009</v>
      </c>
      <c r="Q454" s="8">
        <f ca="1"/>
        <v>98138100.454011977</v>
      </c>
      <c r="R454" s="8">
        <f ca="1"/>
        <v>100450621.21350121</v>
      </c>
      <c r="S454" s="8">
        <f ca="1"/>
        <v>102636821.48695353</v>
      </c>
      <c r="T454" s="8">
        <f ca="1"/>
        <v>104686090.96824022</v>
      </c>
      <c r="U454" s="8">
        <f ca="1"/>
        <v>106589472.08395803</v>
      </c>
      <c r="V454" s="8">
        <f ca="1"/>
        <v>108337420.10404159</v>
      </c>
      <c r="W454" s="8">
        <f ca="1"/>
        <v>109921957.39248326</v>
      </c>
      <c r="X454" s="8">
        <f ca="1"/>
        <v>111334595.48386618</v>
      </c>
      <c r="Y454" s="8">
        <f ca="1"/>
        <v>112569120.50813696</v>
      </c>
      <c r="Z454" s="8">
        <f ca="1"/>
        <v>113621172.10842812</v>
      </c>
      <c r="AA454" s="8">
        <f ca="1"/>
        <v>114485648.59475796</v>
      </c>
      <c r="AB454" s="8">
        <f ca="1"/>
        <v>115157773.93127456</v>
      </c>
      <c r="AC454" s="8">
        <f ca="1"/>
        <v>115634628.86099964</v>
      </c>
      <c r="AD454" s="8">
        <f ca="1"/>
        <v>115914180.88175471</v>
      </c>
      <c r="AE454" s="8">
        <f ca="1"/>
        <v>115993439.8351059</v>
      </c>
      <c r="AF454" s="8">
        <f ca="1"/>
        <v>115869884.55435868</v>
      </c>
      <c r="AG454" s="8">
        <f ca="1"/>
        <v>115541883.8540429</v>
      </c>
    </row>
    <row r="455" spans="2:33">
      <c r="B455" s="621" t="s">
        <v>267</v>
      </c>
      <c r="C455" s="621"/>
      <c r="D455" s="8">
        <f ca="1"/>
        <v>0</v>
      </c>
      <c r="E455" s="8">
        <f ca="1"/>
        <v>14293103.019126937</v>
      </c>
      <c r="F455" s="8">
        <f ca="1"/>
        <v>19308115.780141648</v>
      </c>
      <c r="G455" s="8">
        <f ca="1"/>
        <v>19626778.779745851</v>
      </c>
      <c r="H455" s="8">
        <f ca="1"/>
        <v>19989844.269498453</v>
      </c>
      <c r="I455" s="8">
        <f ca="1"/>
        <v>20448750.534764066</v>
      </c>
      <c r="J455" s="8">
        <f ca="1"/>
        <v>27042963.987610072</v>
      </c>
      <c r="K455" s="8">
        <f ca="1"/>
        <v>27677556.422472566</v>
      </c>
      <c r="L455" s="8">
        <f ca="1"/>
        <v>28393862.494871065</v>
      </c>
      <c r="M455" s="8">
        <f ca="1"/>
        <v>29211879.649882756</v>
      </c>
      <c r="N455" s="8">
        <f ca="1"/>
        <v>30057723.427880846</v>
      </c>
      <c r="O455" s="8">
        <f ca="1"/>
        <v>30929814.543642633</v>
      </c>
      <c r="P455" s="8">
        <f ca="1"/>
        <v>31775991.423175167</v>
      </c>
      <c r="Q455" s="8">
        <f ca="1"/>
        <v>32591130.191007927</v>
      </c>
      <c r="R455" s="8">
        <f ca="1"/>
        <v>33369941.259521231</v>
      </c>
      <c r="S455" s="8">
        <f ca="1"/>
        <v>34107389.293984897</v>
      </c>
      <c r="T455" s="8">
        <f ca="1"/>
        <v>34799881.273290634</v>
      </c>
      <c r="U455" s="8">
        <f ca="1"/>
        <v>35444372.545630008</v>
      </c>
      <c r="V455" s="8">
        <f ca="1"/>
        <v>36037620.738001965</v>
      </c>
      <c r="W455" s="8">
        <f ca="1"/>
        <v>36576900.606255703</v>
      </c>
      <c r="X455" s="8">
        <f ca="1"/>
        <v>37059315.982483722</v>
      </c>
      <c r="Y455" s="8">
        <f ca="1"/>
        <v>37482726.25584577</v>
      </c>
      <c r="Z455" s="8">
        <f ca="1"/>
        <v>37845607.924175262</v>
      </c>
      <c r="AA455" s="8">
        <f ca="1"/>
        <v>38146192.193052575</v>
      </c>
      <c r="AB455" s="8">
        <f ca="1"/>
        <v>38382818.332982063</v>
      </c>
      <c r="AC455" s="8">
        <f ca="1"/>
        <v>38554443.187607542</v>
      </c>
      <c r="AD455" s="8">
        <f ca="1"/>
        <v>38660317.177082203</v>
      </c>
      <c r="AE455" s="8">
        <f ca="1"/>
        <v>38699370.421782076</v>
      </c>
      <c r="AF455" s="8">
        <f ca="1"/>
        <v>38670689.119431794</v>
      </c>
      <c r="AG455" s="8">
        <f ca="1"/>
        <v>38573657.177609414</v>
      </c>
    </row>
    <row r="456" spans="2:33">
      <c r="B456" s="621" t="s">
        <v>269</v>
      </c>
      <c r="C456" s="621"/>
      <c r="D456" s="8">
        <f ca="1"/>
        <v>0</v>
      </c>
      <c r="E456" s="8">
        <f ca="1"/>
        <v>2386579.1781135285</v>
      </c>
      <c r="F456" s="8">
        <f ca="1"/>
        <v>3224601.6249183202</v>
      </c>
      <c r="G456" s="8">
        <f ca="1"/>
        <v>3278753.4374962091</v>
      </c>
      <c r="H456" s="8">
        <f ca="1"/>
        <v>3340207.2630432085</v>
      </c>
      <c r="I456" s="8">
        <f ca="1"/>
        <v>3417160.0087402924</v>
      </c>
      <c r="J456" s="8">
        <f ca="1"/>
        <v>3498686.6690066643</v>
      </c>
      <c r="K456" s="8">
        <f ca="1"/>
        <v>3581023.7300166455</v>
      </c>
      <c r="L456" s="8">
        <f ca="1"/>
        <v>3672650.3403068744</v>
      </c>
      <c r="M456" s="8">
        <f ca="1"/>
        <v>3777604.691306775</v>
      </c>
      <c r="N456" s="8">
        <f ca="1"/>
        <v>3886834.479629219</v>
      </c>
      <c r="O456" s="8">
        <f ca="1"/>
        <v>4000202.88672528</v>
      </c>
      <c r="P456" s="8">
        <f ca="1"/>
        <v>4110397.6711874455</v>
      </c>
      <c r="Q456" s="8">
        <f ca="1"/>
        <v>4216756.866398368</v>
      </c>
      <c r="R456" s="8">
        <f ca="1"/>
        <v>4318594.7679547779</v>
      </c>
      <c r="S456" s="8">
        <f ca="1"/>
        <v>4415256.5676232176</v>
      </c>
      <c r="T456" s="8">
        <f ca="1"/>
        <v>4506271.2201676387</v>
      </c>
      <c r="U456" s="8">
        <f ca="1"/>
        <v>4591237.2743591545</v>
      </c>
      <c r="V456" s="8">
        <f ca="1"/>
        <v>4669726.8592506703</v>
      </c>
      <c r="W456" s="8">
        <f ca="1"/>
        <v>4741377.178209872</v>
      </c>
      <c r="X456" s="8">
        <f ca="1"/>
        <v>4805802.7494260976</v>
      </c>
      <c r="Y456" s="8">
        <f ca="1"/>
        <v>4862714.4151071934</v>
      </c>
      <c r="Z456" s="8">
        <f ca="1"/>
        <v>4911901.9009555383</v>
      </c>
      <c r="AA456" s="8">
        <f ca="1"/>
        <v>4953123.2259876756</v>
      </c>
      <c r="AB456" s="8">
        <f ca="1"/>
        <v>4986149.8007266531</v>
      </c>
      <c r="AC456" s="8">
        <f ca="1"/>
        <v>5010831.9311627476</v>
      </c>
      <c r="AD456" s="8">
        <f ca="1"/>
        <v>5027056.9540262707</v>
      </c>
      <c r="AE456" s="8">
        <f ca="1"/>
        <v>5034670.3183191912</v>
      </c>
      <c r="AF456" s="8">
        <f ca="1"/>
        <v>5033537.1562106051</v>
      </c>
      <c r="AG456" s="8">
        <f ca="1"/>
        <v>5023560.824527665</v>
      </c>
    </row>
    <row r="457" spans="2:33">
      <c r="B457" s="621" t="s">
        <v>271</v>
      </c>
      <c r="C457" s="621"/>
      <c r="D457" s="8">
        <f ca="1"/>
        <v>0</v>
      </c>
      <c r="E457" s="8">
        <f ca="1"/>
        <v>6330593.7995321602</v>
      </c>
      <c r="F457" s="8">
        <f ca="1"/>
        <v>8552706.8384372797</v>
      </c>
      <c r="G457" s="8">
        <f ca="1"/>
        <v>8695932.9830808416</v>
      </c>
      <c r="H457" s="8">
        <f ca="1"/>
        <v>8858587.6825384758</v>
      </c>
      <c r="I457" s="8">
        <f ca="1"/>
        <v>9062471.3751578182</v>
      </c>
      <c r="J457" s="8">
        <f ca="1"/>
        <v>9278913.6110433377</v>
      </c>
      <c r="K457" s="8">
        <f ca="1"/>
        <v>9497170.0578983128</v>
      </c>
      <c r="L457" s="8">
        <f ca="1"/>
        <v>9739758.9245673046</v>
      </c>
      <c r="M457" s="8">
        <f ca="1"/>
        <v>10018223.777136777</v>
      </c>
      <c r="N457" s="8">
        <f ca="1"/>
        <v>10308533.321671287</v>
      </c>
      <c r="O457" s="8">
        <f ca="1"/>
        <v>10610369.357799135</v>
      </c>
      <c r="P457" s="8">
        <f ca="1"/>
        <v>10903863.233118907</v>
      </c>
      <c r="Q457" s="8">
        <f ca="1"/>
        <v>11187252.157282589</v>
      </c>
      <c r="R457" s="8">
        <f ca="1"/>
        <v>11458709.228715654</v>
      </c>
      <c r="S457" s="8">
        <f ca="1"/>
        <v>14555469.480482299</v>
      </c>
      <c r="T457" s="8">
        <f ca="1"/>
        <v>14857365.532291446</v>
      </c>
      <c r="U457" s="8">
        <f ca="1"/>
        <v>15139380.73632068</v>
      </c>
      <c r="V457" s="8">
        <f ca="1"/>
        <v>15400093.134816892</v>
      </c>
      <c r="W457" s="8">
        <f ca="1"/>
        <v>15638294.952033332</v>
      </c>
      <c r="X457" s="8">
        <f ca="1"/>
        <v>15852703.509745823</v>
      </c>
      <c r="Y457" s="8">
        <f ca="1"/>
        <v>16042353.867374286</v>
      </c>
      <c r="Z457" s="8">
        <f ca="1"/>
        <v>16206541.514571419</v>
      </c>
      <c r="AA457" s="8">
        <f ca="1"/>
        <v>16344457.600390784</v>
      </c>
      <c r="AB457" s="8">
        <f ca="1"/>
        <v>16455337.493720703</v>
      </c>
      <c r="AC457" s="8">
        <f ca="1"/>
        <v>16538676.928660415</v>
      </c>
      <c r="AD457" s="8">
        <f ca="1"/>
        <v>16594093.680247782</v>
      </c>
      <c r="AE457" s="8">
        <f ca="1"/>
        <v>16621067.13312</v>
      </c>
      <c r="AF457" s="8">
        <f ca="1"/>
        <v>16619141.689024771</v>
      </c>
      <c r="AG457" s="8">
        <f ca="1"/>
        <v>16587988.170721238</v>
      </c>
    </row>
    <row r="458" spans="2:33">
      <c r="B458" s="621" t="s">
        <v>273</v>
      </c>
      <c r="C458" s="621"/>
      <c r="D458" s="8">
        <f ca="1"/>
        <v>0</v>
      </c>
      <c r="E458" s="8">
        <f ca="1"/>
        <v>171344.14612097127</v>
      </c>
      <c r="F458" s="8">
        <f ca="1"/>
        <v>231509.86025054607</v>
      </c>
      <c r="G458" s="8">
        <f ca="1"/>
        <v>235397.68269203551</v>
      </c>
      <c r="H458" s="8">
        <f ca="1"/>
        <v>239809.75221848674</v>
      </c>
      <c r="I458" s="8">
        <f ca="1"/>
        <v>245334.56473007225</v>
      </c>
      <c r="J458" s="8">
        <f ca="1"/>
        <v>251187.76085176051</v>
      </c>
      <c r="K458" s="8">
        <f ca="1"/>
        <v>257099.13959093863</v>
      </c>
      <c r="L458" s="8">
        <f ca="1"/>
        <v>263677.4603297243</v>
      </c>
      <c r="M458" s="8">
        <f ca="1"/>
        <v>271212.64450407616</v>
      </c>
      <c r="N458" s="8">
        <f ca="1"/>
        <v>279054.78315286699</v>
      </c>
      <c r="O458" s="8">
        <f ca="1"/>
        <v>287194.05340591754</v>
      </c>
      <c r="P458" s="8">
        <f ca="1"/>
        <v>295105.47382884222</v>
      </c>
      <c r="Q458" s="8">
        <f ca="1"/>
        <v>302741.51861321618</v>
      </c>
      <c r="R458" s="8">
        <f ca="1"/>
        <v>310052.95769931737</v>
      </c>
      <c r="S458" s="8">
        <f ca="1"/>
        <v>316992.7792139746</v>
      </c>
      <c r="T458" s="8">
        <f ca="1"/>
        <v>323527.16452485608</v>
      </c>
      <c r="U458" s="8">
        <f ca="1"/>
        <v>329627.29149245209</v>
      </c>
      <c r="V458" s="8">
        <f ca="1"/>
        <v>335262.44117697119</v>
      </c>
      <c r="W458" s="8">
        <f ca="1"/>
        <v>340406.56664070871</v>
      </c>
      <c r="X458" s="8">
        <f ca="1"/>
        <v>345031.99226648902</v>
      </c>
      <c r="Y458" s="8">
        <f ca="1"/>
        <v>349117.95800769591</v>
      </c>
      <c r="Z458" s="8">
        <f ca="1"/>
        <v>352649.36724808987</v>
      </c>
      <c r="AA458" s="8">
        <f ca="1"/>
        <v>355608.84699398692</v>
      </c>
      <c r="AB458" s="8">
        <f ca="1"/>
        <v>357979.9856931956</v>
      </c>
      <c r="AC458" s="8">
        <f ca="1"/>
        <v>359752.0360834793</v>
      </c>
      <c r="AD458" s="8">
        <f ca="1"/>
        <v>360916.90951983473</v>
      </c>
      <c r="AE458" s="8">
        <f ca="1"/>
        <v>361463.51003317267</v>
      </c>
      <c r="AF458" s="8">
        <f ca="1"/>
        <v>361382.15480486391</v>
      </c>
      <c r="AG458" s="8">
        <f ca="1"/>
        <v>360665.90535070415</v>
      </c>
    </row>
    <row r="459" spans="2:33">
      <c r="B459" s="621" t="s">
        <v>275</v>
      </c>
      <c r="C459" s="621"/>
      <c r="D459" s="8">
        <f ca="1"/>
        <v>0</v>
      </c>
      <c r="E459" s="8">
        <f ca="1"/>
        <v>7667729.6263960134</v>
      </c>
      <c r="F459" s="8">
        <f ca="1"/>
        <v>10358554.892430073</v>
      </c>
      <c r="G459" s="8">
        <f ca="1"/>
        <v>10531704.927708078</v>
      </c>
      <c r="H459" s="8">
        <f ca="1"/>
        <v>10728434.014709622</v>
      </c>
      <c r="I459" s="8">
        <f ca="1"/>
        <v>10975192.578182101</v>
      </c>
      <c r="J459" s="8">
        <f ca="1"/>
        <v>11237498.191549655</v>
      </c>
      <c r="K459" s="8">
        <f ca="1"/>
        <v>11501736.619146412</v>
      </c>
      <c r="L459" s="8">
        <f ca="1"/>
        <v>11795203.290954074</v>
      </c>
      <c r="M459" s="8">
        <f ca="1"/>
        <v>12132536.200154763</v>
      </c>
      <c r="N459" s="8">
        <f ca="1"/>
        <v>12484612.962887593</v>
      </c>
      <c r="O459" s="8">
        <f ca="1"/>
        <v>12851083.44491153</v>
      </c>
      <c r="P459" s="8">
        <f ca="1"/>
        <v>13207509.800368696</v>
      </c>
      <c r="Q459" s="8">
        <f ca="1"/>
        <v>13551751.486408591</v>
      </c>
      <c r="R459" s="8">
        <f ca="1"/>
        <v>13881589.404479776</v>
      </c>
      <c r="S459" s="8">
        <f ca="1"/>
        <v>19872863.681014478</v>
      </c>
      <c r="T459" s="8">
        <f ca="1"/>
        <v>20286225.127001371</v>
      </c>
      <c r="U459" s="8">
        <f ca="1"/>
        <v>20672480.406289898</v>
      </c>
      <c r="V459" s="8">
        <f ca="1"/>
        <v>21029680.841047768</v>
      </c>
      <c r="W459" s="8">
        <f ca="1"/>
        <v>21356169.961966008</v>
      </c>
      <c r="X459" s="8">
        <f ca="1"/>
        <v>21650188.959153965</v>
      </c>
      <c r="Y459" s="8">
        <f ca="1"/>
        <v>21910412.95852429</v>
      </c>
      <c r="Z459" s="8">
        <f ca="1"/>
        <v>22135872.897912789</v>
      </c>
      <c r="AA459" s="8">
        <f ca="1"/>
        <v>22325457.374099664</v>
      </c>
      <c r="AB459" s="8">
        <f ca="1"/>
        <v>22478115.404382564</v>
      </c>
      <c r="AC459" s="8">
        <f ca="1"/>
        <v>22593151.662888002</v>
      </c>
      <c r="AD459" s="8">
        <f ca="1"/>
        <v>22670037.425917521</v>
      </c>
      <c r="AE459" s="8">
        <f ca="1"/>
        <v>22708054.830987539</v>
      </c>
      <c r="AF459" s="8">
        <f ca="1"/>
        <v>22706574.866593506</v>
      </c>
      <c r="AG459" s="8">
        <f ca="1"/>
        <v>22665141.385507669</v>
      </c>
    </row>
    <row r="460" spans="2:33">
      <c r="B460" s="621" t="s">
        <v>277</v>
      </c>
      <c r="C460" s="621"/>
      <c r="D460" s="8">
        <f ca="1"/>
        <v>0</v>
      </c>
      <c r="E460" s="8">
        <f ca="1"/>
        <v>2396165.5082487543</v>
      </c>
      <c r="F460" s="8">
        <f ca="1"/>
        <v>3237048.4038843978</v>
      </c>
      <c r="G460" s="8">
        <f ca="1"/>
        <v>3291157.7899087747</v>
      </c>
      <c r="H460" s="8">
        <f ca="1"/>
        <v>3352635.6295967568</v>
      </c>
      <c r="I460" s="8">
        <f ca="1"/>
        <v>3429747.6806819066</v>
      </c>
      <c r="J460" s="8">
        <f ca="1"/>
        <v>3511718.1848592674</v>
      </c>
      <c r="K460" s="8">
        <f ca="1"/>
        <v>3594292.6934832539</v>
      </c>
      <c r="L460" s="8">
        <f ca="1"/>
        <v>3686001.0284231482</v>
      </c>
      <c r="M460" s="8">
        <f ca="1"/>
        <v>3791417.5625483631</v>
      </c>
      <c r="N460" s="8">
        <f ca="1"/>
        <v>3901441.5509023727</v>
      </c>
      <c r="O460" s="8">
        <f ca="1"/>
        <v>4015963.5765348533</v>
      </c>
      <c r="P460" s="8">
        <f ca="1"/>
        <v>4127346.8126152176</v>
      </c>
      <c r="Q460" s="8">
        <f ca="1"/>
        <v>4234922.3395026848</v>
      </c>
      <c r="R460" s="8">
        <f ca="1"/>
        <v>4337996.6888999296</v>
      </c>
      <c r="S460" s="8">
        <f ca="1"/>
        <v>6210269.9003170244</v>
      </c>
      <c r="T460" s="8">
        <f ca="1"/>
        <v>6339445.3521879297</v>
      </c>
      <c r="U460" s="8">
        <f ca="1"/>
        <v>6460150.1269655926</v>
      </c>
      <c r="V460" s="8">
        <f ca="1"/>
        <v>6571775.2628274271</v>
      </c>
      <c r="W460" s="8">
        <f ca="1"/>
        <v>6673803.1131143784</v>
      </c>
      <c r="X460" s="8">
        <f ca="1"/>
        <v>6765684.0497356141</v>
      </c>
      <c r="Y460" s="8">
        <f ca="1"/>
        <v>6847004.0495388405</v>
      </c>
      <c r="Z460" s="8">
        <f ca="1"/>
        <v>6917460.2805977473</v>
      </c>
      <c r="AA460" s="8">
        <f ca="1"/>
        <v>6976705.4294061456</v>
      </c>
      <c r="AB460" s="8">
        <f ca="1"/>
        <v>7024411.0638695518</v>
      </c>
      <c r="AC460" s="8">
        <f ca="1"/>
        <v>7060359.8946525007</v>
      </c>
      <c r="AD460" s="8">
        <f ca="1"/>
        <v>7084386.6955992253</v>
      </c>
      <c r="AE460" s="8">
        <f ca="1"/>
        <v>7096267.1346836053</v>
      </c>
      <c r="AF460" s="8">
        <f ca="1"/>
        <v>7095804.64581047</v>
      </c>
      <c r="AG460" s="8">
        <f ca="1"/>
        <v>7082856.6829711478</v>
      </c>
    </row>
    <row r="461" spans="2:33">
      <c r="B461" s="621" t="s">
        <v>279</v>
      </c>
      <c r="C461" s="621"/>
      <c r="D461" s="8">
        <f ca="1"/>
        <v>0</v>
      </c>
      <c r="E461" s="8">
        <f ca="1"/>
        <v>2396165.5082487543</v>
      </c>
      <c r="F461" s="8">
        <f ca="1"/>
        <v>3237048.4038843978</v>
      </c>
      <c r="G461" s="8">
        <f ca="1"/>
        <v>3291157.7899087747</v>
      </c>
      <c r="H461" s="8">
        <f ca="1"/>
        <v>3352635.6295967568</v>
      </c>
      <c r="I461" s="8">
        <f ca="1"/>
        <v>3429747.6806819066</v>
      </c>
      <c r="J461" s="8">
        <f ca="1"/>
        <v>3511718.1848592674</v>
      </c>
      <c r="K461" s="8">
        <f ca="1"/>
        <v>3594292.6934832539</v>
      </c>
      <c r="L461" s="8">
        <f ca="1"/>
        <v>3686001.0284231482</v>
      </c>
      <c r="M461" s="8">
        <f ca="1"/>
        <v>3791417.5625483631</v>
      </c>
      <c r="N461" s="8">
        <f ca="1"/>
        <v>3901441.5509023727</v>
      </c>
      <c r="O461" s="8">
        <f ca="1"/>
        <v>4015963.5765348533</v>
      </c>
      <c r="P461" s="8">
        <f ca="1"/>
        <v>4127346.8126152176</v>
      </c>
      <c r="Q461" s="8">
        <f ca="1"/>
        <v>4234922.3395026848</v>
      </c>
      <c r="R461" s="8">
        <f ca="1"/>
        <v>4337996.6888999296</v>
      </c>
      <c r="S461" s="8">
        <f ca="1"/>
        <v>6210269.9003170244</v>
      </c>
      <c r="T461" s="8">
        <f ca="1"/>
        <v>6339445.3521879297</v>
      </c>
      <c r="U461" s="8">
        <f ca="1"/>
        <v>6460150.1269655926</v>
      </c>
      <c r="V461" s="8">
        <f ca="1"/>
        <v>6571775.2628274271</v>
      </c>
      <c r="W461" s="8">
        <f ca="1"/>
        <v>6673803.1131143784</v>
      </c>
      <c r="X461" s="8">
        <f ca="1"/>
        <v>6765684.0497356141</v>
      </c>
      <c r="Y461" s="8">
        <f ca="1"/>
        <v>6847004.0495388405</v>
      </c>
      <c r="Z461" s="8">
        <f ca="1"/>
        <v>6917460.2805977473</v>
      </c>
      <c r="AA461" s="8">
        <f ca="1"/>
        <v>6976705.4294061456</v>
      </c>
      <c r="AB461" s="8">
        <f ca="1"/>
        <v>7024411.0638695518</v>
      </c>
      <c r="AC461" s="8">
        <f ca="1"/>
        <v>7060359.8946525007</v>
      </c>
      <c r="AD461" s="8">
        <f ca="1"/>
        <v>7084386.6955992253</v>
      </c>
      <c r="AE461" s="8">
        <f ca="1"/>
        <v>7096267.1346836053</v>
      </c>
      <c r="AF461" s="8">
        <f ca="1"/>
        <v>7095804.64581047</v>
      </c>
      <c r="AG461" s="8">
        <f ca="1"/>
        <v>7082856.6829711478</v>
      </c>
    </row>
    <row r="462" spans="2:33">
      <c r="B462" s="621" t="s">
        <v>73</v>
      </c>
      <c r="C462" s="621"/>
      <c r="D462" s="16">
        <f t="shared" ref="D462:AG462" ca="1" si="62">SUM(D451:D461)</f>
        <v>0</v>
      </c>
      <c r="E462" s="16">
        <f t="shared" ca="1" si="62"/>
        <v>109238177.13299778</v>
      </c>
      <c r="F462" s="16">
        <f t="shared" ca="1" si="62"/>
        <v>147531234.75532261</v>
      </c>
      <c r="G462" s="16">
        <f t="shared" ca="1" si="62"/>
        <v>149919059.56020534</v>
      </c>
      <c r="H462" s="16">
        <f t="shared" ca="1" si="62"/>
        <v>177470201.77183709</v>
      </c>
      <c r="I462" s="16">
        <f t="shared" ca="1" si="62"/>
        <v>181480353.52438214</v>
      </c>
      <c r="J462" s="16">
        <f t="shared" ca="1" si="62"/>
        <v>208837934.471746</v>
      </c>
      <c r="K462" s="16">
        <f t="shared" ca="1" si="62"/>
        <v>213671897.94399205</v>
      </c>
      <c r="L462" s="16">
        <f t="shared" ca="1" si="62"/>
        <v>219160277.81460238</v>
      </c>
      <c r="M462" s="16">
        <f t="shared" ca="1" si="62"/>
        <v>225417122.23380974</v>
      </c>
      <c r="N462" s="16">
        <f t="shared" ca="1" si="62"/>
        <v>231865834.10368967</v>
      </c>
      <c r="O462" s="16">
        <f t="shared" ca="1" si="62"/>
        <v>238492820.40647805</v>
      </c>
      <c r="P462" s="16">
        <f t="shared" ca="1" si="62"/>
        <v>244915077.98549005</v>
      </c>
      <c r="Q462" s="16">
        <f t="shared" ca="1" si="62"/>
        <v>251093746.84939602</v>
      </c>
      <c r="R462" s="16">
        <f t="shared" ca="1" si="62"/>
        <v>256988768.18293226</v>
      </c>
      <c r="S462" s="16">
        <f t="shared" ca="1" si="62"/>
        <v>274627737.72099286</v>
      </c>
      <c r="T462" s="16">
        <f t="shared" ca="1" si="62"/>
        <v>280103298.28435165</v>
      </c>
      <c r="U462" s="16">
        <f t="shared" ca="1" si="62"/>
        <v>285190898.22115886</v>
      </c>
      <c r="V462" s="16">
        <f t="shared" ca="1" si="62"/>
        <v>289865052.62145883</v>
      </c>
      <c r="W462" s="16">
        <f t="shared" ca="1" si="62"/>
        <v>294104435.98923111</v>
      </c>
      <c r="X462" s="16">
        <f t="shared" ca="1" si="62"/>
        <v>297886346.21755207</v>
      </c>
      <c r="Y462" s="16">
        <f t="shared" ca="1" si="62"/>
        <v>301194131.19534475</v>
      </c>
      <c r="Z462" s="16">
        <f t="shared" ca="1" si="62"/>
        <v>304016068.79474592</v>
      </c>
      <c r="AA462" s="16">
        <f t="shared" ca="1" si="62"/>
        <v>306338450.56668079</v>
      </c>
      <c r="AB462" s="16">
        <f t="shared" ca="1" si="62"/>
        <v>308148424.94242519</v>
      </c>
      <c r="AC462" s="16">
        <f t="shared" ca="1" si="62"/>
        <v>309438080.1418553</v>
      </c>
      <c r="AD462" s="16">
        <f t="shared" ca="1" si="62"/>
        <v>310201856.64560527</v>
      </c>
      <c r="AE462" s="16">
        <f t="shared" ca="1" si="62"/>
        <v>310431629.39116573</v>
      </c>
      <c r="AF462" s="16">
        <f t="shared" ca="1" si="62"/>
        <v>310120514.25639683</v>
      </c>
      <c r="AG462" s="16">
        <f t="shared" ca="1" si="62"/>
        <v>309263993.35670298</v>
      </c>
    </row>
  </sheetData>
  <mergeCells count="37">
    <mergeCell ref="B53:C53"/>
    <mergeCell ref="B115:C115"/>
    <mergeCell ref="B462:C462"/>
    <mergeCell ref="B455:C455"/>
    <mergeCell ref="B456:C456"/>
    <mergeCell ref="B459:C459"/>
    <mergeCell ref="B386:D386"/>
    <mergeCell ref="B387:D387"/>
    <mergeCell ref="B388:D388"/>
    <mergeCell ref="B457:C457"/>
    <mergeCell ref="B450:C450"/>
    <mergeCell ref="B451:C451"/>
    <mergeCell ref="B452:C452"/>
    <mergeCell ref="B461:C461"/>
    <mergeCell ref="B396:D396"/>
    <mergeCell ref="B397:D397"/>
    <mergeCell ref="B390:D390"/>
    <mergeCell ref="B398:D398"/>
    <mergeCell ref="B399:D399"/>
    <mergeCell ref="B389:D389"/>
    <mergeCell ref="B391:D391"/>
    <mergeCell ref="B394:D394"/>
    <mergeCell ref="B395:D395"/>
    <mergeCell ref="B460:C460"/>
    <mergeCell ref="C434:F434"/>
    <mergeCell ref="B458:C458"/>
    <mergeCell ref="B454:C454"/>
    <mergeCell ref="B453:C453"/>
    <mergeCell ref="B57:D57"/>
    <mergeCell ref="B383:D383"/>
    <mergeCell ref="B378:D378"/>
    <mergeCell ref="B379:D379"/>
    <mergeCell ref="B380:D380"/>
    <mergeCell ref="B381:D381"/>
    <mergeCell ref="B219:D219"/>
    <mergeCell ref="B382:D382"/>
    <mergeCell ref="B220:D220"/>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CD35-279E-41FE-9B5D-88768BE27886}">
  <sheetPr>
    <tabColor rgb="FF00B050"/>
  </sheetPr>
  <dimension ref="B2:AG127"/>
  <sheetViews>
    <sheetView showGridLines="0" zoomScale="90" zoomScaleNormal="90" workbookViewId="0">
      <selection activeCell="O4" sqref="O4"/>
    </sheetView>
  </sheetViews>
  <sheetFormatPr defaultColWidth="11.7109375" defaultRowHeight="12.75"/>
  <cols>
    <col min="1" max="1" width="2.42578125" customWidth="1"/>
    <col min="2" max="2" width="32.28515625" customWidth="1"/>
    <col min="3" max="9" width="16" bestFit="1" customWidth="1"/>
    <col min="10" max="10" width="17" bestFit="1" customWidth="1"/>
  </cols>
  <sheetData>
    <row r="2" spans="2:33">
      <c r="B2" s="2" t="s">
        <v>637</v>
      </c>
      <c r="C2" s="165"/>
      <c r="D2" s="5"/>
    </row>
    <row r="3" spans="2:33">
      <c r="B3" s="173" t="s">
        <v>638</v>
      </c>
      <c r="C3" s="170">
        <v>1</v>
      </c>
      <c r="D3" s="170">
        <v>2</v>
      </c>
      <c r="E3" s="170">
        <v>3</v>
      </c>
      <c r="F3" s="170">
        <v>4</v>
      </c>
      <c r="G3" s="170">
        <v>5</v>
      </c>
      <c r="H3" s="170">
        <v>6</v>
      </c>
      <c r="I3" s="170">
        <v>7</v>
      </c>
      <c r="J3" s="170">
        <v>8</v>
      </c>
      <c r="K3" s="170">
        <v>9</v>
      </c>
      <c r="L3" s="170">
        <v>10</v>
      </c>
      <c r="M3" s="170">
        <v>11</v>
      </c>
      <c r="N3" s="170">
        <v>12</v>
      </c>
      <c r="O3" s="170">
        <v>13</v>
      </c>
      <c r="P3" s="170">
        <v>14</v>
      </c>
      <c r="Q3" s="170">
        <v>15</v>
      </c>
      <c r="R3" s="170">
        <v>16</v>
      </c>
      <c r="S3" s="170">
        <v>17</v>
      </c>
      <c r="T3" s="170">
        <v>18</v>
      </c>
      <c r="U3" s="170">
        <v>19</v>
      </c>
      <c r="V3" s="170">
        <v>20</v>
      </c>
      <c r="W3" s="170">
        <v>21</v>
      </c>
      <c r="X3" s="170">
        <v>22</v>
      </c>
      <c r="Y3" s="170">
        <v>23</v>
      </c>
      <c r="Z3" s="170">
        <v>24</v>
      </c>
      <c r="AA3" s="170">
        <v>25</v>
      </c>
      <c r="AB3" s="170">
        <v>26</v>
      </c>
      <c r="AC3" s="170">
        <v>27</v>
      </c>
      <c r="AD3" s="170">
        <v>28</v>
      </c>
      <c r="AE3" s="170">
        <v>29</v>
      </c>
      <c r="AF3" s="170">
        <v>30</v>
      </c>
      <c r="AG3" s="174"/>
    </row>
    <row r="4" spans="2:33">
      <c r="B4" s="389" t="s">
        <v>200</v>
      </c>
      <c r="C4" s="135">
        <v>0.22999999999999998</v>
      </c>
      <c r="D4" s="135">
        <v>0.30000000000000004</v>
      </c>
      <c r="E4" s="135">
        <v>0.41000000000000003</v>
      </c>
      <c r="F4" s="135">
        <v>0.5</v>
      </c>
      <c r="G4" s="135">
        <v>0.58000000000000007</v>
      </c>
      <c r="H4" s="135">
        <v>0.64</v>
      </c>
      <c r="I4" s="135">
        <v>0.69</v>
      </c>
      <c r="J4" s="135">
        <v>0.74</v>
      </c>
      <c r="K4" s="135">
        <v>0.78</v>
      </c>
      <c r="L4" s="135">
        <v>0.8</v>
      </c>
      <c r="M4" s="135">
        <v>0.81</v>
      </c>
      <c r="N4" s="135">
        <v>0.81</v>
      </c>
      <c r="O4" s="135">
        <v>0.81</v>
      </c>
      <c r="P4" s="135">
        <v>0.81</v>
      </c>
      <c r="Q4" s="135">
        <v>0.81</v>
      </c>
      <c r="R4" s="135">
        <v>0.81</v>
      </c>
      <c r="S4" s="135">
        <v>0.81</v>
      </c>
      <c r="T4" s="135">
        <v>0.81</v>
      </c>
      <c r="U4" s="135">
        <v>0.81</v>
      </c>
      <c r="V4" s="135">
        <v>0.81</v>
      </c>
      <c r="W4" s="135">
        <v>0.81</v>
      </c>
      <c r="X4" s="135">
        <v>0.81</v>
      </c>
      <c r="Y4" s="135">
        <v>0.81</v>
      </c>
      <c r="Z4" s="135">
        <v>0.81</v>
      </c>
      <c r="AA4" s="135">
        <v>0.81</v>
      </c>
      <c r="AB4" s="135">
        <v>0.81</v>
      </c>
      <c r="AC4" s="135">
        <v>0.81</v>
      </c>
      <c r="AD4" s="135">
        <v>0.81</v>
      </c>
      <c r="AE4" s="135">
        <v>0.81</v>
      </c>
      <c r="AF4" s="135">
        <v>0.81</v>
      </c>
    </row>
    <row r="5" spans="2:33">
      <c r="B5" s="393" t="s">
        <v>204</v>
      </c>
      <c r="C5" s="391">
        <v>0.5</v>
      </c>
      <c r="D5" s="391">
        <v>0.56999999999999995</v>
      </c>
      <c r="E5" s="391">
        <v>0.65</v>
      </c>
      <c r="F5" s="391">
        <v>0.72</v>
      </c>
      <c r="G5" s="391">
        <v>0.78</v>
      </c>
      <c r="H5" s="391">
        <v>0.82</v>
      </c>
      <c r="I5" s="391">
        <v>0.86</v>
      </c>
      <c r="J5" s="391">
        <v>0.89</v>
      </c>
      <c r="K5" s="391">
        <v>0.9</v>
      </c>
      <c r="L5" s="391">
        <v>0.9</v>
      </c>
      <c r="M5" s="391">
        <v>0.9</v>
      </c>
      <c r="N5" s="391">
        <v>0.9</v>
      </c>
      <c r="O5" s="391">
        <v>0.9</v>
      </c>
      <c r="P5" s="391">
        <v>0.9</v>
      </c>
      <c r="Q5" s="391">
        <v>0.9</v>
      </c>
      <c r="R5" s="391">
        <v>0.9</v>
      </c>
      <c r="S5" s="391">
        <v>0.9</v>
      </c>
      <c r="T5" s="391">
        <v>0.9</v>
      </c>
      <c r="U5" s="391">
        <v>0.9</v>
      </c>
      <c r="V5" s="391">
        <v>0.9</v>
      </c>
      <c r="W5" s="391">
        <v>0.9</v>
      </c>
      <c r="X5" s="391">
        <v>0.9</v>
      </c>
      <c r="Y5" s="391">
        <v>0.9</v>
      </c>
      <c r="Z5" s="391">
        <v>0.9</v>
      </c>
      <c r="AA5" s="391">
        <v>0.9</v>
      </c>
      <c r="AB5" s="391">
        <v>0.9</v>
      </c>
      <c r="AC5" s="391">
        <v>0.9</v>
      </c>
      <c r="AD5" s="391">
        <v>0.9</v>
      </c>
      <c r="AE5" s="391">
        <v>0.9</v>
      </c>
      <c r="AF5" s="391">
        <v>0.9</v>
      </c>
    </row>
    <row r="6" spans="2:33">
      <c r="B6" s="388" t="s">
        <v>208</v>
      </c>
      <c r="C6" s="135">
        <v>0.5</v>
      </c>
      <c r="D6" s="135">
        <v>0.56999999999999995</v>
      </c>
      <c r="E6" s="135">
        <v>0.65</v>
      </c>
      <c r="F6" s="135">
        <v>0.72</v>
      </c>
      <c r="G6" s="135">
        <v>0.78</v>
      </c>
      <c r="H6" s="135">
        <v>0.82</v>
      </c>
      <c r="I6" s="135">
        <v>0.86</v>
      </c>
      <c r="J6" s="135">
        <v>0.89</v>
      </c>
      <c r="K6" s="135">
        <v>0.9</v>
      </c>
      <c r="L6" s="135">
        <v>0.9</v>
      </c>
      <c r="M6" s="135">
        <v>0.9</v>
      </c>
      <c r="N6" s="135">
        <v>0.9</v>
      </c>
      <c r="O6" s="135">
        <v>0.9</v>
      </c>
      <c r="P6" s="135">
        <v>0.9</v>
      </c>
      <c r="Q6" s="135">
        <v>0.9</v>
      </c>
      <c r="R6" s="135">
        <v>0.9</v>
      </c>
      <c r="S6" s="135">
        <v>0.9</v>
      </c>
      <c r="T6" s="135">
        <v>0.9</v>
      </c>
      <c r="U6" s="135">
        <v>0.9</v>
      </c>
      <c r="V6" s="135">
        <v>0.9</v>
      </c>
      <c r="W6" s="135">
        <v>0.9</v>
      </c>
      <c r="X6" s="135">
        <v>0.9</v>
      </c>
      <c r="Y6" s="135">
        <v>0.9</v>
      </c>
      <c r="Z6" s="135">
        <v>0.9</v>
      </c>
      <c r="AA6" s="135">
        <v>0.9</v>
      </c>
      <c r="AB6" s="135">
        <v>0.9</v>
      </c>
      <c r="AC6" s="135">
        <v>0.9</v>
      </c>
      <c r="AD6" s="135">
        <v>0.9</v>
      </c>
      <c r="AE6" s="135">
        <v>0.9</v>
      </c>
      <c r="AF6" s="135">
        <v>0.9</v>
      </c>
    </row>
    <row r="7" spans="2:33">
      <c r="B7" t="s">
        <v>639</v>
      </c>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c r="AD7" s="307"/>
      <c r="AE7" s="307"/>
      <c r="AF7" s="307"/>
    </row>
    <row r="8" spans="2:33">
      <c r="B8" s="392"/>
      <c r="C8" s="307"/>
      <c r="D8" s="307"/>
      <c r="E8" s="307"/>
      <c r="F8" s="307"/>
      <c r="G8" s="307"/>
      <c r="H8" s="307"/>
      <c r="I8" s="307"/>
      <c r="J8" s="307"/>
      <c r="K8" s="307"/>
      <c r="L8" s="307"/>
      <c r="M8" s="307"/>
      <c r="N8" s="307"/>
      <c r="O8" s="307"/>
      <c r="P8" s="307"/>
      <c r="Q8" s="307"/>
      <c r="R8" s="307"/>
      <c r="S8" s="307"/>
      <c r="T8" s="307"/>
      <c r="U8" s="307"/>
      <c r="V8" s="307"/>
      <c r="W8" s="307"/>
      <c r="X8" s="307"/>
      <c r="Y8" s="307"/>
      <c r="Z8" s="307"/>
      <c r="AA8" s="307"/>
      <c r="AB8" s="307"/>
      <c r="AC8" s="307"/>
      <c r="AD8" s="307"/>
      <c r="AE8" s="307"/>
      <c r="AF8" s="307"/>
    </row>
    <row r="9" spans="2:33">
      <c r="B9" s="2" t="s">
        <v>640</v>
      </c>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307"/>
    </row>
    <row r="10" spans="2:33">
      <c r="B10" s="46" t="str" cm="1">
        <f t="array" ref="B10:AF10">B3:AF3</f>
        <v>Ano da concessão</v>
      </c>
      <c r="C10" s="149">
        <v>1</v>
      </c>
      <c r="D10" s="149">
        <v>2</v>
      </c>
      <c r="E10" s="149">
        <v>3</v>
      </c>
      <c r="F10" s="149">
        <v>4</v>
      </c>
      <c r="G10" s="149">
        <v>5</v>
      </c>
      <c r="H10" s="149">
        <v>6</v>
      </c>
      <c r="I10" s="149">
        <v>7</v>
      </c>
      <c r="J10" s="149">
        <v>8</v>
      </c>
      <c r="K10" s="149">
        <v>9</v>
      </c>
      <c r="L10" s="149">
        <v>10</v>
      </c>
      <c r="M10" s="149">
        <v>11</v>
      </c>
      <c r="N10" s="149">
        <v>12</v>
      </c>
      <c r="O10" s="149">
        <v>13</v>
      </c>
      <c r="P10" s="149">
        <v>14</v>
      </c>
      <c r="Q10" s="149">
        <v>15</v>
      </c>
      <c r="R10" s="149">
        <v>16</v>
      </c>
      <c r="S10" s="149">
        <v>17</v>
      </c>
      <c r="T10" s="149">
        <v>18</v>
      </c>
      <c r="U10" s="149">
        <v>19</v>
      </c>
      <c r="V10" s="149">
        <v>20</v>
      </c>
      <c r="W10" s="149">
        <v>21</v>
      </c>
      <c r="X10" s="149">
        <v>22</v>
      </c>
      <c r="Y10" s="149">
        <v>23</v>
      </c>
      <c r="Z10" s="149">
        <v>24</v>
      </c>
      <c r="AA10" s="149">
        <v>25</v>
      </c>
      <c r="AB10" s="149">
        <v>26</v>
      </c>
      <c r="AC10" s="149">
        <v>27</v>
      </c>
      <c r="AD10" s="149">
        <v>28</v>
      </c>
      <c r="AE10" s="149">
        <v>29</v>
      </c>
      <c r="AF10" s="149">
        <v>30</v>
      </c>
    </row>
    <row r="11" spans="2:33">
      <c r="B11" s="395" t="s">
        <v>641</v>
      </c>
      <c r="C11" s="394">
        <v>0.18</v>
      </c>
      <c r="D11" s="394">
        <v>0.18</v>
      </c>
      <c r="E11" s="394">
        <v>0.16</v>
      </c>
      <c r="F11" s="394">
        <v>0.15</v>
      </c>
      <c r="G11" s="394">
        <v>0.13</v>
      </c>
      <c r="H11" s="394">
        <v>0.13</v>
      </c>
      <c r="I11" s="394">
        <v>0.13</v>
      </c>
      <c r="J11" s="394">
        <v>0.13</v>
      </c>
      <c r="K11" s="394">
        <v>0.13</v>
      </c>
      <c r="L11" s="394">
        <v>0.13</v>
      </c>
      <c r="M11" s="394">
        <v>0.13</v>
      </c>
      <c r="N11" s="394">
        <v>0.13</v>
      </c>
      <c r="O11" s="394">
        <v>0.13</v>
      </c>
      <c r="P11" s="394">
        <v>0.13</v>
      </c>
      <c r="Q11" s="394">
        <v>0.13</v>
      </c>
      <c r="R11" s="394">
        <v>0.13</v>
      </c>
      <c r="S11" s="394">
        <v>0.13</v>
      </c>
      <c r="T11" s="394">
        <v>0.13</v>
      </c>
      <c r="U11" s="394">
        <v>0.13</v>
      </c>
      <c r="V11" s="394">
        <v>0.13</v>
      </c>
      <c r="W11" s="394">
        <v>0.13</v>
      </c>
      <c r="X11" s="394">
        <v>0.13</v>
      </c>
      <c r="Y11" s="394">
        <v>0.13</v>
      </c>
      <c r="Z11" s="394">
        <v>0.13</v>
      </c>
      <c r="AA11" s="394">
        <v>0.13</v>
      </c>
      <c r="AB11" s="394">
        <v>0.13</v>
      </c>
      <c r="AC11" s="394">
        <v>0.13</v>
      </c>
      <c r="AD11" s="394">
        <v>0.13</v>
      </c>
      <c r="AE11" s="394">
        <v>0.13</v>
      </c>
      <c r="AF11" s="394">
        <v>0.13</v>
      </c>
      <c r="AG11" s="307"/>
    </row>
    <row r="12" spans="2:33">
      <c r="B12" t="s">
        <v>639</v>
      </c>
    </row>
    <row r="78" spans="5:5">
      <c r="E78" t="s">
        <v>642</v>
      </c>
    </row>
    <row r="127" spans="5:5">
      <c r="E127" t="s">
        <v>643</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E5961-61D2-4C36-8B89-409E9F2D9797}">
  <sheetPr>
    <tabColor rgb="FF00B050"/>
  </sheetPr>
  <dimension ref="B2:AF90"/>
  <sheetViews>
    <sheetView showGridLines="0" zoomScale="90" zoomScaleNormal="90" workbookViewId="0"/>
  </sheetViews>
  <sheetFormatPr defaultColWidth="14.28515625" defaultRowHeight="12.75"/>
  <cols>
    <col min="1" max="1" width="2.42578125" customWidth="1"/>
    <col min="2" max="2" width="62.85546875" customWidth="1"/>
    <col min="3" max="3" width="59" bestFit="1" customWidth="1"/>
    <col min="4" max="4" width="45.85546875" customWidth="1"/>
    <col min="5" max="5" width="48.140625" bestFit="1" customWidth="1"/>
    <col min="6" max="9" width="18.140625" customWidth="1"/>
    <col min="10" max="13" width="19.42578125" customWidth="1"/>
    <col min="14" max="14" width="23.140625" customWidth="1"/>
    <col min="15" max="15" width="25.28515625" customWidth="1"/>
    <col min="16" max="31" width="19.42578125" customWidth="1"/>
    <col min="32" max="32" width="20.42578125" customWidth="1"/>
    <col min="33" max="969" width="9.140625"/>
    <col min="970" max="1024" width="11.42578125" customWidth="1"/>
  </cols>
  <sheetData>
    <row r="2" spans="2:5">
      <c r="B2" s="41" t="s">
        <v>644</v>
      </c>
    </row>
    <row r="3" spans="2:5">
      <c r="B3" s="10" t="s">
        <v>645</v>
      </c>
      <c r="C3" s="10" t="s">
        <v>646</v>
      </c>
      <c r="D3" s="38" t="s">
        <v>647</v>
      </c>
      <c r="E3" s="10" t="s">
        <v>648</v>
      </c>
    </row>
    <row r="4" spans="2:5">
      <c r="B4" s="230">
        <v>1</v>
      </c>
      <c r="C4" s="230">
        <v>2</v>
      </c>
      <c r="D4" s="246">
        <v>0.1</v>
      </c>
      <c r="E4" s="110">
        <f>1-D4</f>
        <v>0.9</v>
      </c>
    </row>
    <row r="5" spans="2:5">
      <c r="B5" s="149">
        <v>2</v>
      </c>
      <c r="C5" s="12">
        <v>3</v>
      </c>
      <c r="D5" s="247">
        <v>0.1</v>
      </c>
      <c r="E5" s="110">
        <f t="shared" ref="E5:E8" si="0">1-D5</f>
        <v>0.9</v>
      </c>
    </row>
    <row r="6" spans="2:5">
      <c r="B6" s="149">
        <f>C5</f>
        <v>3</v>
      </c>
      <c r="C6" s="12">
        <v>13</v>
      </c>
      <c r="D6" s="247">
        <v>0.1</v>
      </c>
      <c r="E6" s="110">
        <f t="shared" si="0"/>
        <v>0.9</v>
      </c>
    </row>
    <row r="7" spans="2:5">
      <c r="B7" s="182">
        <f>C6</f>
        <v>13</v>
      </c>
      <c r="C7" s="222">
        <v>19</v>
      </c>
      <c r="D7" s="248">
        <v>0.1</v>
      </c>
      <c r="E7" s="243">
        <f t="shared" si="0"/>
        <v>0.9</v>
      </c>
    </row>
    <row r="8" spans="2:5">
      <c r="B8" s="149">
        <f>C7</f>
        <v>19</v>
      </c>
      <c r="C8" s="12">
        <v>361</v>
      </c>
      <c r="D8" s="15">
        <v>0.1</v>
      </c>
      <c r="E8" s="110">
        <f t="shared" si="0"/>
        <v>0.9</v>
      </c>
    </row>
    <row r="9" spans="2:5">
      <c r="B9" t="s">
        <v>649</v>
      </c>
    </row>
    <row r="11" spans="2:5">
      <c r="B11" s="2" t="s">
        <v>650</v>
      </c>
    </row>
    <row r="12" spans="2:5">
      <c r="B12" s="149">
        <f>MIN(_xlfn.ANCHORARRAY('Painel Controle'!D69)) + 1</f>
        <v>16</v>
      </c>
    </row>
    <row r="14" spans="2:5">
      <c r="B14" s="41" t="s">
        <v>651</v>
      </c>
    </row>
    <row r="15" spans="2:5">
      <c r="B15" s="10" t="s">
        <v>652</v>
      </c>
      <c r="C15" s="10" t="s">
        <v>653</v>
      </c>
      <c r="D15" s="10" t="s">
        <v>654</v>
      </c>
      <c r="E15" s="150" t="str">
        <f>D3</f>
        <v>Percentual do risco assumido pela Concessionária</v>
      </c>
    </row>
    <row r="16" spans="2:5">
      <c r="B16" s="12">
        <v>1</v>
      </c>
      <c r="C16" s="149" cm="1">
        <f t="array" ref="C16:C65">B16:B65 + B12 -1</f>
        <v>16</v>
      </c>
      <c r="D16" s="180" cm="1">
        <f t="array" ref="D16:D65">ROUNDUP(C16:C65/12,0)</f>
        <v>2</v>
      </c>
      <c r="E16" s="110" cm="1">
        <f t="array" ref="E16:E65">INDEX($D$4:$D$8,IFERROR(MATCH(B16:B65,C$4:C$8,1) + 1,1))</f>
        <v>0.1</v>
      </c>
    </row>
    <row r="17" spans="2:5">
      <c r="B17" s="12">
        <v>2</v>
      </c>
      <c r="C17" s="149">
        <v>17</v>
      </c>
      <c r="D17" s="149">
        <v>2</v>
      </c>
      <c r="E17" s="242">
        <v>0.1</v>
      </c>
    </row>
    <row r="18" spans="2:5">
      <c r="B18" s="12">
        <v>3</v>
      </c>
      <c r="C18" s="149">
        <v>18</v>
      </c>
      <c r="D18" s="149">
        <v>2</v>
      </c>
      <c r="E18" s="110">
        <v>0.1</v>
      </c>
    </row>
    <row r="19" spans="2:5">
      <c r="B19" s="12">
        <v>4</v>
      </c>
      <c r="C19" s="149">
        <v>19</v>
      </c>
      <c r="D19" s="149">
        <v>2</v>
      </c>
      <c r="E19" s="110">
        <v>0.1</v>
      </c>
    </row>
    <row r="20" spans="2:5">
      <c r="B20" s="12">
        <v>5</v>
      </c>
      <c r="C20" s="149">
        <v>20</v>
      </c>
      <c r="D20" s="149">
        <v>2</v>
      </c>
      <c r="E20" s="110">
        <v>0.1</v>
      </c>
    </row>
    <row r="21" spans="2:5">
      <c r="B21" s="12">
        <v>6</v>
      </c>
      <c r="C21" s="149">
        <v>21</v>
      </c>
      <c r="D21" s="149">
        <v>2</v>
      </c>
      <c r="E21" s="110">
        <v>0.1</v>
      </c>
    </row>
    <row r="22" spans="2:5">
      <c r="B22" s="12">
        <v>7</v>
      </c>
      <c r="C22" s="149">
        <v>22</v>
      </c>
      <c r="D22" s="149">
        <v>2</v>
      </c>
      <c r="E22" s="110">
        <v>0.1</v>
      </c>
    </row>
    <row r="23" spans="2:5">
      <c r="B23" s="12">
        <v>8</v>
      </c>
      <c r="C23" s="149">
        <v>23</v>
      </c>
      <c r="D23" s="149">
        <v>2</v>
      </c>
      <c r="E23" s="110">
        <v>0.1</v>
      </c>
    </row>
    <row r="24" spans="2:5">
      <c r="B24" s="12">
        <v>9</v>
      </c>
      <c r="C24" s="149">
        <v>24</v>
      </c>
      <c r="D24" s="149">
        <v>2</v>
      </c>
      <c r="E24" s="110">
        <v>0.1</v>
      </c>
    </row>
    <row r="25" spans="2:5">
      <c r="B25" s="12">
        <v>10</v>
      </c>
      <c r="C25" s="149">
        <v>25</v>
      </c>
      <c r="D25" s="149">
        <v>3</v>
      </c>
      <c r="E25" s="110">
        <v>0.1</v>
      </c>
    </row>
    <row r="26" spans="2:5">
      <c r="B26" s="12">
        <v>11</v>
      </c>
      <c r="C26" s="149">
        <v>26</v>
      </c>
      <c r="D26" s="149">
        <v>3</v>
      </c>
      <c r="E26" s="110">
        <v>0.1</v>
      </c>
    </row>
    <row r="27" spans="2:5">
      <c r="B27" s="12">
        <v>12</v>
      </c>
      <c r="C27" s="149">
        <v>27</v>
      </c>
      <c r="D27" s="149">
        <v>3</v>
      </c>
      <c r="E27" s="110">
        <v>0.1</v>
      </c>
    </row>
    <row r="28" spans="2:5">
      <c r="B28" s="12">
        <v>13</v>
      </c>
      <c r="C28" s="149">
        <v>28</v>
      </c>
      <c r="D28" s="149">
        <v>3</v>
      </c>
      <c r="E28" s="110">
        <v>0.1</v>
      </c>
    </row>
    <row r="29" spans="2:5">
      <c r="B29" s="12">
        <v>14</v>
      </c>
      <c r="C29" s="149">
        <v>29</v>
      </c>
      <c r="D29" s="149">
        <v>3</v>
      </c>
      <c r="E29" s="110">
        <v>0.1</v>
      </c>
    </row>
    <row r="30" spans="2:5">
      <c r="B30" s="12">
        <v>15</v>
      </c>
      <c r="C30" s="149">
        <v>30</v>
      </c>
      <c r="D30" s="149">
        <v>3</v>
      </c>
      <c r="E30" s="110">
        <v>0.1</v>
      </c>
    </row>
    <row r="31" spans="2:5">
      <c r="B31" s="12">
        <v>16</v>
      </c>
      <c r="C31" s="149">
        <v>31</v>
      </c>
      <c r="D31" s="149">
        <v>3</v>
      </c>
      <c r="E31" s="110">
        <v>0.1</v>
      </c>
    </row>
    <row r="32" spans="2:5">
      <c r="B32" s="12">
        <v>17</v>
      </c>
      <c r="C32" s="149">
        <v>32</v>
      </c>
      <c r="D32" s="149">
        <v>3</v>
      </c>
      <c r="E32" s="110">
        <v>0.1</v>
      </c>
    </row>
    <row r="33" spans="2:5">
      <c r="B33" s="12">
        <v>18</v>
      </c>
      <c r="C33" s="149">
        <v>33</v>
      </c>
      <c r="D33" s="149">
        <v>3</v>
      </c>
      <c r="E33" s="110">
        <v>0.1</v>
      </c>
    </row>
    <row r="34" spans="2:5">
      <c r="B34" s="12">
        <v>19</v>
      </c>
      <c r="C34" s="149">
        <v>34</v>
      </c>
      <c r="D34" s="149">
        <v>3</v>
      </c>
      <c r="E34" s="110">
        <v>0.1</v>
      </c>
    </row>
    <row r="35" spans="2:5">
      <c r="B35" s="12">
        <v>20</v>
      </c>
      <c r="C35" s="149">
        <v>35</v>
      </c>
      <c r="D35" s="149">
        <v>3</v>
      </c>
      <c r="E35" s="110">
        <v>0.1</v>
      </c>
    </row>
    <row r="36" spans="2:5">
      <c r="B36" s="12">
        <v>21</v>
      </c>
      <c r="C36" s="149">
        <v>36</v>
      </c>
      <c r="D36" s="149">
        <v>3</v>
      </c>
      <c r="E36" s="110">
        <v>0.1</v>
      </c>
    </row>
    <row r="37" spans="2:5">
      <c r="B37" s="12">
        <v>22</v>
      </c>
      <c r="C37" s="149">
        <v>37</v>
      </c>
      <c r="D37" s="149">
        <v>4</v>
      </c>
      <c r="E37" s="110">
        <v>0.1</v>
      </c>
    </row>
    <row r="38" spans="2:5">
      <c r="B38" s="12">
        <v>23</v>
      </c>
      <c r="C38" s="149">
        <v>38</v>
      </c>
      <c r="D38" s="149">
        <v>4</v>
      </c>
      <c r="E38" s="110">
        <v>0.1</v>
      </c>
    </row>
    <row r="39" spans="2:5">
      <c r="B39" s="12">
        <v>24</v>
      </c>
      <c r="C39" s="182">
        <v>39</v>
      </c>
      <c r="D39" s="182">
        <v>4</v>
      </c>
      <c r="E39" s="243">
        <v>0.1</v>
      </c>
    </row>
    <row r="40" spans="2:5">
      <c r="B40" s="175">
        <v>25</v>
      </c>
      <c r="C40" s="149">
        <v>40</v>
      </c>
      <c r="D40" s="149">
        <v>4</v>
      </c>
      <c r="E40" s="110">
        <v>0.1</v>
      </c>
    </row>
    <row r="41" spans="2:5">
      <c r="B41" s="175">
        <v>26</v>
      </c>
      <c r="C41" s="149">
        <v>41</v>
      </c>
      <c r="D41" s="149">
        <v>4</v>
      </c>
      <c r="E41" s="110">
        <v>0.1</v>
      </c>
    </row>
    <row r="42" spans="2:5">
      <c r="B42" s="175">
        <v>27</v>
      </c>
      <c r="C42" s="149">
        <v>42</v>
      </c>
      <c r="D42" s="149">
        <v>4</v>
      </c>
      <c r="E42" s="110">
        <v>0.1</v>
      </c>
    </row>
    <row r="43" spans="2:5">
      <c r="B43" s="175">
        <v>28</v>
      </c>
      <c r="C43" s="149">
        <v>43</v>
      </c>
      <c r="D43" s="149">
        <v>4</v>
      </c>
      <c r="E43" s="110">
        <v>0.1</v>
      </c>
    </row>
    <row r="44" spans="2:5">
      <c r="B44" s="175">
        <v>29</v>
      </c>
      <c r="C44" s="149">
        <v>44</v>
      </c>
      <c r="D44" s="149">
        <v>4</v>
      </c>
      <c r="E44" s="110">
        <v>0.1</v>
      </c>
    </row>
    <row r="45" spans="2:5">
      <c r="B45" s="175">
        <v>30</v>
      </c>
      <c r="C45" s="149">
        <v>45</v>
      </c>
      <c r="D45" s="149">
        <v>4</v>
      </c>
      <c r="E45" s="110">
        <v>0.1</v>
      </c>
    </row>
    <row r="46" spans="2:5">
      <c r="B46" s="175">
        <v>31</v>
      </c>
      <c r="C46" s="149">
        <v>46</v>
      </c>
      <c r="D46" s="149">
        <v>4</v>
      </c>
      <c r="E46" s="110">
        <v>0.1</v>
      </c>
    </row>
    <row r="47" spans="2:5">
      <c r="B47" s="175">
        <v>32</v>
      </c>
      <c r="C47" s="149">
        <v>47</v>
      </c>
      <c r="D47" s="149">
        <v>4</v>
      </c>
      <c r="E47" s="110">
        <v>0.1</v>
      </c>
    </row>
    <row r="48" spans="2:5">
      <c r="B48" s="175">
        <v>33</v>
      </c>
      <c r="C48" s="149">
        <v>48</v>
      </c>
      <c r="D48" s="149">
        <v>4</v>
      </c>
      <c r="E48" s="110">
        <v>0.1</v>
      </c>
    </row>
    <row r="49" spans="2:5">
      <c r="B49" s="175">
        <v>34</v>
      </c>
      <c r="C49" s="149">
        <v>49</v>
      </c>
      <c r="D49" s="149">
        <v>5</v>
      </c>
      <c r="E49" s="110">
        <v>0.1</v>
      </c>
    </row>
    <row r="50" spans="2:5">
      <c r="B50" s="175">
        <v>35</v>
      </c>
      <c r="C50" s="149">
        <v>50</v>
      </c>
      <c r="D50" s="149">
        <v>5</v>
      </c>
      <c r="E50" s="110">
        <v>0.1</v>
      </c>
    </row>
    <row r="51" spans="2:5">
      <c r="B51" s="175">
        <v>36</v>
      </c>
      <c r="C51" s="149">
        <v>51</v>
      </c>
      <c r="D51" s="149">
        <v>5</v>
      </c>
      <c r="E51" s="110">
        <v>0.1</v>
      </c>
    </row>
    <row r="52" spans="2:5">
      <c r="B52" s="175">
        <v>37</v>
      </c>
      <c r="C52" s="149">
        <v>52</v>
      </c>
      <c r="D52" s="149">
        <v>5</v>
      </c>
      <c r="E52" s="110">
        <v>0.1</v>
      </c>
    </row>
    <row r="53" spans="2:5">
      <c r="B53" s="175">
        <v>38</v>
      </c>
      <c r="C53" s="182">
        <v>53</v>
      </c>
      <c r="D53" s="182">
        <v>5</v>
      </c>
      <c r="E53" s="243">
        <v>0.1</v>
      </c>
    </row>
    <row r="54" spans="2:5">
      <c r="B54" s="175">
        <v>39</v>
      </c>
      <c r="C54" s="149">
        <v>54</v>
      </c>
      <c r="D54" s="149">
        <v>5</v>
      </c>
      <c r="E54" s="110">
        <v>0.1</v>
      </c>
    </row>
    <row r="55" spans="2:5">
      <c r="B55" s="175">
        <v>40</v>
      </c>
      <c r="C55" s="149">
        <v>55</v>
      </c>
      <c r="D55" s="149">
        <v>5</v>
      </c>
      <c r="E55" s="110">
        <v>0.1</v>
      </c>
    </row>
    <row r="56" spans="2:5">
      <c r="B56" s="175">
        <v>41</v>
      </c>
      <c r="C56" s="149">
        <v>56</v>
      </c>
      <c r="D56" s="149">
        <v>5</v>
      </c>
      <c r="E56" s="110">
        <v>0.1</v>
      </c>
    </row>
    <row r="57" spans="2:5">
      <c r="B57" s="175">
        <v>42</v>
      </c>
      <c r="C57" s="149">
        <v>57</v>
      </c>
      <c r="D57" s="149">
        <v>5</v>
      </c>
      <c r="E57" s="110">
        <v>0.1</v>
      </c>
    </row>
    <row r="58" spans="2:5">
      <c r="B58" s="175">
        <v>43</v>
      </c>
      <c r="C58" s="149">
        <v>58</v>
      </c>
      <c r="D58" s="149">
        <v>5</v>
      </c>
      <c r="E58" s="110">
        <v>0.1</v>
      </c>
    </row>
    <row r="59" spans="2:5">
      <c r="B59" s="175">
        <v>44</v>
      </c>
      <c r="C59" s="149">
        <v>59</v>
      </c>
      <c r="D59" s="149">
        <v>5</v>
      </c>
      <c r="E59" s="110">
        <v>0.1</v>
      </c>
    </row>
    <row r="60" spans="2:5">
      <c r="B60" s="175">
        <v>45</v>
      </c>
      <c r="C60" s="149">
        <v>60</v>
      </c>
      <c r="D60" s="149">
        <v>5</v>
      </c>
      <c r="E60" s="110">
        <v>0.1</v>
      </c>
    </row>
    <row r="61" spans="2:5">
      <c r="B61" s="175">
        <v>46</v>
      </c>
      <c r="C61" s="149">
        <v>61</v>
      </c>
      <c r="D61" s="149">
        <v>6</v>
      </c>
      <c r="E61" s="110">
        <v>0.1</v>
      </c>
    </row>
    <row r="62" spans="2:5">
      <c r="B62" s="175">
        <v>47</v>
      </c>
      <c r="C62" s="149">
        <v>62</v>
      </c>
      <c r="D62" s="149">
        <v>6</v>
      </c>
      <c r="E62" s="110">
        <v>0.1</v>
      </c>
    </row>
    <row r="63" spans="2:5">
      <c r="B63" s="175">
        <v>48</v>
      </c>
      <c r="C63" s="149">
        <v>63</v>
      </c>
      <c r="D63" s="149">
        <v>6</v>
      </c>
      <c r="E63" s="110">
        <v>0.1</v>
      </c>
    </row>
    <row r="64" spans="2:5">
      <c r="B64" s="175">
        <v>49</v>
      </c>
      <c r="C64" s="149">
        <v>64</v>
      </c>
      <c r="D64" s="149">
        <v>6</v>
      </c>
      <c r="E64" s="110">
        <v>0.1</v>
      </c>
    </row>
    <row r="65" spans="2:32">
      <c r="B65" s="175">
        <v>50</v>
      </c>
      <c r="C65" s="149">
        <v>65</v>
      </c>
      <c r="D65" s="149">
        <v>6</v>
      </c>
      <c r="E65" s="110">
        <v>0.1</v>
      </c>
    </row>
    <row r="66" spans="2:32">
      <c r="B66" t="str">
        <f>B9</f>
        <v>Importante: a refererência temporal desta tabela é o início da cobrança de pedágio em algum Pórtico, e não o mês da concessão.</v>
      </c>
    </row>
    <row r="68" spans="2:32">
      <c r="B68" s="41" t="s">
        <v>655</v>
      </c>
    </row>
    <row r="69" spans="2:32">
      <c r="B69" s="38" t="s">
        <v>656</v>
      </c>
      <c r="C69" s="46" t="str">
        <f>"Ano "&amp;C70</f>
        <v>Ano 1</v>
      </c>
      <c r="D69" s="46" t="str">
        <f t="shared" ref="D69:AF69" si="1">"Ano "&amp;D70</f>
        <v>Ano 2</v>
      </c>
      <c r="E69" s="46" t="str">
        <f t="shared" si="1"/>
        <v>Ano 3</v>
      </c>
      <c r="F69" s="46" t="str">
        <f t="shared" si="1"/>
        <v>Ano 4</v>
      </c>
      <c r="G69" s="46" t="str">
        <f t="shared" si="1"/>
        <v>Ano 5</v>
      </c>
      <c r="H69" s="46" t="str">
        <f t="shared" si="1"/>
        <v>Ano 6</v>
      </c>
      <c r="I69" s="46" t="str">
        <f t="shared" si="1"/>
        <v>Ano 7</v>
      </c>
      <c r="J69" s="46" t="str">
        <f t="shared" si="1"/>
        <v>Ano 8</v>
      </c>
      <c r="K69" s="46" t="str">
        <f t="shared" si="1"/>
        <v>Ano 9</v>
      </c>
      <c r="L69" s="46" t="str">
        <f t="shared" si="1"/>
        <v>Ano 10</v>
      </c>
      <c r="M69" s="46" t="str">
        <f t="shared" si="1"/>
        <v>Ano 11</v>
      </c>
      <c r="N69" s="46" t="str">
        <f t="shared" si="1"/>
        <v>Ano 12</v>
      </c>
      <c r="O69" s="46" t="str">
        <f t="shared" si="1"/>
        <v>Ano 13</v>
      </c>
      <c r="P69" s="46" t="str">
        <f t="shared" si="1"/>
        <v>Ano 14</v>
      </c>
      <c r="Q69" s="46" t="str">
        <f t="shared" si="1"/>
        <v>Ano 15</v>
      </c>
      <c r="R69" s="46" t="str">
        <f t="shared" si="1"/>
        <v>Ano 16</v>
      </c>
      <c r="S69" s="46" t="str">
        <f t="shared" si="1"/>
        <v>Ano 17</v>
      </c>
      <c r="T69" s="46" t="str">
        <f t="shared" si="1"/>
        <v>Ano 18</v>
      </c>
      <c r="U69" s="46" t="str">
        <f t="shared" si="1"/>
        <v>Ano 19</v>
      </c>
      <c r="V69" s="46" t="str">
        <f t="shared" si="1"/>
        <v>Ano 20</v>
      </c>
      <c r="W69" s="46" t="str">
        <f t="shared" si="1"/>
        <v>Ano 21</v>
      </c>
      <c r="X69" s="46" t="str">
        <f t="shared" si="1"/>
        <v>Ano 22</v>
      </c>
      <c r="Y69" s="46" t="str">
        <f t="shared" si="1"/>
        <v>Ano 23</v>
      </c>
      <c r="Z69" s="46" t="str">
        <f t="shared" si="1"/>
        <v>Ano 24</v>
      </c>
      <c r="AA69" s="46" t="str">
        <f t="shared" si="1"/>
        <v>Ano 25</v>
      </c>
      <c r="AB69" s="46" t="str">
        <f t="shared" si="1"/>
        <v>Ano 26</v>
      </c>
      <c r="AC69" s="46" t="str">
        <f t="shared" si="1"/>
        <v>Ano 27</v>
      </c>
      <c r="AD69" s="46" t="str">
        <f t="shared" si="1"/>
        <v>Ano 28</v>
      </c>
      <c r="AE69" s="46" t="str">
        <f t="shared" si="1"/>
        <v>Ano 29</v>
      </c>
      <c r="AF69" s="46" t="str">
        <f t="shared" si="1"/>
        <v>Ano 30</v>
      </c>
    </row>
    <row r="70" spans="2:32">
      <c r="B70" s="38"/>
      <c r="C70" s="213">
        <v>1</v>
      </c>
      <c r="D70" s="213">
        <v>2</v>
      </c>
      <c r="E70" s="213">
        <v>3</v>
      </c>
      <c r="F70" s="213">
        <v>4</v>
      </c>
      <c r="G70" s="213">
        <v>5</v>
      </c>
      <c r="H70" s="213">
        <v>6</v>
      </c>
      <c r="I70" s="213">
        <v>7</v>
      </c>
      <c r="J70" s="213">
        <v>8</v>
      </c>
      <c r="K70" s="213">
        <v>9</v>
      </c>
      <c r="L70" s="213">
        <v>10</v>
      </c>
      <c r="M70" s="213">
        <v>11</v>
      </c>
      <c r="N70" s="213">
        <v>12</v>
      </c>
      <c r="O70" s="213">
        <v>13</v>
      </c>
      <c r="P70" s="213">
        <v>14</v>
      </c>
      <c r="Q70" s="213">
        <v>15</v>
      </c>
      <c r="R70" s="213">
        <v>16</v>
      </c>
      <c r="S70" s="213">
        <v>17</v>
      </c>
      <c r="T70" s="213">
        <v>18</v>
      </c>
      <c r="U70" s="213">
        <v>19</v>
      </c>
      <c r="V70" s="213">
        <v>20</v>
      </c>
      <c r="W70" s="213">
        <v>21</v>
      </c>
      <c r="X70" s="213">
        <v>22</v>
      </c>
      <c r="Y70" s="213">
        <v>23</v>
      </c>
      <c r="Z70" s="213">
        <v>24</v>
      </c>
      <c r="AA70" s="213">
        <v>25</v>
      </c>
      <c r="AB70" s="213">
        <v>26</v>
      </c>
      <c r="AC70" s="213">
        <v>27</v>
      </c>
      <c r="AD70" s="213">
        <v>28</v>
      </c>
      <c r="AE70" s="213">
        <v>29</v>
      </c>
      <c r="AF70" s="213">
        <v>30</v>
      </c>
    </row>
    <row r="71" spans="2:32">
      <c r="B71" s="215" t="s">
        <v>657</v>
      </c>
      <c r="C71" s="110">
        <f t="shared" ref="C71:AF71" si="2">IFERROR(AVERAGEIF($D16:$D65,C70,$E16:$E65),$D8)</f>
        <v>0.1</v>
      </c>
      <c r="D71" s="110">
        <f t="shared" si="2"/>
        <v>9.9999999999999992E-2</v>
      </c>
      <c r="E71" s="110">
        <f t="shared" si="2"/>
        <v>9.9999999999999992E-2</v>
      </c>
      <c r="F71" s="110">
        <f t="shared" si="2"/>
        <v>9.9999999999999992E-2</v>
      </c>
      <c r="G71" s="110">
        <f t="shared" si="2"/>
        <v>9.9999999999999992E-2</v>
      </c>
      <c r="H71" s="110">
        <f t="shared" si="2"/>
        <v>0.1</v>
      </c>
      <c r="I71" s="110">
        <f t="shared" si="2"/>
        <v>0.1</v>
      </c>
      <c r="J71" s="110">
        <f t="shared" si="2"/>
        <v>0.1</v>
      </c>
      <c r="K71" s="110">
        <f t="shared" si="2"/>
        <v>0.1</v>
      </c>
      <c r="L71" s="110">
        <f t="shared" si="2"/>
        <v>0.1</v>
      </c>
      <c r="M71" s="110">
        <f t="shared" si="2"/>
        <v>0.1</v>
      </c>
      <c r="N71" s="110">
        <f t="shared" si="2"/>
        <v>0.1</v>
      </c>
      <c r="O71" s="110">
        <f t="shared" si="2"/>
        <v>0.1</v>
      </c>
      <c r="P71" s="110">
        <f t="shared" si="2"/>
        <v>0.1</v>
      </c>
      <c r="Q71" s="110">
        <f t="shared" si="2"/>
        <v>0.1</v>
      </c>
      <c r="R71" s="110">
        <f t="shared" si="2"/>
        <v>0.1</v>
      </c>
      <c r="S71" s="110">
        <f t="shared" si="2"/>
        <v>0.1</v>
      </c>
      <c r="T71" s="110">
        <f t="shared" si="2"/>
        <v>0.1</v>
      </c>
      <c r="U71" s="110">
        <f t="shared" si="2"/>
        <v>0.1</v>
      </c>
      <c r="V71" s="110">
        <f t="shared" si="2"/>
        <v>0.1</v>
      </c>
      <c r="W71" s="110">
        <f t="shared" si="2"/>
        <v>0.1</v>
      </c>
      <c r="X71" s="110">
        <f t="shared" si="2"/>
        <v>0.1</v>
      </c>
      <c r="Y71" s="110">
        <f t="shared" si="2"/>
        <v>0.1</v>
      </c>
      <c r="Z71" s="110">
        <f t="shared" si="2"/>
        <v>0.1</v>
      </c>
      <c r="AA71" s="110">
        <f t="shared" si="2"/>
        <v>0.1</v>
      </c>
      <c r="AB71" s="110">
        <f t="shared" si="2"/>
        <v>0.1</v>
      </c>
      <c r="AC71" s="110">
        <f t="shared" si="2"/>
        <v>0.1</v>
      </c>
      <c r="AD71" s="110">
        <f t="shared" si="2"/>
        <v>0.1</v>
      </c>
      <c r="AE71" s="110">
        <f t="shared" si="2"/>
        <v>0.1</v>
      </c>
      <c r="AF71" s="110">
        <f t="shared" si="2"/>
        <v>0.1</v>
      </c>
    </row>
    <row r="72" spans="2:32">
      <c r="B72" s="215" t="s">
        <v>658</v>
      </c>
      <c r="C72" s="242">
        <f ca="1">'Painel Controle'!$C21</f>
        <v>1.6604332245059E-2</v>
      </c>
      <c r="D72" s="242">
        <f ca="1">'Painel Controle'!$C21</f>
        <v>1.6604332245059E-2</v>
      </c>
      <c r="E72" s="242">
        <f ca="1">'Painel Controle'!$C21</f>
        <v>1.6604332245059E-2</v>
      </c>
      <c r="F72" s="242">
        <f ca="1">'Painel Controle'!$C21</f>
        <v>1.6604332245059E-2</v>
      </c>
      <c r="G72" s="242">
        <f ca="1">'Painel Controle'!$C21</f>
        <v>1.6604332245059E-2</v>
      </c>
      <c r="H72" s="242">
        <f ca="1">'Painel Controle'!$C21</f>
        <v>1.6604332245059E-2</v>
      </c>
      <c r="I72" s="242">
        <f ca="1">'Painel Controle'!$C21</f>
        <v>1.6604332245059E-2</v>
      </c>
      <c r="J72" s="242">
        <f ca="1">'Painel Controle'!$C21</f>
        <v>1.6604332245059E-2</v>
      </c>
      <c r="K72" s="242">
        <f ca="1">'Painel Controle'!$C21</f>
        <v>1.6604332245059E-2</v>
      </c>
      <c r="L72" s="242">
        <f ca="1">'Painel Controle'!$C21</f>
        <v>1.6604332245059E-2</v>
      </c>
      <c r="M72" s="242">
        <f ca="1">'Painel Controle'!$C21</f>
        <v>1.6604332245059E-2</v>
      </c>
      <c r="N72" s="242">
        <f ca="1">'Painel Controle'!$C21</f>
        <v>1.6604332245059E-2</v>
      </c>
      <c r="O72" s="242">
        <f ca="1">'Painel Controle'!$C21</f>
        <v>1.6604332245059E-2</v>
      </c>
      <c r="P72" s="242">
        <f ca="1">'Painel Controle'!$C21</f>
        <v>1.6604332245059E-2</v>
      </c>
      <c r="Q72" s="242">
        <f ca="1">'Painel Controle'!$C21</f>
        <v>1.6604332245059E-2</v>
      </c>
      <c r="R72" s="242">
        <f ca="1">'Painel Controle'!$C21</f>
        <v>1.6604332245059E-2</v>
      </c>
      <c r="S72" s="242">
        <f ca="1">'Painel Controle'!$C21</f>
        <v>1.6604332245059E-2</v>
      </c>
      <c r="T72" s="242">
        <f ca="1">'Painel Controle'!$C21</f>
        <v>1.6604332245059E-2</v>
      </c>
      <c r="U72" s="242">
        <f ca="1">'Painel Controle'!$C21</f>
        <v>1.6604332245059E-2</v>
      </c>
      <c r="V72" s="242">
        <f ca="1">'Painel Controle'!$C21</f>
        <v>1.6604332245059E-2</v>
      </c>
      <c r="W72" s="242">
        <f ca="1">'Painel Controle'!$C21</f>
        <v>1.6604332245059E-2</v>
      </c>
      <c r="X72" s="242">
        <f ca="1">'Painel Controle'!$C21</f>
        <v>1.6604332245059E-2</v>
      </c>
      <c r="Y72" s="242">
        <f ca="1">'Painel Controle'!$C21</f>
        <v>1.6604332245059E-2</v>
      </c>
      <c r="Z72" s="242">
        <f ca="1">'Painel Controle'!$C21</f>
        <v>1.6604332245059E-2</v>
      </c>
      <c r="AA72" s="242">
        <f ca="1">'Painel Controle'!$C21</f>
        <v>1.6604332245059E-2</v>
      </c>
      <c r="AB72" s="242">
        <f ca="1">'Painel Controle'!$C21</f>
        <v>1.6604332245059E-2</v>
      </c>
      <c r="AC72" s="242">
        <f ca="1">'Painel Controle'!$C21</f>
        <v>1.6604332245059E-2</v>
      </c>
      <c r="AD72" s="242">
        <f ca="1">'Painel Controle'!$C21</f>
        <v>1.6604332245059E-2</v>
      </c>
      <c r="AE72" s="242">
        <f ca="1">'Painel Controle'!$C21</f>
        <v>1.6604332245059E-2</v>
      </c>
      <c r="AF72" s="242">
        <f ca="1">'Painel Controle'!$C21</f>
        <v>1.6604332245059E-2</v>
      </c>
    </row>
    <row r="73" spans="2:32">
      <c r="B73" t="s">
        <v>659</v>
      </c>
      <c r="X73" s="5"/>
      <c r="Y73" s="5"/>
      <c r="Z73" s="5"/>
      <c r="AA73" s="5"/>
      <c r="AB73" s="5"/>
      <c r="AC73" s="5"/>
      <c r="AD73" s="5"/>
      <c r="AE73" s="5"/>
      <c r="AF73" s="5"/>
    </row>
    <row r="74" spans="2:32">
      <c r="C74" s="218"/>
      <c r="D74" s="218"/>
      <c r="E74" s="218"/>
      <c r="F74" s="218"/>
      <c r="G74" s="218"/>
      <c r="H74" s="218"/>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row>
    <row r="75" spans="2:32">
      <c r="B75" s="41" t="s">
        <v>660</v>
      </c>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row>
    <row r="76" spans="2:32">
      <c r="B76" s="45"/>
      <c r="C76" s="198" t="str" cm="1">
        <f t="array" ref="C76:AF76">_xlfn.ANCHORARRAY(C$82)</f>
        <v>Ano 1</v>
      </c>
      <c r="D76" s="198" t="str">
        <v>Ano 2</v>
      </c>
      <c r="E76" s="198" t="str">
        <v>Ano 3</v>
      </c>
      <c r="F76" s="198" t="str">
        <v>Ano 4</v>
      </c>
      <c r="G76" s="198" t="str">
        <v>Ano 5</v>
      </c>
      <c r="H76" s="198" t="str">
        <v>Ano 6</v>
      </c>
      <c r="I76" s="198" t="str">
        <v>Ano 7</v>
      </c>
      <c r="J76" s="198" t="str">
        <v>Ano 8</v>
      </c>
      <c r="K76" s="198" t="str">
        <v>Ano 9</v>
      </c>
      <c r="L76" s="198" t="str">
        <v>Ano 10</v>
      </c>
      <c r="M76" s="198" t="str">
        <v>Ano 11</v>
      </c>
      <c r="N76" s="198" t="str">
        <v>Ano 12</v>
      </c>
      <c r="O76" s="198" t="str">
        <v>Ano 13</v>
      </c>
      <c r="P76" s="198" t="str">
        <v>Ano 14</v>
      </c>
      <c r="Q76" s="198" t="str">
        <v>Ano 15</v>
      </c>
      <c r="R76" s="198" t="str">
        <v>Ano 16</v>
      </c>
      <c r="S76" s="198" t="str">
        <v>Ano 17</v>
      </c>
      <c r="T76" s="198" t="str">
        <v>Ano 18</v>
      </c>
      <c r="U76" s="198" t="str">
        <v>Ano 19</v>
      </c>
      <c r="V76" s="198" t="str">
        <v>Ano 20</v>
      </c>
      <c r="W76" s="198" t="str">
        <v>Ano 21</v>
      </c>
      <c r="X76" s="198" t="str">
        <v>Ano 22</v>
      </c>
      <c r="Y76" s="198" t="str">
        <v>Ano 23</v>
      </c>
      <c r="Z76" s="198" t="str">
        <v>Ano 24</v>
      </c>
      <c r="AA76" s="198" t="str">
        <v>Ano 25</v>
      </c>
      <c r="AB76" s="198" t="str">
        <v>Ano 26</v>
      </c>
      <c r="AC76" s="198" t="str">
        <v>Ano 27</v>
      </c>
      <c r="AD76" s="198" t="str">
        <v>Ano 28</v>
      </c>
      <c r="AE76" s="198" t="str">
        <v>Ano 29</v>
      </c>
      <c r="AF76" s="198" t="str">
        <v>Ano 30</v>
      </c>
    </row>
    <row r="77" spans="2:32">
      <c r="B77" s="47" t="s">
        <v>657</v>
      </c>
      <c r="C77" s="199" cm="1">
        <f t="array" aca="1" ref="C77:AF77" ca="1">'Receitas Tarifárias'!E399:AH399</f>
        <v>0</v>
      </c>
      <c r="D77" s="199">
        <f ca="1"/>
        <v>19662871.883939594</v>
      </c>
      <c r="E77" s="199">
        <f ca="1"/>
        <v>23604997.560851615</v>
      </c>
      <c r="F77" s="199">
        <f ca="1"/>
        <v>22487858.934030809</v>
      </c>
      <c r="G77" s="199">
        <f ca="1"/>
        <v>23071126.230338831</v>
      </c>
      <c r="H77" s="199">
        <f ca="1"/>
        <v>23592445.958169669</v>
      </c>
      <c r="I77" s="199">
        <f ca="1"/>
        <v>27148931.481326975</v>
      </c>
      <c r="J77" s="199">
        <f ca="1"/>
        <v>27777346.732718971</v>
      </c>
      <c r="K77" s="199">
        <f ca="1"/>
        <v>28490836.115898304</v>
      </c>
      <c r="L77" s="199">
        <f ca="1"/>
        <v>29304225.890395269</v>
      </c>
      <c r="M77" s="199">
        <f ca="1"/>
        <v>30142558.433479667</v>
      </c>
      <c r="N77" s="199">
        <f ca="1"/>
        <v>31004066.652842145</v>
      </c>
      <c r="O77" s="199">
        <f ca="1"/>
        <v>31838960.138113711</v>
      </c>
      <c r="P77" s="199">
        <f ca="1"/>
        <v>32642187.090421472</v>
      </c>
      <c r="Q77" s="199">
        <f ca="1"/>
        <v>33408539.863781195</v>
      </c>
      <c r="R77" s="199">
        <f ca="1"/>
        <v>35701605.903729066</v>
      </c>
      <c r="S77" s="199">
        <f ca="1"/>
        <v>36413428.776965715</v>
      </c>
      <c r="T77" s="199">
        <f ca="1"/>
        <v>37074816.768750638</v>
      </c>
      <c r="U77" s="199">
        <f ca="1"/>
        <v>37682456.840789646</v>
      </c>
      <c r="V77" s="199">
        <f ca="1"/>
        <v>38233576.678600043</v>
      </c>
      <c r="W77" s="199">
        <f ca="1"/>
        <v>38725225.008281775</v>
      </c>
      <c r="X77" s="199">
        <f ca="1"/>
        <v>39155237.055394813</v>
      </c>
      <c r="Y77" s="199">
        <f ca="1"/>
        <v>39522088.943316981</v>
      </c>
      <c r="Z77" s="199">
        <f ca="1"/>
        <v>39823998.573668502</v>
      </c>
      <c r="AA77" s="199">
        <f ca="1"/>
        <v>40059295.242515273</v>
      </c>
      <c r="AB77" s="199">
        <f ca="1"/>
        <v>40226950.418441191</v>
      </c>
      <c r="AC77" s="199">
        <f ca="1"/>
        <v>40326241.363928691</v>
      </c>
      <c r="AD77" s="199">
        <f ca="1"/>
        <v>40356111.820851535</v>
      </c>
      <c r="AE77" s="199">
        <f ca="1"/>
        <v>40315666.853331581</v>
      </c>
      <c r="AF77" s="199">
        <f ca="1"/>
        <v>40204319.136371411</v>
      </c>
    </row>
    <row r="78" spans="2:32">
      <c r="B78" s="6" t="s">
        <v>661</v>
      </c>
      <c r="C78" s="147" cm="1">
        <f t="array" aca="1" ref="C78:AF78" ca="1">_xlfn.ANCHORARRAY(C77) * C71:AF71</f>
        <v>0</v>
      </c>
      <c r="D78" s="147">
        <f ca="1"/>
        <v>1966287.1883939593</v>
      </c>
      <c r="E78" s="147">
        <f ca="1"/>
        <v>2360499.7560851611</v>
      </c>
      <c r="F78" s="147">
        <f ca="1"/>
        <v>2248785.8934030808</v>
      </c>
      <c r="G78" s="147">
        <f ca="1"/>
        <v>2307112.6230338831</v>
      </c>
      <c r="H78" s="147">
        <f ca="1"/>
        <v>2359244.5958169671</v>
      </c>
      <c r="I78" s="147">
        <f ca="1"/>
        <v>2714893.1481326977</v>
      </c>
      <c r="J78" s="147">
        <f ca="1"/>
        <v>2777734.6732718972</v>
      </c>
      <c r="K78" s="147">
        <f ca="1"/>
        <v>2849083.6115898304</v>
      </c>
      <c r="L78" s="147">
        <f ca="1"/>
        <v>2930422.5890395269</v>
      </c>
      <c r="M78" s="147">
        <f ca="1"/>
        <v>3014255.8433479667</v>
      </c>
      <c r="N78" s="147">
        <f ca="1"/>
        <v>3100406.6652842145</v>
      </c>
      <c r="O78" s="147">
        <f ca="1"/>
        <v>3183896.0138113713</v>
      </c>
      <c r="P78" s="147">
        <f ca="1"/>
        <v>3264218.7090421473</v>
      </c>
      <c r="Q78" s="147">
        <f ca="1"/>
        <v>3340853.9863781198</v>
      </c>
      <c r="R78" s="147">
        <f ca="1"/>
        <v>3570160.590372907</v>
      </c>
      <c r="S78" s="147">
        <f ca="1"/>
        <v>3641342.8776965719</v>
      </c>
      <c r="T78" s="147">
        <f ca="1"/>
        <v>3707481.6768750641</v>
      </c>
      <c r="U78" s="147">
        <f ca="1"/>
        <v>3768245.6840789649</v>
      </c>
      <c r="V78" s="147">
        <f ca="1"/>
        <v>3823357.6678600046</v>
      </c>
      <c r="W78" s="147">
        <f ca="1"/>
        <v>3872522.5008281777</v>
      </c>
      <c r="X78" s="147">
        <f ca="1"/>
        <v>3915523.7055394817</v>
      </c>
      <c r="Y78" s="147">
        <f ca="1"/>
        <v>3952208.8943316983</v>
      </c>
      <c r="Z78" s="147">
        <f ca="1"/>
        <v>3982399.8573668506</v>
      </c>
      <c r="AA78" s="147">
        <f ca="1"/>
        <v>4005929.5242515276</v>
      </c>
      <c r="AB78" s="147">
        <f ca="1"/>
        <v>4022695.0418441193</v>
      </c>
      <c r="AC78" s="147">
        <f ca="1"/>
        <v>4032624.1363928691</v>
      </c>
      <c r="AD78" s="147">
        <f ca="1"/>
        <v>4035611.1820851536</v>
      </c>
      <c r="AE78" s="147">
        <f ca="1"/>
        <v>4031566.6853331584</v>
      </c>
      <c r="AF78" s="147">
        <f ca="1"/>
        <v>4020431.9136371412</v>
      </c>
    </row>
    <row r="79" spans="2:32">
      <c r="B79" s="17" t="s">
        <v>662</v>
      </c>
      <c r="C79" s="148" cm="1">
        <f t="array" aca="1" ref="C79:AF79" ca="1">_xlfn.ANCHORARRAY(C77) -_xlfn.ANCHORARRAY( C78)</f>
        <v>0</v>
      </c>
      <c r="D79" s="148">
        <f ca="1"/>
        <v>17696584.695545636</v>
      </c>
      <c r="E79" s="148">
        <f ca="1"/>
        <v>21244497.804766454</v>
      </c>
      <c r="F79" s="148">
        <f ca="1"/>
        <v>20239073.040627729</v>
      </c>
      <c r="G79" s="148">
        <f ca="1"/>
        <v>20764013.607304946</v>
      </c>
      <c r="H79" s="148">
        <f ca="1"/>
        <v>21233201.362352703</v>
      </c>
      <c r="I79" s="148">
        <f ca="1"/>
        <v>24434038.333194278</v>
      </c>
      <c r="J79" s="148">
        <f ca="1"/>
        <v>24999612.059447072</v>
      </c>
      <c r="K79" s="148">
        <f ca="1"/>
        <v>25641752.504308473</v>
      </c>
      <c r="L79" s="148">
        <f ca="1"/>
        <v>26373803.301355742</v>
      </c>
      <c r="M79" s="148">
        <f ca="1"/>
        <v>27128302.5901317</v>
      </c>
      <c r="N79" s="148">
        <f ca="1"/>
        <v>27903659.987557933</v>
      </c>
      <c r="O79" s="148">
        <f ca="1"/>
        <v>28655064.124302339</v>
      </c>
      <c r="P79" s="148">
        <f ca="1"/>
        <v>29377968.381379325</v>
      </c>
      <c r="Q79" s="148">
        <f ca="1"/>
        <v>30067685.877403077</v>
      </c>
      <c r="R79" s="148">
        <f ca="1"/>
        <v>32131445.313356161</v>
      </c>
      <c r="S79" s="148">
        <f ca="1"/>
        <v>32772085.899269141</v>
      </c>
      <c r="T79" s="148">
        <f ca="1"/>
        <v>33367335.091875575</v>
      </c>
      <c r="U79" s="148">
        <f ca="1"/>
        <v>33914211.156710684</v>
      </c>
      <c r="V79" s="148">
        <f ca="1"/>
        <v>34410219.010740042</v>
      </c>
      <c r="W79" s="148">
        <f ca="1"/>
        <v>34852702.507453598</v>
      </c>
      <c r="X79" s="148">
        <f ca="1"/>
        <v>35239713.349855334</v>
      </c>
      <c r="Y79" s="148">
        <f ca="1"/>
        <v>35569880.04898528</v>
      </c>
      <c r="Z79" s="148">
        <f ca="1"/>
        <v>35841598.71630165</v>
      </c>
      <c r="AA79" s="148">
        <f ca="1"/>
        <v>36053365.718263745</v>
      </c>
      <c r="AB79" s="148">
        <f ca="1"/>
        <v>36204255.376597069</v>
      </c>
      <c r="AC79" s="148">
        <f ca="1"/>
        <v>36293617.227535821</v>
      </c>
      <c r="AD79" s="148">
        <f ca="1"/>
        <v>36320500.638766378</v>
      </c>
      <c r="AE79" s="148">
        <f ca="1"/>
        <v>36284100.167998426</v>
      </c>
      <c r="AF79" s="148">
        <f ca="1"/>
        <v>36183887.222734272</v>
      </c>
    </row>
    <row r="81" spans="2:32">
      <c r="B81" s="41" t="s">
        <v>663</v>
      </c>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row>
    <row r="82" spans="2:32">
      <c r="B82" s="45"/>
      <c r="C82" s="198" t="str" cm="1">
        <f t="array" ref="C82:AF82">C69:AF69</f>
        <v>Ano 1</v>
      </c>
      <c r="D82" s="198" t="str">
        <v>Ano 2</v>
      </c>
      <c r="E82" s="198" t="str">
        <v>Ano 3</v>
      </c>
      <c r="F82" s="198" t="str">
        <v>Ano 4</v>
      </c>
      <c r="G82" s="198" t="str">
        <v>Ano 5</v>
      </c>
      <c r="H82" s="198" t="str">
        <v>Ano 6</v>
      </c>
      <c r="I82" s="198" t="str">
        <v>Ano 7</v>
      </c>
      <c r="J82" s="198" t="str">
        <v>Ano 8</v>
      </c>
      <c r="K82" s="198" t="str">
        <v>Ano 9</v>
      </c>
      <c r="L82" s="198" t="str">
        <v>Ano 10</v>
      </c>
      <c r="M82" s="198" t="str">
        <v>Ano 11</v>
      </c>
      <c r="N82" s="198" t="str">
        <v>Ano 12</v>
      </c>
      <c r="O82" s="198" t="str">
        <v>Ano 13</v>
      </c>
      <c r="P82" s="198" t="str">
        <v>Ano 14</v>
      </c>
      <c r="Q82" s="198" t="str">
        <v>Ano 15</v>
      </c>
      <c r="R82" s="198" t="str">
        <v>Ano 16</v>
      </c>
      <c r="S82" s="198" t="str">
        <v>Ano 17</v>
      </c>
      <c r="T82" s="198" t="str">
        <v>Ano 18</v>
      </c>
      <c r="U82" s="198" t="str">
        <v>Ano 19</v>
      </c>
      <c r="V82" s="198" t="str">
        <v>Ano 20</v>
      </c>
      <c r="W82" s="198" t="str">
        <v>Ano 21</v>
      </c>
      <c r="X82" s="198" t="str">
        <v>Ano 22</v>
      </c>
      <c r="Y82" s="198" t="str">
        <v>Ano 23</v>
      </c>
      <c r="Z82" s="198" t="str">
        <v>Ano 24</v>
      </c>
      <c r="AA82" s="198" t="str">
        <v>Ano 25</v>
      </c>
      <c r="AB82" s="198" t="str">
        <v>Ano 26</v>
      </c>
      <c r="AC82" s="198" t="str">
        <v>Ano 27</v>
      </c>
      <c r="AD82" s="198" t="str">
        <v>Ano 28</v>
      </c>
      <c r="AE82" s="198" t="str">
        <v>Ano 29</v>
      </c>
      <c r="AF82" s="198" t="str">
        <v>Ano 30</v>
      </c>
    </row>
    <row r="83" spans="2:32">
      <c r="B83" s="216" t="s">
        <v>664</v>
      </c>
      <c r="C83" s="214" cm="1">
        <f t="array" aca="1" ref="C83:AF83" ca="1">'Receitas Tarifárias'!D462:AG462</f>
        <v>0</v>
      </c>
      <c r="D83" s="217">
        <f ca="1"/>
        <v>109238177.13299778</v>
      </c>
      <c r="E83" s="217">
        <f ca="1"/>
        <v>147531234.75532261</v>
      </c>
      <c r="F83" s="217">
        <f ca="1"/>
        <v>149919059.56020534</v>
      </c>
      <c r="G83" s="217">
        <f ca="1"/>
        <v>177470201.77183709</v>
      </c>
      <c r="H83" s="217">
        <f ca="1"/>
        <v>181480353.52438214</v>
      </c>
      <c r="I83" s="217">
        <f ca="1"/>
        <v>208837934.471746</v>
      </c>
      <c r="J83" s="217">
        <f ca="1"/>
        <v>213671897.94399205</v>
      </c>
      <c r="K83" s="217">
        <f ca="1"/>
        <v>219160277.81460238</v>
      </c>
      <c r="L83" s="217">
        <f ca="1"/>
        <v>225417122.23380974</v>
      </c>
      <c r="M83" s="217">
        <f ca="1"/>
        <v>231865834.10368967</v>
      </c>
      <c r="N83" s="217">
        <f ca="1"/>
        <v>238492820.40647805</v>
      </c>
      <c r="O83" s="217">
        <f ca="1"/>
        <v>244915077.98549005</v>
      </c>
      <c r="P83" s="217">
        <f ca="1"/>
        <v>251093746.84939602</v>
      </c>
      <c r="Q83" s="217">
        <f ca="1"/>
        <v>256988768.18293226</v>
      </c>
      <c r="R83" s="217">
        <f ca="1"/>
        <v>274627737.72099286</v>
      </c>
      <c r="S83" s="217">
        <f ca="1"/>
        <v>280103298.28435165</v>
      </c>
      <c r="T83" s="217">
        <f ca="1"/>
        <v>285190898.22115886</v>
      </c>
      <c r="U83" s="217">
        <f ca="1"/>
        <v>289865052.62145883</v>
      </c>
      <c r="V83" s="217">
        <f ca="1"/>
        <v>294104435.98923111</v>
      </c>
      <c r="W83" s="217">
        <f ca="1"/>
        <v>297886346.21755207</v>
      </c>
      <c r="X83" s="217">
        <f ca="1"/>
        <v>301194131.19534475</v>
      </c>
      <c r="Y83" s="217">
        <f ca="1"/>
        <v>304016068.79474592</v>
      </c>
      <c r="Z83" s="217">
        <f ca="1"/>
        <v>306338450.56668079</v>
      </c>
      <c r="AA83" s="217">
        <f ca="1"/>
        <v>308148424.94242519</v>
      </c>
      <c r="AB83" s="217">
        <f ca="1"/>
        <v>309438080.1418553</v>
      </c>
      <c r="AC83" s="217">
        <f ca="1"/>
        <v>310201856.64560527</v>
      </c>
      <c r="AD83" s="217">
        <f ca="1"/>
        <v>310431629.39116573</v>
      </c>
      <c r="AE83" s="217">
        <f ca="1"/>
        <v>310120514.25639683</v>
      </c>
      <c r="AF83" s="217">
        <f ca="1"/>
        <v>309263993.35670298</v>
      </c>
    </row>
    <row r="84" spans="2:32">
      <c r="B84" s="47" t="s">
        <v>665</v>
      </c>
      <c r="C84" s="143" t="e" cm="1">
        <f t="array" aca="1" ref="C84:AF84" ca="1">_xlfn.ANCHORARRAY('Receitas Tarifárias'!E220)</f>
        <v>#DIV/0!</v>
      </c>
      <c r="D84" s="143">
        <f ca="1"/>
        <v>5.2739963648649E-3</v>
      </c>
      <c r="E84" s="143">
        <f ca="1"/>
        <v>7.4096827982891326E-3</v>
      </c>
      <c r="F84" s="143">
        <f ca="1"/>
        <v>9.2612880660213545E-3</v>
      </c>
      <c r="G84" s="143">
        <f ca="1"/>
        <v>1.1301497170340907E-2</v>
      </c>
      <c r="H84" s="143">
        <f ca="1"/>
        <v>1.2700222932014369E-2</v>
      </c>
      <c r="I84" s="143">
        <f ca="1"/>
        <v>1.4010306499762468E-2</v>
      </c>
      <c r="J84" s="143">
        <f ca="1"/>
        <v>1.5270128447358963E-2</v>
      </c>
      <c r="K84" s="143">
        <f ca="1"/>
        <v>1.6298345232225116E-2</v>
      </c>
      <c r="L84" s="143">
        <f ca="1"/>
        <v>1.6857489728802712E-2</v>
      </c>
      <c r="M84" s="143">
        <f ca="1"/>
        <v>1.7185912075663598E-2</v>
      </c>
      <c r="N84" s="143">
        <f ca="1"/>
        <v>1.7276836728090304E-2</v>
      </c>
      <c r="O84" s="143">
        <f ca="1"/>
        <v>1.7366732171066501E-2</v>
      </c>
      <c r="P84" s="143">
        <f ca="1"/>
        <v>1.7455350511046821E-2</v>
      </c>
      <c r="Q84" s="143">
        <f ca="1"/>
        <v>1.7542455744831105E-2</v>
      </c>
      <c r="R84" s="143">
        <f ca="1"/>
        <v>1.7251454059702541E-2</v>
      </c>
      <c r="S84" s="143">
        <f ca="1"/>
        <v>1.7332585349285945E-2</v>
      </c>
      <c r="T84" s="143">
        <f ca="1"/>
        <v>1.7411860486408658E-2</v>
      </c>
      <c r="U84" s="143">
        <f ca="1"/>
        <v>1.7489229694380447E-2</v>
      </c>
      <c r="V84" s="143">
        <f ca="1"/>
        <v>1.7564658177455877E-2</v>
      </c>
      <c r="W84" s="143">
        <f ca="1"/>
        <v>1.7638120628043544E-2</v>
      </c>
      <c r="X84" s="143">
        <f ca="1"/>
        <v>1.770961531920737E-2</v>
      </c>
      <c r="Y84" s="143">
        <f ca="1"/>
        <v>1.7779159750994988E-2</v>
      </c>
      <c r="Z84" s="143">
        <f ca="1"/>
        <v>1.7846775238733393E-2</v>
      </c>
      <c r="AA84" s="143">
        <f ca="1"/>
        <v>1.7912484356208323E-2</v>
      </c>
      <c r="AB84" s="143">
        <f ca="1"/>
        <v>1.797631487551914E-2</v>
      </c>
      <c r="AC84" s="143">
        <f ca="1"/>
        <v>1.8038285110522929E-2</v>
      </c>
      <c r="AD84" s="143">
        <f ca="1"/>
        <v>1.8098396094564324E-2</v>
      </c>
      <c r="AE84" s="143">
        <f ca="1"/>
        <v>1.8156644534524251E-2</v>
      </c>
      <c r="AF84" s="143">
        <f ca="1"/>
        <v>1.8213028719332815E-2</v>
      </c>
    </row>
    <row r="85" spans="2:32">
      <c r="B85" s="6" t="s">
        <v>666</v>
      </c>
      <c r="C85" s="141" t="e" cm="1">
        <f t="array" aca="1" ref="C85:AF85" ca="1">IF(_xlfn.ANCHORARRAY(C84)&lt;C72,_xlfn.ANCHORARRAY(C84),C72)</f>
        <v>#DIV/0!</v>
      </c>
      <c r="D85" s="141">
        <f ca="1"/>
        <v>5.2739963648649E-3</v>
      </c>
      <c r="E85" s="141">
        <f ca="1"/>
        <v>7.4096827982891326E-3</v>
      </c>
      <c r="F85" s="141">
        <f ca="1"/>
        <v>9.2612880660213545E-3</v>
      </c>
      <c r="G85" s="141">
        <f ca="1"/>
        <v>1.1301497170340907E-2</v>
      </c>
      <c r="H85" s="141">
        <f ca="1"/>
        <v>1.2700222932014369E-2</v>
      </c>
      <c r="I85" s="141">
        <f ca="1"/>
        <v>1.4010306499762468E-2</v>
      </c>
      <c r="J85" s="141">
        <f ca="1"/>
        <v>1.5270128447358963E-2</v>
      </c>
      <c r="K85" s="141">
        <f ca="1"/>
        <v>1.6298345232225116E-2</v>
      </c>
      <c r="L85" s="141">
        <f ca="1"/>
        <v>1.6604332245059E-2</v>
      </c>
      <c r="M85" s="141">
        <f ca="1"/>
        <v>1.6604332245059E-2</v>
      </c>
      <c r="N85" s="141">
        <f ca="1"/>
        <v>1.6604332245059E-2</v>
      </c>
      <c r="O85" s="141">
        <f ca="1"/>
        <v>1.6604332245059E-2</v>
      </c>
      <c r="P85" s="141">
        <f ca="1"/>
        <v>1.6604332245059E-2</v>
      </c>
      <c r="Q85" s="141">
        <f ca="1"/>
        <v>1.6604332245059E-2</v>
      </c>
      <c r="R85" s="141">
        <f ca="1"/>
        <v>1.6604332245059E-2</v>
      </c>
      <c r="S85" s="141">
        <f ca="1"/>
        <v>1.6604332245059E-2</v>
      </c>
      <c r="T85" s="141">
        <f ca="1"/>
        <v>1.6604332245059E-2</v>
      </c>
      <c r="U85" s="141">
        <f ca="1"/>
        <v>1.6604332245059E-2</v>
      </c>
      <c r="V85" s="141">
        <f ca="1"/>
        <v>1.6604332245059E-2</v>
      </c>
      <c r="W85" s="141">
        <f ca="1"/>
        <v>1.6604332245059E-2</v>
      </c>
      <c r="X85" s="141">
        <f ca="1"/>
        <v>1.6604332245059E-2</v>
      </c>
      <c r="Y85" s="141">
        <f ca="1"/>
        <v>1.6604332245059E-2</v>
      </c>
      <c r="Z85" s="141">
        <f ca="1"/>
        <v>1.6604332245059E-2</v>
      </c>
      <c r="AA85" s="141">
        <f ca="1"/>
        <v>1.6604332245059E-2</v>
      </c>
      <c r="AB85" s="141">
        <f ca="1"/>
        <v>1.6604332245059E-2</v>
      </c>
      <c r="AC85" s="141">
        <f ca="1"/>
        <v>1.6604332245059E-2</v>
      </c>
      <c r="AD85" s="141">
        <f ca="1"/>
        <v>1.6604332245059E-2</v>
      </c>
      <c r="AE85" s="141">
        <f ca="1"/>
        <v>1.6604332245059E-2</v>
      </c>
      <c r="AF85" s="141">
        <f ca="1"/>
        <v>1.6604332245059E-2</v>
      </c>
    </row>
    <row r="86" spans="2:32">
      <c r="B86" s="17" t="s">
        <v>667</v>
      </c>
      <c r="C86" s="148" cm="1">
        <f t="array" aca="1" ref="C86:AF86" ca="1">IFERROR((_xlfn.ANCHORARRAY(C84)-_xlfn.ANCHORARRAY(C85))*_xlfn.ANCHORARRAY(C83),0)</f>
        <v>0</v>
      </c>
      <c r="D86" s="148">
        <f ca="1"/>
        <v>0</v>
      </c>
      <c r="E86" s="148">
        <f ca="1"/>
        <v>0</v>
      </c>
      <c r="F86" s="148">
        <f ca="1"/>
        <v>0</v>
      </c>
      <c r="G86" s="148">
        <f ca="1"/>
        <v>0</v>
      </c>
      <c r="H86" s="148">
        <f ca="1"/>
        <v>0</v>
      </c>
      <c r="I86" s="148">
        <f ca="1"/>
        <v>0</v>
      </c>
      <c r="J86" s="148">
        <f ca="1"/>
        <v>0</v>
      </c>
      <c r="K86" s="148">
        <f ca="1"/>
        <v>0</v>
      </c>
      <c r="L86" s="148">
        <f ca="1"/>
        <v>57066.031457460063</v>
      </c>
      <c r="M86" s="148">
        <f ca="1"/>
        <v>134848.49252101759</v>
      </c>
      <c r="N86" s="148">
        <f ca="1"/>
        <v>160387.49089413599</v>
      </c>
      <c r="O86" s="148">
        <f ca="1"/>
        <v>186723.23733425877</v>
      </c>
      <c r="P86" s="148">
        <f ca="1"/>
        <v>213685.36504415778</v>
      </c>
      <c r="Q86" s="148">
        <f ca="1"/>
        <v>241087.20260989451</v>
      </c>
      <c r="R86" s="148">
        <f ca="1"/>
        <v>177717.59998545924</v>
      </c>
      <c r="S86" s="148">
        <f ca="1"/>
        <v>203986.0964797849</v>
      </c>
      <c r="T86" s="148">
        <f ca="1"/>
        <v>230299.70448946152</v>
      </c>
      <c r="U86" s="148">
        <f ca="1"/>
        <v>256500.84571215598</v>
      </c>
      <c r="V86" s="148">
        <f ca="1"/>
        <v>282436.11671341583</v>
      </c>
      <c r="W86" s="148">
        <f ca="1"/>
        <v>307951.44416941726</v>
      </c>
      <c r="X86" s="148">
        <f ca="1"/>
        <v>332904.77524303814</v>
      </c>
      <c r="Y86" s="148">
        <f ca="1"/>
        <v>357166.43986659491</v>
      </c>
      <c r="Z86" s="148">
        <f ca="1"/>
        <v>380608.06159964181</v>
      </c>
      <c r="AA86" s="148">
        <f ca="1"/>
        <v>403105.012635772</v>
      </c>
      <c r="AB86" s="148">
        <f ca="1"/>
        <v>424543.67115755816</v>
      </c>
      <c r="AC86" s="148">
        <f ca="1"/>
        <v>444814.84120919643</v>
      </c>
      <c r="AD86" s="148">
        <f ca="1"/>
        <v>463804.67521637515</v>
      </c>
      <c r="AE86" s="148">
        <f ca="1"/>
        <v>481403.88549548824</v>
      </c>
      <c r="AF86" s="148">
        <f ca="1"/>
        <v>497511.89573276846</v>
      </c>
    </row>
    <row r="88" spans="2:32">
      <c r="B88" s="41" t="s">
        <v>668</v>
      </c>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row>
    <row r="89" spans="2:32">
      <c r="B89" s="45"/>
      <c r="C89" s="198" t="str" cm="1">
        <f t="array" ref="C89:AF89">_xlfn.ANCHORARRAY(C$82)</f>
        <v>Ano 1</v>
      </c>
      <c r="D89" s="198" t="str">
        <v>Ano 2</v>
      </c>
      <c r="E89" s="198" t="str">
        <v>Ano 3</v>
      </c>
      <c r="F89" s="198" t="str">
        <v>Ano 4</v>
      </c>
      <c r="G89" s="198" t="str">
        <v>Ano 5</v>
      </c>
      <c r="H89" s="198" t="str">
        <v>Ano 6</v>
      </c>
      <c r="I89" s="198" t="str">
        <v>Ano 7</v>
      </c>
      <c r="J89" s="198" t="str">
        <v>Ano 8</v>
      </c>
      <c r="K89" s="198" t="str">
        <v>Ano 9</v>
      </c>
      <c r="L89" s="198" t="str">
        <v>Ano 10</v>
      </c>
      <c r="M89" s="198" t="str">
        <v>Ano 11</v>
      </c>
      <c r="N89" s="198" t="str">
        <v>Ano 12</v>
      </c>
      <c r="O89" s="198" t="str">
        <v>Ano 13</v>
      </c>
      <c r="P89" s="198" t="str">
        <v>Ano 14</v>
      </c>
      <c r="Q89" s="198" t="str">
        <v>Ano 15</v>
      </c>
      <c r="R89" s="198" t="str">
        <v>Ano 16</v>
      </c>
      <c r="S89" s="198" t="str">
        <v>Ano 17</v>
      </c>
      <c r="T89" s="198" t="str">
        <v>Ano 18</v>
      </c>
      <c r="U89" s="198" t="str">
        <v>Ano 19</v>
      </c>
      <c r="V89" s="198" t="str">
        <v>Ano 20</v>
      </c>
      <c r="W89" s="198" t="str">
        <v>Ano 21</v>
      </c>
      <c r="X89" s="198" t="str">
        <v>Ano 22</v>
      </c>
      <c r="Y89" s="198" t="str">
        <v>Ano 23</v>
      </c>
      <c r="Z89" s="198" t="str">
        <v>Ano 24</v>
      </c>
      <c r="AA89" s="198" t="str">
        <v>Ano 25</v>
      </c>
      <c r="AB89" s="198" t="str">
        <v>Ano 26</v>
      </c>
      <c r="AC89" s="198" t="str">
        <v>Ano 27</v>
      </c>
      <c r="AD89" s="198" t="str">
        <v>Ano 28</v>
      </c>
      <c r="AE89" s="198" t="str">
        <v>Ano 29</v>
      </c>
      <c r="AF89" s="198" t="str">
        <v>Ano 30</v>
      </c>
    </row>
    <row r="90" spans="2:32">
      <c r="B90" s="17" t="s">
        <v>669</v>
      </c>
      <c r="C90" s="148" cm="1">
        <f t="array" aca="1" ref="C90:AF90" ca="1">_xlfn.ANCHORARRAY(C86)+_xlfn.ANCHORARRAY(C79)</f>
        <v>0</v>
      </c>
      <c r="D90" s="148">
        <f ca="1"/>
        <v>17696584.695545636</v>
      </c>
      <c r="E90" s="148">
        <f ca="1"/>
        <v>21244497.804766454</v>
      </c>
      <c r="F90" s="148">
        <f ca="1"/>
        <v>20239073.040627729</v>
      </c>
      <c r="G90" s="148">
        <f ca="1"/>
        <v>20764013.607304946</v>
      </c>
      <c r="H90" s="148">
        <f ca="1"/>
        <v>21233201.362352703</v>
      </c>
      <c r="I90" s="148">
        <f ca="1"/>
        <v>24434038.333194278</v>
      </c>
      <c r="J90" s="148">
        <f ca="1"/>
        <v>24999612.059447072</v>
      </c>
      <c r="K90" s="148">
        <f ca="1"/>
        <v>25641752.504308473</v>
      </c>
      <c r="L90" s="148">
        <f ca="1"/>
        <v>26430869.332813203</v>
      </c>
      <c r="M90" s="148">
        <f ca="1"/>
        <v>27263151.082652718</v>
      </c>
      <c r="N90" s="148">
        <f ca="1"/>
        <v>28064047.478452068</v>
      </c>
      <c r="O90" s="148">
        <f ca="1"/>
        <v>28841787.361636598</v>
      </c>
      <c r="P90" s="148">
        <f ca="1"/>
        <v>29591653.746423483</v>
      </c>
      <c r="Q90" s="148">
        <f ca="1"/>
        <v>30308773.08001297</v>
      </c>
      <c r="R90" s="148">
        <f ca="1"/>
        <v>32309162.913341619</v>
      </c>
      <c r="S90" s="148">
        <f ca="1"/>
        <v>32976071.995748926</v>
      </c>
      <c r="T90" s="148">
        <f ca="1"/>
        <v>33597634.796365038</v>
      </c>
      <c r="U90" s="148">
        <f ca="1"/>
        <v>34170712.002422839</v>
      </c>
      <c r="V90" s="148">
        <f ca="1"/>
        <v>34692655.127453461</v>
      </c>
      <c r="W90" s="148">
        <f ca="1"/>
        <v>35160653.951623015</v>
      </c>
      <c r="X90" s="148">
        <f ca="1"/>
        <v>35572618.12509837</v>
      </c>
      <c r="Y90" s="148">
        <f ca="1"/>
        <v>35927046.488851875</v>
      </c>
      <c r="Z90" s="148">
        <f ca="1"/>
        <v>36222206.777901292</v>
      </c>
      <c r="AA90" s="148">
        <f ca="1"/>
        <v>36456470.73089952</v>
      </c>
      <c r="AB90" s="148">
        <f ca="1"/>
        <v>36628799.04775463</v>
      </c>
      <c r="AC90" s="148">
        <f ca="1"/>
        <v>36738432.068745017</v>
      </c>
      <c r="AD90" s="148">
        <f ca="1"/>
        <v>36784305.313982755</v>
      </c>
      <c r="AE90" s="148">
        <f ca="1"/>
        <v>36765504.053493917</v>
      </c>
      <c r="AF90" s="148">
        <f ca="1"/>
        <v>36681399.11846704</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1AAC2-F954-483C-A3EB-D2BDA5238B21}">
  <sheetPr>
    <tabColor rgb="FFFF0000"/>
  </sheetPr>
  <dimension ref="B2:AH287"/>
  <sheetViews>
    <sheetView showGridLines="0" zoomScale="85" zoomScaleNormal="85" workbookViewId="0"/>
  </sheetViews>
  <sheetFormatPr defaultColWidth="11.7109375" defaultRowHeight="12.75"/>
  <cols>
    <col min="1" max="1" width="2.42578125" customWidth="1"/>
    <col min="2" max="2" width="95.28515625" customWidth="1"/>
    <col min="3" max="3" width="27.85546875" customWidth="1"/>
    <col min="4" max="4" width="32.28515625" customWidth="1"/>
    <col min="5" max="5" width="51" customWidth="1"/>
    <col min="6" max="6" width="46.7109375" customWidth="1"/>
    <col min="7" max="7" width="44" customWidth="1"/>
    <col min="8" max="8" width="39.140625" bestFit="1" customWidth="1"/>
    <col min="9" max="31" width="19.42578125" bestFit="1" customWidth="1"/>
    <col min="32" max="33" width="21.140625" customWidth="1"/>
    <col min="34" max="34" width="20.85546875" customWidth="1"/>
  </cols>
  <sheetData>
    <row r="2" spans="2:34">
      <c r="B2" s="2" t="s">
        <v>670</v>
      </c>
    </row>
    <row r="3" spans="2:34">
      <c r="B3" s="6" t="s">
        <v>671</v>
      </c>
      <c r="C3" s="222">
        <v>2024</v>
      </c>
      <c r="D3" s="222">
        <v>2025</v>
      </c>
      <c r="E3" s="222">
        <v>2026</v>
      </c>
      <c r="F3" s="222">
        <v>2027</v>
      </c>
      <c r="G3" s="222">
        <v>2028</v>
      </c>
      <c r="H3" s="222">
        <v>2029</v>
      </c>
      <c r="I3" s="222">
        <v>2030</v>
      </c>
      <c r="J3" s="222">
        <v>2031</v>
      </c>
      <c r="K3" s="222">
        <v>2032</v>
      </c>
      <c r="L3" s="222">
        <v>2033</v>
      </c>
      <c r="M3" s="222">
        <v>2034</v>
      </c>
      <c r="N3" s="222">
        <v>2035</v>
      </c>
      <c r="O3" s="222">
        <v>2036</v>
      </c>
      <c r="P3" s="222">
        <v>2037</v>
      </c>
      <c r="Q3" s="222">
        <v>2038</v>
      </c>
      <c r="R3" s="222">
        <v>2039</v>
      </c>
      <c r="S3" s="222">
        <v>2040</v>
      </c>
      <c r="T3" s="222">
        <v>2041</v>
      </c>
      <c r="U3" s="222">
        <v>2042</v>
      </c>
      <c r="V3" s="222">
        <v>2043</v>
      </c>
      <c r="W3" s="222">
        <v>2044</v>
      </c>
      <c r="X3" s="222">
        <v>2045</v>
      </c>
      <c r="Y3" s="222">
        <v>2046</v>
      </c>
      <c r="Z3" s="222">
        <v>2047</v>
      </c>
      <c r="AA3" s="222">
        <v>2048</v>
      </c>
      <c r="AB3" s="222">
        <v>2049</v>
      </c>
      <c r="AC3" s="222">
        <v>2050</v>
      </c>
      <c r="AD3" s="222">
        <v>2051</v>
      </c>
      <c r="AE3" s="222">
        <v>2052</v>
      </c>
      <c r="AF3" s="222">
        <v>2053</v>
      </c>
      <c r="AG3" s="222">
        <v>2054</v>
      </c>
      <c r="AH3" s="222">
        <v>2055</v>
      </c>
    </row>
    <row r="4" spans="2:34">
      <c r="B4" s="215" t="s">
        <v>654</v>
      </c>
      <c r="C4" s="12">
        <v>-1</v>
      </c>
      <c r="D4" s="12">
        <v>0</v>
      </c>
      <c r="E4" s="12">
        <v>1</v>
      </c>
      <c r="F4" s="12">
        <v>2</v>
      </c>
      <c r="G4" s="12">
        <v>3</v>
      </c>
      <c r="H4" s="12">
        <v>4</v>
      </c>
      <c r="I4" s="12">
        <v>5</v>
      </c>
      <c r="J4" s="12">
        <v>6</v>
      </c>
      <c r="K4" s="12">
        <v>7</v>
      </c>
      <c r="L4" s="12">
        <v>8</v>
      </c>
      <c r="M4" s="12">
        <v>9</v>
      </c>
      <c r="N4" s="12">
        <v>10</v>
      </c>
      <c r="O4" s="12">
        <v>11</v>
      </c>
      <c r="P4" s="12">
        <v>12</v>
      </c>
      <c r="Q4" s="12">
        <v>13</v>
      </c>
      <c r="R4" s="12">
        <v>14</v>
      </c>
      <c r="S4" s="12">
        <v>15</v>
      </c>
      <c r="T4" s="12">
        <v>16</v>
      </c>
      <c r="U4" s="12">
        <v>17</v>
      </c>
      <c r="V4" s="12">
        <v>18</v>
      </c>
      <c r="W4" s="12">
        <v>19</v>
      </c>
      <c r="X4" s="12">
        <v>20</v>
      </c>
      <c r="Y4" s="12">
        <v>21</v>
      </c>
      <c r="Z4" s="12">
        <v>22</v>
      </c>
      <c r="AA4" s="12">
        <v>23</v>
      </c>
      <c r="AB4" s="12">
        <v>24</v>
      </c>
      <c r="AC4" s="12">
        <v>25</v>
      </c>
      <c r="AD4" s="12">
        <v>26</v>
      </c>
      <c r="AE4" s="12">
        <v>27</v>
      </c>
      <c r="AF4" s="12">
        <v>28</v>
      </c>
      <c r="AG4" s="12">
        <v>29</v>
      </c>
      <c r="AH4" s="12">
        <v>30</v>
      </c>
    </row>
    <row r="5" spans="2:34">
      <c r="B5" s="493" t="s">
        <v>672</v>
      </c>
      <c r="C5" s="12">
        <v>1</v>
      </c>
      <c r="D5" s="12">
        <v>2</v>
      </c>
      <c r="E5" s="12">
        <v>3</v>
      </c>
      <c r="F5" s="12">
        <v>4</v>
      </c>
      <c r="G5" s="12">
        <v>5</v>
      </c>
      <c r="H5" s="12">
        <v>6</v>
      </c>
      <c r="I5" s="12">
        <v>7</v>
      </c>
      <c r="J5" s="12" t="s">
        <v>37</v>
      </c>
      <c r="K5" s="12" t="s">
        <v>37</v>
      </c>
      <c r="L5" s="12" t="s">
        <v>37</v>
      </c>
      <c r="M5" s="12" t="s">
        <v>37</v>
      </c>
      <c r="N5" s="12" t="s">
        <v>37</v>
      </c>
      <c r="O5" s="12" t="s">
        <v>37</v>
      </c>
      <c r="P5" s="12" t="s">
        <v>37</v>
      </c>
      <c r="Q5" s="12" t="s">
        <v>37</v>
      </c>
      <c r="R5" s="12" t="s">
        <v>37</v>
      </c>
      <c r="S5" s="12" t="s">
        <v>37</v>
      </c>
      <c r="T5" s="12" t="s">
        <v>37</v>
      </c>
      <c r="U5" s="12" t="s">
        <v>37</v>
      </c>
      <c r="V5" s="12" t="s">
        <v>37</v>
      </c>
      <c r="W5" s="12" t="s">
        <v>37</v>
      </c>
      <c r="X5" s="12" t="s">
        <v>37</v>
      </c>
      <c r="Y5" s="12" t="s">
        <v>37</v>
      </c>
      <c r="Z5" s="12" t="s">
        <v>37</v>
      </c>
      <c r="AA5" s="12" t="s">
        <v>37</v>
      </c>
      <c r="AB5" s="12" t="s">
        <v>37</v>
      </c>
      <c r="AC5" s="12" t="s">
        <v>37</v>
      </c>
      <c r="AD5" s="12" t="s">
        <v>37</v>
      </c>
      <c r="AE5" s="12" t="s">
        <v>37</v>
      </c>
      <c r="AF5" s="12" t="s">
        <v>37</v>
      </c>
      <c r="AG5" s="12" t="s">
        <v>37</v>
      </c>
      <c r="AH5" s="12" t="s">
        <v>37</v>
      </c>
    </row>
    <row r="6" spans="2:34">
      <c r="B6" s="493" t="s">
        <v>673</v>
      </c>
      <c r="C6" s="489">
        <v>45631</v>
      </c>
      <c r="D6" s="489">
        <v>45811</v>
      </c>
      <c r="E6" s="489">
        <v>46142</v>
      </c>
      <c r="F6" s="489">
        <v>46507</v>
      </c>
      <c r="G6" s="489">
        <v>46873</v>
      </c>
      <c r="H6" s="489">
        <v>47238</v>
      </c>
      <c r="I6" s="489">
        <v>47603</v>
      </c>
      <c r="J6" s="12" t="s">
        <v>37</v>
      </c>
      <c r="K6" s="12" t="s">
        <v>37</v>
      </c>
      <c r="L6" s="12" t="s">
        <v>37</v>
      </c>
      <c r="M6" s="12" t="s">
        <v>37</v>
      </c>
      <c r="N6" s="12" t="s">
        <v>37</v>
      </c>
      <c r="O6" s="12" t="s">
        <v>37</v>
      </c>
      <c r="P6" s="12" t="s">
        <v>37</v>
      </c>
      <c r="Q6" s="12" t="s">
        <v>37</v>
      </c>
      <c r="R6" s="12" t="s">
        <v>37</v>
      </c>
      <c r="S6" s="12" t="s">
        <v>37</v>
      </c>
      <c r="T6" s="12" t="s">
        <v>37</v>
      </c>
      <c r="U6" s="12" t="s">
        <v>37</v>
      </c>
      <c r="V6" s="12" t="s">
        <v>37</v>
      </c>
      <c r="W6" s="12" t="s">
        <v>37</v>
      </c>
      <c r="X6" s="12" t="s">
        <v>37</v>
      </c>
      <c r="Y6" s="12" t="s">
        <v>37</v>
      </c>
      <c r="Z6" s="12" t="s">
        <v>37</v>
      </c>
      <c r="AA6" s="12" t="s">
        <v>37</v>
      </c>
      <c r="AB6" s="12" t="s">
        <v>37</v>
      </c>
      <c r="AC6" s="12" t="s">
        <v>37</v>
      </c>
      <c r="AD6" s="12" t="s">
        <v>37</v>
      </c>
      <c r="AE6" s="12" t="s">
        <v>37</v>
      </c>
      <c r="AF6" s="12" t="s">
        <v>37</v>
      </c>
      <c r="AG6" s="12" t="s">
        <v>37</v>
      </c>
      <c r="AH6" s="12" t="s">
        <v>37</v>
      </c>
    </row>
    <row r="7" spans="2:34">
      <c r="B7" s="252" t="s">
        <v>674</v>
      </c>
      <c r="C7" s="438">
        <v>10000000</v>
      </c>
      <c r="D7" s="190">
        <v>345000000</v>
      </c>
      <c r="E7" s="190">
        <v>345000000</v>
      </c>
      <c r="F7" s="190">
        <v>322000000</v>
      </c>
      <c r="G7" s="190">
        <v>322000000</v>
      </c>
      <c r="H7" s="190">
        <v>322000000</v>
      </c>
      <c r="I7" s="190">
        <v>334000000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0">
        <v>0</v>
      </c>
      <c r="AA7" s="190">
        <v>0</v>
      </c>
      <c r="AB7" s="190">
        <v>0</v>
      </c>
      <c r="AC7" s="190">
        <v>0</v>
      </c>
      <c r="AD7" s="190">
        <v>0</v>
      </c>
      <c r="AE7" s="190">
        <v>0</v>
      </c>
      <c r="AF7" s="190">
        <v>0</v>
      </c>
      <c r="AG7" s="190">
        <v>0</v>
      </c>
      <c r="AH7" s="190">
        <v>0</v>
      </c>
    </row>
    <row r="8" spans="2:34">
      <c r="B8" s="252" t="s">
        <v>675</v>
      </c>
      <c r="C8" s="471" t="b">
        <f>FALSE</f>
        <v>0</v>
      </c>
      <c r="D8" s="471" t="b">
        <f>FALSE</f>
        <v>0</v>
      </c>
      <c r="E8" s="472" t="b">
        <f>TRUE</f>
        <v>1</v>
      </c>
      <c r="F8" s="472" t="b">
        <f>TRUE</f>
        <v>1</v>
      </c>
      <c r="G8" s="472" t="b">
        <f>TRUE</f>
        <v>1</v>
      </c>
      <c r="H8" s="472" t="b">
        <f>TRUE</f>
        <v>1</v>
      </c>
      <c r="I8" s="472" t="b">
        <f>TRUE</f>
        <v>1</v>
      </c>
      <c r="J8" s="472" t="b">
        <f>TRUE</f>
        <v>1</v>
      </c>
      <c r="K8" s="472" t="b">
        <f>TRUE</f>
        <v>1</v>
      </c>
      <c r="L8" s="472" t="b">
        <f>TRUE</f>
        <v>1</v>
      </c>
      <c r="M8" s="472" t="b">
        <f>TRUE</f>
        <v>1</v>
      </c>
      <c r="N8" s="472" t="b">
        <f>TRUE</f>
        <v>1</v>
      </c>
      <c r="O8" s="472" t="b">
        <f>TRUE</f>
        <v>1</v>
      </c>
      <c r="P8" s="472" t="b">
        <f>TRUE</f>
        <v>1</v>
      </c>
      <c r="Q8" s="472" t="b">
        <f>TRUE</f>
        <v>1</v>
      </c>
      <c r="R8" s="472" t="b">
        <f>TRUE</f>
        <v>1</v>
      </c>
      <c r="S8" s="472" t="b">
        <f>TRUE</f>
        <v>1</v>
      </c>
      <c r="T8" s="472" t="b">
        <f>TRUE</f>
        <v>1</v>
      </c>
      <c r="U8" s="472" t="b">
        <f>TRUE</f>
        <v>1</v>
      </c>
      <c r="V8" s="472" t="b">
        <f>TRUE</f>
        <v>1</v>
      </c>
      <c r="W8" s="472" t="b">
        <f>TRUE</f>
        <v>1</v>
      </c>
      <c r="X8" s="472" t="b">
        <f>TRUE</f>
        <v>1</v>
      </c>
      <c r="Y8" s="472" t="b">
        <f>TRUE</f>
        <v>1</v>
      </c>
      <c r="Z8" s="472" t="b">
        <f>TRUE</f>
        <v>1</v>
      </c>
      <c r="AA8" s="472" t="b">
        <f>TRUE</f>
        <v>1</v>
      </c>
      <c r="AB8" s="472" t="b">
        <f>TRUE</f>
        <v>1</v>
      </c>
      <c r="AC8" s="472" t="b">
        <f>TRUE</f>
        <v>1</v>
      </c>
      <c r="AD8" s="472" t="b">
        <f>TRUE</f>
        <v>1</v>
      </c>
      <c r="AE8" s="472" t="b">
        <f>TRUE</f>
        <v>1</v>
      </c>
      <c r="AF8" s="472" t="b">
        <f>TRUE</f>
        <v>1</v>
      </c>
      <c r="AG8" s="472" t="b">
        <f>TRUE</f>
        <v>1</v>
      </c>
      <c r="AH8" s="472" t="b">
        <f>TRUE</f>
        <v>1</v>
      </c>
    </row>
    <row r="9" spans="2:34">
      <c r="B9" s="36" t="s">
        <v>676</v>
      </c>
      <c r="C9" s="495">
        <f>C7/('Painel Controle'!D234/'Painel Controle'!D233)</f>
        <v>9948264.6276073772</v>
      </c>
      <c r="D9" s="495">
        <f>D7/('Painel Controle'!D235/'Painel Controle'!D233)</f>
        <v>334908889.17296916</v>
      </c>
      <c r="E9" s="495">
        <f>E7</f>
        <v>345000000</v>
      </c>
      <c r="F9" s="495">
        <f t="shared" ref="F9:AH9" si="0">F7</f>
        <v>322000000</v>
      </c>
      <c r="G9" s="495">
        <f t="shared" si="0"/>
        <v>322000000</v>
      </c>
      <c r="H9" s="495">
        <f t="shared" si="0"/>
        <v>322000000</v>
      </c>
      <c r="I9" s="495">
        <f t="shared" si="0"/>
        <v>334000000</v>
      </c>
      <c r="J9" s="495">
        <f t="shared" si="0"/>
        <v>0</v>
      </c>
      <c r="K9" s="495">
        <f t="shared" si="0"/>
        <v>0</v>
      </c>
      <c r="L9" s="495">
        <f t="shared" si="0"/>
        <v>0</v>
      </c>
      <c r="M9" s="495">
        <f t="shared" si="0"/>
        <v>0</v>
      </c>
      <c r="N9" s="495">
        <f t="shared" si="0"/>
        <v>0</v>
      </c>
      <c r="O9" s="495">
        <f t="shared" si="0"/>
        <v>0</v>
      </c>
      <c r="P9" s="495">
        <f t="shared" si="0"/>
        <v>0</v>
      </c>
      <c r="Q9" s="495">
        <f t="shared" si="0"/>
        <v>0</v>
      </c>
      <c r="R9" s="495">
        <f t="shared" si="0"/>
        <v>0</v>
      </c>
      <c r="S9" s="495">
        <f t="shared" si="0"/>
        <v>0</v>
      </c>
      <c r="T9" s="495">
        <f t="shared" si="0"/>
        <v>0</v>
      </c>
      <c r="U9" s="495">
        <f t="shared" si="0"/>
        <v>0</v>
      </c>
      <c r="V9" s="495">
        <f t="shared" si="0"/>
        <v>0</v>
      </c>
      <c r="W9" s="495">
        <f t="shared" si="0"/>
        <v>0</v>
      </c>
      <c r="X9" s="495">
        <f t="shared" si="0"/>
        <v>0</v>
      </c>
      <c r="Y9" s="495">
        <f t="shared" si="0"/>
        <v>0</v>
      </c>
      <c r="Z9" s="495">
        <f t="shared" si="0"/>
        <v>0</v>
      </c>
      <c r="AA9" s="495">
        <f t="shared" si="0"/>
        <v>0</v>
      </c>
      <c r="AB9" s="495">
        <f t="shared" si="0"/>
        <v>0</v>
      </c>
      <c r="AC9" s="495">
        <f t="shared" si="0"/>
        <v>0</v>
      </c>
      <c r="AD9" s="495">
        <f t="shared" si="0"/>
        <v>0</v>
      </c>
      <c r="AE9" s="495">
        <f t="shared" si="0"/>
        <v>0</v>
      </c>
      <c r="AF9" s="495">
        <f t="shared" si="0"/>
        <v>0</v>
      </c>
      <c r="AG9" s="495">
        <f t="shared" si="0"/>
        <v>0</v>
      </c>
      <c r="AH9" s="495">
        <f t="shared" si="0"/>
        <v>0</v>
      </c>
    </row>
    <row r="10" spans="2:34">
      <c r="B10" s="36" t="s">
        <v>677</v>
      </c>
      <c r="C10" s="497" cm="1">
        <f t="array" ref="C10:AH10">C9:AH9 / 'Painel Controle'!D233</f>
        <v>9813234.5206038672</v>
      </c>
      <c r="D10" s="495">
        <v>330363093.01310879</v>
      </c>
      <c r="E10" s="495">
        <v>340317234.84848487</v>
      </c>
      <c r="F10" s="495">
        <v>317629419.19191921</v>
      </c>
      <c r="G10" s="495">
        <v>317629419.19191921</v>
      </c>
      <c r="H10" s="495">
        <v>317629419.19191921</v>
      </c>
      <c r="I10" s="495">
        <v>329466540.4040404</v>
      </c>
      <c r="J10" s="495">
        <v>0</v>
      </c>
      <c r="K10" s="495">
        <v>0</v>
      </c>
      <c r="L10" s="495">
        <v>0</v>
      </c>
      <c r="M10" s="495">
        <v>0</v>
      </c>
      <c r="N10" s="495">
        <v>0</v>
      </c>
      <c r="O10" s="495">
        <v>0</v>
      </c>
      <c r="P10" s="495">
        <v>0</v>
      </c>
      <c r="Q10" s="495">
        <v>0</v>
      </c>
      <c r="R10" s="495">
        <v>0</v>
      </c>
      <c r="S10" s="495">
        <v>0</v>
      </c>
      <c r="T10" s="495">
        <v>0</v>
      </c>
      <c r="U10" s="495">
        <v>0</v>
      </c>
      <c r="V10" s="495">
        <v>0</v>
      </c>
      <c r="W10" s="495">
        <v>0</v>
      </c>
      <c r="X10" s="495">
        <v>0</v>
      </c>
      <c r="Y10" s="495">
        <v>0</v>
      </c>
      <c r="Z10" s="495">
        <v>0</v>
      </c>
      <c r="AA10" s="495">
        <v>0</v>
      </c>
      <c r="AB10" s="495">
        <v>0</v>
      </c>
      <c r="AC10" s="495">
        <v>0</v>
      </c>
      <c r="AD10" s="495">
        <v>0</v>
      </c>
      <c r="AE10" s="495">
        <v>0</v>
      </c>
      <c r="AF10" s="495">
        <v>0</v>
      </c>
      <c r="AG10" s="495">
        <v>0</v>
      </c>
      <c r="AH10" s="495">
        <v>0</v>
      </c>
    </row>
    <row r="11" spans="2:34">
      <c r="B11" s="36" t="s">
        <v>678</v>
      </c>
      <c r="C11" s="497">
        <f>C7</f>
        <v>10000000</v>
      </c>
      <c r="D11" s="497">
        <f t="shared" ref="D11:AH11" si="1">C11-C19+D7</f>
        <v>355000000</v>
      </c>
      <c r="E11" s="497">
        <f t="shared" si="1"/>
        <v>700000000</v>
      </c>
      <c r="F11" s="497">
        <f t="shared" si="1"/>
        <v>416000000</v>
      </c>
      <c r="G11" s="497">
        <f t="shared" si="1"/>
        <v>432000000.00000006</v>
      </c>
      <c r="H11" s="497">
        <f t="shared" si="1"/>
        <v>448000000.00000012</v>
      </c>
      <c r="I11" s="497">
        <f t="shared" si="1"/>
        <v>476000000.00000018</v>
      </c>
      <c r="J11" s="497">
        <f t="shared" si="1"/>
        <v>170000000.00000024</v>
      </c>
      <c r="K11" s="497">
        <f t="shared" si="1"/>
        <v>170000000.00000024</v>
      </c>
      <c r="L11" s="497">
        <f t="shared" si="1"/>
        <v>170000000.00000024</v>
      </c>
      <c r="M11" s="497">
        <f t="shared" si="1"/>
        <v>170000000.00000024</v>
      </c>
      <c r="N11" s="497">
        <f t="shared" si="1"/>
        <v>170000000.00000024</v>
      </c>
      <c r="O11" s="497">
        <f t="shared" si="1"/>
        <v>170000000.00000024</v>
      </c>
      <c r="P11" s="497">
        <f t="shared" si="1"/>
        <v>170000000.00000024</v>
      </c>
      <c r="Q11" s="497">
        <f t="shared" si="1"/>
        <v>170000000.00000024</v>
      </c>
      <c r="R11" s="497">
        <f t="shared" si="1"/>
        <v>170000000.00000024</v>
      </c>
      <c r="S11" s="497">
        <f t="shared" si="1"/>
        <v>170000000.00000024</v>
      </c>
      <c r="T11" s="497">
        <f t="shared" si="1"/>
        <v>170000000.00000024</v>
      </c>
      <c r="U11" s="497">
        <f t="shared" si="1"/>
        <v>170000000.00000024</v>
      </c>
      <c r="V11" s="497">
        <f t="shared" si="1"/>
        <v>170000000.00000024</v>
      </c>
      <c r="W11" s="497">
        <f t="shared" si="1"/>
        <v>170000000.00000024</v>
      </c>
      <c r="X11" s="497">
        <f t="shared" si="1"/>
        <v>170000000.00000024</v>
      </c>
      <c r="Y11" s="497">
        <f t="shared" si="1"/>
        <v>170000000.00000024</v>
      </c>
      <c r="Z11" s="497">
        <f t="shared" si="1"/>
        <v>170000000.00000024</v>
      </c>
      <c r="AA11" s="497">
        <f t="shared" si="1"/>
        <v>170000000.00000024</v>
      </c>
      <c r="AB11" s="497">
        <f t="shared" si="1"/>
        <v>170000000.00000024</v>
      </c>
      <c r="AC11" s="497">
        <f t="shared" si="1"/>
        <v>170000000.00000024</v>
      </c>
      <c r="AD11" s="497">
        <f t="shared" si="1"/>
        <v>170000000.00000024</v>
      </c>
      <c r="AE11" s="497">
        <f t="shared" si="1"/>
        <v>170000000.00000024</v>
      </c>
      <c r="AF11" s="497">
        <f t="shared" si="1"/>
        <v>170000000.00000024</v>
      </c>
      <c r="AG11" s="497">
        <f t="shared" si="1"/>
        <v>170000000.00000024</v>
      </c>
      <c r="AH11" s="497">
        <f t="shared" si="1"/>
        <v>170000000.00000024</v>
      </c>
    </row>
    <row r="12" spans="2:34">
      <c r="B12" s="36" t="s">
        <v>679</v>
      </c>
      <c r="C12" s="497"/>
      <c r="D12" s="497"/>
      <c r="E12" s="497"/>
      <c r="F12" s="497"/>
      <c r="G12" s="497"/>
      <c r="H12" s="497"/>
      <c r="I12" s="497"/>
      <c r="J12" s="497"/>
      <c r="K12" s="497"/>
      <c r="L12" s="497"/>
      <c r="M12" s="497"/>
      <c r="N12" s="497"/>
      <c r="O12" s="497"/>
      <c r="P12" s="497"/>
      <c r="Q12" s="497"/>
      <c r="R12" s="497"/>
      <c r="S12" s="497"/>
      <c r="T12" s="497"/>
      <c r="U12" s="497"/>
      <c r="V12" s="497"/>
      <c r="W12" s="497"/>
      <c r="X12" s="497"/>
      <c r="Y12" s="497"/>
      <c r="Z12" s="497"/>
      <c r="AA12" s="497"/>
      <c r="AB12" s="497"/>
      <c r="AC12" s="497"/>
      <c r="AD12" s="497"/>
      <c r="AE12" s="497"/>
      <c r="AF12" s="497"/>
      <c r="AG12" s="497"/>
      <c r="AH12" s="497"/>
    </row>
    <row r="13" spans="2:34">
      <c r="B13" s="36" t="s">
        <v>680</v>
      </c>
      <c r="C13" s="497">
        <f>C10</f>
        <v>9813234.5206038672</v>
      </c>
      <c r="D13" s="497">
        <f t="shared" ref="D13:AH13" si="2">C13-C21+D10</f>
        <v>340176327.53371269</v>
      </c>
      <c r="E13" s="497">
        <f t="shared" si="2"/>
        <v>680493562.38219762</v>
      </c>
      <c r="F13" s="497">
        <f t="shared" si="2"/>
        <v>392122981.57411683</v>
      </c>
      <c r="G13" s="497">
        <f t="shared" si="2"/>
        <v>403752400.76603609</v>
      </c>
      <c r="H13" s="497">
        <f t="shared" si="2"/>
        <v>415381819.95795536</v>
      </c>
      <c r="I13" s="497">
        <f t="shared" si="2"/>
        <v>438848360.36199582</v>
      </c>
      <c r="J13" s="497">
        <f t="shared" si="2"/>
        <v>132848360.36199588</v>
      </c>
      <c r="K13" s="497">
        <f t="shared" si="2"/>
        <v>132848360.36199588</v>
      </c>
      <c r="L13" s="497">
        <f t="shared" si="2"/>
        <v>132848360.36199588</v>
      </c>
      <c r="M13" s="497">
        <f t="shared" si="2"/>
        <v>132848360.36199588</v>
      </c>
      <c r="N13" s="497">
        <f t="shared" si="2"/>
        <v>132848360.36199588</v>
      </c>
      <c r="O13" s="497">
        <f t="shared" si="2"/>
        <v>132848360.36199588</v>
      </c>
      <c r="P13" s="497">
        <f t="shared" si="2"/>
        <v>132848360.36199588</v>
      </c>
      <c r="Q13" s="497">
        <f t="shared" si="2"/>
        <v>132848360.36199588</v>
      </c>
      <c r="R13" s="497">
        <f t="shared" si="2"/>
        <v>132848360.36199588</v>
      </c>
      <c r="S13" s="497">
        <f t="shared" si="2"/>
        <v>132848360.36199588</v>
      </c>
      <c r="T13" s="497">
        <f t="shared" si="2"/>
        <v>132848360.36199588</v>
      </c>
      <c r="U13" s="497">
        <f t="shared" si="2"/>
        <v>132848360.36199588</v>
      </c>
      <c r="V13" s="497">
        <f t="shared" si="2"/>
        <v>132848360.36199588</v>
      </c>
      <c r="W13" s="497">
        <f t="shared" si="2"/>
        <v>132848360.36199588</v>
      </c>
      <c r="X13" s="497">
        <f t="shared" si="2"/>
        <v>132848360.36199588</v>
      </c>
      <c r="Y13" s="497">
        <f t="shared" si="2"/>
        <v>132848360.36199588</v>
      </c>
      <c r="Z13" s="497">
        <f t="shared" si="2"/>
        <v>132848360.36199588</v>
      </c>
      <c r="AA13" s="497">
        <f t="shared" si="2"/>
        <v>132848360.36199588</v>
      </c>
      <c r="AB13" s="497">
        <f t="shared" si="2"/>
        <v>132848360.36199588</v>
      </c>
      <c r="AC13" s="497">
        <f t="shared" si="2"/>
        <v>132848360.36199588</v>
      </c>
      <c r="AD13" s="497">
        <f t="shared" si="2"/>
        <v>132848360.36199588</v>
      </c>
      <c r="AE13" s="497">
        <f t="shared" si="2"/>
        <v>132848360.36199588</v>
      </c>
      <c r="AF13" s="497">
        <f t="shared" si="2"/>
        <v>132848360.36199588</v>
      </c>
      <c r="AG13" s="497">
        <f t="shared" si="2"/>
        <v>132848360.36199588</v>
      </c>
      <c r="AH13" s="497">
        <f t="shared" si="2"/>
        <v>132848360.36199588</v>
      </c>
    </row>
    <row r="14" spans="2:34">
      <c r="B14" s="36" t="s">
        <v>681</v>
      </c>
      <c r="C14" s="498">
        <v>0</v>
      </c>
      <c r="D14" s="498">
        <v>0</v>
      </c>
      <c r="E14" s="497">
        <f>'Painel Controle'!C10</f>
        <v>300000000</v>
      </c>
      <c r="F14" s="498">
        <v>0</v>
      </c>
      <c r="G14" s="498">
        <v>0</v>
      </c>
      <c r="H14" s="498">
        <v>0</v>
      </c>
      <c r="I14" s="498">
        <v>0</v>
      </c>
      <c r="J14" s="498">
        <v>0</v>
      </c>
      <c r="K14" s="498">
        <v>0</v>
      </c>
      <c r="L14" s="498">
        <v>0</v>
      </c>
      <c r="M14" s="498">
        <v>0</v>
      </c>
      <c r="N14" s="498">
        <v>0</v>
      </c>
      <c r="O14" s="498">
        <v>0</v>
      </c>
      <c r="P14" s="498">
        <v>0</v>
      </c>
      <c r="Q14" s="498">
        <v>0</v>
      </c>
      <c r="R14" s="498">
        <v>0</v>
      </c>
      <c r="S14" s="498">
        <v>0</v>
      </c>
      <c r="T14" s="498">
        <v>0</v>
      </c>
      <c r="U14" s="498">
        <v>0</v>
      </c>
      <c r="V14" s="498">
        <v>0</v>
      </c>
      <c r="W14" s="498">
        <v>0</v>
      </c>
      <c r="X14" s="498">
        <v>0</v>
      </c>
      <c r="Y14" s="498">
        <v>0</v>
      </c>
      <c r="Z14" s="498">
        <v>0</v>
      </c>
      <c r="AA14" s="498">
        <v>0</v>
      </c>
      <c r="AB14" s="498">
        <v>0</v>
      </c>
      <c r="AC14" s="498">
        <v>0</v>
      </c>
      <c r="AD14" s="498">
        <v>0</v>
      </c>
      <c r="AE14" s="498">
        <v>0</v>
      </c>
      <c r="AF14" s="498">
        <v>0</v>
      </c>
      <c r="AG14" s="498">
        <v>0</v>
      </c>
      <c r="AH14" s="498">
        <v>0</v>
      </c>
    </row>
    <row r="15" spans="2:34">
      <c r="B15" s="36" t="s">
        <v>682</v>
      </c>
      <c r="C15" s="498">
        <v>0</v>
      </c>
      <c r="D15" s="497" cm="1">
        <f t="array" ref="D15">_xlfn.IFS('Painel Controle'!$C11="Não", D14 / (1 + 'Painel Controle'!C149), 'Painel Controle'!$C11="Sim", D14)</f>
        <v>0</v>
      </c>
      <c r="E15" s="497" cm="1">
        <f t="array" ref="E15">_xlfn.IFS('Painel Controle'!$C11="Não", E14 / (1 + 'Painel Controle'!D149), 'Painel Controle'!$C11="Sim", E14)</f>
        <v>300000000</v>
      </c>
      <c r="F15" s="497" cm="1">
        <f t="array" ref="F15">_xlfn.IFS('Painel Controle'!$C11="Não", F14 / (1 + 'Painel Controle'!E149), 'Painel Controle'!$C11="Sim", F14)</f>
        <v>0</v>
      </c>
      <c r="G15" s="497" cm="1">
        <f t="array" ref="G15">_xlfn.IFS('Painel Controle'!$C11="Não", G14 / (1 + 'Painel Controle'!F149), 'Painel Controle'!$C11="Sim", G14)</f>
        <v>0</v>
      </c>
      <c r="H15" s="497" cm="1">
        <f t="array" ref="H15">_xlfn.IFS('Painel Controle'!$C11="Não", H14 / (1 + 'Painel Controle'!G149), 'Painel Controle'!$C11="Sim", H14)</f>
        <v>0</v>
      </c>
      <c r="I15" s="497" cm="1">
        <f t="array" ref="I15">_xlfn.IFS('Painel Controle'!$C11="Não", I14 / (1 + 'Painel Controle'!H149), 'Painel Controle'!$C11="Sim", I14)</f>
        <v>0</v>
      </c>
      <c r="J15" s="497" cm="1">
        <f t="array" ref="J15">_xlfn.IFS('Painel Controle'!$C11="Não", J14 / (1 + 'Painel Controle'!I149), 'Painel Controle'!$C11="Sim", J14)</f>
        <v>0</v>
      </c>
      <c r="K15" s="497" cm="1">
        <f t="array" ref="K15">_xlfn.IFS('Painel Controle'!$C11="Não", K14 / (1 + 'Painel Controle'!J149), 'Painel Controle'!$C11="Sim", K14)</f>
        <v>0</v>
      </c>
      <c r="L15" s="497" cm="1">
        <f t="array" ref="L15">_xlfn.IFS('Painel Controle'!$C11="Não", L14 / (1 + 'Painel Controle'!K149), 'Painel Controle'!$C11="Sim", L14)</f>
        <v>0</v>
      </c>
      <c r="M15" s="497" cm="1">
        <f t="array" ref="M15">_xlfn.IFS('Painel Controle'!$C11="Não", M14 / (1 + 'Painel Controle'!L149), 'Painel Controle'!$C11="Sim", M14)</f>
        <v>0</v>
      </c>
      <c r="N15" s="497" cm="1">
        <f t="array" ref="N15">_xlfn.IFS('Painel Controle'!$C11="Não", N14 / (1 + 'Painel Controle'!M149), 'Painel Controle'!$C11="Sim", N14)</f>
        <v>0</v>
      </c>
      <c r="O15" s="497" cm="1">
        <f t="array" ref="O15">_xlfn.IFS('Painel Controle'!$C11="Não", O14 / (1 + 'Painel Controle'!N149), 'Painel Controle'!$C11="Sim", O14)</f>
        <v>0</v>
      </c>
      <c r="P15" s="497" cm="1">
        <f t="array" ref="P15">_xlfn.IFS('Painel Controle'!$C11="Não", P14 / (1 + 'Painel Controle'!O149), 'Painel Controle'!$C11="Sim", P14)</f>
        <v>0</v>
      </c>
      <c r="Q15" s="497" cm="1">
        <f t="array" ref="Q15">_xlfn.IFS('Painel Controle'!$C11="Não", Q14 / (1 + 'Painel Controle'!P149), 'Painel Controle'!$C11="Sim", Q14)</f>
        <v>0</v>
      </c>
      <c r="R15" s="497" cm="1">
        <f t="array" ref="R15">_xlfn.IFS('Painel Controle'!$C11="Não", R14 / (1 + 'Painel Controle'!Q149), 'Painel Controle'!$C11="Sim", R14)</f>
        <v>0</v>
      </c>
      <c r="S15" s="497" cm="1">
        <f t="array" ref="S15">_xlfn.IFS('Painel Controle'!$C11="Não", S14 / (1 + 'Painel Controle'!R149), 'Painel Controle'!$C11="Sim", S14)</f>
        <v>0</v>
      </c>
      <c r="T15" s="497" cm="1">
        <f t="array" ref="T15">_xlfn.IFS('Painel Controle'!$C11="Não", T14 / (1 + 'Painel Controle'!S149), 'Painel Controle'!$C11="Sim", T14)</f>
        <v>0</v>
      </c>
      <c r="U15" s="497" cm="1">
        <f t="array" ref="U15">_xlfn.IFS('Painel Controle'!$C11="Não", U14 / (1 + 'Painel Controle'!T149), 'Painel Controle'!$C11="Sim", U14)</f>
        <v>0</v>
      </c>
      <c r="V15" s="497" cm="1">
        <f t="array" ref="V15">_xlfn.IFS('Painel Controle'!$C11="Não", V14 / (1 + 'Painel Controle'!U149), 'Painel Controle'!$C11="Sim", V14)</f>
        <v>0</v>
      </c>
      <c r="W15" s="497" cm="1">
        <f t="array" ref="W15">_xlfn.IFS('Painel Controle'!$C11="Não", W14 / (1 + 'Painel Controle'!V149), 'Painel Controle'!$C11="Sim", W14)</f>
        <v>0</v>
      </c>
      <c r="X15" s="497" cm="1">
        <f t="array" ref="X15">_xlfn.IFS('Painel Controle'!$C11="Não", X14 / (1 + 'Painel Controle'!W149), 'Painel Controle'!$C11="Sim", X14)</f>
        <v>0</v>
      </c>
      <c r="Y15" s="497" cm="1">
        <f t="array" ref="Y15">_xlfn.IFS('Painel Controle'!$C11="Não", Y14 / (1 + 'Painel Controle'!X149), 'Painel Controle'!$C11="Sim", Y14)</f>
        <v>0</v>
      </c>
      <c r="Z15" s="497" cm="1">
        <f t="array" ref="Z15">_xlfn.IFS('Painel Controle'!$C11="Não", Z14 / (1 + 'Painel Controle'!Y149), 'Painel Controle'!$C11="Sim", Z14)</f>
        <v>0</v>
      </c>
      <c r="AA15" s="497" cm="1">
        <f t="array" ref="AA15">_xlfn.IFS('Painel Controle'!$C11="Não", AA14 / (1 + 'Painel Controle'!Z149), 'Painel Controle'!$C11="Sim", AA14)</f>
        <v>0</v>
      </c>
      <c r="AB15" s="497" cm="1">
        <f t="array" ref="AB15">_xlfn.IFS('Painel Controle'!$C11="Não", AB14 / (1 + 'Painel Controle'!AA149), 'Painel Controle'!$C11="Sim", AB14)</f>
        <v>0</v>
      </c>
      <c r="AC15" s="497" cm="1">
        <f t="array" ref="AC15">_xlfn.IFS('Painel Controle'!$C11="Não", AC14 / (1 + 'Painel Controle'!AB149), 'Painel Controle'!$C11="Sim", AC14)</f>
        <v>0</v>
      </c>
      <c r="AD15" s="497" cm="1">
        <f t="array" ref="AD15">_xlfn.IFS('Painel Controle'!$C11="Não", AD14 / (1 + 'Painel Controle'!AC149), 'Painel Controle'!$C11="Sim", AD14)</f>
        <v>0</v>
      </c>
      <c r="AE15" s="497" cm="1">
        <f t="array" ref="AE15">_xlfn.IFS('Painel Controle'!$C11="Não", AE14 / (1 + 'Painel Controle'!AD149), 'Painel Controle'!$C11="Sim", AE14)</f>
        <v>0</v>
      </c>
      <c r="AF15" s="497" cm="1">
        <f t="array" ref="AF15">_xlfn.IFS('Painel Controle'!$C11="Não", AF14 / (1 + 'Painel Controle'!AE149), 'Painel Controle'!$C11="Sim", AF14)</f>
        <v>0</v>
      </c>
      <c r="AG15" s="497" cm="1">
        <f t="array" ref="AG15">_xlfn.IFS('Painel Controle'!$C11="Não", AG14 / (1 + 'Painel Controle'!AF149), 'Painel Controle'!$C11="Sim", AG14)</f>
        <v>0</v>
      </c>
      <c r="AH15" s="497" cm="1">
        <f t="array" ref="AH15">_xlfn.IFS('Painel Controle'!$C11="Não", AH14 / (1 + 'Painel Controle'!AG149), 'Painel Controle'!$C11="Sim", AH14)</f>
        <v>0</v>
      </c>
    </row>
    <row r="16" spans="2:34">
      <c r="B16" s="6" t="s">
        <v>683</v>
      </c>
      <c r="C16" s="500" cm="1">
        <f t="array" ref="C16:AH16">_xlfn.IFS('Painel Controle'!C12="Anexo 8",{0,0,0.2076,0.2076,0.2076,0.2076,0.1696,0,0,0,0,0,0,0,0,0,0,0,0,0,0,0,0,0,0,0,0,0,0,0,0,0},'Painel Controle'!C12="Iguais",{0,0,0.2,0.2,0.2,0.2,0.2,0,0,0,0,0,0,0,0,0,0,0,0,0,0,0,0,0,0,0,0,0,0,0,0,0})</f>
        <v>0</v>
      </c>
      <c r="D16" s="500">
        <v>0</v>
      </c>
      <c r="E16" s="501">
        <v>0.2</v>
      </c>
      <c r="F16" s="501">
        <v>0.2</v>
      </c>
      <c r="G16" s="501">
        <v>0.2</v>
      </c>
      <c r="H16" s="501">
        <v>0.2</v>
      </c>
      <c r="I16" s="502">
        <v>0.2</v>
      </c>
      <c r="J16" s="500">
        <v>0</v>
      </c>
      <c r="K16" s="500">
        <v>0</v>
      </c>
      <c r="L16" s="500">
        <v>0</v>
      </c>
      <c r="M16" s="500">
        <v>0</v>
      </c>
      <c r="N16" s="500">
        <v>0</v>
      </c>
      <c r="O16" s="500">
        <v>0</v>
      </c>
      <c r="P16" s="500">
        <v>0</v>
      </c>
      <c r="Q16" s="500">
        <v>0</v>
      </c>
      <c r="R16" s="500">
        <v>0</v>
      </c>
      <c r="S16" s="500">
        <v>0</v>
      </c>
      <c r="T16" s="500">
        <v>0</v>
      </c>
      <c r="U16" s="500">
        <v>0</v>
      </c>
      <c r="V16" s="500">
        <v>0</v>
      </c>
      <c r="W16" s="500">
        <v>0</v>
      </c>
      <c r="X16" s="500">
        <v>0</v>
      </c>
      <c r="Y16" s="500">
        <v>0</v>
      </c>
      <c r="Z16" s="500">
        <v>0</v>
      </c>
      <c r="AA16" s="500">
        <v>0</v>
      </c>
      <c r="AB16" s="500">
        <v>0</v>
      </c>
      <c r="AC16" s="500">
        <v>0</v>
      </c>
      <c r="AD16" s="500">
        <v>0</v>
      </c>
      <c r="AE16" s="500">
        <v>0</v>
      </c>
      <c r="AF16" s="500">
        <v>0</v>
      </c>
      <c r="AG16" s="500">
        <v>0</v>
      </c>
      <c r="AH16" s="500">
        <v>0</v>
      </c>
    </row>
    <row r="17" spans="2:34">
      <c r="B17" s="35" t="s">
        <v>684</v>
      </c>
      <c r="C17" s="504"/>
      <c r="D17" s="499" cm="1">
        <f t="array" ref="D17:AH17">D21:AH21 - D15:AH15</f>
        <v>0</v>
      </c>
      <c r="E17" s="499">
        <v>306000000</v>
      </c>
      <c r="F17" s="499">
        <v>305999999.99999994</v>
      </c>
      <c r="G17" s="499">
        <v>305999999.99999994</v>
      </c>
      <c r="H17" s="499">
        <v>305999999.99999994</v>
      </c>
      <c r="I17" s="497">
        <v>305999999.99999994</v>
      </c>
      <c r="J17" s="192">
        <v>0</v>
      </c>
      <c r="K17" s="192">
        <v>0</v>
      </c>
      <c r="L17" s="192">
        <v>0</v>
      </c>
      <c r="M17" s="192">
        <v>0</v>
      </c>
      <c r="N17" s="192">
        <v>0</v>
      </c>
      <c r="O17" s="192">
        <v>0</v>
      </c>
      <c r="P17" s="192">
        <v>0</v>
      </c>
      <c r="Q17" s="192">
        <v>0</v>
      </c>
      <c r="R17" s="192">
        <v>0</v>
      </c>
      <c r="S17" s="192">
        <v>0</v>
      </c>
      <c r="T17" s="192">
        <v>0</v>
      </c>
      <c r="U17" s="192">
        <v>0</v>
      </c>
      <c r="V17" s="192">
        <v>0</v>
      </c>
      <c r="W17" s="192">
        <v>0</v>
      </c>
      <c r="X17" s="192">
        <v>0</v>
      </c>
      <c r="Y17" s="192">
        <v>0</v>
      </c>
      <c r="Z17" s="192">
        <v>0</v>
      </c>
      <c r="AA17" s="192">
        <v>0</v>
      </c>
      <c r="AB17" s="192">
        <v>0</v>
      </c>
      <c r="AC17" s="192">
        <v>0</v>
      </c>
      <c r="AD17" s="192">
        <v>0</v>
      </c>
      <c r="AE17" s="192">
        <v>0</v>
      </c>
      <c r="AF17" s="192">
        <v>0</v>
      </c>
      <c r="AG17" s="192">
        <v>0</v>
      </c>
      <c r="AH17" s="192">
        <v>0</v>
      </c>
    </row>
    <row r="18" spans="2:34">
      <c r="B18" s="35" t="s">
        <v>684</v>
      </c>
      <c r="C18" s="504" cm="1">
        <f t="array" ref="C18:AH18">C17:AH17 * -1</f>
        <v>0</v>
      </c>
      <c r="D18" s="499">
        <v>0</v>
      </c>
      <c r="E18" s="499">
        <v>-306000000</v>
      </c>
      <c r="F18" s="499">
        <v>-305999999.99999994</v>
      </c>
      <c r="G18" s="499">
        <v>-305999999.99999994</v>
      </c>
      <c r="H18" s="499">
        <v>-305999999.99999994</v>
      </c>
      <c r="I18" s="497">
        <v>-305999999.99999994</v>
      </c>
      <c r="J18" s="192">
        <v>0</v>
      </c>
      <c r="K18" s="192">
        <v>0</v>
      </c>
      <c r="L18" s="192">
        <v>0</v>
      </c>
      <c r="M18" s="192">
        <v>0</v>
      </c>
      <c r="N18" s="192">
        <v>0</v>
      </c>
      <c r="O18" s="192">
        <v>0</v>
      </c>
      <c r="P18" s="192">
        <v>0</v>
      </c>
      <c r="Q18" s="192">
        <v>0</v>
      </c>
      <c r="R18" s="192">
        <v>0</v>
      </c>
      <c r="S18" s="192">
        <v>0</v>
      </c>
      <c r="T18" s="192">
        <v>0</v>
      </c>
      <c r="U18" s="192">
        <v>0</v>
      </c>
      <c r="V18" s="192">
        <v>0</v>
      </c>
      <c r="W18" s="192">
        <v>0</v>
      </c>
      <c r="X18" s="192">
        <v>0</v>
      </c>
      <c r="Y18" s="192">
        <v>0</v>
      </c>
      <c r="Z18" s="192">
        <v>0</v>
      </c>
      <c r="AA18" s="192">
        <v>0</v>
      </c>
      <c r="AB18" s="192">
        <v>0</v>
      </c>
      <c r="AC18" s="192">
        <v>0</v>
      </c>
      <c r="AD18" s="192">
        <v>0</v>
      </c>
      <c r="AE18" s="192">
        <v>0</v>
      </c>
      <c r="AF18" s="192">
        <v>0</v>
      </c>
      <c r="AG18" s="192">
        <v>0</v>
      </c>
      <c r="AH18" s="192">
        <v>0</v>
      </c>
    </row>
    <row r="19" spans="2:34">
      <c r="B19" s="505" t="s">
        <v>685</v>
      </c>
      <c r="C19" s="469" cm="1">
        <f t="array" ref="C19:AH19">(('Painel Controle'!C5 - SUM(C14:AH14)) * Aporte!C16:AH16) + C14:AH14</f>
        <v>0</v>
      </c>
      <c r="D19" s="499">
        <v>0</v>
      </c>
      <c r="E19" s="499">
        <v>606000000</v>
      </c>
      <c r="F19" s="499">
        <v>305999999.99999994</v>
      </c>
      <c r="G19" s="499">
        <v>305999999.99999994</v>
      </c>
      <c r="H19" s="499">
        <v>305999999.99999994</v>
      </c>
      <c r="I19" s="497">
        <v>305999999.99999994</v>
      </c>
      <c r="J19" s="192">
        <v>0</v>
      </c>
      <c r="K19" s="192">
        <v>0</v>
      </c>
      <c r="L19" s="192">
        <v>0</v>
      </c>
      <c r="M19" s="192">
        <v>0</v>
      </c>
      <c r="N19" s="192">
        <v>0</v>
      </c>
      <c r="O19" s="192">
        <v>0</v>
      </c>
      <c r="P19" s="192">
        <v>0</v>
      </c>
      <c r="Q19" s="192">
        <v>0</v>
      </c>
      <c r="R19" s="192">
        <v>0</v>
      </c>
      <c r="S19" s="192">
        <v>0</v>
      </c>
      <c r="T19" s="192">
        <v>0</v>
      </c>
      <c r="U19" s="192">
        <v>0</v>
      </c>
      <c r="V19" s="192">
        <v>0</v>
      </c>
      <c r="W19" s="192">
        <v>0</v>
      </c>
      <c r="X19" s="192">
        <v>0</v>
      </c>
      <c r="Y19" s="192">
        <v>0</v>
      </c>
      <c r="Z19" s="192">
        <v>0</v>
      </c>
      <c r="AA19" s="192">
        <v>0</v>
      </c>
      <c r="AB19" s="192">
        <v>0</v>
      </c>
      <c r="AC19" s="192">
        <v>0</v>
      </c>
      <c r="AD19" s="192">
        <v>0</v>
      </c>
      <c r="AE19" s="192">
        <v>0</v>
      </c>
      <c r="AF19" s="192">
        <v>0</v>
      </c>
      <c r="AG19" s="192">
        <v>0</v>
      </c>
      <c r="AH19" s="192">
        <v>0</v>
      </c>
    </row>
    <row r="20" spans="2:34">
      <c r="B20" s="505" t="s">
        <v>686</v>
      </c>
      <c r="C20" s="542" cm="1">
        <f t="array" ref="C20:AH20">_xlfn.ANCHORARRAY(C21) * 'Painel Controle'!D233</f>
        <v>0</v>
      </c>
      <c r="D20" s="506">
        <v>0</v>
      </c>
      <c r="E20" s="506">
        <v>614338560</v>
      </c>
      <c r="F20" s="506">
        <v>310210559.99999994</v>
      </c>
      <c r="G20" s="506">
        <v>310210559.99999994</v>
      </c>
      <c r="H20" s="506">
        <v>310210559.99999994</v>
      </c>
      <c r="I20" s="543">
        <v>310210559.99999994</v>
      </c>
      <c r="J20" s="272">
        <v>0</v>
      </c>
      <c r="K20" s="272">
        <v>0</v>
      </c>
      <c r="L20" s="272">
        <v>0</v>
      </c>
      <c r="M20" s="272">
        <v>0</v>
      </c>
      <c r="N20" s="272">
        <v>0</v>
      </c>
      <c r="O20" s="272">
        <v>0</v>
      </c>
      <c r="P20" s="272">
        <v>0</v>
      </c>
      <c r="Q20" s="272">
        <v>0</v>
      </c>
      <c r="R20" s="272">
        <v>0</v>
      </c>
      <c r="S20" s="272">
        <v>0</v>
      </c>
      <c r="T20" s="272">
        <v>0</v>
      </c>
      <c r="U20" s="272">
        <v>0</v>
      </c>
      <c r="V20" s="272">
        <v>0</v>
      </c>
      <c r="W20" s="272">
        <v>0</v>
      </c>
      <c r="X20" s="272">
        <v>0</v>
      </c>
      <c r="Y20" s="272">
        <v>0</v>
      </c>
      <c r="Z20" s="272">
        <v>0</v>
      </c>
      <c r="AA20" s="272">
        <v>0</v>
      </c>
      <c r="AB20" s="272">
        <v>0</v>
      </c>
      <c r="AC20" s="272">
        <v>0</v>
      </c>
      <c r="AD20" s="272">
        <v>0</v>
      </c>
      <c r="AE20" s="272">
        <v>0</v>
      </c>
      <c r="AF20" s="272">
        <v>0</v>
      </c>
      <c r="AG20" s="272">
        <v>0</v>
      </c>
      <c r="AH20" s="272">
        <v>0</v>
      </c>
    </row>
    <row r="21" spans="2:34">
      <c r="B21" s="505" t="s">
        <v>687</v>
      </c>
      <c r="C21" s="506" cm="1">
        <f t="array" ref="C21:AH21">(('Painel Controle'!C5 - SUM(C14:AH14)) * Aporte!C16:AH16) + C15:AH15</f>
        <v>0</v>
      </c>
      <c r="D21" s="506">
        <v>0</v>
      </c>
      <c r="E21" s="506">
        <v>606000000</v>
      </c>
      <c r="F21" s="506">
        <v>305999999.99999994</v>
      </c>
      <c r="G21" s="506">
        <v>305999999.99999994</v>
      </c>
      <c r="H21" s="506">
        <v>305999999.99999994</v>
      </c>
      <c r="I21" s="272">
        <v>305999999.99999994</v>
      </c>
      <c r="J21" s="272">
        <v>0</v>
      </c>
      <c r="K21" s="272">
        <v>0</v>
      </c>
      <c r="L21" s="272">
        <v>0</v>
      </c>
      <c r="M21" s="272">
        <v>0</v>
      </c>
      <c r="N21" s="272">
        <v>0</v>
      </c>
      <c r="O21" s="272">
        <v>0</v>
      </c>
      <c r="P21" s="272">
        <v>0</v>
      </c>
      <c r="Q21" s="272">
        <v>0</v>
      </c>
      <c r="R21" s="272">
        <v>0</v>
      </c>
      <c r="S21" s="272">
        <v>0</v>
      </c>
      <c r="T21" s="272">
        <v>0</v>
      </c>
      <c r="U21" s="272">
        <v>0</v>
      </c>
      <c r="V21" s="272">
        <v>0</v>
      </c>
      <c r="W21" s="272">
        <v>0</v>
      </c>
      <c r="X21" s="272">
        <v>0</v>
      </c>
      <c r="Y21" s="272">
        <v>0</v>
      </c>
      <c r="Z21" s="272">
        <v>0</v>
      </c>
      <c r="AA21" s="272">
        <v>0</v>
      </c>
      <c r="AB21" s="272">
        <v>0</v>
      </c>
      <c r="AC21" s="272">
        <v>0</v>
      </c>
      <c r="AD21" s="272">
        <v>0</v>
      </c>
      <c r="AE21" s="272">
        <v>0</v>
      </c>
      <c r="AF21" s="272">
        <v>0</v>
      </c>
      <c r="AG21" s="272">
        <v>0</v>
      </c>
      <c r="AH21" s="272">
        <v>0</v>
      </c>
    </row>
    <row r="22" spans="2:34">
      <c r="B22" t="s">
        <v>688</v>
      </c>
      <c r="C22" s="470"/>
      <c r="D22" s="470"/>
      <c r="E22" s="470"/>
      <c r="F22" s="470"/>
      <c r="G22" s="470"/>
      <c r="H22" s="470"/>
      <c r="I22" s="470"/>
      <c r="J22" s="470"/>
      <c r="K22" s="470"/>
      <c r="L22" s="470"/>
      <c r="M22" s="470"/>
      <c r="N22" s="470"/>
      <c r="O22" s="470"/>
      <c r="P22" s="470"/>
      <c r="Q22" s="470"/>
      <c r="R22" s="470"/>
      <c r="S22" s="470"/>
      <c r="T22" s="470"/>
      <c r="U22" s="470"/>
      <c r="V22" s="470"/>
      <c r="W22" s="470"/>
      <c r="X22" s="470"/>
      <c r="Y22" s="470"/>
      <c r="Z22" s="470"/>
      <c r="AA22" s="470"/>
      <c r="AB22" s="470"/>
      <c r="AC22" s="470"/>
      <c r="AD22" s="470"/>
      <c r="AE22" s="470"/>
      <c r="AF22" s="470"/>
      <c r="AG22" s="470"/>
      <c r="AH22" s="470"/>
    </row>
    <row r="23" spans="2:34">
      <c r="B23" s="134"/>
      <c r="C23" s="470"/>
      <c r="D23" s="470"/>
      <c r="E23" s="470"/>
      <c r="F23" s="470"/>
      <c r="G23" s="470"/>
      <c r="H23" s="470"/>
      <c r="I23" s="470"/>
      <c r="J23" s="470"/>
      <c r="K23" s="470"/>
      <c r="L23" s="470"/>
      <c r="M23" s="470"/>
      <c r="N23" s="470"/>
      <c r="O23" s="470"/>
      <c r="P23" s="470"/>
      <c r="Q23" s="470"/>
      <c r="R23" s="470"/>
      <c r="S23" s="470"/>
      <c r="T23" s="470"/>
      <c r="U23" s="470"/>
      <c r="V23" s="470"/>
      <c r="W23" s="470"/>
      <c r="X23" s="470"/>
      <c r="Y23" s="470"/>
      <c r="Z23" s="470"/>
      <c r="AA23" s="470"/>
      <c r="AB23" s="470"/>
      <c r="AC23" s="470"/>
      <c r="AD23" s="470"/>
      <c r="AE23" s="470"/>
      <c r="AF23" s="470"/>
      <c r="AG23" s="470"/>
      <c r="AH23" s="470"/>
    </row>
    <row r="24" spans="2:34">
      <c r="B24" s="134"/>
      <c r="C24" s="516"/>
      <c r="D24" s="516"/>
      <c r="E24" s="516"/>
      <c r="F24" s="516"/>
      <c r="G24" s="516"/>
      <c r="H24" s="516"/>
      <c r="I24" s="516"/>
      <c r="J24" s="516"/>
      <c r="K24" s="516"/>
      <c r="L24" s="516"/>
      <c r="M24" s="516"/>
      <c r="N24" s="516"/>
      <c r="O24" s="516"/>
      <c r="P24" s="516"/>
      <c r="Q24" s="516"/>
      <c r="R24" s="516"/>
      <c r="S24" s="516"/>
      <c r="T24" s="516"/>
      <c r="U24" s="516"/>
      <c r="V24" s="516"/>
      <c r="W24" s="516"/>
      <c r="X24" s="516"/>
      <c r="Y24" s="516"/>
      <c r="Z24" s="516"/>
      <c r="AA24" s="516"/>
      <c r="AB24" s="516"/>
      <c r="AC24" s="516"/>
      <c r="AD24" s="516"/>
      <c r="AE24" s="516"/>
      <c r="AF24" s="516"/>
      <c r="AG24" s="516"/>
      <c r="AH24" s="516"/>
    </row>
    <row r="25" spans="2:34">
      <c r="B25" s="134"/>
      <c r="C25" s="470"/>
      <c r="D25" s="470"/>
      <c r="E25" s="470"/>
      <c r="F25" s="470"/>
      <c r="G25" s="470"/>
      <c r="H25" s="470"/>
      <c r="I25" s="470"/>
      <c r="J25" s="470"/>
      <c r="K25" s="470"/>
      <c r="L25" s="470"/>
      <c r="M25" s="470"/>
      <c r="N25" s="470"/>
      <c r="O25" s="470"/>
      <c r="P25" s="470"/>
      <c r="Q25" s="470"/>
      <c r="R25" s="470"/>
      <c r="S25" s="470"/>
      <c r="T25" s="470"/>
      <c r="U25" s="470"/>
      <c r="V25" s="470"/>
      <c r="W25" s="470"/>
      <c r="X25" s="470"/>
      <c r="Y25" s="470"/>
      <c r="Z25" s="470"/>
      <c r="AA25" s="470"/>
      <c r="AB25" s="470"/>
      <c r="AC25" s="470"/>
      <c r="AD25" s="470"/>
      <c r="AE25" s="470"/>
      <c r="AF25" s="470"/>
      <c r="AG25" s="470"/>
      <c r="AH25" s="470"/>
    </row>
    <row r="26" spans="2:34">
      <c r="B26" s="134"/>
      <c r="C26" s="470"/>
      <c r="D26" s="470"/>
      <c r="E26" s="470"/>
      <c r="F26" s="470"/>
      <c r="G26" s="470"/>
      <c r="H26" s="470"/>
      <c r="I26" s="470"/>
      <c r="J26" s="470"/>
      <c r="K26" s="470"/>
      <c r="L26" s="470"/>
      <c r="M26" s="470"/>
      <c r="N26" s="470"/>
      <c r="O26" s="470"/>
      <c r="P26" s="470"/>
      <c r="Q26" s="470"/>
      <c r="R26" s="470"/>
      <c r="S26" s="470"/>
      <c r="T26" s="470"/>
      <c r="U26" s="470"/>
      <c r="V26" s="470"/>
      <c r="W26" s="470"/>
      <c r="X26" s="470"/>
      <c r="Y26" s="470"/>
      <c r="Z26" s="470"/>
      <c r="AA26" s="470"/>
      <c r="AB26" s="470"/>
      <c r="AC26" s="470"/>
      <c r="AD26" s="470"/>
      <c r="AE26" s="470"/>
      <c r="AF26" s="470"/>
      <c r="AG26" s="470"/>
      <c r="AH26" s="470"/>
    </row>
    <row r="27" spans="2:34">
      <c r="B27" s="134"/>
      <c r="C27" s="470"/>
      <c r="D27" s="470"/>
      <c r="E27" s="470"/>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row>
    <row r="28" spans="2:34">
      <c r="B28" s="134"/>
      <c r="C28" s="516"/>
      <c r="D28" s="516"/>
      <c r="E28" s="516"/>
      <c r="F28" s="516"/>
      <c r="G28" s="516"/>
      <c r="H28" s="516"/>
      <c r="I28" s="516"/>
      <c r="J28" s="516"/>
      <c r="K28" s="516"/>
      <c r="L28" s="516"/>
      <c r="M28" s="516"/>
      <c r="N28" s="516"/>
      <c r="O28" s="516"/>
      <c r="P28" s="516"/>
      <c r="Q28" s="516"/>
      <c r="R28" s="516"/>
      <c r="S28" s="516"/>
      <c r="T28" s="516"/>
      <c r="U28" s="516"/>
      <c r="V28" s="516"/>
      <c r="W28" s="516"/>
      <c r="X28" s="516"/>
      <c r="Y28" s="516"/>
      <c r="Z28" s="516"/>
      <c r="AA28" s="516"/>
      <c r="AB28" s="516"/>
      <c r="AC28" s="516"/>
      <c r="AD28" s="516"/>
      <c r="AE28" s="516"/>
      <c r="AF28" s="516"/>
      <c r="AG28" s="516"/>
      <c r="AH28" s="516"/>
    </row>
    <row r="29" spans="2:34">
      <c r="B29" s="134"/>
      <c r="C29" s="470"/>
      <c r="D29" s="470"/>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row>
    <row r="30" spans="2:34">
      <c r="B30" s="134"/>
      <c r="C30" s="470"/>
      <c r="D30" s="470"/>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row>
    <row r="31" spans="2:34">
      <c r="B31" s="134"/>
      <c r="C31" s="470"/>
      <c r="D31" s="470"/>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row>
    <row r="32" spans="2:34">
      <c r="B32" s="134"/>
      <c r="C32" s="470"/>
      <c r="D32" s="470"/>
      <c r="E32" s="470"/>
      <c r="F32" s="470"/>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row>
    <row r="33" spans="2:34">
      <c r="B33" s="134"/>
      <c r="C33" s="470"/>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row>
    <row r="34" spans="2:34">
      <c r="B34" s="134"/>
      <c r="C34" s="470"/>
      <c r="D34" s="470"/>
      <c r="E34" s="470"/>
      <c r="F34" s="470"/>
      <c r="G34" s="470"/>
      <c r="H34" s="470"/>
      <c r="I34" s="470"/>
      <c r="J34" s="470"/>
      <c r="K34" s="470"/>
      <c r="L34" s="470"/>
      <c r="M34" s="470"/>
      <c r="N34" s="470"/>
      <c r="O34" s="470"/>
      <c r="P34" s="470"/>
      <c r="Q34" s="470"/>
      <c r="R34" s="470"/>
      <c r="S34" s="470"/>
      <c r="T34" s="470"/>
      <c r="U34" s="470"/>
      <c r="V34" s="470"/>
      <c r="W34" s="470"/>
      <c r="X34" s="470"/>
      <c r="Y34" s="470"/>
      <c r="Z34" s="470"/>
      <c r="AA34" s="470"/>
      <c r="AB34" s="470"/>
      <c r="AC34" s="470"/>
      <c r="AD34" s="470"/>
      <c r="AE34" s="470"/>
      <c r="AF34" s="470"/>
      <c r="AG34" s="470"/>
      <c r="AH34" s="470"/>
    </row>
    <row r="35" spans="2:34">
      <c r="B35" s="134"/>
      <c r="C35" s="470"/>
      <c r="D35" s="470"/>
      <c r="E35" s="470"/>
      <c r="F35" s="470"/>
      <c r="G35" s="470"/>
      <c r="H35" s="470"/>
      <c r="I35" s="470"/>
      <c r="J35" s="470"/>
      <c r="K35" s="470"/>
      <c r="L35" s="470"/>
      <c r="M35" s="470"/>
      <c r="N35" s="470"/>
      <c r="O35" s="470"/>
      <c r="P35" s="470"/>
      <c r="Q35" s="470"/>
      <c r="R35" s="470"/>
      <c r="S35" s="470"/>
      <c r="T35" s="470"/>
      <c r="U35" s="470"/>
      <c r="V35" s="470"/>
      <c r="W35" s="470"/>
      <c r="X35" s="470"/>
      <c r="Y35" s="470"/>
      <c r="Z35" s="470"/>
      <c r="AA35" s="470"/>
      <c r="AB35" s="470"/>
      <c r="AC35" s="470"/>
      <c r="AD35" s="470"/>
      <c r="AE35" s="470"/>
      <c r="AF35" s="470"/>
      <c r="AG35" s="470"/>
      <c r="AH35" s="470"/>
    </row>
    <row r="36" spans="2:34">
      <c r="B36" s="134"/>
      <c r="C36" s="470"/>
      <c r="D36" s="470"/>
      <c r="E36" s="470"/>
      <c r="F36" s="470"/>
      <c r="G36" s="470"/>
      <c r="H36" s="470"/>
      <c r="I36" s="470"/>
      <c r="J36" s="470"/>
      <c r="K36" s="470"/>
      <c r="L36" s="470"/>
      <c r="M36" s="470"/>
      <c r="N36" s="470"/>
      <c r="O36" s="470"/>
      <c r="P36" s="470"/>
      <c r="Q36" s="470"/>
      <c r="R36" s="470"/>
      <c r="S36" s="470"/>
      <c r="T36" s="470"/>
      <c r="U36" s="470"/>
      <c r="V36" s="470"/>
      <c r="W36" s="470"/>
      <c r="X36" s="470"/>
      <c r="Y36" s="470"/>
      <c r="Z36" s="470"/>
      <c r="AA36" s="470"/>
      <c r="AB36" s="470"/>
      <c r="AC36" s="470"/>
      <c r="AD36" s="470"/>
      <c r="AE36" s="470"/>
      <c r="AF36" s="470"/>
      <c r="AG36" s="470"/>
      <c r="AH36" s="470"/>
    </row>
    <row r="37" spans="2:34">
      <c r="B37" s="134"/>
      <c r="C37" s="470"/>
      <c r="D37" s="470"/>
      <c r="E37" s="470"/>
      <c r="F37" s="470"/>
      <c r="G37" s="470"/>
      <c r="H37" s="470"/>
      <c r="I37" s="470"/>
      <c r="J37" s="470"/>
      <c r="K37" s="470"/>
      <c r="L37" s="470"/>
      <c r="M37" s="470"/>
      <c r="N37" s="470"/>
      <c r="O37" s="470"/>
      <c r="P37" s="470"/>
      <c r="Q37" s="470"/>
      <c r="R37" s="470"/>
      <c r="S37" s="470"/>
      <c r="T37" s="470"/>
      <c r="U37" s="470"/>
      <c r="V37" s="470"/>
      <c r="W37" s="470"/>
      <c r="X37" s="470"/>
      <c r="Y37" s="470"/>
      <c r="Z37" s="470"/>
      <c r="AA37" s="470"/>
      <c r="AB37" s="470"/>
      <c r="AC37" s="470"/>
      <c r="AD37" s="470"/>
      <c r="AE37" s="470"/>
      <c r="AF37" s="470"/>
      <c r="AG37" s="470"/>
      <c r="AH37" s="470"/>
    </row>
    <row r="38" spans="2:34">
      <c r="B38" s="134"/>
      <c r="C38" s="470"/>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row>
    <row r="39" spans="2:34">
      <c r="B39" s="134"/>
      <c r="C39" s="470"/>
      <c r="D39" s="470"/>
      <c r="E39" s="470"/>
      <c r="F39" s="470"/>
      <c r="G39" s="470"/>
      <c r="H39" s="470"/>
      <c r="I39" s="470"/>
      <c r="J39" s="470"/>
      <c r="K39" s="470"/>
      <c r="L39" s="470"/>
      <c r="M39" s="470"/>
      <c r="N39" s="470"/>
      <c r="O39" s="470"/>
      <c r="P39" s="470"/>
      <c r="Q39" s="470"/>
      <c r="R39" s="470"/>
      <c r="S39" s="470"/>
      <c r="T39" s="470"/>
      <c r="U39" s="470"/>
      <c r="V39" s="470"/>
      <c r="W39" s="470"/>
      <c r="X39" s="470"/>
      <c r="Y39" s="470"/>
      <c r="Z39" s="470"/>
      <c r="AA39" s="470"/>
      <c r="AB39" s="470"/>
      <c r="AC39" s="470"/>
      <c r="AD39" s="470"/>
      <c r="AE39" s="470"/>
      <c r="AF39" s="470"/>
      <c r="AG39" s="470"/>
      <c r="AH39" s="470"/>
    </row>
    <row r="40" spans="2:34">
      <c r="B40" s="134"/>
      <c r="C40" s="470"/>
      <c r="D40" s="470"/>
      <c r="E40" s="470"/>
      <c r="F40" s="470"/>
      <c r="G40" s="470"/>
      <c r="H40" s="470"/>
      <c r="I40" s="470"/>
      <c r="J40" s="470"/>
      <c r="K40" s="470"/>
      <c r="L40" s="470"/>
      <c r="M40" s="470"/>
      <c r="N40" s="470"/>
      <c r="O40" s="470"/>
      <c r="P40" s="470"/>
      <c r="Q40" s="470"/>
      <c r="R40" s="470"/>
      <c r="S40" s="470"/>
      <c r="T40" s="470"/>
      <c r="U40" s="470"/>
      <c r="V40" s="470"/>
      <c r="W40" s="470"/>
      <c r="X40" s="470"/>
      <c r="Y40" s="470"/>
      <c r="Z40" s="470"/>
      <c r="AA40" s="470"/>
      <c r="AB40" s="470"/>
      <c r="AC40" s="470"/>
      <c r="AD40" s="470"/>
      <c r="AE40" s="470"/>
      <c r="AF40" s="470"/>
      <c r="AG40" s="470"/>
      <c r="AH40" s="470"/>
    </row>
    <row r="41" spans="2:34">
      <c r="B41" s="134"/>
      <c r="C41" s="470"/>
      <c r="D41" s="470"/>
      <c r="E41" s="470"/>
      <c r="F41" s="470"/>
      <c r="G41" s="470"/>
      <c r="H41" s="470"/>
      <c r="I41" s="470"/>
      <c r="J41" s="470"/>
      <c r="K41" s="470"/>
      <c r="L41" s="470"/>
      <c r="M41" s="470"/>
      <c r="N41" s="470"/>
      <c r="O41" s="470"/>
      <c r="P41" s="470"/>
      <c r="Q41" s="470"/>
      <c r="R41" s="470"/>
      <c r="S41" s="470"/>
      <c r="T41" s="470"/>
      <c r="U41" s="470"/>
      <c r="V41" s="470"/>
      <c r="W41" s="470"/>
      <c r="X41" s="470"/>
      <c r="Y41" s="470"/>
      <c r="Z41" s="470"/>
      <c r="AA41" s="470"/>
      <c r="AB41" s="470"/>
      <c r="AC41" s="470"/>
      <c r="AD41" s="470"/>
      <c r="AE41" s="470"/>
      <c r="AF41" s="470"/>
      <c r="AG41" s="470"/>
      <c r="AH41" s="470"/>
    </row>
    <row r="42" spans="2:34">
      <c r="B42" s="134"/>
      <c r="C42" s="470"/>
      <c r="D42" s="470"/>
      <c r="E42" s="470"/>
      <c r="F42" s="470"/>
      <c r="G42" s="470"/>
      <c r="H42" s="470"/>
      <c r="I42" s="470"/>
      <c r="J42" s="470"/>
      <c r="K42" s="470"/>
      <c r="L42" s="470"/>
      <c r="M42" s="470"/>
      <c r="N42" s="470"/>
      <c r="O42" s="470"/>
      <c r="P42" s="470"/>
      <c r="Q42" s="470"/>
      <c r="R42" s="470"/>
      <c r="S42" s="470"/>
      <c r="T42" s="470"/>
      <c r="U42" s="470"/>
      <c r="V42" s="470"/>
      <c r="W42" s="470"/>
      <c r="X42" s="470"/>
      <c r="Y42" s="470"/>
      <c r="Z42" s="470"/>
      <c r="AA42" s="470"/>
      <c r="AB42" s="470"/>
      <c r="AC42" s="470"/>
      <c r="AD42" s="470"/>
      <c r="AE42" s="470"/>
      <c r="AF42" s="470"/>
      <c r="AG42" s="470"/>
      <c r="AH42" s="470"/>
    </row>
    <row r="43" spans="2:34">
      <c r="B43" s="134"/>
      <c r="C43" s="470"/>
      <c r="D43" s="470"/>
      <c r="E43" s="470"/>
      <c r="F43" s="470"/>
      <c r="G43" s="470"/>
      <c r="H43" s="470"/>
      <c r="I43" s="470"/>
      <c r="J43" s="470"/>
      <c r="K43" s="470"/>
      <c r="L43" s="470"/>
      <c r="M43" s="470"/>
      <c r="N43" s="470"/>
      <c r="O43" s="470"/>
      <c r="P43" s="470"/>
      <c r="Q43" s="470"/>
      <c r="R43" s="470"/>
      <c r="S43" s="470"/>
      <c r="T43" s="470"/>
      <c r="U43" s="470"/>
      <c r="V43" s="470"/>
      <c r="W43" s="470"/>
      <c r="X43" s="470"/>
      <c r="Y43" s="470"/>
      <c r="Z43" s="470"/>
      <c r="AA43" s="470"/>
      <c r="AB43" s="470"/>
      <c r="AC43" s="470"/>
      <c r="AD43" s="470"/>
      <c r="AE43" s="470"/>
      <c r="AF43" s="470"/>
      <c r="AG43" s="470"/>
      <c r="AH43" s="470"/>
    </row>
    <row r="44" spans="2:34">
      <c r="B44" s="134"/>
      <c r="C44" s="470"/>
      <c r="D44" s="470"/>
      <c r="E44" s="470"/>
      <c r="F44" s="470"/>
      <c r="G44" s="470"/>
      <c r="H44" s="470"/>
      <c r="I44" s="470"/>
      <c r="J44" s="470"/>
      <c r="K44" s="470"/>
      <c r="L44" s="470"/>
      <c r="M44" s="470"/>
      <c r="N44" s="470"/>
      <c r="O44" s="470"/>
      <c r="P44" s="470"/>
      <c r="Q44" s="470"/>
      <c r="R44" s="470"/>
      <c r="S44" s="470"/>
      <c r="T44" s="470"/>
      <c r="U44" s="470"/>
      <c r="V44" s="470"/>
      <c r="W44" s="470"/>
      <c r="X44" s="470"/>
      <c r="Y44" s="470"/>
      <c r="Z44" s="470"/>
      <c r="AA44" s="470"/>
      <c r="AB44" s="470"/>
      <c r="AC44" s="470"/>
      <c r="AD44" s="470"/>
      <c r="AE44" s="470"/>
      <c r="AF44" s="470"/>
      <c r="AG44" s="470"/>
      <c r="AH44" s="470"/>
    </row>
    <row r="45" spans="2:34">
      <c r="B45" s="134"/>
      <c r="C45" s="470"/>
      <c r="D45" s="470"/>
      <c r="E45" s="470"/>
      <c r="F45" s="470"/>
      <c r="G45" s="470"/>
      <c r="H45" s="470"/>
      <c r="I45" s="470"/>
      <c r="J45" s="470"/>
      <c r="K45" s="470"/>
      <c r="L45" s="470"/>
      <c r="M45" s="470"/>
      <c r="N45" s="470"/>
      <c r="O45" s="470"/>
      <c r="P45" s="470"/>
      <c r="Q45" s="470"/>
      <c r="R45" s="470"/>
      <c r="S45" s="470"/>
      <c r="T45" s="470"/>
      <c r="U45" s="470"/>
      <c r="V45" s="470"/>
      <c r="W45" s="470"/>
      <c r="X45" s="470"/>
      <c r="Y45" s="470"/>
      <c r="Z45" s="470"/>
      <c r="AA45" s="470"/>
      <c r="AB45" s="470"/>
      <c r="AC45" s="470"/>
      <c r="AD45" s="470"/>
      <c r="AE45" s="470"/>
      <c r="AF45" s="470"/>
      <c r="AG45" s="470"/>
      <c r="AH45" s="470"/>
    </row>
    <row r="46" spans="2:34">
      <c r="B46" s="134"/>
      <c r="C46" s="470"/>
      <c r="D46" s="470"/>
      <c r="E46" s="470"/>
      <c r="F46" s="470"/>
      <c r="G46" s="470"/>
      <c r="H46" s="470"/>
      <c r="I46" s="470"/>
      <c r="J46" s="470"/>
      <c r="K46" s="470"/>
      <c r="L46" s="470"/>
      <c r="M46" s="470"/>
      <c r="N46" s="470"/>
      <c r="O46" s="470"/>
      <c r="P46" s="470"/>
      <c r="Q46" s="470"/>
      <c r="R46" s="470"/>
      <c r="S46" s="470"/>
      <c r="T46" s="470"/>
      <c r="U46" s="470"/>
      <c r="V46" s="470"/>
      <c r="W46" s="470"/>
      <c r="X46" s="470"/>
      <c r="Y46" s="470"/>
      <c r="Z46" s="470"/>
      <c r="AA46" s="470"/>
      <c r="AB46" s="470"/>
      <c r="AC46" s="470"/>
      <c r="AD46" s="470"/>
      <c r="AE46" s="470"/>
      <c r="AF46" s="470"/>
      <c r="AG46" s="470"/>
      <c r="AH46" s="470"/>
    </row>
    <row r="47" spans="2:34">
      <c r="B47" s="134"/>
      <c r="C47" s="470"/>
      <c r="D47" s="470"/>
      <c r="E47" s="470"/>
      <c r="F47" s="470"/>
      <c r="G47" s="470"/>
      <c r="H47" s="470"/>
      <c r="I47" s="470"/>
      <c r="J47" s="470"/>
      <c r="K47" s="470"/>
      <c r="L47" s="470"/>
      <c r="M47" s="470"/>
      <c r="N47" s="470"/>
      <c r="O47" s="470"/>
      <c r="P47" s="470"/>
      <c r="Q47" s="470"/>
      <c r="R47" s="470"/>
      <c r="S47" s="470"/>
      <c r="T47" s="470"/>
      <c r="U47" s="470"/>
      <c r="V47" s="470"/>
      <c r="W47" s="470"/>
      <c r="X47" s="470"/>
      <c r="Y47" s="470"/>
      <c r="Z47" s="470"/>
      <c r="AA47" s="470"/>
      <c r="AB47" s="470"/>
      <c r="AC47" s="470"/>
      <c r="AD47" s="470"/>
      <c r="AE47" s="470"/>
      <c r="AF47" s="470"/>
      <c r="AG47" s="470"/>
      <c r="AH47" s="470"/>
    </row>
    <row r="48" spans="2:34">
      <c r="B48" s="134"/>
      <c r="C48" s="470"/>
      <c r="D48" s="470"/>
      <c r="E48" s="470"/>
      <c r="F48" s="470"/>
      <c r="G48" s="470"/>
      <c r="H48" s="470"/>
      <c r="I48" s="470"/>
      <c r="J48" s="470"/>
      <c r="K48" s="470"/>
      <c r="L48" s="470"/>
      <c r="M48" s="470"/>
      <c r="N48" s="470"/>
      <c r="O48" s="470"/>
      <c r="P48" s="470"/>
      <c r="Q48" s="470"/>
      <c r="R48" s="470"/>
      <c r="S48" s="470"/>
      <c r="T48" s="470"/>
      <c r="U48" s="470"/>
      <c r="V48" s="470"/>
      <c r="W48" s="470"/>
      <c r="X48" s="470"/>
      <c r="Y48" s="470"/>
      <c r="Z48" s="470"/>
      <c r="AA48" s="470"/>
      <c r="AB48" s="470"/>
      <c r="AC48" s="470"/>
      <c r="AD48" s="470"/>
      <c r="AE48" s="470"/>
      <c r="AF48" s="470"/>
      <c r="AG48" s="470"/>
      <c r="AH48" s="470"/>
    </row>
    <row r="49" spans="2:34">
      <c r="B49" s="134"/>
      <c r="C49" s="470"/>
      <c r="D49" s="470"/>
      <c r="E49" s="470"/>
      <c r="F49" s="470"/>
      <c r="G49" s="470"/>
      <c r="H49" s="470"/>
      <c r="I49" s="470"/>
      <c r="J49" s="470"/>
      <c r="K49" s="470"/>
      <c r="L49" s="470"/>
      <c r="M49" s="470"/>
      <c r="N49" s="470"/>
      <c r="O49" s="470"/>
      <c r="P49" s="470"/>
      <c r="Q49" s="470"/>
      <c r="R49" s="470"/>
      <c r="S49" s="470"/>
      <c r="T49" s="470"/>
      <c r="U49" s="470"/>
      <c r="V49" s="470"/>
      <c r="W49" s="470"/>
      <c r="X49" s="470"/>
      <c r="Y49" s="470"/>
      <c r="Z49" s="470"/>
      <c r="AA49" s="470"/>
      <c r="AB49" s="470"/>
      <c r="AC49" s="470"/>
      <c r="AD49" s="470"/>
      <c r="AE49" s="470"/>
      <c r="AF49" s="470"/>
      <c r="AG49" s="470"/>
      <c r="AH49" s="470"/>
    </row>
    <row r="50" spans="2:34">
      <c r="B50" s="134"/>
      <c r="C50" s="470"/>
      <c r="D50" s="470"/>
      <c r="E50" s="470"/>
      <c r="F50" s="470"/>
      <c r="G50" s="470"/>
      <c r="H50" s="470"/>
      <c r="I50" s="470"/>
      <c r="J50" s="470"/>
      <c r="K50" s="470"/>
      <c r="L50" s="470"/>
      <c r="M50" s="470"/>
      <c r="N50" s="470"/>
      <c r="O50" s="470"/>
      <c r="P50" s="470"/>
      <c r="Q50" s="470"/>
      <c r="R50" s="470"/>
      <c r="S50" s="470"/>
      <c r="T50" s="470"/>
      <c r="U50" s="470"/>
      <c r="V50" s="470"/>
      <c r="W50" s="470"/>
      <c r="X50" s="470"/>
      <c r="Y50" s="470"/>
      <c r="Z50" s="470"/>
      <c r="AA50" s="470"/>
      <c r="AB50" s="470"/>
      <c r="AC50" s="470"/>
      <c r="AD50" s="470"/>
      <c r="AE50" s="470"/>
      <c r="AF50" s="470"/>
      <c r="AG50" s="470"/>
      <c r="AH50" s="470"/>
    </row>
    <row r="51" spans="2:34">
      <c r="B51" s="2" t="s">
        <v>689</v>
      </c>
    </row>
    <row r="52" spans="2:34">
      <c r="B52" s="10" t="s">
        <v>690</v>
      </c>
      <c r="C52" s="10" t="s">
        <v>18</v>
      </c>
      <c r="D52" s="10" t="s">
        <v>691</v>
      </c>
      <c r="E52" s="10" t="s">
        <v>692</v>
      </c>
      <c r="F52" s="173" t="s">
        <v>693</v>
      </c>
      <c r="G52" s="173" t="s">
        <v>694</v>
      </c>
      <c r="H52" s="173" t="s">
        <v>695</v>
      </c>
    </row>
    <row r="53" spans="2:34">
      <c r="B53" s="12">
        <v>1</v>
      </c>
      <c r="C53" s="12" t="s">
        <v>295</v>
      </c>
      <c r="D53" s="20" t="s">
        <v>696</v>
      </c>
      <c r="E53" s="12">
        <v>1</v>
      </c>
      <c r="F53" s="147">
        <f>SUMIFS(Capex!L$433:L$733,Capex!B$433:B$733,Aporte!C53,Capex!C$433:C$733,Aporte!E53)</f>
        <v>24073052.742368884</v>
      </c>
      <c r="G53" s="483">
        <f t="shared" ref="G53:G84" ca="1" si="3">F53/F$146</f>
        <v>1.2612475848515839E-2</v>
      </c>
      <c r="H53" s="147" cm="1">
        <f t="array" aca="1" ref="H53:H145" ca="1">G53:G145 * C267</f>
        <v>23080830.802783985</v>
      </c>
      <c r="I53" s="5"/>
    </row>
    <row r="54" spans="2:34">
      <c r="B54" s="12">
        <v>1</v>
      </c>
      <c r="C54" s="12" t="s">
        <v>296</v>
      </c>
      <c r="D54" s="20" t="s">
        <v>696</v>
      </c>
      <c r="E54" s="12">
        <v>1</v>
      </c>
      <c r="F54" s="147">
        <f>SUMIFS(Capex!L$433:L$733,Capex!B$433:B$733,Aporte!C54,Capex!C$433:C$733,Aporte!E54)</f>
        <v>72948649.030415133</v>
      </c>
      <c r="G54" s="483">
        <f t="shared" ca="1" si="3"/>
        <v>3.8219626065897586E-2</v>
      </c>
      <c r="H54" s="147">
        <f ca="1"/>
        <v>69941915.700592577</v>
      </c>
    </row>
    <row r="55" spans="2:34">
      <c r="B55" s="12">
        <v>1</v>
      </c>
      <c r="C55" s="12" t="s">
        <v>297</v>
      </c>
      <c r="D55" s="20" t="s">
        <v>696</v>
      </c>
      <c r="E55" s="12">
        <v>1</v>
      </c>
      <c r="F55" s="147">
        <f>SUMIFS(Capex!L$433:L$733,Capex!B$433:B$733,Aporte!C55,Capex!C$433:C$733,Aporte!E55)</f>
        <v>18738798.519652415</v>
      </c>
      <c r="G55" s="483">
        <f t="shared" ca="1" si="3"/>
        <v>9.8177263302943844E-3</v>
      </c>
      <c r="H55" s="147">
        <f ca="1"/>
        <v>17966439.184438724</v>
      </c>
    </row>
    <row r="56" spans="2:34">
      <c r="B56" s="12">
        <v>2</v>
      </c>
      <c r="C56" s="481" t="str" cm="1">
        <f t="array" ref="C56:C63">_xlfn._xlws.FILTER('Marcos de Aportes Selecionado'!C4:C93,'Marcos de Aportes Selecionado'!H4:H93)</f>
        <v>BR-356</v>
      </c>
      <c r="D56" s="122" t="str" cm="1">
        <f t="array" ref="D56:D63">_xlfn._xlws.FILTER('Marcos de Aportes Selecionado'!G4:G93,'Marcos de Aportes Selecionado'!H4:H93)</f>
        <v>Do km 027+800 ao km 043+800</v>
      </c>
      <c r="E56" s="180" cm="1">
        <f t="array" ref="E56:E63">_xlfn._xlws.FILTER('Marcos de Aportes Selecionado'!D4:D93,'Marcos de Aportes Selecionado'!H4:H93)</f>
        <v>3</v>
      </c>
      <c r="F56" s="240" cm="1">
        <f t="array" aca="1" ref="F56" ca="1">SUM(_xlfn._xlws.FILTER(OFFSET(Capex!L$433:L$657,,E56-1),ISNUMBER(FIND(C56,Capex!B$433:B$657))))</f>
        <v>172406255.24715999</v>
      </c>
      <c r="G56" s="483">
        <f t="shared" ca="1" si="3"/>
        <v>9.0327959387168533E-2</v>
      </c>
      <c r="H56" s="147">
        <f ca="1"/>
        <v>165300165.67851841</v>
      </c>
    </row>
    <row r="57" spans="2:34">
      <c r="B57" s="12">
        <v>3</v>
      </c>
      <c r="C57" s="149" t="str">
        <v>BR-356</v>
      </c>
      <c r="D57" s="122" t="str">
        <v>Do km 043+800 ao km 066+000</v>
      </c>
      <c r="E57" s="180">
        <v>4</v>
      </c>
      <c r="F57" s="240" cm="1">
        <f t="array" aca="1" ref="F57" ca="1">SUM(_xlfn._xlws.FILTER(OFFSET(Capex!L$433:L$657,,E57-1),ISNUMBER(FIND(C57,Capex!B$433:B$657))))</f>
        <v>480087441.06348306</v>
      </c>
      <c r="G57" s="483">
        <f t="shared" ca="1" si="3"/>
        <v>0.25152984627213121</v>
      </c>
      <c r="H57" s="147">
        <f ca="1"/>
        <v>460299618.67800009</v>
      </c>
    </row>
    <row r="58" spans="2:34">
      <c r="B58" s="12">
        <v>4</v>
      </c>
      <c r="C58" s="149" t="str">
        <v>BR-356</v>
      </c>
      <c r="D58" s="122" t="str">
        <v>Do km 066+000 ao km 086+000</v>
      </c>
      <c r="E58" s="180">
        <v>5</v>
      </c>
      <c r="F58" s="240" cm="1">
        <f t="array" aca="1" ref="F58" ca="1">SUM(_xlfn._xlws.FILTER(OFFSET(Capex!L$433:L$657,,E58-1),ISNUMBER(FIND(C58,Capex!B$433:B$657))))</f>
        <v>276307078.79365337</v>
      </c>
      <c r="G58" s="483">
        <f t="shared" ca="1" si="3"/>
        <v>0.14476420565994183</v>
      </c>
      <c r="H58" s="147">
        <f ca="1"/>
        <v>264918496.35769355</v>
      </c>
    </row>
    <row r="59" spans="2:34">
      <c r="B59" s="12">
        <v>5</v>
      </c>
      <c r="C59" s="149" t="str">
        <v>BR-356</v>
      </c>
      <c r="D59" s="122" t="str">
        <v>Do km 086+000 ao km 111+100</v>
      </c>
      <c r="E59" s="180">
        <v>6</v>
      </c>
      <c r="F59" s="240" cm="1">
        <f t="array" aca="1" ref="F59" ca="1">SUM(_xlfn._xlws.FILTER(OFFSET(Capex!L$433:L$657,,E59-1),ISNUMBER(FIND(C59,Capex!B$433:B$657))))</f>
        <v>384634430.94021714</v>
      </c>
      <c r="G59" s="483">
        <f t="shared" ca="1" si="3"/>
        <v>0.201519621240349</v>
      </c>
      <c r="H59" s="147">
        <f ca="1"/>
        <v>368780906.86983865</v>
      </c>
    </row>
    <row r="60" spans="2:34">
      <c r="B60" s="12">
        <v>6</v>
      </c>
      <c r="C60" s="149" t="str">
        <v>MG-262</v>
      </c>
      <c r="D60" s="122" t="str">
        <v>Do km 072+800 ao km 056+000</v>
      </c>
      <c r="E60" s="180">
        <v>3</v>
      </c>
      <c r="F60" s="240" cm="1">
        <f t="array" aca="1" ref="F60" ca="1">SUM(_xlfn._xlws.FILTER(OFFSET(Capex!L$433:L$657,,E60-1),ISNUMBER(FIND(C60,Capex!B$433:B$657))))</f>
        <v>91561570.074877292</v>
      </c>
      <c r="G60" s="483">
        <f t="shared" ca="1" si="3"/>
        <v>4.7971402031163485E-2</v>
      </c>
      <c r="H60" s="147">
        <f ca="1"/>
        <v>87787665.717029184</v>
      </c>
    </row>
    <row r="61" spans="2:34">
      <c r="B61" s="12">
        <v>7</v>
      </c>
      <c r="C61" s="149" t="str">
        <v>MG-262</v>
      </c>
      <c r="D61" s="122" t="str">
        <v>Do km 056+000 ao km 040+000</v>
      </c>
      <c r="E61" s="180">
        <v>4</v>
      </c>
      <c r="F61" s="240" cm="1">
        <f t="array" aca="1" ref="F61" ca="1">SUM(_xlfn._xlws.FILTER(OFFSET(Capex!L$433:L$657,,E61-1),ISNUMBER(FIND(C61,Capex!B$433:B$657))))</f>
        <v>119381910.31062181</v>
      </c>
      <c r="G61" s="483">
        <f t="shared" ca="1" si="3"/>
        <v>6.254717574279009E-2</v>
      </c>
      <c r="H61" s="147">
        <f ca="1"/>
        <v>114461331.60930586</v>
      </c>
    </row>
    <row r="62" spans="2:34">
      <c r="B62" s="12">
        <v>8</v>
      </c>
      <c r="C62" s="149" t="str">
        <v>MG-262</v>
      </c>
      <c r="D62" s="122" t="str">
        <v>Do km 040+000 ao km 021+800</v>
      </c>
      <c r="E62" s="180">
        <v>5</v>
      </c>
      <c r="F62" s="240" cm="1">
        <f t="array" aca="1" ref="F62" ca="1">SUM(_xlfn._xlws.FILTER(OFFSET(Capex!L$433:L$657,,E62-1),ISNUMBER(FIND(C62,Capex!B$433:B$657))))</f>
        <v>104253725.7247154</v>
      </c>
      <c r="G62" s="483">
        <f t="shared" ca="1" si="3"/>
        <v>5.4621140571279959E-2</v>
      </c>
      <c r="H62" s="147">
        <f ca="1"/>
        <v>99956687.245442331</v>
      </c>
    </row>
    <row r="63" spans="2:34">
      <c r="B63" s="12">
        <v>9</v>
      </c>
      <c r="C63" s="149" t="str">
        <v>MG-329</v>
      </c>
      <c r="D63" s="122" t="str">
        <v>Do km 100+500 ao km 134+500</v>
      </c>
      <c r="E63" s="180">
        <v>4</v>
      </c>
      <c r="F63" s="240" cm="1">
        <f t="array" aca="1" ref="F63" ca="1">SUM(_xlfn._xlws.FILTER(OFFSET(Capex!L$433:L$657,,E63-1),ISNUMBER(FIND(C63,Capex!B$433:B$657))))</f>
        <v>164276965.81481513</v>
      </c>
      <c r="G63" s="483">
        <f t="shared" ca="1" si="3"/>
        <v>8.6068820850468131E-2</v>
      </c>
      <c r="H63" s="147">
        <f ca="1"/>
        <v>157505942.15635669</v>
      </c>
    </row>
    <row r="64" spans="2:34">
      <c r="B64" s="12">
        <v>10</v>
      </c>
      <c r="C64" s="149"/>
      <c r="D64" s="122"/>
      <c r="E64" s="180"/>
      <c r="F64" s="240" cm="1">
        <f t="array" aca="1" ref="F64" ca="1">SUM(_xlfn._xlws.FILTER(OFFSET(Capex!L$433:L$657,,E64-1),ISNUMBER(FIND(C64,Capex!B$433:B$657))))</f>
        <v>0</v>
      </c>
      <c r="G64" s="483">
        <f t="shared" ca="1" si="3"/>
        <v>0</v>
      </c>
      <c r="H64" s="147">
        <f ca="1"/>
        <v>0</v>
      </c>
    </row>
    <row r="65" spans="2:8">
      <c r="B65" s="12">
        <v>11</v>
      </c>
      <c r="C65" s="149"/>
      <c r="D65" s="122"/>
      <c r="E65" s="180"/>
      <c r="F65" s="240" cm="1">
        <f t="array" aca="1" ref="F65" ca="1">SUM(_xlfn._xlws.FILTER(OFFSET(Capex!L$433:L$657,,E65-1),ISNUMBER(FIND(C65,Capex!B$433:B$657))))</f>
        <v>0</v>
      </c>
      <c r="G65" s="483">
        <f t="shared" ca="1" si="3"/>
        <v>0</v>
      </c>
      <c r="H65" s="147">
        <f ca="1"/>
        <v>0</v>
      </c>
    </row>
    <row r="66" spans="2:8">
      <c r="B66" s="12">
        <v>12</v>
      </c>
      <c r="C66" s="149"/>
      <c r="D66" s="122"/>
      <c r="E66" s="180"/>
      <c r="F66" s="240" cm="1">
        <f t="array" aca="1" ref="F66" ca="1">SUM(_xlfn._xlws.FILTER(OFFSET(Capex!L$433:L$657,,E66-1),ISNUMBER(FIND(C66,Capex!B$433:B$657))))</f>
        <v>0</v>
      </c>
      <c r="G66" s="483">
        <f t="shared" ca="1" si="3"/>
        <v>0</v>
      </c>
      <c r="H66" s="147">
        <f ca="1"/>
        <v>0</v>
      </c>
    </row>
    <row r="67" spans="2:8">
      <c r="B67" s="12">
        <v>13</v>
      </c>
      <c r="C67" s="149"/>
      <c r="D67" s="122"/>
      <c r="E67" s="180"/>
      <c r="F67" s="240" cm="1">
        <f t="array" aca="1" ref="F67" ca="1">SUM(_xlfn._xlws.FILTER(OFFSET(Capex!L$433:L$657,,E67-1),ISNUMBER(FIND(C67,Capex!B$433:B$657))))</f>
        <v>0</v>
      </c>
      <c r="G67" s="483">
        <f t="shared" ca="1" si="3"/>
        <v>0</v>
      </c>
      <c r="H67" s="147">
        <f ca="1"/>
        <v>0</v>
      </c>
    </row>
    <row r="68" spans="2:8">
      <c r="B68" s="12">
        <v>14</v>
      </c>
      <c r="C68" s="149"/>
      <c r="D68" s="122"/>
      <c r="E68" s="180"/>
      <c r="F68" s="240" cm="1">
        <f t="array" aca="1" ref="F68" ca="1">SUM(_xlfn._xlws.FILTER(OFFSET(Capex!L$433:L$657,,E68-1),ISNUMBER(FIND(C68,Capex!B$433:B$657))))</f>
        <v>0</v>
      </c>
      <c r="G68" s="483">
        <f t="shared" ca="1" si="3"/>
        <v>0</v>
      </c>
      <c r="H68" s="147">
        <f ca="1"/>
        <v>0</v>
      </c>
    </row>
    <row r="69" spans="2:8">
      <c r="B69" s="12">
        <v>15</v>
      </c>
      <c r="C69" s="149"/>
      <c r="D69" s="122"/>
      <c r="E69" s="180"/>
      <c r="F69" s="240" cm="1">
        <f t="array" aca="1" ref="F69" ca="1">SUM(_xlfn._xlws.FILTER(OFFSET(Capex!L$433:L$657,,E69-1),ISNUMBER(FIND(C69,Capex!B$433:B$657))))</f>
        <v>0</v>
      </c>
      <c r="G69" s="483">
        <f t="shared" ca="1" si="3"/>
        <v>0</v>
      </c>
      <c r="H69" s="147">
        <f ca="1"/>
        <v>0</v>
      </c>
    </row>
    <row r="70" spans="2:8">
      <c r="B70" s="12">
        <v>16</v>
      </c>
      <c r="C70" s="149"/>
      <c r="D70" s="122"/>
      <c r="E70" s="180"/>
      <c r="F70" s="240" cm="1">
        <f t="array" aca="1" ref="F70" ca="1">SUM(_xlfn._xlws.FILTER(OFFSET(Capex!L$433:L$657,,E70-1),ISNUMBER(FIND(C70,Capex!B$433:B$657))))</f>
        <v>0</v>
      </c>
      <c r="G70" s="483">
        <f t="shared" ca="1" si="3"/>
        <v>0</v>
      </c>
      <c r="H70" s="147">
        <f ca="1"/>
        <v>0</v>
      </c>
    </row>
    <row r="71" spans="2:8">
      <c r="B71" s="12">
        <v>17</v>
      </c>
      <c r="C71" s="149"/>
      <c r="D71" s="122"/>
      <c r="E71" s="180"/>
      <c r="F71" s="240" cm="1">
        <f t="array" aca="1" ref="F71" ca="1">SUM(_xlfn._xlws.FILTER(OFFSET(Capex!L$433:L$657,,E71-1),ISNUMBER(FIND(C71,Capex!B$433:B$657))))</f>
        <v>0</v>
      </c>
      <c r="G71" s="483">
        <f t="shared" ca="1" si="3"/>
        <v>0</v>
      </c>
      <c r="H71" s="147">
        <f ca="1"/>
        <v>0</v>
      </c>
    </row>
    <row r="72" spans="2:8">
      <c r="B72" s="12">
        <v>18</v>
      </c>
      <c r="C72" s="149"/>
      <c r="D72" s="122"/>
      <c r="E72" s="180"/>
      <c r="F72" s="240" cm="1">
        <f t="array" aca="1" ref="F72" ca="1">SUM(_xlfn._xlws.FILTER(OFFSET(Capex!L$433:L$657,,E72-1),ISNUMBER(FIND(C72,Capex!B$433:B$657))))</f>
        <v>0</v>
      </c>
      <c r="G72" s="483">
        <f t="shared" ca="1" si="3"/>
        <v>0</v>
      </c>
      <c r="H72" s="147">
        <f ca="1"/>
        <v>0</v>
      </c>
    </row>
    <row r="73" spans="2:8">
      <c r="B73" s="12">
        <v>19</v>
      </c>
      <c r="C73" s="149"/>
      <c r="D73" s="122"/>
      <c r="E73" s="180"/>
      <c r="F73" s="240" cm="1">
        <f t="array" aca="1" ref="F73" ca="1">SUM(_xlfn._xlws.FILTER(OFFSET(Capex!L$433:L$657,,E73-1),ISNUMBER(FIND(C73,Capex!B$433:B$657))))</f>
        <v>0</v>
      </c>
      <c r="G73" s="483">
        <f t="shared" ca="1" si="3"/>
        <v>0</v>
      </c>
      <c r="H73" s="147">
        <f ca="1"/>
        <v>0</v>
      </c>
    </row>
    <row r="74" spans="2:8">
      <c r="B74" s="12">
        <v>20</v>
      </c>
      <c r="C74" s="149"/>
      <c r="D74" s="122"/>
      <c r="E74" s="180"/>
      <c r="F74" s="240" cm="1">
        <f t="array" aca="1" ref="F74" ca="1">SUM(_xlfn._xlws.FILTER(OFFSET(Capex!L$433:L$657,,E74-1),ISNUMBER(FIND(C74,Capex!B$433:B$657))))</f>
        <v>0</v>
      </c>
      <c r="G74" s="483">
        <f t="shared" ca="1" si="3"/>
        <v>0</v>
      </c>
      <c r="H74" s="147">
        <f ca="1"/>
        <v>0</v>
      </c>
    </row>
    <row r="75" spans="2:8">
      <c r="B75" s="12">
        <v>21</v>
      </c>
      <c r="C75" s="149"/>
      <c r="D75" s="122"/>
      <c r="E75" s="180"/>
      <c r="F75" s="240" cm="1">
        <f t="array" aca="1" ref="F75" ca="1">SUM(_xlfn._xlws.FILTER(OFFSET(Capex!L$433:L$657,,E75-1),ISNUMBER(FIND(C75,Capex!B$433:B$657))))</f>
        <v>0</v>
      </c>
      <c r="G75" s="483">
        <f t="shared" ca="1" si="3"/>
        <v>0</v>
      </c>
      <c r="H75" s="147">
        <f ca="1"/>
        <v>0</v>
      </c>
    </row>
    <row r="76" spans="2:8">
      <c r="B76" s="12">
        <v>22</v>
      </c>
      <c r="C76" s="149"/>
      <c r="D76" s="122"/>
      <c r="E76" s="180"/>
      <c r="F76" s="240" cm="1">
        <f t="array" aca="1" ref="F76" ca="1">SUM(_xlfn._xlws.FILTER(OFFSET(Capex!L$433:L$657,,E76-1),ISNUMBER(FIND(C76,Capex!B$433:B$657))))</f>
        <v>0</v>
      </c>
      <c r="G76" s="483">
        <f t="shared" ca="1" si="3"/>
        <v>0</v>
      </c>
      <c r="H76" s="147">
        <f ca="1"/>
        <v>0</v>
      </c>
    </row>
    <row r="77" spans="2:8">
      <c r="B77" s="12">
        <v>23</v>
      </c>
      <c r="C77" s="149"/>
      <c r="D77" s="122"/>
      <c r="E77" s="180"/>
      <c r="F77" s="240" cm="1">
        <f t="array" aca="1" ref="F77" ca="1">SUM(_xlfn._xlws.FILTER(OFFSET(Capex!L$433:L$657,,E77-1),ISNUMBER(FIND(C77,Capex!B$433:B$657))))</f>
        <v>0</v>
      </c>
      <c r="G77" s="483">
        <f t="shared" ca="1" si="3"/>
        <v>0</v>
      </c>
      <c r="H77" s="147">
        <f ca="1"/>
        <v>0</v>
      </c>
    </row>
    <row r="78" spans="2:8">
      <c r="B78" s="12">
        <v>24</v>
      </c>
      <c r="C78" s="149"/>
      <c r="D78" s="122"/>
      <c r="E78" s="180"/>
      <c r="F78" s="240" cm="1">
        <f t="array" aca="1" ref="F78" ca="1">SUM(_xlfn._xlws.FILTER(OFFSET(Capex!L$433:L$657,,E78-1),ISNUMBER(FIND(C78,Capex!B$433:B$657))))</f>
        <v>0</v>
      </c>
      <c r="G78" s="483">
        <f t="shared" ca="1" si="3"/>
        <v>0</v>
      </c>
      <c r="H78" s="147">
        <f ca="1"/>
        <v>0</v>
      </c>
    </row>
    <row r="79" spans="2:8">
      <c r="B79" s="12">
        <v>25</v>
      </c>
      <c r="C79" s="149"/>
      <c r="D79" s="122"/>
      <c r="E79" s="180"/>
      <c r="F79" s="240" cm="1">
        <f t="array" aca="1" ref="F79" ca="1">SUM(_xlfn._xlws.FILTER(OFFSET(Capex!L$433:L$657,,E79-1),ISNUMBER(FIND(C79,Capex!B$433:B$657))))</f>
        <v>0</v>
      </c>
      <c r="G79" s="483">
        <f t="shared" ca="1" si="3"/>
        <v>0</v>
      </c>
      <c r="H79" s="147">
        <f ca="1"/>
        <v>0</v>
      </c>
    </row>
    <row r="80" spans="2:8">
      <c r="B80" s="12">
        <v>26</v>
      </c>
      <c r="C80" s="149"/>
      <c r="D80" s="122"/>
      <c r="E80" s="180"/>
      <c r="F80" s="240" cm="1">
        <f t="array" aca="1" ref="F80" ca="1">SUM(_xlfn._xlws.FILTER(OFFSET(Capex!L$433:L$657,,E80-1),ISNUMBER(FIND(C80,Capex!B$433:B$657))))</f>
        <v>0</v>
      </c>
      <c r="G80" s="483">
        <f t="shared" ca="1" si="3"/>
        <v>0</v>
      </c>
      <c r="H80" s="147">
        <f ca="1"/>
        <v>0</v>
      </c>
    </row>
    <row r="81" spans="2:8">
      <c r="B81" s="12">
        <v>27</v>
      </c>
      <c r="C81" s="149"/>
      <c r="D81" s="122"/>
      <c r="E81" s="180"/>
      <c r="F81" s="240" cm="1">
        <f t="array" aca="1" ref="F81" ca="1">SUM(_xlfn._xlws.FILTER(OFFSET(Capex!L$433:L$657,,E81-1),ISNUMBER(FIND(C81,Capex!B$433:B$657))))</f>
        <v>0</v>
      </c>
      <c r="G81" s="483">
        <f t="shared" ca="1" si="3"/>
        <v>0</v>
      </c>
      <c r="H81" s="147">
        <f ca="1"/>
        <v>0</v>
      </c>
    </row>
    <row r="82" spans="2:8">
      <c r="B82" s="12">
        <v>28</v>
      </c>
      <c r="C82" s="149"/>
      <c r="D82" s="122"/>
      <c r="E82" s="180"/>
      <c r="F82" s="240" cm="1">
        <f t="array" aca="1" ref="F82" ca="1">SUM(_xlfn._xlws.FILTER(OFFSET(Capex!L$433:L$657,,E82-1),ISNUMBER(FIND(C82,Capex!B$433:B$657))))</f>
        <v>0</v>
      </c>
      <c r="G82" s="483">
        <f t="shared" ca="1" si="3"/>
        <v>0</v>
      </c>
      <c r="H82" s="147">
        <f ca="1"/>
        <v>0</v>
      </c>
    </row>
    <row r="83" spans="2:8">
      <c r="B83" s="12">
        <v>29</v>
      </c>
      <c r="C83" s="149"/>
      <c r="D83" s="122"/>
      <c r="E83" s="180"/>
      <c r="F83" s="240" cm="1">
        <f t="array" aca="1" ref="F83" ca="1">SUM(_xlfn._xlws.FILTER(OFFSET(Capex!L$433:L$657,,E83-1),ISNUMBER(FIND(C83,Capex!B$433:B$657))))</f>
        <v>0</v>
      </c>
      <c r="G83" s="483">
        <f t="shared" ca="1" si="3"/>
        <v>0</v>
      </c>
      <c r="H83" s="147">
        <f ca="1"/>
        <v>0</v>
      </c>
    </row>
    <row r="84" spans="2:8">
      <c r="B84" s="12">
        <v>30</v>
      </c>
      <c r="C84" s="149"/>
      <c r="D84" s="122"/>
      <c r="E84" s="180"/>
      <c r="F84" s="240" cm="1">
        <f t="array" aca="1" ref="F84" ca="1">SUM(_xlfn._xlws.FILTER(OFFSET(Capex!L$433:L$657,,E84-1),ISNUMBER(FIND(C84,Capex!B$433:B$657))))</f>
        <v>0</v>
      </c>
      <c r="G84" s="483">
        <f t="shared" ca="1" si="3"/>
        <v>0</v>
      </c>
      <c r="H84" s="147">
        <f ca="1"/>
        <v>0</v>
      </c>
    </row>
    <row r="85" spans="2:8">
      <c r="B85" s="12">
        <v>31</v>
      </c>
      <c r="C85" s="149"/>
      <c r="D85" s="122"/>
      <c r="E85" s="180"/>
      <c r="F85" s="240" cm="1">
        <f t="array" aca="1" ref="F85" ca="1">SUM(_xlfn._xlws.FILTER(OFFSET(Capex!L$433:L$657,,E85-1),ISNUMBER(FIND(C85,Capex!B$433:B$657))))</f>
        <v>0</v>
      </c>
      <c r="G85" s="483">
        <f t="shared" ref="G85:G116" ca="1" si="4">F85/F$146</f>
        <v>0</v>
      </c>
      <c r="H85" s="147">
        <f ca="1"/>
        <v>0</v>
      </c>
    </row>
    <row r="86" spans="2:8">
      <c r="B86" s="12">
        <v>32</v>
      </c>
      <c r="C86" s="149"/>
      <c r="D86" s="122"/>
      <c r="E86" s="180"/>
      <c r="F86" s="240" cm="1">
        <f t="array" aca="1" ref="F86" ca="1">SUM(_xlfn._xlws.FILTER(OFFSET(Capex!L$433:L$657,,E86-1),ISNUMBER(FIND(C86,Capex!B$433:B$657))))</f>
        <v>0</v>
      </c>
      <c r="G86" s="483">
        <f t="shared" ca="1" si="4"/>
        <v>0</v>
      </c>
      <c r="H86" s="147">
        <f ca="1"/>
        <v>0</v>
      </c>
    </row>
    <row r="87" spans="2:8">
      <c r="B87" s="12">
        <v>33</v>
      </c>
      <c r="C87" s="149"/>
      <c r="D87" s="122"/>
      <c r="E87" s="180"/>
      <c r="F87" s="240" cm="1">
        <f t="array" aca="1" ref="F87" ca="1">SUM(_xlfn._xlws.FILTER(OFFSET(Capex!L$433:L$657,,E87-1),ISNUMBER(FIND(C87,Capex!B$433:B$657))))</f>
        <v>0</v>
      </c>
      <c r="G87" s="483">
        <f t="shared" ca="1" si="4"/>
        <v>0</v>
      </c>
      <c r="H87" s="147">
        <f ca="1"/>
        <v>0</v>
      </c>
    </row>
    <row r="88" spans="2:8">
      <c r="B88" s="12">
        <v>34</v>
      </c>
      <c r="C88" s="149"/>
      <c r="D88" s="122"/>
      <c r="E88" s="180"/>
      <c r="F88" s="240" cm="1">
        <f t="array" aca="1" ref="F88" ca="1">SUM(_xlfn._xlws.FILTER(OFFSET(Capex!L$433:L$657,,E88-1),ISNUMBER(FIND(C88,Capex!B$433:B$657))))</f>
        <v>0</v>
      </c>
      <c r="G88" s="483">
        <f t="shared" ca="1" si="4"/>
        <v>0</v>
      </c>
      <c r="H88" s="147">
        <f ca="1"/>
        <v>0</v>
      </c>
    </row>
    <row r="89" spans="2:8">
      <c r="B89" s="12">
        <v>35</v>
      </c>
      <c r="C89" s="149"/>
      <c r="D89" s="122"/>
      <c r="E89" s="180"/>
      <c r="F89" s="240" cm="1">
        <f t="array" aca="1" ref="F89" ca="1">SUM(_xlfn._xlws.FILTER(OFFSET(Capex!L$433:L$657,,E89-1),ISNUMBER(FIND(C89,Capex!B$433:B$657))))</f>
        <v>0</v>
      </c>
      <c r="G89" s="483">
        <f t="shared" ca="1" si="4"/>
        <v>0</v>
      </c>
      <c r="H89" s="147">
        <f ca="1"/>
        <v>0</v>
      </c>
    </row>
    <row r="90" spans="2:8">
      <c r="B90" s="12">
        <v>36</v>
      </c>
      <c r="C90" s="149"/>
      <c r="D90" s="122"/>
      <c r="E90" s="180"/>
      <c r="F90" s="240" cm="1">
        <f t="array" aca="1" ref="F90" ca="1">SUM(_xlfn._xlws.FILTER(OFFSET(Capex!L$433:L$657,,E90-1),ISNUMBER(FIND(C90,Capex!B$433:B$657))))</f>
        <v>0</v>
      </c>
      <c r="G90" s="483">
        <f t="shared" ca="1" si="4"/>
        <v>0</v>
      </c>
      <c r="H90" s="147">
        <f ca="1"/>
        <v>0</v>
      </c>
    </row>
    <row r="91" spans="2:8">
      <c r="B91" s="12">
        <v>37</v>
      </c>
      <c r="C91" s="149"/>
      <c r="D91" s="122"/>
      <c r="E91" s="180"/>
      <c r="F91" s="240" cm="1">
        <f t="array" aca="1" ref="F91" ca="1">SUM(_xlfn._xlws.FILTER(OFFSET(Capex!L$433:L$657,,E91-1),ISNUMBER(FIND(C91,Capex!B$433:B$657))))</f>
        <v>0</v>
      </c>
      <c r="G91" s="483">
        <f t="shared" ca="1" si="4"/>
        <v>0</v>
      </c>
      <c r="H91" s="147">
        <f ca="1"/>
        <v>0</v>
      </c>
    </row>
    <row r="92" spans="2:8">
      <c r="B92" s="12">
        <v>38</v>
      </c>
      <c r="C92" s="149"/>
      <c r="D92" s="122"/>
      <c r="E92" s="180"/>
      <c r="F92" s="240" cm="1">
        <f t="array" aca="1" ref="F92" ca="1">SUM(_xlfn._xlws.FILTER(OFFSET(Capex!L$433:L$657,,E92-1),ISNUMBER(FIND(C92,Capex!B$433:B$657))))</f>
        <v>0</v>
      </c>
      <c r="G92" s="483">
        <f t="shared" ca="1" si="4"/>
        <v>0</v>
      </c>
      <c r="H92" s="147">
        <f ca="1"/>
        <v>0</v>
      </c>
    </row>
    <row r="93" spans="2:8">
      <c r="B93" s="12">
        <v>39</v>
      </c>
      <c r="C93" s="149"/>
      <c r="D93" s="122"/>
      <c r="E93" s="180"/>
      <c r="F93" s="240" cm="1">
        <f t="array" aca="1" ref="F93" ca="1">SUM(_xlfn._xlws.FILTER(OFFSET(Capex!L$433:L$657,,E93-1),ISNUMBER(FIND(C93,Capex!B$433:B$657))))</f>
        <v>0</v>
      </c>
      <c r="G93" s="483">
        <f t="shared" ca="1" si="4"/>
        <v>0</v>
      </c>
      <c r="H93" s="147">
        <f ca="1"/>
        <v>0</v>
      </c>
    </row>
    <row r="94" spans="2:8">
      <c r="B94" s="12">
        <v>40</v>
      </c>
      <c r="C94" s="149"/>
      <c r="D94" s="122"/>
      <c r="E94" s="180"/>
      <c r="F94" s="240" cm="1">
        <f t="array" aca="1" ref="F94" ca="1">SUM(_xlfn._xlws.FILTER(OFFSET(Capex!L$433:L$657,,E94-1),ISNUMBER(FIND(C94,Capex!B$433:B$657))))</f>
        <v>0</v>
      </c>
      <c r="G94" s="483">
        <f t="shared" ca="1" si="4"/>
        <v>0</v>
      </c>
      <c r="H94" s="147">
        <f ca="1"/>
        <v>0</v>
      </c>
    </row>
    <row r="95" spans="2:8">
      <c r="B95" s="12">
        <v>41</v>
      </c>
      <c r="C95" s="149"/>
      <c r="D95" s="122"/>
      <c r="E95" s="180"/>
      <c r="F95" s="240" cm="1">
        <f t="array" aca="1" ref="F95" ca="1">SUM(_xlfn._xlws.FILTER(OFFSET(Capex!L$433:L$657,,E95-1),ISNUMBER(FIND(C95,Capex!B$433:B$657))))</f>
        <v>0</v>
      </c>
      <c r="G95" s="483">
        <f t="shared" ca="1" si="4"/>
        <v>0</v>
      </c>
      <c r="H95" s="147">
        <f ca="1"/>
        <v>0</v>
      </c>
    </row>
    <row r="96" spans="2:8">
      <c r="B96" s="12">
        <v>42</v>
      </c>
      <c r="C96" s="149"/>
      <c r="D96" s="122"/>
      <c r="E96" s="180"/>
      <c r="F96" s="240" cm="1">
        <f t="array" aca="1" ref="F96" ca="1">SUM(_xlfn._xlws.FILTER(OFFSET(Capex!L$433:L$657,,E96-1),ISNUMBER(FIND(C96,Capex!B$433:B$657))))</f>
        <v>0</v>
      </c>
      <c r="G96" s="483">
        <f t="shared" ca="1" si="4"/>
        <v>0</v>
      </c>
      <c r="H96" s="147">
        <f ca="1"/>
        <v>0</v>
      </c>
    </row>
    <row r="97" spans="2:8">
      <c r="B97" s="12">
        <v>43</v>
      </c>
      <c r="C97" s="149"/>
      <c r="D97" s="122"/>
      <c r="E97" s="180"/>
      <c r="F97" s="240" cm="1">
        <f t="array" aca="1" ref="F97" ca="1">SUM(_xlfn._xlws.FILTER(OFFSET(Capex!L$433:L$657,,E97-1),ISNUMBER(FIND(C97,Capex!B$433:B$657))))</f>
        <v>0</v>
      </c>
      <c r="G97" s="483">
        <f t="shared" ca="1" si="4"/>
        <v>0</v>
      </c>
      <c r="H97" s="147">
        <f ca="1"/>
        <v>0</v>
      </c>
    </row>
    <row r="98" spans="2:8">
      <c r="B98" s="12">
        <v>44</v>
      </c>
      <c r="C98" s="149"/>
      <c r="D98" s="122"/>
      <c r="E98" s="180"/>
      <c r="F98" s="240" cm="1">
        <f t="array" aca="1" ref="F98" ca="1">SUM(_xlfn._xlws.FILTER(OFFSET(Capex!L$433:L$657,,E98-1),ISNUMBER(FIND(C98,Capex!B$433:B$657))))</f>
        <v>0</v>
      </c>
      <c r="G98" s="483">
        <f t="shared" ca="1" si="4"/>
        <v>0</v>
      </c>
      <c r="H98" s="147">
        <f ca="1"/>
        <v>0</v>
      </c>
    </row>
    <row r="99" spans="2:8">
      <c r="B99" s="12">
        <v>45</v>
      </c>
      <c r="C99" s="149"/>
      <c r="D99" s="122"/>
      <c r="E99" s="180"/>
      <c r="F99" s="240" cm="1">
        <f t="array" aca="1" ref="F99" ca="1">SUM(_xlfn._xlws.FILTER(OFFSET(Capex!L$433:L$657,,E99-1),ISNUMBER(FIND(C99,Capex!B$433:B$657))))</f>
        <v>0</v>
      </c>
      <c r="G99" s="483">
        <f t="shared" ca="1" si="4"/>
        <v>0</v>
      </c>
      <c r="H99" s="147">
        <f ca="1"/>
        <v>0</v>
      </c>
    </row>
    <row r="100" spans="2:8">
      <c r="B100" s="12">
        <v>46</v>
      </c>
      <c r="C100" s="149"/>
      <c r="D100" s="122"/>
      <c r="E100" s="180"/>
      <c r="F100" s="240" cm="1">
        <f t="array" aca="1" ref="F100" ca="1">SUM(_xlfn._xlws.FILTER(OFFSET(Capex!L$433:L$657,,E100-1),ISNUMBER(FIND(C100,Capex!B$433:B$657))))</f>
        <v>0</v>
      </c>
      <c r="G100" s="483">
        <f t="shared" ca="1" si="4"/>
        <v>0</v>
      </c>
      <c r="H100" s="147">
        <f ca="1"/>
        <v>0</v>
      </c>
    </row>
    <row r="101" spans="2:8">
      <c r="B101" s="12">
        <v>47</v>
      </c>
      <c r="C101" s="149"/>
      <c r="D101" s="122"/>
      <c r="E101" s="180"/>
      <c r="F101" s="240" cm="1">
        <f t="array" aca="1" ref="F101" ca="1">SUM(_xlfn._xlws.FILTER(OFFSET(Capex!L$433:L$657,,E101-1),ISNUMBER(FIND(C101,Capex!B$433:B$657))))</f>
        <v>0</v>
      </c>
      <c r="G101" s="483">
        <f t="shared" ca="1" si="4"/>
        <v>0</v>
      </c>
      <c r="H101" s="147">
        <f ca="1"/>
        <v>0</v>
      </c>
    </row>
    <row r="102" spans="2:8">
      <c r="B102" s="12">
        <v>48</v>
      </c>
      <c r="C102" s="149"/>
      <c r="D102" s="122"/>
      <c r="E102" s="180"/>
      <c r="F102" s="240" cm="1">
        <f t="array" aca="1" ref="F102" ca="1">SUM(_xlfn._xlws.FILTER(OFFSET(Capex!L$433:L$657,,E102-1),ISNUMBER(FIND(C102,Capex!B$433:B$657))))</f>
        <v>0</v>
      </c>
      <c r="G102" s="483">
        <f t="shared" ca="1" si="4"/>
        <v>0</v>
      </c>
      <c r="H102" s="147">
        <f ca="1"/>
        <v>0</v>
      </c>
    </row>
    <row r="103" spans="2:8">
      <c r="B103" s="12">
        <v>49</v>
      </c>
      <c r="C103" s="149"/>
      <c r="D103" s="122"/>
      <c r="E103" s="180"/>
      <c r="F103" s="240" cm="1">
        <f t="array" aca="1" ref="F103" ca="1">SUM(_xlfn._xlws.FILTER(OFFSET(Capex!L$433:L$657,,E103-1),ISNUMBER(FIND(C103,Capex!B$433:B$657))))</f>
        <v>0</v>
      </c>
      <c r="G103" s="483">
        <f t="shared" ca="1" si="4"/>
        <v>0</v>
      </c>
      <c r="H103" s="147">
        <f ca="1"/>
        <v>0</v>
      </c>
    </row>
    <row r="104" spans="2:8">
      <c r="B104" s="12">
        <v>50</v>
      </c>
      <c r="C104" s="149"/>
      <c r="D104" s="122"/>
      <c r="E104" s="180"/>
      <c r="F104" s="240" cm="1">
        <f t="array" aca="1" ref="F104" ca="1">SUM(_xlfn._xlws.FILTER(OFFSET(Capex!L$433:L$657,,E104-1),ISNUMBER(FIND(C104,Capex!B$433:B$657))))</f>
        <v>0</v>
      </c>
      <c r="G104" s="483">
        <f t="shared" ca="1" si="4"/>
        <v>0</v>
      </c>
      <c r="H104" s="147">
        <f ca="1"/>
        <v>0</v>
      </c>
    </row>
    <row r="105" spans="2:8">
      <c r="B105" s="12">
        <v>51</v>
      </c>
      <c r="C105" s="149"/>
      <c r="D105" s="122"/>
      <c r="E105" s="180"/>
      <c r="F105" s="240" cm="1">
        <f t="array" aca="1" ref="F105" ca="1">SUM(_xlfn._xlws.FILTER(OFFSET(Capex!L$433:L$657,,E105-1),ISNUMBER(FIND(C105,Capex!B$433:B$657))))</f>
        <v>0</v>
      </c>
      <c r="G105" s="483">
        <f t="shared" ca="1" si="4"/>
        <v>0</v>
      </c>
      <c r="H105" s="147">
        <f ca="1"/>
        <v>0</v>
      </c>
    </row>
    <row r="106" spans="2:8">
      <c r="B106" s="12">
        <v>52</v>
      </c>
      <c r="C106" s="149"/>
      <c r="D106" s="122"/>
      <c r="E106" s="180"/>
      <c r="F106" s="240" cm="1">
        <f t="array" aca="1" ref="F106" ca="1">SUM(_xlfn._xlws.FILTER(OFFSET(Capex!L$433:L$657,,E106-1),ISNUMBER(FIND(C106,Capex!B$433:B$657))))</f>
        <v>0</v>
      </c>
      <c r="G106" s="483">
        <f t="shared" ca="1" si="4"/>
        <v>0</v>
      </c>
      <c r="H106" s="147">
        <f ca="1"/>
        <v>0</v>
      </c>
    </row>
    <row r="107" spans="2:8">
      <c r="B107" s="12">
        <v>53</v>
      </c>
      <c r="C107" s="149"/>
      <c r="D107" s="122"/>
      <c r="E107" s="180"/>
      <c r="F107" s="240" cm="1">
        <f t="array" aca="1" ref="F107" ca="1">SUM(_xlfn._xlws.FILTER(OFFSET(Capex!L$433:L$657,,E107-1),ISNUMBER(FIND(C107,Capex!B$433:B$657))))</f>
        <v>0</v>
      </c>
      <c r="G107" s="483">
        <f t="shared" ca="1" si="4"/>
        <v>0</v>
      </c>
      <c r="H107" s="147">
        <f ca="1"/>
        <v>0</v>
      </c>
    </row>
    <row r="108" spans="2:8">
      <c r="B108" s="12">
        <v>54</v>
      </c>
      <c r="C108" s="149"/>
      <c r="D108" s="122"/>
      <c r="E108" s="180"/>
      <c r="F108" s="240" cm="1">
        <f t="array" aca="1" ref="F108" ca="1">SUM(_xlfn._xlws.FILTER(OFFSET(Capex!L$433:L$657,,E108-1),ISNUMBER(FIND(C108,Capex!B$433:B$657))))</f>
        <v>0</v>
      </c>
      <c r="G108" s="483">
        <f t="shared" ca="1" si="4"/>
        <v>0</v>
      </c>
      <c r="H108" s="147">
        <f ca="1"/>
        <v>0</v>
      </c>
    </row>
    <row r="109" spans="2:8">
      <c r="B109" s="12">
        <v>55</v>
      </c>
      <c r="C109" s="149"/>
      <c r="D109" s="122"/>
      <c r="E109" s="180"/>
      <c r="F109" s="240" cm="1">
        <f t="array" aca="1" ref="F109" ca="1">SUM(_xlfn._xlws.FILTER(OFFSET(Capex!L$433:L$657,,E109-1),ISNUMBER(FIND(C109,Capex!B$433:B$657))))</f>
        <v>0</v>
      </c>
      <c r="G109" s="483">
        <f t="shared" ca="1" si="4"/>
        <v>0</v>
      </c>
      <c r="H109" s="147">
        <f ca="1"/>
        <v>0</v>
      </c>
    </row>
    <row r="110" spans="2:8">
      <c r="B110" s="12">
        <v>56</v>
      </c>
      <c r="C110" s="149"/>
      <c r="D110" s="122"/>
      <c r="E110" s="180"/>
      <c r="F110" s="240" cm="1">
        <f t="array" aca="1" ref="F110" ca="1">SUM(_xlfn._xlws.FILTER(OFFSET(Capex!L$433:L$657,,E110-1),ISNUMBER(FIND(C110,Capex!B$433:B$657))))</f>
        <v>0</v>
      </c>
      <c r="G110" s="483">
        <f t="shared" ca="1" si="4"/>
        <v>0</v>
      </c>
      <c r="H110" s="147">
        <f ca="1"/>
        <v>0</v>
      </c>
    </row>
    <row r="111" spans="2:8">
      <c r="B111" s="12">
        <v>57</v>
      </c>
      <c r="C111" s="149"/>
      <c r="D111" s="122"/>
      <c r="E111" s="180"/>
      <c r="F111" s="240" cm="1">
        <f t="array" aca="1" ref="F111" ca="1">SUM(_xlfn._xlws.FILTER(OFFSET(Capex!L$433:L$657,,E111-1),ISNUMBER(FIND(C111,Capex!B$433:B$657))))</f>
        <v>0</v>
      </c>
      <c r="G111" s="483">
        <f t="shared" ca="1" si="4"/>
        <v>0</v>
      </c>
      <c r="H111" s="147">
        <f ca="1"/>
        <v>0</v>
      </c>
    </row>
    <row r="112" spans="2:8">
      <c r="B112" s="12">
        <v>58</v>
      </c>
      <c r="C112" s="149"/>
      <c r="D112" s="122"/>
      <c r="E112" s="180"/>
      <c r="F112" s="240" cm="1">
        <f t="array" aca="1" ref="F112" ca="1">SUM(_xlfn._xlws.FILTER(OFFSET(Capex!L$433:L$657,,E112-1),ISNUMBER(FIND(C112,Capex!B$433:B$657))))</f>
        <v>0</v>
      </c>
      <c r="G112" s="483">
        <f t="shared" ca="1" si="4"/>
        <v>0</v>
      </c>
      <c r="H112" s="147">
        <f ca="1"/>
        <v>0</v>
      </c>
    </row>
    <row r="113" spans="2:8">
      <c r="B113" s="12">
        <v>59</v>
      </c>
      <c r="C113" s="149"/>
      <c r="D113" s="122"/>
      <c r="E113" s="180"/>
      <c r="F113" s="240" cm="1">
        <f t="array" aca="1" ref="F113" ca="1">SUM(_xlfn._xlws.FILTER(OFFSET(Capex!L$433:L$657,,E113-1),ISNUMBER(FIND(C113,Capex!B$433:B$657))))</f>
        <v>0</v>
      </c>
      <c r="G113" s="483">
        <f t="shared" ca="1" si="4"/>
        <v>0</v>
      </c>
      <c r="H113" s="147">
        <f ca="1"/>
        <v>0</v>
      </c>
    </row>
    <row r="114" spans="2:8">
      <c r="B114" s="12">
        <v>60</v>
      </c>
      <c r="C114" s="149"/>
      <c r="D114" s="122"/>
      <c r="E114" s="180"/>
      <c r="F114" s="240" cm="1">
        <f t="array" aca="1" ref="F114" ca="1">SUM(_xlfn._xlws.FILTER(OFFSET(Capex!L$433:L$657,,E114-1),ISNUMBER(FIND(C114,Capex!B$433:B$657))))</f>
        <v>0</v>
      </c>
      <c r="G114" s="483">
        <f t="shared" ca="1" si="4"/>
        <v>0</v>
      </c>
      <c r="H114" s="147">
        <f ca="1"/>
        <v>0</v>
      </c>
    </row>
    <row r="115" spans="2:8">
      <c r="B115" s="12">
        <v>61</v>
      </c>
      <c r="C115" s="149"/>
      <c r="D115" s="122"/>
      <c r="E115" s="180"/>
      <c r="F115" s="240" cm="1">
        <f t="array" aca="1" ref="F115" ca="1">SUM(_xlfn._xlws.FILTER(OFFSET(Capex!L$433:L$657,,E115-1),ISNUMBER(FIND(C115,Capex!B$433:B$657))))</f>
        <v>0</v>
      </c>
      <c r="G115" s="483">
        <f t="shared" ca="1" si="4"/>
        <v>0</v>
      </c>
      <c r="H115" s="147">
        <f ca="1"/>
        <v>0</v>
      </c>
    </row>
    <row r="116" spans="2:8">
      <c r="B116" s="12">
        <v>62</v>
      </c>
      <c r="C116" s="149"/>
      <c r="D116" s="122"/>
      <c r="E116" s="180"/>
      <c r="F116" s="240" cm="1">
        <f t="array" aca="1" ref="F116" ca="1">SUM(_xlfn._xlws.FILTER(OFFSET(Capex!L$433:L$657,,E116-1),ISNUMBER(FIND(C116,Capex!B$433:B$657))))</f>
        <v>0</v>
      </c>
      <c r="G116" s="483">
        <f t="shared" ca="1" si="4"/>
        <v>0</v>
      </c>
      <c r="H116" s="147">
        <f ca="1"/>
        <v>0</v>
      </c>
    </row>
    <row r="117" spans="2:8">
      <c r="B117" s="12">
        <v>63</v>
      </c>
      <c r="C117" s="149"/>
      <c r="D117" s="122"/>
      <c r="E117" s="180"/>
      <c r="F117" s="240" cm="1">
        <f t="array" aca="1" ref="F117" ca="1">SUM(_xlfn._xlws.FILTER(OFFSET(Capex!L$433:L$657,,E117-1),ISNUMBER(FIND(C117,Capex!B$433:B$657))))</f>
        <v>0</v>
      </c>
      <c r="G117" s="483">
        <f t="shared" ref="G117:G145" ca="1" si="5">F117/F$146</f>
        <v>0</v>
      </c>
      <c r="H117" s="147">
        <f ca="1"/>
        <v>0</v>
      </c>
    </row>
    <row r="118" spans="2:8">
      <c r="B118" s="12">
        <v>64</v>
      </c>
      <c r="C118" s="149"/>
      <c r="D118" s="122"/>
      <c r="E118" s="180"/>
      <c r="F118" s="240" cm="1">
        <f t="array" aca="1" ref="F118" ca="1">SUM(_xlfn._xlws.FILTER(OFFSET(Capex!L$433:L$657,,E118-1),ISNUMBER(FIND(C118,Capex!B$433:B$657))))</f>
        <v>0</v>
      </c>
      <c r="G118" s="483">
        <f t="shared" ca="1" si="5"/>
        <v>0</v>
      </c>
      <c r="H118" s="147">
        <f ca="1"/>
        <v>0</v>
      </c>
    </row>
    <row r="119" spans="2:8">
      <c r="B119" s="12">
        <v>65</v>
      </c>
      <c r="C119" s="149"/>
      <c r="D119" s="122"/>
      <c r="E119" s="180"/>
      <c r="F119" s="240" cm="1">
        <f t="array" aca="1" ref="F119" ca="1">SUM(_xlfn._xlws.FILTER(OFFSET(Capex!L$433:L$657,,E119-1),ISNUMBER(FIND(C119,Capex!B$433:B$657))))</f>
        <v>0</v>
      </c>
      <c r="G119" s="483">
        <f t="shared" ca="1" si="5"/>
        <v>0</v>
      </c>
      <c r="H119" s="147">
        <f ca="1"/>
        <v>0</v>
      </c>
    </row>
    <row r="120" spans="2:8">
      <c r="B120" s="12">
        <v>66</v>
      </c>
      <c r="C120" s="149"/>
      <c r="D120" s="122"/>
      <c r="E120" s="180"/>
      <c r="F120" s="240" cm="1">
        <f t="array" aca="1" ref="F120" ca="1">SUM(_xlfn._xlws.FILTER(OFFSET(Capex!L$433:L$657,,E120-1),ISNUMBER(FIND(C120,Capex!B$433:B$657))))</f>
        <v>0</v>
      </c>
      <c r="G120" s="483">
        <f t="shared" ca="1" si="5"/>
        <v>0</v>
      </c>
      <c r="H120" s="147">
        <f ca="1"/>
        <v>0</v>
      </c>
    </row>
    <row r="121" spans="2:8">
      <c r="B121" s="12">
        <v>67</v>
      </c>
      <c r="C121" s="149"/>
      <c r="D121" s="122"/>
      <c r="E121" s="180"/>
      <c r="F121" s="240" cm="1">
        <f t="array" aca="1" ref="F121" ca="1">SUM(_xlfn._xlws.FILTER(OFFSET(Capex!L$433:L$657,,E121-1),ISNUMBER(FIND(C121,Capex!B$433:B$657))))</f>
        <v>0</v>
      </c>
      <c r="G121" s="483">
        <f t="shared" ca="1" si="5"/>
        <v>0</v>
      </c>
      <c r="H121" s="147">
        <f ca="1"/>
        <v>0</v>
      </c>
    </row>
    <row r="122" spans="2:8">
      <c r="B122" s="12">
        <v>68</v>
      </c>
      <c r="C122" s="149"/>
      <c r="D122" s="122"/>
      <c r="E122" s="180"/>
      <c r="F122" s="240" cm="1">
        <f t="array" aca="1" ref="F122" ca="1">SUM(_xlfn._xlws.FILTER(OFFSET(Capex!L$433:L$657,,E122-1),ISNUMBER(FIND(C122,Capex!B$433:B$657))))</f>
        <v>0</v>
      </c>
      <c r="G122" s="483">
        <f t="shared" ca="1" si="5"/>
        <v>0</v>
      </c>
      <c r="H122" s="147">
        <f ca="1"/>
        <v>0</v>
      </c>
    </row>
    <row r="123" spans="2:8">
      <c r="B123" s="12">
        <v>69</v>
      </c>
      <c r="C123" s="149"/>
      <c r="D123" s="122"/>
      <c r="E123" s="180"/>
      <c r="F123" s="240" cm="1">
        <f t="array" aca="1" ref="F123" ca="1">SUM(_xlfn._xlws.FILTER(OFFSET(Capex!L$433:L$657,,E123-1),ISNUMBER(FIND(C123,Capex!B$433:B$657))))</f>
        <v>0</v>
      </c>
      <c r="G123" s="483">
        <f t="shared" ca="1" si="5"/>
        <v>0</v>
      </c>
      <c r="H123" s="147">
        <f ca="1"/>
        <v>0</v>
      </c>
    </row>
    <row r="124" spans="2:8">
      <c r="B124" s="12">
        <v>70</v>
      </c>
      <c r="C124" s="149"/>
      <c r="D124" s="122"/>
      <c r="E124" s="180"/>
      <c r="F124" s="240" cm="1">
        <f t="array" aca="1" ref="F124" ca="1">SUM(_xlfn._xlws.FILTER(OFFSET(Capex!L$433:L$657,,E124-1),ISNUMBER(FIND(C124,Capex!B$433:B$657))))</f>
        <v>0</v>
      </c>
      <c r="G124" s="483">
        <f t="shared" ca="1" si="5"/>
        <v>0</v>
      </c>
      <c r="H124" s="147">
        <f ca="1"/>
        <v>0</v>
      </c>
    </row>
    <row r="125" spans="2:8">
      <c r="B125" s="12">
        <v>71</v>
      </c>
      <c r="C125" s="149"/>
      <c r="D125" s="122"/>
      <c r="E125" s="180"/>
      <c r="F125" s="240" cm="1">
        <f t="array" aca="1" ref="F125" ca="1">SUM(_xlfn._xlws.FILTER(OFFSET(Capex!L$433:L$657,,E125-1),ISNUMBER(FIND(C125,Capex!B$433:B$657))))</f>
        <v>0</v>
      </c>
      <c r="G125" s="483">
        <f t="shared" ca="1" si="5"/>
        <v>0</v>
      </c>
      <c r="H125" s="147">
        <f ca="1"/>
        <v>0</v>
      </c>
    </row>
    <row r="126" spans="2:8">
      <c r="B126" s="12">
        <v>72</v>
      </c>
      <c r="C126" s="149"/>
      <c r="D126" s="122"/>
      <c r="E126" s="180"/>
      <c r="F126" s="240" cm="1">
        <f t="array" aca="1" ref="F126" ca="1">SUM(_xlfn._xlws.FILTER(OFFSET(Capex!L$433:L$657,,E126-1),ISNUMBER(FIND(C126,Capex!B$433:B$657))))</f>
        <v>0</v>
      </c>
      <c r="G126" s="483">
        <f t="shared" ca="1" si="5"/>
        <v>0</v>
      </c>
      <c r="H126" s="147">
        <f ca="1"/>
        <v>0</v>
      </c>
    </row>
    <row r="127" spans="2:8">
      <c r="B127" s="12">
        <v>73</v>
      </c>
      <c r="C127" s="149"/>
      <c r="D127" s="122"/>
      <c r="E127" s="180"/>
      <c r="F127" s="240" cm="1">
        <f t="array" aca="1" ref="F127" ca="1">SUM(_xlfn._xlws.FILTER(OFFSET(Capex!L$433:L$657,,E127-1),ISNUMBER(FIND(C127,Capex!B$433:B$657))))</f>
        <v>0</v>
      </c>
      <c r="G127" s="483">
        <f t="shared" ca="1" si="5"/>
        <v>0</v>
      </c>
      <c r="H127" s="147">
        <f ca="1"/>
        <v>0</v>
      </c>
    </row>
    <row r="128" spans="2:8">
      <c r="B128" s="12">
        <v>74</v>
      </c>
      <c r="C128" s="149"/>
      <c r="D128" s="122"/>
      <c r="E128" s="180"/>
      <c r="F128" s="240" cm="1">
        <f t="array" aca="1" ref="F128" ca="1">SUM(_xlfn._xlws.FILTER(OFFSET(Capex!L$433:L$657,,E128-1),ISNUMBER(FIND(C128,Capex!B$433:B$657))))</f>
        <v>0</v>
      </c>
      <c r="G128" s="483">
        <f t="shared" ca="1" si="5"/>
        <v>0</v>
      </c>
      <c r="H128" s="147">
        <f ca="1"/>
        <v>0</v>
      </c>
    </row>
    <row r="129" spans="2:8">
      <c r="B129" s="12">
        <v>75</v>
      </c>
      <c r="C129" s="149"/>
      <c r="D129" s="122"/>
      <c r="E129" s="180"/>
      <c r="F129" s="240" cm="1">
        <f t="array" aca="1" ref="F129" ca="1">SUM(_xlfn._xlws.FILTER(OFFSET(Capex!L$433:L$657,,E129-1),ISNUMBER(FIND(C129,Capex!B$433:B$657))))</f>
        <v>0</v>
      </c>
      <c r="G129" s="483">
        <f t="shared" ca="1" si="5"/>
        <v>0</v>
      </c>
      <c r="H129" s="147">
        <f ca="1"/>
        <v>0</v>
      </c>
    </row>
    <row r="130" spans="2:8">
      <c r="B130" s="12">
        <v>76</v>
      </c>
      <c r="C130" s="149"/>
      <c r="D130" s="122"/>
      <c r="E130" s="180"/>
      <c r="F130" s="240" cm="1">
        <f t="array" aca="1" ref="F130" ca="1">SUM(_xlfn._xlws.FILTER(OFFSET(Capex!L$433:L$657,,E130-1),ISNUMBER(FIND(C130,Capex!B$433:B$657))))</f>
        <v>0</v>
      </c>
      <c r="G130" s="483">
        <f t="shared" ca="1" si="5"/>
        <v>0</v>
      </c>
      <c r="H130" s="147">
        <f ca="1"/>
        <v>0</v>
      </c>
    </row>
    <row r="131" spans="2:8">
      <c r="B131" s="12">
        <v>77</v>
      </c>
      <c r="C131" s="149"/>
      <c r="D131" s="122"/>
      <c r="E131" s="180"/>
      <c r="F131" s="240" cm="1">
        <f t="array" aca="1" ref="F131" ca="1">SUM(_xlfn._xlws.FILTER(OFFSET(Capex!L$433:L$657,,E131-1),ISNUMBER(FIND(C131,Capex!B$433:B$657))))</f>
        <v>0</v>
      </c>
      <c r="G131" s="483">
        <f t="shared" ca="1" si="5"/>
        <v>0</v>
      </c>
      <c r="H131" s="147">
        <f ca="1"/>
        <v>0</v>
      </c>
    </row>
    <row r="132" spans="2:8">
      <c r="B132" s="12">
        <v>78</v>
      </c>
      <c r="C132" s="149"/>
      <c r="D132" s="122"/>
      <c r="E132" s="180"/>
      <c r="F132" s="240" cm="1">
        <f t="array" aca="1" ref="F132" ca="1">SUM(_xlfn._xlws.FILTER(OFFSET(Capex!L$433:L$657,,E132-1),ISNUMBER(FIND(C132,Capex!B$433:B$657))))</f>
        <v>0</v>
      </c>
      <c r="G132" s="483">
        <f t="shared" ca="1" si="5"/>
        <v>0</v>
      </c>
      <c r="H132" s="147">
        <f ca="1"/>
        <v>0</v>
      </c>
    </row>
    <row r="133" spans="2:8">
      <c r="B133" s="12">
        <v>79</v>
      </c>
      <c r="C133" s="149"/>
      <c r="D133" s="122"/>
      <c r="E133" s="180"/>
      <c r="F133" s="240" cm="1">
        <f t="array" aca="1" ref="F133" ca="1">SUM(_xlfn._xlws.FILTER(OFFSET(Capex!L$433:L$657,,E133-1),ISNUMBER(FIND(C133,Capex!B$433:B$657))))</f>
        <v>0</v>
      </c>
      <c r="G133" s="483">
        <f t="shared" ca="1" si="5"/>
        <v>0</v>
      </c>
      <c r="H133" s="147">
        <f ca="1"/>
        <v>0</v>
      </c>
    </row>
    <row r="134" spans="2:8">
      <c r="B134" s="12">
        <v>80</v>
      </c>
      <c r="C134" s="149"/>
      <c r="D134" s="122"/>
      <c r="E134" s="180"/>
      <c r="F134" s="240" cm="1">
        <f t="array" aca="1" ref="F134" ca="1">SUM(_xlfn._xlws.FILTER(OFFSET(Capex!L$433:L$657,,E134-1),ISNUMBER(FIND(C134,Capex!B$433:B$657))))</f>
        <v>0</v>
      </c>
      <c r="G134" s="483">
        <f t="shared" ca="1" si="5"/>
        <v>0</v>
      </c>
      <c r="H134" s="147">
        <f ca="1"/>
        <v>0</v>
      </c>
    </row>
    <row r="135" spans="2:8">
      <c r="B135" s="12">
        <v>81</v>
      </c>
      <c r="C135" s="149"/>
      <c r="D135" s="122"/>
      <c r="E135" s="180"/>
      <c r="F135" s="240" cm="1">
        <f t="array" aca="1" ref="F135" ca="1">SUM(_xlfn._xlws.FILTER(OFFSET(Capex!L$433:L$657,,E135-1),ISNUMBER(FIND(C135,Capex!B$433:B$657))))</f>
        <v>0</v>
      </c>
      <c r="G135" s="483">
        <f t="shared" ca="1" si="5"/>
        <v>0</v>
      </c>
      <c r="H135" s="147">
        <f ca="1"/>
        <v>0</v>
      </c>
    </row>
    <row r="136" spans="2:8">
      <c r="B136" s="12">
        <v>82</v>
      </c>
      <c r="C136" s="149"/>
      <c r="D136" s="122"/>
      <c r="E136" s="180"/>
      <c r="F136" s="240" cm="1">
        <f t="array" aca="1" ref="F136" ca="1">SUM(_xlfn._xlws.FILTER(OFFSET(Capex!L$433:L$657,,E136-1),ISNUMBER(FIND(C136,Capex!B$433:B$657))))</f>
        <v>0</v>
      </c>
      <c r="G136" s="483">
        <f t="shared" ca="1" si="5"/>
        <v>0</v>
      </c>
      <c r="H136" s="147">
        <f ca="1"/>
        <v>0</v>
      </c>
    </row>
    <row r="137" spans="2:8">
      <c r="B137" s="12">
        <v>83</v>
      </c>
      <c r="C137" s="149"/>
      <c r="D137" s="122"/>
      <c r="E137" s="180"/>
      <c r="F137" s="240" cm="1">
        <f t="array" aca="1" ref="F137" ca="1">SUM(_xlfn._xlws.FILTER(OFFSET(Capex!L$433:L$657,,E137-1),ISNUMBER(FIND(C137,Capex!B$433:B$657))))</f>
        <v>0</v>
      </c>
      <c r="G137" s="483">
        <f t="shared" ca="1" si="5"/>
        <v>0</v>
      </c>
      <c r="H137" s="147">
        <f ca="1"/>
        <v>0</v>
      </c>
    </row>
    <row r="138" spans="2:8">
      <c r="B138" s="12">
        <v>84</v>
      </c>
      <c r="C138" s="149"/>
      <c r="D138" s="122"/>
      <c r="E138" s="180"/>
      <c r="F138" s="240" cm="1">
        <f t="array" aca="1" ref="F138" ca="1">SUM(_xlfn._xlws.FILTER(OFFSET(Capex!L$433:L$657,,E138-1),ISNUMBER(FIND(C138,Capex!B$433:B$657))))</f>
        <v>0</v>
      </c>
      <c r="G138" s="483">
        <f t="shared" ca="1" si="5"/>
        <v>0</v>
      </c>
      <c r="H138" s="147">
        <f ca="1"/>
        <v>0</v>
      </c>
    </row>
    <row r="139" spans="2:8">
      <c r="B139" s="12">
        <v>85</v>
      </c>
      <c r="C139" s="149"/>
      <c r="D139" s="122"/>
      <c r="E139" s="180"/>
      <c r="F139" s="240" cm="1">
        <f t="array" aca="1" ref="F139" ca="1">SUM(_xlfn._xlws.FILTER(OFFSET(Capex!L$433:L$657,,E139-1),ISNUMBER(FIND(C139,Capex!B$433:B$657))))</f>
        <v>0</v>
      </c>
      <c r="G139" s="483">
        <f t="shared" ca="1" si="5"/>
        <v>0</v>
      </c>
      <c r="H139" s="147">
        <f ca="1"/>
        <v>0</v>
      </c>
    </row>
    <row r="140" spans="2:8">
      <c r="B140" s="12">
        <v>86</v>
      </c>
      <c r="C140" s="149"/>
      <c r="D140" s="122"/>
      <c r="E140" s="180"/>
      <c r="F140" s="240" cm="1">
        <f t="array" aca="1" ref="F140" ca="1">SUM(_xlfn._xlws.FILTER(OFFSET(Capex!L$433:L$657,,E140-1),ISNUMBER(FIND(C140,Capex!B$433:B$657))))</f>
        <v>0</v>
      </c>
      <c r="G140" s="483">
        <f t="shared" ca="1" si="5"/>
        <v>0</v>
      </c>
      <c r="H140" s="147">
        <f ca="1"/>
        <v>0</v>
      </c>
    </row>
    <row r="141" spans="2:8">
      <c r="B141" s="12">
        <v>87</v>
      </c>
      <c r="C141" s="149"/>
      <c r="D141" s="122"/>
      <c r="E141" s="180"/>
      <c r="F141" s="240" cm="1">
        <f t="array" aca="1" ref="F141" ca="1">SUM(_xlfn._xlws.FILTER(OFFSET(Capex!L$433:L$657,,E141-1),ISNUMBER(FIND(C141,Capex!B$433:B$657))))</f>
        <v>0</v>
      </c>
      <c r="G141" s="483">
        <f t="shared" ca="1" si="5"/>
        <v>0</v>
      </c>
      <c r="H141" s="147">
        <f ca="1"/>
        <v>0</v>
      </c>
    </row>
    <row r="142" spans="2:8">
      <c r="B142" s="12">
        <v>88</v>
      </c>
      <c r="C142" s="149"/>
      <c r="D142" s="122"/>
      <c r="E142" s="180"/>
      <c r="F142" s="240" cm="1">
        <f t="array" aca="1" ref="F142" ca="1">SUM(_xlfn._xlws.FILTER(OFFSET(Capex!L$433:L$657,,E142-1),ISNUMBER(FIND(C142,Capex!B$433:B$657))))</f>
        <v>0</v>
      </c>
      <c r="G142" s="483">
        <f t="shared" ca="1" si="5"/>
        <v>0</v>
      </c>
      <c r="H142" s="147">
        <f ca="1"/>
        <v>0</v>
      </c>
    </row>
    <row r="143" spans="2:8">
      <c r="B143" s="12">
        <v>89</v>
      </c>
      <c r="C143" s="149"/>
      <c r="D143" s="122"/>
      <c r="E143" s="180"/>
      <c r="F143" s="240" cm="1">
        <f t="array" aca="1" ref="F143" ca="1">SUM(_xlfn._xlws.FILTER(OFFSET(Capex!L$433:L$657,,E143-1),ISNUMBER(FIND(C143,Capex!B$433:B$657))))</f>
        <v>0</v>
      </c>
      <c r="G143" s="483">
        <f t="shared" ca="1" si="5"/>
        <v>0</v>
      </c>
      <c r="H143" s="147">
        <f ca="1"/>
        <v>0</v>
      </c>
    </row>
    <row r="144" spans="2:8">
      <c r="B144" s="12">
        <v>90</v>
      </c>
      <c r="C144" s="149"/>
      <c r="D144" s="122"/>
      <c r="E144" s="180"/>
      <c r="F144" s="240" cm="1">
        <f t="array" aca="1" ref="F144" ca="1">SUM(_xlfn._xlws.FILTER(OFFSET(Capex!L$433:L$657,,E144-1),ISNUMBER(FIND(C144,Capex!B$433:B$657))))</f>
        <v>0</v>
      </c>
      <c r="G144" s="483">
        <f t="shared" ca="1" si="5"/>
        <v>0</v>
      </c>
      <c r="H144" s="147">
        <f ca="1"/>
        <v>0</v>
      </c>
    </row>
    <row r="145" spans="2:8">
      <c r="B145" s="12">
        <v>91</v>
      </c>
      <c r="C145" s="182"/>
      <c r="D145" s="183"/>
      <c r="E145" s="181"/>
      <c r="F145" s="482" cm="1">
        <f t="array" aca="1" ref="F145" ca="1">SUM(_xlfn._xlws.FILTER(OFFSET(Capex!L$433:L$657,,E145-1),ISNUMBER(FIND(C145,Capex!B$433:B$657))))</f>
        <v>0</v>
      </c>
      <c r="G145" s="483">
        <f t="shared" ca="1" si="5"/>
        <v>0</v>
      </c>
      <c r="H145" s="185">
        <f ca="1"/>
        <v>0</v>
      </c>
    </row>
    <row r="146" spans="2:8">
      <c r="B146" s="173" t="s">
        <v>106</v>
      </c>
      <c r="C146" s="146"/>
      <c r="D146" s="345"/>
      <c r="E146" s="146"/>
      <c r="F146" s="148">
        <f ca="1">SUM(F53:F145)</f>
        <v>1908669878.2619796</v>
      </c>
      <c r="G146" s="484">
        <f ca="1">SUM(G53:G145)</f>
        <v>1.0000000000000002</v>
      </c>
      <c r="H146" s="272">
        <f ca="1">SUM(H53:H145)</f>
        <v>1830000000</v>
      </c>
    </row>
    <row r="147" spans="2:8">
      <c r="B147" s="239"/>
      <c r="C147" s="134"/>
      <c r="D147" s="239"/>
      <c r="E147" s="134"/>
    </row>
    <row r="148" spans="2:8">
      <c r="B148" s="2" t="s">
        <v>697</v>
      </c>
      <c r="F148" s="357"/>
    </row>
    <row r="149" spans="2:8">
      <c r="B149" s="46" t="str" cm="1">
        <f t="array" ref="B149:H149">B52:H52</f>
        <v>Número do Marco</v>
      </c>
      <c r="C149" s="46" t="str">
        <v>Rodovia</v>
      </c>
      <c r="D149" s="46" t="str">
        <v>Marco</v>
      </c>
      <c r="E149" s="179" t="str">
        <v>Ano máximo em que deve ser concluído (segundo o PER)</v>
      </c>
      <c r="F149" s="179" t="str">
        <v>Capex do Marco que pode ser adquirido com Aporte</v>
      </c>
      <c r="G149" s="46" t="str">
        <v>Percentual de Aporte correspondente ao Marco</v>
      </c>
      <c r="H149" s="150" t="str">
        <v>Valor de Aporte correspondente ao Marco</v>
      </c>
    </row>
    <row r="150" spans="2:8">
      <c r="B150" s="149" cm="1">
        <f t="array" aca="1" ref="B150:F242" ca="1">B53:F145</f>
        <v>1</v>
      </c>
      <c r="C150" s="149" t="str">
        <f ca="1"/>
        <v>Pórticos 1 e 2 (BR-356)</v>
      </c>
      <c r="D150" s="122" t="str">
        <f ca="1"/>
        <v>Serviços Iniciais</v>
      </c>
      <c r="E150" s="180">
        <f ca="1"/>
        <v>1</v>
      </c>
      <c r="F150" s="240">
        <f ca="1"/>
        <v>24073052.742368884</v>
      </c>
      <c r="G150" s="219">
        <f ca="1">ROUND(G53,4)</f>
        <v>1.26E-2</v>
      </c>
      <c r="H150" s="147" cm="1">
        <f t="array" aca="1" ref="H150:H242" ca="1">G150:G242 * C267</f>
        <v>23058000</v>
      </c>
    </row>
    <row r="151" spans="2:8">
      <c r="B151" s="149">
        <f ca="1"/>
        <v>1</v>
      </c>
      <c r="C151" s="149" t="str">
        <f ca="1"/>
        <v>Pórtico 3 (MG-262)</v>
      </c>
      <c r="D151" s="122" t="str">
        <f ca="1"/>
        <v>Serviços Iniciais</v>
      </c>
      <c r="E151" s="180">
        <f ca="1"/>
        <v>1</v>
      </c>
      <c r="F151" s="240">
        <f ca="1"/>
        <v>72948649.030415133</v>
      </c>
      <c r="G151" s="219">
        <f ca="1">1 - (G150+SUM(G152:G242))</f>
        <v>3.8300000000000001E-2</v>
      </c>
      <c r="H151" s="147">
        <f ca="1"/>
        <v>70089000</v>
      </c>
    </row>
    <row r="152" spans="2:8">
      <c r="B152" s="149">
        <f ca="1"/>
        <v>1</v>
      </c>
      <c r="C152" s="149" t="str">
        <f ca="1"/>
        <v>Pórtico 4 (MG-329)</v>
      </c>
      <c r="D152" s="122" t="str">
        <f ca="1"/>
        <v>Serviços Iniciais</v>
      </c>
      <c r="E152" s="180">
        <f ca="1"/>
        <v>1</v>
      </c>
      <c r="F152" s="240">
        <f ca="1"/>
        <v>18738798.519652415</v>
      </c>
      <c r="G152" s="219">
        <f t="shared" ref="G152:G183" ca="1" si="6">ROUND(G55,4)</f>
        <v>9.7999999999999997E-3</v>
      </c>
      <c r="H152" s="147">
        <f ca="1"/>
        <v>17934000</v>
      </c>
    </row>
    <row r="153" spans="2:8">
      <c r="B153" s="149">
        <f ca="1"/>
        <v>2</v>
      </c>
      <c r="C153" s="149" t="str">
        <f ca="1"/>
        <v>BR-356</v>
      </c>
      <c r="D153" s="122" t="str">
        <f ca="1"/>
        <v>Do km 027+800 ao km 043+800</v>
      </c>
      <c r="E153" s="180">
        <f ca="1"/>
        <v>3</v>
      </c>
      <c r="F153" s="240">
        <f ca="1"/>
        <v>172406255.24715999</v>
      </c>
      <c r="G153" s="219">
        <f t="shared" ca="1" si="6"/>
        <v>9.0300000000000005E-2</v>
      </c>
      <c r="H153" s="147">
        <f ca="1"/>
        <v>165249000</v>
      </c>
    </row>
    <row r="154" spans="2:8">
      <c r="B154" s="149">
        <f ca="1"/>
        <v>3</v>
      </c>
      <c r="C154" s="149" t="str">
        <f ca="1"/>
        <v>BR-356</v>
      </c>
      <c r="D154" s="122" t="str">
        <f ca="1"/>
        <v>Do km 043+800 ao km 066+000</v>
      </c>
      <c r="E154" s="180">
        <f ca="1"/>
        <v>4</v>
      </c>
      <c r="F154" s="240">
        <f ca="1"/>
        <v>480087441.06348306</v>
      </c>
      <c r="G154" s="219">
        <f t="shared" ca="1" si="6"/>
        <v>0.2515</v>
      </c>
      <c r="H154" s="147">
        <f ca="1"/>
        <v>460245000</v>
      </c>
    </row>
    <row r="155" spans="2:8">
      <c r="B155" s="149">
        <f ca="1"/>
        <v>4</v>
      </c>
      <c r="C155" s="149" t="str">
        <f ca="1"/>
        <v>BR-356</v>
      </c>
      <c r="D155" s="122" t="str">
        <f ca="1"/>
        <v>Do km 066+000 ao km 086+000</v>
      </c>
      <c r="E155" s="180">
        <f ca="1"/>
        <v>5</v>
      </c>
      <c r="F155" s="240">
        <f ca="1"/>
        <v>276307078.79365337</v>
      </c>
      <c r="G155" s="219">
        <f t="shared" ca="1" si="6"/>
        <v>0.14480000000000001</v>
      </c>
      <c r="H155" s="147">
        <f ca="1"/>
        <v>264984000.00000003</v>
      </c>
    </row>
    <row r="156" spans="2:8">
      <c r="B156" s="149">
        <f ca="1"/>
        <v>5</v>
      </c>
      <c r="C156" s="149" t="str">
        <f ca="1"/>
        <v>BR-356</v>
      </c>
      <c r="D156" s="122" t="str">
        <f ca="1"/>
        <v>Do km 086+000 ao km 111+100</v>
      </c>
      <c r="E156" s="180">
        <f ca="1"/>
        <v>6</v>
      </c>
      <c r="F156" s="240">
        <f ca="1"/>
        <v>384634430.94021714</v>
      </c>
      <c r="G156" s="219">
        <f t="shared" ca="1" si="6"/>
        <v>0.20150000000000001</v>
      </c>
      <c r="H156" s="147">
        <f ca="1"/>
        <v>368745000</v>
      </c>
    </row>
    <row r="157" spans="2:8">
      <c r="B157" s="149">
        <f ca="1"/>
        <v>6</v>
      </c>
      <c r="C157" s="149" t="str">
        <f ca="1"/>
        <v>MG-262</v>
      </c>
      <c r="D157" s="122" t="str">
        <f ca="1"/>
        <v>Do km 072+800 ao km 056+000</v>
      </c>
      <c r="E157" s="180">
        <f ca="1"/>
        <v>3</v>
      </c>
      <c r="F157" s="240">
        <f ca="1"/>
        <v>91561570.074877292</v>
      </c>
      <c r="G157" s="219">
        <f t="shared" ca="1" si="6"/>
        <v>4.8000000000000001E-2</v>
      </c>
      <c r="H157" s="147">
        <f ca="1"/>
        <v>87840000</v>
      </c>
    </row>
    <row r="158" spans="2:8">
      <c r="B158" s="149">
        <f ca="1"/>
        <v>7</v>
      </c>
      <c r="C158" s="149" t="str">
        <f ca="1"/>
        <v>MG-262</v>
      </c>
      <c r="D158" s="122" t="str">
        <f ca="1"/>
        <v>Do km 056+000 ao km 040+000</v>
      </c>
      <c r="E158" s="180">
        <f ca="1"/>
        <v>4</v>
      </c>
      <c r="F158" s="240">
        <f ca="1"/>
        <v>119381910.31062181</v>
      </c>
      <c r="G158" s="219">
        <f t="shared" ca="1" si="6"/>
        <v>6.25E-2</v>
      </c>
      <c r="H158" s="147">
        <f ca="1"/>
        <v>114375000</v>
      </c>
    </row>
    <row r="159" spans="2:8">
      <c r="B159" s="149">
        <f ca="1"/>
        <v>8</v>
      </c>
      <c r="C159" s="149" t="str">
        <f ca="1"/>
        <v>MG-262</v>
      </c>
      <c r="D159" s="122" t="str">
        <f ca="1"/>
        <v>Do km 040+000 ao km 021+800</v>
      </c>
      <c r="E159" s="180">
        <f ca="1"/>
        <v>5</v>
      </c>
      <c r="F159" s="240">
        <f ca="1"/>
        <v>104253725.7247154</v>
      </c>
      <c r="G159" s="219">
        <f t="shared" ca="1" si="6"/>
        <v>5.4600000000000003E-2</v>
      </c>
      <c r="H159" s="147">
        <f ca="1"/>
        <v>99918000</v>
      </c>
    </row>
    <row r="160" spans="2:8">
      <c r="B160" s="149">
        <f ca="1"/>
        <v>9</v>
      </c>
      <c r="C160" s="149" t="str">
        <f ca="1"/>
        <v>MG-329</v>
      </c>
      <c r="D160" s="122" t="str">
        <f ca="1"/>
        <v>Do km 100+500 ao km 134+500</v>
      </c>
      <c r="E160" s="180">
        <f ca="1"/>
        <v>4</v>
      </c>
      <c r="F160" s="240">
        <f ca="1"/>
        <v>164276965.81481513</v>
      </c>
      <c r="G160" s="219">
        <f t="shared" ca="1" si="6"/>
        <v>8.6099999999999996E-2</v>
      </c>
      <c r="H160" s="147">
        <f ca="1"/>
        <v>157563000</v>
      </c>
    </row>
    <row r="161" spans="2:8">
      <c r="B161" s="149">
        <f ca="1"/>
        <v>10</v>
      </c>
      <c r="C161" s="149">
        <f ca="1"/>
        <v>0</v>
      </c>
      <c r="D161" s="122">
        <f ca="1"/>
        <v>0</v>
      </c>
      <c r="E161" s="180">
        <f ca="1"/>
        <v>0</v>
      </c>
      <c r="F161" s="240">
        <f ca="1"/>
        <v>0</v>
      </c>
      <c r="G161" s="219">
        <f t="shared" ca="1" si="6"/>
        <v>0</v>
      </c>
      <c r="H161" s="147">
        <f ca="1"/>
        <v>0</v>
      </c>
    </row>
    <row r="162" spans="2:8">
      <c r="B162" s="149">
        <f ca="1"/>
        <v>11</v>
      </c>
      <c r="C162" s="149">
        <f ca="1"/>
        <v>0</v>
      </c>
      <c r="D162" s="122">
        <f ca="1"/>
        <v>0</v>
      </c>
      <c r="E162" s="180">
        <f ca="1"/>
        <v>0</v>
      </c>
      <c r="F162" s="240">
        <f ca="1"/>
        <v>0</v>
      </c>
      <c r="G162" s="219">
        <f t="shared" ca="1" si="6"/>
        <v>0</v>
      </c>
      <c r="H162" s="147">
        <f ca="1"/>
        <v>0</v>
      </c>
    </row>
    <row r="163" spans="2:8">
      <c r="B163" s="149">
        <f ca="1"/>
        <v>12</v>
      </c>
      <c r="C163" s="149">
        <f ca="1"/>
        <v>0</v>
      </c>
      <c r="D163" s="122">
        <f ca="1"/>
        <v>0</v>
      </c>
      <c r="E163" s="180">
        <f ca="1"/>
        <v>0</v>
      </c>
      <c r="F163" s="240">
        <f ca="1"/>
        <v>0</v>
      </c>
      <c r="G163" s="219">
        <f t="shared" ca="1" si="6"/>
        <v>0</v>
      </c>
      <c r="H163" s="147">
        <f ca="1"/>
        <v>0</v>
      </c>
    </row>
    <row r="164" spans="2:8">
      <c r="B164" s="149">
        <f ca="1"/>
        <v>13</v>
      </c>
      <c r="C164" s="149">
        <f ca="1"/>
        <v>0</v>
      </c>
      <c r="D164" s="122">
        <f ca="1"/>
        <v>0</v>
      </c>
      <c r="E164" s="180">
        <f ca="1"/>
        <v>0</v>
      </c>
      <c r="F164" s="240">
        <f ca="1"/>
        <v>0</v>
      </c>
      <c r="G164" s="219">
        <f t="shared" ca="1" si="6"/>
        <v>0</v>
      </c>
      <c r="H164" s="147">
        <f ca="1"/>
        <v>0</v>
      </c>
    </row>
    <row r="165" spans="2:8">
      <c r="B165" s="149">
        <f ca="1"/>
        <v>14</v>
      </c>
      <c r="C165" s="149">
        <f ca="1"/>
        <v>0</v>
      </c>
      <c r="D165" s="122">
        <f ca="1"/>
        <v>0</v>
      </c>
      <c r="E165" s="180">
        <f ca="1"/>
        <v>0</v>
      </c>
      <c r="F165" s="240">
        <f ca="1"/>
        <v>0</v>
      </c>
      <c r="G165" s="219">
        <f t="shared" ca="1" si="6"/>
        <v>0</v>
      </c>
      <c r="H165" s="147">
        <f ca="1"/>
        <v>0</v>
      </c>
    </row>
    <row r="166" spans="2:8">
      <c r="B166" s="149">
        <f ca="1"/>
        <v>15</v>
      </c>
      <c r="C166" s="149">
        <f ca="1"/>
        <v>0</v>
      </c>
      <c r="D166" s="122">
        <f ca="1"/>
        <v>0</v>
      </c>
      <c r="E166" s="180">
        <f ca="1"/>
        <v>0</v>
      </c>
      <c r="F166" s="240">
        <f ca="1"/>
        <v>0</v>
      </c>
      <c r="G166" s="219">
        <f t="shared" ca="1" si="6"/>
        <v>0</v>
      </c>
      <c r="H166" s="147">
        <f ca="1"/>
        <v>0</v>
      </c>
    </row>
    <row r="167" spans="2:8">
      <c r="B167" s="149">
        <f ca="1"/>
        <v>16</v>
      </c>
      <c r="C167" s="149">
        <f ca="1"/>
        <v>0</v>
      </c>
      <c r="D167" s="122">
        <f ca="1"/>
        <v>0</v>
      </c>
      <c r="E167" s="180">
        <f ca="1"/>
        <v>0</v>
      </c>
      <c r="F167" s="240">
        <f ca="1"/>
        <v>0</v>
      </c>
      <c r="G167" s="219">
        <f t="shared" ca="1" si="6"/>
        <v>0</v>
      </c>
      <c r="H167" s="147">
        <f ca="1"/>
        <v>0</v>
      </c>
    </row>
    <row r="168" spans="2:8">
      <c r="B168" s="149">
        <f ca="1"/>
        <v>17</v>
      </c>
      <c r="C168" s="149">
        <f ca="1"/>
        <v>0</v>
      </c>
      <c r="D168" s="122">
        <f ca="1"/>
        <v>0</v>
      </c>
      <c r="E168" s="180">
        <f ca="1"/>
        <v>0</v>
      </c>
      <c r="F168" s="240">
        <f ca="1"/>
        <v>0</v>
      </c>
      <c r="G168" s="219">
        <f t="shared" ca="1" si="6"/>
        <v>0</v>
      </c>
      <c r="H168" s="147">
        <f ca="1"/>
        <v>0</v>
      </c>
    </row>
    <row r="169" spans="2:8">
      <c r="B169" s="149">
        <f ca="1"/>
        <v>18</v>
      </c>
      <c r="C169" s="149">
        <f ca="1"/>
        <v>0</v>
      </c>
      <c r="D169" s="122">
        <f ca="1"/>
        <v>0</v>
      </c>
      <c r="E169" s="180">
        <f ca="1"/>
        <v>0</v>
      </c>
      <c r="F169" s="240">
        <f ca="1"/>
        <v>0</v>
      </c>
      <c r="G169" s="219">
        <f t="shared" ca="1" si="6"/>
        <v>0</v>
      </c>
      <c r="H169" s="147">
        <f ca="1"/>
        <v>0</v>
      </c>
    </row>
    <row r="170" spans="2:8">
      <c r="B170" s="182">
        <f ca="1"/>
        <v>19</v>
      </c>
      <c r="C170" s="182">
        <f ca="1"/>
        <v>0</v>
      </c>
      <c r="D170" s="183">
        <f ca="1"/>
        <v>0</v>
      </c>
      <c r="E170" s="181">
        <f ca="1"/>
        <v>0</v>
      </c>
      <c r="F170" s="240">
        <f ca="1"/>
        <v>0</v>
      </c>
      <c r="G170" s="219">
        <f t="shared" ca="1" si="6"/>
        <v>0</v>
      </c>
      <c r="H170" s="185">
        <f ca="1"/>
        <v>0</v>
      </c>
    </row>
    <row r="171" spans="2:8">
      <c r="B171" s="182">
        <f ca="1"/>
        <v>20</v>
      </c>
      <c r="C171" s="182">
        <f ca="1"/>
        <v>0</v>
      </c>
      <c r="D171" s="183">
        <f ca="1"/>
        <v>0</v>
      </c>
      <c r="E171" s="181">
        <f ca="1"/>
        <v>0</v>
      </c>
      <c r="F171" s="240">
        <f ca="1"/>
        <v>0</v>
      </c>
      <c r="G171" s="219">
        <f t="shared" ca="1" si="6"/>
        <v>0</v>
      </c>
      <c r="H171" s="185">
        <f ca="1"/>
        <v>0</v>
      </c>
    </row>
    <row r="172" spans="2:8">
      <c r="B172" s="182">
        <f ca="1"/>
        <v>21</v>
      </c>
      <c r="C172" s="182">
        <f ca="1"/>
        <v>0</v>
      </c>
      <c r="D172" s="183">
        <f ca="1"/>
        <v>0</v>
      </c>
      <c r="E172" s="181">
        <f ca="1"/>
        <v>0</v>
      </c>
      <c r="F172" s="240">
        <f ca="1"/>
        <v>0</v>
      </c>
      <c r="G172" s="219">
        <f t="shared" ca="1" si="6"/>
        <v>0</v>
      </c>
      <c r="H172" s="185">
        <f ca="1"/>
        <v>0</v>
      </c>
    </row>
    <row r="173" spans="2:8">
      <c r="B173" s="182">
        <f ca="1"/>
        <v>22</v>
      </c>
      <c r="C173" s="182">
        <f ca="1"/>
        <v>0</v>
      </c>
      <c r="D173" s="183">
        <f ca="1"/>
        <v>0</v>
      </c>
      <c r="E173" s="181">
        <f ca="1"/>
        <v>0</v>
      </c>
      <c r="F173" s="240">
        <f ca="1"/>
        <v>0</v>
      </c>
      <c r="G173" s="219">
        <f t="shared" ca="1" si="6"/>
        <v>0</v>
      </c>
      <c r="H173" s="185">
        <f ca="1"/>
        <v>0</v>
      </c>
    </row>
    <row r="174" spans="2:8">
      <c r="B174" s="182">
        <f ca="1"/>
        <v>23</v>
      </c>
      <c r="C174" s="182">
        <f ca="1"/>
        <v>0</v>
      </c>
      <c r="D174" s="183">
        <f ca="1"/>
        <v>0</v>
      </c>
      <c r="E174" s="181">
        <f ca="1"/>
        <v>0</v>
      </c>
      <c r="F174" s="240">
        <f ca="1"/>
        <v>0</v>
      </c>
      <c r="G174" s="219">
        <f t="shared" ca="1" si="6"/>
        <v>0</v>
      </c>
      <c r="H174" s="185">
        <f ca="1"/>
        <v>0</v>
      </c>
    </row>
    <row r="175" spans="2:8">
      <c r="B175" s="182">
        <f ca="1"/>
        <v>24</v>
      </c>
      <c r="C175" s="182">
        <f ca="1"/>
        <v>0</v>
      </c>
      <c r="D175" s="183">
        <f ca="1"/>
        <v>0</v>
      </c>
      <c r="E175" s="181">
        <f ca="1"/>
        <v>0</v>
      </c>
      <c r="F175" s="240">
        <f ca="1"/>
        <v>0</v>
      </c>
      <c r="G175" s="219">
        <f t="shared" ca="1" si="6"/>
        <v>0</v>
      </c>
      <c r="H175" s="185">
        <f ca="1"/>
        <v>0</v>
      </c>
    </row>
    <row r="176" spans="2:8">
      <c r="B176" s="182">
        <f ca="1"/>
        <v>25</v>
      </c>
      <c r="C176" s="182">
        <f ca="1"/>
        <v>0</v>
      </c>
      <c r="D176" s="183">
        <f ca="1"/>
        <v>0</v>
      </c>
      <c r="E176" s="181">
        <f ca="1"/>
        <v>0</v>
      </c>
      <c r="F176" s="240">
        <f ca="1"/>
        <v>0</v>
      </c>
      <c r="G176" s="219">
        <f t="shared" ca="1" si="6"/>
        <v>0</v>
      </c>
      <c r="H176" s="185">
        <f ca="1"/>
        <v>0</v>
      </c>
    </row>
    <row r="177" spans="2:8">
      <c r="B177" s="182">
        <f ca="1"/>
        <v>26</v>
      </c>
      <c r="C177" s="182">
        <f ca="1"/>
        <v>0</v>
      </c>
      <c r="D177" s="183">
        <f ca="1"/>
        <v>0</v>
      </c>
      <c r="E177" s="181">
        <f ca="1"/>
        <v>0</v>
      </c>
      <c r="F177" s="240">
        <f ca="1"/>
        <v>0</v>
      </c>
      <c r="G177" s="219">
        <f t="shared" ca="1" si="6"/>
        <v>0</v>
      </c>
      <c r="H177" s="185">
        <f ca="1"/>
        <v>0</v>
      </c>
    </row>
    <row r="178" spans="2:8">
      <c r="B178" s="182">
        <f ca="1"/>
        <v>27</v>
      </c>
      <c r="C178" s="182">
        <f ca="1"/>
        <v>0</v>
      </c>
      <c r="D178" s="183">
        <f ca="1"/>
        <v>0</v>
      </c>
      <c r="E178" s="181">
        <f ca="1"/>
        <v>0</v>
      </c>
      <c r="F178" s="240">
        <f ca="1"/>
        <v>0</v>
      </c>
      <c r="G178" s="219">
        <f t="shared" ca="1" si="6"/>
        <v>0</v>
      </c>
      <c r="H178" s="185">
        <f ca="1"/>
        <v>0</v>
      </c>
    </row>
    <row r="179" spans="2:8">
      <c r="B179" s="182">
        <f ca="1"/>
        <v>28</v>
      </c>
      <c r="C179" s="182">
        <f ca="1"/>
        <v>0</v>
      </c>
      <c r="D179" s="183">
        <f ca="1"/>
        <v>0</v>
      </c>
      <c r="E179" s="181">
        <f ca="1"/>
        <v>0</v>
      </c>
      <c r="F179" s="240">
        <f ca="1"/>
        <v>0</v>
      </c>
      <c r="G179" s="219">
        <f t="shared" ca="1" si="6"/>
        <v>0</v>
      </c>
      <c r="H179" s="185">
        <f ca="1"/>
        <v>0</v>
      </c>
    </row>
    <row r="180" spans="2:8">
      <c r="B180" s="182">
        <f ca="1"/>
        <v>29</v>
      </c>
      <c r="C180" s="182">
        <f ca="1"/>
        <v>0</v>
      </c>
      <c r="D180" s="183">
        <f ca="1"/>
        <v>0</v>
      </c>
      <c r="E180" s="181">
        <f ca="1"/>
        <v>0</v>
      </c>
      <c r="F180" s="240">
        <f ca="1"/>
        <v>0</v>
      </c>
      <c r="G180" s="219">
        <f t="shared" ca="1" si="6"/>
        <v>0</v>
      </c>
      <c r="H180" s="185">
        <f ca="1"/>
        <v>0</v>
      </c>
    </row>
    <row r="181" spans="2:8">
      <c r="B181" s="182">
        <f ca="1"/>
        <v>30</v>
      </c>
      <c r="C181" s="182">
        <f ca="1"/>
        <v>0</v>
      </c>
      <c r="D181" s="183">
        <f ca="1"/>
        <v>0</v>
      </c>
      <c r="E181" s="181">
        <f ca="1"/>
        <v>0</v>
      </c>
      <c r="F181" s="240">
        <f ca="1"/>
        <v>0</v>
      </c>
      <c r="G181" s="219">
        <f t="shared" ca="1" si="6"/>
        <v>0</v>
      </c>
      <c r="H181" s="185">
        <f ca="1"/>
        <v>0</v>
      </c>
    </row>
    <row r="182" spans="2:8">
      <c r="B182" s="182">
        <f ca="1"/>
        <v>31</v>
      </c>
      <c r="C182" s="182">
        <f ca="1"/>
        <v>0</v>
      </c>
      <c r="D182" s="183">
        <f ca="1"/>
        <v>0</v>
      </c>
      <c r="E182" s="181">
        <f ca="1"/>
        <v>0</v>
      </c>
      <c r="F182" s="240">
        <f ca="1"/>
        <v>0</v>
      </c>
      <c r="G182" s="219">
        <f t="shared" ca="1" si="6"/>
        <v>0</v>
      </c>
      <c r="H182" s="185">
        <f ca="1"/>
        <v>0</v>
      </c>
    </row>
    <row r="183" spans="2:8">
      <c r="B183" s="182">
        <f ca="1"/>
        <v>32</v>
      </c>
      <c r="C183" s="182">
        <f ca="1"/>
        <v>0</v>
      </c>
      <c r="D183" s="183">
        <f ca="1"/>
        <v>0</v>
      </c>
      <c r="E183" s="181">
        <f ca="1"/>
        <v>0</v>
      </c>
      <c r="F183" s="240">
        <f ca="1"/>
        <v>0</v>
      </c>
      <c r="G183" s="219">
        <f t="shared" ca="1" si="6"/>
        <v>0</v>
      </c>
      <c r="H183" s="185">
        <f ca="1"/>
        <v>0</v>
      </c>
    </row>
    <row r="184" spans="2:8">
      <c r="B184" s="182">
        <f ca="1"/>
        <v>33</v>
      </c>
      <c r="C184" s="182">
        <f ca="1"/>
        <v>0</v>
      </c>
      <c r="D184" s="183">
        <f ca="1"/>
        <v>0</v>
      </c>
      <c r="E184" s="181">
        <f ca="1"/>
        <v>0</v>
      </c>
      <c r="F184" s="240">
        <f ca="1"/>
        <v>0</v>
      </c>
      <c r="G184" s="219">
        <f t="shared" ref="G184:G215" ca="1" si="7">ROUND(G87,4)</f>
        <v>0</v>
      </c>
      <c r="H184" s="185">
        <f ca="1"/>
        <v>0</v>
      </c>
    </row>
    <row r="185" spans="2:8">
      <c r="B185" s="182">
        <f ca="1"/>
        <v>34</v>
      </c>
      <c r="C185" s="182">
        <f ca="1"/>
        <v>0</v>
      </c>
      <c r="D185" s="183">
        <f ca="1"/>
        <v>0</v>
      </c>
      <c r="E185" s="181">
        <f ca="1"/>
        <v>0</v>
      </c>
      <c r="F185" s="240">
        <f ca="1"/>
        <v>0</v>
      </c>
      <c r="G185" s="219">
        <f t="shared" ca="1" si="7"/>
        <v>0</v>
      </c>
      <c r="H185" s="185">
        <f ca="1"/>
        <v>0</v>
      </c>
    </row>
    <row r="186" spans="2:8">
      <c r="B186" s="182">
        <f ca="1"/>
        <v>35</v>
      </c>
      <c r="C186" s="182">
        <f ca="1"/>
        <v>0</v>
      </c>
      <c r="D186" s="183">
        <f ca="1"/>
        <v>0</v>
      </c>
      <c r="E186" s="181">
        <f ca="1"/>
        <v>0</v>
      </c>
      <c r="F186" s="240">
        <f ca="1"/>
        <v>0</v>
      </c>
      <c r="G186" s="219">
        <f t="shared" ca="1" si="7"/>
        <v>0</v>
      </c>
      <c r="H186" s="185">
        <f ca="1"/>
        <v>0</v>
      </c>
    </row>
    <row r="187" spans="2:8">
      <c r="B187" s="182">
        <f ca="1"/>
        <v>36</v>
      </c>
      <c r="C187" s="182">
        <f ca="1"/>
        <v>0</v>
      </c>
      <c r="D187" s="183">
        <f ca="1"/>
        <v>0</v>
      </c>
      <c r="E187" s="181">
        <f ca="1"/>
        <v>0</v>
      </c>
      <c r="F187" s="240">
        <f ca="1"/>
        <v>0</v>
      </c>
      <c r="G187" s="219">
        <f t="shared" ca="1" si="7"/>
        <v>0</v>
      </c>
      <c r="H187" s="185">
        <f ca="1"/>
        <v>0</v>
      </c>
    </row>
    <row r="188" spans="2:8">
      <c r="B188" s="182">
        <f ca="1"/>
        <v>37</v>
      </c>
      <c r="C188" s="182">
        <f ca="1"/>
        <v>0</v>
      </c>
      <c r="D188" s="183">
        <f ca="1"/>
        <v>0</v>
      </c>
      <c r="E188" s="181">
        <f ca="1"/>
        <v>0</v>
      </c>
      <c r="F188" s="240">
        <f ca="1"/>
        <v>0</v>
      </c>
      <c r="G188" s="219">
        <f t="shared" ca="1" si="7"/>
        <v>0</v>
      </c>
      <c r="H188" s="185">
        <f ca="1"/>
        <v>0</v>
      </c>
    </row>
    <row r="189" spans="2:8">
      <c r="B189" s="182">
        <f ca="1"/>
        <v>38</v>
      </c>
      <c r="C189" s="182">
        <f ca="1"/>
        <v>0</v>
      </c>
      <c r="D189" s="183">
        <f ca="1"/>
        <v>0</v>
      </c>
      <c r="E189" s="181">
        <f ca="1"/>
        <v>0</v>
      </c>
      <c r="F189" s="240">
        <f ca="1"/>
        <v>0</v>
      </c>
      <c r="G189" s="219">
        <f t="shared" ca="1" si="7"/>
        <v>0</v>
      </c>
      <c r="H189" s="185">
        <f ca="1"/>
        <v>0</v>
      </c>
    </row>
    <row r="190" spans="2:8">
      <c r="B190" s="182">
        <f ca="1"/>
        <v>39</v>
      </c>
      <c r="C190" s="182">
        <f ca="1"/>
        <v>0</v>
      </c>
      <c r="D190" s="183">
        <f ca="1"/>
        <v>0</v>
      </c>
      <c r="E190" s="181">
        <f ca="1"/>
        <v>0</v>
      </c>
      <c r="F190" s="240">
        <f ca="1"/>
        <v>0</v>
      </c>
      <c r="G190" s="219">
        <f t="shared" ca="1" si="7"/>
        <v>0</v>
      </c>
      <c r="H190" s="185">
        <f ca="1"/>
        <v>0</v>
      </c>
    </row>
    <row r="191" spans="2:8">
      <c r="B191" s="182">
        <f ca="1"/>
        <v>40</v>
      </c>
      <c r="C191" s="182">
        <f ca="1"/>
        <v>0</v>
      </c>
      <c r="D191" s="183">
        <f ca="1"/>
        <v>0</v>
      </c>
      <c r="E191" s="181">
        <f ca="1"/>
        <v>0</v>
      </c>
      <c r="F191" s="240">
        <f ca="1"/>
        <v>0</v>
      </c>
      <c r="G191" s="219">
        <f t="shared" ca="1" si="7"/>
        <v>0</v>
      </c>
      <c r="H191" s="185">
        <f ca="1"/>
        <v>0</v>
      </c>
    </row>
    <row r="192" spans="2:8">
      <c r="B192" s="182">
        <f ca="1"/>
        <v>41</v>
      </c>
      <c r="C192" s="182">
        <f ca="1"/>
        <v>0</v>
      </c>
      <c r="D192" s="183">
        <f ca="1"/>
        <v>0</v>
      </c>
      <c r="E192" s="181">
        <f ca="1"/>
        <v>0</v>
      </c>
      <c r="F192" s="240">
        <f ca="1"/>
        <v>0</v>
      </c>
      <c r="G192" s="219">
        <f t="shared" ca="1" si="7"/>
        <v>0</v>
      </c>
      <c r="H192" s="185">
        <f ca="1"/>
        <v>0</v>
      </c>
    </row>
    <row r="193" spans="2:8">
      <c r="B193" s="182">
        <f ca="1"/>
        <v>42</v>
      </c>
      <c r="C193" s="182">
        <f ca="1"/>
        <v>0</v>
      </c>
      <c r="D193" s="183">
        <f ca="1"/>
        <v>0</v>
      </c>
      <c r="E193" s="181">
        <f ca="1"/>
        <v>0</v>
      </c>
      <c r="F193" s="240">
        <f ca="1"/>
        <v>0</v>
      </c>
      <c r="G193" s="219">
        <f t="shared" ca="1" si="7"/>
        <v>0</v>
      </c>
      <c r="H193" s="185">
        <f ca="1"/>
        <v>0</v>
      </c>
    </row>
    <row r="194" spans="2:8">
      <c r="B194" s="182">
        <f ca="1"/>
        <v>43</v>
      </c>
      <c r="C194" s="182">
        <f ca="1"/>
        <v>0</v>
      </c>
      <c r="D194" s="183">
        <f ca="1"/>
        <v>0</v>
      </c>
      <c r="E194" s="181">
        <f ca="1"/>
        <v>0</v>
      </c>
      <c r="F194" s="240">
        <f ca="1"/>
        <v>0</v>
      </c>
      <c r="G194" s="219">
        <f t="shared" ca="1" si="7"/>
        <v>0</v>
      </c>
      <c r="H194" s="185">
        <f ca="1"/>
        <v>0</v>
      </c>
    </row>
    <row r="195" spans="2:8">
      <c r="B195" s="182">
        <f ca="1"/>
        <v>44</v>
      </c>
      <c r="C195" s="182">
        <f ca="1"/>
        <v>0</v>
      </c>
      <c r="D195" s="183">
        <f ca="1"/>
        <v>0</v>
      </c>
      <c r="E195" s="181">
        <f ca="1"/>
        <v>0</v>
      </c>
      <c r="F195" s="240">
        <f ca="1"/>
        <v>0</v>
      </c>
      <c r="G195" s="219">
        <f t="shared" ca="1" si="7"/>
        <v>0</v>
      </c>
      <c r="H195" s="185">
        <f ca="1"/>
        <v>0</v>
      </c>
    </row>
    <row r="196" spans="2:8">
      <c r="B196" s="182">
        <f ca="1"/>
        <v>45</v>
      </c>
      <c r="C196" s="182">
        <f ca="1"/>
        <v>0</v>
      </c>
      <c r="D196" s="183">
        <f ca="1"/>
        <v>0</v>
      </c>
      <c r="E196" s="181">
        <f ca="1"/>
        <v>0</v>
      </c>
      <c r="F196" s="240">
        <f ca="1"/>
        <v>0</v>
      </c>
      <c r="G196" s="219">
        <f t="shared" ca="1" si="7"/>
        <v>0</v>
      </c>
      <c r="H196" s="185">
        <f ca="1"/>
        <v>0</v>
      </c>
    </row>
    <row r="197" spans="2:8">
      <c r="B197" s="182">
        <f ca="1"/>
        <v>46</v>
      </c>
      <c r="C197" s="182">
        <f ca="1"/>
        <v>0</v>
      </c>
      <c r="D197" s="183">
        <f ca="1"/>
        <v>0</v>
      </c>
      <c r="E197" s="181">
        <f ca="1"/>
        <v>0</v>
      </c>
      <c r="F197" s="240">
        <f ca="1"/>
        <v>0</v>
      </c>
      <c r="G197" s="219">
        <f t="shared" ca="1" si="7"/>
        <v>0</v>
      </c>
      <c r="H197" s="185">
        <f ca="1"/>
        <v>0</v>
      </c>
    </row>
    <row r="198" spans="2:8">
      <c r="B198" s="182">
        <f ca="1"/>
        <v>47</v>
      </c>
      <c r="C198" s="182">
        <f ca="1"/>
        <v>0</v>
      </c>
      <c r="D198" s="183">
        <f ca="1"/>
        <v>0</v>
      </c>
      <c r="E198" s="181">
        <f ca="1"/>
        <v>0</v>
      </c>
      <c r="F198" s="240">
        <f ca="1"/>
        <v>0</v>
      </c>
      <c r="G198" s="219">
        <f t="shared" ca="1" si="7"/>
        <v>0</v>
      </c>
      <c r="H198" s="185">
        <f ca="1"/>
        <v>0</v>
      </c>
    </row>
    <row r="199" spans="2:8">
      <c r="B199" s="182">
        <f ca="1"/>
        <v>48</v>
      </c>
      <c r="C199" s="182">
        <f ca="1"/>
        <v>0</v>
      </c>
      <c r="D199" s="183">
        <f ca="1"/>
        <v>0</v>
      </c>
      <c r="E199" s="181">
        <f ca="1"/>
        <v>0</v>
      </c>
      <c r="F199" s="240">
        <f ca="1"/>
        <v>0</v>
      </c>
      <c r="G199" s="219">
        <f t="shared" ca="1" si="7"/>
        <v>0</v>
      </c>
      <c r="H199" s="185">
        <f ca="1"/>
        <v>0</v>
      </c>
    </row>
    <row r="200" spans="2:8">
      <c r="B200" s="182">
        <f ca="1"/>
        <v>49</v>
      </c>
      <c r="C200" s="182">
        <f ca="1"/>
        <v>0</v>
      </c>
      <c r="D200" s="183">
        <f ca="1"/>
        <v>0</v>
      </c>
      <c r="E200" s="181">
        <f ca="1"/>
        <v>0</v>
      </c>
      <c r="F200" s="240">
        <f ca="1"/>
        <v>0</v>
      </c>
      <c r="G200" s="219">
        <f t="shared" ca="1" si="7"/>
        <v>0</v>
      </c>
      <c r="H200" s="185">
        <f ca="1"/>
        <v>0</v>
      </c>
    </row>
    <row r="201" spans="2:8">
      <c r="B201" s="182">
        <f ca="1"/>
        <v>50</v>
      </c>
      <c r="C201" s="182">
        <f ca="1"/>
        <v>0</v>
      </c>
      <c r="D201" s="183">
        <f ca="1"/>
        <v>0</v>
      </c>
      <c r="E201" s="181">
        <f ca="1"/>
        <v>0</v>
      </c>
      <c r="F201" s="240">
        <f ca="1"/>
        <v>0</v>
      </c>
      <c r="G201" s="219">
        <f t="shared" ca="1" si="7"/>
        <v>0</v>
      </c>
      <c r="H201" s="185">
        <f ca="1"/>
        <v>0</v>
      </c>
    </row>
    <row r="202" spans="2:8">
      <c r="B202" s="182">
        <f ca="1"/>
        <v>51</v>
      </c>
      <c r="C202" s="182">
        <f ca="1"/>
        <v>0</v>
      </c>
      <c r="D202" s="183">
        <f ca="1"/>
        <v>0</v>
      </c>
      <c r="E202" s="181">
        <f ca="1"/>
        <v>0</v>
      </c>
      <c r="F202" s="240">
        <f ca="1"/>
        <v>0</v>
      </c>
      <c r="G202" s="219">
        <f t="shared" ca="1" si="7"/>
        <v>0</v>
      </c>
      <c r="H202" s="185">
        <f ca="1"/>
        <v>0</v>
      </c>
    </row>
    <row r="203" spans="2:8">
      <c r="B203" s="182">
        <f ca="1"/>
        <v>52</v>
      </c>
      <c r="C203" s="182">
        <f ca="1"/>
        <v>0</v>
      </c>
      <c r="D203" s="183">
        <f ca="1"/>
        <v>0</v>
      </c>
      <c r="E203" s="181">
        <f ca="1"/>
        <v>0</v>
      </c>
      <c r="F203" s="240">
        <f ca="1"/>
        <v>0</v>
      </c>
      <c r="G203" s="219">
        <f t="shared" ca="1" si="7"/>
        <v>0</v>
      </c>
      <c r="H203" s="185">
        <f ca="1"/>
        <v>0</v>
      </c>
    </row>
    <row r="204" spans="2:8">
      <c r="B204" s="182">
        <f ca="1"/>
        <v>53</v>
      </c>
      <c r="C204" s="182">
        <f ca="1"/>
        <v>0</v>
      </c>
      <c r="D204" s="183">
        <f ca="1"/>
        <v>0</v>
      </c>
      <c r="E204" s="181">
        <f ca="1"/>
        <v>0</v>
      </c>
      <c r="F204" s="240">
        <f ca="1"/>
        <v>0</v>
      </c>
      <c r="G204" s="219">
        <f t="shared" ca="1" si="7"/>
        <v>0</v>
      </c>
      <c r="H204" s="185">
        <f ca="1"/>
        <v>0</v>
      </c>
    </row>
    <row r="205" spans="2:8">
      <c r="B205" s="182">
        <f ca="1"/>
        <v>54</v>
      </c>
      <c r="C205" s="182">
        <f ca="1"/>
        <v>0</v>
      </c>
      <c r="D205" s="183">
        <f ca="1"/>
        <v>0</v>
      </c>
      <c r="E205" s="181">
        <f ca="1"/>
        <v>0</v>
      </c>
      <c r="F205" s="240">
        <f ca="1"/>
        <v>0</v>
      </c>
      <c r="G205" s="219">
        <f t="shared" ca="1" si="7"/>
        <v>0</v>
      </c>
      <c r="H205" s="185">
        <f ca="1"/>
        <v>0</v>
      </c>
    </row>
    <row r="206" spans="2:8">
      <c r="B206" s="182">
        <f ca="1"/>
        <v>55</v>
      </c>
      <c r="C206" s="182">
        <f ca="1"/>
        <v>0</v>
      </c>
      <c r="D206" s="183">
        <f ca="1"/>
        <v>0</v>
      </c>
      <c r="E206" s="181">
        <f ca="1"/>
        <v>0</v>
      </c>
      <c r="F206" s="240">
        <f ca="1"/>
        <v>0</v>
      </c>
      <c r="G206" s="219">
        <f t="shared" ca="1" si="7"/>
        <v>0</v>
      </c>
      <c r="H206" s="185">
        <f ca="1"/>
        <v>0</v>
      </c>
    </row>
    <row r="207" spans="2:8">
      <c r="B207" s="182">
        <f ca="1"/>
        <v>56</v>
      </c>
      <c r="C207" s="182">
        <f ca="1"/>
        <v>0</v>
      </c>
      <c r="D207" s="183">
        <f ca="1"/>
        <v>0</v>
      </c>
      <c r="E207" s="181">
        <f ca="1"/>
        <v>0</v>
      </c>
      <c r="F207" s="240">
        <f ca="1"/>
        <v>0</v>
      </c>
      <c r="G207" s="219">
        <f t="shared" ca="1" si="7"/>
        <v>0</v>
      </c>
      <c r="H207" s="185">
        <f ca="1"/>
        <v>0</v>
      </c>
    </row>
    <row r="208" spans="2:8">
      <c r="B208" s="182">
        <f ca="1"/>
        <v>57</v>
      </c>
      <c r="C208" s="182">
        <f ca="1"/>
        <v>0</v>
      </c>
      <c r="D208" s="183">
        <f ca="1"/>
        <v>0</v>
      </c>
      <c r="E208" s="181">
        <f ca="1"/>
        <v>0</v>
      </c>
      <c r="F208" s="240">
        <f ca="1"/>
        <v>0</v>
      </c>
      <c r="G208" s="219">
        <f t="shared" ca="1" si="7"/>
        <v>0</v>
      </c>
      <c r="H208" s="185">
        <f ca="1"/>
        <v>0</v>
      </c>
    </row>
    <row r="209" spans="2:8">
      <c r="B209" s="182">
        <f ca="1"/>
        <v>58</v>
      </c>
      <c r="C209" s="182">
        <f ca="1"/>
        <v>0</v>
      </c>
      <c r="D209" s="183">
        <f ca="1"/>
        <v>0</v>
      </c>
      <c r="E209" s="181">
        <f ca="1"/>
        <v>0</v>
      </c>
      <c r="F209" s="240">
        <f ca="1"/>
        <v>0</v>
      </c>
      <c r="G209" s="219">
        <f t="shared" ca="1" si="7"/>
        <v>0</v>
      </c>
      <c r="H209" s="185">
        <f ca="1"/>
        <v>0</v>
      </c>
    </row>
    <row r="210" spans="2:8">
      <c r="B210" s="182">
        <f ca="1"/>
        <v>59</v>
      </c>
      <c r="C210" s="182">
        <f ca="1"/>
        <v>0</v>
      </c>
      <c r="D210" s="183">
        <f ca="1"/>
        <v>0</v>
      </c>
      <c r="E210" s="181">
        <f ca="1"/>
        <v>0</v>
      </c>
      <c r="F210" s="240">
        <f ca="1"/>
        <v>0</v>
      </c>
      <c r="G210" s="219">
        <f t="shared" ca="1" si="7"/>
        <v>0</v>
      </c>
      <c r="H210" s="185">
        <f ca="1"/>
        <v>0</v>
      </c>
    </row>
    <row r="211" spans="2:8">
      <c r="B211" s="182">
        <f ca="1"/>
        <v>60</v>
      </c>
      <c r="C211" s="182">
        <f ca="1"/>
        <v>0</v>
      </c>
      <c r="D211" s="183">
        <f ca="1"/>
        <v>0</v>
      </c>
      <c r="E211" s="181">
        <f ca="1"/>
        <v>0</v>
      </c>
      <c r="F211" s="240">
        <f ca="1"/>
        <v>0</v>
      </c>
      <c r="G211" s="219">
        <f t="shared" ca="1" si="7"/>
        <v>0</v>
      </c>
      <c r="H211" s="185">
        <f ca="1"/>
        <v>0</v>
      </c>
    </row>
    <row r="212" spans="2:8">
      <c r="B212" s="182">
        <f ca="1"/>
        <v>61</v>
      </c>
      <c r="C212" s="182">
        <f ca="1"/>
        <v>0</v>
      </c>
      <c r="D212" s="183">
        <f ca="1"/>
        <v>0</v>
      </c>
      <c r="E212" s="181">
        <f ca="1"/>
        <v>0</v>
      </c>
      <c r="F212" s="240">
        <f ca="1"/>
        <v>0</v>
      </c>
      <c r="G212" s="219">
        <f t="shared" ca="1" si="7"/>
        <v>0</v>
      </c>
      <c r="H212" s="185">
        <f ca="1"/>
        <v>0</v>
      </c>
    </row>
    <row r="213" spans="2:8">
      <c r="B213" s="182">
        <f ca="1"/>
        <v>62</v>
      </c>
      <c r="C213" s="182">
        <f ca="1"/>
        <v>0</v>
      </c>
      <c r="D213" s="183">
        <f ca="1"/>
        <v>0</v>
      </c>
      <c r="E213" s="181">
        <f ca="1"/>
        <v>0</v>
      </c>
      <c r="F213" s="240">
        <f ca="1"/>
        <v>0</v>
      </c>
      <c r="G213" s="219">
        <f t="shared" ca="1" si="7"/>
        <v>0</v>
      </c>
      <c r="H213" s="185">
        <f ca="1"/>
        <v>0</v>
      </c>
    </row>
    <row r="214" spans="2:8">
      <c r="B214" s="182">
        <f ca="1"/>
        <v>63</v>
      </c>
      <c r="C214" s="182">
        <f ca="1"/>
        <v>0</v>
      </c>
      <c r="D214" s="183">
        <f ca="1"/>
        <v>0</v>
      </c>
      <c r="E214" s="181">
        <f ca="1"/>
        <v>0</v>
      </c>
      <c r="F214" s="240">
        <f ca="1"/>
        <v>0</v>
      </c>
      <c r="G214" s="219">
        <f t="shared" ca="1" si="7"/>
        <v>0</v>
      </c>
      <c r="H214" s="185">
        <f ca="1"/>
        <v>0</v>
      </c>
    </row>
    <row r="215" spans="2:8">
      <c r="B215" s="182">
        <f ca="1"/>
        <v>64</v>
      </c>
      <c r="C215" s="182">
        <f ca="1"/>
        <v>0</v>
      </c>
      <c r="D215" s="183">
        <f ca="1"/>
        <v>0</v>
      </c>
      <c r="E215" s="181">
        <f ca="1"/>
        <v>0</v>
      </c>
      <c r="F215" s="240">
        <f ca="1"/>
        <v>0</v>
      </c>
      <c r="G215" s="219">
        <f t="shared" ca="1" si="7"/>
        <v>0</v>
      </c>
      <c r="H215" s="185">
        <f ca="1"/>
        <v>0</v>
      </c>
    </row>
    <row r="216" spans="2:8">
      <c r="B216" s="182">
        <f ca="1"/>
        <v>65</v>
      </c>
      <c r="C216" s="182">
        <f ca="1"/>
        <v>0</v>
      </c>
      <c r="D216" s="183">
        <f ca="1"/>
        <v>0</v>
      </c>
      <c r="E216" s="181">
        <f ca="1"/>
        <v>0</v>
      </c>
      <c r="F216" s="240">
        <f ca="1"/>
        <v>0</v>
      </c>
      <c r="G216" s="219">
        <f t="shared" ref="G216:G242" ca="1" si="8">ROUND(G119,4)</f>
        <v>0</v>
      </c>
      <c r="H216" s="185">
        <f ca="1"/>
        <v>0</v>
      </c>
    </row>
    <row r="217" spans="2:8">
      <c r="B217" s="182">
        <f ca="1"/>
        <v>66</v>
      </c>
      <c r="C217" s="182">
        <f ca="1"/>
        <v>0</v>
      </c>
      <c r="D217" s="183">
        <f ca="1"/>
        <v>0</v>
      </c>
      <c r="E217" s="181">
        <f ca="1"/>
        <v>0</v>
      </c>
      <c r="F217" s="240">
        <f ca="1"/>
        <v>0</v>
      </c>
      <c r="G217" s="219">
        <f t="shared" ca="1" si="8"/>
        <v>0</v>
      </c>
      <c r="H217" s="185">
        <f ca="1"/>
        <v>0</v>
      </c>
    </row>
    <row r="218" spans="2:8">
      <c r="B218" s="182">
        <f ca="1"/>
        <v>67</v>
      </c>
      <c r="C218" s="182">
        <f ca="1"/>
        <v>0</v>
      </c>
      <c r="D218" s="183">
        <f ca="1"/>
        <v>0</v>
      </c>
      <c r="E218" s="181">
        <f ca="1"/>
        <v>0</v>
      </c>
      <c r="F218" s="240">
        <f ca="1"/>
        <v>0</v>
      </c>
      <c r="G218" s="219">
        <f t="shared" ca="1" si="8"/>
        <v>0</v>
      </c>
      <c r="H218" s="185">
        <f ca="1"/>
        <v>0</v>
      </c>
    </row>
    <row r="219" spans="2:8">
      <c r="B219" s="182">
        <f ca="1"/>
        <v>68</v>
      </c>
      <c r="C219" s="182">
        <f ca="1"/>
        <v>0</v>
      </c>
      <c r="D219" s="183">
        <f ca="1"/>
        <v>0</v>
      </c>
      <c r="E219" s="181">
        <f ca="1"/>
        <v>0</v>
      </c>
      <c r="F219" s="240">
        <f ca="1"/>
        <v>0</v>
      </c>
      <c r="G219" s="219">
        <f t="shared" ca="1" si="8"/>
        <v>0</v>
      </c>
      <c r="H219" s="185">
        <f ca="1"/>
        <v>0</v>
      </c>
    </row>
    <row r="220" spans="2:8">
      <c r="B220" s="182">
        <f ca="1"/>
        <v>69</v>
      </c>
      <c r="C220" s="182">
        <f ca="1"/>
        <v>0</v>
      </c>
      <c r="D220" s="183">
        <f ca="1"/>
        <v>0</v>
      </c>
      <c r="E220" s="181">
        <f ca="1"/>
        <v>0</v>
      </c>
      <c r="F220" s="240">
        <f ca="1"/>
        <v>0</v>
      </c>
      <c r="G220" s="219">
        <f t="shared" ca="1" si="8"/>
        <v>0</v>
      </c>
      <c r="H220" s="185">
        <f ca="1"/>
        <v>0</v>
      </c>
    </row>
    <row r="221" spans="2:8">
      <c r="B221" s="182">
        <f ca="1"/>
        <v>70</v>
      </c>
      <c r="C221" s="182">
        <f ca="1"/>
        <v>0</v>
      </c>
      <c r="D221" s="183">
        <f ca="1"/>
        <v>0</v>
      </c>
      <c r="E221" s="181">
        <f ca="1"/>
        <v>0</v>
      </c>
      <c r="F221" s="240">
        <f ca="1"/>
        <v>0</v>
      </c>
      <c r="G221" s="219">
        <f t="shared" ca="1" si="8"/>
        <v>0</v>
      </c>
      <c r="H221" s="185">
        <f ca="1"/>
        <v>0</v>
      </c>
    </row>
    <row r="222" spans="2:8">
      <c r="B222" s="182">
        <f ca="1"/>
        <v>71</v>
      </c>
      <c r="C222" s="182">
        <f ca="1"/>
        <v>0</v>
      </c>
      <c r="D222" s="183">
        <f ca="1"/>
        <v>0</v>
      </c>
      <c r="E222" s="181">
        <f ca="1"/>
        <v>0</v>
      </c>
      <c r="F222" s="240">
        <f ca="1"/>
        <v>0</v>
      </c>
      <c r="G222" s="219">
        <f t="shared" ca="1" si="8"/>
        <v>0</v>
      </c>
      <c r="H222" s="185">
        <f ca="1"/>
        <v>0</v>
      </c>
    </row>
    <row r="223" spans="2:8">
      <c r="B223" s="182">
        <f ca="1"/>
        <v>72</v>
      </c>
      <c r="C223" s="182">
        <f ca="1"/>
        <v>0</v>
      </c>
      <c r="D223" s="183">
        <f ca="1"/>
        <v>0</v>
      </c>
      <c r="E223" s="181">
        <f ca="1"/>
        <v>0</v>
      </c>
      <c r="F223" s="240">
        <f ca="1"/>
        <v>0</v>
      </c>
      <c r="G223" s="219">
        <f t="shared" ca="1" si="8"/>
        <v>0</v>
      </c>
      <c r="H223" s="185">
        <f ca="1"/>
        <v>0</v>
      </c>
    </row>
    <row r="224" spans="2:8">
      <c r="B224" s="182">
        <f ca="1"/>
        <v>73</v>
      </c>
      <c r="C224" s="182">
        <f ca="1"/>
        <v>0</v>
      </c>
      <c r="D224" s="183">
        <f ca="1"/>
        <v>0</v>
      </c>
      <c r="E224" s="181">
        <f ca="1"/>
        <v>0</v>
      </c>
      <c r="F224" s="240">
        <f ca="1"/>
        <v>0</v>
      </c>
      <c r="G224" s="219">
        <f t="shared" ca="1" si="8"/>
        <v>0</v>
      </c>
      <c r="H224" s="185">
        <f ca="1"/>
        <v>0</v>
      </c>
    </row>
    <row r="225" spans="2:8">
      <c r="B225" s="182">
        <f ca="1"/>
        <v>74</v>
      </c>
      <c r="C225" s="182">
        <f ca="1"/>
        <v>0</v>
      </c>
      <c r="D225" s="183">
        <f ca="1"/>
        <v>0</v>
      </c>
      <c r="E225" s="181">
        <f ca="1"/>
        <v>0</v>
      </c>
      <c r="F225" s="240">
        <f ca="1"/>
        <v>0</v>
      </c>
      <c r="G225" s="219">
        <f t="shared" ca="1" si="8"/>
        <v>0</v>
      </c>
      <c r="H225" s="185">
        <f ca="1"/>
        <v>0</v>
      </c>
    </row>
    <row r="226" spans="2:8">
      <c r="B226" s="182">
        <f ca="1"/>
        <v>75</v>
      </c>
      <c r="C226" s="182">
        <f ca="1"/>
        <v>0</v>
      </c>
      <c r="D226" s="183">
        <f ca="1"/>
        <v>0</v>
      </c>
      <c r="E226" s="181">
        <f ca="1"/>
        <v>0</v>
      </c>
      <c r="F226" s="240">
        <f ca="1"/>
        <v>0</v>
      </c>
      <c r="G226" s="219">
        <f t="shared" ca="1" si="8"/>
        <v>0</v>
      </c>
      <c r="H226" s="185">
        <f ca="1"/>
        <v>0</v>
      </c>
    </row>
    <row r="227" spans="2:8">
      <c r="B227" s="182">
        <f ca="1"/>
        <v>76</v>
      </c>
      <c r="C227" s="182">
        <f ca="1"/>
        <v>0</v>
      </c>
      <c r="D227" s="183">
        <f ca="1"/>
        <v>0</v>
      </c>
      <c r="E227" s="181">
        <f ca="1"/>
        <v>0</v>
      </c>
      <c r="F227" s="240">
        <f ca="1"/>
        <v>0</v>
      </c>
      <c r="G227" s="219">
        <f t="shared" ca="1" si="8"/>
        <v>0</v>
      </c>
      <c r="H227" s="185">
        <f ca="1"/>
        <v>0</v>
      </c>
    </row>
    <row r="228" spans="2:8">
      <c r="B228" s="182">
        <f ca="1"/>
        <v>77</v>
      </c>
      <c r="C228" s="182">
        <f ca="1"/>
        <v>0</v>
      </c>
      <c r="D228" s="183">
        <f ca="1"/>
        <v>0</v>
      </c>
      <c r="E228" s="181">
        <f ca="1"/>
        <v>0</v>
      </c>
      <c r="F228" s="240">
        <f ca="1"/>
        <v>0</v>
      </c>
      <c r="G228" s="219">
        <f t="shared" ca="1" si="8"/>
        <v>0</v>
      </c>
      <c r="H228" s="185">
        <f ca="1"/>
        <v>0</v>
      </c>
    </row>
    <row r="229" spans="2:8">
      <c r="B229" s="182">
        <f ca="1"/>
        <v>78</v>
      </c>
      <c r="C229" s="182">
        <f ca="1"/>
        <v>0</v>
      </c>
      <c r="D229" s="183">
        <f ca="1"/>
        <v>0</v>
      </c>
      <c r="E229" s="181">
        <f ca="1"/>
        <v>0</v>
      </c>
      <c r="F229" s="240">
        <f ca="1"/>
        <v>0</v>
      </c>
      <c r="G229" s="219">
        <f t="shared" ca="1" si="8"/>
        <v>0</v>
      </c>
      <c r="H229" s="185">
        <f ca="1"/>
        <v>0</v>
      </c>
    </row>
    <row r="230" spans="2:8">
      <c r="B230" s="182">
        <f ca="1"/>
        <v>79</v>
      </c>
      <c r="C230" s="182">
        <f ca="1"/>
        <v>0</v>
      </c>
      <c r="D230" s="183">
        <f ca="1"/>
        <v>0</v>
      </c>
      <c r="E230" s="181">
        <f ca="1"/>
        <v>0</v>
      </c>
      <c r="F230" s="240">
        <f ca="1"/>
        <v>0</v>
      </c>
      <c r="G230" s="219">
        <f t="shared" ca="1" si="8"/>
        <v>0</v>
      </c>
      <c r="H230" s="185">
        <f ca="1"/>
        <v>0</v>
      </c>
    </row>
    <row r="231" spans="2:8">
      <c r="B231" s="182">
        <f ca="1"/>
        <v>80</v>
      </c>
      <c r="C231" s="182">
        <f ca="1"/>
        <v>0</v>
      </c>
      <c r="D231" s="183">
        <f ca="1"/>
        <v>0</v>
      </c>
      <c r="E231" s="181">
        <f ca="1"/>
        <v>0</v>
      </c>
      <c r="F231" s="240">
        <f ca="1"/>
        <v>0</v>
      </c>
      <c r="G231" s="219">
        <f t="shared" ca="1" si="8"/>
        <v>0</v>
      </c>
      <c r="H231" s="185">
        <f ca="1"/>
        <v>0</v>
      </c>
    </row>
    <row r="232" spans="2:8">
      <c r="B232" s="182">
        <f ca="1"/>
        <v>81</v>
      </c>
      <c r="C232" s="182">
        <f ca="1"/>
        <v>0</v>
      </c>
      <c r="D232" s="183">
        <f ca="1"/>
        <v>0</v>
      </c>
      <c r="E232" s="181">
        <f ca="1"/>
        <v>0</v>
      </c>
      <c r="F232" s="240">
        <f ca="1"/>
        <v>0</v>
      </c>
      <c r="G232" s="219">
        <f t="shared" ca="1" si="8"/>
        <v>0</v>
      </c>
      <c r="H232" s="185">
        <f ca="1"/>
        <v>0</v>
      </c>
    </row>
    <row r="233" spans="2:8">
      <c r="B233" s="182">
        <f ca="1"/>
        <v>82</v>
      </c>
      <c r="C233" s="182">
        <f ca="1"/>
        <v>0</v>
      </c>
      <c r="D233" s="183">
        <f ca="1"/>
        <v>0</v>
      </c>
      <c r="E233" s="181">
        <f ca="1"/>
        <v>0</v>
      </c>
      <c r="F233" s="240">
        <f ca="1"/>
        <v>0</v>
      </c>
      <c r="G233" s="219">
        <f t="shared" ca="1" si="8"/>
        <v>0</v>
      </c>
      <c r="H233" s="185">
        <f ca="1"/>
        <v>0</v>
      </c>
    </row>
    <row r="234" spans="2:8">
      <c r="B234" s="182">
        <f ca="1"/>
        <v>83</v>
      </c>
      <c r="C234" s="182">
        <f ca="1"/>
        <v>0</v>
      </c>
      <c r="D234" s="183">
        <f ca="1"/>
        <v>0</v>
      </c>
      <c r="E234" s="181">
        <f ca="1"/>
        <v>0</v>
      </c>
      <c r="F234" s="240">
        <f ca="1"/>
        <v>0</v>
      </c>
      <c r="G234" s="219">
        <f t="shared" ca="1" si="8"/>
        <v>0</v>
      </c>
      <c r="H234" s="185">
        <f ca="1"/>
        <v>0</v>
      </c>
    </row>
    <row r="235" spans="2:8">
      <c r="B235" s="182">
        <f ca="1"/>
        <v>84</v>
      </c>
      <c r="C235" s="182">
        <f ca="1"/>
        <v>0</v>
      </c>
      <c r="D235" s="183">
        <f ca="1"/>
        <v>0</v>
      </c>
      <c r="E235" s="181">
        <f ca="1"/>
        <v>0</v>
      </c>
      <c r="F235" s="240">
        <f ca="1"/>
        <v>0</v>
      </c>
      <c r="G235" s="219">
        <f t="shared" ca="1" si="8"/>
        <v>0</v>
      </c>
      <c r="H235" s="185">
        <f ca="1"/>
        <v>0</v>
      </c>
    </row>
    <row r="236" spans="2:8">
      <c r="B236" s="182">
        <f ca="1"/>
        <v>85</v>
      </c>
      <c r="C236" s="182">
        <f ca="1"/>
        <v>0</v>
      </c>
      <c r="D236" s="183">
        <f ca="1"/>
        <v>0</v>
      </c>
      <c r="E236" s="181">
        <f ca="1"/>
        <v>0</v>
      </c>
      <c r="F236" s="240">
        <f ca="1"/>
        <v>0</v>
      </c>
      <c r="G236" s="219">
        <f t="shared" ca="1" si="8"/>
        <v>0</v>
      </c>
      <c r="H236" s="185">
        <f ca="1"/>
        <v>0</v>
      </c>
    </row>
    <row r="237" spans="2:8">
      <c r="B237" s="182">
        <f ca="1"/>
        <v>86</v>
      </c>
      <c r="C237" s="182">
        <f ca="1"/>
        <v>0</v>
      </c>
      <c r="D237" s="183">
        <f ca="1"/>
        <v>0</v>
      </c>
      <c r="E237" s="181">
        <f ca="1"/>
        <v>0</v>
      </c>
      <c r="F237" s="240">
        <f ca="1"/>
        <v>0</v>
      </c>
      <c r="G237" s="219">
        <f t="shared" ca="1" si="8"/>
        <v>0</v>
      </c>
      <c r="H237" s="185">
        <f ca="1"/>
        <v>0</v>
      </c>
    </row>
    <row r="238" spans="2:8">
      <c r="B238" s="182">
        <f ca="1"/>
        <v>87</v>
      </c>
      <c r="C238" s="182">
        <f ca="1"/>
        <v>0</v>
      </c>
      <c r="D238" s="183">
        <f ca="1"/>
        <v>0</v>
      </c>
      <c r="E238" s="181">
        <f ca="1"/>
        <v>0</v>
      </c>
      <c r="F238" s="240">
        <f ca="1"/>
        <v>0</v>
      </c>
      <c r="G238" s="219">
        <f t="shared" ca="1" si="8"/>
        <v>0</v>
      </c>
      <c r="H238" s="185">
        <f ca="1"/>
        <v>0</v>
      </c>
    </row>
    <row r="239" spans="2:8">
      <c r="B239" s="182">
        <f ca="1"/>
        <v>88</v>
      </c>
      <c r="C239" s="182">
        <f ca="1"/>
        <v>0</v>
      </c>
      <c r="D239" s="183">
        <f ca="1"/>
        <v>0</v>
      </c>
      <c r="E239" s="181">
        <f ca="1"/>
        <v>0</v>
      </c>
      <c r="F239" s="482">
        <f ca="1"/>
        <v>0</v>
      </c>
      <c r="G239" s="219">
        <f t="shared" ca="1" si="8"/>
        <v>0</v>
      </c>
      <c r="H239" s="185">
        <f ca="1"/>
        <v>0</v>
      </c>
    </row>
    <row r="240" spans="2:8">
      <c r="B240" s="182">
        <f ca="1"/>
        <v>89</v>
      </c>
      <c r="C240" s="182">
        <f ca="1"/>
        <v>0</v>
      </c>
      <c r="D240" s="183">
        <f ca="1"/>
        <v>0</v>
      </c>
      <c r="E240" s="181">
        <f ca="1"/>
        <v>0</v>
      </c>
      <c r="F240" s="482">
        <f ca="1"/>
        <v>0</v>
      </c>
      <c r="G240" s="219">
        <f t="shared" ca="1" si="8"/>
        <v>0</v>
      </c>
      <c r="H240" s="185">
        <f ca="1"/>
        <v>0</v>
      </c>
    </row>
    <row r="241" spans="2:34">
      <c r="B241" s="182">
        <f ca="1"/>
        <v>90</v>
      </c>
      <c r="C241" s="182">
        <f ca="1"/>
        <v>0</v>
      </c>
      <c r="D241" s="183">
        <f ca="1"/>
        <v>0</v>
      </c>
      <c r="E241" s="181">
        <f ca="1"/>
        <v>0</v>
      </c>
      <c r="F241" s="482">
        <f ca="1"/>
        <v>0</v>
      </c>
      <c r="G241" s="219">
        <f t="shared" ca="1" si="8"/>
        <v>0</v>
      </c>
      <c r="H241" s="185">
        <f ca="1"/>
        <v>0</v>
      </c>
    </row>
    <row r="242" spans="2:34">
      <c r="B242" s="182">
        <f ca="1"/>
        <v>91</v>
      </c>
      <c r="C242" s="182">
        <f ca="1"/>
        <v>0</v>
      </c>
      <c r="D242" s="183">
        <f ca="1"/>
        <v>0</v>
      </c>
      <c r="E242" s="181">
        <f ca="1"/>
        <v>0</v>
      </c>
      <c r="F242" s="482">
        <f ca="1"/>
        <v>0</v>
      </c>
      <c r="G242" s="219">
        <f t="shared" ca="1" si="8"/>
        <v>0</v>
      </c>
      <c r="H242" s="185">
        <f ca="1"/>
        <v>0</v>
      </c>
    </row>
    <row r="243" spans="2:34">
      <c r="B243" s="173" t="s">
        <v>106</v>
      </c>
      <c r="C243" s="46"/>
      <c r="D243" s="136"/>
      <c r="E243" s="46"/>
      <c r="F243" s="148">
        <f ca="1">SUM(F150:F241)</f>
        <v>1908669878.2619796</v>
      </c>
      <c r="G243" s="205">
        <f ca="1">SUM(G150:G242)</f>
        <v>1</v>
      </c>
      <c r="H243" s="148">
        <f ca="1">SUM(H150:H241)</f>
        <v>1830000000</v>
      </c>
    </row>
    <row r="244" spans="2:34">
      <c r="B244" t="s">
        <v>698</v>
      </c>
      <c r="H244" s="5"/>
    </row>
    <row r="245" spans="2:34">
      <c r="H245" s="5"/>
    </row>
    <row r="246" spans="2:34">
      <c r="B246" s="2" t="s">
        <v>699</v>
      </c>
      <c r="H246" s="5"/>
    </row>
    <row r="247" spans="2:34">
      <c r="B247" s="193">
        <f ca="1">H243/F243</f>
        <v>0.9587828785071959</v>
      </c>
      <c r="H247" s="5"/>
    </row>
    <row r="248" spans="2:34">
      <c r="H248" s="5"/>
    </row>
    <row r="249" spans="2:34">
      <c r="B249" s="210" t="s">
        <v>700</v>
      </c>
      <c r="H249" s="5"/>
    </row>
    <row r="250" spans="2:34">
      <c r="B250" s="193" t="str">
        <f>'Painel Controle'!C8</f>
        <v>Cenário 20/03/2025 com IFC</v>
      </c>
      <c r="H250" s="5"/>
    </row>
    <row r="251" spans="2:34">
      <c r="H251" s="5"/>
    </row>
    <row r="252" spans="2:34">
      <c r="B252" s="2" t="s">
        <v>701</v>
      </c>
    </row>
    <row r="253" spans="2:34">
      <c r="B253" s="360" t="s">
        <v>654</v>
      </c>
      <c r="C253" s="150" cm="1">
        <f t="array" ref="C253:AH253">C4:AH4</f>
        <v>-1</v>
      </c>
      <c r="D253" s="150">
        <v>0</v>
      </c>
      <c r="E253" s="150">
        <v>1</v>
      </c>
      <c r="F253" s="150">
        <v>2</v>
      </c>
      <c r="G253" s="150">
        <v>3</v>
      </c>
      <c r="H253" s="150">
        <v>4</v>
      </c>
      <c r="I253" s="150">
        <v>5</v>
      </c>
      <c r="J253" s="150">
        <v>6</v>
      </c>
      <c r="K253" s="150">
        <v>7</v>
      </c>
      <c r="L253" s="150">
        <v>8</v>
      </c>
      <c r="M253" s="150">
        <v>9</v>
      </c>
      <c r="N253" s="150">
        <v>10</v>
      </c>
      <c r="O253" s="150">
        <v>11</v>
      </c>
      <c r="P253" s="150">
        <v>12</v>
      </c>
      <c r="Q253" s="150">
        <v>13</v>
      </c>
      <c r="R253" s="150">
        <v>14</v>
      </c>
      <c r="S253" s="150">
        <v>15</v>
      </c>
      <c r="T253" s="150">
        <v>16</v>
      </c>
      <c r="U253" s="150">
        <v>17</v>
      </c>
      <c r="V253" s="150">
        <v>18</v>
      </c>
      <c r="W253" s="150">
        <v>19</v>
      </c>
      <c r="X253" s="150">
        <v>20</v>
      </c>
      <c r="Y253" s="150">
        <v>21</v>
      </c>
      <c r="Z253" s="150">
        <v>22</v>
      </c>
      <c r="AA253" s="150">
        <v>23</v>
      </c>
      <c r="AB253" s="150">
        <v>24</v>
      </c>
      <c r="AC253" s="150">
        <v>25</v>
      </c>
      <c r="AD253" s="150">
        <v>26</v>
      </c>
      <c r="AE253" s="150">
        <v>27</v>
      </c>
      <c r="AF253" s="150">
        <v>28</v>
      </c>
      <c r="AG253" s="194">
        <v>29</v>
      </c>
      <c r="AH253" s="46">
        <v>30</v>
      </c>
    </row>
    <row r="254" spans="2:34">
      <c r="B254" s="265" t="s">
        <v>702</v>
      </c>
      <c r="C254" s="359">
        <v>0</v>
      </c>
      <c r="D254" s="269">
        <f>C258</f>
        <v>0</v>
      </c>
      <c r="E254" s="269">
        <f t="shared" ref="E254" si="9">D258</f>
        <v>0</v>
      </c>
      <c r="F254" s="269">
        <f t="shared" ref="F254:AH254" ca="1" si="10">E258</f>
        <v>494919000</v>
      </c>
      <c r="G254" s="269">
        <f t="shared" ca="1" si="10"/>
        <v>800919000</v>
      </c>
      <c r="H254" s="269">
        <f t="shared" ca="1" si="10"/>
        <v>853830000</v>
      </c>
      <c r="I254" s="269">
        <f t="shared" ca="1" si="10"/>
        <v>427647000</v>
      </c>
      <c r="J254" s="269">
        <f t="shared" ca="1" si="10"/>
        <v>368745000</v>
      </c>
      <c r="K254" s="269">
        <f t="shared" ca="1" si="10"/>
        <v>0</v>
      </c>
      <c r="L254" s="269">
        <f t="shared" ca="1" si="10"/>
        <v>0</v>
      </c>
      <c r="M254" s="269">
        <f t="shared" ca="1" si="10"/>
        <v>0</v>
      </c>
      <c r="N254" s="269">
        <f t="shared" ca="1" si="10"/>
        <v>0</v>
      </c>
      <c r="O254" s="269">
        <f t="shared" ca="1" si="10"/>
        <v>0</v>
      </c>
      <c r="P254" s="269">
        <f t="shared" ca="1" si="10"/>
        <v>0</v>
      </c>
      <c r="Q254" s="269">
        <f t="shared" ca="1" si="10"/>
        <v>0</v>
      </c>
      <c r="R254" s="269">
        <f t="shared" ca="1" si="10"/>
        <v>0</v>
      </c>
      <c r="S254" s="269">
        <f t="shared" ca="1" si="10"/>
        <v>0</v>
      </c>
      <c r="T254" s="269">
        <f t="shared" ca="1" si="10"/>
        <v>0</v>
      </c>
      <c r="U254" s="269">
        <f t="shared" ca="1" si="10"/>
        <v>0</v>
      </c>
      <c r="V254" s="269">
        <f t="shared" ca="1" si="10"/>
        <v>0</v>
      </c>
      <c r="W254" s="269">
        <f t="shared" ca="1" si="10"/>
        <v>0</v>
      </c>
      <c r="X254" s="269">
        <f t="shared" ca="1" si="10"/>
        <v>0</v>
      </c>
      <c r="Y254" s="269">
        <f t="shared" ca="1" si="10"/>
        <v>0</v>
      </c>
      <c r="Z254" s="269">
        <f t="shared" ca="1" si="10"/>
        <v>0</v>
      </c>
      <c r="AA254" s="269">
        <f t="shared" ca="1" si="10"/>
        <v>0</v>
      </c>
      <c r="AB254" s="269">
        <f t="shared" ca="1" si="10"/>
        <v>0</v>
      </c>
      <c r="AC254" s="269">
        <f t="shared" ca="1" si="10"/>
        <v>0</v>
      </c>
      <c r="AD254" s="269">
        <f t="shared" ca="1" si="10"/>
        <v>0</v>
      </c>
      <c r="AE254" s="269">
        <f t="shared" ca="1" si="10"/>
        <v>0</v>
      </c>
      <c r="AF254" s="269">
        <f t="shared" ca="1" si="10"/>
        <v>0</v>
      </c>
      <c r="AG254" s="269">
        <f t="shared" ca="1" si="10"/>
        <v>0</v>
      </c>
      <c r="AH254" s="269">
        <f t="shared" ca="1" si="10"/>
        <v>0</v>
      </c>
    </row>
    <row r="255" spans="2:34">
      <c r="B255" s="6" t="s">
        <v>703</v>
      </c>
      <c r="C255" s="147" cm="1">
        <f t="array" ref="C255:AH255">_xlfn.ANCHORARRAY(C21)</f>
        <v>0</v>
      </c>
      <c r="D255" s="147">
        <v>0</v>
      </c>
      <c r="E255" s="147">
        <v>606000000</v>
      </c>
      <c r="F255" s="147">
        <v>305999999.99999994</v>
      </c>
      <c r="G255" s="147">
        <v>305999999.99999994</v>
      </c>
      <c r="H255" s="147">
        <v>305999999.99999994</v>
      </c>
      <c r="I255" s="147">
        <v>305999999.99999994</v>
      </c>
      <c r="J255" s="147">
        <v>0</v>
      </c>
      <c r="K255" s="147">
        <v>0</v>
      </c>
      <c r="L255" s="147">
        <v>0</v>
      </c>
      <c r="M255" s="147">
        <v>0</v>
      </c>
      <c r="N255" s="147">
        <v>0</v>
      </c>
      <c r="O255" s="147">
        <v>0</v>
      </c>
      <c r="P255" s="147">
        <v>0</v>
      </c>
      <c r="Q255" s="147">
        <v>0</v>
      </c>
      <c r="R255" s="147">
        <v>0</v>
      </c>
      <c r="S255" s="147">
        <v>0</v>
      </c>
      <c r="T255" s="147">
        <v>0</v>
      </c>
      <c r="U255" s="147">
        <v>0</v>
      </c>
      <c r="V255" s="147">
        <v>0</v>
      </c>
      <c r="W255" s="147">
        <v>0</v>
      </c>
      <c r="X255" s="147">
        <v>0</v>
      </c>
      <c r="Y255" s="147">
        <v>0</v>
      </c>
      <c r="Z255" s="147">
        <v>0</v>
      </c>
      <c r="AA255" s="147">
        <v>0</v>
      </c>
      <c r="AB255" s="147">
        <v>0</v>
      </c>
      <c r="AC255" s="147">
        <v>0</v>
      </c>
      <c r="AD255" s="147">
        <v>0</v>
      </c>
      <c r="AE255" s="147">
        <v>0</v>
      </c>
      <c r="AF255" s="147">
        <v>0</v>
      </c>
      <c r="AG255" s="147">
        <v>0</v>
      </c>
      <c r="AH255" s="147">
        <v>0</v>
      </c>
    </row>
    <row r="256" spans="2:34">
      <c r="B256" s="265" t="s">
        <v>704</v>
      </c>
      <c r="C256" s="268">
        <f t="shared" ref="C256:E256" si="11">SUM(C254:C255)</f>
        <v>0</v>
      </c>
      <c r="D256" s="268">
        <f t="shared" si="11"/>
        <v>0</v>
      </c>
      <c r="E256" s="268">
        <f t="shared" si="11"/>
        <v>606000000</v>
      </c>
      <c r="F256" s="268">
        <f t="shared" ref="F256:AH256" ca="1" si="12">SUM(F254:F255)</f>
        <v>800919000</v>
      </c>
      <c r="G256" s="268">
        <f t="shared" ca="1" si="12"/>
        <v>1106919000</v>
      </c>
      <c r="H256" s="268">
        <f t="shared" ca="1" si="12"/>
        <v>1159830000</v>
      </c>
      <c r="I256" s="268">
        <f t="shared" ca="1" si="12"/>
        <v>733647000</v>
      </c>
      <c r="J256" s="268">
        <f t="shared" ca="1" si="12"/>
        <v>368745000</v>
      </c>
      <c r="K256" s="268">
        <f t="shared" ca="1" si="12"/>
        <v>0</v>
      </c>
      <c r="L256" s="268">
        <f t="shared" ca="1" si="12"/>
        <v>0</v>
      </c>
      <c r="M256" s="268">
        <f t="shared" ca="1" si="12"/>
        <v>0</v>
      </c>
      <c r="N256" s="268">
        <f t="shared" ca="1" si="12"/>
        <v>0</v>
      </c>
      <c r="O256" s="268">
        <f t="shared" ca="1" si="12"/>
        <v>0</v>
      </c>
      <c r="P256" s="268">
        <f t="shared" ca="1" si="12"/>
        <v>0</v>
      </c>
      <c r="Q256" s="268">
        <f t="shared" ca="1" si="12"/>
        <v>0</v>
      </c>
      <c r="R256" s="268">
        <f t="shared" ca="1" si="12"/>
        <v>0</v>
      </c>
      <c r="S256" s="268">
        <f t="shared" ca="1" si="12"/>
        <v>0</v>
      </c>
      <c r="T256" s="268">
        <f t="shared" ca="1" si="12"/>
        <v>0</v>
      </c>
      <c r="U256" s="268">
        <f t="shared" ca="1" si="12"/>
        <v>0</v>
      </c>
      <c r="V256" s="268">
        <f t="shared" ca="1" si="12"/>
        <v>0</v>
      </c>
      <c r="W256" s="268">
        <f t="shared" ca="1" si="12"/>
        <v>0</v>
      </c>
      <c r="X256" s="268">
        <f t="shared" ca="1" si="12"/>
        <v>0</v>
      </c>
      <c r="Y256" s="268">
        <f t="shared" ca="1" si="12"/>
        <v>0</v>
      </c>
      <c r="Z256" s="268">
        <f t="shared" ca="1" si="12"/>
        <v>0</v>
      </c>
      <c r="AA256" s="268">
        <f t="shared" ca="1" si="12"/>
        <v>0</v>
      </c>
      <c r="AB256" s="268">
        <f t="shared" ca="1" si="12"/>
        <v>0</v>
      </c>
      <c r="AC256" s="268">
        <f t="shared" ca="1" si="12"/>
        <v>0</v>
      </c>
      <c r="AD256" s="268">
        <f t="shared" ca="1" si="12"/>
        <v>0</v>
      </c>
      <c r="AE256" s="268">
        <f t="shared" ca="1" si="12"/>
        <v>0</v>
      </c>
      <c r="AF256" s="268">
        <f t="shared" ca="1" si="12"/>
        <v>0</v>
      </c>
      <c r="AG256" s="268">
        <f t="shared" ca="1" si="12"/>
        <v>0</v>
      </c>
      <c r="AH256" s="268">
        <f t="shared" ca="1" si="12"/>
        <v>0</v>
      </c>
    </row>
    <row r="257" spans="2:34">
      <c r="B257" s="467" t="s">
        <v>705</v>
      </c>
      <c r="C257" s="468">
        <v>0</v>
      </c>
      <c r="D257" s="468">
        <v>0</v>
      </c>
      <c r="E257" s="271">
        <f t="shared" ref="E257:AH257" ca="1" si="13">SUMIF($E150:$E242,E253,_xlfn.ANCHORARRAY($H150)) * -1</f>
        <v>-111081000</v>
      </c>
      <c r="F257" s="271">
        <f t="shared" ca="1" si="13"/>
        <v>0</v>
      </c>
      <c r="G257" s="271">
        <f t="shared" ca="1" si="13"/>
        <v>-253089000</v>
      </c>
      <c r="H257" s="271">
        <f t="shared" ca="1" si="13"/>
        <v>-732183000</v>
      </c>
      <c r="I257" s="271">
        <f t="shared" ca="1" si="13"/>
        <v>-364902000</v>
      </c>
      <c r="J257" s="271">
        <f t="shared" ca="1" si="13"/>
        <v>-368745000</v>
      </c>
      <c r="K257" s="271">
        <f t="shared" ca="1" si="13"/>
        <v>0</v>
      </c>
      <c r="L257" s="271">
        <f t="shared" ca="1" si="13"/>
        <v>0</v>
      </c>
      <c r="M257" s="271">
        <f t="shared" ca="1" si="13"/>
        <v>0</v>
      </c>
      <c r="N257" s="271">
        <f t="shared" ca="1" si="13"/>
        <v>0</v>
      </c>
      <c r="O257" s="271">
        <f t="shared" ca="1" si="13"/>
        <v>0</v>
      </c>
      <c r="P257" s="271">
        <f t="shared" ca="1" si="13"/>
        <v>0</v>
      </c>
      <c r="Q257" s="271">
        <f t="shared" ca="1" si="13"/>
        <v>0</v>
      </c>
      <c r="R257" s="271">
        <f t="shared" ca="1" si="13"/>
        <v>0</v>
      </c>
      <c r="S257" s="271">
        <f t="shared" ca="1" si="13"/>
        <v>0</v>
      </c>
      <c r="T257" s="271">
        <f t="shared" ca="1" si="13"/>
        <v>0</v>
      </c>
      <c r="U257" s="271">
        <f t="shared" ca="1" si="13"/>
        <v>0</v>
      </c>
      <c r="V257" s="271">
        <f t="shared" ca="1" si="13"/>
        <v>0</v>
      </c>
      <c r="W257" s="271">
        <f t="shared" ca="1" si="13"/>
        <v>0</v>
      </c>
      <c r="X257" s="271">
        <f t="shared" ca="1" si="13"/>
        <v>0</v>
      </c>
      <c r="Y257" s="271">
        <f t="shared" ca="1" si="13"/>
        <v>0</v>
      </c>
      <c r="Z257" s="271">
        <f t="shared" ca="1" si="13"/>
        <v>0</v>
      </c>
      <c r="AA257" s="271">
        <f t="shared" ca="1" si="13"/>
        <v>0</v>
      </c>
      <c r="AB257" s="271">
        <f t="shared" ca="1" si="13"/>
        <v>0</v>
      </c>
      <c r="AC257" s="271">
        <f t="shared" ca="1" si="13"/>
        <v>0</v>
      </c>
      <c r="AD257" s="271">
        <f t="shared" ca="1" si="13"/>
        <v>0</v>
      </c>
      <c r="AE257" s="271">
        <f t="shared" ca="1" si="13"/>
        <v>0</v>
      </c>
      <c r="AF257" s="271">
        <f t="shared" ca="1" si="13"/>
        <v>0</v>
      </c>
      <c r="AG257" s="271">
        <f t="shared" ca="1" si="13"/>
        <v>0</v>
      </c>
      <c r="AH257" s="271">
        <f t="shared" ca="1" si="13"/>
        <v>0</v>
      </c>
    </row>
    <row r="258" spans="2:34">
      <c r="B258" s="270" t="s">
        <v>706</v>
      </c>
      <c r="C258" s="271">
        <f>SUM(C256:C257)</f>
        <v>0</v>
      </c>
      <c r="D258" s="271">
        <f t="shared" ref="D258" si="14">SUM(D256:D257)</f>
        <v>0</v>
      </c>
      <c r="E258" s="271">
        <f t="shared" ref="E258:AH258" ca="1" si="15">SUM(E256:E257)</f>
        <v>494919000</v>
      </c>
      <c r="F258" s="271">
        <f t="shared" ca="1" si="15"/>
        <v>800919000</v>
      </c>
      <c r="G258" s="271">
        <f t="shared" ca="1" si="15"/>
        <v>853830000</v>
      </c>
      <c r="H258" s="271">
        <f t="shared" ca="1" si="15"/>
        <v>427647000</v>
      </c>
      <c r="I258" s="271">
        <f t="shared" ca="1" si="15"/>
        <v>368745000</v>
      </c>
      <c r="J258" s="271">
        <f t="shared" ca="1" si="15"/>
        <v>0</v>
      </c>
      <c r="K258" s="271">
        <f t="shared" ca="1" si="15"/>
        <v>0</v>
      </c>
      <c r="L258" s="271">
        <f t="shared" ca="1" si="15"/>
        <v>0</v>
      </c>
      <c r="M258" s="271">
        <f t="shared" ca="1" si="15"/>
        <v>0</v>
      </c>
      <c r="N258" s="271">
        <f t="shared" ca="1" si="15"/>
        <v>0</v>
      </c>
      <c r="O258" s="271">
        <f t="shared" ca="1" si="15"/>
        <v>0</v>
      </c>
      <c r="P258" s="271">
        <f t="shared" ca="1" si="15"/>
        <v>0</v>
      </c>
      <c r="Q258" s="271">
        <f t="shared" ca="1" si="15"/>
        <v>0</v>
      </c>
      <c r="R258" s="271">
        <f t="shared" ca="1" si="15"/>
        <v>0</v>
      </c>
      <c r="S258" s="271">
        <f t="shared" ca="1" si="15"/>
        <v>0</v>
      </c>
      <c r="T258" s="271">
        <f t="shared" ca="1" si="15"/>
        <v>0</v>
      </c>
      <c r="U258" s="271">
        <f t="shared" ca="1" si="15"/>
        <v>0</v>
      </c>
      <c r="V258" s="271">
        <f t="shared" ca="1" si="15"/>
        <v>0</v>
      </c>
      <c r="W258" s="271">
        <f t="shared" ca="1" si="15"/>
        <v>0</v>
      </c>
      <c r="X258" s="271">
        <f t="shared" ca="1" si="15"/>
        <v>0</v>
      </c>
      <c r="Y258" s="271">
        <f t="shared" ca="1" si="15"/>
        <v>0</v>
      </c>
      <c r="Z258" s="271">
        <f t="shared" ca="1" si="15"/>
        <v>0</v>
      </c>
      <c r="AA258" s="271">
        <f t="shared" ca="1" si="15"/>
        <v>0</v>
      </c>
      <c r="AB258" s="271">
        <f t="shared" ca="1" si="15"/>
        <v>0</v>
      </c>
      <c r="AC258" s="271">
        <f t="shared" ca="1" si="15"/>
        <v>0</v>
      </c>
      <c r="AD258" s="271">
        <f t="shared" ca="1" si="15"/>
        <v>0</v>
      </c>
      <c r="AE258" s="271">
        <f t="shared" ca="1" si="15"/>
        <v>0</v>
      </c>
      <c r="AF258" s="271">
        <f t="shared" ca="1" si="15"/>
        <v>0</v>
      </c>
      <c r="AG258" s="271">
        <f t="shared" ca="1" si="15"/>
        <v>0</v>
      </c>
      <c r="AH258" s="271">
        <f t="shared" ca="1" si="15"/>
        <v>0</v>
      </c>
    </row>
    <row r="259" spans="2:34">
      <c r="D259" s="357"/>
      <c r="G259" s="358"/>
    </row>
    <row r="260" spans="2:34">
      <c r="B260" s="2" t="s">
        <v>707</v>
      </c>
      <c r="D260" s="357"/>
      <c r="G260" s="358"/>
    </row>
    <row r="261" spans="2:34">
      <c r="B261" s="265" t="s">
        <v>654</v>
      </c>
      <c r="C261" s="172" cm="1">
        <f t="array" ref="C261:AH261">_xlfn.ANCHORARRAY(C253)</f>
        <v>-1</v>
      </c>
      <c r="D261" s="172">
        <v>0</v>
      </c>
      <c r="E261" s="172">
        <v>1</v>
      </c>
      <c r="F261" s="172">
        <v>2</v>
      </c>
      <c r="G261" s="172">
        <v>3</v>
      </c>
      <c r="H261" s="172">
        <v>4</v>
      </c>
      <c r="I261" s="172">
        <v>5</v>
      </c>
      <c r="J261" s="172">
        <v>6</v>
      </c>
      <c r="K261" s="172">
        <v>7</v>
      </c>
      <c r="L261" s="172">
        <v>8</v>
      </c>
      <c r="M261" s="172">
        <v>9</v>
      </c>
      <c r="N261" s="172">
        <v>10</v>
      </c>
      <c r="O261" s="172">
        <v>11</v>
      </c>
      <c r="P261" s="172">
        <v>12</v>
      </c>
      <c r="Q261" s="172">
        <v>13</v>
      </c>
      <c r="R261" s="172">
        <v>14</v>
      </c>
      <c r="S261" s="172">
        <v>15</v>
      </c>
      <c r="T261" s="172">
        <v>16</v>
      </c>
      <c r="U261" s="172">
        <v>17</v>
      </c>
      <c r="V261" s="172">
        <v>18</v>
      </c>
      <c r="W261" s="172">
        <v>19</v>
      </c>
      <c r="X261" s="172">
        <v>20</v>
      </c>
      <c r="Y261" s="172">
        <v>21</v>
      </c>
      <c r="Z261" s="172">
        <v>22</v>
      </c>
      <c r="AA261" s="172">
        <v>23</v>
      </c>
      <c r="AB261" s="172">
        <v>24</v>
      </c>
      <c r="AC261" s="172">
        <v>25</v>
      </c>
      <c r="AD261" s="172">
        <v>26</v>
      </c>
      <c r="AE261" s="172">
        <v>27</v>
      </c>
      <c r="AF261" s="172">
        <v>28</v>
      </c>
      <c r="AG261" s="439">
        <v>29</v>
      </c>
      <c r="AH261" s="46">
        <v>30</v>
      </c>
    </row>
    <row r="262" spans="2:34">
      <c r="B262" s="265" t="s">
        <v>708</v>
      </c>
      <c r="C262" s="136" t="b">
        <f t="shared" ref="C262:AH262" si="16">ABS(ROUND(C21,2))&lt;=ABS(ROUND(C13,2))</f>
        <v>1</v>
      </c>
      <c r="D262" s="136" t="b">
        <f t="shared" si="16"/>
        <v>1</v>
      </c>
      <c r="E262" s="136" t="b">
        <f t="shared" si="16"/>
        <v>1</v>
      </c>
      <c r="F262" s="136" t="b">
        <f t="shared" si="16"/>
        <v>1</v>
      </c>
      <c r="G262" s="136" t="b">
        <f t="shared" si="16"/>
        <v>1</v>
      </c>
      <c r="H262" s="136" t="b">
        <f t="shared" si="16"/>
        <v>1</v>
      </c>
      <c r="I262" s="136" t="b">
        <f t="shared" si="16"/>
        <v>1</v>
      </c>
      <c r="J262" s="136" t="b">
        <f t="shared" si="16"/>
        <v>1</v>
      </c>
      <c r="K262" s="136" t="b">
        <f t="shared" si="16"/>
        <v>1</v>
      </c>
      <c r="L262" s="136" t="b">
        <f t="shared" si="16"/>
        <v>1</v>
      </c>
      <c r="M262" s="136" t="b">
        <f t="shared" si="16"/>
        <v>1</v>
      </c>
      <c r="N262" s="136" t="b">
        <f t="shared" si="16"/>
        <v>1</v>
      </c>
      <c r="O262" s="136" t="b">
        <f t="shared" si="16"/>
        <v>1</v>
      </c>
      <c r="P262" s="136" t="b">
        <f t="shared" si="16"/>
        <v>1</v>
      </c>
      <c r="Q262" s="136" t="b">
        <f t="shared" si="16"/>
        <v>1</v>
      </c>
      <c r="R262" s="136" t="b">
        <f t="shared" si="16"/>
        <v>1</v>
      </c>
      <c r="S262" s="136" t="b">
        <f t="shared" si="16"/>
        <v>1</v>
      </c>
      <c r="T262" s="136" t="b">
        <f t="shared" si="16"/>
        <v>1</v>
      </c>
      <c r="U262" s="136" t="b">
        <f t="shared" si="16"/>
        <v>1</v>
      </c>
      <c r="V262" s="136" t="b">
        <f t="shared" si="16"/>
        <v>1</v>
      </c>
      <c r="W262" s="136" t="b">
        <f t="shared" si="16"/>
        <v>1</v>
      </c>
      <c r="X262" s="136" t="b">
        <f t="shared" si="16"/>
        <v>1</v>
      </c>
      <c r="Y262" s="136" t="b">
        <f t="shared" si="16"/>
        <v>1</v>
      </c>
      <c r="Z262" s="136" t="b">
        <f t="shared" si="16"/>
        <v>1</v>
      </c>
      <c r="AA262" s="136" t="b">
        <f t="shared" si="16"/>
        <v>1</v>
      </c>
      <c r="AB262" s="136" t="b">
        <f t="shared" si="16"/>
        <v>1</v>
      </c>
      <c r="AC262" s="136" t="b">
        <f t="shared" si="16"/>
        <v>1</v>
      </c>
      <c r="AD262" s="136" t="b">
        <f t="shared" si="16"/>
        <v>1</v>
      </c>
      <c r="AE262" s="136" t="b">
        <f t="shared" si="16"/>
        <v>1</v>
      </c>
      <c r="AF262" s="136" t="b">
        <f t="shared" si="16"/>
        <v>1</v>
      </c>
      <c r="AG262" s="136" t="b">
        <f t="shared" si="16"/>
        <v>1</v>
      </c>
      <c r="AH262" s="136" t="b">
        <f t="shared" si="16"/>
        <v>1</v>
      </c>
    </row>
    <row r="263" spans="2:34">
      <c r="B263" s="6" t="s">
        <v>709</v>
      </c>
      <c r="C263" s="136" t="b">
        <f t="shared" ref="C263:D263" si="17">ABS(ROUND(C257,2))&lt;=ABS(ROUND(C256,2))</f>
        <v>1</v>
      </c>
      <c r="D263" s="136" t="b">
        <f t="shared" si="17"/>
        <v>1</v>
      </c>
      <c r="E263" s="136" t="b">
        <f t="shared" ref="E263:AH263" ca="1" si="18">ABS(ROUND(E257,2))&lt;=ABS(ROUND(E256,2))</f>
        <v>1</v>
      </c>
      <c r="F263" s="136" t="b">
        <f t="shared" ca="1" si="18"/>
        <v>1</v>
      </c>
      <c r="G263" s="136" t="b">
        <f t="shared" ca="1" si="18"/>
        <v>1</v>
      </c>
      <c r="H263" s="136" t="b">
        <f t="shared" ca="1" si="18"/>
        <v>1</v>
      </c>
      <c r="I263" s="136" t="b">
        <f t="shared" ca="1" si="18"/>
        <v>1</v>
      </c>
      <c r="J263" s="136" t="b">
        <f t="shared" ca="1" si="18"/>
        <v>1</v>
      </c>
      <c r="K263" s="136" t="b">
        <f t="shared" ca="1" si="18"/>
        <v>1</v>
      </c>
      <c r="L263" s="136" t="b">
        <f t="shared" ca="1" si="18"/>
        <v>1</v>
      </c>
      <c r="M263" s="136" t="b">
        <f t="shared" ca="1" si="18"/>
        <v>1</v>
      </c>
      <c r="N263" s="136" t="b">
        <f t="shared" ca="1" si="18"/>
        <v>1</v>
      </c>
      <c r="O263" s="136" t="b">
        <f t="shared" ca="1" si="18"/>
        <v>1</v>
      </c>
      <c r="P263" s="136" t="b">
        <f t="shared" ca="1" si="18"/>
        <v>1</v>
      </c>
      <c r="Q263" s="136" t="b">
        <f t="shared" ca="1" si="18"/>
        <v>1</v>
      </c>
      <c r="R263" s="136" t="b">
        <f t="shared" ca="1" si="18"/>
        <v>1</v>
      </c>
      <c r="S263" s="136" t="b">
        <f t="shared" ca="1" si="18"/>
        <v>1</v>
      </c>
      <c r="T263" s="136" t="b">
        <f t="shared" ca="1" si="18"/>
        <v>1</v>
      </c>
      <c r="U263" s="136" t="b">
        <f t="shared" ca="1" si="18"/>
        <v>1</v>
      </c>
      <c r="V263" s="136" t="b">
        <f t="shared" ca="1" si="18"/>
        <v>1</v>
      </c>
      <c r="W263" s="136" t="b">
        <f t="shared" ca="1" si="18"/>
        <v>1</v>
      </c>
      <c r="X263" s="136" t="b">
        <f t="shared" ca="1" si="18"/>
        <v>1</v>
      </c>
      <c r="Y263" s="136" t="b">
        <f t="shared" ca="1" si="18"/>
        <v>1</v>
      </c>
      <c r="Z263" s="136" t="b">
        <f t="shared" ca="1" si="18"/>
        <v>1</v>
      </c>
      <c r="AA263" s="136" t="b">
        <f t="shared" ca="1" si="18"/>
        <v>1</v>
      </c>
      <c r="AB263" s="136" t="b">
        <f t="shared" ca="1" si="18"/>
        <v>1</v>
      </c>
      <c r="AC263" s="136" t="b">
        <f t="shared" ca="1" si="18"/>
        <v>1</v>
      </c>
      <c r="AD263" s="136" t="b">
        <f t="shared" ca="1" si="18"/>
        <v>1</v>
      </c>
      <c r="AE263" s="136" t="b">
        <f t="shared" ca="1" si="18"/>
        <v>1</v>
      </c>
      <c r="AF263" s="136" t="b">
        <f t="shared" ca="1" si="18"/>
        <v>1</v>
      </c>
      <c r="AG263" s="136" t="b">
        <f t="shared" ca="1" si="18"/>
        <v>1</v>
      </c>
      <c r="AH263" s="136" t="b">
        <f t="shared" ca="1" si="18"/>
        <v>1</v>
      </c>
    </row>
    <row r="264" spans="2:34">
      <c r="D264" s="357"/>
      <c r="G264" s="358"/>
    </row>
    <row r="265" spans="2:34">
      <c r="B265" s="2" t="s">
        <v>710</v>
      </c>
      <c r="D265" s="357"/>
      <c r="G265" s="358"/>
    </row>
    <row r="266" spans="2:34">
      <c r="B266" s="6" t="s">
        <v>711</v>
      </c>
      <c r="C266" s="185">
        <f>SUM(C9:AH9)</f>
        <v>1989857153.8005767</v>
      </c>
      <c r="D266" s="357"/>
      <c r="G266" s="358"/>
    </row>
    <row r="267" spans="2:34">
      <c r="B267" s="215" t="s">
        <v>712</v>
      </c>
      <c r="C267" s="147">
        <f>SUM(_xlfn.ANCHORARRAY(C255))</f>
        <v>1830000000</v>
      </c>
      <c r="D267" s="357"/>
      <c r="G267" s="358"/>
    </row>
    <row r="268" spans="2:34">
      <c r="D268" s="357"/>
      <c r="G268" s="358"/>
    </row>
    <row r="269" spans="2:34">
      <c r="B269" s="2" t="s">
        <v>713</v>
      </c>
      <c r="G269" s="357"/>
    </row>
    <row r="270" spans="2:34">
      <c r="B270" s="136" t="b">
        <f ca="1">(SUM(C257:AH257) * -1) = C267</f>
        <v>1</v>
      </c>
    </row>
    <row r="272" spans="2:34">
      <c r="B272" s="2"/>
    </row>
    <row r="287" spans="2:2">
      <c r="B287" s="457"/>
    </row>
  </sheetData>
  <conditionalFormatting sqref="C262:AH263">
    <cfRule type="cellIs" dxfId="0" priority="1" operator="equal">
      <formula>FALSE</formula>
    </cfRule>
  </conditionalFormatting>
  <dataValidations count="1">
    <dataValidation type="list" allowBlank="1" showInputMessage="1" showErrorMessage="1" sqref="E146:E147" xr:uid="{2E357EBC-1B41-42A4-8978-AA0FEDC751EE}">
      <formula1>"VERDADEIRO,FALSO"</formula1>
    </dataValidation>
  </dataValidations>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Roman,Regular"&amp;12Página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B93D3-2C6B-4953-B453-358D9E929927}">
  <sheetPr>
    <tabColor rgb="FFFF0000"/>
  </sheetPr>
  <dimension ref="A2:BR82"/>
  <sheetViews>
    <sheetView showGridLines="0" zoomScale="85" zoomScaleNormal="85" workbookViewId="0">
      <selection activeCell="A9" sqref="A9"/>
    </sheetView>
  </sheetViews>
  <sheetFormatPr defaultColWidth="11.7109375" defaultRowHeight="12.75"/>
  <cols>
    <col min="1" max="1" width="2.5703125" customWidth="1"/>
    <col min="2" max="2" width="93.85546875" bestFit="1" customWidth="1"/>
    <col min="3" max="3" width="26.140625" customWidth="1"/>
    <col min="4" max="11" width="19.85546875" customWidth="1"/>
    <col min="12" max="13" width="18.28515625" bestFit="1" customWidth="1"/>
    <col min="14" max="14" width="18.42578125" bestFit="1" customWidth="1"/>
    <col min="15" max="18" width="17.5703125" bestFit="1" customWidth="1"/>
    <col min="19" max="19" width="18.28515625" bestFit="1" customWidth="1"/>
    <col min="20" max="20" width="18.5703125" bestFit="1" customWidth="1"/>
    <col min="21" max="30" width="17.140625" bestFit="1" customWidth="1"/>
    <col min="31" max="31" width="18.28515625" bestFit="1" customWidth="1"/>
    <col min="32" max="32" width="18.42578125" bestFit="1" customWidth="1"/>
    <col min="33" max="43" width="18.28515625" bestFit="1" customWidth="1"/>
    <col min="44" max="44" width="18.42578125" bestFit="1" customWidth="1"/>
    <col min="45" max="55" width="18.28515625" bestFit="1" customWidth="1"/>
    <col min="56" max="56" width="18.42578125" bestFit="1" customWidth="1"/>
    <col min="57" max="67" width="18.28515625" bestFit="1" customWidth="1"/>
    <col min="68" max="68" width="19.85546875" customWidth="1"/>
    <col min="69" max="69" width="18.28515625" bestFit="1" customWidth="1"/>
  </cols>
  <sheetData>
    <row r="2" spans="2:70">
      <c r="B2" s="2" t="s">
        <v>714</v>
      </c>
    </row>
    <row r="3" spans="2:70">
      <c r="B3" s="12"/>
      <c r="C3" s="517">
        <v>45627</v>
      </c>
      <c r="D3" s="517">
        <v>45658</v>
      </c>
      <c r="E3" s="517">
        <v>45689</v>
      </c>
      <c r="F3" s="517">
        <v>45717</v>
      </c>
      <c r="G3" s="517">
        <v>45748</v>
      </c>
      <c r="H3" s="517">
        <v>45778</v>
      </c>
      <c r="I3" s="517">
        <v>45809</v>
      </c>
      <c r="J3" s="517">
        <v>45839</v>
      </c>
      <c r="K3" s="517">
        <v>45870</v>
      </c>
      <c r="L3" s="517">
        <v>45901</v>
      </c>
      <c r="M3" s="517">
        <v>45931</v>
      </c>
      <c r="N3" s="517">
        <v>45962</v>
      </c>
      <c r="O3" s="517">
        <v>45992</v>
      </c>
      <c r="P3" s="517">
        <v>46023</v>
      </c>
      <c r="Q3" s="517">
        <v>46054</v>
      </c>
      <c r="R3" s="517">
        <v>46082</v>
      </c>
      <c r="S3" s="517">
        <v>46113</v>
      </c>
      <c r="T3" s="517">
        <v>46143</v>
      </c>
      <c r="U3" s="517">
        <v>46174</v>
      </c>
      <c r="V3" s="517">
        <v>46204</v>
      </c>
      <c r="W3" s="517">
        <v>46235</v>
      </c>
      <c r="X3" s="517">
        <v>46266</v>
      </c>
      <c r="Y3" s="517">
        <v>46296</v>
      </c>
      <c r="Z3" s="517">
        <v>46327</v>
      </c>
      <c r="AA3" s="517">
        <v>46357</v>
      </c>
      <c r="AB3" s="517">
        <v>46388</v>
      </c>
      <c r="AC3" s="517">
        <v>46419</v>
      </c>
      <c r="AD3" s="517">
        <v>46447</v>
      </c>
      <c r="AE3" s="517">
        <v>46478</v>
      </c>
      <c r="AF3" s="517">
        <v>46508</v>
      </c>
      <c r="AG3" s="517">
        <v>46539</v>
      </c>
      <c r="AH3" s="517">
        <v>46569</v>
      </c>
      <c r="AI3" s="517">
        <v>46600</v>
      </c>
      <c r="AJ3" s="517">
        <v>46631</v>
      </c>
      <c r="AK3" s="517">
        <v>46661</v>
      </c>
      <c r="AL3" s="517">
        <v>46692</v>
      </c>
      <c r="AM3" s="517">
        <v>46722</v>
      </c>
      <c r="AN3" s="517">
        <v>46753</v>
      </c>
      <c r="AO3" s="517">
        <v>46784</v>
      </c>
      <c r="AP3" s="517">
        <v>46813</v>
      </c>
      <c r="AQ3" s="517">
        <v>46844</v>
      </c>
      <c r="AR3" s="517">
        <v>46874</v>
      </c>
      <c r="AS3" s="517">
        <v>46905</v>
      </c>
      <c r="AT3" s="517">
        <v>46935</v>
      </c>
      <c r="AU3" s="517">
        <v>46966</v>
      </c>
      <c r="AV3" s="517">
        <v>46997</v>
      </c>
      <c r="AW3" s="517">
        <v>47027</v>
      </c>
      <c r="AX3" s="517">
        <v>47058</v>
      </c>
      <c r="AY3" s="517">
        <v>47088</v>
      </c>
      <c r="AZ3" s="517">
        <v>47119</v>
      </c>
      <c r="BA3" s="517">
        <v>47150</v>
      </c>
      <c r="BB3" s="517">
        <v>47178</v>
      </c>
      <c r="BC3" s="517">
        <v>47209</v>
      </c>
      <c r="BD3" s="517">
        <v>47239</v>
      </c>
      <c r="BE3" s="517">
        <v>47270</v>
      </c>
      <c r="BF3" s="517">
        <v>47300</v>
      </c>
      <c r="BG3" s="517">
        <v>47331</v>
      </c>
      <c r="BH3" s="517">
        <v>47362</v>
      </c>
      <c r="BI3" s="517">
        <v>47392</v>
      </c>
      <c r="BJ3" s="517">
        <v>47423</v>
      </c>
      <c r="BK3" s="517">
        <v>47453</v>
      </c>
      <c r="BL3" s="517">
        <v>47484</v>
      </c>
      <c r="BM3" s="517">
        <v>47515</v>
      </c>
      <c r="BN3" s="517">
        <v>47543</v>
      </c>
      <c r="BO3" s="517">
        <v>47574</v>
      </c>
      <c r="BP3" s="517">
        <v>47604</v>
      </c>
      <c r="BQ3" s="519">
        <v>47635</v>
      </c>
    </row>
    <row r="4" spans="2:70">
      <c r="B4" s="6" t="s">
        <v>715</v>
      </c>
      <c r="C4" s="147">
        <f>Aporte!C7</f>
        <v>10000000</v>
      </c>
      <c r="D4" s="190"/>
      <c r="E4" s="190"/>
      <c r="F4" s="190"/>
      <c r="G4" s="190"/>
      <c r="H4" s="190"/>
      <c r="I4" s="147">
        <f>Aporte!D7</f>
        <v>345000000</v>
      </c>
      <c r="J4" s="190"/>
      <c r="K4" s="190"/>
      <c r="L4" s="190"/>
      <c r="M4" s="190"/>
      <c r="N4" s="190"/>
      <c r="O4" s="190"/>
      <c r="P4" s="190"/>
      <c r="Q4" s="190"/>
      <c r="R4" s="190"/>
      <c r="S4" s="147">
        <f>Aporte!E7</f>
        <v>345000000</v>
      </c>
      <c r="T4" s="190"/>
      <c r="U4" s="190"/>
      <c r="V4" s="190"/>
      <c r="W4" s="190"/>
      <c r="X4" s="190"/>
      <c r="Y4" s="190"/>
      <c r="Z4" s="190"/>
      <c r="AA4" s="190"/>
      <c r="AB4" s="190"/>
      <c r="AC4" s="190"/>
      <c r="AD4" s="190"/>
      <c r="AE4" s="147">
        <f>Aporte!F7</f>
        <v>322000000</v>
      </c>
      <c r="AF4" s="190"/>
      <c r="AG4" s="190"/>
      <c r="AH4" s="190"/>
      <c r="AI4" s="190"/>
      <c r="AJ4" s="190"/>
      <c r="AK4" s="190"/>
      <c r="AL4" s="190"/>
      <c r="AM4" s="190"/>
      <c r="AN4" s="190"/>
      <c r="AO4" s="190"/>
      <c r="AP4" s="190"/>
      <c r="AQ4" s="147">
        <f>Aporte!G7</f>
        <v>322000000</v>
      </c>
      <c r="AR4" s="190"/>
      <c r="AS4" s="190"/>
      <c r="AT4" s="190"/>
      <c r="AU4" s="190"/>
      <c r="AV4" s="190"/>
      <c r="AW4" s="190"/>
      <c r="AX4" s="190"/>
      <c r="AY4" s="190"/>
      <c r="AZ4" s="190"/>
      <c r="BA4" s="190"/>
      <c r="BB4" s="190"/>
      <c r="BC4" s="147">
        <f>Aporte!H7</f>
        <v>322000000</v>
      </c>
      <c r="BD4" s="190"/>
      <c r="BE4" s="190"/>
      <c r="BF4" s="190"/>
      <c r="BG4" s="190"/>
      <c r="BH4" s="190"/>
      <c r="BI4" s="190"/>
      <c r="BJ4" s="190"/>
      <c r="BK4" s="190"/>
      <c r="BL4" s="190"/>
      <c r="BM4" s="190"/>
      <c r="BN4" s="190"/>
      <c r="BO4" s="147">
        <f>Aporte!I7</f>
        <v>334000000</v>
      </c>
      <c r="BP4" s="518"/>
      <c r="BQ4" s="6"/>
    </row>
    <row r="5" spans="2:70">
      <c r="B5" s="6" t="s">
        <v>675</v>
      </c>
      <c r="C5" s="436" t="b">
        <f>Aporte!C8</f>
        <v>0</v>
      </c>
      <c r="D5" s="6"/>
      <c r="E5" s="6"/>
      <c r="F5" s="6"/>
      <c r="G5" s="6"/>
      <c r="H5" s="6"/>
      <c r="I5" s="147" t="b">
        <f>Aporte!D8</f>
        <v>0</v>
      </c>
      <c r="J5" s="6"/>
      <c r="K5" s="6"/>
      <c r="L5" s="6"/>
      <c r="M5" s="6"/>
      <c r="N5" s="6"/>
      <c r="O5" s="6"/>
      <c r="P5" s="6"/>
      <c r="Q5" s="6"/>
      <c r="R5" s="6"/>
      <c r="S5" s="147" t="b">
        <f>Aporte!E8</f>
        <v>1</v>
      </c>
      <c r="T5" s="6"/>
      <c r="U5" s="6"/>
      <c r="V5" s="6"/>
      <c r="W5" s="6"/>
      <c r="X5" s="6"/>
      <c r="Y5" s="6"/>
      <c r="Z5" s="6"/>
      <c r="AA5" s="6"/>
      <c r="AB5" s="6"/>
      <c r="AC5" s="6"/>
      <c r="AD5" s="6"/>
      <c r="AE5" s="147" t="b">
        <f>Aporte!F8</f>
        <v>1</v>
      </c>
      <c r="AF5" s="6"/>
      <c r="AG5" s="6"/>
      <c r="AH5" s="6"/>
      <c r="AI5" s="6"/>
      <c r="AJ5" s="6"/>
      <c r="AK5" s="6"/>
      <c r="AL5" s="6"/>
      <c r="AM5" s="6"/>
      <c r="AN5" s="6"/>
      <c r="AO5" s="6"/>
      <c r="AP5" s="6"/>
      <c r="AQ5" s="147" t="b">
        <f>Aporte!G8</f>
        <v>1</v>
      </c>
      <c r="AR5" s="6"/>
      <c r="AS5" s="6"/>
      <c r="AT5" s="6"/>
      <c r="AU5" s="6"/>
      <c r="AV5" s="6"/>
      <c r="AW5" s="6"/>
      <c r="AX5" s="6"/>
      <c r="AY5" s="6"/>
      <c r="AZ5" s="6"/>
      <c r="BA5" s="6"/>
      <c r="BB5" s="6"/>
      <c r="BC5" s="147" t="b">
        <f>Aporte!H8</f>
        <v>1</v>
      </c>
      <c r="BD5" s="6"/>
      <c r="BE5" s="6"/>
      <c r="BF5" s="6"/>
      <c r="BG5" s="6"/>
      <c r="BH5" s="6"/>
      <c r="BI5" s="6"/>
      <c r="BJ5" s="6"/>
      <c r="BK5" s="6"/>
      <c r="BL5" s="6"/>
      <c r="BM5" s="6"/>
      <c r="BN5" s="6"/>
      <c r="BO5" s="147" t="b">
        <f>Aporte!I8</f>
        <v>1</v>
      </c>
      <c r="BP5" s="215"/>
      <c r="BQ5" s="6"/>
    </row>
    <row r="6" spans="2:70">
      <c r="B6" s="6" t="s">
        <v>716</v>
      </c>
      <c r="C6" s="147">
        <f>Aporte!C9</f>
        <v>9948264.6276073772</v>
      </c>
      <c r="D6" s="6"/>
      <c r="E6" s="6"/>
      <c r="F6" s="6"/>
      <c r="G6" s="6"/>
      <c r="H6" s="6"/>
      <c r="I6" s="147">
        <f>Aporte!D9</f>
        <v>334908889.17296916</v>
      </c>
      <c r="J6" s="6"/>
      <c r="K6" s="6"/>
      <c r="L6" s="6"/>
      <c r="M6" s="6"/>
      <c r="N6" s="6"/>
      <c r="O6" s="6"/>
      <c r="P6" s="6"/>
      <c r="Q6" s="6"/>
      <c r="R6" s="6"/>
      <c r="S6" s="147">
        <f>Aporte!E9</f>
        <v>345000000</v>
      </c>
      <c r="T6" s="6"/>
      <c r="U6" s="6"/>
      <c r="V6" s="6"/>
      <c r="W6" s="6"/>
      <c r="X6" s="6"/>
      <c r="Y6" s="6"/>
      <c r="Z6" s="6"/>
      <c r="AA6" s="6"/>
      <c r="AB6" s="6"/>
      <c r="AC6" s="6"/>
      <c r="AD6" s="6"/>
      <c r="AE6" s="147">
        <f>Aporte!F9</f>
        <v>322000000</v>
      </c>
      <c r="AF6" s="6"/>
      <c r="AG6" s="6"/>
      <c r="AH6" s="6"/>
      <c r="AI6" s="6"/>
      <c r="AJ6" s="6"/>
      <c r="AK6" s="6"/>
      <c r="AL6" s="6"/>
      <c r="AM6" s="6"/>
      <c r="AN6" s="6"/>
      <c r="AO6" s="6"/>
      <c r="AP6" s="6"/>
      <c r="AQ6" s="147">
        <f>Aporte!G9</f>
        <v>322000000</v>
      </c>
      <c r="AR6" s="6"/>
      <c r="AS6" s="6"/>
      <c r="AT6" s="6"/>
      <c r="AU6" s="6"/>
      <c r="AV6" s="6"/>
      <c r="AW6" s="6"/>
      <c r="AX6" s="6"/>
      <c r="AY6" s="6"/>
      <c r="AZ6" s="6"/>
      <c r="BA6" s="6"/>
      <c r="BB6" s="6"/>
      <c r="BC6" s="147">
        <f>Aporte!H9</f>
        <v>322000000</v>
      </c>
      <c r="BD6" s="6"/>
      <c r="BE6" s="6"/>
      <c r="BF6" s="6"/>
      <c r="BG6" s="6"/>
      <c r="BH6" s="6"/>
      <c r="BI6" s="6"/>
      <c r="BJ6" s="6"/>
      <c r="BK6" s="6"/>
      <c r="BL6" s="6"/>
      <c r="BM6" s="6"/>
      <c r="BN6" s="6"/>
      <c r="BO6" s="147">
        <f>Aporte!I9</f>
        <v>334000000</v>
      </c>
      <c r="BP6" s="215"/>
      <c r="BQ6" s="6"/>
    </row>
    <row r="7" spans="2:70">
      <c r="B7" s="6" t="s">
        <v>717</v>
      </c>
      <c r="C7" s="147">
        <f>Aporte!C10</f>
        <v>9813234.5206038672</v>
      </c>
      <c r="D7" s="6"/>
      <c r="E7" s="6"/>
      <c r="F7" s="6"/>
      <c r="G7" s="6"/>
      <c r="H7" s="6"/>
      <c r="I7" s="147">
        <f>Aporte!D10</f>
        <v>330363093.01310879</v>
      </c>
      <c r="J7" s="6"/>
      <c r="K7" s="6"/>
      <c r="L7" s="6"/>
      <c r="M7" s="6"/>
      <c r="N7" s="6"/>
      <c r="O7" s="6"/>
      <c r="P7" s="6"/>
      <c r="Q7" s="6"/>
      <c r="R7" s="6"/>
      <c r="S7" s="147">
        <f>Aporte!E10</f>
        <v>340317234.84848487</v>
      </c>
      <c r="T7" s="6"/>
      <c r="U7" s="6"/>
      <c r="V7" s="6"/>
      <c r="W7" s="6"/>
      <c r="X7" s="6"/>
      <c r="Y7" s="6"/>
      <c r="Z7" s="6"/>
      <c r="AA7" s="6"/>
      <c r="AB7" s="6"/>
      <c r="AC7" s="6"/>
      <c r="AD7" s="6"/>
      <c r="AE7" s="147">
        <f>Aporte!F10</f>
        <v>317629419.19191921</v>
      </c>
      <c r="AF7" s="6"/>
      <c r="AG7" s="6"/>
      <c r="AH7" s="6"/>
      <c r="AI7" s="6"/>
      <c r="AJ7" s="6"/>
      <c r="AK7" s="6"/>
      <c r="AL7" s="6"/>
      <c r="AM7" s="6"/>
      <c r="AN7" s="6"/>
      <c r="AO7" s="6"/>
      <c r="AP7" s="6"/>
      <c r="AQ7" s="147">
        <f>Aporte!G10</f>
        <v>317629419.19191921</v>
      </c>
      <c r="AR7" s="6"/>
      <c r="AS7" s="6"/>
      <c r="AT7" s="6"/>
      <c r="AU7" s="6"/>
      <c r="AV7" s="6"/>
      <c r="AW7" s="6"/>
      <c r="AX7" s="6"/>
      <c r="AY7" s="6"/>
      <c r="AZ7" s="6"/>
      <c r="BA7" s="6"/>
      <c r="BB7" s="6"/>
      <c r="BC7" s="147">
        <f>Aporte!H10</f>
        <v>317629419.19191921</v>
      </c>
      <c r="BD7" s="6"/>
      <c r="BE7" s="6"/>
      <c r="BF7" s="6"/>
      <c r="BG7" s="6"/>
      <c r="BH7" s="6"/>
      <c r="BI7" s="6"/>
      <c r="BJ7" s="6"/>
      <c r="BK7" s="6"/>
      <c r="BL7" s="6"/>
      <c r="BM7" s="6"/>
      <c r="BN7" s="6"/>
      <c r="BO7" s="147">
        <f>Aporte!I10</f>
        <v>329466540.4040404</v>
      </c>
      <c r="BP7" s="215"/>
      <c r="BQ7" s="6"/>
    </row>
    <row r="8" spans="2:70">
      <c r="B8" s="6" t="s">
        <v>718</v>
      </c>
      <c r="C8" s="520"/>
      <c r="D8" s="147">
        <f>Aporte!C19*-1</f>
        <v>0</v>
      </c>
      <c r="E8" s="6"/>
      <c r="F8" s="6"/>
      <c r="G8" s="6"/>
      <c r="H8" s="6"/>
      <c r="I8" s="520"/>
      <c r="J8" s="147">
        <f>Aporte!D19*-1</f>
        <v>0</v>
      </c>
      <c r="K8" s="6"/>
      <c r="L8" s="6"/>
      <c r="M8" s="6"/>
      <c r="N8" s="147">
        <f>Aporte!E14*-1</f>
        <v>-300000000</v>
      </c>
      <c r="O8" s="6"/>
      <c r="P8" s="6"/>
      <c r="Q8" s="6"/>
      <c r="R8" s="6"/>
      <c r="S8" s="147"/>
      <c r="T8" s="147">
        <f>(Aporte!E19-Aporte!E14)*-1</f>
        <v>-306000000</v>
      </c>
      <c r="U8" s="6"/>
      <c r="V8" s="6"/>
      <c r="W8" s="6"/>
      <c r="X8" s="6"/>
      <c r="Y8" s="6"/>
      <c r="Z8" s="6"/>
      <c r="AA8" s="6"/>
      <c r="AB8" s="6"/>
      <c r="AC8" s="6"/>
      <c r="AD8" s="6"/>
      <c r="AE8" s="520"/>
      <c r="AF8" s="147">
        <f>Aporte!F19*-1</f>
        <v>-305999999.99999994</v>
      </c>
      <c r="AG8" s="190"/>
      <c r="AH8" s="190"/>
      <c r="AI8" s="190"/>
      <c r="AJ8" s="190"/>
      <c r="AK8" s="190"/>
      <c r="AL8" s="190"/>
      <c r="AM8" s="190"/>
      <c r="AN8" s="190"/>
      <c r="AO8" s="190"/>
      <c r="AP8" s="190"/>
      <c r="AQ8" s="520"/>
      <c r="AR8" s="147">
        <f>Aporte!G19*-1</f>
        <v>-305999999.99999994</v>
      </c>
      <c r="AS8" s="190"/>
      <c r="AT8" s="190"/>
      <c r="AU8" s="190"/>
      <c r="AV8" s="190"/>
      <c r="AW8" s="190"/>
      <c r="AX8" s="190"/>
      <c r="AY8" s="190"/>
      <c r="AZ8" s="190"/>
      <c r="BA8" s="190"/>
      <c r="BB8" s="190"/>
      <c r="BC8" s="520"/>
      <c r="BD8" s="147">
        <f>Aporte!H19*-1</f>
        <v>-305999999.99999994</v>
      </c>
      <c r="BE8" s="190"/>
      <c r="BF8" s="190"/>
      <c r="BG8" s="190"/>
      <c r="BH8" s="190"/>
      <c r="BI8" s="190"/>
      <c r="BJ8" s="190"/>
      <c r="BK8" s="190"/>
      <c r="BL8" s="190"/>
      <c r="BM8" s="190"/>
      <c r="BN8" s="190"/>
      <c r="BO8" s="520"/>
      <c r="BP8" s="240">
        <f>Aporte!I19*-1</f>
        <v>-305999999.99999994</v>
      </c>
      <c r="BQ8" s="190"/>
    </row>
    <row r="9" spans="2:70">
      <c r="B9" s="6" t="s">
        <v>719</v>
      </c>
      <c r="C9" s="521"/>
      <c r="D9" s="147">
        <f>Aporte!C21*-1</f>
        <v>0</v>
      </c>
      <c r="E9" s="6"/>
      <c r="F9" s="6"/>
      <c r="G9" s="6"/>
      <c r="H9" s="6"/>
      <c r="I9" s="520"/>
      <c r="J9" s="147">
        <f>Aporte!D21*-1</f>
        <v>0</v>
      </c>
      <c r="K9" s="6"/>
      <c r="L9" s="6"/>
      <c r="M9" s="6"/>
      <c r="N9" s="147">
        <f>Aporte!E15*-1</f>
        <v>-300000000</v>
      </c>
      <c r="O9" s="6"/>
      <c r="P9" s="6"/>
      <c r="Q9" s="6"/>
      <c r="R9" s="6"/>
      <c r="S9" s="147"/>
      <c r="T9" s="147">
        <f>(Aporte!E21-Aporte!E15)*-1</f>
        <v>-306000000</v>
      </c>
      <c r="U9" s="6"/>
      <c r="V9" s="6"/>
      <c r="W9" s="6"/>
      <c r="X9" s="6"/>
      <c r="Y9" s="6"/>
      <c r="Z9" s="6"/>
      <c r="AA9" s="6"/>
      <c r="AB9" s="6"/>
      <c r="AC9" s="6"/>
      <c r="AD9" s="6"/>
      <c r="AE9" s="520"/>
      <c r="AF9" s="147">
        <f>Aporte!F21*-1</f>
        <v>-305999999.99999994</v>
      </c>
      <c r="AG9" s="6"/>
      <c r="AH9" s="6"/>
      <c r="AI9" s="6"/>
      <c r="AJ9" s="6"/>
      <c r="AK9" s="6"/>
      <c r="AL9" s="6"/>
      <c r="AM9" s="6"/>
      <c r="AN9" s="6"/>
      <c r="AO9" s="6"/>
      <c r="AP9" s="6"/>
      <c r="AQ9" s="520"/>
      <c r="AR9" s="147">
        <f>Aporte!G21*-1</f>
        <v>-305999999.99999994</v>
      </c>
      <c r="AS9" s="6"/>
      <c r="AT9" s="6"/>
      <c r="AU9" s="6"/>
      <c r="AV9" s="6"/>
      <c r="AW9" s="6"/>
      <c r="AX9" s="6"/>
      <c r="AY9" s="6"/>
      <c r="AZ9" s="6"/>
      <c r="BA9" s="6"/>
      <c r="BB9" s="6"/>
      <c r="BC9" s="520"/>
      <c r="BD9" s="147">
        <f>Aporte!H21*-1</f>
        <v>-305999999.99999994</v>
      </c>
      <c r="BE9" s="6"/>
      <c r="BF9" s="6"/>
      <c r="BG9" s="6"/>
      <c r="BH9" s="6"/>
      <c r="BI9" s="6"/>
      <c r="BJ9" s="6"/>
      <c r="BK9" s="6"/>
      <c r="BL9" s="6"/>
      <c r="BM9" s="6"/>
      <c r="BN9" s="6"/>
      <c r="BO9" s="520"/>
      <c r="BP9" s="240">
        <f>Aporte!I21*-1</f>
        <v>-305999999.99999994</v>
      </c>
      <c r="BQ9" s="6"/>
    </row>
    <row r="10" spans="2:70">
      <c r="B10" s="6" t="s">
        <v>720</v>
      </c>
      <c r="C10" s="521" cm="1">
        <f t="array" ref="C10:BQ10">C9:BQ9 * 'Painel Controle'!D233</f>
        <v>0</v>
      </c>
      <c r="D10" s="147">
        <v>0</v>
      </c>
      <c r="E10" s="6">
        <v>0</v>
      </c>
      <c r="F10" s="6">
        <v>0</v>
      </c>
      <c r="G10" s="6">
        <v>0</v>
      </c>
      <c r="H10" s="6">
        <v>0</v>
      </c>
      <c r="I10" s="520">
        <v>0</v>
      </c>
      <c r="J10" s="147">
        <v>0</v>
      </c>
      <c r="K10" s="6">
        <v>0</v>
      </c>
      <c r="L10" s="6">
        <v>0</v>
      </c>
      <c r="M10" s="6">
        <v>0</v>
      </c>
      <c r="N10" s="147">
        <v>-304128000</v>
      </c>
      <c r="O10" s="6">
        <v>0</v>
      </c>
      <c r="P10" s="6">
        <v>0</v>
      </c>
      <c r="Q10" s="6">
        <v>0</v>
      </c>
      <c r="R10" s="6">
        <v>0</v>
      </c>
      <c r="S10" s="147">
        <v>0</v>
      </c>
      <c r="T10" s="147">
        <v>-310210560</v>
      </c>
      <c r="U10" s="6">
        <v>0</v>
      </c>
      <c r="V10" s="6">
        <v>0</v>
      </c>
      <c r="W10" s="6">
        <v>0</v>
      </c>
      <c r="X10" s="6">
        <v>0</v>
      </c>
      <c r="Y10" s="6">
        <v>0</v>
      </c>
      <c r="Z10" s="6">
        <v>0</v>
      </c>
      <c r="AA10" s="6">
        <v>0</v>
      </c>
      <c r="AB10" s="6">
        <v>0</v>
      </c>
      <c r="AC10" s="6">
        <v>0</v>
      </c>
      <c r="AD10" s="6">
        <v>0</v>
      </c>
      <c r="AE10" s="520">
        <v>0</v>
      </c>
      <c r="AF10" s="147">
        <v>-310210559.99999994</v>
      </c>
      <c r="AG10" s="6">
        <v>0</v>
      </c>
      <c r="AH10" s="6">
        <v>0</v>
      </c>
      <c r="AI10" s="6">
        <v>0</v>
      </c>
      <c r="AJ10" s="6">
        <v>0</v>
      </c>
      <c r="AK10" s="6">
        <v>0</v>
      </c>
      <c r="AL10" s="6">
        <v>0</v>
      </c>
      <c r="AM10" s="6">
        <v>0</v>
      </c>
      <c r="AN10" s="6">
        <v>0</v>
      </c>
      <c r="AO10" s="6">
        <v>0</v>
      </c>
      <c r="AP10" s="6">
        <v>0</v>
      </c>
      <c r="AQ10" s="520">
        <v>0</v>
      </c>
      <c r="AR10" s="147">
        <v>-310210559.99999994</v>
      </c>
      <c r="AS10" s="6">
        <v>0</v>
      </c>
      <c r="AT10" s="6">
        <v>0</v>
      </c>
      <c r="AU10" s="6">
        <v>0</v>
      </c>
      <c r="AV10" s="6">
        <v>0</v>
      </c>
      <c r="AW10" s="6">
        <v>0</v>
      </c>
      <c r="AX10" s="6">
        <v>0</v>
      </c>
      <c r="AY10" s="6">
        <v>0</v>
      </c>
      <c r="AZ10" s="6">
        <v>0</v>
      </c>
      <c r="BA10" s="6">
        <v>0</v>
      </c>
      <c r="BB10" s="6">
        <v>0</v>
      </c>
      <c r="BC10" s="520">
        <v>0</v>
      </c>
      <c r="BD10" s="147">
        <v>-310210559.99999994</v>
      </c>
      <c r="BE10" s="6">
        <v>0</v>
      </c>
      <c r="BF10" s="6">
        <v>0</v>
      </c>
      <c r="BG10" s="6">
        <v>0</v>
      </c>
      <c r="BH10" s="6">
        <v>0</v>
      </c>
      <c r="BI10" s="6">
        <v>0</v>
      </c>
      <c r="BJ10" s="6">
        <v>0</v>
      </c>
      <c r="BK10" s="6">
        <v>0</v>
      </c>
      <c r="BL10" s="6">
        <v>0</v>
      </c>
      <c r="BM10" s="6">
        <v>0</v>
      </c>
      <c r="BN10" s="6">
        <v>0</v>
      </c>
      <c r="BO10" s="520">
        <v>0</v>
      </c>
      <c r="BP10" s="240">
        <v>-310210559.99999994</v>
      </c>
      <c r="BQ10" s="6">
        <v>0</v>
      </c>
    </row>
    <row r="11" spans="2:70">
      <c r="B11" s="17" t="s">
        <v>721</v>
      </c>
      <c r="C11" s="147">
        <f>C4+C8</f>
        <v>10000000</v>
      </c>
      <c r="D11" s="147">
        <f t="shared" ref="D11:AI11" si="0">C11+D4+D8</f>
        <v>10000000</v>
      </c>
      <c r="E11" s="147">
        <f t="shared" si="0"/>
        <v>10000000</v>
      </c>
      <c r="F11" s="147">
        <f t="shared" si="0"/>
        <v>10000000</v>
      </c>
      <c r="G11" s="147">
        <f t="shared" si="0"/>
        <v>10000000</v>
      </c>
      <c r="H11" s="147">
        <f t="shared" si="0"/>
        <v>10000000</v>
      </c>
      <c r="I11" s="147">
        <f t="shared" si="0"/>
        <v>355000000</v>
      </c>
      <c r="J11" s="147">
        <f t="shared" si="0"/>
        <v>355000000</v>
      </c>
      <c r="K11" s="147">
        <f t="shared" si="0"/>
        <v>355000000</v>
      </c>
      <c r="L11" s="147">
        <f t="shared" si="0"/>
        <v>355000000</v>
      </c>
      <c r="M11" s="147">
        <f t="shared" si="0"/>
        <v>355000000</v>
      </c>
      <c r="N11" s="147">
        <f t="shared" si="0"/>
        <v>55000000</v>
      </c>
      <c r="O11" s="147">
        <f t="shared" si="0"/>
        <v>55000000</v>
      </c>
      <c r="P11" s="147">
        <f t="shared" si="0"/>
        <v>55000000</v>
      </c>
      <c r="Q11" s="147">
        <f t="shared" si="0"/>
        <v>55000000</v>
      </c>
      <c r="R11" s="147">
        <f t="shared" si="0"/>
        <v>55000000</v>
      </c>
      <c r="S11" s="147">
        <f t="shared" si="0"/>
        <v>400000000</v>
      </c>
      <c r="T11" s="147">
        <f t="shared" si="0"/>
        <v>94000000</v>
      </c>
      <c r="U11" s="147">
        <f t="shared" si="0"/>
        <v>94000000</v>
      </c>
      <c r="V11" s="147">
        <f t="shared" si="0"/>
        <v>94000000</v>
      </c>
      <c r="W11" s="147">
        <f t="shared" si="0"/>
        <v>94000000</v>
      </c>
      <c r="X11" s="147">
        <f t="shared" si="0"/>
        <v>94000000</v>
      </c>
      <c r="Y11" s="147">
        <f t="shared" si="0"/>
        <v>94000000</v>
      </c>
      <c r="Z11" s="147">
        <f t="shared" si="0"/>
        <v>94000000</v>
      </c>
      <c r="AA11" s="147">
        <f t="shared" si="0"/>
        <v>94000000</v>
      </c>
      <c r="AB11" s="147">
        <f t="shared" si="0"/>
        <v>94000000</v>
      </c>
      <c r="AC11" s="147">
        <f t="shared" si="0"/>
        <v>94000000</v>
      </c>
      <c r="AD11" s="147">
        <f t="shared" si="0"/>
        <v>94000000</v>
      </c>
      <c r="AE11" s="147">
        <f t="shared" si="0"/>
        <v>416000000</v>
      </c>
      <c r="AF11" s="147">
        <f t="shared" si="0"/>
        <v>110000000.00000006</v>
      </c>
      <c r="AG11" s="147">
        <f t="shared" si="0"/>
        <v>110000000.00000006</v>
      </c>
      <c r="AH11" s="147">
        <f t="shared" si="0"/>
        <v>110000000.00000006</v>
      </c>
      <c r="AI11" s="147">
        <f t="shared" si="0"/>
        <v>110000000.00000006</v>
      </c>
      <c r="AJ11" s="147">
        <f t="shared" ref="AJ11:BQ11" si="1">AI11+AJ4+AJ8</f>
        <v>110000000.00000006</v>
      </c>
      <c r="AK11" s="147">
        <f t="shared" si="1"/>
        <v>110000000.00000006</v>
      </c>
      <c r="AL11" s="147">
        <f t="shared" si="1"/>
        <v>110000000.00000006</v>
      </c>
      <c r="AM11" s="147">
        <f t="shared" si="1"/>
        <v>110000000.00000006</v>
      </c>
      <c r="AN11" s="147">
        <f t="shared" si="1"/>
        <v>110000000.00000006</v>
      </c>
      <c r="AO11" s="147">
        <f t="shared" si="1"/>
        <v>110000000.00000006</v>
      </c>
      <c r="AP11" s="147">
        <f t="shared" si="1"/>
        <v>110000000.00000006</v>
      </c>
      <c r="AQ11" s="147">
        <f t="shared" si="1"/>
        <v>432000000.00000006</v>
      </c>
      <c r="AR11" s="147">
        <f t="shared" si="1"/>
        <v>126000000.00000012</v>
      </c>
      <c r="AS11" s="147">
        <f t="shared" si="1"/>
        <v>126000000.00000012</v>
      </c>
      <c r="AT11" s="147">
        <f t="shared" si="1"/>
        <v>126000000.00000012</v>
      </c>
      <c r="AU11" s="147">
        <f t="shared" si="1"/>
        <v>126000000.00000012</v>
      </c>
      <c r="AV11" s="147">
        <f t="shared" si="1"/>
        <v>126000000.00000012</v>
      </c>
      <c r="AW11" s="147">
        <f t="shared" si="1"/>
        <v>126000000.00000012</v>
      </c>
      <c r="AX11" s="147">
        <f t="shared" si="1"/>
        <v>126000000.00000012</v>
      </c>
      <c r="AY11" s="147">
        <f t="shared" si="1"/>
        <v>126000000.00000012</v>
      </c>
      <c r="AZ11" s="147">
        <f t="shared" si="1"/>
        <v>126000000.00000012</v>
      </c>
      <c r="BA11" s="147">
        <f t="shared" si="1"/>
        <v>126000000.00000012</v>
      </c>
      <c r="BB11" s="147">
        <f t="shared" si="1"/>
        <v>126000000.00000012</v>
      </c>
      <c r="BC11" s="147">
        <f t="shared" si="1"/>
        <v>448000000.00000012</v>
      </c>
      <c r="BD11" s="147">
        <f t="shared" si="1"/>
        <v>142000000.00000018</v>
      </c>
      <c r="BE11" s="147">
        <f t="shared" si="1"/>
        <v>142000000.00000018</v>
      </c>
      <c r="BF11" s="147">
        <f t="shared" si="1"/>
        <v>142000000.00000018</v>
      </c>
      <c r="BG11" s="147">
        <f t="shared" si="1"/>
        <v>142000000.00000018</v>
      </c>
      <c r="BH11" s="147">
        <f t="shared" si="1"/>
        <v>142000000.00000018</v>
      </c>
      <c r="BI11" s="147">
        <f t="shared" si="1"/>
        <v>142000000.00000018</v>
      </c>
      <c r="BJ11" s="147">
        <f t="shared" si="1"/>
        <v>142000000.00000018</v>
      </c>
      <c r="BK11" s="147">
        <f t="shared" si="1"/>
        <v>142000000.00000018</v>
      </c>
      <c r="BL11" s="147">
        <f t="shared" si="1"/>
        <v>142000000.00000018</v>
      </c>
      <c r="BM11" s="147">
        <f t="shared" si="1"/>
        <v>142000000.00000018</v>
      </c>
      <c r="BN11" s="147">
        <f t="shared" si="1"/>
        <v>142000000.00000018</v>
      </c>
      <c r="BO11" s="147">
        <f t="shared" si="1"/>
        <v>476000000.00000018</v>
      </c>
      <c r="BP11" s="147">
        <f t="shared" si="1"/>
        <v>170000000.00000024</v>
      </c>
      <c r="BQ11" s="147">
        <f t="shared" si="1"/>
        <v>170000000.00000024</v>
      </c>
    </row>
    <row r="12" spans="2:70">
      <c r="B12" s="263" t="s">
        <v>722</v>
      </c>
      <c r="C12" s="185">
        <f>C7+C9</f>
        <v>9813234.5206038672</v>
      </c>
      <c r="D12" s="185">
        <f t="shared" ref="D12:AI12" si="2">C12+D7+D9</f>
        <v>9813234.5206038672</v>
      </c>
      <c r="E12" s="185">
        <f t="shared" si="2"/>
        <v>9813234.5206038672</v>
      </c>
      <c r="F12" s="185">
        <f t="shared" si="2"/>
        <v>9813234.5206038672</v>
      </c>
      <c r="G12" s="185">
        <f t="shared" si="2"/>
        <v>9813234.5206038672</v>
      </c>
      <c r="H12" s="185">
        <f t="shared" si="2"/>
        <v>9813234.5206038672</v>
      </c>
      <c r="I12" s="185">
        <f t="shared" si="2"/>
        <v>340176327.53371269</v>
      </c>
      <c r="J12" s="185">
        <f t="shared" si="2"/>
        <v>340176327.53371269</v>
      </c>
      <c r="K12" s="185">
        <f t="shared" si="2"/>
        <v>340176327.53371269</v>
      </c>
      <c r="L12" s="185">
        <f t="shared" si="2"/>
        <v>340176327.53371269</v>
      </c>
      <c r="M12" s="185">
        <f t="shared" si="2"/>
        <v>340176327.53371269</v>
      </c>
      <c r="N12" s="185">
        <f t="shared" si="2"/>
        <v>40176327.533712685</v>
      </c>
      <c r="O12" s="185">
        <f t="shared" si="2"/>
        <v>40176327.533712685</v>
      </c>
      <c r="P12" s="185">
        <f t="shared" si="2"/>
        <v>40176327.533712685</v>
      </c>
      <c r="Q12" s="185">
        <f t="shared" si="2"/>
        <v>40176327.533712685</v>
      </c>
      <c r="R12" s="185">
        <f t="shared" si="2"/>
        <v>40176327.533712685</v>
      </c>
      <c r="S12" s="185">
        <f t="shared" si="2"/>
        <v>380493562.38219756</v>
      </c>
      <c r="T12" s="185">
        <f t="shared" si="2"/>
        <v>74493562.382197559</v>
      </c>
      <c r="U12" s="185">
        <f t="shared" si="2"/>
        <v>74493562.382197559</v>
      </c>
      <c r="V12" s="185">
        <f t="shared" si="2"/>
        <v>74493562.382197559</v>
      </c>
      <c r="W12" s="185">
        <f t="shared" si="2"/>
        <v>74493562.382197559</v>
      </c>
      <c r="X12" s="185">
        <f t="shared" si="2"/>
        <v>74493562.382197559</v>
      </c>
      <c r="Y12" s="185">
        <f t="shared" si="2"/>
        <v>74493562.382197559</v>
      </c>
      <c r="Z12" s="185">
        <f t="shared" si="2"/>
        <v>74493562.382197559</v>
      </c>
      <c r="AA12" s="185">
        <f t="shared" si="2"/>
        <v>74493562.382197559</v>
      </c>
      <c r="AB12" s="185">
        <f t="shared" si="2"/>
        <v>74493562.382197559</v>
      </c>
      <c r="AC12" s="185">
        <f t="shared" si="2"/>
        <v>74493562.382197559</v>
      </c>
      <c r="AD12" s="185">
        <f t="shared" si="2"/>
        <v>74493562.382197559</v>
      </c>
      <c r="AE12" s="185">
        <f t="shared" si="2"/>
        <v>392122981.57411677</v>
      </c>
      <c r="AF12" s="185">
        <f t="shared" si="2"/>
        <v>86122981.574116826</v>
      </c>
      <c r="AG12" s="185">
        <f t="shared" si="2"/>
        <v>86122981.574116826</v>
      </c>
      <c r="AH12" s="185">
        <f t="shared" si="2"/>
        <v>86122981.574116826</v>
      </c>
      <c r="AI12" s="185">
        <f t="shared" si="2"/>
        <v>86122981.574116826</v>
      </c>
      <c r="AJ12" s="185">
        <f t="shared" ref="AJ12:BQ12" si="3">AI12+AJ7+AJ9</f>
        <v>86122981.574116826</v>
      </c>
      <c r="AK12" s="185">
        <f t="shared" si="3"/>
        <v>86122981.574116826</v>
      </c>
      <c r="AL12" s="185">
        <f t="shared" si="3"/>
        <v>86122981.574116826</v>
      </c>
      <c r="AM12" s="185">
        <f t="shared" si="3"/>
        <v>86122981.574116826</v>
      </c>
      <c r="AN12" s="185">
        <f t="shared" si="3"/>
        <v>86122981.574116826</v>
      </c>
      <c r="AO12" s="185">
        <f t="shared" si="3"/>
        <v>86122981.574116826</v>
      </c>
      <c r="AP12" s="185">
        <f t="shared" si="3"/>
        <v>86122981.574116826</v>
      </c>
      <c r="AQ12" s="185">
        <f t="shared" si="3"/>
        <v>403752400.76603603</v>
      </c>
      <c r="AR12" s="185">
        <f t="shared" si="3"/>
        <v>97752400.766036093</v>
      </c>
      <c r="AS12" s="185">
        <f t="shared" si="3"/>
        <v>97752400.766036093</v>
      </c>
      <c r="AT12" s="185">
        <f t="shared" si="3"/>
        <v>97752400.766036093</v>
      </c>
      <c r="AU12" s="185">
        <f t="shared" si="3"/>
        <v>97752400.766036093</v>
      </c>
      <c r="AV12" s="185">
        <f t="shared" si="3"/>
        <v>97752400.766036093</v>
      </c>
      <c r="AW12" s="185">
        <f t="shared" si="3"/>
        <v>97752400.766036093</v>
      </c>
      <c r="AX12" s="185">
        <f t="shared" si="3"/>
        <v>97752400.766036093</v>
      </c>
      <c r="AY12" s="185">
        <f t="shared" si="3"/>
        <v>97752400.766036093</v>
      </c>
      <c r="AZ12" s="185">
        <f t="shared" si="3"/>
        <v>97752400.766036093</v>
      </c>
      <c r="BA12" s="185">
        <f t="shared" si="3"/>
        <v>97752400.766036093</v>
      </c>
      <c r="BB12" s="185">
        <f t="shared" si="3"/>
        <v>97752400.766036093</v>
      </c>
      <c r="BC12" s="185">
        <f t="shared" si="3"/>
        <v>415381819.9579553</v>
      </c>
      <c r="BD12" s="185">
        <f t="shared" si="3"/>
        <v>109381819.95795536</v>
      </c>
      <c r="BE12" s="185">
        <f t="shared" si="3"/>
        <v>109381819.95795536</v>
      </c>
      <c r="BF12" s="185">
        <f t="shared" si="3"/>
        <v>109381819.95795536</v>
      </c>
      <c r="BG12" s="185">
        <f t="shared" si="3"/>
        <v>109381819.95795536</v>
      </c>
      <c r="BH12" s="185">
        <f t="shared" si="3"/>
        <v>109381819.95795536</v>
      </c>
      <c r="BI12" s="185">
        <f t="shared" si="3"/>
        <v>109381819.95795536</v>
      </c>
      <c r="BJ12" s="185">
        <f t="shared" si="3"/>
        <v>109381819.95795536</v>
      </c>
      <c r="BK12" s="185">
        <f t="shared" si="3"/>
        <v>109381819.95795536</v>
      </c>
      <c r="BL12" s="185">
        <f t="shared" si="3"/>
        <v>109381819.95795536</v>
      </c>
      <c r="BM12" s="185">
        <f t="shared" si="3"/>
        <v>109381819.95795536</v>
      </c>
      <c r="BN12" s="185">
        <f t="shared" si="3"/>
        <v>109381819.95795536</v>
      </c>
      <c r="BO12" s="185">
        <f t="shared" si="3"/>
        <v>438848360.36199576</v>
      </c>
      <c r="BP12" s="185">
        <f t="shared" si="3"/>
        <v>132848360.36199582</v>
      </c>
      <c r="BQ12" s="185">
        <f t="shared" si="3"/>
        <v>132848360.36199582</v>
      </c>
      <c r="BR12" s="241"/>
    </row>
    <row r="13" spans="2:70">
      <c r="B13" s="263" t="s">
        <v>723</v>
      </c>
      <c r="C13" s="185" cm="1">
        <f t="array" ref="C13:BQ13">C12:BQ12 * 'Painel Controle'!D233</f>
        <v>9948264.6276073772</v>
      </c>
      <c r="D13" s="185">
        <v>9948264.6276073772</v>
      </c>
      <c r="E13" s="185">
        <v>9948264.6276073772</v>
      </c>
      <c r="F13" s="185">
        <v>9948264.6276073772</v>
      </c>
      <c r="G13" s="185">
        <v>9948264.6276073772</v>
      </c>
      <c r="H13" s="185">
        <v>9948264.6276073772</v>
      </c>
      <c r="I13" s="185">
        <v>344857153.80057657</v>
      </c>
      <c r="J13" s="185">
        <v>344857153.80057657</v>
      </c>
      <c r="K13" s="185">
        <v>344857153.80057657</v>
      </c>
      <c r="L13" s="185">
        <v>344857153.80057657</v>
      </c>
      <c r="M13" s="185">
        <v>344857153.80057657</v>
      </c>
      <c r="N13" s="185">
        <v>40729153.800576575</v>
      </c>
      <c r="O13" s="185">
        <v>40729153.800576575</v>
      </c>
      <c r="P13" s="185">
        <v>40729153.800576575</v>
      </c>
      <c r="Q13" s="185">
        <v>40729153.800576575</v>
      </c>
      <c r="R13" s="185">
        <v>40729153.800576575</v>
      </c>
      <c r="S13" s="185">
        <v>385729153.80057657</v>
      </c>
      <c r="T13" s="185">
        <v>75518593.800576597</v>
      </c>
      <c r="U13" s="185">
        <v>75518593.800576597</v>
      </c>
      <c r="V13" s="185">
        <v>75518593.800576597</v>
      </c>
      <c r="W13" s="185">
        <v>75518593.800576597</v>
      </c>
      <c r="X13" s="185">
        <v>75518593.800576597</v>
      </c>
      <c r="Y13" s="185">
        <v>75518593.800576597</v>
      </c>
      <c r="Z13" s="185">
        <v>75518593.800576597</v>
      </c>
      <c r="AA13" s="185">
        <v>75518593.800576597</v>
      </c>
      <c r="AB13" s="185">
        <v>75518593.800576597</v>
      </c>
      <c r="AC13" s="185">
        <v>75518593.800576597</v>
      </c>
      <c r="AD13" s="185">
        <v>75518593.800576597</v>
      </c>
      <c r="AE13" s="185">
        <v>397518593.80057663</v>
      </c>
      <c r="AF13" s="185">
        <v>87308033.800576672</v>
      </c>
      <c r="AG13" s="185">
        <v>87308033.800576672</v>
      </c>
      <c r="AH13" s="185">
        <v>87308033.800576672</v>
      </c>
      <c r="AI13" s="185">
        <v>87308033.800576672</v>
      </c>
      <c r="AJ13" s="185">
        <v>87308033.800576672</v>
      </c>
      <c r="AK13" s="185">
        <v>87308033.800576672</v>
      </c>
      <c r="AL13" s="185">
        <v>87308033.800576672</v>
      </c>
      <c r="AM13" s="185">
        <v>87308033.800576672</v>
      </c>
      <c r="AN13" s="185">
        <v>87308033.800576672</v>
      </c>
      <c r="AO13" s="185">
        <v>87308033.800576672</v>
      </c>
      <c r="AP13" s="185">
        <v>87308033.800576672</v>
      </c>
      <c r="AQ13" s="185">
        <v>409308033.80057669</v>
      </c>
      <c r="AR13" s="185">
        <v>99097473.800576746</v>
      </c>
      <c r="AS13" s="185">
        <v>99097473.800576746</v>
      </c>
      <c r="AT13" s="185">
        <v>99097473.800576746</v>
      </c>
      <c r="AU13" s="185">
        <v>99097473.800576746</v>
      </c>
      <c r="AV13" s="185">
        <v>99097473.800576746</v>
      </c>
      <c r="AW13" s="185">
        <v>99097473.800576746</v>
      </c>
      <c r="AX13" s="185">
        <v>99097473.800576746</v>
      </c>
      <c r="AY13" s="185">
        <v>99097473.800576746</v>
      </c>
      <c r="AZ13" s="185">
        <v>99097473.800576746</v>
      </c>
      <c r="BA13" s="185">
        <v>99097473.800576746</v>
      </c>
      <c r="BB13" s="185">
        <v>99097473.800576746</v>
      </c>
      <c r="BC13" s="185">
        <v>421097473.80057675</v>
      </c>
      <c r="BD13" s="185">
        <v>110886913.80057682</v>
      </c>
      <c r="BE13" s="185">
        <v>110886913.80057682</v>
      </c>
      <c r="BF13" s="185">
        <v>110886913.80057682</v>
      </c>
      <c r="BG13" s="185">
        <v>110886913.80057682</v>
      </c>
      <c r="BH13" s="185">
        <v>110886913.80057682</v>
      </c>
      <c r="BI13" s="185">
        <v>110886913.80057682</v>
      </c>
      <c r="BJ13" s="185">
        <v>110886913.80057682</v>
      </c>
      <c r="BK13" s="185">
        <v>110886913.80057682</v>
      </c>
      <c r="BL13" s="185">
        <v>110886913.80057682</v>
      </c>
      <c r="BM13" s="185">
        <v>110886913.80057682</v>
      </c>
      <c r="BN13" s="185">
        <v>110886913.80057682</v>
      </c>
      <c r="BO13" s="185">
        <v>444886913.80057681</v>
      </c>
      <c r="BP13" s="482">
        <v>134676353.80057687</v>
      </c>
      <c r="BQ13" s="185">
        <v>134676353.80057687</v>
      </c>
      <c r="BR13" s="241"/>
    </row>
    <row r="14" spans="2:70">
      <c r="B14" s="17" t="s">
        <v>724</v>
      </c>
      <c r="C14" s="147" t="b">
        <f t="shared" ref="C14:AH14" si="4">AND(C11&gt;=0,C12&gt;=0)</f>
        <v>1</v>
      </c>
      <c r="D14" s="147" t="b">
        <f t="shared" si="4"/>
        <v>1</v>
      </c>
      <c r="E14" s="147" t="b">
        <f t="shared" si="4"/>
        <v>1</v>
      </c>
      <c r="F14" s="147" t="b">
        <f t="shared" si="4"/>
        <v>1</v>
      </c>
      <c r="G14" s="147" t="b">
        <f t="shared" si="4"/>
        <v>1</v>
      </c>
      <c r="H14" s="147" t="b">
        <f t="shared" si="4"/>
        <v>1</v>
      </c>
      <c r="I14" s="147" t="b">
        <f t="shared" si="4"/>
        <v>1</v>
      </c>
      <c r="J14" s="147" t="b">
        <f t="shared" si="4"/>
        <v>1</v>
      </c>
      <c r="K14" s="147" t="b">
        <f t="shared" si="4"/>
        <v>1</v>
      </c>
      <c r="L14" s="147" t="b">
        <f t="shared" si="4"/>
        <v>1</v>
      </c>
      <c r="M14" s="147" t="b">
        <f t="shared" si="4"/>
        <v>1</v>
      </c>
      <c r="N14" s="147" t="b">
        <f t="shared" si="4"/>
        <v>1</v>
      </c>
      <c r="O14" s="147" t="b">
        <f t="shared" si="4"/>
        <v>1</v>
      </c>
      <c r="P14" s="147" t="b">
        <f t="shared" si="4"/>
        <v>1</v>
      </c>
      <c r="Q14" s="147" t="b">
        <f t="shared" si="4"/>
        <v>1</v>
      </c>
      <c r="R14" s="147" t="b">
        <f t="shared" si="4"/>
        <v>1</v>
      </c>
      <c r="S14" s="147" t="b">
        <f t="shared" si="4"/>
        <v>1</v>
      </c>
      <c r="T14" s="147" t="b">
        <f t="shared" si="4"/>
        <v>1</v>
      </c>
      <c r="U14" s="147" t="b">
        <f t="shared" si="4"/>
        <v>1</v>
      </c>
      <c r="V14" s="147" t="b">
        <f t="shared" si="4"/>
        <v>1</v>
      </c>
      <c r="W14" s="147" t="b">
        <f t="shared" si="4"/>
        <v>1</v>
      </c>
      <c r="X14" s="147" t="b">
        <f t="shared" si="4"/>
        <v>1</v>
      </c>
      <c r="Y14" s="147" t="b">
        <f t="shared" si="4"/>
        <v>1</v>
      </c>
      <c r="Z14" s="147" t="b">
        <f t="shared" si="4"/>
        <v>1</v>
      </c>
      <c r="AA14" s="147" t="b">
        <f t="shared" si="4"/>
        <v>1</v>
      </c>
      <c r="AB14" s="147" t="b">
        <f t="shared" si="4"/>
        <v>1</v>
      </c>
      <c r="AC14" s="147" t="b">
        <f t="shared" si="4"/>
        <v>1</v>
      </c>
      <c r="AD14" s="147" t="b">
        <f t="shared" si="4"/>
        <v>1</v>
      </c>
      <c r="AE14" s="147" t="b">
        <f t="shared" si="4"/>
        <v>1</v>
      </c>
      <c r="AF14" s="147" t="b">
        <f t="shared" si="4"/>
        <v>1</v>
      </c>
      <c r="AG14" s="147" t="b">
        <f t="shared" si="4"/>
        <v>1</v>
      </c>
      <c r="AH14" s="147" t="b">
        <f t="shared" si="4"/>
        <v>1</v>
      </c>
      <c r="AI14" s="147" t="b">
        <f t="shared" ref="AI14:BN14" si="5">AND(AI11&gt;=0,AI12&gt;=0)</f>
        <v>1</v>
      </c>
      <c r="AJ14" s="147" t="b">
        <f t="shared" si="5"/>
        <v>1</v>
      </c>
      <c r="AK14" s="147" t="b">
        <f t="shared" si="5"/>
        <v>1</v>
      </c>
      <c r="AL14" s="147" t="b">
        <f t="shared" si="5"/>
        <v>1</v>
      </c>
      <c r="AM14" s="147" t="b">
        <f t="shared" si="5"/>
        <v>1</v>
      </c>
      <c r="AN14" s="147" t="b">
        <f t="shared" si="5"/>
        <v>1</v>
      </c>
      <c r="AO14" s="147" t="b">
        <f t="shared" si="5"/>
        <v>1</v>
      </c>
      <c r="AP14" s="147" t="b">
        <f t="shared" si="5"/>
        <v>1</v>
      </c>
      <c r="AQ14" s="147" t="b">
        <f t="shared" si="5"/>
        <v>1</v>
      </c>
      <c r="AR14" s="147" t="b">
        <f t="shared" si="5"/>
        <v>1</v>
      </c>
      <c r="AS14" s="147" t="b">
        <f t="shared" si="5"/>
        <v>1</v>
      </c>
      <c r="AT14" s="147" t="b">
        <f t="shared" si="5"/>
        <v>1</v>
      </c>
      <c r="AU14" s="147" t="b">
        <f t="shared" si="5"/>
        <v>1</v>
      </c>
      <c r="AV14" s="147" t="b">
        <f t="shared" si="5"/>
        <v>1</v>
      </c>
      <c r="AW14" s="147" t="b">
        <f t="shared" si="5"/>
        <v>1</v>
      </c>
      <c r="AX14" s="147" t="b">
        <f t="shared" si="5"/>
        <v>1</v>
      </c>
      <c r="AY14" s="147" t="b">
        <f t="shared" si="5"/>
        <v>1</v>
      </c>
      <c r="AZ14" s="147" t="b">
        <f t="shared" si="5"/>
        <v>1</v>
      </c>
      <c r="BA14" s="147" t="b">
        <f t="shared" si="5"/>
        <v>1</v>
      </c>
      <c r="BB14" s="147" t="b">
        <f t="shared" si="5"/>
        <v>1</v>
      </c>
      <c r="BC14" s="147" t="b">
        <f t="shared" si="5"/>
        <v>1</v>
      </c>
      <c r="BD14" s="147" t="b">
        <f t="shared" si="5"/>
        <v>1</v>
      </c>
      <c r="BE14" s="147" t="b">
        <f t="shared" si="5"/>
        <v>1</v>
      </c>
      <c r="BF14" s="147" t="b">
        <f t="shared" si="5"/>
        <v>1</v>
      </c>
      <c r="BG14" s="147" t="b">
        <f t="shared" si="5"/>
        <v>1</v>
      </c>
      <c r="BH14" s="147" t="b">
        <f t="shared" si="5"/>
        <v>1</v>
      </c>
      <c r="BI14" s="147" t="b">
        <f t="shared" si="5"/>
        <v>1</v>
      </c>
      <c r="BJ14" s="147" t="b">
        <f t="shared" si="5"/>
        <v>1</v>
      </c>
      <c r="BK14" s="147" t="b">
        <f t="shared" si="5"/>
        <v>1</v>
      </c>
      <c r="BL14" s="147" t="b">
        <f t="shared" si="5"/>
        <v>1</v>
      </c>
      <c r="BM14" s="147" t="b">
        <f t="shared" si="5"/>
        <v>1</v>
      </c>
      <c r="BN14" s="147" t="b">
        <f t="shared" si="5"/>
        <v>1</v>
      </c>
      <c r="BO14" s="147" t="b">
        <f t="shared" ref="BO14:BQ14" si="6">AND(BO11&gt;=0,BO12&gt;=0)</f>
        <v>1</v>
      </c>
      <c r="BP14" s="240" t="b">
        <f t="shared" si="6"/>
        <v>1</v>
      </c>
      <c r="BQ14" s="147" t="b">
        <f t="shared" si="6"/>
        <v>1</v>
      </c>
    </row>
    <row r="17" spans="1:69" s="523" customFormat="1">
      <c r="B17" s="524" t="s">
        <v>725</v>
      </c>
    </row>
    <row r="19" spans="1:69">
      <c r="B19" s="41" t="s">
        <v>726</v>
      </c>
    </row>
    <row r="20" spans="1:69">
      <c r="B20" s="522" t="s">
        <v>727</v>
      </c>
      <c r="C20" s="536" cm="1">
        <f t="array" ref="C20:BQ20">C3:BQ3</f>
        <v>45627</v>
      </c>
      <c r="D20" s="536">
        <v>45658</v>
      </c>
      <c r="E20" s="536">
        <v>45689</v>
      </c>
      <c r="F20" s="536">
        <v>45717</v>
      </c>
      <c r="G20" s="536">
        <v>45748</v>
      </c>
      <c r="H20" s="536">
        <v>45778</v>
      </c>
      <c r="I20" s="536">
        <v>45809</v>
      </c>
      <c r="J20" s="536">
        <v>45839</v>
      </c>
      <c r="K20" s="536">
        <v>45870</v>
      </c>
      <c r="L20" s="536">
        <v>45901</v>
      </c>
      <c r="M20" s="536">
        <v>45931</v>
      </c>
      <c r="N20" s="536">
        <v>45962</v>
      </c>
      <c r="O20" s="536">
        <v>45992</v>
      </c>
      <c r="P20" s="536">
        <v>46023</v>
      </c>
      <c r="Q20" s="536">
        <v>46054</v>
      </c>
      <c r="R20" s="536">
        <v>46082</v>
      </c>
      <c r="S20" s="536">
        <v>46113</v>
      </c>
      <c r="T20" s="536">
        <v>46143</v>
      </c>
      <c r="U20" s="536">
        <v>46174</v>
      </c>
      <c r="V20" s="536">
        <v>46204</v>
      </c>
      <c r="W20" s="536">
        <v>46235</v>
      </c>
      <c r="X20" s="536">
        <v>46266</v>
      </c>
      <c r="Y20" s="536">
        <v>46296</v>
      </c>
      <c r="Z20" s="536">
        <v>46327</v>
      </c>
      <c r="AA20" s="536">
        <v>46357</v>
      </c>
      <c r="AB20" s="536">
        <v>46388</v>
      </c>
      <c r="AC20" s="536">
        <v>46419</v>
      </c>
      <c r="AD20" s="536">
        <v>46447</v>
      </c>
      <c r="AE20" s="536">
        <v>46478</v>
      </c>
      <c r="AF20" s="536">
        <v>46508</v>
      </c>
      <c r="AG20" s="536">
        <v>46539</v>
      </c>
      <c r="AH20" s="536">
        <v>46569</v>
      </c>
      <c r="AI20" s="536">
        <v>46600</v>
      </c>
      <c r="AJ20" s="536">
        <v>46631</v>
      </c>
      <c r="AK20" s="536">
        <v>46661</v>
      </c>
      <c r="AL20" s="536">
        <v>46692</v>
      </c>
      <c r="AM20" s="536">
        <v>46722</v>
      </c>
      <c r="AN20" s="536">
        <v>46753</v>
      </c>
      <c r="AO20" s="536">
        <v>46784</v>
      </c>
      <c r="AP20" s="536">
        <v>46813</v>
      </c>
      <c r="AQ20" s="536">
        <v>46844</v>
      </c>
      <c r="AR20" s="536">
        <v>46874</v>
      </c>
      <c r="AS20" s="536">
        <v>46905</v>
      </c>
      <c r="AT20" s="536">
        <v>46935</v>
      </c>
      <c r="AU20" s="536">
        <v>46966</v>
      </c>
      <c r="AV20" s="536">
        <v>46997</v>
      </c>
      <c r="AW20" s="536">
        <v>47027</v>
      </c>
      <c r="AX20" s="536">
        <v>47058</v>
      </c>
      <c r="AY20" s="536">
        <v>47088</v>
      </c>
      <c r="AZ20" s="536">
        <v>47119</v>
      </c>
      <c r="BA20" s="536">
        <v>47150</v>
      </c>
      <c r="BB20" s="536">
        <v>47178</v>
      </c>
      <c r="BC20" s="536">
        <v>47209</v>
      </c>
      <c r="BD20" s="536">
        <v>47239</v>
      </c>
      <c r="BE20" s="536">
        <v>47270</v>
      </c>
      <c r="BF20" s="536">
        <v>47300</v>
      </c>
      <c r="BG20" s="536">
        <v>47331</v>
      </c>
      <c r="BH20" s="536">
        <v>47362</v>
      </c>
      <c r="BI20" s="536">
        <v>47392</v>
      </c>
      <c r="BJ20" s="536">
        <v>47423</v>
      </c>
      <c r="BK20" s="536">
        <v>47453</v>
      </c>
      <c r="BL20" s="536">
        <v>47484</v>
      </c>
      <c r="BM20" s="536">
        <v>47515</v>
      </c>
      <c r="BN20" s="536">
        <v>47543</v>
      </c>
      <c r="BO20" s="536">
        <v>47574</v>
      </c>
      <c r="BP20" s="536">
        <v>47604</v>
      </c>
      <c r="BQ20" s="536">
        <v>47635</v>
      </c>
    </row>
    <row r="21" spans="1:69">
      <c r="A21" s="545"/>
      <c r="B21" s="541" t="str">
        <f t="shared" ref="B21:AG21" si="7">B4</f>
        <v>Valor nominal pago ao Estado (sem projeção de inflação)</v>
      </c>
      <c r="C21" s="535">
        <f t="shared" si="7"/>
        <v>10000000</v>
      </c>
      <c r="D21" s="535">
        <f t="shared" si="7"/>
        <v>0</v>
      </c>
      <c r="E21" s="535">
        <f t="shared" si="7"/>
        <v>0</v>
      </c>
      <c r="F21" s="535">
        <f t="shared" si="7"/>
        <v>0</v>
      </c>
      <c r="G21" s="535">
        <f t="shared" si="7"/>
        <v>0</v>
      </c>
      <c r="H21" s="535">
        <f t="shared" si="7"/>
        <v>0</v>
      </c>
      <c r="I21" s="535">
        <f t="shared" si="7"/>
        <v>345000000</v>
      </c>
      <c r="J21" s="535">
        <f t="shared" si="7"/>
        <v>0</v>
      </c>
      <c r="K21" s="535">
        <f t="shared" si="7"/>
        <v>0</v>
      </c>
      <c r="L21" s="535">
        <f t="shared" si="7"/>
        <v>0</v>
      </c>
      <c r="M21" s="535">
        <f t="shared" si="7"/>
        <v>0</v>
      </c>
      <c r="N21" s="535">
        <f t="shared" si="7"/>
        <v>0</v>
      </c>
      <c r="O21" s="535">
        <f t="shared" si="7"/>
        <v>0</v>
      </c>
      <c r="P21" s="535">
        <f t="shared" si="7"/>
        <v>0</v>
      </c>
      <c r="Q21" s="535">
        <f t="shared" si="7"/>
        <v>0</v>
      </c>
      <c r="R21" s="535">
        <f t="shared" si="7"/>
        <v>0</v>
      </c>
      <c r="S21" s="535">
        <f t="shared" si="7"/>
        <v>345000000</v>
      </c>
      <c r="T21" s="535">
        <f t="shared" si="7"/>
        <v>0</v>
      </c>
      <c r="U21" s="535">
        <f t="shared" si="7"/>
        <v>0</v>
      </c>
      <c r="V21" s="535">
        <f t="shared" si="7"/>
        <v>0</v>
      </c>
      <c r="W21" s="535">
        <f t="shared" si="7"/>
        <v>0</v>
      </c>
      <c r="X21" s="535">
        <f t="shared" si="7"/>
        <v>0</v>
      </c>
      <c r="Y21" s="535">
        <f t="shared" si="7"/>
        <v>0</v>
      </c>
      <c r="Z21" s="535">
        <f t="shared" si="7"/>
        <v>0</v>
      </c>
      <c r="AA21" s="535">
        <f t="shared" si="7"/>
        <v>0</v>
      </c>
      <c r="AB21" s="535">
        <f t="shared" si="7"/>
        <v>0</v>
      </c>
      <c r="AC21" s="535">
        <f t="shared" si="7"/>
        <v>0</v>
      </c>
      <c r="AD21" s="535">
        <f t="shared" si="7"/>
        <v>0</v>
      </c>
      <c r="AE21" s="535">
        <f t="shared" si="7"/>
        <v>322000000</v>
      </c>
      <c r="AF21" s="535">
        <f t="shared" si="7"/>
        <v>0</v>
      </c>
      <c r="AG21" s="535">
        <f t="shared" si="7"/>
        <v>0</v>
      </c>
      <c r="AH21" s="535">
        <f t="shared" ref="AH21:BN21" si="8">AH4</f>
        <v>0</v>
      </c>
      <c r="AI21" s="535">
        <f t="shared" si="8"/>
        <v>0</v>
      </c>
      <c r="AJ21" s="535">
        <f t="shared" si="8"/>
        <v>0</v>
      </c>
      <c r="AK21" s="535">
        <f t="shared" si="8"/>
        <v>0</v>
      </c>
      <c r="AL21" s="535">
        <f t="shared" si="8"/>
        <v>0</v>
      </c>
      <c r="AM21" s="535">
        <f t="shared" si="8"/>
        <v>0</v>
      </c>
      <c r="AN21" s="535">
        <f t="shared" si="8"/>
        <v>0</v>
      </c>
      <c r="AO21" s="535">
        <f t="shared" si="8"/>
        <v>0</v>
      </c>
      <c r="AP21" s="535">
        <f t="shared" si="8"/>
        <v>0</v>
      </c>
      <c r="AQ21" s="535">
        <f t="shared" si="8"/>
        <v>322000000</v>
      </c>
      <c r="AR21" s="535">
        <f t="shared" si="8"/>
        <v>0</v>
      </c>
      <c r="AS21" s="535">
        <f t="shared" si="8"/>
        <v>0</v>
      </c>
      <c r="AT21" s="535">
        <f t="shared" si="8"/>
        <v>0</v>
      </c>
      <c r="AU21" s="535">
        <f t="shared" si="8"/>
        <v>0</v>
      </c>
      <c r="AV21" s="535">
        <f t="shared" si="8"/>
        <v>0</v>
      </c>
      <c r="AW21" s="535">
        <f t="shared" si="8"/>
        <v>0</v>
      </c>
      <c r="AX21" s="535">
        <f t="shared" si="8"/>
        <v>0</v>
      </c>
      <c r="AY21" s="535">
        <f t="shared" si="8"/>
        <v>0</v>
      </c>
      <c r="AZ21" s="535">
        <f t="shared" si="8"/>
        <v>0</v>
      </c>
      <c r="BA21" s="535">
        <f t="shared" si="8"/>
        <v>0</v>
      </c>
      <c r="BB21" s="535">
        <f t="shared" si="8"/>
        <v>0</v>
      </c>
      <c r="BC21" s="535">
        <f t="shared" si="8"/>
        <v>322000000</v>
      </c>
      <c r="BD21" s="535">
        <f t="shared" si="8"/>
        <v>0</v>
      </c>
      <c r="BE21" s="535">
        <f t="shared" si="8"/>
        <v>0</v>
      </c>
      <c r="BF21" s="535">
        <f t="shared" si="8"/>
        <v>0</v>
      </c>
      <c r="BG21" s="535">
        <f t="shared" si="8"/>
        <v>0</v>
      </c>
      <c r="BH21" s="535">
        <f t="shared" si="8"/>
        <v>0</v>
      </c>
      <c r="BI21" s="535">
        <f t="shared" si="8"/>
        <v>0</v>
      </c>
      <c r="BJ21" s="535">
        <f t="shared" si="8"/>
        <v>0</v>
      </c>
      <c r="BK21" s="535">
        <f t="shared" si="8"/>
        <v>0</v>
      </c>
      <c r="BL21" s="535">
        <f t="shared" si="8"/>
        <v>0</v>
      </c>
      <c r="BM21" s="535">
        <f t="shared" si="8"/>
        <v>0</v>
      </c>
      <c r="BN21" s="535">
        <f t="shared" si="8"/>
        <v>0</v>
      </c>
      <c r="BO21" s="535">
        <f t="shared" ref="BO21:BQ21" si="9">BO4</f>
        <v>334000000</v>
      </c>
      <c r="BP21" s="535">
        <f t="shared" si="9"/>
        <v>0</v>
      </c>
      <c r="BQ21" s="535">
        <f t="shared" si="9"/>
        <v>0</v>
      </c>
    </row>
    <row r="22" spans="1:69">
      <c r="A22" s="545"/>
      <c r="B22" s="541" t="str">
        <f>B8</f>
        <v>Valor nominal pago do Estado à conta de contaprestação (sem projeção de inflação)</v>
      </c>
      <c r="C22" s="535">
        <f t="shared" ref="C22:BN22" si="10">C8</f>
        <v>0</v>
      </c>
      <c r="D22" s="535">
        <f t="shared" si="10"/>
        <v>0</v>
      </c>
      <c r="E22" s="535">
        <f t="shared" si="10"/>
        <v>0</v>
      </c>
      <c r="F22" s="535">
        <f t="shared" si="10"/>
        <v>0</v>
      </c>
      <c r="G22" s="535">
        <f t="shared" si="10"/>
        <v>0</v>
      </c>
      <c r="H22" s="535">
        <f t="shared" si="10"/>
        <v>0</v>
      </c>
      <c r="I22" s="535">
        <f t="shared" si="10"/>
        <v>0</v>
      </c>
      <c r="J22" s="535">
        <f t="shared" si="10"/>
        <v>0</v>
      </c>
      <c r="K22" s="535">
        <f t="shared" si="10"/>
        <v>0</v>
      </c>
      <c r="L22" s="535">
        <f t="shared" si="10"/>
        <v>0</v>
      </c>
      <c r="M22" s="535">
        <f t="shared" si="10"/>
        <v>0</v>
      </c>
      <c r="N22" s="535">
        <f t="shared" si="10"/>
        <v>-300000000</v>
      </c>
      <c r="O22" s="535">
        <f t="shared" si="10"/>
        <v>0</v>
      </c>
      <c r="P22" s="535">
        <f t="shared" si="10"/>
        <v>0</v>
      </c>
      <c r="Q22" s="535">
        <f t="shared" si="10"/>
        <v>0</v>
      </c>
      <c r="R22" s="535">
        <f t="shared" si="10"/>
        <v>0</v>
      </c>
      <c r="S22" s="535">
        <f t="shared" si="10"/>
        <v>0</v>
      </c>
      <c r="T22" s="535">
        <f t="shared" si="10"/>
        <v>-306000000</v>
      </c>
      <c r="U22" s="535">
        <f t="shared" si="10"/>
        <v>0</v>
      </c>
      <c r="V22" s="535">
        <f t="shared" si="10"/>
        <v>0</v>
      </c>
      <c r="W22" s="535">
        <f t="shared" si="10"/>
        <v>0</v>
      </c>
      <c r="X22" s="535">
        <f t="shared" si="10"/>
        <v>0</v>
      </c>
      <c r="Y22" s="535">
        <f t="shared" si="10"/>
        <v>0</v>
      </c>
      <c r="Z22" s="535">
        <f t="shared" si="10"/>
        <v>0</v>
      </c>
      <c r="AA22" s="535">
        <f t="shared" si="10"/>
        <v>0</v>
      </c>
      <c r="AB22" s="535">
        <f t="shared" si="10"/>
        <v>0</v>
      </c>
      <c r="AC22" s="535">
        <f t="shared" si="10"/>
        <v>0</v>
      </c>
      <c r="AD22" s="535">
        <f t="shared" si="10"/>
        <v>0</v>
      </c>
      <c r="AE22" s="535">
        <f t="shared" si="10"/>
        <v>0</v>
      </c>
      <c r="AF22" s="535">
        <f t="shared" si="10"/>
        <v>-305999999.99999994</v>
      </c>
      <c r="AG22" s="535">
        <f t="shared" si="10"/>
        <v>0</v>
      </c>
      <c r="AH22" s="535">
        <f t="shared" si="10"/>
        <v>0</v>
      </c>
      <c r="AI22" s="535">
        <f t="shared" si="10"/>
        <v>0</v>
      </c>
      <c r="AJ22" s="535">
        <f t="shared" si="10"/>
        <v>0</v>
      </c>
      <c r="AK22" s="535">
        <f t="shared" si="10"/>
        <v>0</v>
      </c>
      <c r="AL22" s="535">
        <f t="shared" si="10"/>
        <v>0</v>
      </c>
      <c r="AM22" s="535">
        <f t="shared" si="10"/>
        <v>0</v>
      </c>
      <c r="AN22" s="535">
        <f t="shared" si="10"/>
        <v>0</v>
      </c>
      <c r="AO22" s="535">
        <f t="shared" si="10"/>
        <v>0</v>
      </c>
      <c r="AP22" s="535">
        <f t="shared" si="10"/>
        <v>0</v>
      </c>
      <c r="AQ22" s="535">
        <f t="shared" si="10"/>
        <v>0</v>
      </c>
      <c r="AR22" s="535">
        <f t="shared" si="10"/>
        <v>-305999999.99999994</v>
      </c>
      <c r="AS22" s="535">
        <f t="shared" si="10"/>
        <v>0</v>
      </c>
      <c r="AT22" s="535">
        <f t="shared" si="10"/>
        <v>0</v>
      </c>
      <c r="AU22" s="535">
        <f t="shared" si="10"/>
        <v>0</v>
      </c>
      <c r="AV22" s="535">
        <f t="shared" si="10"/>
        <v>0</v>
      </c>
      <c r="AW22" s="535">
        <f t="shared" si="10"/>
        <v>0</v>
      </c>
      <c r="AX22" s="535">
        <f t="shared" si="10"/>
        <v>0</v>
      </c>
      <c r="AY22" s="535">
        <f t="shared" si="10"/>
        <v>0</v>
      </c>
      <c r="AZ22" s="535">
        <f t="shared" si="10"/>
        <v>0</v>
      </c>
      <c r="BA22" s="535">
        <f t="shared" si="10"/>
        <v>0</v>
      </c>
      <c r="BB22" s="535">
        <f t="shared" si="10"/>
        <v>0</v>
      </c>
      <c r="BC22" s="535">
        <f t="shared" si="10"/>
        <v>0</v>
      </c>
      <c r="BD22" s="535">
        <f t="shared" si="10"/>
        <v>-305999999.99999994</v>
      </c>
      <c r="BE22" s="535">
        <f t="shared" si="10"/>
        <v>0</v>
      </c>
      <c r="BF22" s="535">
        <f t="shared" si="10"/>
        <v>0</v>
      </c>
      <c r="BG22" s="535">
        <f t="shared" si="10"/>
        <v>0</v>
      </c>
      <c r="BH22" s="535">
        <f t="shared" si="10"/>
        <v>0</v>
      </c>
      <c r="BI22" s="535">
        <f t="shared" si="10"/>
        <v>0</v>
      </c>
      <c r="BJ22" s="535">
        <f t="shared" si="10"/>
        <v>0</v>
      </c>
      <c r="BK22" s="535">
        <f t="shared" si="10"/>
        <v>0</v>
      </c>
      <c r="BL22" s="535">
        <f t="shared" si="10"/>
        <v>0</v>
      </c>
      <c r="BM22" s="535">
        <f t="shared" si="10"/>
        <v>0</v>
      </c>
      <c r="BN22" s="535">
        <f t="shared" si="10"/>
        <v>0</v>
      </c>
      <c r="BO22" s="535">
        <f t="shared" ref="BO22:BQ22" si="11">BO8</f>
        <v>0</v>
      </c>
      <c r="BP22" s="535">
        <f t="shared" si="11"/>
        <v>-305999999.99999994</v>
      </c>
      <c r="BQ22" s="535">
        <f t="shared" si="11"/>
        <v>0</v>
      </c>
    </row>
    <row r="23" spans="1:69">
      <c r="B23" s="541" t="str">
        <f>B11</f>
        <v>Saldo nominal do Estado (sem projeção de inflação)</v>
      </c>
      <c r="C23" s="535">
        <f t="shared" ref="C23:BN23" si="12">C11</f>
        <v>10000000</v>
      </c>
      <c r="D23" s="535">
        <f t="shared" si="12"/>
        <v>10000000</v>
      </c>
      <c r="E23" s="535">
        <f t="shared" si="12"/>
        <v>10000000</v>
      </c>
      <c r="F23" s="535">
        <f t="shared" si="12"/>
        <v>10000000</v>
      </c>
      <c r="G23" s="535">
        <f t="shared" si="12"/>
        <v>10000000</v>
      </c>
      <c r="H23" s="535">
        <f t="shared" si="12"/>
        <v>10000000</v>
      </c>
      <c r="I23" s="535">
        <f t="shared" si="12"/>
        <v>355000000</v>
      </c>
      <c r="J23" s="535">
        <f t="shared" si="12"/>
        <v>355000000</v>
      </c>
      <c r="K23" s="535">
        <f t="shared" si="12"/>
        <v>355000000</v>
      </c>
      <c r="L23" s="535">
        <f t="shared" si="12"/>
        <v>355000000</v>
      </c>
      <c r="M23" s="535">
        <f t="shared" si="12"/>
        <v>355000000</v>
      </c>
      <c r="N23" s="535">
        <f t="shared" si="12"/>
        <v>55000000</v>
      </c>
      <c r="O23" s="535">
        <f t="shared" si="12"/>
        <v>55000000</v>
      </c>
      <c r="P23" s="535">
        <f t="shared" si="12"/>
        <v>55000000</v>
      </c>
      <c r="Q23" s="535">
        <f t="shared" si="12"/>
        <v>55000000</v>
      </c>
      <c r="R23" s="535">
        <f t="shared" si="12"/>
        <v>55000000</v>
      </c>
      <c r="S23" s="535">
        <f t="shared" si="12"/>
        <v>400000000</v>
      </c>
      <c r="T23" s="535">
        <f t="shared" si="12"/>
        <v>94000000</v>
      </c>
      <c r="U23" s="535">
        <f t="shared" si="12"/>
        <v>94000000</v>
      </c>
      <c r="V23" s="535">
        <f t="shared" si="12"/>
        <v>94000000</v>
      </c>
      <c r="W23" s="535">
        <f t="shared" si="12"/>
        <v>94000000</v>
      </c>
      <c r="X23" s="535">
        <f t="shared" si="12"/>
        <v>94000000</v>
      </c>
      <c r="Y23" s="535">
        <f t="shared" si="12"/>
        <v>94000000</v>
      </c>
      <c r="Z23" s="535">
        <f t="shared" si="12"/>
        <v>94000000</v>
      </c>
      <c r="AA23" s="535">
        <f t="shared" si="12"/>
        <v>94000000</v>
      </c>
      <c r="AB23" s="535">
        <f t="shared" si="12"/>
        <v>94000000</v>
      </c>
      <c r="AC23" s="535">
        <f t="shared" si="12"/>
        <v>94000000</v>
      </c>
      <c r="AD23" s="535">
        <f t="shared" si="12"/>
        <v>94000000</v>
      </c>
      <c r="AE23" s="535">
        <f t="shared" si="12"/>
        <v>416000000</v>
      </c>
      <c r="AF23" s="535">
        <f t="shared" si="12"/>
        <v>110000000.00000006</v>
      </c>
      <c r="AG23" s="535">
        <f t="shared" si="12"/>
        <v>110000000.00000006</v>
      </c>
      <c r="AH23" s="535">
        <f t="shared" si="12"/>
        <v>110000000.00000006</v>
      </c>
      <c r="AI23" s="535">
        <f t="shared" si="12"/>
        <v>110000000.00000006</v>
      </c>
      <c r="AJ23" s="535">
        <f t="shared" si="12"/>
        <v>110000000.00000006</v>
      </c>
      <c r="AK23" s="535">
        <f t="shared" si="12"/>
        <v>110000000.00000006</v>
      </c>
      <c r="AL23" s="535">
        <f t="shared" si="12"/>
        <v>110000000.00000006</v>
      </c>
      <c r="AM23" s="535">
        <f t="shared" si="12"/>
        <v>110000000.00000006</v>
      </c>
      <c r="AN23" s="535">
        <f t="shared" si="12"/>
        <v>110000000.00000006</v>
      </c>
      <c r="AO23" s="535">
        <f t="shared" si="12"/>
        <v>110000000.00000006</v>
      </c>
      <c r="AP23" s="535">
        <f t="shared" si="12"/>
        <v>110000000.00000006</v>
      </c>
      <c r="AQ23" s="535">
        <f t="shared" si="12"/>
        <v>432000000.00000006</v>
      </c>
      <c r="AR23" s="535">
        <f t="shared" si="12"/>
        <v>126000000.00000012</v>
      </c>
      <c r="AS23" s="535">
        <f t="shared" si="12"/>
        <v>126000000.00000012</v>
      </c>
      <c r="AT23" s="535">
        <f t="shared" si="12"/>
        <v>126000000.00000012</v>
      </c>
      <c r="AU23" s="535">
        <f t="shared" si="12"/>
        <v>126000000.00000012</v>
      </c>
      <c r="AV23" s="535">
        <f t="shared" si="12"/>
        <v>126000000.00000012</v>
      </c>
      <c r="AW23" s="535">
        <f t="shared" si="12"/>
        <v>126000000.00000012</v>
      </c>
      <c r="AX23" s="535">
        <f t="shared" si="12"/>
        <v>126000000.00000012</v>
      </c>
      <c r="AY23" s="535">
        <f t="shared" si="12"/>
        <v>126000000.00000012</v>
      </c>
      <c r="AZ23" s="535">
        <f t="shared" si="12"/>
        <v>126000000.00000012</v>
      </c>
      <c r="BA23" s="535">
        <f t="shared" si="12"/>
        <v>126000000.00000012</v>
      </c>
      <c r="BB23" s="535">
        <f t="shared" si="12"/>
        <v>126000000.00000012</v>
      </c>
      <c r="BC23" s="535">
        <f t="shared" si="12"/>
        <v>448000000.00000012</v>
      </c>
      <c r="BD23" s="535">
        <f t="shared" si="12"/>
        <v>142000000.00000018</v>
      </c>
      <c r="BE23" s="535">
        <f t="shared" si="12"/>
        <v>142000000.00000018</v>
      </c>
      <c r="BF23" s="535">
        <f t="shared" si="12"/>
        <v>142000000.00000018</v>
      </c>
      <c r="BG23" s="535">
        <f t="shared" si="12"/>
        <v>142000000.00000018</v>
      </c>
      <c r="BH23" s="535">
        <f t="shared" si="12"/>
        <v>142000000.00000018</v>
      </c>
      <c r="BI23" s="535">
        <f t="shared" si="12"/>
        <v>142000000.00000018</v>
      </c>
      <c r="BJ23" s="535">
        <f t="shared" si="12"/>
        <v>142000000.00000018</v>
      </c>
      <c r="BK23" s="535">
        <f t="shared" si="12"/>
        <v>142000000.00000018</v>
      </c>
      <c r="BL23" s="535">
        <f t="shared" si="12"/>
        <v>142000000.00000018</v>
      </c>
      <c r="BM23" s="535">
        <f t="shared" si="12"/>
        <v>142000000.00000018</v>
      </c>
      <c r="BN23" s="535">
        <f t="shared" si="12"/>
        <v>142000000.00000018</v>
      </c>
      <c r="BO23" s="535">
        <f t="shared" ref="BO23:BQ23" si="13">BO11</f>
        <v>476000000.00000018</v>
      </c>
      <c r="BP23" s="535">
        <f t="shared" si="13"/>
        <v>170000000.00000024</v>
      </c>
      <c r="BQ23" s="535">
        <f t="shared" si="13"/>
        <v>170000000.00000024</v>
      </c>
    </row>
    <row r="25" spans="1:69">
      <c r="B25" s="41" t="s">
        <v>728</v>
      </c>
    </row>
    <row r="26" spans="1:69">
      <c r="B26" s="522" t="s">
        <v>729</v>
      </c>
      <c r="C26" s="536">
        <f>C3</f>
        <v>45627</v>
      </c>
      <c r="D26" s="536">
        <f t="shared" ref="D26:BO26" si="14">D3</f>
        <v>45658</v>
      </c>
      <c r="E26" s="536">
        <f t="shared" si="14"/>
        <v>45689</v>
      </c>
      <c r="F26" s="536">
        <f t="shared" si="14"/>
        <v>45717</v>
      </c>
      <c r="G26" s="536">
        <f t="shared" si="14"/>
        <v>45748</v>
      </c>
      <c r="H26" s="536">
        <f t="shared" si="14"/>
        <v>45778</v>
      </c>
      <c r="I26" s="536">
        <f t="shared" si="14"/>
        <v>45809</v>
      </c>
      <c r="J26" s="536">
        <f t="shared" si="14"/>
        <v>45839</v>
      </c>
      <c r="K26" s="536">
        <f t="shared" si="14"/>
        <v>45870</v>
      </c>
      <c r="L26" s="536">
        <f t="shared" si="14"/>
        <v>45901</v>
      </c>
      <c r="M26" s="536">
        <f t="shared" si="14"/>
        <v>45931</v>
      </c>
      <c r="N26" s="536">
        <f t="shared" si="14"/>
        <v>45962</v>
      </c>
      <c r="O26" s="536">
        <f t="shared" si="14"/>
        <v>45992</v>
      </c>
      <c r="P26" s="536">
        <f t="shared" si="14"/>
        <v>46023</v>
      </c>
      <c r="Q26" s="536">
        <f t="shared" si="14"/>
        <v>46054</v>
      </c>
      <c r="R26" s="536">
        <f t="shared" si="14"/>
        <v>46082</v>
      </c>
      <c r="S26" s="536">
        <f t="shared" si="14"/>
        <v>46113</v>
      </c>
      <c r="T26" s="536">
        <f t="shared" si="14"/>
        <v>46143</v>
      </c>
      <c r="U26" s="536">
        <f t="shared" si="14"/>
        <v>46174</v>
      </c>
      <c r="V26" s="536">
        <f t="shared" si="14"/>
        <v>46204</v>
      </c>
      <c r="W26" s="536">
        <f t="shared" si="14"/>
        <v>46235</v>
      </c>
      <c r="X26" s="536">
        <f t="shared" si="14"/>
        <v>46266</v>
      </c>
      <c r="Y26" s="536">
        <f t="shared" si="14"/>
        <v>46296</v>
      </c>
      <c r="Z26" s="536">
        <f t="shared" si="14"/>
        <v>46327</v>
      </c>
      <c r="AA26" s="536">
        <f t="shared" si="14"/>
        <v>46357</v>
      </c>
      <c r="AB26" s="536">
        <f t="shared" si="14"/>
        <v>46388</v>
      </c>
      <c r="AC26" s="536">
        <f t="shared" si="14"/>
        <v>46419</v>
      </c>
      <c r="AD26" s="536">
        <f t="shared" si="14"/>
        <v>46447</v>
      </c>
      <c r="AE26" s="536">
        <f t="shared" si="14"/>
        <v>46478</v>
      </c>
      <c r="AF26" s="536">
        <f t="shared" si="14"/>
        <v>46508</v>
      </c>
      <c r="AG26" s="536">
        <f t="shared" si="14"/>
        <v>46539</v>
      </c>
      <c r="AH26" s="536">
        <f t="shared" si="14"/>
        <v>46569</v>
      </c>
      <c r="AI26" s="536">
        <f t="shared" si="14"/>
        <v>46600</v>
      </c>
      <c r="AJ26" s="536">
        <f t="shared" si="14"/>
        <v>46631</v>
      </c>
      <c r="AK26" s="536">
        <f t="shared" si="14"/>
        <v>46661</v>
      </c>
      <c r="AL26" s="536">
        <f t="shared" si="14"/>
        <v>46692</v>
      </c>
      <c r="AM26" s="536">
        <f t="shared" si="14"/>
        <v>46722</v>
      </c>
      <c r="AN26" s="536">
        <f t="shared" si="14"/>
        <v>46753</v>
      </c>
      <c r="AO26" s="536">
        <f t="shared" si="14"/>
        <v>46784</v>
      </c>
      <c r="AP26" s="536">
        <f t="shared" si="14"/>
        <v>46813</v>
      </c>
      <c r="AQ26" s="536">
        <f t="shared" si="14"/>
        <v>46844</v>
      </c>
      <c r="AR26" s="536">
        <f t="shared" si="14"/>
        <v>46874</v>
      </c>
      <c r="AS26" s="536">
        <f t="shared" si="14"/>
        <v>46905</v>
      </c>
      <c r="AT26" s="536">
        <f t="shared" si="14"/>
        <v>46935</v>
      </c>
      <c r="AU26" s="536">
        <f t="shared" si="14"/>
        <v>46966</v>
      </c>
      <c r="AV26" s="536">
        <f t="shared" si="14"/>
        <v>46997</v>
      </c>
      <c r="AW26" s="536">
        <f t="shared" si="14"/>
        <v>47027</v>
      </c>
      <c r="AX26" s="536">
        <f t="shared" si="14"/>
        <v>47058</v>
      </c>
      <c r="AY26" s="536">
        <f t="shared" si="14"/>
        <v>47088</v>
      </c>
      <c r="AZ26" s="536">
        <f t="shared" si="14"/>
        <v>47119</v>
      </c>
      <c r="BA26" s="536">
        <f t="shared" si="14"/>
        <v>47150</v>
      </c>
      <c r="BB26" s="536">
        <f t="shared" si="14"/>
        <v>47178</v>
      </c>
      <c r="BC26" s="536">
        <f t="shared" si="14"/>
        <v>47209</v>
      </c>
      <c r="BD26" s="536">
        <f t="shared" si="14"/>
        <v>47239</v>
      </c>
      <c r="BE26" s="536">
        <f t="shared" si="14"/>
        <v>47270</v>
      </c>
      <c r="BF26" s="536">
        <f t="shared" si="14"/>
        <v>47300</v>
      </c>
      <c r="BG26" s="536">
        <f t="shared" si="14"/>
        <v>47331</v>
      </c>
      <c r="BH26" s="536">
        <f t="shared" si="14"/>
        <v>47362</v>
      </c>
      <c r="BI26" s="536">
        <f t="shared" si="14"/>
        <v>47392</v>
      </c>
      <c r="BJ26" s="536">
        <f t="shared" si="14"/>
        <v>47423</v>
      </c>
      <c r="BK26" s="536">
        <f t="shared" si="14"/>
        <v>47453</v>
      </c>
      <c r="BL26" s="536">
        <f t="shared" si="14"/>
        <v>47484</v>
      </c>
      <c r="BM26" s="536">
        <f t="shared" si="14"/>
        <v>47515</v>
      </c>
      <c r="BN26" s="536">
        <f t="shared" si="14"/>
        <v>47543</v>
      </c>
      <c r="BO26" s="536">
        <f t="shared" si="14"/>
        <v>47574</v>
      </c>
      <c r="BP26" s="536">
        <f t="shared" ref="BP26:BQ26" si="15">BP3</f>
        <v>47604</v>
      </c>
      <c r="BQ26" s="536">
        <f t="shared" si="15"/>
        <v>47635</v>
      </c>
    </row>
    <row r="27" spans="1:69">
      <c r="A27" s="545"/>
      <c r="B27" s="541" t="str">
        <f>B7</f>
        <v>Valor real pago ao Estado (na data-base do MEF)</v>
      </c>
      <c r="C27" s="535">
        <f t="shared" ref="C27:BN27" si="16">C7</f>
        <v>9813234.5206038672</v>
      </c>
      <c r="D27" s="535">
        <f t="shared" si="16"/>
        <v>0</v>
      </c>
      <c r="E27" s="535">
        <f t="shared" si="16"/>
        <v>0</v>
      </c>
      <c r="F27" s="535">
        <f t="shared" si="16"/>
        <v>0</v>
      </c>
      <c r="G27" s="535">
        <f t="shared" si="16"/>
        <v>0</v>
      </c>
      <c r="H27" s="535">
        <f t="shared" si="16"/>
        <v>0</v>
      </c>
      <c r="I27" s="535">
        <f t="shared" si="16"/>
        <v>330363093.01310879</v>
      </c>
      <c r="J27" s="535">
        <f t="shared" si="16"/>
        <v>0</v>
      </c>
      <c r="K27" s="535">
        <f t="shared" si="16"/>
        <v>0</v>
      </c>
      <c r="L27" s="535">
        <f t="shared" si="16"/>
        <v>0</v>
      </c>
      <c r="M27" s="535">
        <f t="shared" si="16"/>
        <v>0</v>
      </c>
      <c r="N27" s="535">
        <f t="shared" si="16"/>
        <v>0</v>
      </c>
      <c r="O27" s="535">
        <f t="shared" si="16"/>
        <v>0</v>
      </c>
      <c r="P27" s="535">
        <f t="shared" si="16"/>
        <v>0</v>
      </c>
      <c r="Q27" s="535">
        <f t="shared" si="16"/>
        <v>0</v>
      </c>
      <c r="R27" s="535">
        <f t="shared" si="16"/>
        <v>0</v>
      </c>
      <c r="S27" s="535">
        <f t="shared" si="16"/>
        <v>340317234.84848487</v>
      </c>
      <c r="T27" s="535">
        <f t="shared" si="16"/>
        <v>0</v>
      </c>
      <c r="U27" s="535">
        <f t="shared" si="16"/>
        <v>0</v>
      </c>
      <c r="V27" s="535">
        <f t="shared" si="16"/>
        <v>0</v>
      </c>
      <c r="W27" s="535">
        <f t="shared" si="16"/>
        <v>0</v>
      </c>
      <c r="X27" s="535">
        <f t="shared" si="16"/>
        <v>0</v>
      </c>
      <c r="Y27" s="535">
        <f t="shared" si="16"/>
        <v>0</v>
      </c>
      <c r="Z27" s="535">
        <f t="shared" si="16"/>
        <v>0</v>
      </c>
      <c r="AA27" s="535">
        <f t="shared" si="16"/>
        <v>0</v>
      </c>
      <c r="AB27" s="535">
        <f t="shared" si="16"/>
        <v>0</v>
      </c>
      <c r="AC27" s="535">
        <f t="shared" si="16"/>
        <v>0</v>
      </c>
      <c r="AD27" s="535">
        <f t="shared" si="16"/>
        <v>0</v>
      </c>
      <c r="AE27" s="535">
        <f t="shared" si="16"/>
        <v>317629419.19191921</v>
      </c>
      <c r="AF27" s="535">
        <f t="shared" si="16"/>
        <v>0</v>
      </c>
      <c r="AG27" s="535">
        <f t="shared" si="16"/>
        <v>0</v>
      </c>
      <c r="AH27" s="535">
        <f t="shared" si="16"/>
        <v>0</v>
      </c>
      <c r="AI27" s="535">
        <f t="shared" si="16"/>
        <v>0</v>
      </c>
      <c r="AJ27" s="535">
        <f t="shared" si="16"/>
        <v>0</v>
      </c>
      <c r="AK27" s="535">
        <f t="shared" si="16"/>
        <v>0</v>
      </c>
      <c r="AL27" s="535">
        <f t="shared" si="16"/>
        <v>0</v>
      </c>
      <c r="AM27" s="535">
        <f t="shared" si="16"/>
        <v>0</v>
      </c>
      <c r="AN27" s="535">
        <f t="shared" si="16"/>
        <v>0</v>
      </c>
      <c r="AO27" s="535">
        <f t="shared" si="16"/>
        <v>0</v>
      </c>
      <c r="AP27" s="535">
        <f t="shared" si="16"/>
        <v>0</v>
      </c>
      <c r="AQ27" s="535">
        <f t="shared" si="16"/>
        <v>317629419.19191921</v>
      </c>
      <c r="AR27" s="535">
        <f t="shared" si="16"/>
        <v>0</v>
      </c>
      <c r="AS27" s="535">
        <f t="shared" si="16"/>
        <v>0</v>
      </c>
      <c r="AT27" s="535">
        <f t="shared" si="16"/>
        <v>0</v>
      </c>
      <c r="AU27" s="535">
        <f t="shared" si="16"/>
        <v>0</v>
      </c>
      <c r="AV27" s="535">
        <f t="shared" si="16"/>
        <v>0</v>
      </c>
      <c r="AW27" s="535">
        <f t="shared" si="16"/>
        <v>0</v>
      </c>
      <c r="AX27" s="535">
        <f t="shared" si="16"/>
        <v>0</v>
      </c>
      <c r="AY27" s="535">
        <f t="shared" si="16"/>
        <v>0</v>
      </c>
      <c r="AZ27" s="535">
        <f t="shared" si="16"/>
        <v>0</v>
      </c>
      <c r="BA27" s="535">
        <f t="shared" si="16"/>
        <v>0</v>
      </c>
      <c r="BB27" s="535">
        <f t="shared" si="16"/>
        <v>0</v>
      </c>
      <c r="BC27" s="535">
        <f t="shared" si="16"/>
        <v>317629419.19191921</v>
      </c>
      <c r="BD27" s="535">
        <f t="shared" si="16"/>
        <v>0</v>
      </c>
      <c r="BE27" s="535">
        <f t="shared" si="16"/>
        <v>0</v>
      </c>
      <c r="BF27" s="535">
        <f t="shared" si="16"/>
        <v>0</v>
      </c>
      <c r="BG27" s="535">
        <f t="shared" si="16"/>
        <v>0</v>
      </c>
      <c r="BH27" s="535">
        <f t="shared" si="16"/>
        <v>0</v>
      </c>
      <c r="BI27" s="535">
        <f t="shared" si="16"/>
        <v>0</v>
      </c>
      <c r="BJ27" s="535">
        <f t="shared" si="16"/>
        <v>0</v>
      </c>
      <c r="BK27" s="535">
        <f t="shared" si="16"/>
        <v>0</v>
      </c>
      <c r="BL27" s="535">
        <f t="shared" si="16"/>
        <v>0</v>
      </c>
      <c r="BM27" s="535">
        <f t="shared" si="16"/>
        <v>0</v>
      </c>
      <c r="BN27" s="535">
        <f t="shared" si="16"/>
        <v>0</v>
      </c>
      <c r="BO27" s="535">
        <f t="shared" ref="BO27:BQ27" si="17">BO7</f>
        <v>329466540.4040404</v>
      </c>
      <c r="BP27" s="535">
        <f t="shared" si="17"/>
        <v>0</v>
      </c>
      <c r="BQ27" s="535">
        <f t="shared" si="17"/>
        <v>0</v>
      </c>
    </row>
    <row r="28" spans="1:69">
      <c r="A28" s="545"/>
      <c r="B28" s="541" t="str">
        <f>B9</f>
        <v>Valor real pago do Estado à conta de contaprestação (na data-base do MEF)</v>
      </c>
      <c r="C28" s="535">
        <f>C9</f>
        <v>0</v>
      </c>
      <c r="D28" s="535">
        <f t="shared" ref="D28:BO28" si="18">D9</f>
        <v>0</v>
      </c>
      <c r="E28" s="535">
        <f t="shared" si="18"/>
        <v>0</v>
      </c>
      <c r="F28" s="535">
        <f t="shared" si="18"/>
        <v>0</v>
      </c>
      <c r="G28" s="535">
        <f t="shared" si="18"/>
        <v>0</v>
      </c>
      <c r="H28" s="535">
        <f t="shared" si="18"/>
        <v>0</v>
      </c>
      <c r="I28" s="535">
        <f t="shared" si="18"/>
        <v>0</v>
      </c>
      <c r="J28" s="535">
        <f t="shared" si="18"/>
        <v>0</v>
      </c>
      <c r="K28" s="535">
        <f t="shared" si="18"/>
        <v>0</v>
      </c>
      <c r="L28" s="535">
        <f t="shared" si="18"/>
        <v>0</v>
      </c>
      <c r="M28" s="535">
        <f t="shared" si="18"/>
        <v>0</v>
      </c>
      <c r="N28" s="535">
        <f t="shared" si="18"/>
        <v>-300000000</v>
      </c>
      <c r="O28" s="535">
        <f t="shared" si="18"/>
        <v>0</v>
      </c>
      <c r="P28" s="535">
        <f t="shared" si="18"/>
        <v>0</v>
      </c>
      <c r="Q28" s="535">
        <f t="shared" si="18"/>
        <v>0</v>
      </c>
      <c r="R28" s="535">
        <f t="shared" si="18"/>
        <v>0</v>
      </c>
      <c r="S28" s="535">
        <f t="shared" si="18"/>
        <v>0</v>
      </c>
      <c r="T28" s="535">
        <f t="shared" si="18"/>
        <v>-306000000</v>
      </c>
      <c r="U28" s="535">
        <f t="shared" si="18"/>
        <v>0</v>
      </c>
      <c r="V28" s="535">
        <f t="shared" si="18"/>
        <v>0</v>
      </c>
      <c r="W28" s="535">
        <f t="shared" si="18"/>
        <v>0</v>
      </c>
      <c r="X28" s="535">
        <f t="shared" si="18"/>
        <v>0</v>
      </c>
      <c r="Y28" s="535">
        <f t="shared" si="18"/>
        <v>0</v>
      </c>
      <c r="Z28" s="535">
        <f t="shared" si="18"/>
        <v>0</v>
      </c>
      <c r="AA28" s="535">
        <f t="shared" si="18"/>
        <v>0</v>
      </c>
      <c r="AB28" s="535">
        <f t="shared" si="18"/>
        <v>0</v>
      </c>
      <c r="AC28" s="535">
        <f t="shared" si="18"/>
        <v>0</v>
      </c>
      <c r="AD28" s="535">
        <f t="shared" si="18"/>
        <v>0</v>
      </c>
      <c r="AE28" s="535">
        <f t="shared" si="18"/>
        <v>0</v>
      </c>
      <c r="AF28" s="535">
        <f t="shared" si="18"/>
        <v>-305999999.99999994</v>
      </c>
      <c r="AG28" s="535">
        <f t="shared" si="18"/>
        <v>0</v>
      </c>
      <c r="AH28" s="535">
        <f t="shared" si="18"/>
        <v>0</v>
      </c>
      <c r="AI28" s="535">
        <f t="shared" si="18"/>
        <v>0</v>
      </c>
      <c r="AJ28" s="535">
        <f t="shared" si="18"/>
        <v>0</v>
      </c>
      <c r="AK28" s="535">
        <f t="shared" si="18"/>
        <v>0</v>
      </c>
      <c r="AL28" s="535">
        <f t="shared" si="18"/>
        <v>0</v>
      </c>
      <c r="AM28" s="535">
        <f t="shared" si="18"/>
        <v>0</v>
      </c>
      <c r="AN28" s="535">
        <f t="shared" si="18"/>
        <v>0</v>
      </c>
      <c r="AO28" s="535">
        <f t="shared" si="18"/>
        <v>0</v>
      </c>
      <c r="AP28" s="535">
        <f t="shared" si="18"/>
        <v>0</v>
      </c>
      <c r="AQ28" s="535">
        <f t="shared" si="18"/>
        <v>0</v>
      </c>
      <c r="AR28" s="535">
        <f t="shared" si="18"/>
        <v>-305999999.99999994</v>
      </c>
      <c r="AS28" s="535">
        <f t="shared" si="18"/>
        <v>0</v>
      </c>
      <c r="AT28" s="535">
        <f t="shared" si="18"/>
        <v>0</v>
      </c>
      <c r="AU28" s="535">
        <f t="shared" si="18"/>
        <v>0</v>
      </c>
      <c r="AV28" s="535">
        <f t="shared" si="18"/>
        <v>0</v>
      </c>
      <c r="AW28" s="535">
        <f t="shared" si="18"/>
        <v>0</v>
      </c>
      <c r="AX28" s="535">
        <f t="shared" si="18"/>
        <v>0</v>
      </c>
      <c r="AY28" s="535">
        <f t="shared" si="18"/>
        <v>0</v>
      </c>
      <c r="AZ28" s="535">
        <f t="shared" si="18"/>
        <v>0</v>
      </c>
      <c r="BA28" s="535">
        <f t="shared" si="18"/>
        <v>0</v>
      </c>
      <c r="BB28" s="535">
        <f t="shared" si="18"/>
        <v>0</v>
      </c>
      <c r="BC28" s="535">
        <f t="shared" si="18"/>
        <v>0</v>
      </c>
      <c r="BD28" s="535">
        <f t="shared" si="18"/>
        <v>-305999999.99999994</v>
      </c>
      <c r="BE28" s="535">
        <f t="shared" si="18"/>
        <v>0</v>
      </c>
      <c r="BF28" s="535">
        <f t="shared" si="18"/>
        <v>0</v>
      </c>
      <c r="BG28" s="535">
        <f t="shared" si="18"/>
        <v>0</v>
      </c>
      <c r="BH28" s="535">
        <f t="shared" si="18"/>
        <v>0</v>
      </c>
      <c r="BI28" s="535">
        <f t="shared" si="18"/>
        <v>0</v>
      </c>
      <c r="BJ28" s="535">
        <f t="shared" si="18"/>
        <v>0</v>
      </c>
      <c r="BK28" s="535">
        <f t="shared" si="18"/>
        <v>0</v>
      </c>
      <c r="BL28" s="535">
        <f t="shared" si="18"/>
        <v>0</v>
      </c>
      <c r="BM28" s="535">
        <f t="shared" si="18"/>
        <v>0</v>
      </c>
      <c r="BN28" s="535">
        <f t="shared" si="18"/>
        <v>0</v>
      </c>
      <c r="BO28" s="535">
        <f t="shared" si="18"/>
        <v>0</v>
      </c>
      <c r="BP28" s="535">
        <f t="shared" ref="BP28:BQ28" si="19">BP9</f>
        <v>-305999999.99999994</v>
      </c>
      <c r="BQ28" s="535">
        <f t="shared" si="19"/>
        <v>0</v>
      </c>
    </row>
    <row r="29" spans="1:69">
      <c r="B29" s="541" t="str">
        <f>B12</f>
        <v>Saldo real do Estado (data-base do MEF)</v>
      </c>
      <c r="C29" s="535">
        <f>C12</f>
        <v>9813234.5206038672</v>
      </c>
      <c r="D29" s="535">
        <f t="shared" ref="D29:BO29" si="20">D12</f>
        <v>9813234.5206038672</v>
      </c>
      <c r="E29" s="535">
        <f t="shared" si="20"/>
        <v>9813234.5206038672</v>
      </c>
      <c r="F29" s="535">
        <f t="shared" si="20"/>
        <v>9813234.5206038672</v>
      </c>
      <c r="G29" s="535">
        <f t="shared" si="20"/>
        <v>9813234.5206038672</v>
      </c>
      <c r="H29" s="535">
        <f t="shared" si="20"/>
        <v>9813234.5206038672</v>
      </c>
      <c r="I29" s="535">
        <f t="shared" si="20"/>
        <v>340176327.53371269</v>
      </c>
      <c r="J29" s="535">
        <f t="shared" si="20"/>
        <v>340176327.53371269</v>
      </c>
      <c r="K29" s="535">
        <f t="shared" si="20"/>
        <v>340176327.53371269</v>
      </c>
      <c r="L29" s="535">
        <f t="shared" si="20"/>
        <v>340176327.53371269</v>
      </c>
      <c r="M29" s="535">
        <f t="shared" si="20"/>
        <v>340176327.53371269</v>
      </c>
      <c r="N29" s="535">
        <f t="shared" si="20"/>
        <v>40176327.533712685</v>
      </c>
      <c r="O29" s="535">
        <f t="shared" si="20"/>
        <v>40176327.533712685</v>
      </c>
      <c r="P29" s="535">
        <f t="shared" si="20"/>
        <v>40176327.533712685</v>
      </c>
      <c r="Q29" s="535">
        <f t="shared" si="20"/>
        <v>40176327.533712685</v>
      </c>
      <c r="R29" s="535">
        <f t="shared" si="20"/>
        <v>40176327.533712685</v>
      </c>
      <c r="S29" s="535">
        <f t="shared" si="20"/>
        <v>380493562.38219756</v>
      </c>
      <c r="T29" s="535">
        <f t="shared" si="20"/>
        <v>74493562.382197559</v>
      </c>
      <c r="U29" s="535">
        <f t="shared" si="20"/>
        <v>74493562.382197559</v>
      </c>
      <c r="V29" s="535">
        <f t="shared" si="20"/>
        <v>74493562.382197559</v>
      </c>
      <c r="W29" s="535">
        <f t="shared" si="20"/>
        <v>74493562.382197559</v>
      </c>
      <c r="X29" s="535">
        <f t="shared" si="20"/>
        <v>74493562.382197559</v>
      </c>
      <c r="Y29" s="535">
        <f t="shared" si="20"/>
        <v>74493562.382197559</v>
      </c>
      <c r="Z29" s="535">
        <f t="shared" si="20"/>
        <v>74493562.382197559</v>
      </c>
      <c r="AA29" s="535">
        <f t="shared" si="20"/>
        <v>74493562.382197559</v>
      </c>
      <c r="AB29" s="535">
        <f t="shared" si="20"/>
        <v>74493562.382197559</v>
      </c>
      <c r="AC29" s="535">
        <f t="shared" si="20"/>
        <v>74493562.382197559</v>
      </c>
      <c r="AD29" s="535">
        <f t="shared" si="20"/>
        <v>74493562.382197559</v>
      </c>
      <c r="AE29" s="535">
        <f t="shared" si="20"/>
        <v>392122981.57411677</v>
      </c>
      <c r="AF29" s="535">
        <f t="shared" si="20"/>
        <v>86122981.574116826</v>
      </c>
      <c r="AG29" s="535">
        <f t="shared" si="20"/>
        <v>86122981.574116826</v>
      </c>
      <c r="AH29" s="535">
        <f t="shared" si="20"/>
        <v>86122981.574116826</v>
      </c>
      <c r="AI29" s="535">
        <f t="shared" si="20"/>
        <v>86122981.574116826</v>
      </c>
      <c r="AJ29" s="535">
        <f t="shared" si="20"/>
        <v>86122981.574116826</v>
      </c>
      <c r="AK29" s="535">
        <f t="shared" si="20"/>
        <v>86122981.574116826</v>
      </c>
      <c r="AL29" s="535">
        <f t="shared" si="20"/>
        <v>86122981.574116826</v>
      </c>
      <c r="AM29" s="535">
        <f t="shared" si="20"/>
        <v>86122981.574116826</v>
      </c>
      <c r="AN29" s="535">
        <f t="shared" si="20"/>
        <v>86122981.574116826</v>
      </c>
      <c r="AO29" s="535">
        <f t="shared" si="20"/>
        <v>86122981.574116826</v>
      </c>
      <c r="AP29" s="535">
        <f t="shared" si="20"/>
        <v>86122981.574116826</v>
      </c>
      <c r="AQ29" s="535">
        <f t="shared" si="20"/>
        <v>403752400.76603603</v>
      </c>
      <c r="AR29" s="535">
        <f t="shared" si="20"/>
        <v>97752400.766036093</v>
      </c>
      <c r="AS29" s="535">
        <f t="shared" si="20"/>
        <v>97752400.766036093</v>
      </c>
      <c r="AT29" s="535">
        <f t="shared" si="20"/>
        <v>97752400.766036093</v>
      </c>
      <c r="AU29" s="535">
        <f t="shared" si="20"/>
        <v>97752400.766036093</v>
      </c>
      <c r="AV29" s="535">
        <f t="shared" si="20"/>
        <v>97752400.766036093</v>
      </c>
      <c r="AW29" s="535">
        <f t="shared" si="20"/>
        <v>97752400.766036093</v>
      </c>
      <c r="AX29" s="535">
        <f t="shared" si="20"/>
        <v>97752400.766036093</v>
      </c>
      <c r="AY29" s="535">
        <f t="shared" si="20"/>
        <v>97752400.766036093</v>
      </c>
      <c r="AZ29" s="535">
        <f t="shared" si="20"/>
        <v>97752400.766036093</v>
      </c>
      <c r="BA29" s="535">
        <f t="shared" si="20"/>
        <v>97752400.766036093</v>
      </c>
      <c r="BB29" s="535">
        <f t="shared" si="20"/>
        <v>97752400.766036093</v>
      </c>
      <c r="BC29" s="535">
        <f t="shared" si="20"/>
        <v>415381819.9579553</v>
      </c>
      <c r="BD29" s="535">
        <f t="shared" si="20"/>
        <v>109381819.95795536</v>
      </c>
      <c r="BE29" s="535">
        <f t="shared" si="20"/>
        <v>109381819.95795536</v>
      </c>
      <c r="BF29" s="535">
        <f t="shared" si="20"/>
        <v>109381819.95795536</v>
      </c>
      <c r="BG29" s="535">
        <f t="shared" si="20"/>
        <v>109381819.95795536</v>
      </c>
      <c r="BH29" s="535">
        <f t="shared" si="20"/>
        <v>109381819.95795536</v>
      </c>
      <c r="BI29" s="535">
        <f t="shared" si="20"/>
        <v>109381819.95795536</v>
      </c>
      <c r="BJ29" s="535">
        <f t="shared" si="20"/>
        <v>109381819.95795536</v>
      </c>
      <c r="BK29" s="535">
        <f t="shared" si="20"/>
        <v>109381819.95795536</v>
      </c>
      <c r="BL29" s="535">
        <f t="shared" si="20"/>
        <v>109381819.95795536</v>
      </c>
      <c r="BM29" s="535">
        <f t="shared" si="20"/>
        <v>109381819.95795536</v>
      </c>
      <c r="BN29" s="535">
        <f t="shared" si="20"/>
        <v>109381819.95795536</v>
      </c>
      <c r="BO29" s="535">
        <f t="shared" si="20"/>
        <v>438848360.36199576</v>
      </c>
      <c r="BP29" s="535">
        <f t="shared" ref="BP29:BQ29" si="21">BP12</f>
        <v>132848360.36199582</v>
      </c>
      <c r="BQ29" s="535">
        <f t="shared" si="21"/>
        <v>132848360.36199582</v>
      </c>
    </row>
    <row r="66" spans="1:69" s="523" customFormat="1">
      <c r="B66" s="537" t="s">
        <v>730</v>
      </c>
    </row>
    <row r="67" spans="1:69">
      <c r="B67" s="522" t="s">
        <v>731</v>
      </c>
      <c r="C67" s="535">
        <f>SUM(C73:BQ73)</f>
        <v>-1830000000</v>
      </c>
    </row>
    <row r="68" spans="1:69">
      <c r="B68" s="522" t="s">
        <v>732</v>
      </c>
      <c r="C68" s="535">
        <f>SUM(_xlfn.ANCHORARRAY(C79))</f>
        <v>-1855180800</v>
      </c>
    </row>
    <row r="70" spans="1:69">
      <c r="B70" s="2" t="s">
        <v>726</v>
      </c>
    </row>
    <row r="71" spans="1:69">
      <c r="B71" s="522" t="s">
        <v>727</v>
      </c>
      <c r="C71" s="536">
        <f t="shared" ref="C71:AH71" si="22">C3</f>
        <v>45627</v>
      </c>
      <c r="D71" s="536">
        <f t="shared" si="22"/>
        <v>45658</v>
      </c>
      <c r="E71" s="536">
        <f t="shared" si="22"/>
        <v>45689</v>
      </c>
      <c r="F71" s="536">
        <f t="shared" si="22"/>
        <v>45717</v>
      </c>
      <c r="G71" s="536">
        <f t="shared" si="22"/>
        <v>45748</v>
      </c>
      <c r="H71" s="536">
        <f t="shared" si="22"/>
        <v>45778</v>
      </c>
      <c r="I71" s="536">
        <f t="shared" si="22"/>
        <v>45809</v>
      </c>
      <c r="J71" s="536">
        <f t="shared" si="22"/>
        <v>45839</v>
      </c>
      <c r="K71" s="536">
        <f t="shared" si="22"/>
        <v>45870</v>
      </c>
      <c r="L71" s="536">
        <f t="shared" si="22"/>
        <v>45901</v>
      </c>
      <c r="M71" s="536">
        <f t="shared" si="22"/>
        <v>45931</v>
      </c>
      <c r="N71" s="536">
        <f t="shared" si="22"/>
        <v>45962</v>
      </c>
      <c r="O71" s="536">
        <f t="shared" si="22"/>
        <v>45992</v>
      </c>
      <c r="P71" s="536">
        <f t="shared" si="22"/>
        <v>46023</v>
      </c>
      <c r="Q71" s="536">
        <f t="shared" si="22"/>
        <v>46054</v>
      </c>
      <c r="R71" s="536">
        <f t="shared" si="22"/>
        <v>46082</v>
      </c>
      <c r="S71" s="536">
        <f t="shared" si="22"/>
        <v>46113</v>
      </c>
      <c r="T71" s="536">
        <f t="shared" si="22"/>
        <v>46143</v>
      </c>
      <c r="U71" s="536">
        <f t="shared" si="22"/>
        <v>46174</v>
      </c>
      <c r="V71" s="536">
        <f t="shared" si="22"/>
        <v>46204</v>
      </c>
      <c r="W71" s="536">
        <f t="shared" si="22"/>
        <v>46235</v>
      </c>
      <c r="X71" s="536">
        <f t="shared" si="22"/>
        <v>46266</v>
      </c>
      <c r="Y71" s="536">
        <f t="shared" si="22"/>
        <v>46296</v>
      </c>
      <c r="Z71" s="536">
        <f t="shared" si="22"/>
        <v>46327</v>
      </c>
      <c r="AA71" s="536">
        <f t="shared" si="22"/>
        <v>46357</v>
      </c>
      <c r="AB71" s="536">
        <f t="shared" si="22"/>
        <v>46388</v>
      </c>
      <c r="AC71" s="536">
        <f t="shared" si="22"/>
        <v>46419</v>
      </c>
      <c r="AD71" s="536">
        <f t="shared" si="22"/>
        <v>46447</v>
      </c>
      <c r="AE71" s="536">
        <f t="shared" si="22"/>
        <v>46478</v>
      </c>
      <c r="AF71" s="536">
        <f t="shared" si="22"/>
        <v>46508</v>
      </c>
      <c r="AG71" s="536">
        <f t="shared" si="22"/>
        <v>46539</v>
      </c>
      <c r="AH71" s="536">
        <f t="shared" si="22"/>
        <v>46569</v>
      </c>
      <c r="AI71" s="536">
        <f t="shared" ref="AI71:BQ71" si="23">AI3</f>
        <v>46600</v>
      </c>
      <c r="AJ71" s="536">
        <f t="shared" si="23"/>
        <v>46631</v>
      </c>
      <c r="AK71" s="536">
        <f t="shared" si="23"/>
        <v>46661</v>
      </c>
      <c r="AL71" s="536">
        <f t="shared" si="23"/>
        <v>46692</v>
      </c>
      <c r="AM71" s="536">
        <f t="shared" si="23"/>
        <v>46722</v>
      </c>
      <c r="AN71" s="536">
        <f t="shared" si="23"/>
        <v>46753</v>
      </c>
      <c r="AO71" s="536">
        <f t="shared" si="23"/>
        <v>46784</v>
      </c>
      <c r="AP71" s="536">
        <f t="shared" si="23"/>
        <v>46813</v>
      </c>
      <c r="AQ71" s="536">
        <f t="shared" si="23"/>
        <v>46844</v>
      </c>
      <c r="AR71" s="536">
        <f t="shared" si="23"/>
        <v>46874</v>
      </c>
      <c r="AS71" s="536">
        <f t="shared" si="23"/>
        <v>46905</v>
      </c>
      <c r="AT71" s="536">
        <f t="shared" si="23"/>
        <v>46935</v>
      </c>
      <c r="AU71" s="536">
        <f t="shared" si="23"/>
        <v>46966</v>
      </c>
      <c r="AV71" s="536">
        <f t="shared" si="23"/>
        <v>46997</v>
      </c>
      <c r="AW71" s="536">
        <f t="shared" si="23"/>
        <v>47027</v>
      </c>
      <c r="AX71" s="536">
        <f t="shared" si="23"/>
        <v>47058</v>
      </c>
      <c r="AY71" s="536">
        <f t="shared" si="23"/>
        <v>47088</v>
      </c>
      <c r="AZ71" s="536">
        <f t="shared" si="23"/>
        <v>47119</v>
      </c>
      <c r="BA71" s="536">
        <f t="shared" si="23"/>
        <v>47150</v>
      </c>
      <c r="BB71" s="536">
        <f t="shared" si="23"/>
        <v>47178</v>
      </c>
      <c r="BC71" s="536">
        <f t="shared" si="23"/>
        <v>47209</v>
      </c>
      <c r="BD71" s="536">
        <f t="shared" si="23"/>
        <v>47239</v>
      </c>
      <c r="BE71" s="536">
        <f t="shared" si="23"/>
        <v>47270</v>
      </c>
      <c r="BF71" s="536">
        <f t="shared" si="23"/>
        <v>47300</v>
      </c>
      <c r="BG71" s="536">
        <f t="shared" si="23"/>
        <v>47331</v>
      </c>
      <c r="BH71" s="536">
        <f t="shared" si="23"/>
        <v>47362</v>
      </c>
      <c r="BI71" s="536">
        <f t="shared" si="23"/>
        <v>47392</v>
      </c>
      <c r="BJ71" s="536">
        <f t="shared" si="23"/>
        <v>47423</v>
      </c>
      <c r="BK71" s="536">
        <f t="shared" si="23"/>
        <v>47453</v>
      </c>
      <c r="BL71" s="536">
        <f t="shared" si="23"/>
        <v>47484</v>
      </c>
      <c r="BM71" s="536">
        <f t="shared" si="23"/>
        <v>47515</v>
      </c>
      <c r="BN71" s="536">
        <f t="shared" si="23"/>
        <v>47543</v>
      </c>
      <c r="BO71" s="536">
        <f t="shared" si="23"/>
        <v>47574</v>
      </c>
      <c r="BP71" s="536">
        <f t="shared" si="23"/>
        <v>47604</v>
      </c>
      <c r="BQ71" s="536">
        <f t="shared" si="23"/>
        <v>47635</v>
      </c>
    </row>
    <row r="72" spans="1:69">
      <c r="A72" s="545"/>
      <c r="B72" s="541" t="str" cm="1">
        <f t="array" ref="B72:B74">B21:B23</f>
        <v>Valor nominal pago ao Estado (sem projeção de inflação)</v>
      </c>
      <c r="C72" s="535" cm="1">
        <f t="array" ref="C72:BQ74">C21:BQ23</f>
        <v>10000000</v>
      </c>
      <c r="D72" s="535">
        <v>0</v>
      </c>
      <c r="E72" s="535">
        <v>0</v>
      </c>
      <c r="F72" s="535">
        <v>0</v>
      </c>
      <c r="G72" s="535">
        <v>0</v>
      </c>
      <c r="H72" s="535">
        <v>0</v>
      </c>
      <c r="I72" s="535">
        <v>345000000</v>
      </c>
      <c r="J72" s="535">
        <v>0</v>
      </c>
      <c r="K72" s="535">
        <v>0</v>
      </c>
      <c r="L72" s="535">
        <v>0</v>
      </c>
      <c r="M72" s="535">
        <v>0</v>
      </c>
      <c r="N72" s="535">
        <v>0</v>
      </c>
      <c r="O72" s="535">
        <v>0</v>
      </c>
      <c r="P72" s="535">
        <v>0</v>
      </c>
      <c r="Q72" s="535">
        <v>0</v>
      </c>
      <c r="R72" s="535">
        <v>0</v>
      </c>
      <c r="S72" s="535">
        <v>345000000</v>
      </c>
      <c r="T72" s="535">
        <v>0</v>
      </c>
      <c r="U72" s="535">
        <v>0</v>
      </c>
      <c r="V72" s="535">
        <v>0</v>
      </c>
      <c r="W72" s="535">
        <v>0</v>
      </c>
      <c r="X72" s="535">
        <v>0</v>
      </c>
      <c r="Y72" s="535">
        <v>0</v>
      </c>
      <c r="Z72" s="535">
        <v>0</v>
      </c>
      <c r="AA72" s="535">
        <v>0</v>
      </c>
      <c r="AB72" s="535">
        <v>0</v>
      </c>
      <c r="AC72" s="535">
        <v>0</v>
      </c>
      <c r="AD72" s="535">
        <v>0</v>
      </c>
      <c r="AE72" s="535">
        <v>322000000</v>
      </c>
      <c r="AF72" s="535">
        <v>0</v>
      </c>
      <c r="AG72" s="535">
        <v>0</v>
      </c>
      <c r="AH72" s="535">
        <v>0</v>
      </c>
      <c r="AI72" s="535">
        <v>0</v>
      </c>
      <c r="AJ72" s="535">
        <v>0</v>
      </c>
      <c r="AK72" s="535">
        <v>0</v>
      </c>
      <c r="AL72" s="535">
        <v>0</v>
      </c>
      <c r="AM72" s="535">
        <v>0</v>
      </c>
      <c r="AN72" s="535">
        <v>0</v>
      </c>
      <c r="AO72" s="535">
        <v>0</v>
      </c>
      <c r="AP72" s="535">
        <v>0</v>
      </c>
      <c r="AQ72" s="535">
        <v>322000000</v>
      </c>
      <c r="AR72" s="535">
        <v>0</v>
      </c>
      <c r="AS72" s="535">
        <v>0</v>
      </c>
      <c r="AT72" s="535">
        <v>0</v>
      </c>
      <c r="AU72" s="535">
        <v>0</v>
      </c>
      <c r="AV72" s="535">
        <v>0</v>
      </c>
      <c r="AW72" s="535">
        <v>0</v>
      </c>
      <c r="AX72" s="535">
        <v>0</v>
      </c>
      <c r="AY72" s="535">
        <v>0</v>
      </c>
      <c r="AZ72" s="535">
        <v>0</v>
      </c>
      <c r="BA72" s="535">
        <v>0</v>
      </c>
      <c r="BB72" s="535">
        <v>0</v>
      </c>
      <c r="BC72" s="535">
        <v>322000000</v>
      </c>
      <c r="BD72" s="535">
        <v>0</v>
      </c>
      <c r="BE72" s="535">
        <v>0</v>
      </c>
      <c r="BF72" s="535">
        <v>0</v>
      </c>
      <c r="BG72" s="535">
        <v>0</v>
      </c>
      <c r="BH72" s="535">
        <v>0</v>
      </c>
      <c r="BI72" s="535">
        <v>0</v>
      </c>
      <c r="BJ72" s="535">
        <v>0</v>
      </c>
      <c r="BK72" s="535">
        <v>0</v>
      </c>
      <c r="BL72" s="535">
        <v>0</v>
      </c>
      <c r="BM72" s="535">
        <v>0</v>
      </c>
      <c r="BN72" s="535">
        <v>0</v>
      </c>
      <c r="BO72" s="535">
        <v>334000000</v>
      </c>
      <c r="BP72" s="535">
        <v>0</v>
      </c>
      <c r="BQ72" s="535">
        <v>0</v>
      </c>
    </row>
    <row r="73" spans="1:69">
      <c r="A73" s="545"/>
      <c r="B73" s="541" t="str">
        <v>Valor nominal pago do Estado à conta de contaprestação (sem projeção de inflação)</v>
      </c>
      <c r="C73" s="535">
        <v>0</v>
      </c>
      <c r="D73" s="535">
        <v>0</v>
      </c>
      <c r="E73" s="535">
        <v>0</v>
      </c>
      <c r="F73" s="535">
        <v>0</v>
      </c>
      <c r="G73" s="535">
        <v>0</v>
      </c>
      <c r="H73" s="535">
        <v>0</v>
      </c>
      <c r="I73" s="535">
        <v>0</v>
      </c>
      <c r="J73" s="535">
        <v>0</v>
      </c>
      <c r="K73" s="535">
        <v>0</v>
      </c>
      <c r="L73" s="535">
        <v>0</v>
      </c>
      <c r="M73" s="535">
        <v>0</v>
      </c>
      <c r="N73" s="535">
        <v>-300000000</v>
      </c>
      <c r="O73" s="535">
        <v>0</v>
      </c>
      <c r="P73" s="535">
        <v>0</v>
      </c>
      <c r="Q73" s="535">
        <v>0</v>
      </c>
      <c r="R73" s="535">
        <v>0</v>
      </c>
      <c r="S73" s="535">
        <v>0</v>
      </c>
      <c r="T73" s="535">
        <v>-306000000</v>
      </c>
      <c r="U73" s="535">
        <v>0</v>
      </c>
      <c r="V73" s="535">
        <v>0</v>
      </c>
      <c r="W73" s="535">
        <v>0</v>
      </c>
      <c r="X73" s="535">
        <v>0</v>
      </c>
      <c r="Y73" s="535">
        <v>0</v>
      </c>
      <c r="Z73" s="535">
        <v>0</v>
      </c>
      <c r="AA73" s="535">
        <v>0</v>
      </c>
      <c r="AB73" s="535">
        <v>0</v>
      </c>
      <c r="AC73" s="535">
        <v>0</v>
      </c>
      <c r="AD73" s="535">
        <v>0</v>
      </c>
      <c r="AE73" s="535">
        <v>0</v>
      </c>
      <c r="AF73" s="535">
        <v>-305999999.99999994</v>
      </c>
      <c r="AG73" s="535">
        <v>0</v>
      </c>
      <c r="AH73" s="535">
        <v>0</v>
      </c>
      <c r="AI73" s="535">
        <v>0</v>
      </c>
      <c r="AJ73" s="535">
        <v>0</v>
      </c>
      <c r="AK73" s="535">
        <v>0</v>
      </c>
      <c r="AL73" s="535">
        <v>0</v>
      </c>
      <c r="AM73" s="535">
        <v>0</v>
      </c>
      <c r="AN73" s="535">
        <v>0</v>
      </c>
      <c r="AO73" s="535">
        <v>0</v>
      </c>
      <c r="AP73" s="535">
        <v>0</v>
      </c>
      <c r="AQ73" s="535">
        <v>0</v>
      </c>
      <c r="AR73" s="535">
        <v>-305999999.99999994</v>
      </c>
      <c r="AS73" s="535">
        <v>0</v>
      </c>
      <c r="AT73" s="535">
        <v>0</v>
      </c>
      <c r="AU73" s="535">
        <v>0</v>
      </c>
      <c r="AV73" s="535">
        <v>0</v>
      </c>
      <c r="AW73" s="535">
        <v>0</v>
      </c>
      <c r="AX73" s="535">
        <v>0</v>
      </c>
      <c r="AY73" s="535">
        <v>0</v>
      </c>
      <c r="AZ73" s="535">
        <v>0</v>
      </c>
      <c r="BA73" s="535">
        <v>0</v>
      </c>
      <c r="BB73" s="535">
        <v>0</v>
      </c>
      <c r="BC73" s="535">
        <v>0</v>
      </c>
      <c r="BD73" s="535">
        <v>-305999999.99999994</v>
      </c>
      <c r="BE73" s="535">
        <v>0</v>
      </c>
      <c r="BF73" s="535">
        <v>0</v>
      </c>
      <c r="BG73" s="535">
        <v>0</v>
      </c>
      <c r="BH73" s="535">
        <v>0</v>
      </c>
      <c r="BI73" s="535">
        <v>0</v>
      </c>
      <c r="BJ73" s="535">
        <v>0</v>
      </c>
      <c r="BK73" s="535">
        <v>0</v>
      </c>
      <c r="BL73" s="535">
        <v>0</v>
      </c>
      <c r="BM73" s="535">
        <v>0</v>
      </c>
      <c r="BN73" s="535">
        <v>0</v>
      </c>
      <c r="BO73" s="535">
        <v>0</v>
      </c>
      <c r="BP73" s="535">
        <v>-305999999.99999994</v>
      </c>
      <c r="BQ73" s="535">
        <v>0</v>
      </c>
    </row>
    <row r="74" spans="1:69">
      <c r="A74" s="545"/>
      <c r="B74" s="541" t="str">
        <v>Saldo nominal do Estado (sem projeção de inflação)</v>
      </c>
      <c r="C74" s="535">
        <v>10000000</v>
      </c>
      <c r="D74" s="535">
        <v>10000000</v>
      </c>
      <c r="E74" s="535">
        <v>10000000</v>
      </c>
      <c r="F74" s="535">
        <v>10000000</v>
      </c>
      <c r="G74" s="535">
        <v>10000000</v>
      </c>
      <c r="H74" s="535">
        <v>10000000</v>
      </c>
      <c r="I74" s="535">
        <v>355000000</v>
      </c>
      <c r="J74" s="535">
        <v>355000000</v>
      </c>
      <c r="K74" s="535">
        <v>355000000</v>
      </c>
      <c r="L74" s="535">
        <v>355000000</v>
      </c>
      <c r="M74" s="535">
        <v>355000000</v>
      </c>
      <c r="N74" s="535">
        <v>55000000</v>
      </c>
      <c r="O74" s="535">
        <v>55000000</v>
      </c>
      <c r="P74" s="535">
        <v>55000000</v>
      </c>
      <c r="Q74" s="535">
        <v>55000000</v>
      </c>
      <c r="R74" s="535">
        <v>55000000</v>
      </c>
      <c r="S74" s="535">
        <v>400000000</v>
      </c>
      <c r="T74" s="535">
        <v>94000000</v>
      </c>
      <c r="U74" s="535">
        <v>94000000</v>
      </c>
      <c r="V74" s="535">
        <v>94000000</v>
      </c>
      <c r="W74" s="535">
        <v>94000000</v>
      </c>
      <c r="X74" s="535">
        <v>94000000</v>
      </c>
      <c r="Y74" s="535">
        <v>94000000</v>
      </c>
      <c r="Z74" s="535">
        <v>94000000</v>
      </c>
      <c r="AA74" s="535">
        <v>94000000</v>
      </c>
      <c r="AB74" s="535">
        <v>94000000</v>
      </c>
      <c r="AC74" s="535">
        <v>94000000</v>
      </c>
      <c r="AD74" s="535">
        <v>94000000</v>
      </c>
      <c r="AE74" s="535">
        <v>416000000</v>
      </c>
      <c r="AF74" s="535">
        <v>110000000.00000006</v>
      </c>
      <c r="AG74" s="535">
        <v>110000000.00000006</v>
      </c>
      <c r="AH74" s="535">
        <v>110000000.00000006</v>
      </c>
      <c r="AI74" s="535">
        <v>110000000.00000006</v>
      </c>
      <c r="AJ74" s="535">
        <v>110000000.00000006</v>
      </c>
      <c r="AK74" s="535">
        <v>110000000.00000006</v>
      </c>
      <c r="AL74" s="535">
        <v>110000000.00000006</v>
      </c>
      <c r="AM74" s="535">
        <v>110000000.00000006</v>
      </c>
      <c r="AN74" s="535">
        <v>110000000.00000006</v>
      </c>
      <c r="AO74" s="535">
        <v>110000000.00000006</v>
      </c>
      <c r="AP74" s="535">
        <v>110000000.00000006</v>
      </c>
      <c r="AQ74" s="535">
        <v>432000000.00000006</v>
      </c>
      <c r="AR74" s="535">
        <v>126000000.00000012</v>
      </c>
      <c r="AS74" s="535">
        <v>126000000.00000012</v>
      </c>
      <c r="AT74" s="535">
        <v>126000000.00000012</v>
      </c>
      <c r="AU74" s="535">
        <v>126000000.00000012</v>
      </c>
      <c r="AV74" s="535">
        <v>126000000.00000012</v>
      </c>
      <c r="AW74" s="535">
        <v>126000000.00000012</v>
      </c>
      <c r="AX74" s="535">
        <v>126000000.00000012</v>
      </c>
      <c r="AY74" s="535">
        <v>126000000.00000012</v>
      </c>
      <c r="AZ74" s="535">
        <v>126000000.00000012</v>
      </c>
      <c r="BA74" s="535">
        <v>126000000.00000012</v>
      </c>
      <c r="BB74" s="535">
        <v>126000000.00000012</v>
      </c>
      <c r="BC74" s="535">
        <v>448000000.00000012</v>
      </c>
      <c r="BD74" s="535">
        <v>142000000.00000018</v>
      </c>
      <c r="BE74" s="535">
        <v>142000000.00000018</v>
      </c>
      <c r="BF74" s="535">
        <v>142000000.00000018</v>
      </c>
      <c r="BG74" s="535">
        <v>142000000.00000018</v>
      </c>
      <c r="BH74" s="535">
        <v>142000000.00000018</v>
      </c>
      <c r="BI74" s="535">
        <v>142000000.00000018</v>
      </c>
      <c r="BJ74" s="535">
        <v>142000000.00000018</v>
      </c>
      <c r="BK74" s="535">
        <v>142000000.00000018</v>
      </c>
      <c r="BL74" s="535">
        <v>142000000.00000018</v>
      </c>
      <c r="BM74" s="535">
        <v>142000000.00000018</v>
      </c>
      <c r="BN74" s="535">
        <v>142000000.00000018</v>
      </c>
      <c r="BO74" s="535">
        <v>476000000.00000018</v>
      </c>
      <c r="BP74" s="535">
        <v>170000000.00000024</v>
      </c>
      <c r="BQ74" s="535">
        <v>170000000.00000024</v>
      </c>
    </row>
    <row r="75" spans="1:69">
      <c r="A75" s="545"/>
    </row>
    <row r="76" spans="1:69">
      <c r="A76" s="545"/>
      <c r="B76" s="2" t="s">
        <v>733</v>
      </c>
    </row>
    <row r="77" spans="1:69">
      <c r="A77" s="545"/>
      <c r="B77" s="522" t="s">
        <v>729</v>
      </c>
      <c r="C77" s="536" cm="1">
        <f t="array" ref="C77:BQ77">C20:BQ20</f>
        <v>45627</v>
      </c>
      <c r="D77" s="536">
        <v>45658</v>
      </c>
      <c r="E77" s="536">
        <v>45689</v>
      </c>
      <c r="F77" s="536">
        <v>45717</v>
      </c>
      <c r="G77" s="536">
        <v>45748</v>
      </c>
      <c r="H77" s="536">
        <v>45778</v>
      </c>
      <c r="I77" s="536">
        <v>45809</v>
      </c>
      <c r="J77" s="536">
        <v>45839</v>
      </c>
      <c r="K77" s="536">
        <v>45870</v>
      </c>
      <c r="L77" s="536">
        <v>45901</v>
      </c>
      <c r="M77" s="536">
        <v>45931</v>
      </c>
      <c r="N77" s="536">
        <v>45962</v>
      </c>
      <c r="O77" s="536">
        <v>45992</v>
      </c>
      <c r="P77" s="536">
        <v>46023</v>
      </c>
      <c r="Q77" s="536">
        <v>46054</v>
      </c>
      <c r="R77" s="536">
        <v>46082</v>
      </c>
      <c r="S77" s="536">
        <v>46113</v>
      </c>
      <c r="T77" s="536">
        <v>46143</v>
      </c>
      <c r="U77" s="536">
        <v>46174</v>
      </c>
      <c r="V77" s="536">
        <v>46204</v>
      </c>
      <c r="W77" s="536">
        <v>46235</v>
      </c>
      <c r="X77" s="536">
        <v>46266</v>
      </c>
      <c r="Y77" s="536">
        <v>46296</v>
      </c>
      <c r="Z77" s="536">
        <v>46327</v>
      </c>
      <c r="AA77" s="536">
        <v>46357</v>
      </c>
      <c r="AB77" s="536">
        <v>46388</v>
      </c>
      <c r="AC77" s="536">
        <v>46419</v>
      </c>
      <c r="AD77" s="536">
        <v>46447</v>
      </c>
      <c r="AE77" s="536">
        <v>46478</v>
      </c>
      <c r="AF77" s="536">
        <v>46508</v>
      </c>
      <c r="AG77" s="536">
        <v>46539</v>
      </c>
      <c r="AH77" s="536">
        <v>46569</v>
      </c>
      <c r="AI77" s="536">
        <v>46600</v>
      </c>
      <c r="AJ77" s="536">
        <v>46631</v>
      </c>
      <c r="AK77" s="536">
        <v>46661</v>
      </c>
      <c r="AL77" s="536">
        <v>46692</v>
      </c>
      <c r="AM77" s="536">
        <v>46722</v>
      </c>
      <c r="AN77" s="536">
        <v>46753</v>
      </c>
      <c r="AO77" s="536">
        <v>46784</v>
      </c>
      <c r="AP77" s="536">
        <v>46813</v>
      </c>
      <c r="AQ77" s="536">
        <v>46844</v>
      </c>
      <c r="AR77" s="536">
        <v>46874</v>
      </c>
      <c r="AS77" s="536">
        <v>46905</v>
      </c>
      <c r="AT77" s="536">
        <v>46935</v>
      </c>
      <c r="AU77" s="536">
        <v>46966</v>
      </c>
      <c r="AV77" s="536">
        <v>46997</v>
      </c>
      <c r="AW77" s="536">
        <v>47027</v>
      </c>
      <c r="AX77" s="536">
        <v>47058</v>
      </c>
      <c r="AY77" s="536">
        <v>47088</v>
      </c>
      <c r="AZ77" s="536">
        <v>47119</v>
      </c>
      <c r="BA77" s="536">
        <v>47150</v>
      </c>
      <c r="BB77" s="536">
        <v>47178</v>
      </c>
      <c r="BC77" s="536">
        <v>47209</v>
      </c>
      <c r="BD77" s="536">
        <v>47239</v>
      </c>
      <c r="BE77" s="536">
        <v>47270</v>
      </c>
      <c r="BF77" s="536">
        <v>47300</v>
      </c>
      <c r="BG77" s="536">
        <v>47331</v>
      </c>
      <c r="BH77" s="536">
        <v>47362</v>
      </c>
      <c r="BI77" s="536">
        <v>47392</v>
      </c>
      <c r="BJ77" s="536">
        <v>47423</v>
      </c>
      <c r="BK77" s="536">
        <v>47453</v>
      </c>
      <c r="BL77" s="536">
        <v>47484</v>
      </c>
      <c r="BM77" s="536">
        <v>47515</v>
      </c>
      <c r="BN77" s="536">
        <v>47543</v>
      </c>
      <c r="BO77" s="536">
        <v>47574</v>
      </c>
      <c r="BP77" s="536">
        <v>47604</v>
      </c>
      <c r="BQ77" s="536">
        <v>47635</v>
      </c>
    </row>
    <row r="78" spans="1:69">
      <c r="A78" s="545"/>
      <c r="B78" s="522" t="s">
        <v>716</v>
      </c>
      <c r="C78" s="544" cm="1">
        <f t="array" ref="C78:BQ78">C6:BQ6</f>
        <v>9948264.6276073772</v>
      </c>
      <c r="D78" s="535">
        <v>0</v>
      </c>
      <c r="E78" s="535">
        <v>0</v>
      </c>
      <c r="F78" s="535">
        <v>0</v>
      </c>
      <c r="G78" s="535">
        <v>0</v>
      </c>
      <c r="H78" s="535">
        <v>0</v>
      </c>
      <c r="I78" s="535">
        <v>334908889.17296916</v>
      </c>
      <c r="J78" s="535">
        <v>0</v>
      </c>
      <c r="K78" s="535">
        <v>0</v>
      </c>
      <c r="L78" s="535">
        <v>0</v>
      </c>
      <c r="M78" s="535">
        <v>0</v>
      </c>
      <c r="N78" s="535">
        <v>0</v>
      </c>
      <c r="O78" s="535">
        <v>0</v>
      </c>
      <c r="P78" s="535">
        <v>0</v>
      </c>
      <c r="Q78" s="535">
        <v>0</v>
      </c>
      <c r="R78" s="535">
        <v>0</v>
      </c>
      <c r="S78" s="535">
        <v>345000000</v>
      </c>
      <c r="T78" s="535">
        <v>0</v>
      </c>
      <c r="U78" s="535">
        <v>0</v>
      </c>
      <c r="V78" s="535">
        <v>0</v>
      </c>
      <c r="W78" s="535">
        <v>0</v>
      </c>
      <c r="X78" s="535">
        <v>0</v>
      </c>
      <c r="Y78" s="535">
        <v>0</v>
      </c>
      <c r="Z78" s="535">
        <v>0</v>
      </c>
      <c r="AA78" s="535">
        <v>0</v>
      </c>
      <c r="AB78" s="535">
        <v>0</v>
      </c>
      <c r="AC78" s="535">
        <v>0</v>
      </c>
      <c r="AD78" s="535">
        <v>0</v>
      </c>
      <c r="AE78" s="535">
        <v>322000000</v>
      </c>
      <c r="AF78" s="535">
        <v>0</v>
      </c>
      <c r="AG78" s="535">
        <v>0</v>
      </c>
      <c r="AH78" s="535">
        <v>0</v>
      </c>
      <c r="AI78" s="535">
        <v>0</v>
      </c>
      <c r="AJ78" s="535">
        <v>0</v>
      </c>
      <c r="AK78" s="535">
        <v>0</v>
      </c>
      <c r="AL78" s="535">
        <v>0</v>
      </c>
      <c r="AM78" s="535">
        <v>0</v>
      </c>
      <c r="AN78" s="535">
        <v>0</v>
      </c>
      <c r="AO78" s="535">
        <v>0</v>
      </c>
      <c r="AP78" s="535">
        <v>0</v>
      </c>
      <c r="AQ78" s="535">
        <v>322000000</v>
      </c>
      <c r="AR78" s="535">
        <v>0</v>
      </c>
      <c r="AS78" s="535">
        <v>0</v>
      </c>
      <c r="AT78" s="535">
        <v>0</v>
      </c>
      <c r="AU78" s="535">
        <v>0</v>
      </c>
      <c r="AV78" s="535">
        <v>0</v>
      </c>
      <c r="AW78" s="535">
        <v>0</v>
      </c>
      <c r="AX78" s="535">
        <v>0</v>
      </c>
      <c r="AY78" s="535">
        <v>0</v>
      </c>
      <c r="AZ78" s="535">
        <v>0</v>
      </c>
      <c r="BA78" s="535">
        <v>0</v>
      </c>
      <c r="BB78" s="535">
        <v>0</v>
      </c>
      <c r="BC78" s="535">
        <v>322000000</v>
      </c>
      <c r="BD78" s="535">
        <v>0</v>
      </c>
      <c r="BE78" s="535">
        <v>0</v>
      </c>
      <c r="BF78" s="535">
        <v>0</v>
      </c>
      <c r="BG78" s="535">
        <v>0</v>
      </c>
      <c r="BH78" s="535">
        <v>0</v>
      </c>
      <c r="BI78" s="535">
        <v>0</v>
      </c>
      <c r="BJ78" s="535">
        <v>0</v>
      </c>
      <c r="BK78" s="535">
        <v>0</v>
      </c>
      <c r="BL78" s="535">
        <v>0</v>
      </c>
      <c r="BM78" s="535">
        <v>0</v>
      </c>
      <c r="BN78" s="535">
        <v>0</v>
      </c>
      <c r="BO78" s="535">
        <v>334000000</v>
      </c>
      <c r="BP78" s="535">
        <v>0</v>
      </c>
      <c r="BQ78" s="535">
        <v>0</v>
      </c>
    </row>
    <row r="79" spans="1:69">
      <c r="A79" s="545"/>
      <c r="B79" s="522" t="s">
        <v>734</v>
      </c>
      <c r="C79" s="544" cm="1">
        <f t="array" ref="C79:BQ79">C10:BQ10</f>
        <v>0</v>
      </c>
      <c r="D79" s="535">
        <v>0</v>
      </c>
      <c r="E79" s="535">
        <v>0</v>
      </c>
      <c r="F79" s="535">
        <v>0</v>
      </c>
      <c r="G79" s="535">
        <v>0</v>
      </c>
      <c r="H79" s="535">
        <v>0</v>
      </c>
      <c r="I79" s="535">
        <v>0</v>
      </c>
      <c r="J79" s="535">
        <v>0</v>
      </c>
      <c r="K79" s="535">
        <v>0</v>
      </c>
      <c r="L79" s="535">
        <v>0</v>
      </c>
      <c r="M79" s="535">
        <v>0</v>
      </c>
      <c r="N79" s="535">
        <v>-304128000</v>
      </c>
      <c r="O79" s="535">
        <v>0</v>
      </c>
      <c r="P79" s="535">
        <v>0</v>
      </c>
      <c r="Q79" s="535">
        <v>0</v>
      </c>
      <c r="R79" s="535">
        <v>0</v>
      </c>
      <c r="S79" s="535">
        <v>0</v>
      </c>
      <c r="T79" s="535">
        <v>-310210560</v>
      </c>
      <c r="U79" s="535">
        <v>0</v>
      </c>
      <c r="V79" s="535">
        <v>0</v>
      </c>
      <c r="W79" s="535">
        <v>0</v>
      </c>
      <c r="X79" s="535">
        <v>0</v>
      </c>
      <c r="Y79" s="535">
        <v>0</v>
      </c>
      <c r="Z79" s="535">
        <v>0</v>
      </c>
      <c r="AA79" s="535">
        <v>0</v>
      </c>
      <c r="AB79" s="535">
        <v>0</v>
      </c>
      <c r="AC79" s="535">
        <v>0</v>
      </c>
      <c r="AD79" s="535">
        <v>0</v>
      </c>
      <c r="AE79" s="535">
        <v>0</v>
      </c>
      <c r="AF79" s="535">
        <v>-310210559.99999994</v>
      </c>
      <c r="AG79" s="535">
        <v>0</v>
      </c>
      <c r="AH79" s="535">
        <v>0</v>
      </c>
      <c r="AI79" s="535">
        <v>0</v>
      </c>
      <c r="AJ79" s="535">
        <v>0</v>
      </c>
      <c r="AK79" s="535">
        <v>0</v>
      </c>
      <c r="AL79" s="535">
        <v>0</v>
      </c>
      <c r="AM79" s="535">
        <v>0</v>
      </c>
      <c r="AN79" s="535">
        <v>0</v>
      </c>
      <c r="AO79" s="535">
        <v>0</v>
      </c>
      <c r="AP79" s="535">
        <v>0</v>
      </c>
      <c r="AQ79" s="535">
        <v>0</v>
      </c>
      <c r="AR79" s="535">
        <v>-310210559.99999994</v>
      </c>
      <c r="AS79" s="535">
        <v>0</v>
      </c>
      <c r="AT79" s="535">
        <v>0</v>
      </c>
      <c r="AU79" s="535">
        <v>0</v>
      </c>
      <c r="AV79" s="535">
        <v>0</v>
      </c>
      <c r="AW79" s="535">
        <v>0</v>
      </c>
      <c r="AX79" s="535">
        <v>0</v>
      </c>
      <c r="AY79" s="535">
        <v>0</v>
      </c>
      <c r="AZ79" s="535">
        <v>0</v>
      </c>
      <c r="BA79" s="535">
        <v>0</v>
      </c>
      <c r="BB79" s="535">
        <v>0</v>
      </c>
      <c r="BC79" s="535">
        <v>0</v>
      </c>
      <c r="BD79" s="535">
        <v>-310210559.99999994</v>
      </c>
      <c r="BE79" s="535">
        <v>0</v>
      </c>
      <c r="BF79" s="535">
        <v>0</v>
      </c>
      <c r="BG79" s="535">
        <v>0</v>
      </c>
      <c r="BH79" s="535">
        <v>0</v>
      </c>
      <c r="BI79" s="535">
        <v>0</v>
      </c>
      <c r="BJ79" s="535">
        <v>0</v>
      </c>
      <c r="BK79" s="535">
        <v>0</v>
      </c>
      <c r="BL79" s="535">
        <v>0</v>
      </c>
      <c r="BM79" s="535">
        <v>0</v>
      </c>
      <c r="BN79" s="535">
        <v>0</v>
      </c>
      <c r="BO79" s="535">
        <v>0</v>
      </c>
      <c r="BP79" s="535">
        <v>-310210559.99999994</v>
      </c>
      <c r="BQ79" s="535">
        <v>0</v>
      </c>
    </row>
    <row r="80" spans="1:69">
      <c r="A80" s="545"/>
      <c r="B80" s="522" t="s">
        <v>723</v>
      </c>
      <c r="C80" s="544" cm="1">
        <f t="array" ref="C80:BQ80">C13:BQ13</f>
        <v>9948264.6276073772</v>
      </c>
      <c r="D80" s="535">
        <v>9948264.6276073772</v>
      </c>
      <c r="E80" s="535">
        <v>9948264.6276073772</v>
      </c>
      <c r="F80" s="535">
        <v>9948264.6276073772</v>
      </c>
      <c r="G80" s="535">
        <v>9948264.6276073772</v>
      </c>
      <c r="H80" s="535">
        <v>9948264.6276073772</v>
      </c>
      <c r="I80" s="535">
        <v>344857153.80057657</v>
      </c>
      <c r="J80" s="535">
        <v>344857153.80057657</v>
      </c>
      <c r="K80" s="535">
        <v>344857153.80057657</v>
      </c>
      <c r="L80" s="535">
        <v>344857153.80057657</v>
      </c>
      <c r="M80" s="535">
        <v>344857153.80057657</v>
      </c>
      <c r="N80" s="535">
        <v>40729153.800576575</v>
      </c>
      <c r="O80" s="535">
        <v>40729153.800576575</v>
      </c>
      <c r="P80" s="535">
        <v>40729153.800576575</v>
      </c>
      <c r="Q80" s="535">
        <v>40729153.800576575</v>
      </c>
      <c r="R80" s="535">
        <v>40729153.800576575</v>
      </c>
      <c r="S80" s="535">
        <v>385729153.80057657</v>
      </c>
      <c r="T80" s="535">
        <v>75518593.800576597</v>
      </c>
      <c r="U80" s="535">
        <v>75518593.800576597</v>
      </c>
      <c r="V80" s="535">
        <v>75518593.800576597</v>
      </c>
      <c r="W80" s="535">
        <v>75518593.800576597</v>
      </c>
      <c r="X80" s="535">
        <v>75518593.800576597</v>
      </c>
      <c r="Y80" s="535">
        <v>75518593.800576597</v>
      </c>
      <c r="Z80" s="535">
        <v>75518593.800576597</v>
      </c>
      <c r="AA80" s="535">
        <v>75518593.800576597</v>
      </c>
      <c r="AB80" s="535">
        <v>75518593.800576597</v>
      </c>
      <c r="AC80" s="535">
        <v>75518593.800576597</v>
      </c>
      <c r="AD80" s="535">
        <v>75518593.800576597</v>
      </c>
      <c r="AE80" s="535">
        <v>397518593.80057663</v>
      </c>
      <c r="AF80" s="535">
        <v>87308033.800576672</v>
      </c>
      <c r="AG80" s="535">
        <v>87308033.800576672</v>
      </c>
      <c r="AH80" s="535">
        <v>87308033.800576672</v>
      </c>
      <c r="AI80" s="535">
        <v>87308033.800576672</v>
      </c>
      <c r="AJ80" s="535">
        <v>87308033.800576672</v>
      </c>
      <c r="AK80" s="535">
        <v>87308033.800576672</v>
      </c>
      <c r="AL80" s="535">
        <v>87308033.800576672</v>
      </c>
      <c r="AM80" s="535">
        <v>87308033.800576672</v>
      </c>
      <c r="AN80" s="535">
        <v>87308033.800576672</v>
      </c>
      <c r="AO80" s="535">
        <v>87308033.800576672</v>
      </c>
      <c r="AP80" s="535">
        <v>87308033.800576672</v>
      </c>
      <c r="AQ80" s="535">
        <v>409308033.80057669</v>
      </c>
      <c r="AR80" s="535">
        <v>99097473.800576746</v>
      </c>
      <c r="AS80" s="535">
        <v>99097473.800576746</v>
      </c>
      <c r="AT80" s="535">
        <v>99097473.800576746</v>
      </c>
      <c r="AU80" s="535">
        <v>99097473.800576746</v>
      </c>
      <c r="AV80" s="535">
        <v>99097473.800576746</v>
      </c>
      <c r="AW80" s="535">
        <v>99097473.800576746</v>
      </c>
      <c r="AX80" s="535">
        <v>99097473.800576746</v>
      </c>
      <c r="AY80" s="535">
        <v>99097473.800576746</v>
      </c>
      <c r="AZ80" s="535">
        <v>99097473.800576746</v>
      </c>
      <c r="BA80" s="535">
        <v>99097473.800576746</v>
      </c>
      <c r="BB80" s="535">
        <v>99097473.800576746</v>
      </c>
      <c r="BC80" s="535">
        <v>421097473.80057675</v>
      </c>
      <c r="BD80" s="535">
        <v>110886913.80057682</v>
      </c>
      <c r="BE80" s="535">
        <v>110886913.80057682</v>
      </c>
      <c r="BF80" s="535">
        <v>110886913.80057682</v>
      </c>
      <c r="BG80" s="535">
        <v>110886913.80057682</v>
      </c>
      <c r="BH80" s="535">
        <v>110886913.80057682</v>
      </c>
      <c r="BI80" s="535">
        <v>110886913.80057682</v>
      </c>
      <c r="BJ80" s="535">
        <v>110886913.80057682</v>
      </c>
      <c r="BK80" s="535">
        <v>110886913.80057682</v>
      </c>
      <c r="BL80" s="535">
        <v>110886913.80057682</v>
      </c>
      <c r="BM80" s="535">
        <v>110886913.80057682</v>
      </c>
      <c r="BN80" s="535">
        <v>110886913.80057682</v>
      </c>
      <c r="BO80" s="535">
        <v>444886913.80057681</v>
      </c>
      <c r="BP80" s="535">
        <v>134676353.80057687</v>
      </c>
      <c r="BQ80" s="535">
        <v>134676353.80057687</v>
      </c>
    </row>
    <row r="82" spans="9:14">
      <c r="I82" s="545"/>
      <c r="N82" s="545"/>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Roman,Regular"&amp;12Página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FDDC3-8EEA-4440-BB89-9C37A7C2B81A}">
  <sheetPr>
    <tabColor rgb="FF00B050"/>
  </sheetPr>
  <dimension ref="B2:H93"/>
  <sheetViews>
    <sheetView showGridLines="0" zoomScale="90" zoomScaleNormal="90" workbookViewId="0">
      <selection activeCell="A24" sqref="A24"/>
    </sheetView>
  </sheetViews>
  <sheetFormatPr defaultColWidth="11.7109375" defaultRowHeight="12.75"/>
  <cols>
    <col min="1" max="1" width="2.42578125" customWidth="1"/>
    <col min="2" max="2" width="29.5703125" customWidth="1"/>
    <col min="3" max="3" width="8.42578125" bestFit="1" customWidth="1"/>
    <col min="4" max="4" width="4.7109375" bestFit="1" customWidth="1"/>
    <col min="5" max="5" width="14.5703125" bestFit="1" customWidth="1"/>
    <col min="6" max="6" width="11.5703125" customWidth="1"/>
    <col min="7" max="7" width="29.42578125" customWidth="1"/>
    <col min="8" max="8" width="23.5703125" customWidth="1"/>
  </cols>
  <sheetData>
    <row r="2" spans="2:8">
      <c r="B2" s="2" t="s">
        <v>735</v>
      </c>
      <c r="C2" s="2"/>
    </row>
    <row r="3" spans="2:8">
      <c r="B3" s="14" t="s">
        <v>541</v>
      </c>
      <c r="C3" s="14" t="s">
        <v>18</v>
      </c>
      <c r="D3" s="169" t="s">
        <v>566</v>
      </c>
      <c r="E3" s="14" t="s">
        <v>736</v>
      </c>
      <c r="F3" s="14" t="s">
        <v>737</v>
      </c>
      <c r="G3" s="342" t="s">
        <v>738</v>
      </c>
      <c r="H3" s="342" t="s">
        <v>739</v>
      </c>
    </row>
    <row r="4" spans="2:8">
      <c r="B4" s="122" t="str" cm="1">
        <f t="array" ref="B4:F93">_xlfn._xlws.FILTER('Marcos de Aportes Inputs'!B4:F2640,'Marcos de Aportes Inputs'!B4:B2640='Painel Controle'!C8)</f>
        <v>Cenário 20/03/2025 com IFC</v>
      </c>
      <c r="C4" s="149" t="str">
        <v>BR-356</v>
      </c>
      <c r="D4" s="179">
        <v>1</v>
      </c>
      <c r="E4" s="479" t="str">
        <v/>
      </c>
      <c r="F4" s="480" t="str">
        <v/>
      </c>
      <c r="G4" s="480" t="str">
        <f>"Do km " &amp; TEXT(E4,"000+000") &amp; " ao km " &amp; TEXT(F4,"000+000")</f>
        <v xml:space="preserve">Do km  ao km </v>
      </c>
      <c r="H4" s="122" t="b">
        <f>AND(ISNUMBER(E4),ISNUMBER(F4))</f>
        <v>0</v>
      </c>
    </row>
    <row r="5" spans="2:8">
      <c r="B5" s="122" t="str">
        <v>Cenário 20/03/2025 com IFC</v>
      </c>
      <c r="C5" s="149" t="str">
        <v>BR-356</v>
      </c>
      <c r="D5" s="179">
        <v>2</v>
      </c>
      <c r="E5" s="479" t="str">
        <v/>
      </c>
      <c r="F5" s="480" t="str">
        <v/>
      </c>
      <c r="G5" s="480" t="str">
        <f t="shared" ref="G5:G68" si="0">"Do km " &amp; TEXT(E5,"000+000") &amp; " ao km " &amp; TEXT(F5,"000+000")</f>
        <v xml:space="preserve">Do km  ao km </v>
      </c>
      <c r="H5" s="122" t="b">
        <f t="shared" ref="H5:H35" si="1">AND(ISNUMBER(E5),ISNUMBER(F5))</f>
        <v>0</v>
      </c>
    </row>
    <row r="6" spans="2:8">
      <c r="B6" s="122" t="str">
        <v>Cenário 20/03/2025 com IFC</v>
      </c>
      <c r="C6" s="149" t="str">
        <v>BR-356</v>
      </c>
      <c r="D6" s="179">
        <v>3</v>
      </c>
      <c r="E6" s="479">
        <v>27800</v>
      </c>
      <c r="F6" s="480">
        <v>43800</v>
      </c>
      <c r="G6" s="480" t="str">
        <f t="shared" si="0"/>
        <v>Do km 027+800 ao km 043+800</v>
      </c>
      <c r="H6" s="122" t="b">
        <f t="shared" si="1"/>
        <v>1</v>
      </c>
    </row>
    <row r="7" spans="2:8">
      <c r="B7" s="122" t="str">
        <v>Cenário 20/03/2025 com IFC</v>
      </c>
      <c r="C7" s="149" t="str">
        <v>BR-356</v>
      </c>
      <c r="D7" s="179">
        <v>4</v>
      </c>
      <c r="E7" s="479">
        <v>43800</v>
      </c>
      <c r="F7" s="480">
        <v>66000</v>
      </c>
      <c r="G7" s="480" t="str">
        <f t="shared" si="0"/>
        <v>Do km 043+800 ao km 066+000</v>
      </c>
      <c r="H7" s="122" t="b">
        <f t="shared" si="1"/>
        <v>1</v>
      </c>
    </row>
    <row r="8" spans="2:8">
      <c r="B8" s="122" t="str">
        <v>Cenário 20/03/2025 com IFC</v>
      </c>
      <c r="C8" s="149" t="str">
        <v>BR-356</v>
      </c>
      <c r="D8" s="179">
        <v>5</v>
      </c>
      <c r="E8" s="479">
        <v>66000</v>
      </c>
      <c r="F8" s="480">
        <v>86000</v>
      </c>
      <c r="G8" s="480" t="str">
        <f t="shared" si="0"/>
        <v>Do km 066+000 ao km 086+000</v>
      </c>
      <c r="H8" s="122" t="b">
        <f t="shared" si="1"/>
        <v>1</v>
      </c>
    </row>
    <row r="9" spans="2:8">
      <c r="B9" s="122" t="str">
        <v>Cenário 20/03/2025 com IFC</v>
      </c>
      <c r="C9" s="149" t="str">
        <v>BR-356</v>
      </c>
      <c r="D9" s="179">
        <v>6</v>
      </c>
      <c r="E9" s="479">
        <v>86000</v>
      </c>
      <c r="F9" s="480">
        <v>111100</v>
      </c>
      <c r="G9" s="480" t="str">
        <f t="shared" si="0"/>
        <v>Do km 086+000 ao km 111+100</v>
      </c>
      <c r="H9" s="122" t="b">
        <f t="shared" si="1"/>
        <v>1</v>
      </c>
    </row>
    <row r="10" spans="2:8">
      <c r="B10" s="122" t="str">
        <v>Cenário 20/03/2025 com IFC</v>
      </c>
      <c r="C10" s="149" t="str">
        <v>BR-356</v>
      </c>
      <c r="D10" s="179">
        <v>7</v>
      </c>
      <c r="E10" s="479" t="str">
        <v/>
      </c>
      <c r="F10" s="480" t="str">
        <v/>
      </c>
      <c r="G10" s="480" t="str">
        <f t="shared" si="0"/>
        <v xml:space="preserve">Do km  ao km </v>
      </c>
      <c r="H10" s="122" t="b">
        <f t="shared" si="1"/>
        <v>0</v>
      </c>
    </row>
    <row r="11" spans="2:8">
      <c r="B11" s="122" t="str">
        <v>Cenário 20/03/2025 com IFC</v>
      </c>
      <c r="C11" s="149" t="str">
        <v>BR-356</v>
      </c>
      <c r="D11" s="179">
        <v>8</v>
      </c>
      <c r="E11" s="479" t="str">
        <v/>
      </c>
      <c r="F11" s="480" t="str">
        <v/>
      </c>
      <c r="G11" s="480" t="str">
        <f t="shared" si="0"/>
        <v xml:space="preserve">Do km  ao km </v>
      </c>
      <c r="H11" s="122" t="b">
        <f t="shared" si="1"/>
        <v>0</v>
      </c>
    </row>
    <row r="12" spans="2:8">
      <c r="B12" s="122" t="str">
        <v>Cenário 20/03/2025 com IFC</v>
      </c>
      <c r="C12" s="149" t="str">
        <v>BR-356</v>
      </c>
      <c r="D12" s="179">
        <v>9</v>
      </c>
      <c r="E12" s="479" t="str">
        <v/>
      </c>
      <c r="F12" s="480" t="str">
        <v/>
      </c>
      <c r="G12" s="480" t="str">
        <f t="shared" si="0"/>
        <v xml:space="preserve">Do km  ao km </v>
      </c>
      <c r="H12" s="122" t="b">
        <f t="shared" si="1"/>
        <v>0</v>
      </c>
    </row>
    <row r="13" spans="2:8">
      <c r="B13" s="122" t="str">
        <v>Cenário 20/03/2025 com IFC</v>
      </c>
      <c r="C13" s="149" t="str">
        <v>BR-356</v>
      </c>
      <c r="D13" s="179">
        <v>10</v>
      </c>
      <c r="E13" s="479" t="str">
        <v/>
      </c>
      <c r="F13" s="480" t="str">
        <v/>
      </c>
      <c r="G13" s="480" t="str">
        <f t="shared" si="0"/>
        <v xml:space="preserve">Do km  ao km </v>
      </c>
      <c r="H13" s="122" t="b">
        <f t="shared" si="1"/>
        <v>0</v>
      </c>
    </row>
    <row r="14" spans="2:8">
      <c r="B14" s="122" t="str">
        <v>Cenário 20/03/2025 com IFC</v>
      </c>
      <c r="C14" s="149" t="str">
        <v>BR-356</v>
      </c>
      <c r="D14" s="179">
        <v>11</v>
      </c>
      <c r="E14" s="479" t="str">
        <v/>
      </c>
      <c r="F14" s="480" t="str">
        <v/>
      </c>
      <c r="G14" s="480" t="str">
        <f t="shared" si="0"/>
        <v xml:space="preserve">Do km  ao km </v>
      </c>
      <c r="H14" s="122" t="b">
        <f t="shared" si="1"/>
        <v>0</v>
      </c>
    </row>
    <row r="15" spans="2:8">
      <c r="B15" s="122" t="str">
        <v>Cenário 20/03/2025 com IFC</v>
      </c>
      <c r="C15" s="149" t="str">
        <v>BR-356</v>
      </c>
      <c r="D15" s="179">
        <v>12</v>
      </c>
      <c r="E15" s="479" t="str">
        <v/>
      </c>
      <c r="F15" s="480" t="str">
        <v/>
      </c>
      <c r="G15" s="480" t="str">
        <f t="shared" si="0"/>
        <v xml:space="preserve">Do km  ao km </v>
      </c>
      <c r="H15" s="122" t="b">
        <f t="shared" si="1"/>
        <v>0</v>
      </c>
    </row>
    <row r="16" spans="2:8">
      <c r="B16" s="122" t="str">
        <v>Cenário 20/03/2025 com IFC</v>
      </c>
      <c r="C16" s="149" t="str">
        <v>BR-356</v>
      </c>
      <c r="D16" s="179">
        <v>13</v>
      </c>
      <c r="E16" s="479" t="str">
        <v/>
      </c>
      <c r="F16" s="480" t="str">
        <v/>
      </c>
      <c r="G16" s="480" t="str">
        <f t="shared" si="0"/>
        <v xml:space="preserve">Do km  ao km </v>
      </c>
      <c r="H16" s="122" t="b">
        <f t="shared" si="1"/>
        <v>0</v>
      </c>
    </row>
    <row r="17" spans="2:8">
      <c r="B17" s="122" t="str">
        <v>Cenário 20/03/2025 com IFC</v>
      </c>
      <c r="C17" s="149" t="str">
        <v>BR-356</v>
      </c>
      <c r="D17" s="179">
        <v>14</v>
      </c>
      <c r="E17" s="479" t="str">
        <v/>
      </c>
      <c r="F17" s="480" t="str">
        <v/>
      </c>
      <c r="G17" s="480" t="str">
        <f t="shared" si="0"/>
        <v xml:space="preserve">Do km  ao km </v>
      </c>
      <c r="H17" s="122" t="b">
        <f t="shared" si="1"/>
        <v>0</v>
      </c>
    </row>
    <row r="18" spans="2:8">
      <c r="B18" s="122" t="str">
        <v>Cenário 20/03/2025 com IFC</v>
      </c>
      <c r="C18" s="149" t="str">
        <v>BR-356</v>
      </c>
      <c r="D18" s="179">
        <v>15</v>
      </c>
      <c r="E18" s="479" t="str">
        <v/>
      </c>
      <c r="F18" s="480" t="str">
        <v/>
      </c>
      <c r="G18" s="480" t="str">
        <f t="shared" si="0"/>
        <v xml:space="preserve">Do km  ao km </v>
      </c>
      <c r="H18" s="122" t="b">
        <f t="shared" si="1"/>
        <v>0</v>
      </c>
    </row>
    <row r="19" spans="2:8">
      <c r="B19" s="122" t="str">
        <v>Cenário 20/03/2025 com IFC</v>
      </c>
      <c r="C19" s="149" t="str">
        <v>BR-356</v>
      </c>
      <c r="D19" s="179">
        <v>16</v>
      </c>
      <c r="E19" s="479" t="str">
        <v/>
      </c>
      <c r="F19" s="480" t="str">
        <v/>
      </c>
      <c r="G19" s="480" t="str">
        <f t="shared" si="0"/>
        <v xml:space="preserve">Do km  ao km </v>
      </c>
      <c r="H19" s="122" t="b">
        <f t="shared" si="1"/>
        <v>0</v>
      </c>
    </row>
    <row r="20" spans="2:8">
      <c r="B20" s="122" t="str">
        <v>Cenário 20/03/2025 com IFC</v>
      </c>
      <c r="C20" s="149" t="str">
        <v>BR-356</v>
      </c>
      <c r="D20" s="179">
        <v>17</v>
      </c>
      <c r="E20" s="479" t="str">
        <v/>
      </c>
      <c r="F20" s="480" t="str">
        <v/>
      </c>
      <c r="G20" s="480" t="str">
        <f t="shared" si="0"/>
        <v xml:space="preserve">Do km  ao km </v>
      </c>
      <c r="H20" s="122" t="b">
        <f t="shared" si="1"/>
        <v>0</v>
      </c>
    </row>
    <row r="21" spans="2:8">
      <c r="B21" s="122" t="str">
        <v>Cenário 20/03/2025 com IFC</v>
      </c>
      <c r="C21" s="149" t="str">
        <v>BR-356</v>
      </c>
      <c r="D21" s="179">
        <v>18</v>
      </c>
      <c r="E21" s="479" t="str">
        <v/>
      </c>
      <c r="F21" s="480" t="str">
        <v/>
      </c>
      <c r="G21" s="480" t="str">
        <f t="shared" si="0"/>
        <v xml:space="preserve">Do km  ao km </v>
      </c>
      <c r="H21" s="122" t="b">
        <f t="shared" si="1"/>
        <v>0</v>
      </c>
    </row>
    <row r="22" spans="2:8">
      <c r="B22" s="122" t="str">
        <v>Cenário 20/03/2025 com IFC</v>
      </c>
      <c r="C22" s="149" t="str">
        <v>BR-356</v>
      </c>
      <c r="D22" s="179">
        <v>19</v>
      </c>
      <c r="E22" s="479" t="str">
        <v/>
      </c>
      <c r="F22" s="480" t="str">
        <v/>
      </c>
      <c r="G22" s="480" t="str">
        <f t="shared" si="0"/>
        <v xml:space="preserve">Do km  ao km </v>
      </c>
      <c r="H22" s="122" t="b">
        <f t="shared" si="1"/>
        <v>0</v>
      </c>
    </row>
    <row r="23" spans="2:8">
      <c r="B23" s="122" t="str">
        <v>Cenário 20/03/2025 com IFC</v>
      </c>
      <c r="C23" s="149" t="str">
        <v>BR-356</v>
      </c>
      <c r="D23" s="179">
        <v>20</v>
      </c>
      <c r="E23" s="479" t="str">
        <v/>
      </c>
      <c r="F23" s="480" t="str">
        <v/>
      </c>
      <c r="G23" s="480" t="str">
        <f t="shared" si="0"/>
        <v xml:space="preserve">Do km  ao km </v>
      </c>
      <c r="H23" s="122" t="b">
        <f t="shared" si="1"/>
        <v>0</v>
      </c>
    </row>
    <row r="24" spans="2:8">
      <c r="B24" s="122" t="str">
        <v>Cenário 20/03/2025 com IFC</v>
      </c>
      <c r="C24" s="149" t="str">
        <v>BR-356</v>
      </c>
      <c r="D24" s="179">
        <v>21</v>
      </c>
      <c r="E24" s="479" t="str">
        <v/>
      </c>
      <c r="F24" s="480" t="str">
        <v/>
      </c>
      <c r="G24" s="480" t="str">
        <f t="shared" si="0"/>
        <v xml:space="preserve">Do km  ao km </v>
      </c>
      <c r="H24" s="122" t="b">
        <f t="shared" si="1"/>
        <v>0</v>
      </c>
    </row>
    <row r="25" spans="2:8">
      <c r="B25" s="122" t="str">
        <v>Cenário 20/03/2025 com IFC</v>
      </c>
      <c r="C25" s="149" t="str">
        <v>BR-356</v>
      </c>
      <c r="D25" s="179">
        <v>22</v>
      </c>
      <c r="E25" s="479" t="str">
        <v/>
      </c>
      <c r="F25" s="480" t="str">
        <v/>
      </c>
      <c r="G25" s="480" t="str">
        <f t="shared" si="0"/>
        <v xml:space="preserve">Do km  ao km </v>
      </c>
      <c r="H25" s="122" t="b">
        <f t="shared" si="1"/>
        <v>0</v>
      </c>
    </row>
    <row r="26" spans="2:8">
      <c r="B26" s="122" t="str">
        <v>Cenário 20/03/2025 com IFC</v>
      </c>
      <c r="C26" s="149" t="str">
        <v>BR-356</v>
      </c>
      <c r="D26" s="179">
        <v>23</v>
      </c>
      <c r="E26" s="479" t="str">
        <v/>
      </c>
      <c r="F26" s="480" t="str">
        <v/>
      </c>
      <c r="G26" s="480" t="str">
        <f t="shared" si="0"/>
        <v xml:space="preserve">Do km  ao km </v>
      </c>
      <c r="H26" s="122" t="b">
        <f t="shared" si="1"/>
        <v>0</v>
      </c>
    </row>
    <row r="27" spans="2:8">
      <c r="B27" s="122" t="str">
        <v>Cenário 20/03/2025 com IFC</v>
      </c>
      <c r="C27" s="149" t="str">
        <v>BR-356</v>
      </c>
      <c r="D27" s="179">
        <v>24</v>
      </c>
      <c r="E27" s="479" t="str">
        <v/>
      </c>
      <c r="F27" s="480" t="str">
        <v/>
      </c>
      <c r="G27" s="480" t="str">
        <f t="shared" si="0"/>
        <v xml:space="preserve">Do km  ao km </v>
      </c>
      <c r="H27" s="122" t="b">
        <f t="shared" si="1"/>
        <v>0</v>
      </c>
    </row>
    <row r="28" spans="2:8">
      <c r="B28" s="122" t="str">
        <v>Cenário 20/03/2025 com IFC</v>
      </c>
      <c r="C28" s="149" t="str">
        <v>BR-356</v>
      </c>
      <c r="D28" s="179">
        <v>25</v>
      </c>
      <c r="E28" s="479" t="str">
        <v/>
      </c>
      <c r="F28" s="480" t="str">
        <v/>
      </c>
      <c r="G28" s="480" t="str">
        <f t="shared" si="0"/>
        <v xml:space="preserve">Do km  ao km </v>
      </c>
      <c r="H28" s="122" t="b">
        <f t="shared" si="1"/>
        <v>0</v>
      </c>
    </row>
    <row r="29" spans="2:8">
      <c r="B29" s="122" t="str">
        <v>Cenário 20/03/2025 com IFC</v>
      </c>
      <c r="C29" s="149" t="str">
        <v>BR-356</v>
      </c>
      <c r="D29" s="179">
        <v>26</v>
      </c>
      <c r="E29" s="479" t="str">
        <v/>
      </c>
      <c r="F29" s="480" t="str">
        <v/>
      </c>
      <c r="G29" s="480" t="str">
        <f t="shared" si="0"/>
        <v xml:space="preserve">Do km  ao km </v>
      </c>
      <c r="H29" s="122" t="b">
        <f t="shared" si="1"/>
        <v>0</v>
      </c>
    </row>
    <row r="30" spans="2:8">
      <c r="B30" s="122" t="str">
        <v>Cenário 20/03/2025 com IFC</v>
      </c>
      <c r="C30" s="149" t="str">
        <v>BR-356</v>
      </c>
      <c r="D30" s="179">
        <v>27</v>
      </c>
      <c r="E30" s="479" t="str">
        <v/>
      </c>
      <c r="F30" s="480" t="str">
        <v/>
      </c>
      <c r="G30" s="480" t="str">
        <f t="shared" si="0"/>
        <v xml:space="preserve">Do km  ao km </v>
      </c>
      <c r="H30" s="122" t="b">
        <f t="shared" si="1"/>
        <v>0</v>
      </c>
    </row>
    <row r="31" spans="2:8">
      <c r="B31" s="122" t="str">
        <v>Cenário 20/03/2025 com IFC</v>
      </c>
      <c r="C31" s="149" t="str">
        <v>BR-356</v>
      </c>
      <c r="D31" s="179">
        <v>28</v>
      </c>
      <c r="E31" s="479" t="str">
        <v/>
      </c>
      <c r="F31" s="480" t="str">
        <v/>
      </c>
      <c r="G31" s="480" t="str">
        <f t="shared" si="0"/>
        <v xml:space="preserve">Do km  ao km </v>
      </c>
      <c r="H31" s="122" t="b">
        <f t="shared" si="1"/>
        <v>0</v>
      </c>
    </row>
    <row r="32" spans="2:8">
      <c r="B32" s="122" t="str">
        <v>Cenário 20/03/2025 com IFC</v>
      </c>
      <c r="C32" s="149" t="str">
        <v>BR-356</v>
      </c>
      <c r="D32" s="179">
        <v>29</v>
      </c>
      <c r="E32" s="479" t="str">
        <v/>
      </c>
      <c r="F32" s="480" t="str">
        <v/>
      </c>
      <c r="G32" s="480" t="str">
        <f t="shared" si="0"/>
        <v xml:space="preserve">Do km  ao km </v>
      </c>
      <c r="H32" s="122" t="b">
        <f t="shared" si="1"/>
        <v>0</v>
      </c>
    </row>
    <row r="33" spans="2:8">
      <c r="B33" s="122" t="str">
        <v>Cenário 20/03/2025 com IFC</v>
      </c>
      <c r="C33" s="149" t="str">
        <v>BR-356</v>
      </c>
      <c r="D33" s="179">
        <v>30</v>
      </c>
      <c r="E33" s="479" t="str">
        <v/>
      </c>
      <c r="F33" s="480" t="str">
        <v/>
      </c>
      <c r="G33" s="480" t="str">
        <f t="shared" si="0"/>
        <v xml:space="preserve">Do km  ao km </v>
      </c>
      <c r="H33" s="122" t="b">
        <f t="shared" si="1"/>
        <v>0</v>
      </c>
    </row>
    <row r="34" spans="2:8">
      <c r="B34" s="122" t="str">
        <v>Cenário 20/03/2025 com IFC</v>
      </c>
      <c r="C34" s="149" t="str">
        <v>MG-262</v>
      </c>
      <c r="D34" s="179">
        <v>1</v>
      </c>
      <c r="E34" s="479" t="str">
        <v/>
      </c>
      <c r="F34" s="480" t="str">
        <v/>
      </c>
      <c r="G34" s="480" t="str">
        <f t="shared" si="0"/>
        <v xml:space="preserve">Do km  ao km </v>
      </c>
      <c r="H34" s="122" t="b">
        <f t="shared" si="1"/>
        <v>0</v>
      </c>
    </row>
    <row r="35" spans="2:8">
      <c r="B35" s="122" t="str">
        <v>Cenário 20/03/2025 com IFC</v>
      </c>
      <c r="C35" s="149" t="str">
        <v>MG-262</v>
      </c>
      <c r="D35" s="179">
        <v>2</v>
      </c>
      <c r="E35" s="479" t="str">
        <v/>
      </c>
      <c r="F35" s="480" t="str">
        <v/>
      </c>
      <c r="G35" s="480" t="str">
        <f t="shared" si="0"/>
        <v xml:space="preserve">Do km  ao km </v>
      </c>
      <c r="H35" s="122" t="b">
        <f t="shared" si="1"/>
        <v>0</v>
      </c>
    </row>
    <row r="36" spans="2:8">
      <c r="B36" s="122" t="str">
        <v>Cenário 20/03/2025 com IFC</v>
      </c>
      <c r="C36" s="149" t="str">
        <v>MG-262</v>
      </c>
      <c r="D36" s="179">
        <v>3</v>
      </c>
      <c r="E36" s="479">
        <v>72800</v>
      </c>
      <c r="F36" s="480">
        <v>56000</v>
      </c>
      <c r="G36" s="480" t="str">
        <f t="shared" si="0"/>
        <v>Do km 072+800 ao km 056+000</v>
      </c>
      <c r="H36" s="122" t="b">
        <f t="shared" ref="H36:H67" si="2">AND(ISNUMBER(E36),ISNUMBER(F36))</f>
        <v>1</v>
      </c>
    </row>
    <row r="37" spans="2:8">
      <c r="B37" s="122" t="str">
        <v>Cenário 20/03/2025 com IFC</v>
      </c>
      <c r="C37" s="149" t="str">
        <v>MG-262</v>
      </c>
      <c r="D37" s="179">
        <v>4</v>
      </c>
      <c r="E37" s="479">
        <v>56000</v>
      </c>
      <c r="F37" s="480">
        <v>40000</v>
      </c>
      <c r="G37" s="480" t="str">
        <f t="shared" si="0"/>
        <v>Do km 056+000 ao km 040+000</v>
      </c>
      <c r="H37" s="122" t="b">
        <f t="shared" si="2"/>
        <v>1</v>
      </c>
    </row>
    <row r="38" spans="2:8">
      <c r="B38" s="122" t="str">
        <v>Cenário 20/03/2025 com IFC</v>
      </c>
      <c r="C38" s="149" t="str">
        <v>MG-262</v>
      </c>
      <c r="D38" s="179">
        <v>5</v>
      </c>
      <c r="E38" s="479">
        <v>40000</v>
      </c>
      <c r="F38" s="480">
        <v>21800</v>
      </c>
      <c r="G38" s="480" t="str">
        <f t="shared" si="0"/>
        <v>Do km 040+000 ao km 021+800</v>
      </c>
      <c r="H38" s="122" t="b">
        <f t="shared" si="2"/>
        <v>1</v>
      </c>
    </row>
    <row r="39" spans="2:8">
      <c r="B39" s="122" t="str">
        <v>Cenário 20/03/2025 com IFC</v>
      </c>
      <c r="C39" s="149" t="str">
        <v>MG-262</v>
      </c>
      <c r="D39" s="179">
        <v>6</v>
      </c>
      <c r="E39" s="479" t="str">
        <v/>
      </c>
      <c r="F39" s="480" t="str">
        <v/>
      </c>
      <c r="G39" s="480" t="str">
        <f t="shared" si="0"/>
        <v xml:space="preserve">Do km  ao km </v>
      </c>
      <c r="H39" s="122" t="b">
        <f t="shared" si="2"/>
        <v>0</v>
      </c>
    </row>
    <row r="40" spans="2:8">
      <c r="B40" s="122" t="str">
        <v>Cenário 20/03/2025 com IFC</v>
      </c>
      <c r="C40" s="149" t="str">
        <v>MG-262</v>
      </c>
      <c r="D40" s="179">
        <v>7</v>
      </c>
      <c r="E40" s="479" t="str">
        <v/>
      </c>
      <c r="F40" s="480" t="str">
        <v/>
      </c>
      <c r="G40" s="480" t="str">
        <f t="shared" si="0"/>
        <v xml:space="preserve">Do km  ao km </v>
      </c>
      <c r="H40" s="122" t="b">
        <f t="shared" si="2"/>
        <v>0</v>
      </c>
    </row>
    <row r="41" spans="2:8">
      <c r="B41" s="122" t="str">
        <v>Cenário 20/03/2025 com IFC</v>
      </c>
      <c r="C41" s="149" t="str">
        <v>MG-262</v>
      </c>
      <c r="D41" s="179">
        <v>8</v>
      </c>
      <c r="E41" s="479" t="str">
        <v/>
      </c>
      <c r="F41" s="480" t="str">
        <v/>
      </c>
      <c r="G41" s="480" t="str">
        <f t="shared" si="0"/>
        <v xml:space="preserve">Do km  ao km </v>
      </c>
      <c r="H41" s="122" t="b">
        <f t="shared" si="2"/>
        <v>0</v>
      </c>
    </row>
    <row r="42" spans="2:8">
      <c r="B42" s="122" t="str">
        <v>Cenário 20/03/2025 com IFC</v>
      </c>
      <c r="C42" s="149" t="str">
        <v>MG-262</v>
      </c>
      <c r="D42" s="179">
        <v>9</v>
      </c>
      <c r="E42" s="479" t="str">
        <v/>
      </c>
      <c r="F42" s="480" t="str">
        <v/>
      </c>
      <c r="G42" s="480" t="str">
        <f t="shared" si="0"/>
        <v xml:space="preserve">Do km  ao km </v>
      </c>
      <c r="H42" s="122" t="b">
        <f t="shared" si="2"/>
        <v>0</v>
      </c>
    </row>
    <row r="43" spans="2:8">
      <c r="B43" s="122" t="str">
        <v>Cenário 20/03/2025 com IFC</v>
      </c>
      <c r="C43" s="149" t="str">
        <v>MG-262</v>
      </c>
      <c r="D43" s="179">
        <v>10</v>
      </c>
      <c r="E43" s="479" t="str">
        <v/>
      </c>
      <c r="F43" s="480" t="str">
        <v/>
      </c>
      <c r="G43" s="480" t="str">
        <f t="shared" si="0"/>
        <v xml:space="preserve">Do km  ao km </v>
      </c>
      <c r="H43" s="122" t="b">
        <f t="shared" si="2"/>
        <v>0</v>
      </c>
    </row>
    <row r="44" spans="2:8">
      <c r="B44" s="122" t="str">
        <v>Cenário 20/03/2025 com IFC</v>
      </c>
      <c r="C44" s="149" t="str">
        <v>MG-262</v>
      </c>
      <c r="D44" s="179">
        <v>11</v>
      </c>
      <c r="E44" s="479" t="str">
        <v/>
      </c>
      <c r="F44" s="480" t="str">
        <v/>
      </c>
      <c r="G44" s="480" t="str">
        <f t="shared" si="0"/>
        <v xml:space="preserve">Do km  ao km </v>
      </c>
      <c r="H44" s="122" t="b">
        <f t="shared" si="2"/>
        <v>0</v>
      </c>
    </row>
    <row r="45" spans="2:8">
      <c r="B45" s="122" t="str">
        <v>Cenário 20/03/2025 com IFC</v>
      </c>
      <c r="C45" s="149" t="str">
        <v>MG-262</v>
      </c>
      <c r="D45" s="179">
        <v>12</v>
      </c>
      <c r="E45" s="479" t="str">
        <v/>
      </c>
      <c r="F45" s="480" t="str">
        <v/>
      </c>
      <c r="G45" s="480" t="str">
        <f t="shared" si="0"/>
        <v xml:space="preserve">Do km  ao km </v>
      </c>
      <c r="H45" s="122" t="b">
        <f t="shared" si="2"/>
        <v>0</v>
      </c>
    </row>
    <row r="46" spans="2:8">
      <c r="B46" s="122" t="str">
        <v>Cenário 20/03/2025 com IFC</v>
      </c>
      <c r="C46" s="149" t="str">
        <v>MG-262</v>
      </c>
      <c r="D46" s="179">
        <v>13</v>
      </c>
      <c r="E46" s="479" t="str">
        <v/>
      </c>
      <c r="F46" s="480" t="str">
        <v/>
      </c>
      <c r="G46" s="480" t="str">
        <f t="shared" si="0"/>
        <v xml:space="preserve">Do km  ao km </v>
      </c>
      <c r="H46" s="122" t="b">
        <f t="shared" si="2"/>
        <v>0</v>
      </c>
    </row>
    <row r="47" spans="2:8">
      <c r="B47" s="122" t="str">
        <v>Cenário 20/03/2025 com IFC</v>
      </c>
      <c r="C47" s="149" t="str">
        <v>MG-262</v>
      </c>
      <c r="D47" s="179">
        <v>14</v>
      </c>
      <c r="E47" s="479" t="str">
        <v/>
      </c>
      <c r="F47" s="480" t="str">
        <v/>
      </c>
      <c r="G47" s="480" t="str">
        <f t="shared" si="0"/>
        <v xml:space="preserve">Do km  ao km </v>
      </c>
      <c r="H47" s="122" t="b">
        <f t="shared" si="2"/>
        <v>0</v>
      </c>
    </row>
    <row r="48" spans="2:8">
      <c r="B48" s="122" t="str">
        <v>Cenário 20/03/2025 com IFC</v>
      </c>
      <c r="C48" s="149" t="str">
        <v>MG-262</v>
      </c>
      <c r="D48" s="179">
        <v>15</v>
      </c>
      <c r="E48" s="479" t="str">
        <v/>
      </c>
      <c r="F48" s="480" t="str">
        <v/>
      </c>
      <c r="G48" s="480" t="str">
        <f t="shared" si="0"/>
        <v xml:space="preserve">Do km  ao km </v>
      </c>
      <c r="H48" s="122" t="b">
        <f t="shared" si="2"/>
        <v>0</v>
      </c>
    </row>
    <row r="49" spans="2:8">
      <c r="B49" s="122" t="str">
        <v>Cenário 20/03/2025 com IFC</v>
      </c>
      <c r="C49" s="149" t="str">
        <v>MG-262</v>
      </c>
      <c r="D49" s="179">
        <v>16</v>
      </c>
      <c r="E49" s="479" t="str">
        <v/>
      </c>
      <c r="F49" s="480" t="str">
        <v/>
      </c>
      <c r="G49" s="480" t="str">
        <f t="shared" si="0"/>
        <v xml:space="preserve">Do km  ao km </v>
      </c>
      <c r="H49" s="122" t="b">
        <f t="shared" si="2"/>
        <v>0</v>
      </c>
    </row>
    <row r="50" spans="2:8">
      <c r="B50" s="122" t="str">
        <v>Cenário 20/03/2025 com IFC</v>
      </c>
      <c r="C50" s="149" t="str">
        <v>MG-262</v>
      </c>
      <c r="D50" s="179">
        <v>17</v>
      </c>
      <c r="E50" s="479" t="str">
        <v/>
      </c>
      <c r="F50" s="480" t="str">
        <v/>
      </c>
      <c r="G50" s="480" t="str">
        <f t="shared" si="0"/>
        <v xml:space="preserve">Do km  ao km </v>
      </c>
      <c r="H50" s="122" t="b">
        <f t="shared" si="2"/>
        <v>0</v>
      </c>
    </row>
    <row r="51" spans="2:8">
      <c r="B51" s="122" t="str">
        <v>Cenário 20/03/2025 com IFC</v>
      </c>
      <c r="C51" s="149" t="str">
        <v>MG-262</v>
      </c>
      <c r="D51" s="179">
        <v>18</v>
      </c>
      <c r="E51" s="479" t="str">
        <v/>
      </c>
      <c r="F51" s="480" t="str">
        <v/>
      </c>
      <c r="G51" s="480" t="str">
        <f t="shared" si="0"/>
        <v xml:space="preserve">Do km  ao km </v>
      </c>
      <c r="H51" s="122" t="b">
        <f t="shared" si="2"/>
        <v>0</v>
      </c>
    </row>
    <row r="52" spans="2:8">
      <c r="B52" s="122" t="str">
        <v>Cenário 20/03/2025 com IFC</v>
      </c>
      <c r="C52" s="149" t="str">
        <v>MG-262</v>
      </c>
      <c r="D52" s="179">
        <v>19</v>
      </c>
      <c r="E52" s="479" t="str">
        <v/>
      </c>
      <c r="F52" s="480" t="str">
        <v/>
      </c>
      <c r="G52" s="480" t="str">
        <f t="shared" si="0"/>
        <v xml:space="preserve">Do km  ao km </v>
      </c>
      <c r="H52" s="122" t="b">
        <f t="shared" si="2"/>
        <v>0</v>
      </c>
    </row>
    <row r="53" spans="2:8">
      <c r="B53" s="122" t="str">
        <v>Cenário 20/03/2025 com IFC</v>
      </c>
      <c r="C53" s="149" t="str">
        <v>MG-262</v>
      </c>
      <c r="D53" s="179">
        <v>20</v>
      </c>
      <c r="E53" s="479" t="str">
        <v/>
      </c>
      <c r="F53" s="480" t="str">
        <v/>
      </c>
      <c r="G53" s="480" t="str">
        <f t="shared" si="0"/>
        <v xml:space="preserve">Do km  ao km </v>
      </c>
      <c r="H53" s="122" t="b">
        <f t="shared" si="2"/>
        <v>0</v>
      </c>
    </row>
    <row r="54" spans="2:8">
      <c r="B54" s="122" t="str">
        <v>Cenário 20/03/2025 com IFC</v>
      </c>
      <c r="C54" s="149" t="str">
        <v>MG-262</v>
      </c>
      <c r="D54" s="179">
        <v>21</v>
      </c>
      <c r="E54" s="479" t="str">
        <v/>
      </c>
      <c r="F54" s="480" t="str">
        <v/>
      </c>
      <c r="G54" s="480" t="str">
        <f t="shared" si="0"/>
        <v xml:space="preserve">Do km  ao km </v>
      </c>
      <c r="H54" s="122" t="b">
        <f t="shared" si="2"/>
        <v>0</v>
      </c>
    </row>
    <row r="55" spans="2:8">
      <c r="B55" s="122" t="str">
        <v>Cenário 20/03/2025 com IFC</v>
      </c>
      <c r="C55" s="149" t="str">
        <v>MG-262</v>
      </c>
      <c r="D55" s="179">
        <v>22</v>
      </c>
      <c r="E55" s="479" t="str">
        <v/>
      </c>
      <c r="F55" s="480" t="str">
        <v/>
      </c>
      <c r="G55" s="480" t="str">
        <f t="shared" si="0"/>
        <v xml:space="preserve">Do km  ao km </v>
      </c>
      <c r="H55" s="122" t="b">
        <f t="shared" si="2"/>
        <v>0</v>
      </c>
    </row>
    <row r="56" spans="2:8">
      <c r="B56" s="122" t="str">
        <v>Cenário 20/03/2025 com IFC</v>
      </c>
      <c r="C56" s="149" t="str">
        <v>MG-262</v>
      </c>
      <c r="D56" s="179">
        <v>23</v>
      </c>
      <c r="E56" s="479" t="str">
        <v/>
      </c>
      <c r="F56" s="480" t="str">
        <v/>
      </c>
      <c r="G56" s="480" t="str">
        <f t="shared" si="0"/>
        <v xml:space="preserve">Do km  ao km </v>
      </c>
      <c r="H56" s="122" t="b">
        <f t="shared" si="2"/>
        <v>0</v>
      </c>
    </row>
    <row r="57" spans="2:8">
      <c r="B57" s="122" t="str">
        <v>Cenário 20/03/2025 com IFC</v>
      </c>
      <c r="C57" s="149" t="str">
        <v>MG-262</v>
      </c>
      <c r="D57" s="179">
        <v>24</v>
      </c>
      <c r="E57" s="479" t="str">
        <v/>
      </c>
      <c r="F57" s="480" t="str">
        <v/>
      </c>
      <c r="G57" s="480" t="str">
        <f t="shared" si="0"/>
        <v xml:space="preserve">Do km  ao km </v>
      </c>
      <c r="H57" s="122" t="b">
        <f t="shared" si="2"/>
        <v>0</v>
      </c>
    </row>
    <row r="58" spans="2:8">
      <c r="B58" s="122" t="str">
        <v>Cenário 20/03/2025 com IFC</v>
      </c>
      <c r="C58" s="149" t="str">
        <v>MG-262</v>
      </c>
      <c r="D58" s="179">
        <v>25</v>
      </c>
      <c r="E58" s="479" t="str">
        <v/>
      </c>
      <c r="F58" s="480" t="str">
        <v/>
      </c>
      <c r="G58" s="480" t="str">
        <f t="shared" si="0"/>
        <v xml:space="preserve">Do km  ao km </v>
      </c>
      <c r="H58" s="122" t="b">
        <f t="shared" si="2"/>
        <v>0</v>
      </c>
    </row>
    <row r="59" spans="2:8">
      <c r="B59" s="122" t="str">
        <v>Cenário 20/03/2025 com IFC</v>
      </c>
      <c r="C59" s="149" t="str">
        <v>MG-262</v>
      </c>
      <c r="D59" s="179">
        <v>26</v>
      </c>
      <c r="E59" s="479" t="str">
        <v/>
      </c>
      <c r="F59" s="480" t="str">
        <v/>
      </c>
      <c r="G59" s="480" t="str">
        <f t="shared" si="0"/>
        <v xml:space="preserve">Do km  ao km </v>
      </c>
      <c r="H59" s="122" t="b">
        <f t="shared" si="2"/>
        <v>0</v>
      </c>
    </row>
    <row r="60" spans="2:8">
      <c r="B60" s="122" t="str">
        <v>Cenário 20/03/2025 com IFC</v>
      </c>
      <c r="C60" s="149" t="str">
        <v>MG-262</v>
      </c>
      <c r="D60" s="179">
        <v>27</v>
      </c>
      <c r="E60" s="479" t="str">
        <v/>
      </c>
      <c r="F60" s="480" t="str">
        <v/>
      </c>
      <c r="G60" s="480" t="str">
        <f t="shared" si="0"/>
        <v xml:space="preserve">Do km  ao km </v>
      </c>
      <c r="H60" s="122" t="b">
        <f t="shared" si="2"/>
        <v>0</v>
      </c>
    </row>
    <row r="61" spans="2:8">
      <c r="B61" s="122" t="str">
        <v>Cenário 20/03/2025 com IFC</v>
      </c>
      <c r="C61" s="149" t="str">
        <v>MG-262</v>
      </c>
      <c r="D61" s="179">
        <v>28</v>
      </c>
      <c r="E61" s="479" t="str">
        <v/>
      </c>
      <c r="F61" s="480" t="str">
        <v/>
      </c>
      <c r="G61" s="480" t="str">
        <f t="shared" si="0"/>
        <v xml:space="preserve">Do km  ao km </v>
      </c>
      <c r="H61" s="122" t="b">
        <f t="shared" si="2"/>
        <v>0</v>
      </c>
    </row>
    <row r="62" spans="2:8">
      <c r="B62" s="122" t="str">
        <v>Cenário 20/03/2025 com IFC</v>
      </c>
      <c r="C62" s="149" t="str">
        <v>MG-262</v>
      </c>
      <c r="D62" s="179">
        <v>29</v>
      </c>
      <c r="E62" s="479" t="str">
        <v/>
      </c>
      <c r="F62" s="480" t="str">
        <v/>
      </c>
      <c r="G62" s="480" t="str">
        <f t="shared" si="0"/>
        <v xml:space="preserve">Do km  ao km </v>
      </c>
      <c r="H62" s="122" t="b">
        <f t="shared" si="2"/>
        <v>0</v>
      </c>
    </row>
    <row r="63" spans="2:8">
      <c r="B63" s="122" t="str">
        <v>Cenário 20/03/2025 com IFC</v>
      </c>
      <c r="C63" s="149" t="str">
        <v>MG-262</v>
      </c>
      <c r="D63" s="179">
        <v>30</v>
      </c>
      <c r="E63" s="479" t="str">
        <v/>
      </c>
      <c r="F63" s="480" t="str">
        <v/>
      </c>
      <c r="G63" s="480" t="str">
        <f t="shared" si="0"/>
        <v xml:space="preserve">Do km  ao km </v>
      </c>
      <c r="H63" s="122" t="b">
        <f t="shared" si="2"/>
        <v>0</v>
      </c>
    </row>
    <row r="64" spans="2:8">
      <c r="B64" s="122" t="str">
        <v>Cenário 20/03/2025 com IFC</v>
      </c>
      <c r="C64" s="149" t="str">
        <v>MG-329</v>
      </c>
      <c r="D64" s="179">
        <v>1</v>
      </c>
      <c r="E64" s="479" t="str">
        <v/>
      </c>
      <c r="F64" s="480" t="str">
        <v/>
      </c>
      <c r="G64" s="480" t="str">
        <f t="shared" si="0"/>
        <v xml:space="preserve">Do km  ao km </v>
      </c>
      <c r="H64" s="122" t="b">
        <f t="shared" si="2"/>
        <v>0</v>
      </c>
    </row>
    <row r="65" spans="2:8">
      <c r="B65" s="122" t="str">
        <v>Cenário 20/03/2025 com IFC</v>
      </c>
      <c r="C65" s="149" t="str">
        <v>MG-329</v>
      </c>
      <c r="D65" s="179">
        <v>2</v>
      </c>
      <c r="E65" s="479" t="str">
        <v/>
      </c>
      <c r="F65" s="480" t="str">
        <v/>
      </c>
      <c r="G65" s="480" t="str">
        <f t="shared" si="0"/>
        <v xml:space="preserve">Do km  ao km </v>
      </c>
      <c r="H65" s="122" t="b">
        <f t="shared" si="2"/>
        <v>0</v>
      </c>
    </row>
    <row r="66" spans="2:8">
      <c r="B66" s="122" t="str">
        <v>Cenário 20/03/2025 com IFC</v>
      </c>
      <c r="C66" s="149" t="str">
        <v>MG-329</v>
      </c>
      <c r="D66" s="179">
        <v>3</v>
      </c>
      <c r="E66" s="479" t="str">
        <v/>
      </c>
      <c r="F66" s="480" t="str">
        <v/>
      </c>
      <c r="G66" s="480" t="str">
        <f t="shared" si="0"/>
        <v xml:space="preserve">Do km  ao km </v>
      </c>
      <c r="H66" s="122" t="b">
        <f t="shared" si="2"/>
        <v>0</v>
      </c>
    </row>
    <row r="67" spans="2:8">
      <c r="B67" s="122" t="str">
        <v>Cenário 20/03/2025 com IFC</v>
      </c>
      <c r="C67" s="149" t="str">
        <v>MG-329</v>
      </c>
      <c r="D67" s="179">
        <v>4</v>
      </c>
      <c r="E67" s="479">
        <v>100500</v>
      </c>
      <c r="F67" s="480">
        <v>134500</v>
      </c>
      <c r="G67" s="480" t="str">
        <f t="shared" si="0"/>
        <v>Do km 100+500 ao km 134+500</v>
      </c>
      <c r="H67" s="122" t="b">
        <f t="shared" si="2"/>
        <v>1</v>
      </c>
    </row>
    <row r="68" spans="2:8">
      <c r="B68" s="122" t="str">
        <v>Cenário 20/03/2025 com IFC</v>
      </c>
      <c r="C68" s="149" t="str">
        <v>MG-329</v>
      </c>
      <c r="D68" s="179">
        <v>5</v>
      </c>
      <c r="E68" s="479" t="str">
        <v/>
      </c>
      <c r="F68" s="480" t="str">
        <v/>
      </c>
      <c r="G68" s="480" t="str">
        <f t="shared" si="0"/>
        <v xml:space="preserve">Do km  ao km </v>
      </c>
      <c r="H68" s="122" t="b">
        <f t="shared" ref="H68:H93" si="3">AND(ISNUMBER(E68),ISNUMBER(F68))</f>
        <v>0</v>
      </c>
    </row>
    <row r="69" spans="2:8">
      <c r="B69" s="122" t="str">
        <v>Cenário 20/03/2025 com IFC</v>
      </c>
      <c r="C69" s="149" t="str">
        <v>MG-329</v>
      </c>
      <c r="D69" s="179">
        <v>6</v>
      </c>
      <c r="E69" s="479" t="str">
        <v/>
      </c>
      <c r="F69" s="480" t="str">
        <v/>
      </c>
      <c r="G69" s="480" t="str">
        <f t="shared" ref="G69:G93" si="4">"Do km " &amp; TEXT(E69,"000+000") &amp; " ao km " &amp; TEXT(F69,"000+000")</f>
        <v xml:space="preserve">Do km  ao km </v>
      </c>
      <c r="H69" s="122" t="b">
        <f t="shared" si="3"/>
        <v>0</v>
      </c>
    </row>
    <row r="70" spans="2:8">
      <c r="B70" s="122" t="str">
        <v>Cenário 20/03/2025 com IFC</v>
      </c>
      <c r="C70" s="149" t="str">
        <v>MG-329</v>
      </c>
      <c r="D70" s="179">
        <v>7</v>
      </c>
      <c r="E70" s="479" t="str">
        <v/>
      </c>
      <c r="F70" s="480" t="str">
        <v/>
      </c>
      <c r="G70" s="480" t="str">
        <f t="shared" si="4"/>
        <v xml:space="preserve">Do km  ao km </v>
      </c>
      <c r="H70" s="122" t="b">
        <f t="shared" si="3"/>
        <v>0</v>
      </c>
    </row>
    <row r="71" spans="2:8">
      <c r="B71" s="122" t="str">
        <v>Cenário 20/03/2025 com IFC</v>
      </c>
      <c r="C71" s="149" t="str">
        <v>MG-329</v>
      </c>
      <c r="D71" s="179">
        <v>8</v>
      </c>
      <c r="E71" s="479" t="str">
        <v/>
      </c>
      <c r="F71" s="480" t="str">
        <v/>
      </c>
      <c r="G71" s="480" t="str">
        <f t="shared" si="4"/>
        <v xml:space="preserve">Do km  ao km </v>
      </c>
      <c r="H71" s="122" t="b">
        <f t="shared" si="3"/>
        <v>0</v>
      </c>
    </row>
    <row r="72" spans="2:8">
      <c r="B72" s="122" t="str">
        <v>Cenário 20/03/2025 com IFC</v>
      </c>
      <c r="C72" s="149" t="str">
        <v>MG-329</v>
      </c>
      <c r="D72" s="179">
        <v>9</v>
      </c>
      <c r="E72" s="479" t="str">
        <v/>
      </c>
      <c r="F72" s="480" t="str">
        <v/>
      </c>
      <c r="G72" s="480" t="str">
        <f t="shared" si="4"/>
        <v xml:space="preserve">Do km  ao km </v>
      </c>
      <c r="H72" s="122" t="b">
        <f t="shared" si="3"/>
        <v>0</v>
      </c>
    </row>
    <row r="73" spans="2:8">
      <c r="B73" s="122" t="str">
        <v>Cenário 20/03/2025 com IFC</v>
      </c>
      <c r="C73" s="149" t="str">
        <v>MG-329</v>
      </c>
      <c r="D73" s="179">
        <v>10</v>
      </c>
      <c r="E73" s="479" t="str">
        <v/>
      </c>
      <c r="F73" s="480" t="str">
        <v/>
      </c>
      <c r="G73" s="480" t="str">
        <f t="shared" si="4"/>
        <v xml:space="preserve">Do km  ao km </v>
      </c>
      <c r="H73" s="122" t="b">
        <f t="shared" si="3"/>
        <v>0</v>
      </c>
    </row>
    <row r="74" spans="2:8">
      <c r="B74" s="122" t="str">
        <v>Cenário 20/03/2025 com IFC</v>
      </c>
      <c r="C74" s="149" t="str">
        <v>MG-329</v>
      </c>
      <c r="D74" s="179">
        <v>11</v>
      </c>
      <c r="E74" s="479" t="str">
        <v/>
      </c>
      <c r="F74" s="480" t="str">
        <v/>
      </c>
      <c r="G74" s="480" t="str">
        <f t="shared" si="4"/>
        <v xml:space="preserve">Do km  ao km </v>
      </c>
      <c r="H74" s="122" t="b">
        <f t="shared" si="3"/>
        <v>0</v>
      </c>
    </row>
    <row r="75" spans="2:8">
      <c r="B75" s="122" t="str">
        <v>Cenário 20/03/2025 com IFC</v>
      </c>
      <c r="C75" s="149" t="str">
        <v>MG-329</v>
      </c>
      <c r="D75" s="179">
        <v>12</v>
      </c>
      <c r="E75" s="479" t="str">
        <v/>
      </c>
      <c r="F75" s="480" t="str">
        <v/>
      </c>
      <c r="G75" s="480" t="str">
        <f t="shared" si="4"/>
        <v xml:space="preserve">Do km  ao km </v>
      </c>
      <c r="H75" s="122" t="b">
        <f t="shared" si="3"/>
        <v>0</v>
      </c>
    </row>
    <row r="76" spans="2:8">
      <c r="B76" s="122" t="str">
        <v>Cenário 20/03/2025 com IFC</v>
      </c>
      <c r="C76" s="149" t="str">
        <v>MG-329</v>
      </c>
      <c r="D76" s="179">
        <v>13</v>
      </c>
      <c r="E76" s="479" t="str">
        <v/>
      </c>
      <c r="F76" s="480" t="str">
        <v/>
      </c>
      <c r="G76" s="480" t="str">
        <f t="shared" si="4"/>
        <v xml:space="preserve">Do km  ao km </v>
      </c>
      <c r="H76" s="122" t="b">
        <f t="shared" si="3"/>
        <v>0</v>
      </c>
    </row>
    <row r="77" spans="2:8">
      <c r="B77" s="122" t="str">
        <v>Cenário 20/03/2025 com IFC</v>
      </c>
      <c r="C77" s="149" t="str">
        <v>MG-329</v>
      </c>
      <c r="D77" s="179">
        <v>14</v>
      </c>
      <c r="E77" s="479" t="str">
        <v/>
      </c>
      <c r="F77" s="480" t="str">
        <v/>
      </c>
      <c r="G77" s="480" t="str">
        <f t="shared" si="4"/>
        <v xml:space="preserve">Do km  ao km </v>
      </c>
      <c r="H77" s="122" t="b">
        <f t="shared" si="3"/>
        <v>0</v>
      </c>
    </row>
    <row r="78" spans="2:8">
      <c r="B78" s="122" t="str">
        <v>Cenário 20/03/2025 com IFC</v>
      </c>
      <c r="C78" s="149" t="str">
        <v>MG-329</v>
      </c>
      <c r="D78" s="179">
        <v>15</v>
      </c>
      <c r="E78" s="479" t="str">
        <v/>
      </c>
      <c r="F78" s="480" t="str">
        <v/>
      </c>
      <c r="G78" s="480" t="str">
        <f t="shared" si="4"/>
        <v xml:space="preserve">Do km  ao km </v>
      </c>
      <c r="H78" s="122" t="b">
        <f t="shared" si="3"/>
        <v>0</v>
      </c>
    </row>
    <row r="79" spans="2:8">
      <c r="B79" s="122" t="str">
        <v>Cenário 20/03/2025 com IFC</v>
      </c>
      <c r="C79" s="149" t="str">
        <v>MG-329</v>
      </c>
      <c r="D79" s="179">
        <v>16</v>
      </c>
      <c r="E79" s="479" t="str">
        <v/>
      </c>
      <c r="F79" s="480" t="str">
        <v/>
      </c>
      <c r="G79" s="480" t="str">
        <f t="shared" si="4"/>
        <v xml:space="preserve">Do km  ao km </v>
      </c>
      <c r="H79" s="122" t="b">
        <f t="shared" si="3"/>
        <v>0</v>
      </c>
    </row>
    <row r="80" spans="2:8">
      <c r="B80" s="122" t="str">
        <v>Cenário 20/03/2025 com IFC</v>
      </c>
      <c r="C80" s="149" t="str">
        <v>MG-329</v>
      </c>
      <c r="D80" s="179">
        <v>17</v>
      </c>
      <c r="E80" s="479" t="str">
        <v/>
      </c>
      <c r="F80" s="480" t="str">
        <v/>
      </c>
      <c r="G80" s="480" t="str">
        <f t="shared" si="4"/>
        <v xml:space="preserve">Do km  ao km </v>
      </c>
      <c r="H80" s="122" t="b">
        <f t="shared" si="3"/>
        <v>0</v>
      </c>
    </row>
    <row r="81" spans="2:8">
      <c r="B81" s="122" t="str">
        <v>Cenário 20/03/2025 com IFC</v>
      </c>
      <c r="C81" s="149" t="str">
        <v>MG-329</v>
      </c>
      <c r="D81" s="179">
        <v>18</v>
      </c>
      <c r="E81" s="479" t="str">
        <v/>
      </c>
      <c r="F81" s="480" t="str">
        <v/>
      </c>
      <c r="G81" s="480" t="str">
        <f t="shared" si="4"/>
        <v xml:space="preserve">Do km  ao km </v>
      </c>
      <c r="H81" s="122" t="b">
        <f t="shared" si="3"/>
        <v>0</v>
      </c>
    </row>
    <row r="82" spans="2:8">
      <c r="B82" s="122" t="str">
        <v>Cenário 20/03/2025 com IFC</v>
      </c>
      <c r="C82" s="149" t="str">
        <v>MG-329</v>
      </c>
      <c r="D82" s="179">
        <v>19</v>
      </c>
      <c r="E82" s="479" t="str">
        <v/>
      </c>
      <c r="F82" s="480" t="str">
        <v/>
      </c>
      <c r="G82" s="480" t="str">
        <f t="shared" si="4"/>
        <v xml:space="preserve">Do km  ao km </v>
      </c>
      <c r="H82" s="122" t="b">
        <f t="shared" si="3"/>
        <v>0</v>
      </c>
    </row>
    <row r="83" spans="2:8">
      <c r="B83" s="122" t="str">
        <v>Cenário 20/03/2025 com IFC</v>
      </c>
      <c r="C83" s="149" t="str">
        <v>MG-329</v>
      </c>
      <c r="D83" s="179">
        <v>20</v>
      </c>
      <c r="E83" s="479" t="str">
        <v/>
      </c>
      <c r="F83" s="480" t="str">
        <v/>
      </c>
      <c r="G83" s="480" t="str">
        <f t="shared" si="4"/>
        <v xml:space="preserve">Do km  ao km </v>
      </c>
      <c r="H83" s="122" t="b">
        <f t="shared" si="3"/>
        <v>0</v>
      </c>
    </row>
    <row r="84" spans="2:8">
      <c r="B84" s="122" t="str">
        <v>Cenário 20/03/2025 com IFC</v>
      </c>
      <c r="C84" s="149" t="str">
        <v>MG-329</v>
      </c>
      <c r="D84" s="179">
        <v>21</v>
      </c>
      <c r="E84" s="479" t="str">
        <v/>
      </c>
      <c r="F84" s="480" t="str">
        <v/>
      </c>
      <c r="G84" s="480" t="str">
        <f t="shared" si="4"/>
        <v xml:space="preserve">Do km  ao km </v>
      </c>
      <c r="H84" s="122" t="b">
        <f t="shared" si="3"/>
        <v>0</v>
      </c>
    </row>
    <row r="85" spans="2:8">
      <c r="B85" s="122" t="str">
        <v>Cenário 20/03/2025 com IFC</v>
      </c>
      <c r="C85" s="149" t="str">
        <v>MG-329</v>
      </c>
      <c r="D85" s="179">
        <v>22</v>
      </c>
      <c r="E85" s="479" t="str">
        <v/>
      </c>
      <c r="F85" s="480" t="str">
        <v/>
      </c>
      <c r="G85" s="480" t="str">
        <f t="shared" si="4"/>
        <v xml:space="preserve">Do km  ao km </v>
      </c>
      <c r="H85" s="122" t="b">
        <f t="shared" si="3"/>
        <v>0</v>
      </c>
    </row>
    <row r="86" spans="2:8">
      <c r="B86" s="122" t="str">
        <v>Cenário 20/03/2025 com IFC</v>
      </c>
      <c r="C86" s="149" t="str">
        <v>MG-329</v>
      </c>
      <c r="D86" s="179">
        <v>23</v>
      </c>
      <c r="E86" s="479" t="str">
        <v/>
      </c>
      <c r="F86" s="480" t="str">
        <v/>
      </c>
      <c r="G86" s="480" t="str">
        <f t="shared" si="4"/>
        <v xml:space="preserve">Do km  ao km </v>
      </c>
      <c r="H86" s="122" t="b">
        <f t="shared" si="3"/>
        <v>0</v>
      </c>
    </row>
    <row r="87" spans="2:8">
      <c r="B87" s="122" t="str">
        <v>Cenário 20/03/2025 com IFC</v>
      </c>
      <c r="C87" s="149" t="str">
        <v>MG-329</v>
      </c>
      <c r="D87" s="179">
        <v>24</v>
      </c>
      <c r="E87" s="479" t="str">
        <v/>
      </c>
      <c r="F87" s="480" t="str">
        <v/>
      </c>
      <c r="G87" s="480" t="str">
        <f t="shared" si="4"/>
        <v xml:space="preserve">Do km  ao km </v>
      </c>
      <c r="H87" s="122" t="b">
        <f t="shared" si="3"/>
        <v>0</v>
      </c>
    </row>
    <row r="88" spans="2:8">
      <c r="B88" s="122" t="str">
        <v>Cenário 20/03/2025 com IFC</v>
      </c>
      <c r="C88" s="149" t="str">
        <v>MG-329</v>
      </c>
      <c r="D88" s="179">
        <v>25</v>
      </c>
      <c r="E88" s="479" t="str">
        <v/>
      </c>
      <c r="F88" s="480" t="str">
        <v/>
      </c>
      <c r="G88" s="480" t="str">
        <f t="shared" si="4"/>
        <v xml:space="preserve">Do km  ao km </v>
      </c>
      <c r="H88" s="122" t="b">
        <f t="shared" si="3"/>
        <v>0</v>
      </c>
    </row>
    <row r="89" spans="2:8">
      <c r="B89" s="122" t="str">
        <v>Cenário 20/03/2025 com IFC</v>
      </c>
      <c r="C89" s="149" t="str">
        <v>MG-329</v>
      </c>
      <c r="D89" s="179">
        <v>26</v>
      </c>
      <c r="E89" s="479" t="str">
        <v/>
      </c>
      <c r="F89" s="480" t="str">
        <v/>
      </c>
      <c r="G89" s="480" t="str">
        <f t="shared" si="4"/>
        <v xml:space="preserve">Do km  ao km </v>
      </c>
      <c r="H89" s="122" t="b">
        <f t="shared" si="3"/>
        <v>0</v>
      </c>
    </row>
    <row r="90" spans="2:8">
      <c r="B90" s="122" t="str">
        <v>Cenário 20/03/2025 com IFC</v>
      </c>
      <c r="C90" s="149" t="str">
        <v>MG-329</v>
      </c>
      <c r="D90" s="179">
        <v>27</v>
      </c>
      <c r="E90" s="479" t="str">
        <v/>
      </c>
      <c r="F90" s="480" t="str">
        <v/>
      </c>
      <c r="G90" s="480" t="str">
        <f t="shared" si="4"/>
        <v xml:space="preserve">Do km  ao km </v>
      </c>
      <c r="H90" s="122" t="b">
        <f t="shared" si="3"/>
        <v>0</v>
      </c>
    </row>
    <row r="91" spans="2:8">
      <c r="B91" s="122" t="str">
        <v>Cenário 20/03/2025 com IFC</v>
      </c>
      <c r="C91" s="149" t="str">
        <v>MG-329</v>
      </c>
      <c r="D91" s="179">
        <v>28</v>
      </c>
      <c r="E91" s="479" t="str">
        <v/>
      </c>
      <c r="F91" s="480" t="str">
        <v/>
      </c>
      <c r="G91" s="480" t="str">
        <f t="shared" si="4"/>
        <v xml:space="preserve">Do km  ao km </v>
      </c>
      <c r="H91" s="122" t="b">
        <f t="shared" si="3"/>
        <v>0</v>
      </c>
    </row>
    <row r="92" spans="2:8">
      <c r="B92" s="122" t="str">
        <v>Cenário 20/03/2025 com IFC</v>
      </c>
      <c r="C92" s="149" t="str">
        <v>MG-329</v>
      </c>
      <c r="D92" s="179">
        <v>29</v>
      </c>
      <c r="E92" s="479" t="str">
        <v/>
      </c>
      <c r="F92" s="480" t="str">
        <v/>
      </c>
      <c r="G92" s="480" t="str">
        <f t="shared" si="4"/>
        <v xml:space="preserve">Do km  ao km </v>
      </c>
      <c r="H92" s="122" t="b">
        <f t="shared" si="3"/>
        <v>0</v>
      </c>
    </row>
    <row r="93" spans="2:8">
      <c r="B93" s="122" t="str">
        <v>Cenário 20/03/2025 com IFC</v>
      </c>
      <c r="C93" s="149" t="str">
        <v>MG-329</v>
      </c>
      <c r="D93" s="179">
        <v>30</v>
      </c>
      <c r="E93" s="479" t="str">
        <v/>
      </c>
      <c r="F93" s="480" t="str">
        <v/>
      </c>
      <c r="G93" s="480" t="str">
        <f t="shared" si="4"/>
        <v xml:space="preserve">Do km  ao km </v>
      </c>
      <c r="H93" s="122" t="b">
        <f t="shared" si="3"/>
        <v>0</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6C730-1C6A-401C-9A4C-30C6B2DEA856}">
  <sheetPr>
    <tabColor rgb="FF00B050"/>
  </sheetPr>
  <dimension ref="B2:F543"/>
  <sheetViews>
    <sheetView showGridLines="0" zoomScale="90" zoomScaleNormal="90" workbookViewId="0">
      <selection activeCell="B1" sqref="B1"/>
    </sheetView>
  </sheetViews>
  <sheetFormatPr defaultColWidth="11.7109375" defaultRowHeight="12.75"/>
  <cols>
    <col min="1" max="1" width="2.42578125" customWidth="1"/>
    <col min="2" max="2" width="29.5703125" customWidth="1"/>
    <col min="3" max="3" width="8.42578125" bestFit="1" customWidth="1"/>
    <col min="4" max="4" width="4.7109375" bestFit="1" customWidth="1"/>
    <col min="5" max="5" width="14.5703125" bestFit="1" customWidth="1"/>
  </cols>
  <sheetData>
    <row r="2" spans="2:6">
      <c r="B2" s="2" t="s">
        <v>735</v>
      </c>
      <c r="C2" s="2"/>
    </row>
    <row r="3" spans="2:6">
      <c r="B3" s="14" t="s">
        <v>541</v>
      </c>
      <c r="C3" s="14" t="s">
        <v>18</v>
      </c>
      <c r="D3" s="169" t="s">
        <v>566</v>
      </c>
      <c r="E3" s="14" t="s">
        <v>736</v>
      </c>
      <c r="F3" s="14" t="s">
        <v>737</v>
      </c>
    </row>
    <row r="4" spans="2:6">
      <c r="B4" s="507" t="s">
        <v>115</v>
      </c>
      <c r="C4" s="488" t="s">
        <v>26</v>
      </c>
      <c r="D4" s="10">
        <v>1</v>
      </c>
      <c r="E4" s="478" t="s">
        <v>341</v>
      </c>
      <c r="F4" s="478" t="s">
        <v>341</v>
      </c>
    </row>
    <row r="5" spans="2:6">
      <c r="B5" s="507" t="s">
        <v>115</v>
      </c>
      <c r="C5" s="12" t="s">
        <v>26</v>
      </c>
      <c r="D5" s="10">
        <v>2</v>
      </c>
      <c r="E5" s="478" t="s">
        <v>341</v>
      </c>
      <c r="F5" s="478" t="s">
        <v>341</v>
      </c>
    </row>
    <row r="6" spans="2:6">
      <c r="B6" s="507" t="s">
        <v>115</v>
      </c>
      <c r="C6" s="12" t="s">
        <v>26</v>
      </c>
      <c r="D6" s="10">
        <v>3</v>
      </c>
      <c r="E6" s="478">
        <v>27800</v>
      </c>
      <c r="F6" s="478">
        <v>43800</v>
      </c>
    </row>
    <row r="7" spans="2:6">
      <c r="B7" s="507" t="s">
        <v>115</v>
      </c>
      <c r="C7" s="12" t="s">
        <v>26</v>
      </c>
      <c r="D7" s="10">
        <v>4</v>
      </c>
      <c r="E7" s="478">
        <v>43800</v>
      </c>
      <c r="F7" s="478">
        <v>66000</v>
      </c>
    </row>
    <row r="8" spans="2:6">
      <c r="B8" s="507" t="s">
        <v>115</v>
      </c>
      <c r="C8" s="12" t="s">
        <v>26</v>
      </c>
      <c r="D8" s="10">
        <v>5</v>
      </c>
      <c r="E8" s="478">
        <v>66000</v>
      </c>
      <c r="F8" s="478">
        <v>86000</v>
      </c>
    </row>
    <row r="9" spans="2:6">
      <c r="B9" s="507" t="s">
        <v>115</v>
      </c>
      <c r="C9" s="12" t="s">
        <v>26</v>
      </c>
      <c r="D9" s="10">
        <v>6</v>
      </c>
      <c r="E9" s="478">
        <v>86000</v>
      </c>
      <c r="F9" s="478">
        <v>111100</v>
      </c>
    </row>
    <row r="10" spans="2:6">
      <c r="B10" s="507" t="s">
        <v>115</v>
      </c>
      <c r="C10" s="12" t="s">
        <v>26</v>
      </c>
      <c r="D10" s="10">
        <v>7</v>
      </c>
      <c r="E10" s="478" t="s">
        <v>341</v>
      </c>
      <c r="F10" s="478" t="s">
        <v>341</v>
      </c>
    </row>
    <row r="11" spans="2:6">
      <c r="B11" s="507" t="s">
        <v>115</v>
      </c>
      <c r="C11" s="12" t="s">
        <v>26</v>
      </c>
      <c r="D11" s="10">
        <v>8</v>
      </c>
      <c r="E11" s="478" t="s">
        <v>341</v>
      </c>
      <c r="F11" s="478" t="s">
        <v>341</v>
      </c>
    </row>
    <row r="12" spans="2:6">
      <c r="B12" s="507" t="s">
        <v>115</v>
      </c>
      <c r="C12" s="12" t="s">
        <v>26</v>
      </c>
      <c r="D12" s="10">
        <v>9</v>
      </c>
      <c r="E12" s="478" t="s">
        <v>341</v>
      </c>
      <c r="F12" s="478" t="s">
        <v>341</v>
      </c>
    </row>
    <row r="13" spans="2:6">
      <c r="B13" s="507" t="s">
        <v>115</v>
      </c>
      <c r="C13" s="12" t="s">
        <v>26</v>
      </c>
      <c r="D13" s="10">
        <v>10</v>
      </c>
      <c r="E13" s="478" t="s">
        <v>341</v>
      </c>
      <c r="F13" s="478" t="s">
        <v>341</v>
      </c>
    </row>
    <row r="14" spans="2:6">
      <c r="B14" s="507" t="s">
        <v>115</v>
      </c>
      <c r="C14" s="12" t="s">
        <v>26</v>
      </c>
      <c r="D14" s="10">
        <v>11</v>
      </c>
      <c r="E14" s="478" t="s">
        <v>341</v>
      </c>
      <c r="F14" s="478" t="s">
        <v>341</v>
      </c>
    </row>
    <row r="15" spans="2:6">
      <c r="B15" s="507" t="s">
        <v>115</v>
      </c>
      <c r="C15" s="12" t="s">
        <v>26</v>
      </c>
      <c r="D15" s="10">
        <v>12</v>
      </c>
      <c r="E15" s="478" t="s">
        <v>341</v>
      </c>
      <c r="F15" s="478" t="s">
        <v>341</v>
      </c>
    </row>
    <row r="16" spans="2:6">
      <c r="B16" s="507" t="s">
        <v>115</v>
      </c>
      <c r="C16" s="12" t="s">
        <v>26</v>
      </c>
      <c r="D16" s="10">
        <v>13</v>
      </c>
      <c r="E16" s="478" t="s">
        <v>341</v>
      </c>
      <c r="F16" s="478" t="s">
        <v>341</v>
      </c>
    </row>
    <row r="17" spans="2:6">
      <c r="B17" s="507" t="s">
        <v>115</v>
      </c>
      <c r="C17" s="12" t="s">
        <v>26</v>
      </c>
      <c r="D17" s="10">
        <v>14</v>
      </c>
      <c r="E17" s="478" t="s">
        <v>341</v>
      </c>
      <c r="F17" s="478" t="s">
        <v>341</v>
      </c>
    </row>
    <row r="18" spans="2:6">
      <c r="B18" s="507" t="s">
        <v>115</v>
      </c>
      <c r="C18" s="12" t="s">
        <v>26</v>
      </c>
      <c r="D18" s="10">
        <v>15</v>
      </c>
      <c r="E18" s="478" t="s">
        <v>341</v>
      </c>
      <c r="F18" s="478" t="s">
        <v>341</v>
      </c>
    </row>
    <row r="19" spans="2:6">
      <c r="B19" s="507" t="s">
        <v>115</v>
      </c>
      <c r="C19" s="12" t="s">
        <v>26</v>
      </c>
      <c r="D19" s="10">
        <v>16</v>
      </c>
      <c r="E19" s="478" t="s">
        <v>341</v>
      </c>
      <c r="F19" s="478" t="s">
        <v>341</v>
      </c>
    </row>
    <row r="20" spans="2:6">
      <c r="B20" s="507" t="s">
        <v>115</v>
      </c>
      <c r="C20" s="12" t="s">
        <v>26</v>
      </c>
      <c r="D20" s="10">
        <v>17</v>
      </c>
      <c r="E20" s="478" t="s">
        <v>341</v>
      </c>
      <c r="F20" s="478" t="s">
        <v>341</v>
      </c>
    </row>
    <row r="21" spans="2:6">
      <c r="B21" s="507" t="s">
        <v>115</v>
      </c>
      <c r="C21" s="12" t="s">
        <v>26</v>
      </c>
      <c r="D21" s="10">
        <v>18</v>
      </c>
      <c r="E21" s="478" t="s">
        <v>341</v>
      </c>
      <c r="F21" s="478" t="s">
        <v>341</v>
      </c>
    </row>
    <row r="22" spans="2:6">
      <c r="B22" s="507" t="s">
        <v>115</v>
      </c>
      <c r="C22" s="12" t="s">
        <v>26</v>
      </c>
      <c r="D22" s="10">
        <v>19</v>
      </c>
      <c r="E22" s="478" t="s">
        <v>341</v>
      </c>
      <c r="F22" s="478" t="s">
        <v>341</v>
      </c>
    </row>
    <row r="23" spans="2:6">
      <c r="B23" s="507" t="s">
        <v>115</v>
      </c>
      <c r="C23" s="12" t="s">
        <v>26</v>
      </c>
      <c r="D23" s="10">
        <v>20</v>
      </c>
      <c r="E23" s="478" t="s">
        <v>341</v>
      </c>
      <c r="F23" s="478" t="s">
        <v>341</v>
      </c>
    </row>
    <row r="24" spans="2:6">
      <c r="B24" s="507" t="s">
        <v>115</v>
      </c>
      <c r="C24" s="12" t="s">
        <v>26</v>
      </c>
      <c r="D24" s="10">
        <v>21</v>
      </c>
      <c r="E24" s="478" t="s">
        <v>341</v>
      </c>
      <c r="F24" s="478" t="s">
        <v>341</v>
      </c>
    </row>
    <row r="25" spans="2:6">
      <c r="B25" s="507" t="s">
        <v>115</v>
      </c>
      <c r="C25" s="12" t="s">
        <v>26</v>
      </c>
      <c r="D25" s="10">
        <v>22</v>
      </c>
      <c r="E25" s="478" t="s">
        <v>341</v>
      </c>
      <c r="F25" s="478" t="s">
        <v>341</v>
      </c>
    </row>
    <row r="26" spans="2:6">
      <c r="B26" s="507" t="s">
        <v>115</v>
      </c>
      <c r="C26" s="12" t="s">
        <v>26</v>
      </c>
      <c r="D26" s="10">
        <v>23</v>
      </c>
      <c r="E26" s="478" t="s">
        <v>341</v>
      </c>
      <c r="F26" s="478" t="s">
        <v>341</v>
      </c>
    </row>
    <row r="27" spans="2:6">
      <c r="B27" s="507" t="s">
        <v>115</v>
      </c>
      <c r="C27" s="12" t="s">
        <v>26</v>
      </c>
      <c r="D27" s="10">
        <v>24</v>
      </c>
      <c r="E27" s="478" t="s">
        <v>341</v>
      </c>
      <c r="F27" s="478" t="s">
        <v>341</v>
      </c>
    </row>
    <row r="28" spans="2:6">
      <c r="B28" s="507" t="s">
        <v>115</v>
      </c>
      <c r="C28" s="12" t="s">
        <v>26</v>
      </c>
      <c r="D28" s="10">
        <v>25</v>
      </c>
      <c r="E28" s="478" t="s">
        <v>341</v>
      </c>
      <c r="F28" s="478" t="s">
        <v>341</v>
      </c>
    </row>
    <row r="29" spans="2:6">
      <c r="B29" s="507" t="s">
        <v>115</v>
      </c>
      <c r="C29" s="12" t="s">
        <v>26</v>
      </c>
      <c r="D29" s="10">
        <v>26</v>
      </c>
      <c r="E29" s="478" t="s">
        <v>341</v>
      </c>
      <c r="F29" s="478" t="s">
        <v>341</v>
      </c>
    </row>
    <row r="30" spans="2:6">
      <c r="B30" s="507" t="s">
        <v>115</v>
      </c>
      <c r="C30" s="12" t="s">
        <v>26</v>
      </c>
      <c r="D30" s="10">
        <v>27</v>
      </c>
      <c r="E30" s="478" t="s">
        <v>341</v>
      </c>
      <c r="F30" s="478" t="s">
        <v>341</v>
      </c>
    </row>
    <row r="31" spans="2:6">
      <c r="B31" s="507" t="s">
        <v>115</v>
      </c>
      <c r="C31" s="12" t="s">
        <v>26</v>
      </c>
      <c r="D31" s="10">
        <v>28</v>
      </c>
      <c r="E31" s="478" t="s">
        <v>341</v>
      </c>
      <c r="F31" s="478" t="s">
        <v>341</v>
      </c>
    </row>
    <row r="32" spans="2:6">
      <c r="B32" s="507" t="s">
        <v>115</v>
      </c>
      <c r="C32" s="12" t="s">
        <v>26</v>
      </c>
      <c r="D32" s="10">
        <v>29</v>
      </c>
      <c r="E32" s="478" t="s">
        <v>341</v>
      </c>
      <c r="F32" s="478" t="s">
        <v>341</v>
      </c>
    </row>
    <row r="33" spans="2:6">
      <c r="B33" s="507" t="s">
        <v>115</v>
      </c>
      <c r="C33" s="12" t="s">
        <v>26</v>
      </c>
      <c r="D33" s="10">
        <v>30</v>
      </c>
      <c r="E33" s="478" t="s">
        <v>341</v>
      </c>
      <c r="F33" s="478" t="s">
        <v>341</v>
      </c>
    </row>
    <row r="34" spans="2:6">
      <c r="B34" s="507" t="s">
        <v>115</v>
      </c>
      <c r="C34" s="12" t="s">
        <v>33</v>
      </c>
      <c r="D34" s="10">
        <v>1</v>
      </c>
      <c r="E34" s="478" t="s">
        <v>341</v>
      </c>
      <c r="F34" s="478" t="s">
        <v>341</v>
      </c>
    </row>
    <row r="35" spans="2:6">
      <c r="B35" s="507" t="s">
        <v>115</v>
      </c>
      <c r="C35" s="12" t="s">
        <v>33</v>
      </c>
      <c r="D35" s="10">
        <v>2</v>
      </c>
      <c r="E35" s="478" t="s">
        <v>341</v>
      </c>
      <c r="F35" s="478" t="s">
        <v>341</v>
      </c>
    </row>
    <row r="36" spans="2:6">
      <c r="B36" s="507" t="s">
        <v>115</v>
      </c>
      <c r="C36" s="12" t="s">
        <v>33</v>
      </c>
      <c r="D36" s="10">
        <v>3</v>
      </c>
      <c r="E36" s="478">
        <v>72800</v>
      </c>
      <c r="F36" s="478">
        <v>56000</v>
      </c>
    </row>
    <row r="37" spans="2:6">
      <c r="B37" s="507" t="s">
        <v>115</v>
      </c>
      <c r="C37" s="12" t="s">
        <v>33</v>
      </c>
      <c r="D37" s="10">
        <v>4</v>
      </c>
      <c r="E37" s="478">
        <v>56000</v>
      </c>
      <c r="F37" s="478">
        <v>40000</v>
      </c>
    </row>
    <row r="38" spans="2:6">
      <c r="B38" s="507" t="s">
        <v>115</v>
      </c>
      <c r="C38" s="12" t="s">
        <v>33</v>
      </c>
      <c r="D38" s="10">
        <v>5</v>
      </c>
      <c r="E38" s="478">
        <v>40000</v>
      </c>
      <c r="F38" s="478">
        <v>21800</v>
      </c>
    </row>
    <row r="39" spans="2:6">
      <c r="B39" s="507" t="s">
        <v>115</v>
      </c>
      <c r="C39" s="12" t="s">
        <v>33</v>
      </c>
      <c r="D39" s="10">
        <v>6</v>
      </c>
      <c r="E39" s="478" t="s">
        <v>341</v>
      </c>
      <c r="F39" s="478" t="s">
        <v>341</v>
      </c>
    </row>
    <row r="40" spans="2:6">
      <c r="B40" s="507" t="s">
        <v>115</v>
      </c>
      <c r="C40" s="12" t="s">
        <v>33</v>
      </c>
      <c r="D40" s="10">
        <v>7</v>
      </c>
      <c r="E40" s="478" t="s">
        <v>341</v>
      </c>
      <c r="F40" s="478" t="s">
        <v>341</v>
      </c>
    </row>
    <row r="41" spans="2:6">
      <c r="B41" s="507" t="s">
        <v>115</v>
      </c>
      <c r="C41" s="12" t="s">
        <v>33</v>
      </c>
      <c r="D41" s="10">
        <v>8</v>
      </c>
      <c r="E41" s="478" t="s">
        <v>341</v>
      </c>
      <c r="F41" s="478" t="s">
        <v>341</v>
      </c>
    </row>
    <row r="42" spans="2:6">
      <c r="B42" s="507" t="s">
        <v>115</v>
      </c>
      <c r="C42" s="12" t="s">
        <v>33</v>
      </c>
      <c r="D42" s="10">
        <v>9</v>
      </c>
      <c r="E42" s="478" t="s">
        <v>341</v>
      </c>
      <c r="F42" s="478" t="s">
        <v>341</v>
      </c>
    </row>
    <row r="43" spans="2:6">
      <c r="B43" s="507" t="s">
        <v>115</v>
      </c>
      <c r="C43" s="12" t="s">
        <v>33</v>
      </c>
      <c r="D43" s="10">
        <v>10</v>
      </c>
      <c r="E43" s="478" t="s">
        <v>341</v>
      </c>
      <c r="F43" s="478" t="s">
        <v>341</v>
      </c>
    </row>
    <row r="44" spans="2:6">
      <c r="B44" s="507" t="s">
        <v>115</v>
      </c>
      <c r="C44" s="12" t="s">
        <v>33</v>
      </c>
      <c r="D44" s="10">
        <v>11</v>
      </c>
      <c r="E44" s="478" t="s">
        <v>341</v>
      </c>
      <c r="F44" s="478" t="s">
        <v>341</v>
      </c>
    </row>
    <row r="45" spans="2:6">
      <c r="B45" s="507" t="s">
        <v>115</v>
      </c>
      <c r="C45" s="12" t="s">
        <v>33</v>
      </c>
      <c r="D45" s="10">
        <v>12</v>
      </c>
      <c r="E45" s="478" t="s">
        <v>341</v>
      </c>
      <c r="F45" s="478" t="s">
        <v>341</v>
      </c>
    </row>
    <row r="46" spans="2:6">
      <c r="B46" s="507" t="s">
        <v>115</v>
      </c>
      <c r="C46" s="12" t="s">
        <v>33</v>
      </c>
      <c r="D46" s="10">
        <v>13</v>
      </c>
      <c r="E46" s="478" t="s">
        <v>341</v>
      </c>
      <c r="F46" s="478" t="s">
        <v>341</v>
      </c>
    </row>
    <row r="47" spans="2:6">
      <c r="B47" s="507" t="s">
        <v>115</v>
      </c>
      <c r="C47" s="12" t="s">
        <v>33</v>
      </c>
      <c r="D47" s="10">
        <v>14</v>
      </c>
      <c r="E47" s="478" t="s">
        <v>341</v>
      </c>
      <c r="F47" s="478" t="s">
        <v>341</v>
      </c>
    </row>
    <row r="48" spans="2:6">
      <c r="B48" s="507" t="s">
        <v>115</v>
      </c>
      <c r="C48" s="12" t="s">
        <v>33</v>
      </c>
      <c r="D48" s="10">
        <v>15</v>
      </c>
      <c r="E48" s="478" t="s">
        <v>341</v>
      </c>
      <c r="F48" s="478" t="s">
        <v>341</v>
      </c>
    </row>
    <row r="49" spans="2:6">
      <c r="B49" s="507" t="s">
        <v>115</v>
      </c>
      <c r="C49" s="12" t="s">
        <v>33</v>
      </c>
      <c r="D49" s="10">
        <v>16</v>
      </c>
      <c r="E49" s="478" t="s">
        <v>341</v>
      </c>
      <c r="F49" s="478" t="s">
        <v>341</v>
      </c>
    </row>
    <row r="50" spans="2:6">
      <c r="B50" s="507" t="s">
        <v>115</v>
      </c>
      <c r="C50" s="12" t="s">
        <v>33</v>
      </c>
      <c r="D50" s="10">
        <v>17</v>
      </c>
      <c r="E50" s="478" t="s">
        <v>341</v>
      </c>
      <c r="F50" s="478" t="s">
        <v>341</v>
      </c>
    </row>
    <row r="51" spans="2:6">
      <c r="B51" s="507" t="s">
        <v>115</v>
      </c>
      <c r="C51" s="12" t="s">
        <v>33</v>
      </c>
      <c r="D51" s="10">
        <v>18</v>
      </c>
      <c r="E51" s="478" t="s">
        <v>341</v>
      </c>
      <c r="F51" s="478" t="s">
        <v>341</v>
      </c>
    </row>
    <row r="52" spans="2:6">
      <c r="B52" s="507" t="s">
        <v>115</v>
      </c>
      <c r="C52" s="12" t="s">
        <v>33</v>
      </c>
      <c r="D52" s="10">
        <v>19</v>
      </c>
      <c r="E52" s="478" t="s">
        <v>341</v>
      </c>
      <c r="F52" s="478" t="s">
        <v>341</v>
      </c>
    </row>
    <row r="53" spans="2:6">
      <c r="B53" s="507" t="s">
        <v>115</v>
      </c>
      <c r="C53" s="12" t="s">
        <v>33</v>
      </c>
      <c r="D53" s="10">
        <v>20</v>
      </c>
      <c r="E53" s="478" t="s">
        <v>341</v>
      </c>
      <c r="F53" s="478" t="s">
        <v>341</v>
      </c>
    </row>
    <row r="54" spans="2:6">
      <c r="B54" s="507" t="s">
        <v>115</v>
      </c>
      <c r="C54" s="12" t="s">
        <v>33</v>
      </c>
      <c r="D54" s="10">
        <v>21</v>
      </c>
      <c r="E54" s="478" t="s">
        <v>341</v>
      </c>
      <c r="F54" s="478" t="s">
        <v>341</v>
      </c>
    </row>
    <row r="55" spans="2:6">
      <c r="B55" s="507" t="s">
        <v>115</v>
      </c>
      <c r="C55" s="12" t="s">
        <v>33</v>
      </c>
      <c r="D55" s="10">
        <v>22</v>
      </c>
      <c r="E55" s="478" t="s">
        <v>341</v>
      </c>
      <c r="F55" s="478" t="s">
        <v>341</v>
      </c>
    </row>
    <row r="56" spans="2:6">
      <c r="B56" s="507" t="s">
        <v>115</v>
      </c>
      <c r="C56" s="12" t="s">
        <v>33</v>
      </c>
      <c r="D56" s="10">
        <v>23</v>
      </c>
      <c r="E56" s="478" t="s">
        <v>341</v>
      </c>
      <c r="F56" s="478" t="s">
        <v>341</v>
      </c>
    </row>
    <row r="57" spans="2:6">
      <c r="B57" s="507" t="s">
        <v>115</v>
      </c>
      <c r="C57" s="12" t="s">
        <v>33</v>
      </c>
      <c r="D57" s="10">
        <v>24</v>
      </c>
      <c r="E57" s="478" t="s">
        <v>341</v>
      </c>
      <c r="F57" s="478" t="s">
        <v>341</v>
      </c>
    </row>
    <row r="58" spans="2:6">
      <c r="B58" s="507" t="s">
        <v>115</v>
      </c>
      <c r="C58" s="12" t="s">
        <v>33</v>
      </c>
      <c r="D58" s="10">
        <v>25</v>
      </c>
      <c r="E58" s="478" t="s">
        <v>341</v>
      </c>
      <c r="F58" s="478" t="s">
        <v>341</v>
      </c>
    </row>
    <row r="59" spans="2:6">
      <c r="B59" s="507" t="s">
        <v>115</v>
      </c>
      <c r="C59" s="12" t="s">
        <v>33</v>
      </c>
      <c r="D59" s="10">
        <v>26</v>
      </c>
      <c r="E59" s="478" t="s">
        <v>341</v>
      </c>
      <c r="F59" s="478" t="s">
        <v>341</v>
      </c>
    </row>
    <row r="60" spans="2:6">
      <c r="B60" s="507" t="s">
        <v>115</v>
      </c>
      <c r="C60" s="12" t="s">
        <v>33</v>
      </c>
      <c r="D60" s="10">
        <v>27</v>
      </c>
      <c r="E60" s="478" t="s">
        <v>341</v>
      </c>
      <c r="F60" s="478" t="s">
        <v>341</v>
      </c>
    </row>
    <row r="61" spans="2:6">
      <c r="B61" s="507" t="s">
        <v>115</v>
      </c>
      <c r="C61" s="12" t="s">
        <v>33</v>
      </c>
      <c r="D61" s="10">
        <v>28</v>
      </c>
      <c r="E61" s="478" t="s">
        <v>341</v>
      </c>
      <c r="F61" s="478" t="s">
        <v>341</v>
      </c>
    </row>
    <row r="62" spans="2:6">
      <c r="B62" s="507" t="s">
        <v>115</v>
      </c>
      <c r="C62" s="12" t="s">
        <v>33</v>
      </c>
      <c r="D62" s="10">
        <v>29</v>
      </c>
      <c r="E62" s="478" t="s">
        <v>341</v>
      </c>
      <c r="F62" s="478" t="s">
        <v>341</v>
      </c>
    </row>
    <row r="63" spans="2:6">
      <c r="B63" s="507" t="s">
        <v>115</v>
      </c>
      <c r="C63" s="12" t="s">
        <v>33</v>
      </c>
      <c r="D63" s="10">
        <v>30</v>
      </c>
      <c r="E63" s="478" t="s">
        <v>341</v>
      </c>
      <c r="F63" s="478" t="s">
        <v>341</v>
      </c>
    </row>
    <row r="64" spans="2:6">
      <c r="B64" s="507" t="s">
        <v>115</v>
      </c>
      <c r="C64" s="12" t="s">
        <v>38</v>
      </c>
      <c r="D64" s="10">
        <v>1</v>
      </c>
      <c r="E64" s="478" t="s">
        <v>341</v>
      </c>
      <c r="F64" s="478" t="s">
        <v>341</v>
      </c>
    </row>
    <row r="65" spans="2:6">
      <c r="B65" s="507" t="s">
        <v>115</v>
      </c>
      <c r="C65" s="12" t="s">
        <v>38</v>
      </c>
      <c r="D65" s="10">
        <v>2</v>
      </c>
      <c r="E65" s="478" t="s">
        <v>341</v>
      </c>
      <c r="F65" s="478" t="s">
        <v>341</v>
      </c>
    </row>
    <row r="66" spans="2:6">
      <c r="B66" s="507" t="s">
        <v>115</v>
      </c>
      <c r="C66" s="12" t="s">
        <v>38</v>
      </c>
      <c r="D66" s="10">
        <v>3</v>
      </c>
      <c r="E66" s="478" t="s">
        <v>341</v>
      </c>
      <c r="F66" s="478" t="s">
        <v>341</v>
      </c>
    </row>
    <row r="67" spans="2:6">
      <c r="B67" s="507" t="s">
        <v>115</v>
      </c>
      <c r="C67" s="12" t="s">
        <v>38</v>
      </c>
      <c r="D67" s="10">
        <v>4</v>
      </c>
      <c r="E67" s="478">
        <v>100500</v>
      </c>
      <c r="F67" s="478">
        <v>134500</v>
      </c>
    </row>
    <row r="68" spans="2:6">
      <c r="B68" s="507" t="s">
        <v>115</v>
      </c>
      <c r="C68" s="12" t="s">
        <v>38</v>
      </c>
      <c r="D68" s="10">
        <v>5</v>
      </c>
      <c r="E68" s="478" t="s">
        <v>341</v>
      </c>
      <c r="F68" s="478" t="s">
        <v>341</v>
      </c>
    </row>
    <row r="69" spans="2:6">
      <c r="B69" s="507" t="s">
        <v>115</v>
      </c>
      <c r="C69" s="12" t="s">
        <v>38</v>
      </c>
      <c r="D69" s="10">
        <v>6</v>
      </c>
      <c r="E69" s="478" t="s">
        <v>341</v>
      </c>
      <c r="F69" s="478" t="s">
        <v>341</v>
      </c>
    </row>
    <row r="70" spans="2:6">
      <c r="B70" s="507" t="s">
        <v>115</v>
      </c>
      <c r="C70" s="12" t="s">
        <v>38</v>
      </c>
      <c r="D70" s="10">
        <v>7</v>
      </c>
      <c r="E70" s="478" t="s">
        <v>341</v>
      </c>
      <c r="F70" s="478" t="s">
        <v>341</v>
      </c>
    </row>
    <row r="71" spans="2:6">
      <c r="B71" s="507" t="s">
        <v>115</v>
      </c>
      <c r="C71" s="12" t="s">
        <v>38</v>
      </c>
      <c r="D71" s="10">
        <v>8</v>
      </c>
      <c r="E71" s="478" t="s">
        <v>341</v>
      </c>
      <c r="F71" s="478" t="s">
        <v>341</v>
      </c>
    </row>
    <row r="72" spans="2:6">
      <c r="B72" s="507" t="s">
        <v>115</v>
      </c>
      <c r="C72" s="12" t="s">
        <v>38</v>
      </c>
      <c r="D72" s="10">
        <v>9</v>
      </c>
      <c r="E72" s="478" t="s">
        <v>341</v>
      </c>
      <c r="F72" s="478" t="s">
        <v>341</v>
      </c>
    </row>
    <row r="73" spans="2:6">
      <c r="B73" s="507" t="s">
        <v>115</v>
      </c>
      <c r="C73" s="12" t="s">
        <v>38</v>
      </c>
      <c r="D73" s="10">
        <v>10</v>
      </c>
      <c r="E73" s="478" t="s">
        <v>341</v>
      </c>
      <c r="F73" s="478" t="s">
        <v>341</v>
      </c>
    </row>
    <row r="74" spans="2:6">
      <c r="B74" s="507" t="s">
        <v>115</v>
      </c>
      <c r="C74" s="12" t="s">
        <v>38</v>
      </c>
      <c r="D74" s="10">
        <v>11</v>
      </c>
      <c r="E74" s="478" t="s">
        <v>341</v>
      </c>
      <c r="F74" s="478" t="s">
        <v>341</v>
      </c>
    </row>
    <row r="75" spans="2:6">
      <c r="B75" s="507" t="s">
        <v>115</v>
      </c>
      <c r="C75" s="12" t="s">
        <v>38</v>
      </c>
      <c r="D75" s="10">
        <v>12</v>
      </c>
      <c r="E75" s="478" t="s">
        <v>341</v>
      </c>
      <c r="F75" s="478" t="s">
        <v>341</v>
      </c>
    </row>
    <row r="76" spans="2:6">
      <c r="B76" s="507" t="s">
        <v>115</v>
      </c>
      <c r="C76" s="12" t="s">
        <v>38</v>
      </c>
      <c r="D76" s="10">
        <v>13</v>
      </c>
      <c r="E76" s="478" t="s">
        <v>341</v>
      </c>
      <c r="F76" s="478" t="s">
        <v>341</v>
      </c>
    </row>
    <row r="77" spans="2:6">
      <c r="B77" s="507" t="s">
        <v>115</v>
      </c>
      <c r="C77" s="12" t="s">
        <v>38</v>
      </c>
      <c r="D77" s="10">
        <v>14</v>
      </c>
      <c r="E77" s="478" t="s">
        <v>341</v>
      </c>
      <c r="F77" s="478" t="s">
        <v>341</v>
      </c>
    </row>
    <row r="78" spans="2:6">
      <c r="B78" s="507" t="s">
        <v>115</v>
      </c>
      <c r="C78" s="12" t="s">
        <v>38</v>
      </c>
      <c r="D78" s="10">
        <v>15</v>
      </c>
      <c r="E78" s="478" t="s">
        <v>341</v>
      </c>
      <c r="F78" s="478" t="s">
        <v>341</v>
      </c>
    </row>
    <row r="79" spans="2:6">
      <c r="B79" s="507" t="s">
        <v>115</v>
      </c>
      <c r="C79" s="12" t="s">
        <v>38</v>
      </c>
      <c r="D79" s="10">
        <v>16</v>
      </c>
      <c r="E79" s="478" t="s">
        <v>341</v>
      </c>
      <c r="F79" s="478" t="s">
        <v>341</v>
      </c>
    </row>
    <row r="80" spans="2:6">
      <c r="B80" s="507" t="s">
        <v>115</v>
      </c>
      <c r="C80" s="12" t="s">
        <v>38</v>
      </c>
      <c r="D80" s="10">
        <v>17</v>
      </c>
      <c r="E80" s="478" t="s">
        <v>341</v>
      </c>
      <c r="F80" s="478" t="s">
        <v>341</v>
      </c>
    </row>
    <row r="81" spans="2:6">
      <c r="B81" s="507" t="s">
        <v>115</v>
      </c>
      <c r="C81" s="12" t="s">
        <v>38</v>
      </c>
      <c r="D81" s="10">
        <v>18</v>
      </c>
      <c r="E81" s="478" t="s">
        <v>341</v>
      </c>
      <c r="F81" s="478" t="s">
        <v>341</v>
      </c>
    </row>
    <row r="82" spans="2:6">
      <c r="B82" s="507" t="s">
        <v>115</v>
      </c>
      <c r="C82" s="12" t="s">
        <v>38</v>
      </c>
      <c r="D82" s="10">
        <v>19</v>
      </c>
      <c r="E82" s="478" t="s">
        <v>341</v>
      </c>
      <c r="F82" s="478" t="s">
        <v>341</v>
      </c>
    </row>
    <row r="83" spans="2:6">
      <c r="B83" s="507" t="s">
        <v>115</v>
      </c>
      <c r="C83" s="12" t="s">
        <v>38</v>
      </c>
      <c r="D83" s="10">
        <v>20</v>
      </c>
      <c r="E83" s="478" t="s">
        <v>341</v>
      </c>
      <c r="F83" s="478" t="s">
        <v>341</v>
      </c>
    </row>
    <row r="84" spans="2:6">
      <c r="B84" s="507" t="s">
        <v>115</v>
      </c>
      <c r="C84" s="12" t="s">
        <v>38</v>
      </c>
      <c r="D84" s="10">
        <v>21</v>
      </c>
      <c r="E84" s="478" t="s">
        <v>341</v>
      </c>
      <c r="F84" s="478" t="s">
        <v>341</v>
      </c>
    </row>
    <row r="85" spans="2:6">
      <c r="B85" s="507" t="s">
        <v>115</v>
      </c>
      <c r="C85" s="12" t="s">
        <v>38</v>
      </c>
      <c r="D85" s="10">
        <v>22</v>
      </c>
      <c r="E85" s="478" t="s">
        <v>341</v>
      </c>
      <c r="F85" s="478" t="s">
        <v>341</v>
      </c>
    </row>
    <row r="86" spans="2:6">
      <c r="B86" s="507" t="s">
        <v>115</v>
      </c>
      <c r="C86" s="12" t="s">
        <v>38</v>
      </c>
      <c r="D86" s="10">
        <v>23</v>
      </c>
      <c r="E86" s="478" t="s">
        <v>341</v>
      </c>
      <c r="F86" s="478" t="s">
        <v>341</v>
      </c>
    </row>
    <row r="87" spans="2:6">
      <c r="B87" s="507" t="s">
        <v>115</v>
      </c>
      <c r="C87" s="12" t="s">
        <v>38</v>
      </c>
      <c r="D87" s="10">
        <v>24</v>
      </c>
      <c r="E87" s="478" t="s">
        <v>341</v>
      </c>
      <c r="F87" s="478" t="s">
        <v>341</v>
      </c>
    </row>
    <row r="88" spans="2:6">
      <c r="B88" s="507" t="s">
        <v>115</v>
      </c>
      <c r="C88" s="12" t="s">
        <v>38</v>
      </c>
      <c r="D88" s="10">
        <v>25</v>
      </c>
      <c r="E88" s="478" t="s">
        <v>341</v>
      </c>
      <c r="F88" s="478" t="s">
        <v>341</v>
      </c>
    </row>
    <row r="89" spans="2:6">
      <c r="B89" s="507" t="s">
        <v>115</v>
      </c>
      <c r="C89" s="12" t="s">
        <v>38</v>
      </c>
      <c r="D89" s="10">
        <v>26</v>
      </c>
      <c r="E89" s="478" t="s">
        <v>341</v>
      </c>
      <c r="F89" s="478" t="s">
        <v>341</v>
      </c>
    </row>
    <row r="90" spans="2:6">
      <c r="B90" s="507" t="s">
        <v>115</v>
      </c>
      <c r="C90" s="12" t="s">
        <v>38</v>
      </c>
      <c r="D90" s="10">
        <v>27</v>
      </c>
      <c r="E90" s="478" t="s">
        <v>341</v>
      </c>
      <c r="F90" s="478" t="s">
        <v>341</v>
      </c>
    </row>
    <row r="91" spans="2:6">
      <c r="B91" s="507" t="s">
        <v>115</v>
      </c>
      <c r="C91" s="12" t="s">
        <v>38</v>
      </c>
      <c r="D91" s="10">
        <v>28</v>
      </c>
      <c r="E91" s="478" t="s">
        <v>341</v>
      </c>
      <c r="F91" s="478" t="s">
        <v>341</v>
      </c>
    </row>
    <row r="92" spans="2:6">
      <c r="B92" s="507" t="s">
        <v>115</v>
      </c>
      <c r="C92" s="12" t="s">
        <v>38</v>
      </c>
      <c r="D92" s="10">
        <v>29</v>
      </c>
      <c r="E92" s="478" t="s">
        <v>341</v>
      </c>
      <c r="F92" s="478" t="s">
        <v>341</v>
      </c>
    </row>
    <row r="93" spans="2:6">
      <c r="B93" s="507" t="s">
        <v>115</v>
      </c>
      <c r="C93" s="12" t="s">
        <v>38</v>
      </c>
      <c r="D93" s="10">
        <v>30</v>
      </c>
      <c r="E93" s="478" t="s">
        <v>341</v>
      </c>
      <c r="F93" s="478" t="s">
        <v>341</v>
      </c>
    </row>
    <row r="94" spans="2:6">
      <c r="B94" s="6"/>
      <c r="C94" s="12"/>
      <c r="D94" s="10"/>
      <c r="E94" s="478"/>
      <c r="F94" s="478"/>
    </row>
    <row r="95" spans="2:6">
      <c r="B95" s="6"/>
      <c r="C95" s="12"/>
      <c r="D95" s="10"/>
      <c r="E95" s="478"/>
      <c r="F95" s="478"/>
    </row>
    <row r="96" spans="2:6">
      <c r="B96" s="6"/>
      <c r="C96" s="12"/>
      <c r="D96" s="10"/>
      <c r="E96" s="478"/>
      <c r="F96" s="478"/>
    </row>
    <row r="97" spans="2:6">
      <c r="B97" s="6"/>
      <c r="C97" s="12"/>
      <c r="D97" s="10"/>
      <c r="E97" s="478"/>
      <c r="F97" s="478"/>
    </row>
    <row r="98" spans="2:6">
      <c r="B98" s="6"/>
      <c r="C98" s="12"/>
      <c r="D98" s="10"/>
      <c r="E98" s="478"/>
      <c r="F98" s="478"/>
    </row>
    <row r="99" spans="2:6">
      <c r="B99" s="6"/>
      <c r="C99" s="12"/>
      <c r="D99" s="10"/>
      <c r="E99" s="478"/>
      <c r="F99" s="478"/>
    </row>
    <row r="100" spans="2:6">
      <c r="B100" s="6"/>
      <c r="C100" s="12"/>
      <c r="D100" s="10"/>
      <c r="E100" s="478"/>
      <c r="F100" s="478"/>
    </row>
    <row r="101" spans="2:6">
      <c r="B101" s="6"/>
      <c r="C101" s="12"/>
      <c r="D101" s="10"/>
      <c r="E101" s="478"/>
      <c r="F101" s="478"/>
    </row>
    <row r="102" spans="2:6">
      <c r="B102" s="35"/>
      <c r="C102" s="230"/>
      <c r="D102" s="508"/>
      <c r="E102" s="509"/>
      <c r="F102" s="509"/>
    </row>
    <row r="103" spans="2:6">
      <c r="B103" s="6"/>
      <c r="C103" s="12"/>
      <c r="D103" s="38"/>
      <c r="E103" s="478"/>
      <c r="F103" s="478"/>
    </row>
    <row r="104" spans="2:6">
      <c r="B104" s="6"/>
      <c r="C104" s="12"/>
      <c r="D104" s="38"/>
      <c r="E104" s="478"/>
      <c r="F104" s="478"/>
    </row>
    <row r="105" spans="2:6">
      <c r="B105" s="6"/>
      <c r="C105" s="12"/>
      <c r="D105" s="38"/>
      <c r="E105" s="478"/>
      <c r="F105" s="478"/>
    </row>
    <row r="106" spans="2:6">
      <c r="B106" s="6"/>
      <c r="C106" s="12"/>
      <c r="D106" s="38"/>
      <c r="E106" s="478"/>
      <c r="F106" s="478"/>
    </row>
    <row r="107" spans="2:6">
      <c r="B107" s="6"/>
      <c r="C107" s="12"/>
      <c r="D107" s="38"/>
      <c r="E107" s="478"/>
      <c r="F107" s="478"/>
    </row>
    <row r="108" spans="2:6">
      <c r="B108" s="6"/>
      <c r="C108" s="12"/>
      <c r="D108" s="38"/>
      <c r="E108" s="478"/>
      <c r="F108" s="478"/>
    </row>
    <row r="109" spans="2:6">
      <c r="B109" s="6"/>
      <c r="C109" s="12"/>
      <c r="D109" s="38"/>
      <c r="E109" s="478"/>
      <c r="F109" s="478"/>
    </row>
    <row r="110" spans="2:6">
      <c r="B110" s="6"/>
      <c r="C110" s="12"/>
      <c r="D110" s="38"/>
      <c r="E110" s="478"/>
      <c r="F110" s="478"/>
    </row>
    <row r="111" spans="2:6">
      <c r="B111" s="6"/>
      <c r="C111" s="12"/>
      <c r="D111" s="38"/>
      <c r="E111" s="478"/>
      <c r="F111" s="478"/>
    </row>
    <row r="112" spans="2:6">
      <c r="B112" s="6"/>
      <c r="C112" s="12"/>
      <c r="D112" s="38"/>
      <c r="E112" s="478"/>
      <c r="F112" s="478"/>
    </row>
    <row r="113" spans="2:6">
      <c r="B113" s="6"/>
      <c r="C113" s="12"/>
      <c r="D113" s="38"/>
      <c r="E113" s="478"/>
      <c r="F113" s="478"/>
    </row>
    <row r="114" spans="2:6">
      <c r="B114" s="6"/>
      <c r="C114" s="12"/>
      <c r="D114" s="38"/>
      <c r="E114" s="478"/>
      <c r="F114" s="478"/>
    </row>
    <row r="115" spans="2:6">
      <c r="B115" s="6"/>
      <c r="C115" s="12"/>
      <c r="D115" s="38"/>
      <c r="E115" s="478"/>
      <c r="F115" s="478"/>
    </row>
    <row r="116" spans="2:6">
      <c r="B116" s="6"/>
      <c r="C116" s="12"/>
      <c r="D116" s="38"/>
      <c r="E116" s="478"/>
      <c r="F116" s="478"/>
    </row>
    <row r="117" spans="2:6">
      <c r="B117" s="6"/>
      <c r="C117" s="12"/>
      <c r="D117" s="38"/>
      <c r="E117" s="478"/>
      <c r="F117" s="478"/>
    </row>
    <row r="118" spans="2:6">
      <c r="B118" s="6"/>
      <c r="C118" s="12"/>
      <c r="D118" s="38"/>
      <c r="E118" s="478"/>
      <c r="F118" s="478"/>
    </row>
    <row r="119" spans="2:6">
      <c r="B119" s="6"/>
      <c r="C119" s="12"/>
      <c r="D119" s="38"/>
      <c r="E119" s="478"/>
      <c r="F119" s="478"/>
    </row>
    <row r="120" spans="2:6">
      <c r="B120" s="6"/>
      <c r="C120" s="12"/>
      <c r="D120" s="38"/>
      <c r="E120" s="478"/>
      <c r="F120" s="478"/>
    </row>
    <row r="121" spans="2:6">
      <c r="B121" s="6"/>
      <c r="C121" s="12"/>
      <c r="D121" s="38"/>
      <c r="E121" s="478"/>
      <c r="F121" s="478"/>
    </row>
    <row r="122" spans="2:6">
      <c r="B122" s="6"/>
      <c r="C122" s="12"/>
      <c r="D122" s="38"/>
      <c r="E122" s="478"/>
      <c r="F122" s="478"/>
    </row>
    <row r="123" spans="2:6">
      <c r="B123" s="6"/>
      <c r="C123" s="12"/>
      <c r="D123" s="38"/>
      <c r="E123" s="478"/>
      <c r="F123" s="478"/>
    </row>
    <row r="124" spans="2:6">
      <c r="B124" s="6"/>
      <c r="C124" s="12"/>
      <c r="D124" s="38"/>
      <c r="E124" s="478"/>
      <c r="F124" s="478"/>
    </row>
    <row r="125" spans="2:6">
      <c r="B125" s="6"/>
      <c r="C125" s="12"/>
      <c r="D125" s="38"/>
      <c r="E125" s="478"/>
      <c r="F125" s="478"/>
    </row>
    <row r="126" spans="2:6">
      <c r="B126" s="6"/>
      <c r="C126" s="12"/>
      <c r="D126" s="38"/>
      <c r="E126" s="478"/>
      <c r="F126" s="478"/>
    </row>
    <row r="127" spans="2:6">
      <c r="B127" s="6"/>
      <c r="C127" s="12"/>
      <c r="D127" s="38"/>
      <c r="E127" s="478"/>
      <c r="F127" s="478"/>
    </row>
    <row r="128" spans="2:6">
      <c r="B128" s="6"/>
      <c r="C128" s="12"/>
      <c r="D128" s="38"/>
      <c r="E128" s="478"/>
      <c r="F128" s="478"/>
    </row>
    <row r="129" spans="2:6">
      <c r="B129" s="6"/>
      <c r="C129" s="12"/>
      <c r="D129" s="38"/>
      <c r="E129" s="478"/>
      <c r="F129" s="478"/>
    </row>
    <row r="130" spans="2:6">
      <c r="B130" s="6"/>
      <c r="C130" s="12"/>
      <c r="D130" s="38"/>
      <c r="E130" s="478"/>
      <c r="F130" s="478"/>
    </row>
    <row r="131" spans="2:6">
      <c r="B131" s="6"/>
      <c r="C131" s="12"/>
      <c r="D131" s="38"/>
      <c r="E131" s="478"/>
      <c r="F131" s="478"/>
    </row>
    <row r="132" spans="2:6">
      <c r="B132" s="6"/>
      <c r="C132" s="12"/>
      <c r="D132" s="38"/>
      <c r="E132" s="478"/>
      <c r="F132" s="478"/>
    </row>
    <row r="133" spans="2:6">
      <c r="B133" s="6"/>
      <c r="C133" s="12"/>
      <c r="D133" s="38"/>
      <c r="E133" s="478"/>
      <c r="F133" s="478"/>
    </row>
    <row r="134" spans="2:6">
      <c r="B134" s="6"/>
      <c r="C134" s="12"/>
      <c r="D134" s="38"/>
      <c r="E134" s="478"/>
      <c r="F134" s="478"/>
    </row>
    <row r="135" spans="2:6">
      <c r="B135" s="6"/>
      <c r="C135" s="12"/>
      <c r="D135" s="38"/>
      <c r="E135" s="478"/>
      <c r="F135" s="478"/>
    </row>
    <row r="136" spans="2:6">
      <c r="B136" s="6"/>
      <c r="C136" s="12"/>
      <c r="D136" s="38"/>
      <c r="E136" s="478"/>
      <c r="F136" s="478"/>
    </row>
    <row r="137" spans="2:6">
      <c r="B137" s="6"/>
      <c r="C137" s="12"/>
      <c r="D137" s="38"/>
      <c r="E137" s="478"/>
      <c r="F137" s="478"/>
    </row>
    <row r="138" spans="2:6">
      <c r="B138" s="6"/>
      <c r="C138" s="12"/>
      <c r="D138" s="38"/>
      <c r="E138" s="478"/>
      <c r="F138" s="478"/>
    </row>
    <row r="139" spans="2:6">
      <c r="B139" s="6"/>
      <c r="C139" s="12"/>
      <c r="D139" s="38"/>
      <c r="E139" s="478"/>
      <c r="F139" s="478"/>
    </row>
    <row r="140" spans="2:6">
      <c r="B140" s="6"/>
      <c r="C140" s="12"/>
      <c r="D140" s="38"/>
      <c r="E140" s="478"/>
      <c r="F140" s="478"/>
    </row>
    <row r="141" spans="2:6">
      <c r="B141" s="6"/>
      <c r="C141" s="12"/>
      <c r="D141" s="38"/>
      <c r="E141" s="478"/>
      <c r="F141" s="478"/>
    </row>
    <row r="142" spans="2:6">
      <c r="B142" s="6"/>
      <c r="C142" s="12"/>
      <c r="D142" s="38"/>
      <c r="E142" s="478"/>
      <c r="F142" s="478"/>
    </row>
    <row r="143" spans="2:6">
      <c r="B143" s="6"/>
      <c r="C143" s="12"/>
      <c r="D143" s="38"/>
      <c r="E143" s="478"/>
      <c r="F143" s="478"/>
    </row>
    <row r="144" spans="2:6">
      <c r="B144" s="6"/>
      <c r="C144" s="12"/>
      <c r="D144" s="38"/>
      <c r="E144" s="478"/>
      <c r="F144" s="478"/>
    </row>
    <row r="145" spans="2:6">
      <c r="B145" s="6"/>
      <c r="C145" s="12"/>
      <c r="D145" s="38"/>
      <c r="E145" s="478"/>
      <c r="F145" s="478"/>
    </row>
    <row r="146" spans="2:6">
      <c r="B146" s="6"/>
      <c r="C146" s="12"/>
      <c r="D146" s="38"/>
      <c r="E146" s="478"/>
      <c r="F146" s="478"/>
    </row>
    <row r="147" spans="2:6">
      <c r="B147" s="6"/>
      <c r="C147" s="12"/>
      <c r="D147" s="38"/>
      <c r="E147" s="478"/>
      <c r="F147" s="478"/>
    </row>
    <row r="148" spans="2:6">
      <c r="B148" s="6"/>
      <c r="C148" s="12"/>
      <c r="D148" s="38"/>
      <c r="E148" s="478"/>
      <c r="F148" s="478"/>
    </row>
    <row r="149" spans="2:6">
      <c r="B149" s="6"/>
      <c r="C149" s="12"/>
      <c r="D149" s="38"/>
      <c r="E149" s="478"/>
      <c r="F149" s="478"/>
    </row>
    <row r="150" spans="2:6">
      <c r="B150" s="6"/>
      <c r="C150" s="12"/>
      <c r="D150" s="38"/>
      <c r="E150" s="478"/>
      <c r="F150" s="478"/>
    </row>
    <row r="151" spans="2:6">
      <c r="B151" s="6"/>
      <c r="C151" s="12"/>
      <c r="D151" s="38"/>
      <c r="E151" s="478"/>
      <c r="F151" s="478"/>
    </row>
    <row r="152" spans="2:6">
      <c r="B152" s="6"/>
      <c r="C152" s="12"/>
      <c r="D152" s="38"/>
      <c r="E152" s="478"/>
      <c r="F152" s="478"/>
    </row>
    <row r="153" spans="2:6">
      <c r="B153" s="6"/>
      <c r="C153" s="12"/>
      <c r="D153" s="38"/>
      <c r="E153" s="478"/>
      <c r="F153" s="478"/>
    </row>
    <row r="154" spans="2:6">
      <c r="B154" s="6"/>
      <c r="C154" s="12"/>
      <c r="D154" s="38"/>
      <c r="E154" s="478"/>
      <c r="F154" s="478"/>
    </row>
    <row r="155" spans="2:6">
      <c r="B155" s="6"/>
      <c r="C155" s="12"/>
      <c r="D155" s="38"/>
      <c r="E155" s="478"/>
      <c r="F155" s="478"/>
    </row>
    <row r="156" spans="2:6">
      <c r="B156" s="6"/>
      <c r="C156" s="12"/>
      <c r="D156" s="38"/>
      <c r="E156" s="478"/>
      <c r="F156" s="478"/>
    </row>
    <row r="157" spans="2:6">
      <c r="B157" s="6"/>
      <c r="C157" s="12"/>
      <c r="D157" s="38"/>
      <c r="E157" s="478"/>
      <c r="F157" s="478"/>
    </row>
    <row r="158" spans="2:6">
      <c r="B158" s="6"/>
      <c r="C158" s="12"/>
      <c r="D158" s="38"/>
      <c r="E158" s="478"/>
      <c r="F158" s="478"/>
    </row>
    <row r="159" spans="2:6">
      <c r="B159" s="6"/>
      <c r="C159" s="12"/>
      <c r="D159" s="38"/>
      <c r="E159" s="478"/>
      <c r="F159" s="478"/>
    </row>
    <row r="160" spans="2:6">
      <c r="B160" s="6"/>
      <c r="C160" s="12"/>
      <c r="D160" s="38"/>
      <c r="E160" s="478"/>
      <c r="F160" s="478"/>
    </row>
    <row r="161" spans="2:6">
      <c r="B161" s="6"/>
      <c r="C161" s="12"/>
      <c r="D161" s="38"/>
      <c r="E161" s="478"/>
      <c r="F161" s="478"/>
    </row>
    <row r="162" spans="2:6">
      <c r="B162" s="6"/>
      <c r="C162" s="12"/>
      <c r="D162" s="38"/>
      <c r="E162" s="478"/>
      <c r="F162" s="478"/>
    </row>
    <row r="163" spans="2:6">
      <c r="B163" s="6"/>
      <c r="C163" s="12"/>
      <c r="D163" s="38"/>
      <c r="E163" s="478"/>
      <c r="F163" s="478"/>
    </row>
    <row r="164" spans="2:6">
      <c r="B164" s="6"/>
      <c r="C164" s="12"/>
      <c r="D164" s="38"/>
      <c r="E164" s="478"/>
      <c r="F164" s="478"/>
    </row>
    <row r="165" spans="2:6">
      <c r="B165" s="6"/>
      <c r="C165" s="12"/>
      <c r="D165" s="38"/>
      <c r="E165" s="478"/>
      <c r="F165" s="478"/>
    </row>
    <row r="166" spans="2:6">
      <c r="B166" s="6"/>
      <c r="C166" s="12"/>
      <c r="D166" s="38"/>
      <c r="E166" s="478"/>
      <c r="F166" s="478"/>
    </row>
    <row r="167" spans="2:6">
      <c r="B167" s="6"/>
      <c r="C167" s="12"/>
      <c r="D167" s="38"/>
      <c r="E167" s="478"/>
      <c r="F167" s="478"/>
    </row>
    <row r="168" spans="2:6">
      <c r="B168" s="6"/>
      <c r="C168" s="12"/>
      <c r="D168" s="38"/>
      <c r="E168" s="478"/>
      <c r="F168" s="478"/>
    </row>
    <row r="169" spans="2:6">
      <c r="B169" s="6"/>
      <c r="C169" s="12"/>
      <c r="D169" s="38"/>
      <c r="E169" s="478"/>
      <c r="F169" s="478"/>
    </row>
    <row r="170" spans="2:6">
      <c r="B170" s="6"/>
      <c r="C170" s="12"/>
      <c r="D170" s="38"/>
      <c r="E170" s="478"/>
      <c r="F170" s="478"/>
    </row>
    <row r="171" spans="2:6">
      <c r="B171" s="6"/>
      <c r="C171" s="12"/>
      <c r="D171" s="38"/>
      <c r="E171" s="478"/>
      <c r="F171" s="478"/>
    </row>
    <row r="172" spans="2:6">
      <c r="B172" s="6"/>
      <c r="C172" s="12"/>
      <c r="D172" s="38"/>
      <c r="E172" s="478"/>
      <c r="F172" s="478"/>
    </row>
    <row r="173" spans="2:6">
      <c r="B173" s="6"/>
      <c r="C173" s="12"/>
      <c r="D173" s="38"/>
      <c r="E173" s="478"/>
      <c r="F173" s="478"/>
    </row>
    <row r="174" spans="2:6">
      <c r="B174" s="6"/>
      <c r="C174" s="12"/>
      <c r="D174" s="38"/>
      <c r="E174" s="478"/>
      <c r="F174" s="478"/>
    </row>
    <row r="175" spans="2:6">
      <c r="B175" s="6"/>
      <c r="C175" s="12"/>
      <c r="D175" s="38"/>
      <c r="E175" s="478"/>
      <c r="F175" s="478"/>
    </row>
    <row r="176" spans="2:6">
      <c r="B176" s="6"/>
      <c r="C176" s="12"/>
      <c r="D176" s="38"/>
      <c r="E176" s="478"/>
      <c r="F176" s="478"/>
    </row>
    <row r="177" spans="2:6">
      <c r="B177" s="6"/>
      <c r="C177" s="12"/>
      <c r="D177" s="38"/>
      <c r="E177" s="478"/>
      <c r="F177" s="478"/>
    </row>
    <row r="178" spans="2:6">
      <c r="B178" s="6"/>
      <c r="C178" s="12"/>
      <c r="D178" s="38"/>
      <c r="E178" s="478"/>
      <c r="F178" s="478"/>
    </row>
    <row r="179" spans="2:6">
      <c r="B179" s="6"/>
      <c r="C179" s="12"/>
      <c r="D179" s="38"/>
      <c r="E179" s="478"/>
      <c r="F179" s="478"/>
    </row>
    <row r="180" spans="2:6">
      <c r="B180" s="6"/>
      <c r="C180" s="12"/>
      <c r="D180" s="38"/>
      <c r="E180" s="478"/>
      <c r="F180" s="478"/>
    </row>
    <row r="181" spans="2:6">
      <c r="B181" s="6"/>
      <c r="C181" s="12"/>
      <c r="D181" s="38"/>
      <c r="E181" s="478"/>
      <c r="F181" s="478"/>
    </row>
    <row r="182" spans="2:6">
      <c r="B182" s="6"/>
      <c r="C182" s="12"/>
      <c r="D182" s="38"/>
      <c r="E182" s="478"/>
      <c r="F182" s="478"/>
    </row>
    <row r="183" spans="2:6">
      <c r="B183" s="6"/>
      <c r="C183" s="12"/>
      <c r="D183" s="38"/>
      <c r="E183" s="478"/>
      <c r="F183" s="478"/>
    </row>
    <row r="184" spans="2:6">
      <c r="B184" s="6"/>
      <c r="C184" s="12"/>
      <c r="D184" s="38"/>
      <c r="E184" s="478"/>
      <c r="F184" s="478"/>
    </row>
    <row r="185" spans="2:6">
      <c r="B185" s="6"/>
      <c r="C185" s="12"/>
      <c r="D185" s="38"/>
      <c r="E185" s="478"/>
      <c r="F185" s="478"/>
    </row>
    <row r="186" spans="2:6">
      <c r="B186" s="6"/>
      <c r="C186" s="12"/>
      <c r="D186" s="38"/>
      <c r="E186" s="478"/>
      <c r="F186" s="478"/>
    </row>
    <row r="187" spans="2:6">
      <c r="B187" s="6"/>
      <c r="C187" s="12"/>
      <c r="D187" s="38"/>
      <c r="E187" s="478"/>
      <c r="F187" s="478"/>
    </row>
    <row r="188" spans="2:6">
      <c r="B188" s="6"/>
      <c r="C188" s="12"/>
      <c r="D188" s="38"/>
      <c r="E188" s="478"/>
      <c r="F188" s="478"/>
    </row>
    <row r="189" spans="2:6">
      <c r="B189" s="6"/>
      <c r="C189" s="12"/>
      <c r="D189" s="38"/>
      <c r="E189" s="478"/>
      <c r="F189" s="478"/>
    </row>
    <row r="190" spans="2:6">
      <c r="B190" s="6"/>
      <c r="C190" s="12"/>
      <c r="D190" s="38"/>
      <c r="E190" s="478"/>
      <c r="F190" s="478"/>
    </row>
    <row r="191" spans="2:6">
      <c r="B191" s="6"/>
      <c r="C191" s="12"/>
      <c r="D191" s="38"/>
      <c r="E191" s="478"/>
      <c r="F191" s="478"/>
    </row>
    <row r="192" spans="2:6">
      <c r="B192" s="6"/>
      <c r="C192" s="12"/>
      <c r="D192" s="38"/>
      <c r="E192" s="478"/>
      <c r="F192" s="478"/>
    </row>
    <row r="193" spans="2:6">
      <c r="B193" s="6"/>
      <c r="C193" s="12"/>
      <c r="D193" s="38"/>
      <c r="E193" s="478"/>
      <c r="F193" s="478"/>
    </row>
    <row r="194" spans="2:6">
      <c r="B194" s="6"/>
      <c r="C194" s="12"/>
      <c r="D194" s="38"/>
      <c r="E194" s="478"/>
      <c r="F194" s="478"/>
    </row>
    <row r="195" spans="2:6">
      <c r="B195" s="6"/>
      <c r="C195" s="12"/>
      <c r="D195" s="38"/>
      <c r="E195" s="478"/>
      <c r="F195" s="478"/>
    </row>
    <row r="196" spans="2:6">
      <c r="B196" s="6"/>
      <c r="C196" s="12"/>
      <c r="D196" s="38"/>
      <c r="E196" s="478"/>
      <c r="F196" s="478"/>
    </row>
    <row r="197" spans="2:6">
      <c r="B197" s="6"/>
      <c r="C197" s="12"/>
      <c r="D197" s="38"/>
      <c r="E197" s="478"/>
      <c r="F197" s="478"/>
    </row>
    <row r="198" spans="2:6">
      <c r="B198" s="6"/>
      <c r="C198" s="12"/>
      <c r="D198" s="38"/>
      <c r="E198" s="478"/>
      <c r="F198" s="478"/>
    </row>
    <row r="199" spans="2:6">
      <c r="B199" s="6"/>
      <c r="C199" s="12"/>
      <c r="D199" s="38"/>
      <c r="E199" s="478"/>
      <c r="F199" s="478"/>
    </row>
    <row r="200" spans="2:6">
      <c r="B200" s="6"/>
      <c r="C200" s="12"/>
      <c r="D200" s="38"/>
      <c r="E200" s="478"/>
      <c r="F200" s="478"/>
    </row>
    <row r="201" spans="2:6">
      <c r="B201" s="6"/>
      <c r="C201" s="12"/>
      <c r="D201" s="38"/>
      <c r="E201" s="478"/>
      <c r="F201" s="478"/>
    </row>
    <row r="202" spans="2:6">
      <c r="B202" s="6"/>
      <c r="C202" s="12"/>
      <c r="D202" s="38"/>
      <c r="E202" s="478"/>
      <c r="F202" s="478"/>
    </row>
    <row r="203" spans="2:6">
      <c r="B203" s="6"/>
      <c r="C203" s="12"/>
      <c r="D203" s="38"/>
      <c r="E203" s="478"/>
      <c r="F203" s="478"/>
    </row>
    <row r="204" spans="2:6">
      <c r="B204" s="6"/>
      <c r="C204" s="12"/>
      <c r="D204" s="38"/>
      <c r="E204" s="478"/>
      <c r="F204" s="478"/>
    </row>
    <row r="205" spans="2:6">
      <c r="B205" s="6"/>
      <c r="C205" s="12"/>
      <c r="D205" s="38"/>
      <c r="E205" s="478"/>
      <c r="F205" s="478"/>
    </row>
    <row r="206" spans="2:6">
      <c r="B206" s="6"/>
      <c r="C206" s="12"/>
      <c r="D206" s="38"/>
      <c r="E206" s="478"/>
      <c r="F206" s="478"/>
    </row>
    <row r="207" spans="2:6">
      <c r="B207" s="6"/>
      <c r="C207" s="12"/>
      <c r="D207" s="38"/>
      <c r="E207" s="478"/>
      <c r="F207" s="478"/>
    </row>
    <row r="208" spans="2:6">
      <c r="B208" s="6"/>
      <c r="C208" s="12"/>
      <c r="D208" s="38"/>
      <c r="E208" s="478"/>
      <c r="F208" s="478"/>
    </row>
    <row r="209" spans="2:6">
      <c r="B209" s="6"/>
      <c r="C209" s="12"/>
      <c r="D209" s="38"/>
      <c r="E209" s="478"/>
      <c r="F209" s="478"/>
    </row>
    <row r="210" spans="2:6">
      <c r="B210" s="6"/>
      <c r="C210" s="12"/>
      <c r="D210" s="38"/>
      <c r="E210" s="478"/>
      <c r="F210" s="478"/>
    </row>
    <row r="211" spans="2:6">
      <c r="B211" s="6"/>
      <c r="C211" s="12"/>
      <c r="D211" s="38"/>
      <c r="E211" s="478"/>
      <c r="F211" s="478"/>
    </row>
    <row r="212" spans="2:6">
      <c r="B212" s="6"/>
      <c r="C212" s="12"/>
      <c r="D212" s="38"/>
      <c r="E212" s="478"/>
      <c r="F212" s="478"/>
    </row>
    <row r="213" spans="2:6">
      <c r="B213" s="6"/>
      <c r="C213" s="12"/>
      <c r="D213" s="38"/>
      <c r="E213" s="478"/>
      <c r="F213" s="478"/>
    </row>
    <row r="214" spans="2:6">
      <c r="B214" s="6"/>
      <c r="C214" s="12"/>
      <c r="D214" s="38"/>
      <c r="E214" s="478"/>
      <c r="F214" s="478"/>
    </row>
    <row r="215" spans="2:6">
      <c r="B215" s="6"/>
      <c r="C215" s="12"/>
      <c r="D215" s="38"/>
      <c r="E215" s="478"/>
      <c r="F215" s="478"/>
    </row>
    <row r="216" spans="2:6">
      <c r="B216" s="6"/>
      <c r="C216" s="12"/>
      <c r="D216" s="38"/>
      <c r="E216" s="478"/>
      <c r="F216" s="478"/>
    </row>
    <row r="217" spans="2:6">
      <c r="B217" s="6"/>
      <c r="C217" s="12"/>
      <c r="D217" s="38"/>
      <c r="E217" s="478"/>
      <c r="F217" s="478"/>
    </row>
    <row r="218" spans="2:6">
      <c r="B218" s="6"/>
      <c r="C218" s="12"/>
      <c r="D218" s="38"/>
      <c r="E218" s="478"/>
      <c r="F218" s="478"/>
    </row>
    <row r="219" spans="2:6">
      <c r="B219" s="6"/>
      <c r="C219" s="12"/>
      <c r="D219" s="38"/>
      <c r="E219" s="478"/>
      <c r="F219" s="478"/>
    </row>
    <row r="220" spans="2:6">
      <c r="B220" s="6"/>
      <c r="C220" s="12"/>
      <c r="D220" s="38"/>
      <c r="E220" s="478"/>
      <c r="F220" s="478"/>
    </row>
    <row r="221" spans="2:6">
      <c r="B221" s="6"/>
      <c r="C221" s="12"/>
      <c r="D221" s="38"/>
      <c r="E221" s="478"/>
      <c r="F221" s="478"/>
    </row>
    <row r="222" spans="2:6">
      <c r="B222" s="6"/>
      <c r="C222" s="12"/>
      <c r="D222" s="38"/>
      <c r="E222" s="478"/>
      <c r="F222" s="478"/>
    </row>
    <row r="223" spans="2:6">
      <c r="B223" s="6"/>
      <c r="C223" s="12"/>
      <c r="D223" s="38"/>
      <c r="E223" s="478"/>
      <c r="F223" s="478"/>
    </row>
    <row r="224" spans="2:6">
      <c r="B224" s="6"/>
      <c r="C224" s="12"/>
      <c r="D224" s="38"/>
      <c r="E224" s="478"/>
      <c r="F224" s="478"/>
    </row>
    <row r="225" spans="2:6">
      <c r="B225" s="6"/>
      <c r="C225" s="12"/>
      <c r="D225" s="38"/>
      <c r="E225" s="478"/>
      <c r="F225" s="478"/>
    </row>
    <row r="226" spans="2:6">
      <c r="B226" s="6"/>
      <c r="C226" s="12"/>
      <c r="D226" s="38"/>
      <c r="E226" s="478"/>
      <c r="F226" s="478"/>
    </row>
    <row r="227" spans="2:6">
      <c r="B227" s="6"/>
      <c r="C227" s="12"/>
      <c r="D227" s="38"/>
      <c r="E227" s="478"/>
      <c r="F227" s="478"/>
    </row>
    <row r="228" spans="2:6">
      <c r="B228" s="6"/>
      <c r="C228" s="12"/>
      <c r="D228" s="38"/>
      <c r="E228" s="478"/>
      <c r="F228" s="478"/>
    </row>
    <row r="229" spans="2:6">
      <c r="B229" s="6"/>
      <c r="C229" s="12"/>
      <c r="D229" s="38"/>
      <c r="E229" s="478"/>
      <c r="F229" s="478"/>
    </row>
    <row r="230" spans="2:6">
      <c r="B230" s="6"/>
      <c r="C230" s="12"/>
      <c r="D230" s="38"/>
      <c r="E230" s="478"/>
      <c r="F230" s="478"/>
    </row>
    <row r="231" spans="2:6">
      <c r="B231" s="6"/>
      <c r="C231" s="12"/>
      <c r="D231" s="38"/>
      <c r="E231" s="478"/>
      <c r="F231" s="478"/>
    </row>
    <row r="232" spans="2:6">
      <c r="B232" s="6"/>
      <c r="C232" s="12"/>
      <c r="D232" s="38"/>
      <c r="E232" s="478"/>
      <c r="F232" s="478"/>
    </row>
    <row r="233" spans="2:6">
      <c r="B233" s="6"/>
      <c r="C233" s="12"/>
      <c r="D233" s="38"/>
      <c r="E233" s="478"/>
      <c r="F233" s="478"/>
    </row>
    <row r="234" spans="2:6">
      <c r="B234" s="6"/>
      <c r="C234" s="12"/>
      <c r="D234" s="38"/>
      <c r="E234" s="478"/>
      <c r="F234" s="478"/>
    </row>
    <row r="235" spans="2:6">
      <c r="B235" s="6"/>
      <c r="C235" s="12"/>
      <c r="D235" s="38"/>
      <c r="E235" s="478"/>
      <c r="F235" s="478"/>
    </row>
    <row r="236" spans="2:6">
      <c r="B236" s="6"/>
      <c r="C236" s="12"/>
      <c r="D236" s="38"/>
      <c r="E236" s="478"/>
      <c r="F236" s="478"/>
    </row>
    <row r="237" spans="2:6">
      <c r="B237" s="6"/>
      <c r="C237" s="12"/>
      <c r="D237" s="38"/>
      <c r="E237" s="478"/>
      <c r="F237" s="478"/>
    </row>
    <row r="238" spans="2:6">
      <c r="B238" s="6"/>
      <c r="C238" s="12"/>
      <c r="D238" s="38"/>
      <c r="E238" s="478"/>
      <c r="F238" s="478"/>
    </row>
    <row r="239" spans="2:6">
      <c r="B239" s="6"/>
      <c r="C239" s="12"/>
      <c r="D239" s="38"/>
      <c r="E239" s="478"/>
      <c r="F239" s="478"/>
    </row>
    <row r="240" spans="2:6">
      <c r="B240" s="6"/>
      <c r="C240" s="12"/>
      <c r="D240" s="38"/>
      <c r="E240" s="478"/>
      <c r="F240" s="478"/>
    </row>
    <row r="241" spans="2:6">
      <c r="B241" s="6"/>
      <c r="C241" s="12"/>
      <c r="D241" s="38"/>
      <c r="E241" s="478"/>
      <c r="F241" s="478"/>
    </row>
    <row r="242" spans="2:6">
      <c r="B242" s="6"/>
      <c r="C242" s="12"/>
      <c r="D242" s="38"/>
      <c r="E242" s="478"/>
      <c r="F242" s="478"/>
    </row>
    <row r="243" spans="2:6">
      <c r="B243" s="6"/>
      <c r="C243" s="12"/>
      <c r="D243" s="38"/>
      <c r="E243" s="478"/>
      <c r="F243" s="478"/>
    </row>
    <row r="244" spans="2:6">
      <c r="B244" s="6"/>
      <c r="C244" s="12"/>
      <c r="D244" s="38"/>
      <c r="E244" s="478"/>
      <c r="F244" s="478"/>
    </row>
    <row r="245" spans="2:6">
      <c r="B245" s="6"/>
      <c r="C245" s="12"/>
      <c r="D245" s="38"/>
      <c r="E245" s="478"/>
      <c r="F245" s="478"/>
    </row>
    <row r="246" spans="2:6">
      <c r="B246" s="6"/>
      <c r="C246" s="12"/>
      <c r="D246" s="38"/>
      <c r="E246" s="478"/>
      <c r="F246" s="478"/>
    </row>
    <row r="247" spans="2:6">
      <c r="B247" s="6"/>
      <c r="C247" s="12"/>
      <c r="D247" s="38"/>
      <c r="E247" s="478"/>
      <c r="F247" s="478"/>
    </row>
    <row r="248" spans="2:6">
      <c r="B248" s="6"/>
      <c r="C248" s="12"/>
      <c r="D248" s="38"/>
      <c r="E248" s="478"/>
      <c r="F248" s="478"/>
    </row>
    <row r="249" spans="2:6">
      <c r="B249" s="6"/>
      <c r="C249" s="12"/>
      <c r="D249" s="38"/>
      <c r="E249" s="478"/>
      <c r="F249" s="478"/>
    </row>
    <row r="250" spans="2:6">
      <c r="B250" s="6"/>
      <c r="C250" s="12"/>
      <c r="D250" s="38"/>
      <c r="E250" s="478"/>
      <c r="F250" s="478"/>
    </row>
    <row r="251" spans="2:6">
      <c r="B251" s="6"/>
      <c r="C251" s="12"/>
      <c r="D251" s="38"/>
      <c r="E251" s="478"/>
      <c r="F251" s="478"/>
    </row>
    <row r="252" spans="2:6">
      <c r="B252" s="6"/>
      <c r="C252" s="12"/>
      <c r="D252" s="38"/>
      <c r="E252" s="478"/>
      <c r="F252" s="478"/>
    </row>
    <row r="253" spans="2:6">
      <c r="B253" s="6"/>
      <c r="C253" s="12"/>
      <c r="D253" s="38"/>
      <c r="E253" s="478"/>
      <c r="F253" s="478"/>
    </row>
    <row r="254" spans="2:6">
      <c r="B254" s="6"/>
      <c r="C254" s="12"/>
      <c r="D254" s="38"/>
      <c r="E254" s="478"/>
      <c r="F254" s="478"/>
    </row>
    <row r="255" spans="2:6">
      <c r="B255" s="6"/>
      <c r="C255" s="12"/>
      <c r="D255" s="38"/>
      <c r="E255" s="478"/>
      <c r="F255" s="478"/>
    </row>
    <row r="256" spans="2:6">
      <c r="B256" s="6"/>
      <c r="C256" s="12"/>
      <c r="D256" s="38"/>
      <c r="E256" s="478"/>
      <c r="F256" s="478"/>
    </row>
    <row r="257" spans="2:6">
      <c r="B257" s="6"/>
      <c r="C257" s="12"/>
      <c r="D257" s="38"/>
      <c r="E257" s="478"/>
      <c r="F257" s="478"/>
    </row>
    <row r="258" spans="2:6">
      <c r="B258" s="6"/>
      <c r="C258" s="12"/>
      <c r="D258" s="38"/>
      <c r="E258" s="478"/>
      <c r="F258" s="478"/>
    </row>
    <row r="259" spans="2:6">
      <c r="B259" s="6"/>
      <c r="C259" s="12"/>
      <c r="D259" s="38"/>
      <c r="E259" s="478"/>
      <c r="F259" s="478"/>
    </row>
    <row r="260" spans="2:6">
      <c r="B260" s="6"/>
      <c r="C260" s="12"/>
      <c r="D260" s="38"/>
      <c r="E260" s="478"/>
      <c r="F260" s="478"/>
    </row>
    <row r="261" spans="2:6">
      <c r="B261" s="6"/>
      <c r="C261" s="12"/>
      <c r="D261" s="38"/>
      <c r="E261" s="478"/>
      <c r="F261" s="478"/>
    </row>
    <row r="262" spans="2:6">
      <c r="B262" s="6"/>
      <c r="C262" s="12"/>
      <c r="D262" s="38"/>
      <c r="E262" s="478"/>
      <c r="F262" s="478"/>
    </row>
    <row r="263" spans="2:6">
      <c r="B263" s="6"/>
      <c r="C263" s="12"/>
      <c r="D263" s="38"/>
      <c r="E263" s="478"/>
      <c r="F263" s="478"/>
    </row>
    <row r="264" spans="2:6">
      <c r="B264" s="6"/>
      <c r="C264" s="12"/>
      <c r="D264" s="38"/>
      <c r="E264" s="478"/>
      <c r="F264" s="478"/>
    </row>
    <row r="265" spans="2:6">
      <c r="B265" s="6"/>
      <c r="C265" s="12"/>
      <c r="D265" s="38"/>
      <c r="E265" s="478"/>
      <c r="F265" s="478"/>
    </row>
    <row r="266" spans="2:6">
      <c r="B266" s="6"/>
      <c r="C266" s="12"/>
      <c r="D266" s="38"/>
      <c r="E266" s="478"/>
      <c r="F266" s="478"/>
    </row>
    <row r="267" spans="2:6">
      <c r="B267" s="6"/>
      <c r="C267" s="12"/>
      <c r="D267" s="38"/>
      <c r="E267" s="478"/>
      <c r="F267" s="478"/>
    </row>
    <row r="268" spans="2:6">
      <c r="B268" s="6"/>
      <c r="C268" s="12"/>
      <c r="D268" s="38"/>
      <c r="E268" s="478"/>
      <c r="F268" s="478"/>
    </row>
    <row r="269" spans="2:6">
      <c r="B269" s="6"/>
      <c r="C269" s="12"/>
      <c r="D269" s="38"/>
      <c r="E269" s="478"/>
      <c r="F269" s="478"/>
    </row>
    <row r="270" spans="2:6">
      <c r="B270" s="6"/>
      <c r="C270" s="12"/>
      <c r="D270" s="38"/>
      <c r="E270" s="478"/>
      <c r="F270" s="478"/>
    </row>
    <row r="271" spans="2:6">
      <c r="B271" s="6"/>
      <c r="C271" s="12"/>
      <c r="D271" s="38"/>
      <c r="E271" s="478"/>
      <c r="F271" s="478"/>
    </row>
    <row r="272" spans="2:6">
      <c r="B272" s="6"/>
      <c r="C272" s="12"/>
      <c r="D272" s="38"/>
      <c r="E272" s="478"/>
      <c r="F272" s="478"/>
    </row>
    <row r="273" spans="2:6">
      <c r="B273" s="6"/>
      <c r="C273" s="12"/>
      <c r="D273" s="38"/>
      <c r="E273" s="478"/>
      <c r="F273" s="478"/>
    </row>
    <row r="274" spans="2:6">
      <c r="B274" s="6"/>
      <c r="C274" s="12"/>
      <c r="D274" s="38"/>
      <c r="E274" s="478"/>
      <c r="F274" s="478"/>
    </row>
    <row r="275" spans="2:6">
      <c r="B275" s="6"/>
      <c r="C275" s="12"/>
      <c r="D275" s="38"/>
      <c r="E275" s="478"/>
      <c r="F275" s="478"/>
    </row>
    <row r="276" spans="2:6">
      <c r="B276" s="6"/>
      <c r="C276" s="12"/>
      <c r="D276" s="38"/>
      <c r="E276" s="478"/>
      <c r="F276" s="478"/>
    </row>
    <row r="277" spans="2:6">
      <c r="B277" s="6"/>
      <c r="C277" s="12"/>
      <c r="D277" s="38"/>
      <c r="E277" s="478"/>
      <c r="F277" s="478"/>
    </row>
    <row r="278" spans="2:6">
      <c r="B278" s="6"/>
      <c r="C278" s="12"/>
      <c r="D278" s="38"/>
      <c r="E278" s="478"/>
      <c r="F278" s="478"/>
    </row>
    <row r="279" spans="2:6">
      <c r="B279" s="6"/>
      <c r="C279" s="12"/>
      <c r="D279" s="38"/>
      <c r="E279" s="478"/>
      <c r="F279" s="478"/>
    </row>
    <row r="280" spans="2:6">
      <c r="B280" s="6"/>
      <c r="C280" s="12"/>
      <c r="D280" s="38"/>
      <c r="E280" s="478"/>
      <c r="F280" s="478"/>
    </row>
    <row r="281" spans="2:6">
      <c r="B281" s="6"/>
      <c r="C281" s="12"/>
      <c r="D281" s="38"/>
      <c r="E281" s="478"/>
      <c r="F281" s="478"/>
    </row>
    <row r="282" spans="2:6">
      <c r="B282" s="6"/>
      <c r="C282" s="12"/>
      <c r="D282" s="38"/>
      <c r="E282" s="478"/>
      <c r="F282" s="478"/>
    </row>
    <row r="283" spans="2:6">
      <c r="B283" s="6"/>
      <c r="C283" s="12"/>
      <c r="D283" s="38"/>
      <c r="E283" s="478"/>
      <c r="F283" s="478"/>
    </row>
    <row r="284" spans="2:6">
      <c r="B284" s="6"/>
      <c r="C284" s="12"/>
      <c r="D284" s="38"/>
      <c r="E284" s="478"/>
      <c r="F284" s="478"/>
    </row>
    <row r="285" spans="2:6">
      <c r="B285" s="6"/>
      <c r="C285" s="12"/>
      <c r="D285" s="38"/>
      <c r="E285" s="478"/>
      <c r="F285" s="478"/>
    </row>
    <row r="286" spans="2:6">
      <c r="B286" s="6"/>
      <c r="C286" s="12"/>
      <c r="D286" s="38"/>
      <c r="E286" s="478"/>
      <c r="F286" s="478"/>
    </row>
    <row r="287" spans="2:6">
      <c r="B287" s="6"/>
      <c r="C287" s="12"/>
      <c r="D287" s="38"/>
      <c r="E287" s="478"/>
      <c r="F287" s="478"/>
    </row>
    <row r="288" spans="2:6">
      <c r="B288" s="6"/>
      <c r="C288" s="12"/>
      <c r="D288" s="38"/>
      <c r="E288" s="478"/>
      <c r="F288" s="478"/>
    </row>
    <row r="289" spans="2:6">
      <c r="B289" s="6"/>
      <c r="C289" s="12"/>
      <c r="D289" s="38"/>
      <c r="E289" s="478"/>
      <c r="F289" s="478"/>
    </row>
    <row r="290" spans="2:6">
      <c r="B290" s="6"/>
      <c r="C290" s="12"/>
      <c r="D290" s="38"/>
      <c r="E290" s="478"/>
      <c r="F290" s="478"/>
    </row>
    <row r="291" spans="2:6">
      <c r="B291" s="6"/>
      <c r="C291" s="12"/>
      <c r="D291" s="38"/>
      <c r="E291" s="478"/>
      <c r="F291" s="478"/>
    </row>
    <row r="292" spans="2:6">
      <c r="B292" s="6"/>
      <c r="C292" s="12"/>
      <c r="D292" s="38"/>
      <c r="E292" s="478"/>
      <c r="F292" s="478"/>
    </row>
    <row r="293" spans="2:6">
      <c r="B293" s="6"/>
      <c r="C293" s="12"/>
      <c r="D293" s="38"/>
      <c r="E293" s="478"/>
      <c r="F293" s="478"/>
    </row>
    <row r="294" spans="2:6">
      <c r="B294" s="6"/>
      <c r="C294" s="12"/>
      <c r="D294" s="38"/>
      <c r="E294" s="478"/>
      <c r="F294" s="478"/>
    </row>
    <row r="295" spans="2:6">
      <c r="B295" s="6"/>
      <c r="C295" s="12"/>
      <c r="D295" s="38"/>
      <c r="E295" s="478"/>
      <c r="F295" s="478"/>
    </row>
    <row r="296" spans="2:6">
      <c r="B296" s="6"/>
      <c r="C296" s="12"/>
      <c r="D296" s="38"/>
      <c r="E296" s="478"/>
      <c r="F296" s="478"/>
    </row>
    <row r="297" spans="2:6">
      <c r="B297" s="6"/>
      <c r="C297" s="12"/>
      <c r="D297" s="38"/>
      <c r="E297" s="478"/>
      <c r="F297" s="478"/>
    </row>
    <row r="298" spans="2:6">
      <c r="B298" s="6"/>
      <c r="C298" s="12"/>
      <c r="D298" s="38"/>
      <c r="E298" s="478"/>
      <c r="F298" s="478"/>
    </row>
    <row r="299" spans="2:6">
      <c r="B299" s="6"/>
      <c r="C299" s="12"/>
      <c r="D299" s="38"/>
      <c r="E299" s="478"/>
      <c r="F299" s="478"/>
    </row>
    <row r="300" spans="2:6">
      <c r="B300" s="6"/>
      <c r="C300" s="12"/>
      <c r="D300" s="38"/>
      <c r="E300" s="478"/>
      <c r="F300" s="478"/>
    </row>
    <row r="301" spans="2:6">
      <c r="B301" s="6"/>
      <c r="C301" s="12"/>
      <c r="D301" s="38"/>
      <c r="E301" s="478"/>
      <c r="F301" s="478"/>
    </row>
    <row r="302" spans="2:6">
      <c r="B302" s="6"/>
      <c r="C302" s="12"/>
      <c r="D302" s="38"/>
      <c r="E302" s="478"/>
      <c r="F302" s="478"/>
    </row>
    <row r="303" spans="2:6">
      <c r="B303" s="6"/>
      <c r="C303" s="12"/>
      <c r="D303" s="38"/>
      <c r="E303" s="478"/>
      <c r="F303" s="478"/>
    </row>
    <row r="304" spans="2:6">
      <c r="B304" s="6"/>
      <c r="C304" s="12"/>
      <c r="D304" s="38"/>
      <c r="E304" s="478"/>
      <c r="F304" s="478"/>
    </row>
    <row r="305" spans="2:6">
      <c r="B305" s="6"/>
      <c r="C305" s="12"/>
      <c r="D305" s="38"/>
      <c r="E305" s="478"/>
      <c r="F305" s="478"/>
    </row>
    <row r="306" spans="2:6">
      <c r="B306" s="6"/>
      <c r="C306" s="12"/>
      <c r="D306" s="38"/>
      <c r="E306" s="478"/>
      <c r="F306" s="478"/>
    </row>
    <row r="307" spans="2:6">
      <c r="B307" s="6"/>
      <c r="C307" s="12"/>
      <c r="D307" s="38"/>
      <c r="E307" s="478"/>
      <c r="F307" s="478"/>
    </row>
    <row r="308" spans="2:6">
      <c r="B308" s="6"/>
      <c r="C308" s="12"/>
      <c r="D308" s="38"/>
      <c r="E308" s="478"/>
      <c r="F308" s="478"/>
    </row>
    <row r="309" spans="2:6">
      <c r="B309" s="6"/>
      <c r="C309" s="12"/>
      <c r="D309" s="38"/>
      <c r="E309" s="478"/>
      <c r="F309" s="478"/>
    </row>
    <row r="310" spans="2:6">
      <c r="B310" s="6"/>
      <c r="C310" s="12"/>
      <c r="D310" s="38"/>
      <c r="E310" s="478"/>
      <c r="F310" s="478"/>
    </row>
    <row r="311" spans="2:6">
      <c r="B311" s="6"/>
      <c r="C311" s="12"/>
      <c r="D311" s="38"/>
      <c r="E311" s="478"/>
      <c r="F311" s="478"/>
    </row>
    <row r="312" spans="2:6">
      <c r="B312" s="6"/>
      <c r="C312" s="12"/>
      <c r="D312" s="38"/>
      <c r="E312" s="478"/>
      <c r="F312" s="478"/>
    </row>
    <row r="313" spans="2:6">
      <c r="B313" s="6"/>
      <c r="C313" s="12"/>
      <c r="D313" s="38"/>
      <c r="E313" s="478"/>
      <c r="F313" s="478"/>
    </row>
    <row r="314" spans="2:6">
      <c r="B314" s="6"/>
      <c r="C314" s="12"/>
      <c r="D314" s="38"/>
      <c r="E314" s="478"/>
      <c r="F314" s="478"/>
    </row>
    <row r="315" spans="2:6">
      <c r="B315" s="6"/>
      <c r="C315" s="12"/>
      <c r="D315" s="38"/>
      <c r="E315" s="478"/>
      <c r="F315" s="478"/>
    </row>
    <row r="316" spans="2:6">
      <c r="B316" s="6"/>
      <c r="C316" s="12"/>
      <c r="D316" s="38"/>
      <c r="E316" s="478"/>
      <c r="F316" s="478"/>
    </row>
    <row r="317" spans="2:6">
      <c r="B317" s="6"/>
      <c r="C317" s="12"/>
      <c r="D317" s="38"/>
      <c r="E317" s="478"/>
      <c r="F317" s="478"/>
    </row>
    <row r="318" spans="2:6">
      <c r="B318" s="6"/>
      <c r="C318" s="12"/>
      <c r="D318" s="38"/>
      <c r="E318" s="478"/>
      <c r="F318" s="478"/>
    </row>
    <row r="319" spans="2:6">
      <c r="B319" s="6"/>
      <c r="C319" s="12"/>
      <c r="D319" s="38"/>
      <c r="E319" s="478"/>
      <c r="F319" s="478"/>
    </row>
    <row r="320" spans="2:6">
      <c r="B320" s="6"/>
      <c r="C320" s="12"/>
      <c r="D320" s="38"/>
      <c r="E320" s="478"/>
      <c r="F320" s="478"/>
    </row>
    <row r="321" spans="2:6">
      <c r="B321" s="6"/>
      <c r="C321" s="12"/>
      <c r="D321" s="38"/>
      <c r="E321" s="478"/>
      <c r="F321" s="478"/>
    </row>
    <row r="322" spans="2:6">
      <c r="B322" s="6"/>
      <c r="C322" s="12"/>
      <c r="D322" s="38"/>
      <c r="E322" s="478"/>
      <c r="F322" s="478"/>
    </row>
    <row r="323" spans="2:6">
      <c r="B323" s="6"/>
      <c r="C323" s="12"/>
      <c r="D323" s="38"/>
      <c r="E323" s="478"/>
      <c r="F323" s="478"/>
    </row>
    <row r="324" spans="2:6">
      <c r="B324" s="6"/>
      <c r="C324" s="12"/>
      <c r="D324" s="38"/>
      <c r="E324" s="478"/>
      <c r="F324" s="478"/>
    </row>
    <row r="325" spans="2:6">
      <c r="B325" s="6"/>
      <c r="C325" s="12"/>
      <c r="D325" s="38"/>
      <c r="E325" s="478"/>
      <c r="F325" s="478"/>
    </row>
    <row r="326" spans="2:6">
      <c r="B326" s="6"/>
      <c r="C326" s="12"/>
      <c r="D326" s="38"/>
      <c r="E326" s="478"/>
      <c r="F326" s="478"/>
    </row>
    <row r="327" spans="2:6">
      <c r="B327" s="6"/>
      <c r="C327" s="12"/>
      <c r="D327" s="38"/>
      <c r="E327" s="478"/>
      <c r="F327" s="478"/>
    </row>
    <row r="328" spans="2:6">
      <c r="B328" s="6"/>
      <c r="C328" s="12"/>
      <c r="D328" s="38"/>
      <c r="E328" s="478"/>
      <c r="F328" s="478"/>
    </row>
    <row r="329" spans="2:6">
      <c r="B329" s="6"/>
      <c r="C329" s="12"/>
      <c r="D329" s="38"/>
      <c r="E329" s="478"/>
      <c r="F329" s="478"/>
    </row>
    <row r="330" spans="2:6">
      <c r="B330" s="6"/>
      <c r="C330" s="12"/>
      <c r="D330" s="38"/>
      <c r="E330" s="478"/>
      <c r="F330" s="478"/>
    </row>
    <row r="331" spans="2:6">
      <c r="B331" s="6"/>
      <c r="C331" s="12"/>
      <c r="D331" s="38"/>
      <c r="E331" s="478"/>
      <c r="F331" s="478"/>
    </row>
    <row r="332" spans="2:6">
      <c r="B332" s="6"/>
      <c r="C332" s="12"/>
      <c r="D332" s="38"/>
      <c r="E332" s="478"/>
      <c r="F332" s="478"/>
    </row>
    <row r="333" spans="2:6">
      <c r="B333" s="6"/>
      <c r="C333" s="12"/>
      <c r="D333" s="38"/>
      <c r="E333" s="478"/>
      <c r="F333" s="478"/>
    </row>
    <row r="334" spans="2:6">
      <c r="B334" s="6"/>
      <c r="C334" s="12"/>
      <c r="D334" s="38"/>
      <c r="E334" s="478"/>
      <c r="F334" s="478"/>
    </row>
    <row r="335" spans="2:6">
      <c r="B335" s="6"/>
      <c r="C335" s="12"/>
      <c r="D335" s="38"/>
      <c r="E335" s="478"/>
      <c r="F335" s="478"/>
    </row>
    <row r="336" spans="2:6">
      <c r="B336" s="6"/>
      <c r="C336" s="12"/>
      <c r="D336" s="38"/>
      <c r="E336" s="478"/>
      <c r="F336" s="478"/>
    </row>
    <row r="337" spans="2:6">
      <c r="B337" s="6"/>
      <c r="C337" s="12"/>
      <c r="D337" s="38"/>
      <c r="E337" s="478"/>
      <c r="F337" s="478"/>
    </row>
    <row r="338" spans="2:6">
      <c r="B338" s="6"/>
      <c r="C338" s="12"/>
      <c r="D338" s="38"/>
      <c r="E338" s="478"/>
      <c r="F338" s="478"/>
    </row>
    <row r="339" spans="2:6">
      <c r="B339" s="6"/>
      <c r="C339" s="12"/>
      <c r="D339" s="38"/>
      <c r="E339" s="478"/>
      <c r="F339" s="478"/>
    </row>
    <row r="340" spans="2:6">
      <c r="B340" s="6"/>
      <c r="C340" s="12"/>
      <c r="D340" s="38"/>
      <c r="E340" s="478"/>
      <c r="F340" s="478"/>
    </row>
    <row r="341" spans="2:6">
      <c r="B341" s="6"/>
      <c r="C341" s="12"/>
      <c r="D341" s="38"/>
      <c r="E341" s="478"/>
      <c r="F341" s="478"/>
    </row>
    <row r="342" spans="2:6">
      <c r="B342" s="6"/>
      <c r="C342" s="12"/>
      <c r="D342" s="38"/>
      <c r="E342" s="478"/>
      <c r="F342" s="478"/>
    </row>
    <row r="343" spans="2:6">
      <c r="B343" s="6"/>
      <c r="C343" s="12"/>
      <c r="D343" s="38"/>
      <c r="E343" s="478"/>
      <c r="F343" s="478"/>
    </row>
    <row r="344" spans="2:6">
      <c r="B344" s="6"/>
      <c r="C344" s="12"/>
      <c r="D344" s="38"/>
      <c r="E344" s="478"/>
      <c r="F344" s="478"/>
    </row>
    <row r="345" spans="2:6">
      <c r="B345" s="6"/>
      <c r="C345" s="12"/>
      <c r="D345" s="38"/>
      <c r="E345" s="478"/>
      <c r="F345" s="478"/>
    </row>
    <row r="346" spans="2:6">
      <c r="B346" s="6"/>
      <c r="C346" s="12"/>
      <c r="D346" s="38"/>
      <c r="E346" s="478"/>
      <c r="F346" s="478"/>
    </row>
    <row r="347" spans="2:6">
      <c r="B347" s="6"/>
      <c r="C347" s="12"/>
      <c r="D347" s="38"/>
      <c r="E347" s="478"/>
      <c r="F347" s="478"/>
    </row>
    <row r="348" spans="2:6">
      <c r="B348" s="6"/>
      <c r="C348" s="12"/>
      <c r="D348" s="38"/>
      <c r="E348" s="478"/>
      <c r="F348" s="478"/>
    </row>
    <row r="349" spans="2:6">
      <c r="B349" s="6"/>
      <c r="C349" s="12"/>
      <c r="D349" s="38"/>
      <c r="E349" s="478"/>
      <c r="F349" s="478"/>
    </row>
    <row r="350" spans="2:6">
      <c r="B350" s="6"/>
      <c r="C350" s="12"/>
      <c r="D350" s="38"/>
      <c r="E350" s="478"/>
      <c r="F350" s="478"/>
    </row>
    <row r="351" spans="2:6">
      <c r="B351" s="6"/>
      <c r="C351" s="12"/>
      <c r="D351" s="38"/>
      <c r="E351" s="478"/>
      <c r="F351" s="478"/>
    </row>
    <row r="352" spans="2:6">
      <c r="B352" s="6"/>
      <c r="C352" s="12"/>
      <c r="D352" s="38"/>
      <c r="E352" s="478"/>
      <c r="F352" s="478"/>
    </row>
    <row r="353" spans="2:6">
      <c r="B353" s="6"/>
      <c r="C353" s="12"/>
      <c r="D353" s="38"/>
      <c r="E353" s="478"/>
      <c r="F353" s="478"/>
    </row>
    <row r="354" spans="2:6">
      <c r="B354" s="6"/>
      <c r="C354" s="12"/>
      <c r="D354" s="38"/>
      <c r="E354" s="478"/>
      <c r="F354" s="478"/>
    </row>
    <row r="355" spans="2:6">
      <c r="B355" s="6"/>
      <c r="C355" s="12"/>
      <c r="D355" s="38"/>
      <c r="E355" s="478"/>
      <c r="F355" s="478"/>
    </row>
    <row r="356" spans="2:6">
      <c r="B356" s="6"/>
      <c r="C356" s="12"/>
      <c r="D356" s="38"/>
      <c r="E356" s="478"/>
      <c r="F356" s="478"/>
    </row>
    <row r="357" spans="2:6">
      <c r="B357" s="6"/>
      <c r="C357" s="12"/>
      <c r="D357" s="38"/>
      <c r="E357" s="478"/>
      <c r="F357" s="478"/>
    </row>
    <row r="358" spans="2:6">
      <c r="B358" s="6"/>
      <c r="C358" s="12"/>
      <c r="D358" s="38"/>
      <c r="E358" s="478"/>
      <c r="F358" s="478"/>
    </row>
    <row r="359" spans="2:6">
      <c r="B359" s="6"/>
      <c r="C359" s="12"/>
      <c r="D359" s="38"/>
      <c r="E359" s="478"/>
      <c r="F359" s="478"/>
    </row>
    <row r="360" spans="2:6">
      <c r="B360" s="6"/>
      <c r="C360" s="12"/>
      <c r="D360" s="38"/>
      <c r="E360" s="478"/>
      <c r="F360" s="478"/>
    </row>
    <row r="361" spans="2:6">
      <c r="B361" s="6"/>
      <c r="C361" s="12"/>
      <c r="D361" s="38"/>
      <c r="E361" s="478"/>
      <c r="F361" s="478"/>
    </row>
    <row r="362" spans="2:6">
      <c r="B362" s="6"/>
      <c r="C362" s="12"/>
      <c r="D362" s="38"/>
      <c r="E362" s="478"/>
      <c r="F362" s="478"/>
    </row>
    <row r="363" spans="2:6">
      <c r="B363" s="36"/>
      <c r="C363" s="12"/>
      <c r="D363" s="38"/>
      <c r="E363" s="478"/>
      <c r="F363" s="478"/>
    </row>
    <row r="364" spans="2:6">
      <c r="B364" s="485"/>
      <c r="C364" s="488"/>
      <c r="D364" s="38"/>
      <c r="E364" s="478"/>
      <c r="F364" s="478"/>
    </row>
    <row r="365" spans="2:6">
      <c r="B365" s="485"/>
      <c r="C365" s="12"/>
      <c r="D365" s="38"/>
      <c r="E365" s="478"/>
      <c r="F365" s="478"/>
    </row>
    <row r="366" spans="2:6">
      <c r="B366" s="485"/>
      <c r="C366" s="12"/>
      <c r="D366" s="38"/>
      <c r="E366" s="478"/>
      <c r="F366" s="478"/>
    </row>
    <row r="367" spans="2:6">
      <c r="B367" s="485"/>
      <c r="C367" s="12"/>
      <c r="D367" s="38"/>
      <c r="E367" s="478"/>
      <c r="F367" s="478"/>
    </row>
    <row r="368" spans="2:6">
      <c r="B368" s="485"/>
      <c r="C368" s="12"/>
      <c r="D368" s="38"/>
      <c r="E368" s="478"/>
      <c r="F368" s="478"/>
    </row>
    <row r="369" spans="2:6">
      <c r="B369" s="485"/>
      <c r="C369" s="12"/>
      <c r="D369" s="38"/>
      <c r="E369" s="478"/>
      <c r="F369" s="478"/>
    </row>
    <row r="370" spans="2:6">
      <c r="B370" s="485"/>
      <c r="C370" s="12"/>
      <c r="D370" s="38"/>
      <c r="E370" s="478"/>
      <c r="F370" s="478"/>
    </row>
    <row r="371" spans="2:6">
      <c r="B371" s="485"/>
      <c r="C371" s="12"/>
      <c r="D371" s="38"/>
      <c r="E371" s="478"/>
      <c r="F371" s="478"/>
    </row>
    <row r="372" spans="2:6">
      <c r="B372" s="485"/>
      <c r="C372" s="12"/>
      <c r="D372" s="38"/>
      <c r="E372" s="478"/>
      <c r="F372" s="478"/>
    </row>
    <row r="373" spans="2:6">
      <c r="B373" s="485"/>
      <c r="C373" s="12"/>
      <c r="D373" s="38"/>
      <c r="E373" s="478"/>
      <c r="F373" s="478"/>
    </row>
    <row r="374" spans="2:6">
      <c r="B374" s="485"/>
      <c r="C374" s="12"/>
      <c r="D374" s="38"/>
      <c r="E374" s="478"/>
      <c r="F374" s="478"/>
    </row>
    <row r="375" spans="2:6">
      <c r="B375" s="485"/>
      <c r="C375" s="12"/>
      <c r="D375" s="38"/>
      <c r="E375" s="478"/>
      <c r="F375" s="478"/>
    </row>
    <row r="376" spans="2:6">
      <c r="B376" s="485"/>
      <c r="C376" s="12"/>
      <c r="D376" s="38"/>
      <c r="E376" s="478"/>
      <c r="F376" s="478"/>
    </row>
    <row r="377" spans="2:6">
      <c r="B377" s="485"/>
      <c r="C377" s="12"/>
      <c r="D377" s="38"/>
      <c r="E377" s="478"/>
      <c r="F377" s="478"/>
    </row>
    <row r="378" spans="2:6">
      <c r="B378" s="485"/>
      <c r="C378" s="12"/>
      <c r="D378" s="38"/>
      <c r="E378" s="478"/>
      <c r="F378" s="478"/>
    </row>
    <row r="379" spans="2:6">
      <c r="B379" s="485"/>
      <c r="C379" s="12"/>
      <c r="D379" s="38"/>
      <c r="E379" s="478"/>
      <c r="F379" s="478"/>
    </row>
    <row r="380" spans="2:6">
      <c r="B380" s="485"/>
      <c r="C380" s="12"/>
      <c r="D380" s="38"/>
      <c r="E380" s="478"/>
      <c r="F380" s="478"/>
    </row>
    <row r="381" spans="2:6">
      <c r="B381" s="485"/>
      <c r="C381" s="12"/>
      <c r="D381" s="38"/>
      <c r="E381" s="478"/>
      <c r="F381" s="478"/>
    </row>
    <row r="382" spans="2:6">
      <c r="B382" s="485"/>
      <c r="C382" s="12"/>
      <c r="D382" s="38"/>
      <c r="E382" s="478"/>
      <c r="F382" s="478"/>
    </row>
    <row r="383" spans="2:6">
      <c r="B383" s="485"/>
      <c r="C383" s="12"/>
      <c r="D383" s="38"/>
      <c r="E383" s="478"/>
      <c r="F383" s="478"/>
    </row>
    <row r="384" spans="2:6">
      <c r="B384" s="485"/>
      <c r="C384" s="12"/>
      <c r="D384" s="38"/>
      <c r="E384" s="478"/>
      <c r="F384" s="478"/>
    </row>
    <row r="385" spans="2:6">
      <c r="B385" s="485"/>
      <c r="C385" s="12"/>
      <c r="D385" s="38"/>
      <c r="E385" s="478"/>
      <c r="F385" s="478"/>
    </row>
    <row r="386" spans="2:6">
      <c r="B386" s="485"/>
      <c r="C386" s="12"/>
      <c r="D386" s="38"/>
      <c r="E386" s="478"/>
      <c r="F386" s="478"/>
    </row>
    <row r="387" spans="2:6">
      <c r="B387" s="485"/>
      <c r="C387" s="12"/>
      <c r="D387" s="38"/>
      <c r="E387" s="478"/>
      <c r="F387" s="478"/>
    </row>
    <row r="388" spans="2:6">
      <c r="B388" s="485"/>
      <c r="C388" s="12"/>
      <c r="D388" s="38"/>
      <c r="E388" s="478"/>
      <c r="F388" s="478"/>
    </row>
    <row r="389" spans="2:6">
      <c r="B389" s="485"/>
      <c r="C389" s="12"/>
      <c r="D389" s="38"/>
      <c r="E389" s="478"/>
      <c r="F389" s="478"/>
    </row>
    <row r="390" spans="2:6">
      <c r="B390" s="485"/>
      <c r="C390" s="12"/>
      <c r="D390" s="38"/>
      <c r="E390" s="478"/>
      <c r="F390" s="478"/>
    </row>
    <row r="391" spans="2:6">
      <c r="B391" s="485"/>
      <c r="C391" s="12"/>
      <c r="D391" s="38"/>
      <c r="E391" s="478"/>
      <c r="F391" s="478"/>
    </row>
    <row r="392" spans="2:6">
      <c r="B392" s="485"/>
      <c r="C392" s="12"/>
      <c r="D392" s="38"/>
      <c r="E392" s="478"/>
      <c r="F392" s="478"/>
    </row>
    <row r="393" spans="2:6">
      <c r="B393" s="485"/>
      <c r="C393" s="12"/>
      <c r="D393" s="38"/>
      <c r="E393" s="478"/>
      <c r="F393" s="478"/>
    </row>
    <row r="394" spans="2:6">
      <c r="B394" s="485"/>
      <c r="C394" s="12"/>
      <c r="D394" s="38"/>
      <c r="E394" s="478"/>
      <c r="F394" s="478"/>
    </row>
    <row r="395" spans="2:6">
      <c r="B395" s="485"/>
      <c r="C395" s="12"/>
      <c r="D395" s="38"/>
      <c r="E395" s="478"/>
      <c r="F395" s="478"/>
    </row>
    <row r="396" spans="2:6">
      <c r="B396" s="485"/>
      <c r="C396" s="12"/>
      <c r="D396" s="38"/>
      <c r="E396" s="478"/>
      <c r="F396" s="478"/>
    </row>
    <row r="397" spans="2:6">
      <c r="B397" s="485"/>
      <c r="C397" s="12"/>
      <c r="D397" s="38"/>
      <c r="E397" s="478"/>
      <c r="F397" s="478"/>
    </row>
    <row r="398" spans="2:6">
      <c r="B398" s="485"/>
      <c r="C398" s="12"/>
      <c r="D398" s="38"/>
      <c r="E398" s="478"/>
      <c r="F398" s="478"/>
    </row>
    <row r="399" spans="2:6">
      <c r="B399" s="485"/>
      <c r="C399" s="12"/>
      <c r="D399" s="38"/>
      <c r="E399" s="478"/>
      <c r="F399" s="478"/>
    </row>
    <row r="400" spans="2:6">
      <c r="B400" s="485"/>
      <c r="C400" s="12"/>
      <c r="D400" s="38"/>
      <c r="E400" s="478"/>
      <c r="F400" s="478"/>
    </row>
    <row r="401" spans="2:6">
      <c r="B401" s="485"/>
      <c r="C401" s="12"/>
      <c r="D401" s="38"/>
      <c r="E401" s="478"/>
      <c r="F401" s="478"/>
    </row>
    <row r="402" spans="2:6">
      <c r="B402" s="485"/>
      <c r="C402" s="12"/>
      <c r="D402" s="38"/>
      <c r="E402" s="478"/>
      <c r="F402" s="478"/>
    </row>
    <row r="403" spans="2:6">
      <c r="B403" s="485"/>
      <c r="C403" s="12"/>
      <c r="D403" s="38"/>
      <c r="E403" s="478"/>
      <c r="F403" s="478"/>
    </row>
    <row r="404" spans="2:6">
      <c r="B404" s="485"/>
      <c r="C404" s="12"/>
      <c r="D404" s="38"/>
      <c r="E404" s="478"/>
      <c r="F404" s="478"/>
    </row>
    <row r="405" spans="2:6">
      <c r="B405" s="485"/>
      <c r="C405" s="12"/>
      <c r="D405" s="38"/>
      <c r="E405" s="478"/>
      <c r="F405" s="478"/>
    </row>
    <row r="406" spans="2:6">
      <c r="B406" s="485"/>
      <c r="C406" s="12"/>
      <c r="D406" s="38"/>
      <c r="E406" s="478"/>
      <c r="F406" s="478"/>
    </row>
    <row r="407" spans="2:6">
      <c r="B407" s="485"/>
      <c r="C407" s="12"/>
      <c r="D407" s="38"/>
      <c r="E407" s="478"/>
      <c r="F407" s="478"/>
    </row>
    <row r="408" spans="2:6">
      <c r="B408" s="485"/>
      <c r="C408" s="12"/>
      <c r="D408" s="38"/>
      <c r="E408" s="478"/>
      <c r="F408" s="478"/>
    </row>
    <row r="409" spans="2:6">
      <c r="B409" s="485"/>
      <c r="C409" s="12"/>
      <c r="D409" s="38"/>
      <c r="E409" s="478"/>
      <c r="F409" s="478"/>
    </row>
    <row r="410" spans="2:6">
      <c r="B410" s="485"/>
      <c r="C410" s="12"/>
      <c r="D410" s="38"/>
      <c r="E410" s="478"/>
      <c r="F410" s="478"/>
    </row>
    <row r="411" spans="2:6">
      <c r="B411" s="485"/>
      <c r="C411" s="12"/>
      <c r="D411" s="38"/>
      <c r="E411" s="478"/>
      <c r="F411" s="478"/>
    </row>
    <row r="412" spans="2:6">
      <c r="B412" s="485"/>
      <c r="C412" s="12"/>
      <c r="D412" s="38"/>
      <c r="E412" s="478"/>
      <c r="F412" s="478"/>
    </row>
    <row r="413" spans="2:6">
      <c r="B413" s="485"/>
      <c r="C413" s="12"/>
      <c r="D413" s="38"/>
      <c r="E413" s="478"/>
      <c r="F413" s="478"/>
    </row>
    <row r="414" spans="2:6">
      <c r="B414" s="485"/>
      <c r="C414" s="12"/>
      <c r="D414" s="38"/>
      <c r="E414" s="478"/>
      <c r="F414" s="478"/>
    </row>
    <row r="415" spans="2:6">
      <c r="B415" s="485"/>
      <c r="C415" s="12"/>
      <c r="D415" s="38"/>
      <c r="E415" s="478"/>
      <c r="F415" s="478"/>
    </row>
    <row r="416" spans="2:6">
      <c r="B416" s="485"/>
      <c r="C416" s="12"/>
      <c r="D416" s="38"/>
      <c r="E416" s="478"/>
      <c r="F416" s="478"/>
    </row>
    <row r="417" spans="2:6">
      <c r="B417" s="485"/>
      <c r="C417" s="12"/>
      <c r="D417" s="38"/>
      <c r="E417" s="478"/>
      <c r="F417" s="478"/>
    </row>
    <row r="418" spans="2:6">
      <c r="B418" s="485"/>
      <c r="C418" s="12"/>
      <c r="D418" s="38"/>
      <c r="E418" s="478"/>
      <c r="F418" s="478"/>
    </row>
    <row r="419" spans="2:6">
      <c r="B419" s="485"/>
      <c r="C419" s="12"/>
      <c r="D419" s="38"/>
      <c r="E419" s="478"/>
      <c r="F419" s="478"/>
    </row>
    <row r="420" spans="2:6">
      <c r="B420" s="485"/>
      <c r="C420" s="12"/>
      <c r="D420" s="38"/>
      <c r="E420" s="478"/>
      <c r="F420" s="478"/>
    </row>
    <row r="421" spans="2:6">
      <c r="B421" s="485"/>
      <c r="C421" s="12"/>
      <c r="D421" s="38"/>
      <c r="E421" s="478"/>
      <c r="F421" s="478"/>
    </row>
    <row r="422" spans="2:6">
      <c r="B422" s="485"/>
      <c r="C422" s="12"/>
      <c r="D422" s="38"/>
      <c r="E422" s="478"/>
      <c r="F422" s="478"/>
    </row>
    <row r="423" spans="2:6">
      <c r="B423" s="485"/>
      <c r="C423" s="12"/>
      <c r="D423" s="38"/>
      <c r="E423" s="478"/>
      <c r="F423" s="478"/>
    </row>
    <row r="424" spans="2:6">
      <c r="B424" s="485"/>
      <c r="C424" s="12"/>
      <c r="D424" s="38"/>
      <c r="E424" s="478"/>
      <c r="F424" s="478"/>
    </row>
    <row r="425" spans="2:6">
      <c r="B425" s="485"/>
      <c r="C425" s="12"/>
      <c r="D425" s="38"/>
      <c r="E425" s="478"/>
      <c r="F425" s="478"/>
    </row>
    <row r="426" spans="2:6">
      <c r="B426" s="485"/>
      <c r="C426" s="12"/>
      <c r="D426" s="38"/>
      <c r="E426" s="478"/>
      <c r="F426" s="478"/>
    </row>
    <row r="427" spans="2:6">
      <c r="B427" s="485"/>
      <c r="C427" s="12"/>
      <c r="D427" s="38"/>
      <c r="E427" s="478"/>
      <c r="F427" s="478"/>
    </row>
    <row r="428" spans="2:6">
      <c r="B428" s="485"/>
      <c r="C428" s="12"/>
      <c r="D428" s="38"/>
      <c r="E428" s="478"/>
      <c r="F428" s="478"/>
    </row>
    <row r="429" spans="2:6">
      <c r="B429" s="485"/>
      <c r="C429" s="12"/>
      <c r="D429" s="38"/>
      <c r="E429" s="478"/>
      <c r="F429" s="478"/>
    </row>
    <row r="430" spans="2:6">
      <c r="B430" s="485"/>
      <c r="C430" s="12"/>
      <c r="D430" s="38"/>
      <c r="E430" s="478"/>
      <c r="F430" s="478"/>
    </row>
    <row r="431" spans="2:6">
      <c r="B431" s="485"/>
      <c r="C431" s="12"/>
      <c r="D431" s="38"/>
      <c r="E431" s="478"/>
      <c r="F431" s="478"/>
    </row>
    <row r="432" spans="2:6">
      <c r="B432" s="485"/>
      <c r="C432" s="12"/>
      <c r="D432" s="38"/>
      <c r="E432" s="478"/>
      <c r="F432" s="478"/>
    </row>
    <row r="433" spans="2:6">
      <c r="B433" s="485"/>
      <c r="C433" s="12"/>
      <c r="D433" s="38"/>
      <c r="E433" s="478"/>
      <c r="F433" s="478"/>
    </row>
    <row r="434" spans="2:6">
      <c r="B434" s="485"/>
      <c r="C434" s="12"/>
      <c r="D434" s="38"/>
      <c r="E434" s="478"/>
      <c r="F434" s="478"/>
    </row>
    <row r="435" spans="2:6">
      <c r="B435" s="485"/>
      <c r="C435" s="12"/>
      <c r="D435" s="38"/>
      <c r="E435" s="478"/>
      <c r="F435" s="478"/>
    </row>
    <row r="436" spans="2:6">
      <c r="B436" s="485"/>
      <c r="C436" s="12"/>
      <c r="D436" s="38"/>
      <c r="E436" s="478"/>
      <c r="F436" s="478"/>
    </row>
    <row r="437" spans="2:6">
      <c r="B437" s="485"/>
      <c r="C437" s="12"/>
      <c r="D437" s="38"/>
      <c r="E437" s="478"/>
      <c r="F437" s="478"/>
    </row>
    <row r="438" spans="2:6">
      <c r="B438" s="485"/>
      <c r="C438" s="12"/>
      <c r="D438" s="38"/>
      <c r="E438" s="478"/>
      <c r="F438" s="478"/>
    </row>
    <row r="439" spans="2:6">
      <c r="B439" s="485"/>
      <c r="C439" s="12"/>
      <c r="D439" s="38"/>
      <c r="E439" s="478"/>
      <c r="F439" s="478"/>
    </row>
    <row r="440" spans="2:6">
      <c r="B440" s="485"/>
      <c r="C440" s="12"/>
      <c r="D440" s="38"/>
      <c r="E440" s="478"/>
      <c r="F440" s="478"/>
    </row>
    <row r="441" spans="2:6">
      <c r="B441" s="485"/>
      <c r="C441" s="12"/>
      <c r="D441" s="38"/>
      <c r="E441" s="478"/>
      <c r="F441" s="478"/>
    </row>
    <row r="442" spans="2:6">
      <c r="B442" s="485"/>
      <c r="C442" s="12"/>
      <c r="D442" s="38"/>
      <c r="E442" s="478"/>
      <c r="F442" s="478"/>
    </row>
    <row r="443" spans="2:6">
      <c r="B443" s="485"/>
      <c r="C443" s="12"/>
      <c r="D443" s="38"/>
      <c r="E443" s="478"/>
      <c r="F443" s="478"/>
    </row>
    <row r="444" spans="2:6">
      <c r="B444" s="485"/>
      <c r="C444" s="12"/>
      <c r="D444" s="38"/>
      <c r="E444" s="478"/>
      <c r="F444" s="478"/>
    </row>
    <row r="445" spans="2:6">
      <c r="B445" s="485"/>
      <c r="C445" s="12"/>
      <c r="D445" s="38"/>
      <c r="E445" s="478"/>
      <c r="F445" s="478"/>
    </row>
    <row r="446" spans="2:6">
      <c r="B446" s="485"/>
      <c r="C446" s="12"/>
      <c r="D446" s="38"/>
      <c r="E446" s="478"/>
      <c r="F446" s="478"/>
    </row>
    <row r="447" spans="2:6">
      <c r="B447" s="485"/>
      <c r="C447" s="12"/>
      <c r="D447" s="38"/>
      <c r="E447" s="478"/>
      <c r="F447" s="478"/>
    </row>
    <row r="448" spans="2:6">
      <c r="B448" s="485"/>
      <c r="C448" s="12"/>
      <c r="D448" s="38"/>
      <c r="E448" s="478"/>
      <c r="F448" s="478"/>
    </row>
    <row r="449" spans="2:6">
      <c r="B449" s="485"/>
      <c r="C449" s="12"/>
      <c r="D449" s="38"/>
      <c r="E449" s="478"/>
      <c r="F449" s="478"/>
    </row>
    <row r="450" spans="2:6">
      <c r="B450" s="485"/>
      <c r="C450" s="12"/>
      <c r="D450" s="38"/>
      <c r="E450" s="478"/>
      <c r="F450" s="478"/>
    </row>
    <row r="451" spans="2:6">
      <c r="B451" s="485"/>
      <c r="C451" s="12"/>
      <c r="D451" s="38"/>
      <c r="E451" s="478"/>
      <c r="F451" s="478"/>
    </row>
    <row r="452" spans="2:6">
      <c r="B452" s="485"/>
      <c r="C452" s="12"/>
      <c r="D452" s="38"/>
      <c r="E452" s="478"/>
      <c r="F452" s="478"/>
    </row>
    <row r="453" spans="2:6">
      <c r="B453" s="485"/>
      <c r="C453" s="12"/>
      <c r="D453" s="38"/>
      <c r="E453" s="478"/>
      <c r="F453" s="478"/>
    </row>
    <row r="454" spans="2:6">
      <c r="B454" s="485"/>
      <c r="C454" s="12"/>
      <c r="D454" s="38"/>
      <c r="E454" s="478"/>
      <c r="F454" s="478"/>
    </row>
    <row r="455" spans="2:6">
      <c r="B455" s="485"/>
      <c r="C455" s="12"/>
      <c r="D455" s="38"/>
      <c r="E455" s="478"/>
      <c r="F455" s="478"/>
    </row>
    <row r="456" spans="2:6">
      <c r="B456" s="485"/>
      <c r="C456" s="12"/>
      <c r="D456" s="38"/>
      <c r="E456" s="478"/>
      <c r="F456" s="478"/>
    </row>
    <row r="457" spans="2:6">
      <c r="B457" s="485"/>
      <c r="C457" s="12"/>
      <c r="D457" s="38"/>
      <c r="E457" s="478"/>
      <c r="F457" s="478"/>
    </row>
    <row r="458" spans="2:6">
      <c r="B458" s="485"/>
      <c r="C458" s="12"/>
      <c r="D458" s="38"/>
      <c r="E458" s="478"/>
      <c r="F458" s="478"/>
    </row>
    <row r="459" spans="2:6">
      <c r="B459" s="485"/>
      <c r="C459" s="12"/>
      <c r="D459" s="38"/>
      <c r="E459" s="478"/>
      <c r="F459" s="478"/>
    </row>
    <row r="460" spans="2:6">
      <c r="B460" s="485"/>
      <c r="C460" s="12"/>
      <c r="D460" s="38"/>
      <c r="E460" s="478"/>
      <c r="F460" s="478"/>
    </row>
    <row r="461" spans="2:6">
      <c r="B461" s="485"/>
      <c r="C461" s="12"/>
      <c r="D461" s="38"/>
      <c r="E461" s="478"/>
      <c r="F461" s="478"/>
    </row>
    <row r="462" spans="2:6">
      <c r="B462" s="485"/>
      <c r="C462" s="12"/>
      <c r="D462" s="38"/>
      <c r="E462" s="478"/>
      <c r="F462" s="478"/>
    </row>
    <row r="463" spans="2:6">
      <c r="B463" s="485"/>
      <c r="C463" s="12"/>
      <c r="D463" s="38"/>
      <c r="E463" s="478"/>
      <c r="F463" s="478"/>
    </row>
    <row r="464" spans="2:6">
      <c r="B464" s="485"/>
      <c r="C464" s="12"/>
      <c r="D464" s="38"/>
      <c r="E464" s="478"/>
      <c r="F464" s="478"/>
    </row>
    <row r="465" spans="2:6">
      <c r="B465" s="485"/>
      <c r="C465" s="12"/>
      <c r="D465" s="38"/>
      <c r="E465" s="478"/>
      <c r="F465" s="478"/>
    </row>
    <row r="466" spans="2:6">
      <c r="B466" s="485"/>
      <c r="C466" s="12"/>
      <c r="D466" s="38"/>
      <c r="E466" s="478"/>
      <c r="F466" s="478"/>
    </row>
    <row r="467" spans="2:6">
      <c r="B467" s="485"/>
      <c r="C467" s="12"/>
      <c r="D467" s="38"/>
      <c r="E467" s="478"/>
      <c r="F467" s="478"/>
    </row>
    <row r="468" spans="2:6">
      <c r="B468" s="485"/>
      <c r="C468" s="12"/>
      <c r="D468" s="38"/>
      <c r="E468" s="478"/>
      <c r="F468" s="478"/>
    </row>
    <row r="469" spans="2:6">
      <c r="B469" s="485"/>
      <c r="C469" s="12"/>
      <c r="D469" s="38"/>
      <c r="E469" s="478"/>
      <c r="F469" s="478"/>
    </row>
    <row r="470" spans="2:6">
      <c r="B470" s="485"/>
      <c r="C470" s="12"/>
      <c r="D470" s="38"/>
      <c r="E470" s="478"/>
      <c r="F470" s="478"/>
    </row>
    <row r="471" spans="2:6">
      <c r="B471" s="485"/>
      <c r="C471" s="12"/>
      <c r="D471" s="38"/>
      <c r="E471" s="478"/>
      <c r="F471" s="478"/>
    </row>
    <row r="472" spans="2:6">
      <c r="B472" s="485"/>
      <c r="C472" s="12"/>
      <c r="D472" s="38"/>
      <c r="E472" s="478"/>
      <c r="F472" s="478"/>
    </row>
    <row r="473" spans="2:6">
      <c r="B473" s="485"/>
      <c r="C473" s="12"/>
      <c r="D473" s="38"/>
      <c r="E473" s="478"/>
      <c r="F473" s="478"/>
    </row>
    <row r="474" spans="2:6">
      <c r="B474" s="485"/>
      <c r="C474" s="12"/>
      <c r="D474" s="38"/>
      <c r="E474" s="478"/>
      <c r="F474" s="478"/>
    </row>
    <row r="475" spans="2:6">
      <c r="B475" s="485"/>
      <c r="C475" s="12"/>
      <c r="D475" s="38"/>
      <c r="E475" s="478"/>
      <c r="F475" s="478"/>
    </row>
    <row r="476" spans="2:6">
      <c r="B476" s="485"/>
      <c r="C476" s="12"/>
      <c r="D476" s="38"/>
      <c r="E476" s="478"/>
      <c r="F476" s="478"/>
    </row>
    <row r="477" spans="2:6">
      <c r="B477" s="485"/>
      <c r="C477" s="12"/>
      <c r="D477" s="38"/>
      <c r="E477" s="478"/>
      <c r="F477" s="478"/>
    </row>
    <row r="478" spans="2:6">
      <c r="B478" s="485"/>
      <c r="C478" s="12"/>
      <c r="D478" s="38"/>
      <c r="E478" s="478"/>
      <c r="F478" s="478"/>
    </row>
    <row r="479" spans="2:6">
      <c r="B479" s="485"/>
      <c r="C479" s="12"/>
      <c r="D479" s="38"/>
      <c r="E479" s="478"/>
      <c r="F479" s="478"/>
    </row>
    <row r="480" spans="2:6">
      <c r="B480" s="485"/>
      <c r="C480" s="12"/>
      <c r="D480" s="38"/>
      <c r="E480" s="478"/>
      <c r="F480" s="478"/>
    </row>
    <row r="481" spans="2:6">
      <c r="B481" s="485"/>
      <c r="C481" s="12"/>
      <c r="D481" s="38"/>
      <c r="E481" s="478"/>
      <c r="F481" s="478"/>
    </row>
    <row r="482" spans="2:6">
      <c r="B482" s="485"/>
      <c r="C482" s="12"/>
      <c r="D482" s="38"/>
      <c r="E482" s="478"/>
      <c r="F482" s="478"/>
    </row>
    <row r="483" spans="2:6">
      <c r="B483" s="485"/>
      <c r="C483" s="12"/>
      <c r="D483" s="38"/>
      <c r="E483" s="478"/>
      <c r="F483" s="478"/>
    </row>
    <row r="484" spans="2:6">
      <c r="B484" s="485"/>
      <c r="C484" s="12"/>
      <c r="D484" s="38"/>
      <c r="E484" s="478"/>
      <c r="F484" s="478"/>
    </row>
    <row r="485" spans="2:6">
      <c r="B485" s="485"/>
      <c r="C485" s="12"/>
      <c r="D485" s="38"/>
      <c r="E485" s="478"/>
      <c r="F485" s="478"/>
    </row>
    <row r="486" spans="2:6">
      <c r="B486" s="485"/>
      <c r="C486" s="12"/>
      <c r="D486" s="38"/>
      <c r="E486" s="478"/>
      <c r="F486" s="478"/>
    </row>
    <row r="487" spans="2:6">
      <c r="B487" s="485"/>
      <c r="C487" s="12"/>
      <c r="D487" s="38"/>
      <c r="E487" s="478"/>
      <c r="F487" s="478"/>
    </row>
    <row r="488" spans="2:6">
      <c r="B488" s="485"/>
      <c r="C488" s="12"/>
      <c r="D488" s="38"/>
      <c r="E488" s="478"/>
      <c r="F488" s="478"/>
    </row>
    <row r="489" spans="2:6">
      <c r="B489" s="485"/>
      <c r="C489" s="12"/>
      <c r="D489" s="38"/>
      <c r="E489" s="478"/>
      <c r="F489" s="478"/>
    </row>
    <row r="490" spans="2:6">
      <c r="B490" s="485"/>
      <c r="C490" s="12"/>
      <c r="D490" s="38"/>
      <c r="E490" s="478"/>
      <c r="F490" s="478"/>
    </row>
    <row r="491" spans="2:6">
      <c r="B491" s="485"/>
      <c r="C491" s="12"/>
      <c r="D491" s="38"/>
      <c r="E491" s="478"/>
      <c r="F491" s="478"/>
    </row>
    <row r="492" spans="2:6">
      <c r="B492" s="485"/>
      <c r="C492" s="12"/>
      <c r="D492" s="38"/>
      <c r="E492" s="478"/>
      <c r="F492" s="478"/>
    </row>
    <row r="493" spans="2:6">
      <c r="B493" s="485"/>
      <c r="C493" s="12"/>
      <c r="D493" s="38"/>
      <c r="E493" s="478"/>
      <c r="F493" s="478"/>
    </row>
    <row r="494" spans="2:6">
      <c r="B494" s="485"/>
      <c r="C494" s="12"/>
      <c r="D494" s="38"/>
      <c r="E494" s="478"/>
      <c r="F494" s="478"/>
    </row>
    <row r="495" spans="2:6">
      <c r="B495" s="485"/>
      <c r="C495" s="12"/>
      <c r="D495" s="38"/>
      <c r="E495" s="478"/>
      <c r="F495" s="478"/>
    </row>
    <row r="496" spans="2:6">
      <c r="B496" s="485"/>
      <c r="C496" s="12"/>
      <c r="D496" s="38"/>
      <c r="E496" s="478"/>
      <c r="F496" s="478"/>
    </row>
    <row r="497" spans="2:6">
      <c r="B497" s="485"/>
      <c r="C497" s="12"/>
      <c r="D497" s="38"/>
      <c r="E497" s="478"/>
      <c r="F497" s="478"/>
    </row>
    <row r="498" spans="2:6">
      <c r="B498" s="485"/>
      <c r="C498" s="12"/>
      <c r="D498" s="38"/>
      <c r="E498" s="478"/>
      <c r="F498" s="478"/>
    </row>
    <row r="499" spans="2:6">
      <c r="B499" s="485"/>
      <c r="C499" s="12"/>
      <c r="D499" s="38"/>
      <c r="E499" s="478"/>
      <c r="F499" s="478"/>
    </row>
    <row r="500" spans="2:6">
      <c r="B500" s="485"/>
      <c r="C500" s="12"/>
      <c r="D500" s="38"/>
      <c r="E500" s="478"/>
      <c r="F500" s="478"/>
    </row>
    <row r="501" spans="2:6">
      <c r="B501" s="485"/>
      <c r="C501" s="12"/>
      <c r="D501" s="38"/>
      <c r="E501" s="478"/>
      <c r="F501" s="478"/>
    </row>
    <row r="502" spans="2:6">
      <c r="B502" s="485"/>
      <c r="C502" s="12"/>
      <c r="D502" s="38"/>
      <c r="E502" s="478"/>
      <c r="F502" s="478"/>
    </row>
    <row r="503" spans="2:6">
      <c r="B503" s="485"/>
      <c r="C503" s="12"/>
      <c r="D503" s="38"/>
      <c r="E503" s="478"/>
      <c r="F503" s="478"/>
    </row>
    <row r="504" spans="2:6">
      <c r="B504" s="485"/>
      <c r="C504" s="12"/>
      <c r="D504" s="38"/>
      <c r="E504" s="478"/>
      <c r="F504" s="478"/>
    </row>
    <row r="505" spans="2:6">
      <c r="B505" s="485"/>
      <c r="C505" s="12"/>
      <c r="D505" s="38"/>
      <c r="E505" s="478"/>
      <c r="F505" s="478"/>
    </row>
    <row r="506" spans="2:6">
      <c r="B506" s="485"/>
      <c r="C506" s="12"/>
      <c r="D506" s="38"/>
      <c r="E506" s="478"/>
      <c r="F506" s="478"/>
    </row>
    <row r="507" spans="2:6">
      <c r="B507" s="485"/>
      <c r="C507" s="12"/>
      <c r="D507" s="38"/>
      <c r="E507" s="478"/>
      <c r="F507" s="478"/>
    </row>
    <row r="508" spans="2:6">
      <c r="B508" s="485"/>
      <c r="C508" s="12"/>
      <c r="D508" s="38"/>
      <c r="E508" s="478"/>
      <c r="F508" s="478"/>
    </row>
    <row r="509" spans="2:6">
      <c r="B509" s="485"/>
      <c r="C509" s="12"/>
      <c r="D509" s="38"/>
      <c r="E509" s="478"/>
      <c r="F509" s="478"/>
    </row>
    <row r="510" spans="2:6">
      <c r="B510" s="485"/>
      <c r="C510" s="12"/>
      <c r="D510" s="38"/>
      <c r="E510" s="478"/>
      <c r="F510" s="478"/>
    </row>
    <row r="511" spans="2:6">
      <c r="B511" s="485"/>
      <c r="C511" s="12"/>
      <c r="D511" s="38"/>
      <c r="E511" s="478"/>
      <c r="F511" s="478"/>
    </row>
    <row r="512" spans="2:6">
      <c r="B512" s="485"/>
      <c r="C512" s="12"/>
      <c r="D512" s="38"/>
      <c r="E512" s="478"/>
      <c r="F512" s="478"/>
    </row>
    <row r="513" spans="2:6">
      <c r="B513" s="485"/>
      <c r="C513" s="12"/>
      <c r="D513" s="38"/>
      <c r="E513" s="478"/>
      <c r="F513" s="478"/>
    </row>
    <row r="514" spans="2:6">
      <c r="B514" s="485"/>
      <c r="C514" s="12"/>
      <c r="D514" s="38"/>
      <c r="E514" s="478"/>
      <c r="F514" s="478"/>
    </row>
    <row r="515" spans="2:6">
      <c r="B515" s="485"/>
      <c r="C515" s="12"/>
      <c r="D515" s="38"/>
      <c r="E515" s="478"/>
      <c r="F515" s="478"/>
    </row>
    <row r="516" spans="2:6">
      <c r="B516" s="485"/>
      <c r="C516" s="12"/>
      <c r="D516" s="38"/>
      <c r="E516" s="478"/>
      <c r="F516" s="478"/>
    </row>
    <row r="517" spans="2:6">
      <c r="B517" s="485"/>
      <c r="C517" s="12"/>
      <c r="D517" s="38"/>
      <c r="E517" s="478"/>
      <c r="F517" s="478"/>
    </row>
    <row r="518" spans="2:6">
      <c r="B518" s="485"/>
      <c r="C518" s="12"/>
      <c r="D518" s="38"/>
      <c r="E518" s="478"/>
      <c r="F518" s="478"/>
    </row>
    <row r="519" spans="2:6">
      <c r="B519" s="485"/>
      <c r="C519" s="12"/>
      <c r="D519" s="38"/>
      <c r="E519" s="478"/>
      <c r="F519" s="478"/>
    </row>
    <row r="520" spans="2:6">
      <c r="B520" s="485"/>
      <c r="C520" s="12"/>
      <c r="D520" s="38"/>
      <c r="E520" s="478"/>
      <c r="F520" s="478"/>
    </row>
    <row r="521" spans="2:6">
      <c r="B521" s="485"/>
      <c r="C521" s="12"/>
      <c r="D521" s="38"/>
      <c r="E521" s="478"/>
      <c r="F521" s="478"/>
    </row>
    <row r="522" spans="2:6">
      <c r="B522" s="485"/>
      <c r="C522" s="12"/>
      <c r="D522" s="38"/>
      <c r="E522" s="478"/>
      <c r="F522" s="478"/>
    </row>
    <row r="523" spans="2:6">
      <c r="B523" s="485"/>
      <c r="C523" s="12"/>
      <c r="D523" s="38"/>
      <c r="E523" s="478"/>
      <c r="F523" s="478"/>
    </row>
    <row r="524" spans="2:6">
      <c r="B524" s="485"/>
      <c r="C524" s="12"/>
      <c r="D524" s="38"/>
      <c r="E524" s="478"/>
      <c r="F524" s="478"/>
    </row>
    <row r="525" spans="2:6">
      <c r="B525" s="485"/>
      <c r="C525" s="12"/>
      <c r="D525" s="38"/>
      <c r="E525" s="478"/>
      <c r="F525" s="478"/>
    </row>
    <row r="526" spans="2:6">
      <c r="B526" s="485"/>
      <c r="C526" s="12"/>
      <c r="D526" s="38"/>
      <c r="E526" s="478"/>
      <c r="F526" s="478"/>
    </row>
    <row r="527" spans="2:6">
      <c r="B527" s="485"/>
      <c r="C527" s="12"/>
      <c r="D527" s="38"/>
      <c r="E527" s="478"/>
      <c r="F527" s="478"/>
    </row>
    <row r="528" spans="2:6">
      <c r="B528" s="485"/>
      <c r="C528" s="12"/>
      <c r="D528" s="38"/>
      <c r="E528" s="478"/>
      <c r="F528" s="478"/>
    </row>
    <row r="529" spans="2:6">
      <c r="B529" s="485"/>
      <c r="C529" s="12"/>
      <c r="D529" s="38"/>
      <c r="E529" s="478"/>
      <c r="F529" s="478"/>
    </row>
    <row r="530" spans="2:6">
      <c r="B530" s="485"/>
      <c r="C530" s="12"/>
      <c r="D530" s="38"/>
      <c r="E530" s="478"/>
      <c r="F530" s="478"/>
    </row>
    <row r="531" spans="2:6">
      <c r="B531" s="485"/>
      <c r="C531" s="12"/>
      <c r="D531" s="38"/>
      <c r="E531" s="478"/>
      <c r="F531" s="478"/>
    </row>
    <row r="532" spans="2:6">
      <c r="B532" s="485"/>
      <c r="C532" s="12"/>
      <c r="D532" s="38"/>
      <c r="E532" s="478"/>
      <c r="F532" s="478"/>
    </row>
    <row r="533" spans="2:6">
      <c r="B533" s="485"/>
      <c r="C533" s="12"/>
      <c r="D533" s="38"/>
      <c r="E533" s="478"/>
      <c r="F533" s="478"/>
    </row>
    <row r="534" spans="2:6">
      <c r="B534" s="485"/>
      <c r="C534" s="12"/>
      <c r="D534" s="38"/>
      <c r="E534" s="478"/>
      <c r="F534" s="478"/>
    </row>
    <row r="535" spans="2:6">
      <c r="B535" s="485"/>
      <c r="C535" s="12"/>
      <c r="D535" s="38"/>
      <c r="E535" s="478"/>
      <c r="F535" s="478"/>
    </row>
    <row r="536" spans="2:6">
      <c r="B536" s="485"/>
      <c r="C536" s="12"/>
      <c r="D536" s="38"/>
      <c r="E536" s="478"/>
      <c r="F536" s="478"/>
    </row>
    <row r="537" spans="2:6">
      <c r="B537" s="485"/>
      <c r="C537" s="12"/>
      <c r="D537" s="38"/>
      <c r="E537" s="478"/>
      <c r="F537" s="478"/>
    </row>
    <row r="538" spans="2:6">
      <c r="B538" s="485"/>
      <c r="C538" s="12"/>
      <c r="D538" s="38"/>
      <c r="E538" s="478"/>
      <c r="F538" s="478"/>
    </row>
    <row r="539" spans="2:6">
      <c r="B539" s="485"/>
      <c r="C539" s="12"/>
      <c r="D539" s="38"/>
      <c r="E539" s="478"/>
      <c r="F539" s="478"/>
    </row>
    <row r="540" spans="2:6">
      <c r="B540" s="485"/>
      <c r="C540" s="12"/>
      <c r="D540" s="38"/>
      <c r="E540" s="478"/>
      <c r="F540" s="478"/>
    </row>
    <row r="541" spans="2:6">
      <c r="B541" s="485"/>
      <c r="C541" s="12"/>
      <c r="D541" s="38"/>
      <c r="E541" s="478"/>
      <c r="F541" s="478"/>
    </row>
    <row r="542" spans="2:6">
      <c r="B542" s="485"/>
      <c r="C542" s="12"/>
      <c r="D542" s="38"/>
      <c r="E542" s="478"/>
      <c r="F542" s="478"/>
    </row>
    <row r="543" spans="2:6">
      <c r="B543" s="486"/>
      <c r="C543" s="222"/>
      <c r="D543" s="491"/>
      <c r="E543" s="492"/>
      <c r="F543" s="492"/>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FB0C-6C83-471B-B0FB-B25C36618E12}">
  <sheetPr>
    <tabColor rgb="FF00B050"/>
  </sheetPr>
  <dimension ref="B2:D38"/>
  <sheetViews>
    <sheetView showGridLines="0" topLeftCell="A24" zoomScale="85" zoomScaleNormal="85" workbookViewId="0">
      <selection activeCell="D31" sqref="D31"/>
    </sheetView>
  </sheetViews>
  <sheetFormatPr defaultColWidth="11.7109375" defaultRowHeight="12.75"/>
  <cols>
    <col min="1" max="1" width="2.42578125" customWidth="1"/>
    <col min="2" max="2" width="61.42578125" customWidth="1"/>
    <col min="3" max="3" width="96" customWidth="1"/>
    <col min="4" max="4" width="72.140625" customWidth="1"/>
    <col min="5" max="5" width="53.5703125" bestFit="1" customWidth="1"/>
    <col min="6" max="6" width="48.7109375" bestFit="1" customWidth="1"/>
    <col min="7" max="7" width="42.28515625" customWidth="1"/>
    <col min="8" max="8" width="39.140625" bestFit="1" customWidth="1"/>
    <col min="9" max="31" width="19.42578125" bestFit="1" customWidth="1"/>
    <col min="32" max="33" width="21.140625" customWidth="1"/>
    <col min="34" max="34" width="20.85546875" customWidth="1"/>
  </cols>
  <sheetData>
    <row r="2" spans="2:4">
      <c r="B2" s="2" t="s">
        <v>740</v>
      </c>
    </row>
    <row r="3" spans="2:4">
      <c r="B3" s="10" t="s">
        <v>741</v>
      </c>
      <c r="C3" s="10" t="s">
        <v>742</v>
      </c>
      <c r="D3" s="10" t="s">
        <v>743</v>
      </c>
    </row>
    <row r="4" spans="2:4">
      <c r="B4" s="12" t="s">
        <v>541</v>
      </c>
      <c r="C4" s="6" t="s">
        <v>744</v>
      </c>
      <c r="D4" s="6" t="s">
        <v>745</v>
      </c>
    </row>
    <row r="5" spans="2:4">
      <c r="B5" s="12" t="s">
        <v>746</v>
      </c>
      <c r="C5" s="6" t="s">
        <v>747</v>
      </c>
      <c r="D5" s="6" t="s">
        <v>748</v>
      </c>
    </row>
    <row r="6" spans="2:4">
      <c r="B6" s="10" t="s">
        <v>749</v>
      </c>
      <c r="C6" s="442" cm="1">
        <f t="array" aca="1" ref="C6" ca="1">NPV('Painel Controle'!C7,DFC!C10:AF10 + DFC!C11:AF11)</f>
        <v>-2349656717.8294306</v>
      </c>
      <c r="D6" s="442">
        <f ca="1">NPV('Painel Controle'!C7,_xlfn.ANCHORARRAY(DFC!C6)) * -1</f>
        <v>-1170714489.5087895</v>
      </c>
    </row>
    <row r="8" spans="2:4">
      <c r="B8" s="2" t="s">
        <v>750</v>
      </c>
    </row>
    <row r="9" spans="2:4">
      <c r="B9" s="10" t="s">
        <v>741</v>
      </c>
      <c r="C9" s="10" t="s">
        <v>742</v>
      </c>
      <c r="D9" s="10" t="s">
        <v>743</v>
      </c>
    </row>
    <row r="10" spans="2:4">
      <c r="B10" s="12" t="s">
        <v>541</v>
      </c>
      <c r="C10" s="6" t="s">
        <v>751</v>
      </c>
      <c r="D10" s="6" t="s">
        <v>752</v>
      </c>
    </row>
    <row r="11" spans="2:4">
      <c r="B11" s="12" t="s">
        <v>746</v>
      </c>
      <c r="C11" s="6" t="s">
        <v>753</v>
      </c>
      <c r="D11" s="12" t="s">
        <v>37</v>
      </c>
    </row>
    <row r="12" spans="2:4">
      <c r="B12" s="12" t="s">
        <v>754</v>
      </c>
      <c r="C12" s="444" cm="1">
        <f t="array" ref="C12">NPV('Painel Controle'!C$7,DFC!C10:AF10 * 64%)</f>
        <v>-1176212793.3845692</v>
      </c>
      <c r="D12" s="222" t="s">
        <v>37</v>
      </c>
    </row>
    <row r="13" spans="2:4">
      <c r="B13" s="175" t="s">
        <v>755</v>
      </c>
      <c r="C13" s="443" cm="1">
        <f t="array" aca="1" ref="C13" ca="1">NPV('Painel Controle'!C$7,DFC!C11:AF11 * 15.5%)</f>
        <v>-79332755.365736678</v>
      </c>
      <c r="D13" s="12" t="s">
        <v>37</v>
      </c>
    </row>
    <row r="14" spans="2:4">
      <c r="B14" s="38" t="s">
        <v>756</v>
      </c>
      <c r="C14" s="442">
        <f ca="1">SUM(C12:C13)</f>
        <v>-1255545548.7503059</v>
      </c>
      <c r="D14" s="12" t="s">
        <v>37</v>
      </c>
    </row>
    <row r="16" spans="2:4">
      <c r="B16" s="2" t="s">
        <v>757</v>
      </c>
    </row>
    <row r="17" spans="2:4">
      <c r="B17" s="10" t="s">
        <v>741</v>
      </c>
      <c r="C17" s="10" t="s">
        <v>742</v>
      </c>
      <c r="D17" s="10" t="s">
        <v>743</v>
      </c>
    </row>
    <row r="18" spans="2:4">
      <c r="B18" s="12" t="s">
        <v>541</v>
      </c>
      <c r="C18" s="6" t="s">
        <v>758</v>
      </c>
      <c r="D18" s="6" t="s">
        <v>759</v>
      </c>
    </row>
    <row r="19" spans="2:4">
      <c r="B19" s="222" t="s">
        <v>746</v>
      </c>
      <c r="C19" s="36" t="s">
        <v>760</v>
      </c>
      <c r="D19" s="400" t="s">
        <v>761</v>
      </c>
    </row>
    <row r="20" spans="2:4">
      <c r="B20" s="12" t="s">
        <v>762</v>
      </c>
      <c r="C20" s="442">
        <f ca="1">NPV('Painel Controle'!C7,DFC!C5:AF5)</f>
        <v>1361435917.8130741</v>
      </c>
      <c r="D20" s="12" t="s">
        <v>37</v>
      </c>
    </row>
    <row r="22" spans="2:4">
      <c r="B22" s="2" t="s">
        <v>763</v>
      </c>
    </row>
    <row r="23" spans="2:4">
      <c r="B23" s="10" t="s">
        <v>741</v>
      </c>
      <c r="C23" s="10" t="s">
        <v>742</v>
      </c>
      <c r="D23" s="10" t="s">
        <v>743</v>
      </c>
    </row>
    <row r="24" spans="2:4">
      <c r="B24" s="12" t="s">
        <v>541</v>
      </c>
      <c r="C24" s="6" t="s">
        <v>764</v>
      </c>
      <c r="D24" s="6" t="s">
        <v>765</v>
      </c>
    </row>
    <row r="25" spans="2:4">
      <c r="B25" s="222" t="s">
        <v>746</v>
      </c>
      <c r="C25" s="12" t="s">
        <v>37</v>
      </c>
      <c r="D25" s="400" t="s">
        <v>766</v>
      </c>
    </row>
    <row r="26" spans="2:4">
      <c r="B26" s="10" t="s">
        <v>767</v>
      </c>
      <c r="C26" s="12" t="s">
        <v>37</v>
      </c>
      <c r="D26" s="442" cm="1">
        <f t="array" aca="1" ref="D26" ca="1">NPV('Painel Controle'!C7,DFC!C9:AF9 + DFC!C12:AF12) * -1</f>
        <v>376188801.38416064</v>
      </c>
    </row>
    <row r="28" spans="2:4">
      <c r="B28" s="2" t="s">
        <v>768</v>
      </c>
    </row>
    <row r="29" spans="2:4">
      <c r="B29" s="10" t="s">
        <v>769</v>
      </c>
      <c r="C29" s="10" t="s">
        <v>742</v>
      </c>
      <c r="D29" s="10" t="s">
        <v>743</v>
      </c>
    </row>
    <row r="30" spans="2:4">
      <c r="B30" s="267" t="str" cm="1">
        <f t="array" aca="1" ref="B30:D30" ca="1">B6:D6</f>
        <v>Valor Presente Líquido dos gastos do Poder Público</v>
      </c>
      <c r="C30" s="443">
        <f ca="1"/>
        <v>-2349656717.8294306</v>
      </c>
      <c r="D30" s="443">
        <f ca="1"/>
        <v>-1170714489.5087895</v>
      </c>
    </row>
    <row r="31" spans="2:4">
      <c r="B31" s="267" t="str" cm="1">
        <f t="array" aca="1" ref="B31:D32" ca="1">B12:D13</f>
        <v>Valor Presente Líquido do sobrecusto de Capex (64,0%)</v>
      </c>
      <c r="C31" s="443">
        <f ca="1"/>
        <v>-1176212793.3845692</v>
      </c>
      <c r="D31" s="443" t="str">
        <f ca="1"/>
        <v>-</v>
      </c>
    </row>
    <row r="32" spans="2:4">
      <c r="B32" s="267" t="str">
        <f ca="1"/>
        <v>Valor Presente Líquido do sobrecusto de Opex (15,5%)</v>
      </c>
      <c r="C32" s="443">
        <f ca="1"/>
        <v>-79332755.365736678</v>
      </c>
      <c r="D32" s="443" t="str">
        <f ca="1"/>
        <v>-</v>
      </c>
    </row>
    <row r="33" spans="2:4">
      <c r="B33" s="267" t="str" cm="1">
        <f t="array" aca="1" ref="B33:D33" ca="1">B20:D20</f>
        <v>Valor Presente Líquido da Remuneração do Poder Público</v>
      </c>
      <c r="C33" s="443">
        <f ca="1"/>
        <v>1361435917.8130741</v>
      </c>
      <c r="D33" s="443" t="str">
        <f ca="1"/>
        <v>-</v>
      </c>
    </row>
    <row r="34" spans="2:4">
      <c r="B34" s="267" t="str" cm="1">
        <f t="array" aca="1" ref="B34:D34" ca="1">B26:D26</f>
        <v>Valor Presente Líquido da Arrecadação Tributária</v>
      </c>
      <c r="C34" s="443" t="str">
        <f ca="1"/>
        <v>-</v>
      </c>
      <c r="D34" s="443">
        <f ca="1"/>
        <v>376188801.38416064</v>
      </c>
    </row>
    <row r="35" spans="2:4">
      <c r="B35" s="398" t="s">
        <v>73</v>
      </c>
      <c r="C35" s="442">
        <f ca="1">SUM(C30:C34)</f>
        <v>-2243766348.7666621</v>
      </c>
      <c r="D35" s="442">
        <f ca="1">SUM(D30:D34)</f>
        <v>-794525688.1246289</v>
      </c>
    </row>
    <row r="37" spans="2:4">
      <c r="B37" s="2" t="s">
        <v>770</v>
      </c>
    </row>
    <row r="38" spans="2:4">
      <c r="B38" s="264">
        <f ca="1">D35-C35</f>
        <v>1449240660.6420331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B2:AP734"/>
  <sheetViews>
    <sheetView showGridLines="0" topLeftCell="G1" zoomScale="85" zoomScaleNormal="85" workbookViewId="0">
      <selection activeCell="L6" sqref="L6"/>
    </sheetView>
  </sheetViews>
  <sheetFormatPr defaultColWidth="11.85546875" defaultRowHeight="12.75" customHeight="1"/>
  <cols>
    <col min="1" max="1" width="2.42578125" customWidth="1"/>
    <col min="2" max="2" width="42.42578125" customWidth="1"/>
    <col min="3" max="3" width="26.140625" customWidth="1"/>
    <col min="4" max="4" width="17.28515625" customWidth="1"/>
    <col min="5" max="5" width="23.42578125" customWidth="1"/>
    <col min="6" max="6" width="57" customWidth="1"/>
    <col min="7" max="7" width="62.7109375" bestFit="1" customWidth="1"/>
    <col min="8" max="8" width="27.7109375" customWidth="1"/>
    <col min="9" max="9" width="30.5703125" customWidth="1"/>
    <col min="10" max="10" width="58.42578125" bestFit="1" customWidth="1"/>
    <col min="11" max="11" width="58.42578125" customWidth="1"/>
    <col min="12" max="12" width="22.5703125" customWidth="1"/>
    <col min="13" max="13" width="19.28515625" customWidth="1"/>
    <col min="14" max="41" width="17.85546875" customWidth="1"/>
    <col min="42" max="42" width="19.85546875" customWidth="1"/>
    <col min="43" max="43" width="21.42578125" customWidth="1"/>
  </cols>
  <sheetData>
    <row r="2" spans="2:42" hidden="1">
      <c r="M2">
        <v>1</v>
      </c>
      <c r="N2">
        <v>2</v>
      </c>
      <c r="O2">
        <v>3</v>
      </c>
      <c r="P2">
        <v>4</v>
      </c>
      <c r="Q2">
        <v>5</v>
      </c>
      <c r="R2">
        <v>6</v>
      </c>
      <c r="S2">
        <v>7</v>
      </c>
      <c r="T2">
        <v>8</v>
      </c>
      <c r="U2">
        <v>9</v>
      </c>
      <c r="V2">
        <v>10</v>
      </c>
      <c r="W2">
        <v>11</v>
      </c>
      <c r="X2">
        <v>12</v>
      </c>
      <c r="Y2">
        <v>13</v>
      </c>
      <c r="Z2">
        <v>14</v>
      </c>
      <c r="AA2">
        <v>15</v>
      </c>
      <c r="AB2">
        <v>16</v>
      </c>
      <c r="AC2">
        <v>17</v>
      </c>
      <c r="AD2">
        <v>18</v>
      </c>
      <c r="AE2">
        <v>19</v>
      </c>
      <c r="AF2">
        <v>20</v>
      </c>
      <c r="AG2">
        <v>21</v>
      </c>
      <c r="AH2">
        <v>22</v>
      </c>
      <c r="AI2">
        <v>23</v>
      </c>
      <c r="AJ2">
        <v>24</v>
      </c>
      <c r="AK2">
        <v>25</v>
      </c>
      <c r="AL2">
        <v>26</v>
      </c>
      <c r="AM2">
        <v>27</v>
      </c>
      <c r="AN2">
        <v>28</v>
      </c>
      <c r="AO2">
        <v>29</v>
      </c>
      <c r="AP2">
        <v>30</v>
      </c>
    </row>
    <row r="3" spans="2:42">
      <c r="B3" s="2" t="s">
        <v>771</v>
      </c>
    </row>
    <row r="4" spans="2:42">
      <c r="B4" s="150" t="str" cm="1">
        <f t="array" ref="B4:G420">'Capex - Cenário Escolhido'!C3:H419</f>
        <v>Pórticos</v>
      </c>
      <c r="C4" s="150" t="str">
        <v>Item</v>
      </c>
      <c r="D4" s="150" t="str">
        <v>Subitem</v>
      </c>
      <c r="E4" s="150" t="str">
        <v>Possibilidade de se beneficiar do REIDI (0 = Não; 1 = Sim)</v>
      </c>
      <c r="F4" s="150" t="str">
        <v>Item de Repex (Replacement Expenditure) (0 = Não; 1 = Sim)</v>
      </c>
      <c r="G4" s="150" t="str">
        <v>Descrição</v>
      </c>
      <c r="H4" s="387" t="s">
        <v>772</v>
      </c>
      <c r="I4" s="387" t="s">
        <v>773</v>
      </c>
      <c r="J4" s="387" t="s">
        <v>774</v>
      </c>
      <c r="K4" s="387" t="s">
        <v>775</v>
      </c>
      <c r="L4" s="150" t="str">
        <f t="shared" ref="L4:AO4" si="0">"Ano " &amp; M2</f>
        <v>Ano 1</v>
      </c>
      <c r="M4" s="150" t="str">
        <f t="shared" si="0"/>
        <v>Ano 2</v>
      </c>
      <c r="N4" s="150" t="str">
        <f t="shared" si="0"/>
        <v>Ano 3</v>
      </c>
      <c r="O4" s="150" t="str">
        <f t="shared" si="0"/>
        <v>Ano 4</v>
      </c>
      <c r="P4" s="150" t="str">
        <f t="shared" si="0"/>
        <v>Ano 5</v>
      </c>
      <c r="Q4" s="150" t="str">
        <f t="shared" si="0"/>
        <v>Ano 6</v>
      </c>
      <c r="R4" s="150" t="str">
        <f t="shared" si="0"/>
        <v>Ano 7</v>
      </c>
      <c r="S4" s="150" t="str">
        <f t="shared" si="0"/>
        <v>Ano 8</v>
      </c>
      <c r="T4" s="150" t="str">
        <f t="shared" si="0"/>
        <v>Ano 9</v>
      </c>
      <c r="U4" s="150" t="str">
        <f t="shared" si="0"/>
        <v>Ano 10</v>
      </c>
      <c r="V4" s="150" t="str">
        <f t="shared" si="0"/>
        <v>Ano 11</v>
      </c>
      <c r="W4" s="150" t="str">
        <f t="shared" si="0"/>
        <v>Ano 12</v>
      </c>
      <c r="X4" s="150" t="str">
        <f t="shared" si="0"/>
        <v>Ano 13</v>
      </c>
      <c r="Y4" s="150" t="str">
        <f t="shared" si="0"/>
        <v>Ano 14</v>
      </c>
      <c r="Z4" s="150" t="str">
        <f t="shared" si="0"/>
        <v>Ano 15</v>
      </c>
      <c r="AA4" s="150" t="str">
        <f t="shared" si="0"/>
        <v>Ano 16</v>
      </c>
      <c r="AB4" s="150" t="str">
        <f t="shared" si="0"/>
        <v>Ano 17</v>
      </c>
      <c r="AC4" s="150" t="str">
        <f t="shared" si="0"/>
        <v>Ano 18</v>
      </c>
      <c r="AD4" s="150" t="str">
        <f t="shared" si="0"/>
        <v>Ano 19</v>
      </c>
      <c r="AE4" s="150" t="str">
        <f t="shared" si="0"/>
        <v>Ano 20</v>
      </c>
      <c r="AF4" s="150" t="str">
        <f t="shared" si="0"/>
        <v>Ano 21</v>
      </c>
      <c r="AG4" s="150" t="str">
        <f t="shared" si="0"/>
        <v>Ano 22</v>
      </c>
      <c r="AH4" s="150" t="str">
        <f t="shared" si="0"/>
        <v>Ano 23</v>
      </c>
      <c r="AI4" s="150" t="str">
        <f t="shared" si="0"/>
        <v>Ano 24</v>
      </c>
      <c r="AJ4" s="150" t="str">
        <f t="shared" si="0"/>
        <v>Ano 25</v>
      </c>
      <c r="AK4" s="150" t="str">
        <f t="shared" si="0"/>
        <v>Ano 26</v>
      </c>
      <c r="AL4" s="150" t="str">
        <f t="shared" si="0"/>
        <v>Ano 27</v>
      </c>
      <c r="AM4" s="150" t="str">
        <f t="shared" si="0"/>
        <v>Ano 28</v>
      </c>
      <c r="AN4" s="150" t="str">
        <f t="shared" si="0"/>
        <v>Ano 29</v>
      </c>
      <c r="AO4" s="194" t="str">
        <f t="shared" si="0"/>
        <v>Ano 30</v>
      </c>
      <c r="AP4" s="173" t="s">
        <v>776</v>
      </c>
    </row>
    <row r="5" spans="2:42">
      <c r="B5" s="147" t="str">
        <v>Pórticos 1 e 2 (BR-356)</v>
      </c>
      <c r="C5" s="149" t="str">
        <v>1</v>
      </c>
      <c r="D5" s="149">
        <v>1</v>
      </c>
      <c r="E5" s="149">
        <v>0</v>
      </c>
      <c r="F5" s="149">
        <v>0</v>
      </c>
      <c r="G5" s="147" t="str">
        <v>Trabalhos iniciais</v>
      </c>
      <c r="H5" s="147" t="b" cm="1">
        <f t="array" ref="H5:H420">ISNUMBER(FIND("Desapropriações",G5:G420))</f>
        <v>0</v>
      </c>
      <c r="I5" s="147" t="b">
        <f>OR(ISNUMBER(FIND("Antivirus",G5)),
    ISNUMBER(FIND("ARCGIS",G5)),
    ISNUMBER(FIND("AutoCAD",G5)),
    ISNUMBER(FIND("Correio eletrônico",G5)),
    ISNUMBER(FIND("ISO 9001:2008",G5)),
    ISNUMBER(FIND("Microsoft",G5)),
    ISNUMBER(FIND("Sistema de Informações Georreferenciadas",G5)),
    ISNUMBER(FIND("Sistema 0800 - CCO",G5)),
    ISNUMBER(FIND("Sistema de Comunicação com os Usuários",G5)),
    ISNUMBER(FIND("Software",G5)),
    ISNUMBER(FIND("Storage",G5)),
    ISNUMBER(FIND("Windows Server",G5)))</f>
        <v>0</v>
      </c>
      <c r="J5" s="147" t="b">
        <f>OR(F5,I5)</f>
        <v>0</v>
      </c>
      <c r="K5" s="147" t="b">
        <f>AND(NOT(H5),NOT(J5))</f>
        <v>1</v>
      </c>
      <c r="L5" s="147" cm="1">
        <f t="array" ref="L5:AO420">'Capex - Cenário Escolhido'!I4:AL419 * (1 - (Capex!E5:E420 * 'Painel Controle'!C167 * 'Painel Controle'!C168))</f>
        <v>0</v>
      </c>
      <c r="M5" s="147">
        <v>0</v>
      </c>
      <c r="N5" s="147">
        <v>0</v>
      </c>
      <c r="O5" s="147">
        <v>0</v>
      </c>
      <c r="P5" s="147">
        <v>0</v>
      </c>
      <c r="Q5" s="147">
        <v>0</v>
      </c>
      <c r="R5" s="147">
        <v>0</v>
      </c>
      <c r="S5" s="147">
        <v>0</v>
      </c>
      <c r="T5" s="147">
        <v>0</v>
      </c>
      <c r="U5" s="147">
        <v>0</v>
      </c>
      <c r="V5" s="147">
        <v>0</v>
      </c>
      <c r="W5" s="147">
        <v>0</v>
      </c>
      <c r="X5" s="147">
        <v>0</v>
      </c>
      <c r="Y5" s="147">
        <v>0</v>
      </c>
      <c r="Z5" s="147">
        <v>0</v>
      </c>
      <c r="AA5" s="147">
        <v>0</v>
      </c>
      <c r="AB5" s="147">
        <v>0</v>
      </c>
      <c r="AC5" s="147">
        <v>0</v>
      </c>
      <c r="AD5" s="147">
        <v>0</v>
      </c>
      <c r="AE5" s="147">
        <v>0</v>
      </c>
      <c r="AF5" s="147">
        <v>0</v>
      </c>
      <c r="AG5" s="147">
        <v>0</v>
      </c>
      <c r="AH5" s="147">
        <v>0</v>
      </c>
      <c r="AI5" s="147">
        <v>0</v>
      </c>
      <c r="AJ5" s="147">
        <v>0</v>
      </c>
      <c r="AK5" s="147">
        <v>0</v>
      </c>
      <c r="AL5" s="147">
        <v>0</v>
      </c>
      <c r="AM5" s="147">
        <v>0</v>
      </c>
      <c r="AN5" s="147">
        <v>0</v>
      </c>
      <c r="AO5" s="240">
        <v>0</v>
      </c>
      <c r="AP5" s="147">
        <f>SUM(L5:AO5)</f>
        <v>0</v>
      </c>
    </row>
    <row r="6" spans="2:42">
      <c r="B6" s="147" t="str">
        <v>Pórticos 1 e 2 (BR-356)</v>
      </c>
      <c r="C6" s="149" t="str">
        <v>1</v>
      </c>
      <c r="D6" s="149" t="str">
        <v>1.1</v>
      </c>
      <c r="E6" s="149">
        <v>1</v>
      </c>
      <c r="F6" s="149">
        <v>0</v>
      </c>
      <c r="G6" s="147" t="str">
        <v>Pavimento</v>
      </c>
      <c r="H6" s="147" t="b">
        <v>0</v>
      </c>
      <c r="I6" s="147" t="b">
        <f t="shared" ref="I6:I69" si="1">OR(ISNUMBER(FIND("Antivirus",G6)),
    ISNUMBER(FIND("ARCGIS",G6)),
    ISNUMBER(FIND("AutoCAD",G6)),
    ISNUMBER(FIND("Correio eletrônico",G6)),
    ISNUMBER(FIND("ISO 9001:2008",G6)),
    ISNUMBER(FIND("Microsoft",G6)),
    ISNUMBER(FIND("Sistema de Informações Georreferenciadas",G6)),
    ISNUMBER(FIND("Sistema 0800 - CCO",G6)),
    ISNUMBER(FIND("Sistema de Comunicação com os Usuários",G6)),
    ISNUMBER(FIND("Software",G6)),
    ISNUMBER(FIND("Storage",G6)),
    ISNUMBER(FIND("Windows Server",G6)))</f>
        <v>0</v>
      </c>
      <c r="J6" s="147" t="b">
        <f t="shared" ref="J6:J69" si="2">OR(F6,I6)</f>
        <v>0</v>
      </c>
      <c r="K6" s="147" t="b">
        <f t="shared" ref="K6:K69" si="3">AND(NOT(H6),NOT(J6))</f>
        <v>1</v>
      </c>
      <c r="L6" s="147">
        <v>15454081.310950384</v>
      </c>
      <c r="M6" s="147">
        <v>0</v>
      </c>
      <c r="N6" s="147">
        <v>0</v>
      </c>
      <c r="O6" s="147">
        <v>0</v>
      </c>
      <c r="P6" s="147">
        <v>0</v>
      </c>
      <c r="Q6" s="147">
        <v>0</v>
      </c>
      <c r="R6" s="147">
        <v>0</v>
      </c>
      <c r="S6" s="147">
        <v>0</v>
      </c>
      <c r="T6" s="147">
        <v>0</v>
      </c>
      <c r="U6" s="147">
        <v>0</v>
      </c>
      <c r="V6" s="147">
        <v>0</v>
      </c>
      <c r="W6" s="147">
        <v>0</v>
      </c>
      <c r="X6" s="147">
        <v>0</v>
      </c>
      <c r="Y6" s="147">
        <v>0</v>
      </c>
      <c r="Z6" s="147">
        <v>0</v>
      </c>
      <c r="AA6" s="147">
        <v>0</v>
      </c>
      <c r="AB6" s="147">
        <v>0</v>
      </c>
      <c r="AC6" s="147">
        <v>0</v>
      </c>
      <c r="AD6" s="147">
        <v>0</v>
      </c>
      <c r="AE6" s="147">
        <v>0</v>
      </c>
      <c r="AF6" s="147">
        <v>0</v>
      </c>
      <c r="AG6" s="147">
        <v>0</v>
      </c>
      <c r="AH6" s="147">
        <v>0</v>
      </c>
      <c r="AI6" s="147">
        <v>0</v>
      </c>
      <c r="AJ6" s="147">
        <v>0</v>
      </c>
      <c r="AK6" s="147">
        <v>0</v>
      </c>
      <c r="AL6" s="147">
        <v>0</v>
      </c>
      <c r="AM6" s="147">
        <v>0</v>
      </c>
      <c r="AN6" s="147">
        <v>0</v>
      </c>
      <c r="AO6" s="240">
        <v>0</v>
      </c>
      <c r="AP6" s="147">
        <f t="shared" ref="AP6:AP69" si="4">SUM(L6:AO6)</f>
        <v>15454081.310950384</v>
      </c>
    </row>
    <row r="7" spans="2:42">
      <c r="B7" s="147" t="str">
        <v>Pórticos 1 e 2 (BR-356)</v>
      </c>
      <c r="C7" s="149" t="str">
        <v>1</v>
      </c>
      <c r="D7" s="149" t="str">
        <v>1.2</v>
      </c>
      <c r="E7" s="149">
        <v>1</v>
      </c>
      <c r="F7" s="149">
        <v>0</v>
      </c>
      <c r="G7" s="147" t="str">
        <v>Obras de arte especiais</v>
      </c>
      <c r="H7" s="147" t="b">
        <v>0</v>
      </c>
      <c r="I7" s="147" t="b">
        <f t="shared" si="1"/>
        <v>0</v>
      </c>
      <c r="J7" s="147" t="b">
        <f t="shared" si="2"/>
        <v>0</v>
      </c>
      <c r="K7" s="147" t="b">
        <f t="shared" si="3"/>
        <v>1</v>
      </c>
      <c r="L7" s="147">
        <v>0</v>
      </c>
      <c r="M7" s="147">
        <v>0</v>
      </c>
      <c r="N7" s="147">
        <v>0</v>
      </c>
      <c r="O7" s="147">
        <v>0</v>
      </c>
      <c r="P7" s="147">
        <v>0</v>
      </c>
      <c r="Q7" s="147">
        <v>0</v>
      </c>
      <c r="R7" s="147">
        <v>0</v>
      </c>
      <c r="S7" s="147">
        <v>0</v>
      </c>
      <c r="T7" s="147">
        <v>0</v>
      </c>
      <c r="U7" s="147">
        <v>0</v>
      </c>
      <c r="V7" s="147">
        <v>0</v>
      </c>
      <c r="W7" s="147">
        <v>0</v>
      </c>
      <c r="X7" s="147">
        <v>0</v>
      </c>
      <c r="Y7" s="147">
        <v>0</v>
      </c>
      <c r="Z7" s="147">
        <v>0</v>
      </c>
      <c r="AA7" s="147">
        <v>0</v>
      </c>
      <c r="AB7" s="147">
        <v>0</v>
      </c>
      <c r="AC7" s="147">
        <v>0</v>
      </c>
      <c r="AD7" s="147">
        <v>0</v>
      </c>
      <c r="AE7" s="147">
        <v>0</v>
      </c>
      <c r="AF7" s="147">
        <v>0</v>
      </c>
      <c r="AG7" s="147">
        <v>0</v>
      </c>
      <c r="AH7" s="147">
        <v>0</v>
      </c>
      <c r="AI7" s="147">
        <v>0</v>
      </c>
      <c r="AJ7" s="147">
        <v>0</v>
      </c>
      <c r="AK7" s="147">
        <v>0</v>
      </c>
      <c r="AL7" s="147">
        <v>0</v>
      </c>
      <c r="AM7" s="147">
        <v>0</v>
      </c>
      <c r="AN7" s="147">
        <v>0</v>
      </c>
      <c r="AO7" s="240">
        <v>0</v>
      </c>
      <c r="AP7" s="147">
        <f t="shared" si="4"/>
        <v>0</v>
      </c>
    </row>
    <row r="8" spans="2:42">
      <c r="B8" s="147" t="str">
        <v>Pórticos 1 e 2 (BR-356)</v>
      </c>
      <c r="C8" s="149" t="str">
        <v>1</v>
      </c>
      <c r="D8" s="149" t="str">
        <v>1.3</v>
      </c>
      <c r="E8" s="149">
        <v>1</v>
      </c>
      <c r="F8" s="149">
        <v>0</v>
      </c>
      <c r="G8" s="147" t="str">
        <v>Drenagem e obras de arte correntes</v>
      </c>
      <c r="H8" s="147" t="b">
        <v>0</v>
      </c>
      <c r="I8" s="147" t="b">
        <f t="shared" si="1"/>
        <v>0</v>
      </c>
      <c r="J8" s="147" t="b">
        <f t="shared" si="2"/>
        <v>0</v>
      </c>
      <c r="K8" s="147" t="b">
        <f t="shared" si="3"/>
        <v>1</v>
      </c>
      <c r="L8" s="147">
        <v>928414.14869210916</v>
      </c>
      <c r="M8" s="147">
        <v>0</v>
      </c>
      <c r="N8" s="147">
        <v>0</v>
      </c>
      <c r="O8" s="147">
        <v>0</v>
      </c>
      <c r="P8" s="147">
        <v>0</v>
      </c>
      <c r="Q8" s="147">
        <v>0</v>
      </c>
      <c r="R8" s="147">
        <v>0</v>
      </c>
      <c r="S8" s="147">
        <v>0</v>
      </c>
      <c r="T8" s="147">
        <v>0</v>
      </c>
      <c r="U8" s="147">
        <v>0</v>
      </c>
      <c r="V8" s="147">
        <v>0</v>
      </c>
      <c r="W8" s="147">
        <v>0</v>
      </c>
      <c r="X8" s="147">
        <v>0</v>
      </c>
      <c r="Y8" s="147">
        <v>0</v>
      </c>
      <c r="Z8" s="147">
        <v>0</v>
      </c>
      <c r="AA8" s="147">
        <v>0</v>
      </c>
      <c r="AB8" s="147">
        <v>0</v>
      </c>
      <c r="AC8" s="147">
        <v>0</v>
      </c>
      <c r="AD8" s="147">
        <v>0</v>
      </c>
      <c r="AE8" s="147">
        <v>0</v>
      </c>
      <c r="AF8" s="147">
        <v>0</v>
      </c>
      <c r="AG8" s="147">
        <v>0</v>
      </c>
      <c r="AH8" s="147">
        <v>0</v>
      </c>
      <c r="AI8" s="147">
        <v>0</v>
      </c>
      <c r="AJ8" s="147">
        <v>0</v>
      </c>
      <c r="AK8" s="147">
        <v>0</v>
      </c>
      <c r="AL8" s="147">
        <v>0</v>
      </c>
      <c r="AM8" s="147">
        <v>0</v>
      </c>
      <c r="AN8" s="147">
        <v>0</v>
      </c>
      <c r="AO8" s="240">
        <v>0</v>
      </c>
      <c r="AP8" s="147">
        <f t="shared" si="4"/>
        <v>928414.14869210916</v>
      </c>
    </row>
    <row r="9" spans="2:42">
      <c r="B9" s="147" t="str">
        <v>Pórticos 1 e 2 (BR-356)</v>
      </c>
      <c r="C9" s="149" t="str">
        <v>1</v>
      </c>
      <c r="D9" s="149" t="str">
        <v>1.4</v>
      </c>
      <c r="E9" s="149">
        <v>1</v>
      </c>
      <c r="F9" s="149">
        <v>0</v>
      </c>
      <c r="G9" s="147" t="str">
        <v xml:space="preserve">Sinalização e dispositivos de proteção e segurança </v>
      </c>
      <c r="H9" s="147" t="b">
        <v>0</v>
      </c>
      <c r="I9" s="147" t="b">
        <f t="shared" si="1"/>
        <v>0</v>
      </c>
      <c r="J9" s="147" t="b">
        <f t="shared" si="2"/>
        <v>0</v>
      </c>
      <c r="K9" s="147" t="b">
        <f t="shared" si="3"/>
        <v>1</v>
      </c>
      <c r="L9" s="147">
        <v>6349878.3124329373</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c r="AH9" s="147">
        <v>0</v>
      </c>
      <c r="AI9" s="147">
        <v>0</v>
      </c>
      <c r="AJ9" s="147">
        <v>0</v>
      </c>
      <c r="AK9" s="147">
        <v>0</v>
      </c>
      <c r="AL9" s="147">
        <v>0</v>
      </c>
      <c r="AM9" s="147">
        <v>0</v>
      </c>
      <c r="AN9" s="147">
        <v>0</v>
      </c>
      <c r="AO9" s="240">
        <v>0</v>
      </c>
      <c r="AP9" s="147">
        <f t="shared" si="4"/>
        <v>6349878.3124329373</v>
      </c>
    </row>
    <row r="10" spans="2:42">
      <c r="B10" s="147" t="str">
        <v>Pórticos 1 e 2 (BR-356)</v>
      </c>
      <c r="C10" s="149" t="str">
        <v>1</v>
      </c>
      <c r="D10" s="149" t="str">
        <v>1.5</v>
      </c>
      <c r="E10" s="149">
        <v>1</v>
      </c>
      <c r="F10" s="149">
        <v>0</v>
      </c>
      <c r="G10" s="147" t="str">
        <v>Terraplenos e estrutura de contenção</v>
      </c>
      <c r="H10" s="147" t="b">
        <v>0</v>
      </c>
      <c r="I10" s="147" t="b">
        <f t="shared" si="1"/>
        <v>0</v>
      </c>
      <c r="J10" s="147" t="b">
        <f t="shared" si="2"/>
        <v>0</v>
      </c>
      <c r="K10" s="147" t="b">
        <f t="shared" si="3"/>
        <v>1</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c r="AH10" s="147">
        <v>0</v>
      </c>
      <c r="AI10" s="147">
        <v>0</v>
      </c>
      <c r="AJ10" s="147">
        <v>0</v>
      </c>
      <c r="AK10" s="147">
        <v>0</v>
      </c>
      <c r="AL10" s="147">
        <v>0</v>
      </c>
      <c r="AM10" s="147">
        <v>0</v>
      </c>
      <c r="AN10" s="147">
        <v>0</v>
      </c>
      <c r="AO10" s="240">
        <v>0</v>
      </c>
      <c r="AP10" s="147">
        <f t="shared" si="4"/>
        <v>0</v>
      </c>
    </row>
    <row r="11" spans="2:42">
      <c r="B11" s="147" t="str">
        <v>Pórticos 1 e 2 (BR-356)</v>
      </c>
      <c r="C11" s="149" t="str">
        <v>1</v>
      </c>
      <c r="D11" s="149" t="str">
        <v>1.6</v>
      </c>
      <c r="E11" s="149">
        <v>1</v>
      </c>
      <c r="F11" s="149">
        <v>0</v>
      </c>
      <c r="G11" s="147" t="str">
        <v>Sistemas elétricos e de iluminação</v>
      </c>
      <c r="H11" s="147" t="b">
        <v>0</v>
      </c>
      <c r="I11" s="147" t="b">
        <f t="shared" si="1"/>
        <v>0</v>
      </c>
      <c r="J11" s="147" t="b">
        <f t="shared" si="2"/>
        <v>0</v>
      </c>
      <c r="K11" s="147" t="b">
        <f t="shared" si="3"/>
        <v>1</v>
      </c>
      <c r="L11" s="147">
        <v>194882.29224282069</v>
      </c>
      <c r="M11" s="147">
        <v>0</v>
      </c>
      <c r="N11" s="147">
        <v>0</v>
      </c>
      <c r="O11" s="147">
        <v>0</v>
      </c>
      <c r="P11" s="147">
        <v>0</v>
      </c>
      <c r="Q11" s="147">
        <v>0</v>
      </c>
      <c r="R11" s="147">
        <v>0</v>
      </c>
      <c r="S11" s="147">
        <v>0</v>
      </c>
      <c r="T11" s="147">
        <v>0</v>
      </c>
      <c r="U11" s="147">
        <v>0</v>
      </c>
      <c r="V11" s="147">
        <v>0</v>
      </c>
      <c r="W11" s="147">
        <v>0</v>
      </c>
      <c r="X11" s="147">
        <v>0</v>
      </c>
      <c r="Y11" s="147">
        <v>0</v>
      </c>
      <c r="Z11" s="147">
        <v>0</v>
      </c>
      <c r="AA11" s="147">
        <v>0</v>
      </c>
      <c r="AB11" s="147">
        <v>0</v>
      </c>
      <c r="AC11" s="147">
        <v>0</v>
      </c>
      <c r="AD11" s="147">
        <v>0</v>
      </c>
      <c r="AE11" s="147">
        <v>0</v>
      </c>
      <c r="AF11" s="147">
        <v>0</v>
      </c>
      <c r="AG11" s="147">
        <v>0</v>
      </c>
      <c r="AH11" s="147">
        <v>0</v>
      </c>
      <c r="AI11" s="147">
        <v>0</v>
      </c>
      <c r="AJ11" s="147">
        <v>0</v>
      </c>
      <c r="AK11" s="147">
        <v>0</v>
      </c>
      <c r="AL11" s="147">
        <v>0</v>
      </c>
      <c r="AM11" s="147">
        <v>0</v>
      </c>
      <c r="AN11" s="147">
        <v>0</v>
      </c>
      <c r="AO11" s="240">
        <v>0</v>
      </c>
      <c r="AP11" s="147">
        <f t="shared" si="4"/>
        <v>194882.29224282069</v>
      </c>
    </row>
    <row r="12" spans="2:42">
      <c r="B12" s="147" t="str">
        <v>Pórticos 1 e 2 (BR-356)</v>
      </c>
      <c r="C12" s="149" t="str">
        <v>1</v>
      </c>
      <c r="D12" s="149" t="str">
        <v>1.7</v>
      </c>
      <c r="E12" s="149">
        <v>1</v>
      </c>
      <c r="F12" s="149">
        <v>0</v>
      </c>
      <c r="G12" s="147" t="str">
        <v>Canteiro central e faixa de domínio</v>
      </c>
      <c r="H12" s="147" t="b">
        <v>0</v>
      </c>
      <c r="I12" s="147" t="b">
        <f t="shared" si="1"/>
        <v>0</v>
      </c>
      <c r="J12" s="147" t="b">
        <f t="shared" si="2"/>
        <v>0</v>
      </c>
      <c r="K12" s="147" t="b">
        <f t="shared" si="3"/>
        <v>1</v>
      </c>
      <c r="L12" s="147">
        <v>209720.86542699733</v>
      </c>
      <c r="M12" s="147">
        <v>0</v>
      </c>
      <c r="N12" s="147">
        <v>0</v>
      </c>
      <c r="O12" s="147">
        <v>0</v>
      </c>
      <c r="P12" s="147">
        <v>0</v>
      </c>
      <c r="Q12" s="147">
        <v>0</v>
      </c>
      <c r="R12" s="147">
        <v>0</v>
      </c>
      <c r="S12" s="147">
        <v>0</v>
      </c>
      <c r="T12" s="147">
        <v>0</v>
      </c>
      <c r="U12" s="147">
        <v>0</v>
      </c>
      <c r="V12" s="147">
        <v>0</v>
      </c>
      <c r="W12" s="147">
        <v>0</v>
      </c>
      <c r="X12" s="147">
        <v>0</v>
      </c>
      <c r="Y12" s="147">
        <v>0</v>
      </c>
      <c r="Z12" s="147">
        <v>0</v>
      </c>
      <c r="AA12" s="147">
        <v>0</v>
      </c>
      <c r="AB12" s="147">
        <v>0</v>
      </c>
      <c r="AC12" s="147">
        <v>0</v>
      </c>
      <c r="AD12" s="147">
        <v>0</v>
      </c>
      <c r="AE12" s="147">
        <v>0</v>
      </c>
      <c r="AF12" s="147">
        <v>0</v>
      </c>
      <c r="AG12" s="147">
        <v>0</v>
      </c>
      <c r="AH12" s="147">
        <v>0</v>
      </c>
      <c r="AI12" s="147">
        <v>0</v>
      </c>
      <c r="AJ12" s="147">
        <v>0</v>
      </c>
      <c r="AK12" s="147">
        <v>0</v>
      </c>
      <c r="AL12" s="147">
        <v>0</v>
      </c>
      <c r="AM12" s="147">
        <v>0</v>
      </c>
      <c r="AN12" s="147">
        <v>0</v>
      </c>
      <c r="AO12" s="240">
        <v>0</v>
      </c>
      <c r="AP12" s="147">
        <f t="shared" si="4"/>
        <v>209720.86542699733</v>
      </c>
    </row>
    <row r="13" spans="2:42">
      <c r="B13" s="147" t="str">
        <v>Pórticos 1 e 2 (BR-356)</v>
      </c>
      <c r="C13" s="149" t="str">
        <v>1</v>
      </c>
      <c r="D13" s="149" t="str">
        <v>1.8</v>
      </c>
      <c r="E13" s="149">
        <v>1</v>
      </c>
      <c r="F13" s="149">
        <v>0</v>
      </c>
      <c r="G13" s="147" t="str">
        <v>Administração local (%)</v>
      </c>
      <c r="H13" s="147" t="b">
        <v>0</v>
      </c>
      <c r="I13" s="147" t="b">
        <f t="shared" si="1"/>
        <v>0</v>
      </c>
      <c r="J13" s="147" t="b">
        <f t="shared" si="2"/>
        <v>0</v>
      </c>
      <c r="K13" s="147" t="b">
        <f t="shared" si="3"/>
        <v>1</v>
      </c>
      <c r="L13" s="147">
        <v>284584.81623586657</v>
      </c>
      <c r="M13" s="147">
        <v>0</v>
      </c>
      <c r="N13" s="147">
        <v>0</v>
      </c>
      <c r="O13" s="147">
        <v>0</v>
      </c>
      <c r="P13" s="147">
        <v>0</v>
      </c>
      <c r="Q13" s="147">
        <v>0</v>
      </c>
      <c r="R13" s="147">
        <v>0</v>
      </c>
      <c r="S13" s="147">
        <v>0</v>
      </c>
      <c r="T13" s="147">
        <v>0</v>
      </c>
      <c r="U13" s="147">
        <v>0</v>
      </c>
      <c r="V13" s="147">
        <v>0</v>
      </c>
      <c r="W13" s="147">
        <v>0</v>
      </c>
      <c r="X13" s="147">
        <v>0</v>
      </c>
      <c r="Y13" s="147">
        <v>0</v>
      </c>
      <c r="Z13" s="147">
        <v>0</v>
      </c>
      <c r="AA13" s="147">
        <v>0</v>
      </c>
      <c r="AB13" s="147">
        <v>0</v>
      </c>
      <c r="AC13" s="147">
        <v>0</v>
      </c>
      <c r="AD13" s="147">
        <v>0</v>
      </c>
      <c r="AE13" s="147">
        <v>0</v>
      </c>
      <c r="AF13" s="147">
        <v>0</v>
      </c>
      <c r="AG13" s="147">
        <v>0</v>
      </c>
      <c r="AH13" s="147">
        <v>0</v>
      </c>
      <c r="AI13" s="147">
        <v>0</v>
      </c>
      <c r="AJ13" s="147">
        <v>0</v>
      </c>
      <c r="AK13" s="147">
        <v>0</v>
      </c>
      <c r="AL13" s="147">
        <v>0</v>
      </c>
      <c r="AM13" s="147">
        <v>0</v>
      </c>
      <c r="AN13" s="147">
        <v>0</v>
      </c>
      <c r="AO13" s="240">
        <v>0</v>
      </c>
      <c r="AP13" s="147">
        <f t="shared" si="4"/>
        <v>284584.81623586657</v>
      </c>
    </row>
    <row r="14" spans="2:42">
      <c r="B14" s="147" t="str">
        <v>Pórticos 1 e 2 (BR-356)</v>
      </c>
      <c r="C14" s="149" t="str">
        <v>1</v>
      </c>
      <c r="D14" s="149" t="str">
        <v>1.9</v>
      </c>
      <c r="E14" s="149">
        <v>1</v>
      </c>
      <c r="F14" s="149">
        <v>0</v>
      </c>
      <c r="G14" s="147" t="str">
        <v>Canteiro de obras (%)</v>
      </c>
      <c r="H14" s="147" t="b">
        <v>0</v>
      </c>
      <c r="I14" s="147" t="b">
        <f t="shared" si="1"/>
        <v>0</v>
      </c>
      <c r="J14" s="147" t="b">
        <f t="shared" si="2"/>
        <v>0</v>
      </c>
      <c r="K14" s="147" t="b">
        <f t="shared" si="3"/>
        <v>1</v>
      </c>
      <c r="L14" s="147">
        <v>71724.628482210261</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c r="AH14" s="147">
        <v>0</v>
      </c>
      <c r="AI14" s="147">
        <v>0</v>
      </c>
      <c r="AJ14" s="147">
        <v>0</v>
      </c>
      <c r="AK14" s="147">
        <v>0</v>
      </c>
      <c r="AL14" s="147">
        <v>0</v>
      </c>
      <c r="AM14" s="147">
        <v>0</v>
      </c>
      <c r="AN14" s="147">
        <v>0</v>
      </c>
      <c r="AO14" s="240">
        <v>0</v>
      </c>
      <c r="AP14" s="147">
        <f t="shared" si="4"/>
        <v>71724.628482210261</v>
      </c>
    </row>
    <row r="15" spans="2:42">
      <c r="B15" s="147" t="str">
        <v>Pórticos 1 e 2 (BR-356)</v>
      </c>
      <c r="C15" s="149" t="str">
        <v>1</v>
      </c>
      <c r="D15" s="149" t="str">
        <v>1.10</v>
      </c>
      <c r="E15" s="149">
        <v>1</v>
      </c>
      <c r="F15" s="149">
        <v>0</v>
      </c>
      <c r="G15" s="147" t="str">
        <v>Mobilização e desmobilização (%)</v>
      </c>
      <c r="H15" s="147" t="b">
        <v>0</v>
      </c>
      <c r="I15" s="147" t="b">
        <f t="shared" si="1"/>
        <v>0</v>
      </c>
      <c r="J15" s="147" t="b">
        <f t="shared" si="2"/>
        <v>0</v>
      </c>
      <c r="K15" s="147" t="b">
        <f t="shared" si="3"/>
        <v>1</v>
      </c>
      <c r="L15" s="147">
        <v>1341.9446619252242</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c r="AH15" s="147">
        <v>0</v>
      </c>
      <c r="AI15" s="147">
        <v>0</v>
      </c>
      <c r="AJ15" s="147">
        <v>0</v>
      </c>
      <c r="AK15" s="147">
        <v>0</v>
      </c>
      <c r="AL15" s="147">
        <v>0</v>
      </c>
      <c r="AM15" s="147">
        <v>0</v>
      </c>
      <c r="AN15" s="147">
        <v>0</v>
      </c>
      <c r="AO15" s="240">
        <v>0</v>
      </c>
      <c r="AP15" s="147">
        <f t="shared" si="4"/>
        <v>1341.9446619252242</v>
      </c>
    </row>
    <row r="16" spans="2:42">
      <c r="B16" s="147" t="str">
        <v>Pórticos 1 e 2 (BR-356)</v>
      </c>
      <c r="C16" s="149" t="str">
        <v>1</v>
      </c>
      <c r="D16" s="149" t="str">
        <v>1.11</v>
      </c>
      <c r="E16" s="149">
        <v>1</v>
      </c>
      <c r="F16" s="149">
        <v>0</v>
      </c>
      <c r="G16" s="147" t="str">
        <v>Projetos (%)</v>
      </c>
      <c r="H16" s="147" t="b">
        <v>0</v>
      </c>
      <c r="I16" s="147" t="b">
        <f t="shared" si="1"/>
        <v>0</v>
      </c>
      <c r="J16" s="147" t="b">
        <f t="shared" si="2"/>
        <v>0</v>
      </c>
      <c r="K16" s="147" t="b">
        <f t="shared" si="3"/>
        <v>1</v>
      </c>
      <c r="L16" s="147">
        <v>578424.42324363114</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c r="AH16" s="147">
        <v>0</v>
      </c>
      <c r="AI16" s="147">
        <v>0</v>
      </c>
      <c r="AJ16" s="147">
        <v>0</v>
      </c>
      <c r="AK16" s="147">
        <v>0</v>
      </c>
      <c r="AL16" s="147">
        <v>0</v>
      </c>
      <c r="AM16" s="147">
        <v>0</v>
      </c>
      <c r="AN16" s="147">
        <v>0</v>
      </c>
      <c r="AO16" s="240">
        <v>0</v>
      </c>
      <c r="AP16" s="147">
        <f t="shared" si="4"/>
        <v>578424.42324363114</v>
      </c>
    </row>
    <row r="17" spans="2:42">
      <c r="B17" s="147" t="str">
        <v>Pórticos 1 e 2 (BR-356)</v>
      </c>
      <c r="C17" s="149" t="str">
        <v>2</v>
      </c>
      <c r="D17" s="149">
        <v>2</v>
      </c>
      <c r="E17" s="149">
        <v>0</v>
      </c>
      <c r="F17" s="149">
        <v>0</v>
      </c>
      <c r="G17" s="147" t="str">
        <v>Recuperação do sistema rodoviário</v>
      </c>
      <c r="H17" s="147" t="b">
        <v>0</v>
      </c>
      <c r="I17" s="147" t="b">
        <f t="shared" si="1"/>
        <v>0</v>
      </c>
      <c r="J17" s="147" t="b">
        <f t="shared" si="2"/>
        <v>0</v>
      </c>
      <c r="K17" s="147" t="b">
        <f t="shared" si="3"/>
        <v>1</v>
      </c>
      <c r="L17" s="147">
        <v>0</v>
      </c>
      <c r="M17" s="147">
        <v>0</v>
      </c>
      <c r="N17" s="147">
        <v>0</v>
      </c>
      <c r="O17" s="147">
        <v>0</v>
      </c>
      <c r="P17" s="147">
        <v>0</v>
      </c>
      <c r="Q17" s="147">
        <v>0</v>
      </c>
      <c r="R17" s="147">
        <v>0</v>
      </c>
      <c r="S17" s="147">
        <v>0</v>
      </c>
      <c r="T17" s="147">
        <v>0</v>
      </c>
      <c r="U17" s="147">
        <v>0</v>
      </c>
      <c r="V17" s="147">
        <v>0</v>
      </c>
      <c r="W17" s="147">
        <v>0</v>
      </c>
      <c r="X17" s="147">
        <v>0</v>
      </c>
      <c r="Y17" s="147">
        <v>0</v>
      </c>
      <c r="Z17" s="147">
        <v>0</v>
      </c>
      <c r="AA17" s="147">
        <v>0</v>
      </c>
      <c r="AB17" s="147">
        <v>0</v>
      </c>
      <c r="AC17" s="147">
        <v>0</v>
      </c>
      <c r="AD17" s="147">
        <v>0</v>
      </c>
      <c r="AE17" s="147">
        <v>0</v>
      </c>
      <c r="AF17" s="147">
        <v>0</v>
      </c>
      <c r="AG17" s="147">
        <v>0</v>
      </c>
      <c r="AH17" s="147">
        <v>0</v>
      </c>
      <c r="AI17" s="147">
        <v>0</v>
      </c>
      <c r="AJ17" s="147">
        <v>0</v>
      </c>
      <c r="AK17" s="147">
        <v>0</v>
      </c>
      <c r="AL17" s="147">
        <v>0</v>
      </c>
      <c r="AM17" s="147">
        <v>0</v>
      </c>
      <c r="AN17" s="147">
        <v>0</v>
      </c>
      <c r="AO17" s="240">
        <v>0</v>
      </c>
      <c r="AP17" s="147">
        <f t="shared" si="4"/>
        <v>0</v>
      </c>
    </row>
    <row r="18" spans="2:42">
      <c r="B18" s="147" t="str">
        <v>Pórticos 1 e 2 (BR-356)</v>
      </c>
      <c r="C18" s="149" t="str">
        <v>2</v>
      </c>
      <c r="D18" s="149" t="str">
        <v>2.1</v>
      </c>
      <c r="E18" s="149">
        <v>1</v>
      </c>
      <c r="F18" s="149">
        <v>0</v>
      </c>
      <c r="G18" s="147" t="str">
        <v>Pavimento</v>
      </c>
      <c r="H18" s="147" t="b">
        <v>0</v>
      </c>
      <c r="I18" s="147" t="b">
        <f t="shared" si="1"/>
        <v>0</v>
      </c>
      <c r="J18" s="147" t="b">
        <f t="shared" si="2"/>
        <v>0</v>
      </c>
      <c r="K18" s="147" t="b">
        <f t="shared" si="3"/>
        <v>1</v>
      </c>
      <c r="L18" s="147">
        <v>0</v>
      </c>
      <c r="M18" s="147">
        <v>16354536.77415935</v>
      </c>
      <c r="N18" s="147">
        <v>17884060.669903781</v>
      </c>
      <c r="O18" s="147">
        <v>22576700.26483107</v>
      </c>
      <c r="P18" s="147">
        <v>14244725.507123912</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c r="AH18" s="147">
        <v>0</v>
      </c>
      <c r="AI18" s="147">
        <v>0</v>
      </c>
      <c r="AJ18" s="147">
        <v>0</v>
      </c>
      <c r="AK18" s="147">
        <v>0</v>
      </c>
      <c r="AL18" s="147">
        <v>0</v>
      </c>
      <c r="AM18" s="147">
        <v>0</v>
      </c>
      <c r="AN18" s="147">
        <v>0</v>
      </c>
      <c r="AO18" s="240">
        <v>0</v>
      </c>
      <c r="AP18" s="147">
        <f t="shared" si="4"/>
        <v>71060023.216018111</v>
      </c>
    </row>
    <row r="19" spans="2:42">
      <c r="B19" s="147" t="str">
        <v>Pórticos 1 e 2 (BR-356)</v>
      </c>
      <c r="C19" s="149" t="str">
        <v>2</v>
      </c>
      <c r="D19" s="149" t="str">
        <v>2.2</v>
      </c>
      <c r="E19" s="149">
        <v>1</v>
      </c>
      <c r="F19" s="149">
        <v>0</v>
      </c>
      <c r="G19" s="147" t="str">
        <v>Obras de arte especiais</v>
      </c>
      <c r="H19" s="147" t="b">
        <v>0</v>
      </c>
      <c r="I19" s="147" t="b">
        <f t="shared" si="1"/>
        <v>0</v>
      </c>
      <c r="J19" s="147" t="b">
        <f t="shared" si="2"/>
        <v>0</v>
      </c>
      <c r="K19" s="147" t="b">
        <f t="shared" si="3"/>
        <v>1</v>
      </c>
      <c r="L19" s="147">
        <v>0</v>
      </c>
      <c r="M19" s="147">
        <v>16331304.488212068</v>
      </c>
      <c r="N19" s="147">
        <v>2051589.5000823664</v>
      </c>
      <c r="O19" s="147">
        <v>55623.380383060998</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c r="AH19" s="147">
        <v>0</v>
      </c>
      <c r="AI19" s="147">
        <v>0</v>
      </c>
      <c r="AJ19" s="147">
        <v>0</v>
      </c>
      <c r="AK19" s="147">
        <v>0</v>
      </c>
      <c r="AL19" s="147">
        <v>0</v>
      </c>
      <c r="AM19" s="147">
        <v>0</v>
      </c>
      <c r="AN19" s="147">
        <v>0</v>
      </c>
      <c r="AO19" s="240">
        <v>0</v>
      </c>
      <c r="AP19" s="147">
        <f t="shared" si="4"/>
        <v>18438517.368677493</v>
      </c>
    </row>
    <row r="20" spans="2:42">
      <c r="B20" s="147" t="str">
        <v>Pórticos 1 e 2 (BR-356)</v>
      </c>
      <c r="C20" s="149" t="str">
        <v>2</v>
      </c>
      <c r="D20" s="149" t="str">
        <v>2.3</v>
      </c>
      <c r="E20" s="149">
        <v>1</v>
      </c>
      <c r="F20" s="149">
        <v>0</v>
      </c>
      <c r="G20" s="147" t="str">
        <v>Drenagem e obras de arte correntes</v>
      </c>
      <c r="H20" s="147" t="b">
        <v>0</v>
      </c>
      <c r="I20" s="147" t="b">
        <f t="shared" si="1"/>
        <v>0</v>
      </c>
      <c r="J20" s="147" t="b">
        <f t="shared" si="2"/>
        <v>0</v>
      </c>
      <c r="K20" s="147" t="b">
        <f t="shared" si="3"/>
        <v>1</v>
      </c>
      <c r="L20" s="147">
        <v>0</v>
      </c>
      <c r="M20" s="147">
        <v>573464.09050854878</v>
      </c>
      <c r="N20" s="147">
        <v>573464.09050854878</v>
      </c>
      <c r="O20" s="147">
        <v>573464.09050854878</v>
      </c>
      <c r="P20" s="147">
        <v>573464.09050854878</v>
      </c>
      <c r="Q20" s="147">
        <v>0</v>
      </c>
      <c r="R20" s="147">
        <v>0</v>
      </c>
      <c r="S20" s="147">
        <v>0</v>
      </c>
      <c r="T20" s="147">
        <v>0</v>
      </c>
      <c r="U20" s="147">
        <v>0</v>
      </c>
      <c r="V20" s="147">
        <v>0</v>
      </c>
      <c r="W20" s="147">
        <v>0</v>
      </c>
      <c r="X20" s="147">
        <v>0</v>
      </c>
      <c r="Y20" s="147">
        <v>0</v>
      </c>
      <c r="Z20" s="147">
        <v>0</v>
      </c>
      <c r="AA20" s="147">
        <v>0</v>
      </c>
      <c r="AB20" s="147">
        <v>0</v>
      </c>
      <c r="AC20" s="147">
        <v>0</v>
      </c>
      <c r="AD20" s="147">
        <v>0</v>
      </c>
      <c r="AE20" s="147">
        <v>0</v>
      </c>
      <c r="AF20" s="147">
        <v>0</v>
      </c>
      <c r="AG20" s="147">
        <v>0</v>
      </c>
      <c r="AH20" s="147">
        <v>0</v>
      </c>
      <c r="AI20" s="147">
        <v>0</v>
      </c>
      <c r="AJ20" s="147">
        <v>0</v>
      </c>
      <c r="AK20" s="147">
        <v>0</v>
      </c>
      <c r="AL20" s="147">
        <v>0</v>
      </c>
      <c r="AM20" s="147">
        <v>0</v>
      </c>
      <c r="AN20" s="147">
        <v>0</v>
      </c>
      <c r="AO20" s="240">
        <v>0</v>
      </c>
      <c r="AP20" s="147">
        <f t="shared" si="4"/>
        <v>2293856.3620341951</v>
      </c>
    </row>
    <row r="21" spans="2:42">
      <c r="B21" s="147" t="str">
        <v>Pórticos 1 e 2 (BR-356)</v>
      </c>
      <c r="C21" s="149" t="str">
        <v>2</v>
      </c>
      <c r="D21" s="149" t="str">
        <v>2.4</v>
      </c>
      <c r="E21" s="149">
        <v>1</v>
      </c>
      <c r="F21" s="149">
        <v>0</v>
      </c>
      <c r="G21" s="147" t="str">
        <v xml:space="preserve">Sinalização e dispositivos de proteção e segurança </v>
      </c>
      <c r="H21" s="147" t="b">
        <v>0</v>
      </c>
      <c r="I21" s="147" t="b">
        <f t="shared" si="1"/>
        <v>0</v>
      </c>
      <c r="J21" s="147" t="b">
        <f t="shared" si="2"/>
        <v>0</v>
      </c>
      <c r="K21" s="147" t="b">
        <f t="shared" si="3"/>
        <v>1</v>
      </c>
      <c r="L21" s="147">
        <v>0</v>
      </c>
      <c r="M21" s="147">
        <v>3516884.9500369704</v>
      </c>
      <c r="N21" s="147">
        <v>3516884.9500369704</v>
      </c>
      <c r="O21" s="147">
        <v>3516884.9500369704</v>
      </c>
      <c r="P21" s="147">
        <v>3460556.4758119704</v>
      </c>
      <c r="Q21" s="147">
        <v>0</v>
      </c>
      <c r="R21" s="147">
        <v>0</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c r="AH21" s="147">
        <v>0</v>
      </c>
      <c r="AI21" s="147">
        <v>0</v>
      </c>
      <c r="AJ21" s="147">
        <v>0</v>
      </c>
      <c r="AK21" s="147">
        <v>0</v>
      </c>
      <c r="AL21" s="147">
        <v>0</v>
      </c>
      <c r="AM21" s="147">
        <v>0</v>
      </c>
      <c r="AN21" s="147">
        <v>0</v>
      </c>
      <c r="AO21" s="240">
        <v>0</v>
      </c>
      <c r="AP21" s="147">
        <f t="shared" si="4"/>
        <v>14011211.32592288</v>
      </c>
    </row>
    <row r="22" spans="2:42">
      <c r="B22" s="147" t="str">
        <v>Pórticos 1 e 2 (BR-356)</v>
      </c>
      <c r="C22" s="149" t="str">
        <v>2</v>
      </c>
      <c r="D22" s="149" t="str">
        <v>2.6</v>
      </c>
      <c r="E22" s="149">
        <v>1</v>
      </c>
      <c r="F22" s="149">
        <v>0</v>
      </c>
      <c r="G22" s="147" t="str">
        <v>Terraplenos e estrutura de contenção</v>
      </c>
      <c r="H22" s="147" t="b">
        <v>0</v>
      </c>
      <c r="I22" s="147" t="b">
        <f t="shared" si="1"/>
        <v>0</v>
      </c>
      <c r="J22" s="147" t="b">
        <f t="shared" si="2"/>
        <v>0</v>
      </c>
      <c r="K22" s="147" t="b">
        <f t="shared" si="3"/>
        <v>1</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c r="AH22" s="147">
        <v>0</v>
      </c>
      <c r="AI22" s="147">
        <v>0</v>
      </c>
      <c r="AJ22" s="147">
        <v>0</v>
      </c>
      <c r="AK22" s="147">
        <v>0</v>
      </c>
      <c r="AL22" s="147">
        <v>0</v>
      </c>
      <c r="AM22" s="147">
        <v>0</v>
      </c>
      <c r="AN22" s="147">
        <v>0</v>
      </c>
      <c r="AO22" s="240">
        <v>0</v>
      </c>
      <c r="AP22" s="147">
        <f t="shared" si="4"/>
        <v>0</v>
      </c>
    </row>
    <row r="23" spans="2:42">
      <c r="B23" s="147" t="str">
        <v>Pórticos 1 e 2 (BR-356)</v>
      </c>
      <c r="C23" s="149" t="str">
        <v>2</v>
      </c>
      <c r="D23" s="149" t="str">
        <v>2.7</v>
      </c>
      <c r="E23" s="149">
        <v>1</v>
      </c>
      <c r="F23" s="149">
        <v>0</v>
      </c>
      <c r="G23" s="147" t="str">
        <v>Sistemas elétricos e de iluminação</v>
      </c>
      <c r="H23" s="147" t="b">
        <v>0</v>
      </c>
      <c r="I23" s="147" t="b">
        <f t="shared" si="1"/>
        <v>0</v>
      </c>
      <c r="J23" s="147" t="b">
        <f t="shared" si="2"/>
        <v>0</v>
      </c>
      <c r="K23" s="147" t="b">
        <f t="shared" si="3"/>
        <v>1</v>
      </c>
      <c r="L23" s="147">
        <v>0</v>
      </c>
      <c r="M23" s="147">
        <v>162223.70493000001</v>
      </c>
      <c r="N23" s="147">
        <v>162223.70493000001</v>
      </c>
      <c r="O23" s="147">
        <v>28486.966254999999</v>
      </c>
      <c r="P23" s="147">
        <v>20352.217459799998</v>
      </c>
      <c r="Q23" s="147">
        <v>0</v>
      </c>
      <c r="R23" s="147">
        <v>0</v>
      </c>
      <c r="S23" s="147">
        <v>0</v>
      </c>
      <c r="T23" s="147">
        <v>0</v>
      </c>
      <c r="U23" s="147">
        <v>0</v>
      </c>
      <c r="V23" s="147">
        <v>0</v>
      </c>
      <c r="W23" s="147">
        <v>0</v>
      </c>
      <c r="X23" s="147">
        <v>0</v>
      </c>
      <c r="Y23" s="147">
        <v>0</v>
      </c>
      <c r="Z23" s="147">
        <v>0</v>
      </c>
      <c r="AA23" s="147">
        <v>0</v>
      </c>
      <c r="AB23" s="147">
        <v>0</v>
      </c>
      <c r="AC23" s="147">
        <v>0</v>
      </c>
      <c r="AD23" s="147">
        <v>0</v>
      </c>
      <c r="AE23" s="147">
        <v>0</v>
      </c>
      <c r="AF23" s="147">
        <v>0</v>
      </c>
      <c r="AG23" s="147">
        <v>0</v>
      </c>
      <c r="AH23" s="147">
        <v>0</v>
      </c>
      <c r="AI23" s="147">
        <v>0</v>
      </c>
      <c r="AJ23" s="147">
        <v>0</v>
      </c>
      <c r="AK23" s="147">
        <v>0</v>
      </c>
      <c r="AL23" s="147">
        <v>0</v>
      </c>
      <c r="AM23" s="147">
        <v>0</v>
      </c>
      <c r="AN23" s="147">
        <v>0</v>
      </c>
      <c r="AO23" s="240">
        <v>0</v>
      </c>
      <c r="AP23" s="147">
        <f t="shared" si="4"/>
        <v>373286.5935748</v>
      </c>
    </row>
    <row r="24" spans="2:42">
      <c r="B24" s="147" t="str">
        <v>Pórticos 1 e 2 (BR-356)</v>
      </c>
      <c r="C24" s="149" t="str">
        <v>2</v>
      </c>
      <c r="D24" s="149" t="str">
        <v>2.8</v>
      </c>
      <c r="E24" s="149">
        <v>1</v>
      </c>
      <c r="F24" s="149">
        <v>0</v>
      </c>
      <c r="G24" s="147" t="str">
        <v>Canteiro central e faixa de domínio</v>
      </c>
      <c r="H24" s="147" t="b">
        <v>0</v>
      </c>
      <c r="I24" s="147" t="b">
        <f t="shared" si="1"/>
        <v>0</v>
      </c>
      <c r="J24" s="147" t="b">
        <f t="shared" si="2"/>
        <v>0</v>
      </c>
      <c r="K24" s="147" t="b">
        <f t="shared" si="3"/>
        <v>1</v>
      </c>
      <c r="L24" s="147">
        <v>0</v>
      </c>
      <c r="M24" s="147">
        <v>779808.82783336693</v>
      </c>
      <c r="N24" s="147">
        <v>779808.82783336693</v>
      </c>
      <c r="O24" s="147">
        <v>779808.82783336693</v>
      </c>
      <c r="P24" s="147">
        <v>779808.82783336693</v>
      </c>
      <c r="Q24" s="147">
        <v>2.749761787162357E-2</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c r="AH24" s="147">
        <v>0</v>
      </c>
      <c r="AI24" s="147">
        <v>0</v>
      </c>
      <c r="AJ24" s="147">
        <v>0</v>
      </c>
      <c r="AK24" s="147">
        <v>0</v>
      </c>
      <c r="AL24" s="147">
        <v>0</v>
      </c>
      <c r="AM24" s="147">
        <v>0</v>
      </c>
      <c r="AN24" s="147">
        <v>0</v>
      </c>
      <c r="AO24" s="240">
        <v>0</v>
      </c>
      <c r="AP24" s="147">
        <f t="shared" si="4"/>
        <v>3119235.3388310857</v>
      </c>
    </row>
    <row r="25" spans="2:42">
      <c r="B25" s="147" t="str">
        <v>Pórticos 1 e 2 (BR-356)</v>
      </c>
      <c r="C25" s="149" t="str">
        <v>2</v>
      </c>
      <c r="D25" s="149" t="str">
        <v>2.9</v>
      </c>
      <c r="E25" s="149">
        <v>1</v>
      </c>
      <c r="F25" s="149">
        <v>0</v>
      </c>
      <c r="G25" s="147" t="str">
        <v>Administração local (%)</v>
      </c>
      <c r="H25" s="147" t="b">
        <v>0</v>
      </c>
      <c r="I25" s="147" t="b">
        <f t="shared" si="1"/>
        <v>0</v>
      </c>
      <c r="J25" s="147" t="b">
        <f t="shared" si="2"/>
        <v>0</v>
      </c>
      <c r="K25" s="147" t="b">
        <f t="shared" si="3"/>
        <v>1</v>
      </c>
      <c r="L25" s="147">
        <v>0</v>
      </c>
      <c r="M25" s="147">
        <v>463934.14087886777</v>
      </c>
      <c r="N25" s="147">
        <v>307106.79044252896</v>
      </c>
      <c r="O25" s="147">
        <v>338630.9123021306</v>
      </c>
      <c r="P25" s="147">
        <v>234670.55756047246</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c r="AH25" s="147">
        <v>0</v>
      </c>
      <c r="AI25" s="147">
        <v>0</v>
      </c>
      <c r="AJ25" s="147">
        <v>0</v>
      </c>
      <c r="AK25" s="147">
        <v>0</v>
      </c>
      <c r="AL25" s="147">
        <v>0</v>
      </c>
      <c r="AM25" s="147">
        <v>0</v>
      </c>
      <c r="AN25" s="147">
        <v>0</v>
      </c>
      <c r="AO25" s="240">
        <v>0</v>
      </c>
      <c r="AP25" s="147">
        <f t="shared" si="4"/>
        <v>1344342.4011839998</v>
      </c>
    </row>
    <row r="26" spans="2:42">
      <c r="B26" s="147" t="str">
        <v>Pórticos 1 e 2 (BR-356)</v>
      </c>
      <c r="C26" s="149" t="str">
        <v>2</v>
      </c>
      <c r="D26" s="149" t="str">
        <v>2.10</v>
      </c>
      <c r="E26" s="149">
        <v>1</v>
      </c>
      <c r="F26" s="149">
        <v>0</v>
      </c>
      <c r="G26" s="147" t="str">
        <v>Canteiro de obras (%)</v>
      </c>
      <c r="H26" s="147" t="b">
        <v>0</v>
      </c>
      <c r="I26" s="147" t="b">
        <f t="shared" si="1"/>
        <v>0</v>
      </c>
      <c r="J26" s="147" t="b">
        <f t="shared" si="2"/>
        <v>0</v>
      </c>
      <c r="K26" s="147" t="b">
        <f t="shared" si="3"/>
        <v>1</v>
      </c>
      <c r="L26" s="147">
        <v>0</v>
      </c>
      <c r="M26" s="147">
        <v>116926.49079060895</v>
      </c>
      <c r="N26" s="147">
        <v>77400.898404214604</v>
      </c>
      <c r="O26" s="147">
        <v>85346.002287528841</v>
      </c>
      <c r="P26" s="147">
        <v>59144.61206808655</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c r="AH26" s="147">
        <v>0</v>
      </c>
      <c r="AI26" s="147">
        <v>0</v>
      </c>
      <c r="AJ26" s="147">
        <v>0</v>
      </c>
      <c r="AK26" s="147">
        <v>0</v>
      </c>
      <c r="AL26" s="147">
        <v>0</v>
      </c>
      <c r="AM26" s="147">
        <v>0</v>
      </c>
      <c r="AN26" s="147">
        <v>0</v>
      </c>
      <c r="AO26" s="240">
        <v>0</v>
      </c>
      <c r="AP26" s="147">
        <f t="shared" si="4"/>
        <v>338818.00355043897</v>
      </c>
    </row>
    <row r="27" spans="2:42">
      <c r="B27" s="147" t="str">
        <v>Pórticos 1 e 2 (BR-356)</v>
      </c>
      <c r="C27" s="149" t="str">
        <v>2</v>
      </c>
      <c r="D27" s="149" t="str">
        <v>2.11</v>
      </c>
      <c r="E27" s="149">
        <v>1</v>
      </c>
      <c r="F27" s="149">
        <v>0</v>
      </c>
      <c r="G27" s="147" t="str">
        <v>Mobilização e desmobilização (%)</v>
      </c>
      <c r="H27" s="147" t="b">
        <v>0</v>
      </c>
      <c r="I27" s="147" t="b">
        <f t="shared" si="1"/>
        <v>0</v>
      </c>
      <c r="J27" s="147" t="b">
        <f t="shared" si="2"/>
        <v>0</v>
      </c>
      <c r="K27" s="147" t="b">
        <f t="shared" si="3"/>
        <v>1</v>
      </c>
      <c r="L27" s="147">
        <v>0</v>
      </c>
      <c r="M27" s="147">
        <v>2187.6569244694579</v>
      </c>
      <c r="N27" s="147">
        <v>1448.1458411111121</v>
      </c>
      <c r="O27" s="147">
        <v>1596.7961718311849</v>
      </c>
      <c r="P27" s="147">
        <v>1106.5766128867808</v>
      </c>
      <c r="Q27" s="147">
        <v>0</v>
      </c>
      <c r="R27" s="147">
        <v>0</v>
      </c>
      <c r="S27" s="147">
        <v>0</v>
      </c>
      <c r="T27" s="147">
        <v>0</v>
      </c>
      <c r="U27" s="147">
        <v>0</v>
      </c>
      <c r="V27" s="147">
        <v>0</v>
      </c>
      <c r="W27" s="147">
        <v>0</v>
      </c>
      <c r="X27" s="147">
        <v>0</v>
      </c>
      <c r="Y27" s="147">
        <v>0</v>
      </c>
      <c r="Z27" s="147">
        <v>0</v>
      </c>
      <c r="AA27" s="147">
        <v>0</v>
      </c>
      <c r="AB27" s="147">
        <v>0</v>
      </c>
      <c r="AC27" s="147">
        <v>0</v>
      </c>
      <c r="AD27" s="147">
        <v>0</v>
      </c>
      <c r="AE27" s="147">
        <v>0</v>
      </c>
      <c r="AF27" s="147">
        <v>0</v>
      </c>
      <c r="AG27" s="147">
        <v>0</v>
      </c>
      <c r="AH27" s="147">
        <v>0</v>
      </c>
      <c r="AI27" s="147">
        <v>0</v>
      </c>
      <c r="AJ27" s="147">
        <v>0</v>
      </c>
      <c r="AK27" s="147">
        <v>0</v>
      </c>
      <c r="AL27" s="147">
        <v>0</v>
      </c>
      <c r="AM27" s="147">
        <v>0</v>
      </c>
      <c r="AN27" s="147">
        <v>0</v>
      </c>
      <c r="AO27" s="240">
        <v>0</v>
      </c>
      <c r="AP27" s="147">
        <f t="shared" si="4"/>
        <v>6339.1755502985352</v>
      </c>
    </row>
    <row r="28" spans="2:42">
      <c r="B28" s="147" t="str">
        <v>Pórticos 1 e 2 (BR-356)</v>
      </c>
      <c r="C28" s="149" t="str">
        <v>2</v>
      </c>
      <c r="D28" s="149" t="str">
        <v>2.12</v>
      </c>
      <c r="E28" s="149">
        <v>1</v>
      </c>
      <c r="F28" s="149">
        <v>0</v>
      </c>
      <c r="G28" s="147" t="str">
        <v>Projetos (%)</v>
      </c>
      <c r="H28" s="147" t="b">
        <v>0</v>
      </c>
      <c r="I28" s="147" t="b">
        <f t="shared" si="1"/>
        <v>0</v>
      </c>
      <c r="J28" s="147" t="b">
        <f t="shared" si="2"/>
        <v>0</v>
      </c>
      <c r="K28" s="147" t="b">
        <f t="shared" si="3"/>
        <v>1</v>
      </c>
      <c r="L28" s="147">
        <v>0</v>
      </c>
      <c r="M28" s="147">
        <v>942955.57089200767</v>
      </c>
      <c r="N28" s="147">
        <v>624200.79358237586</v>
      </c>
      <c r="O28" s="147">
        <v>688274.21199620049</v>
      </c>
      <c r="P28" s="147">
        <v>476972.67796844</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c r="AH28" s="147">
        <v>0</v>
      </c>
      <c r="AI28" s="147">
        <v>0</v>
      </c>
      <c r="AJ28" s="147">
        <v>0</v>
      </c>
      <c r="AK28" s="147">
        <v>0</v>
      </c>
      <c r="AL28" s="147">
        <v>0</v>
      </c>
      <c r="AM28" s="147">
        <v>0</v>
      </c>
      <c r="AN28" s="147">
        <v>0</v>
      </c>
      <c r="AO28" s="240">
        <v>0</v>
      </c>
      <c r="AP28" s="147">
        <f t="shared" si="4"/>
        <v>2732403.2544390243</v>
      </c>
    </row>
    <row r="29" spans="2:42">
      <c r="B29" s="147" t="str">
        <v>Pórticos 1 e 2 (BR-356)</v>
      </c>
      <c r="C29" s="149" t="str">
        <v>4</v>
      </c>
      <c r="D29" s="149">
        <v>4</v>
      </c>
      <c r="E29" s="149">
        <v>0</v>
      </c>
      <c r="F29" s="149">
        <v>0</v>
      </c>
      <c r="G29" s="147" t="str">
        <v>Obras de ampliação da capacidade e outras melhorias</v>
      </c>
      <c r="H29" s="147" t="b">
        <v>0</v>
      </c>
      <c r="I29" s="147" t="b">
        <f t="shared" si="1"/>
        <v>0</v>
      </c>
      <c r="J29" s="147" t="b">
        <f t="shared" si="2"/>
        <v>0</v>
      </c>
      <c r="K29" s="147" t="b">
        <f t="shared" si="3"/>
        <v>1</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c r="AH29" s="147">
        <v>0</v>
      </c>
      <c r="AI29" s="147">
        <v>0</v>
      </c>
      <c r="AJ29" s="147">
        <v>0</v>
      </c>
      <c r="AK29" s="147">
        <v>0</v>
      </c>
      <c r="AL29" s="147">
        <v>0</v>
      </c>
      <c r="AM29" s="147">
        <v>0</v>
      </c>
      <c r="AN29" s="147">
        <v>0</v>
      </c>
      <c r="AO29" s="240">
        <v>0</v>
      </c>
      <c r="AP29" s="147">
        <f t="shared" si="4"/>
        <v>0</v>
      </c>
    </row>
    <row r="30" spans="2:42">
      <c r="B30" s="147" t="str">
        <v>Pórticos 1 e 2 (BR-356)</v>
      </c>
      <c r="C30" s="149" t="str">
        <v>4</v>
      </c>
      <c r="D30" s="149" t="str">
        <v>4.1</v>
      </c>
      <c r="E30" s="149">
        <v>1</v>
      </c>
      <c r="F30" s="149">
        <v>0</v>
      </c>
      <c r="G30" s="147" t="str">
        <v xml:space="preserve">Duplicação </v>
      </c>
      <c r="H30" s="147" t="b">
        <v>0</v>
      </c>
      <c r="I30" s="147" t="b">
        <f t="shared" si="1"/>
        <v>0</v>
      </c>
      <c r="J30" s="147" t="b">
        <f t="shared" si="2"/>
        <v>0</v>
      </c>
      <c r="K30" s="147" t="b">
        <f t="shared" si="3"/>
        <v>1</v>
      </c>
      <c r="L30" s="147">
        <v>0</v>
      </c>
      <c r="M30" s="147">
        <v>0</v>
      </c>
      <c r="N30" s="147">
        <v>104625220.26476949</v>
      </c>
      <c r="O30" s="147">
        <v>133306364.14870951</v>
      </c>
      <c r="P30" s="147">
        <v>124124319.03541543</v>
      </c>
      <c r="Q30" s="147">
        <v>145931203.3859255</v>
      </c>
      <c r="R30" s="147">
        <v>0</v>
      </c>
      <c r="S30" s="147">
        <v>0</v>
      </c>
      <c r="T30" s="147">
        <v>0</v>
      </c>
      <c r="U30" s="147">
        <v>0</v>
      </c>
      <c r="V30" s="147">
        <v>0</v>
      </c>
      <c r="W30" s="147">
        <v>0</v>
      </c>
      <c r="X30" s="147">
        <v>0</v>
      </c>
      <c r="Y30" s="147">
        <v>0</v>
      </c>
      <c r="Z30" s="147">
        <v>0</v>
      </c>
      <c r="AA30" s="147">
        <v>0</v>
      </c>
      <c r="AB30" s="147">
        <v>0</v>
      </c>
      <c r="AC30" s="147">
        <v>0</v>
      </c>
      <c r="AD30" s="147">
        <v>0</v>
      </c>
      <c r="AE30" s="147">
        <v>0</v>
      </c>
      <c r="AF30" s="147">
        <v>0</v>
      </c>
      <c r="AG30" s="147">
        <v>0</v>
      </c>
      <c r="AH30" s="147">
        <v>0</v>
      </c>
      <c r="AI30" s="147">
        <v>0</v>
      </c>
      <c r="AJ30" s="147">
        <v>0</v>
      </c>
      <c r="AK30" s="147">
        <v>0</v>
      </c>
      <c r="AL30" s="147">
        <v>0</v>
      </c>
      <c r="AM30" s="147">
        <v>0</v>
      </c>
      <c r="AN30" s="147">
        <v>0</v>
      </c>
      <c r="AO30" s="240">
        <v>0</v>
      </c>
      <c r="AP30" s="147">
        <f t="shared" si="4"/>
        <v>507987106.83481991</v>
      </c>
    </row>
    <row r="31" spans="2:42">
      <c r="B31" s="147" t="str">
        <v>Pórticos 1 e 2 (BR-356)</v>
      </c>
      <c r="C31" s="149" t="str">
        <v>4</v>
      </c>
      <c r="D31" s="149" t="str">
        <v>4.2</v>
      </c>
      <c r="E31" s="149">
        <v>1</v>
      </c>
      <c r="F31" s="149">
        <v>0</v>
      </c>
      <c r="G31" s="147" t="str">
        <v xml:space="preserve">Vias marginais </v>
      </c>
      <c r="H31" s="147" t="b">
        <v>0</v>
      </c>
      <c r="I31" s="147" t="b">
        <f t="shared" si="1"/>
        <v>0</v>
      </c>
      <c r="J31" s="147" t="b">
        <f t="shared" si="2"/>
        <v>0</v>
      </c>
      <c r="K31" s="147" t="b">
        <f t="shared" si="3"/>
        <v>1</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0</v>
      </c>
      <c r="AC31" s="147">
        <v>0</v>
      </c>
      <c r="AD31" s="147">
        <v>0</v>
      </c>
      <c r="AE31" s="147">
        <v>0</v>
      </c>
      <c r="AF31" s="147">
        <v>0</v>
      </c>
      <c r="AG31" s="147">
        <v>0</v>
      </c>
      <c r="AH31" s="147">
        <v>0</v>
      </c>
      <c r="AI31" s="147">
        <v>0</v>
      </c>
      <c r="AJ31" s="147">
        <v>0</v>
      </c>
      <c r="AK31" s="147">
        <v>0</v>
      </c>
      <c r="AL31" s="147">
        <v>0</v>
      </c>
      <c r="AM31" s="147">
        <v>0</v>
      </c>
      <c r="AN31" s="147">
        <v>0</v>
      </c>
      <c r="AO31" s="240">
        <v>0</v>
      </c>
      <c r="AP31" s="147">
        <f t="shared" si="4"/>
        <v>0</v>
      </c>
    </row>
    <row r="32" spans="2:42">
      <c r="B32" s="147" t="str">
        <v>Pórticos 1 e 2 (BR-356)</v>
      </c>
      <c r="C32" s="149" t="str">
        <v>4</v>
      </c>
      <c r="D32" s="149" t="str">
        <v>4.3</v>
      </c>
      <c r="E32" s="149">
        <v>1</v>
      </c>
      <c r="F32" s="149">
        <v>0</v>
      </c>
      <c r="G32" s="147" t="str">
        <v xml:space="preserve">Contornos urbanos e travessias urbanas </v>
      </c>
      <c r="H32" s="147" t="b">
        <v>0</v>
      </c>
      <c r="I32" s="147" t="b">
        <f t="shared" si="1"/>
        <v>0</v>
      </c>
      <c r="J32" s="147" t="b">
        <f t="shared" si="2"/>
        <v>0</v>
      </c>
      <c r="K32" s="147" t="b">
        <f t="shared" si="3"/>
        <v>1</v>
      </c>
      <c r="L32" s="147">
        <v>0</v>
      </c>
      <c r="M32" s="147">
        <v>0</v>
      </c>
      <c r="N32" s="147">
        <v>2814605.141855719</v>
      </c>
      <c r="O32" s="147">
        <v>185901164.35170436</v>
      </c>
      <c r="P32" s="147">
        <v>36465511.409004495</v>
      </c>
      <c r="Q32" s="147">
        <v>148241857.24632871</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c r="AH32" s="147">
        <v>0</v>
      </c>
      <c r="AI32" s="147">
        <v>0</v>
      </c>
      <c r="AJ32" s="147">
        <v>0</v>
      </c>
      <c r="AK32" s="147">
        <v>0</v>
      </c>
      <c r="AL32" s="147">
        <v>0</v>
      </c>
      <c r="AM32" s="147">
        <v>0</v>
      </c>
      <c r="AN32" s="147">
        <v>0</v>
      </c>
      <c r="AO32" s="240">
        <v>0</v>
      </c>
      <c r="AP32" s="147">
        <f t="shared" si="4"/>
        <v>373423138.1488933</v>
      </c>
    </row>
    <row r="33" spans="2:42">
      <c r="B33" s="147" t="str">
        <v>Pórticos 1 e 2 (BR-356)</v>
      </c>
      <c r="C33" s="149" t="str">
        <v>4</v>
      </c>
      <c r="D33" s="149" t="str">
        <v>4.4</v>
      </c>
      <c r="E33" s="149">
        <v>1</v>
      </c>
      <c r="F33" s="149">
        <v>0</v>
      </c>
      <c r="G33" s="147" t="str">
        <v xml:space="preserve">Faixas adicionais </v>
      </c>
      <c r="H33" s="147" t="b">
        <v>0</v>
      </c>
      <c r="I33" s="147" t="b">
        <f t="shared" si="1"/>
        <v>0</v>
      </c>
      <c r="J33" s="147" t="b">
        <f t="shared" si="2"/>
        <v>0</v>
      </c>
      <c r="K33" s="147" t="b">
        <f t="shared" si="3"/>
        <v>1</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c r="AH33" s="147">
        <v>0</v>
      </c>
      <c r="AI33" s="147">
        <v>0</v>
      </c>
      <c r="AJ33" s="147">
        <v>0</v>
      </c>
      <c r="AK33" s="147">
        <v>0</v>
      </c>
      <c r="AL33" s="147">
        <v>0</v>
      </c>
      <c r="AM33" s="147">
        <v>0</v>
      </c>
      <c r="AN33" s="147">
        <v>0</v>
      </c>
      <c r="AO33" s="240">
        <v>0</v>
      </c>
      <c r="AP33" s="147">
        <f t="shared" si="4"/>
        <v>0</v>
      </c>
    </row>
    <row r="34" spans="2:42">
      <c r="B34" s="147" t="str">
        <v>Pórticos 1 e 2 (BR-356)</v>
      </c>
      <c r="C34" s="149" t="str">
        <v>4</v>
      </c>
      <c r="D34" s="149" t="str">
        <v>4.5</v>
      </c>
      <c r="E34" s="149">
        <v>1</v>
      </c>
      <c r="F34" s="149">
        <v>0</v>
      </c>
      <c r="G34" s="147" t="str">
        <v xml:space="preserve">Acostamentos e adequação de plataforma </v>
      </c>
      <c r="H34" s="147" t="b">
        <v>0</v>
      </c>
      <c r="I34" s="147" t="b">
        <f t="shared" si="1"/>
        <v>0</v>
      </c>
      <c r="J34" s="147" t="b">
        <f t="shared" si="2"/>
        <v>0</v>
      </c>
      <c r="K34" s="147" t="b">
        <f t="shared" si="3"/>
        <v>1</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c r="AH34" s="147">
        <v>0</v>
      </c>
      <c r="AI34" s="147">
        <v>0</v>
      </c>
      <c r="AJ34" s="147">
        <v>0</v>
      </c>
      <c r="AK34" s="147">
        <v>0</v>
      </c>
      <c r="AL34" s="147">
        <v>0</v>
      </c>
      <c r="AM34" s="147">
        <v>0</v>
      </c>
      <c r="AN34" s="147">
        <v>0</v>
      </c>
      <c r="AO34" s="240">
        <v>0</v>
      </c>
      <c r="AP34" s="147">
        <f t="shared" si="4"/>
        <v>0</v>
      </c>
    </row>
    <row r="35" spans="2:42">
      <c r="B35" s="147" t="str">
        <v>Pórticos 1 e 2 (BR-356)</v>
      </c>
      <c r="C35" s="149" t="str">
        <v>4</v>
      </c>
      <c r="D35" s="149" t="str">
        <v>4.6</v>
      </c>
      <c r="E35" s="149">
        <v>1</v>
      </c>
      <c r="F35" s="149">
        <v>0</v>
      </c>
      <c r="G35" s="147" t="str">
        <v>Implantação de oae</v>
      </c>
      <c r="H35" s="147" t="b">
        <v>0</v>
      </c>
      <c r="I35" s="147" t="b">
        <f t="shared" si="1"/>
        <v>0</v>
      </c>
      <c r="J35" s="147" t="b">
        <f t="shared" si="2"/>
        <v>0</v>
      </c>
      <c r="K35" s="147" t="b">
        <f t="shared" si="3"/>
        <v>1</v>
      </c>
      <c r="L35" s="147">
        <v>0</v>
      </c>
      <c r="M35" s="147">
        <v>0</v>
      </c>
      <c r="N35" s="147">
        <v>3485726.8465801976</v>
      </c>
      <c r="O35" s="147">
        <v>22659431.408492737</v>
      </c>
      <c r="P35" s="147">
        <v>5407241.9793702764</v>
      </c>
      <c r="Q35" s="147">
        <v>6944109.5930019142</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c r="AH35" s="147">
        <v>0</v>
      </c>
      <c r="AI35" s="147">
        <v>0</v>
      </c>
      <c r="AJ35" s="147">
        <v>0</v>
      </c>
      <c r="AK35" s="147">
        <v>0</v>
      </c>
      <c r="AL35" s="147">
        <v>0</v>
      </c>
      <c r="AM35" s="147">
        <v>0</v>
      </c>
      <c r="AN35" s="147">
        <v>0</v>
      </c>
      <c r="AO35" s="240">
        <v>0</v>
      </c>
      <c r="AP35" s="147">
        <f t="shared" si="4"/>
        <v>38496509.827445127</v>
      </c>
    </row>
    <row r="36" spans="2:42">
      <c r="B36" s="147" t="str">
        <v>Pórticos 1 e 2 (BR-356)</v>
      </c>
      <c r="C36" s="149" t="str">
        <v>4</v>
      </c>
      <c r="D36" s="149" t="str">
        <v>4.7</v>
      </c>
      <c r="E36" s="149">
        <v>1</v>
      </c>
      <c r="F36" s="149">
        <v>0</v>
      </c>
      <c r="G36" s="147" t="str">
        <v xml:space="preserve">Implantação de dispositivo em nível </v>
      </c>
      <c r="H36" s="147" t="b">
        <v>0</v>
      </c>
      <c r="I36" s="147" t="b">
        <f t="shared" si="1"/>
        <v>0</v>
      </c>
      <c r="J36" s="147" t="b">
        <f t="shared" si="2"/>
        <v>0</v>
      </c>
      <c r="K36" s="147" t="b">
        <f t="shared" si="3"/>
        <v>1</v>
      </c>
      <c r="L36" s="147">
        <v>0</v>
      </c>
      <c r="M36" s="147">
        <v>0</v>
      </c>
      <c r="N36" s="147">
        <v>12762409.301967001</v>
      </c>
      <c r="O36" s="147">
        <v>31906023.25491751</v>
      </c>
      <c r="P36" s="147">
        <v>44668432.556884505</v>
      </c>
      <c r="Q36" s="147">
        <v>21545286.689209055</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c r="AH36" s="147">
        <v>0</v>
      </c>
      <c r="AI36" s="147">
        <v>0</v>
      </c>
      <c r="AJ36" s="147">
        <v>0</v>
      </c>
      <c r="AK36" s="147">
        <v>0</v>
      </c>
      <c r="AL36" s="147">
        <v>0</v>
      </c>
      <c r="AM36" s="147">
        <v>0</v>
      </c>
      <c r="AN36" s="147">
        <v>0</v>
      </c>
      <c r="AO36" s="240">
        <v>0</v>
      </c>
      <c r="AP36" s="147">
        <f t="shared" si="4"/>
        <v>110882151.80297808</v>
      </c>
    </row>
    <row r="37" spans="2:42">
      <c r="B37" s="147" t="str">
        <v>Pórticos 1 e 2 (BR-356)</v>
      </c>
      <c r="C37" s="149" t="str">
        <v>4</v>
      </c>
      <c r="D37" s="149" t="str">
        <v>4.8</v>
      </c>
      <c r="E37" s="149">
        <v>1</v>
      </c>
      <c r="F37" s="149">
        <v>0</v>
      </c>
      <c r="G37" s="147" t="str">
        <v>Adequação oae - alargamento e trem tipo</v>
      </c>
      <c r="H37" s="147" t="b">
        <v>0</v>
      </c>
      <c r="I37" s="147" t="b">
        <f t="shared" si="1"/>
        <v>0</v>
      </c>
      <c r="J37" s="147" t="b">
        <f t="shared" si="2"/>
        <v>0</v>
      </c>
      <c r="K37" s="147" t="b">
        <f t="shared" si="3"/>
        <v>1</v>
      </c>
      <c r="L37" s="147">
        <v>0</v>
      </c>
      <c r="M37" s="147">
        <v>0</v>
      </c>
      <c r="N37" s="147">
        <v>2432116.4062793897</v>
      </c>
      <c r="O37" s="147">
        <v>2941509.6758167949</v>
      </c>
      <c r="P37" s="147">
        <v>4729115.2344321497</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c r="AH37" s="147">
        <v>0</v>
      </c>
      <c r="AI37" s="147">
        <v>0</v>
      </c>
      <c r="AJ37" s="147">
        <v>0</v>
      </c>
      <c r="AK37" s="147">
        <v>0</v>
      </c>
      <c r="AL37" s="147">
        <v>0</v>
      </c>
      <c r="AM37" s="147">
        <v>0</v>
      </c>
      <c r="AN37" s="147">
        <v>0</v>
      </c>
      <c r="AO37" s="240">
        <v>0</v>
      </c>
      <c r="AP37" s="147">
        <f t="shared" si="4"/>
        <v>10102741.316528335</v>
      </c>
    </row>
    <row r="38" spans="2:42">
      <c r="B38" s="147" t="str">
        <v>Pórticos 1 e 2 (BR-356)</v>
      </c>
      <c r="C38" s="149" t="str">
        <v>4</v>
      </c>
      <c r="D38" s="149" t="str">
        <v>4.9</v>
      </c>
      <c r="E38" s="149">
        <v>1</v>
      </c>
      <c r="F38" s="149">
        <v>0</v>
      </c>
      <c r="G38" s="147" t="str">
        <v xml:space="preserve">Adequação de acessos existentes simples </v>
      </c>
      <c r="H38" s="147" t="b">
        <v>0</v>
      </c>
      <c r="I38" s="147" t="b">
        <f t="shared" si="1"/>
        <v>0</v>
      </c>
      <c r="J38" s="147" t="b">
        <f t="shared" si="2"/>
        <v>0</v>
      </c>
      <c r="K38" s="147" t="b">
        <f t="shared" si="3"/>
        <v>1</v>
      </c>
      <c r="L38" s="147">
        <v>0</v>
      </c>
      <c r="M38" s="147">
        <v>0</v>
      </c>
      <c r="N38" s="147">
        <v>381888.65440847905</v>
      </c>
      <c r="O38" s="147">
        <v>1336610.2904296764</v>
      </c>
      <c r="P38" s="147">
        <v>668305.14521483833</v>
      </c>
      <c r="Q38" s="147">
        <v>286416.49080635922</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0</v>
      </c>
      <c r="AJ38" s="147">
        <v>0</v>
      </c>
      <c r="AK38" s="147">
        <v>0</v>
      </c>
      <c r="AL38" s="147">
        <v>0</v>
      </c>
      <c r="AM38" s="147">
        <v>0</v>
      </c>
      <c r="AN38" s="147">
        <v>0</v>
      </c>
      <c r="AO38" s="240">
        <v>0</v>
      </c>
      <c r="AP38" s="147">
        <f t="shared" si="4"/>
        <v>2673220.5808593533</v>
      </c>
    </row>
    <row r="39" spans="2:42">
      <c r="B39" s="147" t="str">
        <v>Pórticos 1 e 2 (BR-356)</v>
      </c>
      <c r="C39" s="149" t="str">
        <v>4</v>
      </c>
      <c r="D39" s="149" t="str">
        <v>4.10</v>
      </c>
      <c r="E39" s="149">
        <v>1</v>
      </c>
      <c r="F39" s="149">
        <v>0</v>
      </c>
      <c r="G39" s="147" t="str">
        <v xml:space="preserve">Adequação de acessos existentes com faixa de aceleração </v>
      </c>
      <c r="H39" s="147" t="b">
        <v>0</v>
      </c>
      <c r="I39" s="147" t="b">
        <f t="shared" si="1"/>
        <v>0</v>
      </c>
      <c r="J39" s="147" t="b">
        <f t="shared" si="2"/>
        <v>0</v>
      </c>
      <c r="K39" s="147" t="b">
        <f t="shared" si="3"/>
        <v>1</v>
      </c>
      <c r="L39" s="147">
        <v>0</v>
      </c>
      <c r="M39" s="147">
        <v>0</v>
      </c>
      <c r="N39" s="147">
        <v>636638.39235865301</v>
      </c>
      <c r="O39" s="147">
        <v>0</v>
      </c>
      <c r="P39" s="147">
        <v>7003022.3159451829</v>
      </c>
      <c r="Q39" s="147">
        <v>636638.39235865301</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c r="AH39" s="147">
        <v>0</v>
      </c>
      <c r="AI39" s="147">
        <v>0</v>
      </c>
      <c r="AJ39" s="147">
        <v>0</v>
      </c>
      <c r="AK39" s="147">
        <v>0</v>
      </c>
      <c r="AL39" s="147">
        <v>0</v>
      </c>
      <c r="AM39" s="147">
        <v>0</v>
      </c>
      <c r="AN39" s="147">
        <v>0</v>
      </c>
      <c r="AO39" s="240">
        <v>0</v>
      </c>
      <c r="AP39" s="147">
        <f t="shared" si="4"/>
        <v>8276299.1006624894</v>
      </c>
    </row>
    <row r="40" spans="2:42">
      <c r="B40" s="147" t="str">
        <v>Pórticos 1 e 2 (BR-356)</v>
      </c>
      <c r="C40" s="149" t="str">
        <v>4</v>
      </c>
      <c r="D40" s="149" t="str">
        <v>4.12</v>
      </c>
      <c r="E40" s="149">
        <v>1</v>
      </c>
      <c r="F40" s="149">
        <v>0</v>
      </c>
      <c r="G40" s="147" t="str">
        <v>Correções de curvas</v>
      </c>
      <c r="H40" s="147" t="b">
        <v>0</v>
      </c>
      <c r="I40" s="147" t="b">
        <f t="shared" si="1"/>
        <v>0</v>
      </c>
      <c r="J40" s="147" t="b">
        <f t="shared" si="2"/>
        <v>0</v>
      </c>
      <c r="K40" s="147" t="b">
        <f t="shared" si="3"/>
        <v>1</v>
      </c>
      <c r="L40" s="147">
        <v>0</v>
      </c>
      <c r="M40" s="147">
        <v>0</v>
      </c>
      <c r="N40" s="147">
        <v>5325462.6098762294</v>
      </c>
      <c r="O40" s="147">
        <v>46151448.978832044</v>
      </c>
      <c r="P40" s="147">
        <v>13887689.620324221</v>
      </c>
      <c r="Q40" s="147">
        <v>29466767.63601768</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c r="AH40" s="147">
        <v>0</v>
      </c>
      <c r="AI40" s="147">
        <v>0</v>
      </c>
      <c r="AJ40" s="147">
        <v>0</v>
      </c>
      <c r="AK40" s="147">
        <v>0</v>
      </c>
      <c r="AL40" s="147">
        <v>0</v>
      </c>
      <c r="AM40" s="147">
        <v>0</v>
      </c>
      <c r="AN40" s="147">
        <v>0</v>
      </c>
      <c r="AO40" s="240">
        <v>0</v>
      </c>
      <c r="AP40" s="147">
        <f t="shared" si="4"/>
        <v>94831368.845050171</v>
      </c>
    </row>
    <row r="41" spans="2:42">
      <c r="B41" s="147" t="str">
        <v>Pórticos 1 e 2 (BR-356)</v>
      </c>
      <c r="C41" s="149" t="str">
        <v>4</v>
      </c>
      <c r="D41" s="149" t="str">
        <v>4.13</v>
      </c>
      <c r="E41" s="149">
        <v>1</v>
      </c>
      <c r="F41" s="149">
        <v>0</v>
      </c>
      <c r="G41" s="147" t="str">
        <v>Passarelas</v>
      </c>
      <c r="H41" s="147" t="b">
        <v>0</v>
      </c>
      <c r="I41" s="147" t="b">
        <f t="shared" si="1"/>
        <v>0</v>
      </c>
      <c r="J41" s="147" t="b">
        <f t="shared" si="2"/>
        <v>0</v>
      </c>
      <c r="K41" s="147" t="b">
        <f t="shared" si="3"/>
        <v>1</v>
      </c>
      <c r="L41" s="147">
        <v>0</v>
      </c>
      <c r="M41" s="147">
        <v>0</v>
      </c>
      <c r="N41" s="147">
        <v>2110954.4742950005</v>
      </c>
      <c r="O41" s="147">
        <v>6332863.4228850016</v>
      </c>
      <c r="P41" s="147">
        <v>2110954.4742950005</v>
      </c>
      <c r="Q41" s="147">
        <v>10554772.371475002</v>
      </c>
      <c r="R41" s="147">
        <v>0</v>
      </c>
      <c r="S41" s="147">
        <v>0</v>
      </c>
      <c r="T41" s="147">
        <v>0</v>
      </c>
      <c r="U41" s="147">
        <v>0</v>
      </c>
      <c r="V41" s="147">
        <v>0</v>
      </c>
      <c r="W41" s="147">
        <v>0</v>
      </c>
      <c r="X41" s="147">
        <v>0</v>
      </c>
      <c r="Y41" s="147">
        <v>0</v>
      </c>
      <c r="Z41" s="147">
        <v>0</v>
      </c>
      <c r="AA41" s="147">
        <v>0</v>
      </c>
      <c r="AB41" s="147">
        <v>0</v>
      </c>
      <c r="AC41" s="147">
        <v>0</v>
      </c>
      <c r="AD41" s="147">
        <v>0</v>
      </c>
      <c r="AE41" s="147">
        <v>0</v>
      </c>
      <c r="AF41" s="147">
        <v>0</v>
      </c>
      <c r="AG41" s="147">
        <v>0</v>
      </c>
      <c r="AH41" s="147">
        <v>0</v>
      </c>
      <c r="AI41" s="147">
        <v>0</v>
      </c>
      <c r="AJ41" s="147">
        <v>0</v>
      </c>
      <c r="AK41" s="147">
        <v>0</v>
      </c>
      <c r="AL41" s="147">
        <v>0</v>
      </c>
      <c r="AM41" s="147">
        <v>0</v>
      </c>
      <c r="AN41" s="147">
        <v>0</v>
      </c>
      <c r="AO41" s="240">
        <v>0</v>
      </c>
      <c r="AP41" s="147">
        <f t="shared" si="4"/>
        <v>21109544.742950007</v>
      </c>
    </row>
    <row r="42" spans="2:42">
      <c r="B42" s="147" t="str">
        <v>Pórticos 1 e 2 (BR-356)</v>
      </c>
      <c r="C42" s="149" t="str">
        <v>4</v>
      </c>
      <c r="D42" s="149" t="str">
        <v>4.14</v>
      </c>
      <c r="E42" s="149">
        <v>1</v>
      </c>
      <c r="F42" s="149">
        <v>0</v>
      </c>
      <c r="G42" s="147" t="str">
        <v>Área de Escape</v>
      </c>
      <c r="H42" s="147" t="b">
        <v>0</v>
      </c>
      <c r="I42" s="147" t="b">
        <f t="shared" si="1"/>
        <v>0</v>
      </c>
      <c r="J42" s="147" t="b">
        <f t="shared" si="2"/>
        <v>0</v>
      </c>
      <c r="K42" s="147" t="b">
        <f t="shared" si="3"/>
        <v>1</v>
      </c>
      <c r="L42" s="147">
        <v>0</v>
      </c>
      <c r="M42" s="147">
        <v>0</v>
      </c>
      <c r="N42" s="147">
        <v>2334710.8059999999</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c r="AH42" s="147">
        <v>0</v>
      </c>
      <c r="AI42" s="147">
        <v>0</v>
      </c>
      <c r="AJ42" s="147">
        <v>0</v>
      </c>
      <c r="AK42" s="147">
        <v>0</v>
      </c>
      <c r="AL42" s="147">
        <v>0</v>
      </c>
      <c r="AM42" s="147">
        <v>0</v>
      </c>
      <c r="AN42" s="147">
        <v>0</v>
      </c>
      <c r="AO42" s="240">
        <v>0</v>
      </c>
      <c r="AP42" s="147">
        <f t="shared" si="4"/>
        <v>2334710.8059999999</v>
      </c>
    </row>
    <row r="43" spans="2:42">
      <c r="B43" s="147" t="str">
        <v>Pórticos 1 e 2 (BR-356)</v>
      </c>
      <c r="C43" s="149" t="str">
        <v>4</v>
      </c>
      <c r="D43" s="149" t="str">
        <v>4.15</v>
      </c>
      <c r="E43" s="149">
        <v>1</v>
      </c>
      <c r="F43" s="149">
        <v>0</v>
      </c>
      <c r="G43" s="147" t="str">
        <v xml:space="preserve">Paradas de ônibus com baia </v>
      </c>
      <c r="H43" s="147" t="b">
        <v>0</v>
      </c>
      <c r="I43" s="147" t="b">
        <f t="shared" si="1"/>
        <v>0</v>
      </c>
      <c r="J43" s="147" t="b">
        <f t="shared" si="2"/>
        <v>0</v>
      </c>
      <c r="K43" s="147" t="b">
        <f t="shared" si="3"/>
        <v>1</v>
      </c>
      <c r="L43" s="147">
        <v>0</v>
      </c>
      <c r="M43" s="147">
        <v>0</v>
      </c>
      <c r="N43" s="147">
        <v>2833108.4349171324</v>
      </c>
      <c r="O43" s="147">
        <v>3237838.2113338662</v>
      </c>
      <c r="P43" s="147">
        <v>4447653.6645055162</v>
      </c>
      <c r="Q43" s="147">
        <v>6070946.6462509986</v>
      </c>
      <c r="R43" s="147">
        <v>0</v>
      </c>
      <c r="S43" s="147">
        <v>0</v>
      </c>
      <c r="T43" s="147">
        <v>0</v>
      </c>
      <c r="U43" s="147">
        <v>0</v>
      </c>
      <c r="V43" s="147">
        <v>0</v>
      </c>
      <c r="W43" s="147">
        <v>0</v>
      </c>
      <c r="X43" s="147">
        <v>0</v>
      </c>
      <c r="Y43" s="147">
        <v>0</v>
      </c>
      <c r="Z43" s="147">
        <v>0</v>
      </c>
      <c r="AA43" s="147">
        <v>0</v>
      </c>
      <c r="AB43" s="147">
        <v>0</v>
      </c>
      <c r="AC43" s="147">
        <v>0</v>
      </c>
      <c r="AD43" s="147">
        <v>0</v>
      </c>
      <c r="AE43" s="147">
        <v>0</v>
      </c>
      <c r="AF43" s="147">
        <v>0</v>
      </c>
      <c r="AG43" s="147">
        <v>0</v>
      </c>
      <c r="AH43" s="147">
        <v>0</v>
      </c>
      <c r="AI43" s="147">
        <v>0</v>
      </c>
      <c r="AJ43" s="147">
        <v>0</v>
      </c>
      <c r="AK43" s="147">
        <v>0</v>
      </c>
      <c r="AL43" s="147">
        <v>0</v>
      </c>
      <c r="AM43" s="147">
        <v>0</v>
      </c>
      <c r="AN43" s="147">
        <v>0</v>
      </c>
      <c r="AO43" s="240">
        <v>0</v>
      </c>
      <c r="AP43" s="147">
        <f t="shared" si="4"/>
        <v>16589546.957007514</v>
      </c>
    </row>
    <row r="44" spans="2:42">
      <c r="B44" s="147" t="str">
        <v>Pórticos 1 e 2 (BR-356)</v>
      </c>
      <c r="C44" s="149" t="str">
        <v>4</v>
      </c>
      <c r="D44" s="149" t="str">
        <v>4.16</v>
      </c>
      <c r="E44" s="149">
        <v>0</v>
      </c>
      <c r="F44" s="149">
        <v>0</v>
      </c>
      <c r="G44" s="147" t="str">
        <v>Desapropriações</v>
      </c>
      <c r="H44" s="147" t="b">
        <v>1</v>
      </c>
      <c r="I44" s="147" t="b">
        <f t="shared" si="1"/>
        <v>0</v>
      </c>
      <c r="J44" s="147" t="b">
        <f t="shared" si="2"/>
        <v>0</v>
      </c>
      <c r="K44" s="147" t="b">
        <f t="shared" si="3"/>
        <v>0</v>
      </c>
      <c r="L44" s="147">
        <v>0</v>
      </c>
      <c r="M44" s="147">
        <v>245995.98546907841</v>
      </c>
      <c r="N44" s="147">
        <v>26461665.400405653</v>
      </c>
      <c r="O44" s="147">
        <v>3072567.3605121733</v>
      </c>
      <c r="P44" s="147">
        <v>79320462.322629422</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c r="AH44" s="147">
        <v>0</v>
      </c>
      <c r="AI44" s="147">
        <v>0</v>
      </c>
      <c r="AJ44" s="147">
        <v>0</v>
      </c>
      <c r="AK44" s="147">
        <v>0</v>
      </c>
      <c r="AL44" s="147">
        <v>0</v>
      </c>
      <c r="AM44" s="147">
        <v>0</v>
      </c>
      <c r="AN44" s="147">
        <v>0</v>
      </c>
      <c r="AO44" s="240">
        <v>0</v>
      </c>
      <c r="AP44" s="147">
        <f t="shared" si="4"/>
        <v>109100691.06901632</v>
      </c>
    </row>
    <row r="45" spans="2:42">
      <c r="B45" s="147" t="str">
        <v>Pórticos 1 e 2 (BR-356)</v>
      </c>
      <c r="C45" s="149" t="str">
        <v>4</v>
      </c>
      <c r="D45" s="149" t="str">
        <v>4.17</v>
      </c>
      <c r="E45" s="149">
        <v>1</v>
      </c>
      <c r="F45" s="149">
        <v>0</v>
      </c>
      <c r="G45" s="147" t="str">
        <v>Administração local (%)</v>
      </c>
      <c r="H45" s="147" t="b">
        <v>0</v>
      </c>
      <c r="I45" s="147" t="b">
        <f t="shared" si="1"/>
        <v>0</v>
      </c>
      <c r="J45" s="147" t="b">
        <f t="shared" si="2"/>
        <v>0</v>
      </c>
      <c r="K45" s="147" t="b">
        <f t="shared" si="3"/>
        <v>1</v>
      </c>
      <c r="L45" s="147">
        <v>0</v>
      </c>
      <c r="M45" s="147">
        <v>2915.3107235933217</v>
      </c>
      <c r="N45" s="147">
        <v>2032435.4681431567</v>
      </c>
      <c r="O45" s="147">
        <v>5371824.1704581939</v>
      </c>
      <c r="P45" s="147">
        <v>3935231.3838639148</v>
      </c>
      <c r="Q45" s="147">
        <v>4547039.3809518991</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c r="AH45" s="147">
        <v>0</v>
      </c>
      <c r="AI45" s="147">
        <v>0</v>
      </c>
      <c r="AJ45" s="147">
        <v>0</v>
      </c>
      <c r="AK45" s="147">
        <v>0</v>
      </c>
      <c r="AL45" s="147">
        <v>0</v>
      </c>
      <c r="AM45" s="147">
        <v>0</v>
      </c>
      <c r="AN45" s="147">
        <v>0</v>
      </c>
      <c r="AO45" s="240">
        <v>0</v>
      </c>
      <c r="AP45" s="147">
        <f t="shared" si="4"/>
        <v>15889445.714140758</v>
      </c>
    </row>
    <row r="46" spans="2:42">
      <c r="B46" s="147" t="str">
        <v>Pórticos 1 e 2 (BR-356)</v>
      </c>
      <c r="C46" s="149" t="str">
        <v>4</v>
      </c>
      <c r="D46" s="149" t="str">
        <v>4.18</v>
      </c>
      <c r="E46" s="149">
        <v>1</v>
      </c>
      <c r="F46" s="149">
        <v>0</v>
      </c>
      <c r="G46" s="147" t="str">
        <v>Canteiro de obras (%)</v>
      </c>
      <c r="H46" s="147" t="b">
        <v>0</v>
      </c>
      <c r="I46" s="147" t="b">
        <f t="shared" si="1"/>
        <v>0</v>
      </c>
      <c r="J46" s="147" t="b">
        <f t="shared" si="2"/>
        <v>0</v>
      </c>
      <c r="K46" s="147" t="b">
        <f t="shared" si="3"/>
        <v>1</v>
      </c>
      <c r="L46" s="147">
        <v>0</v>
      </c>
      <c r="M46" s="147">
        <v>734.75310919831679</v>
      </c>
      <c r="N46" s="147">
        <v>512239.83343445405</v>
      </c>
      <c r="O46" s="147">
        <v>1353874.3844244226</v>
      </c>
      <c r="P46" s="147">
        <v>991806.28373805969</v>
      </c>
      <c r="Q46" s="147">
        <v>1146001.795199259</v>
      </c>
      <c r="R46" s="147">
        <v>0</v>
      </c>
      <c r="S46" s="147">
        <v>0</v>
      </c>
      <c r="T46" s="147">
        <v>0</v>
      </c>
      <c r="U46" s="147">
        <v>0</v>
      </c>
      <c r="V46" s="147">
        <v>0</v>
      </c>
      <c r="W46" s="147">
        <v>0</v>
      </c>
      <c r="X46" s="147">
        <v>0</v>
      </c>
      <c r="Y46" s="147">
        <v>0</v>
      </c>
      <c r="Z46" s="147">
        <v>0</v>
      </c>
      <c r="AA46" s="147">
        <v>0</v>
      </c>
      <c r="AB46" s="147">
        <v>0</v>
      </c>
      <c r="AC46" s="147">
        <v>0</v>
      </c>
      <c r="AD46" s="147">
        <v>0</v>
      </c>
      <c r="AE46" s="147">
        <v>0</v>
      </c>
      <c r="AF46" s="147">
        <v>0</v>
      </c>
      <c r="AG46" s="147">
        <v>0</v>
      </c>
      <c r="AH46" s="147">
        <v>0</v>
      </c>
      <c r="AI46" s="147">
        <v>0</v>
      </c>
      <c r="AJ46" s="147">
        <v>0</v>
      </c>
      <c r="AK46" s="147">
        <v>0</v>
      </c>
      <c r="AL46" s="147">
        <v>0</v>
      </c>
      <c r="AM46" s="147">
        <v>0</v>
      </c>
      <c r="AN46" s="147">
        <v>0</v>
      </c>
      <c r="AO46" s="240">
        <v>0</v>
      </c>
      <c r="AP46" s="147">
        <f t="shared" si="4"/>
        <v>4004657.0499053942</v>
      </c>
    </row>
    <row r="47" spans="2:42">
      <c r="B47" s="147" t="str">
        <v>Pórticos 1 e 2 (BR-356)</v>
      </c>
      <c r="C47" s="149" t="str">
        <v>4</v>
      </c>
      <c r="D47" s="149" t="str">
        <v>4.19</v>
      </c>
      <c r="E47" s="149">
        <v>1</v>
      </c>
      <c r="F47" s="149">
        <v>0</v>
      </c>
      <c r="G47" s="147" t="str">
        <v>Mobilização e desmobilização (%)</v>
      </c>
      <c r="H47" s="147" t="b">
        <v>0</v>
      </c>
      <c r="I47" s="147" t="b">
        <f t="shared" si="1"/>
        <v>0</v>
      </c>
      <c r="J47" s="147" t="b">
        <f t="shared" si="2"/>
        <v>0</v>
      </c>
      <c r="K47" s="147" t="b">
        <f t="shared" si="3"/>
        <v>1</v>
      </c>
      <c r="L47" s="147">
        <v>0</v>
      </c>
      <c r="M47" s="147">
        <v>13.74699365596851</v>
      </c>
      <c r="N47" s="147">
        <v>9583.8420449026908</v>
      </c>
      <c r="O47" s="147">
        <v>25330.552998908555</v>
      </c>
      <c r="P47" s="147">
        <v>18556.375631228217</v>
      </c>
      <c r="Q47" s="147">
        <v>21441.323910179686</v>
      </c>
      <c r="R47" s="147">
        <v>0</v>
      </c>
      <c r="S47" s="147">
        <v>0</v>
      </c>
      <c r="T47" s="147">
        <v>0</v>
      </c>
      <c r="U47" s="147">
        <v>0</v>
      </c>
      <c r="V47" s="147">
        <v>0</v>
      </c>
      <c r="W47" s="147">
        <v>0</v>
      </c>
      <c r="X47" s="147">
        <v>0</v>
      </c>
      <c r="Y47" s="147">
        <v>0</v>
      </c>
      <c r="Z47" s="147">
        <v>0</v>
      </c>
      <c r="AA47" s="147">
        <v>0</v>
      </c>
      <c r="AB47" s="147">
        <v>0</v>
      </c>
      <c r="AC47" s="147">
        <v>0</v>
      </c>
      <c r="AD47" s="147">
        <v>0</v>
      </c>
      <c r="AE47" s="147">
        <v>0</v>
      </c>
      <c r="AF47" s="147">
        <v>0</v>
      </c>
      <c r="AG47" s="147">
        <v>0</v>
      </c>
      <c r="AH47" s="147">
        <v>0</v>
      </c>
      <c r="AI47" s="147">
        <v>0</v>
      </c>
      <c r="AJ47" s="147">
        <v>0</v>
      </c>
      <c r="AK47" s="147">
        <v>0</v>
      </c>
      <c r="AL47" s="147">
        <v>0</v>
      </c>
      <c r="AM47" s="147">
        <v>0</v>
      </c>
      <c r="AN47" s="147">
        <v>0</v>
      </c>
      <c r="AO47" s="240">
        <v>0</v>
      </c>
      <c r="AP47" s="147">
        <f t="shared" si="4"/>
        <v>74925.841578875115</v>
      </c>
    </row>
    <row r="48" spans="2:42">
      <c r="B48" s="147" t="str">
        <v>Pórticos 1 e 2 (BR-356)</v>
      </c>
      <c r="C48" s="149" t="str">
        <v>4</v>
      </c>
      <c r="D48" s="149" t="str">
        <v>4.20</v>
      </c>
      <c r="E48" s="149">
        <v>1</v>
      </c>
      <c r="F48" s="149">
        <v>0</v>
      </c>
      <c r="G48" s="147" t="str">
        <v>Projetos (%)</v>
      </c>
      <c r="H48" s="147" t="b">
        <v>0</v>
      </c>
      <c r="I48" s="147" t="b">
        <f t="shared" si="1"/>
        <v>0</v>
      </c>
      <c r="J48" s="147" t="b">
        <f t="shared" si="2"/>
        <v>0</v>
      </c>
      <c r="K48" s="147" t="b">
        <f t="shared" si="3"/>
        <v>1</v>
      </c>
      <c r="L48" s="147">
        <v>0</v>
      </c>
      <c r="M48" s="147">
        <v>5925.4282999864272</v>
      </c>
      <c r="N48" s="147">
        <v>4130966.3986649527</v>
      </c>
      <c r="O48" s="147">
        <v>10918341.809874378</v>
      </c>
      <c r="P48" s="147">
        <v>7998437.7720811265</v>
      </c>
      <c r="Q48" s="147">
        <v>9241949.9612843487</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c r="AH48" s="147">
        <v>0</v>
      </c>
      <c r="AI48" s="147">
        <v>0</v>
      </c>
      <c r="AJ48" s="147">
        <v>0</v>
      </c>
      <c r="AK48" s="147">
        <v>0</v>
      </c>
      <c r="AL48" s="147">
        <v>0</v>
      </c>
      <c r="AM48" s="147">
        <v>0</v>
      </c>
      <c r="AN48" s="147">
        <v>0</v>
      </c>
      <c r="AO48" s="240">
        <v>0</v>
      </c>
      <c r="AP48" s="147">
        <f t="shared" si="4"/>
        <v>32295621.370204791</v>
      </c>
    </row>
    <row r="49" spans="2:42">
      <c r="B49" s="147" t="str">
        <v>Pórticos 1 e 2 (BR-356)</v>
      </c>
      <c r="C49" s="149" t="str">
        <v>3</v>
      </c>
      <c r="D49" s="149">
        <v>3</v>
      </c>
      <c r="E49" s="149">
        <v>0</v>
      </c>
      <c r="F49" s="149">
        <v>0</v>
      </c>
      <c r="G49" s="147" t="str">
        <v>Manutenção do sistema rodoviário</v>
      </c>
      <c r="H49" s="147" t="b">
        <v>0</v>
      </c>
      <c r="I49" s="147" t="b">
        <f t="shared" si="1"/>
        <v>0</v>
      </c>
      <c r="J49" s="147" t="b">
        <f t="shared" si="2"/>
        <v>0</v>
      </c>
      <c r="K49" s="147" t="b">
        <f t="shared" si="3"/>
        <v>1</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c r="AH49" s="147">
        <v>0</v>
      </c>
      <c r="AI49" s="147">
        <v>0</v>
      </c>
      <c r="AJ49" s="147">
        <v>0</v>
      </c>
      <c r="AK49" s="147">
        <v>0</v>
      </c>
      <c r="AL49" s="147">
        <v>0</v>
      </c>
      <c r="AM49" s="147">
        <v>0</v>
      </c>
      <c r="AN49" s="147">
        <v>0</v>
      </c>
      <c r="AO49" s="240">
        <v>0</v>
      </c>
      <c r="AP49" s="147">
        <f t="shared" si="4"/>
        <v>0</v>
      </c>
    </row>
    <row r="50" spans="2:42">
      <c r="B50" s="147" t="str">
        <v>Pórticos 1 e 2 (BR-356)</v>
      </c>
      <c r="C50" s="149" t="str">
        <v>3</v>
      </c>
      <c r="D50" s="149" t="str">
        <v>3.1</v>
      </c>
      <c r="E50" s="149">
        <v>1</v>
      </c>
      <c r="F50" s="149">
        <v>0</v>
      </c>
      <c r="G50" s="147" t="str">
        <v>Pavimento</v>
      </c>
      <c r="H50" s="147" t="b">
        <v>0</v>
      </c>
      <c r="I50" s="147" t="b">
        <f t="shared" si="1"/>
        <v>0</v>
      </c>
      <c r="J50" s="147" t="b">
        <f t="shared" si="2"/>
        <v>0</v>
      </c>
      <c r="K50" s="147" t="b">
        <f t="shared" si="3"/>
        <v>1</v>
      </c>
      <c r="L50" s="147">
        <v>0</v>
      </c>
      <c r="M50" s="147">
        <v>0</v>
      </c>
      <c r="N50" s="147">
        <v>0</v>
      </c>
      <c r="O50" s="147">
        <v>0</v>
      </c>
      <c r="P50" s="147">
        <v>0</v>
      </c>
      <c r="Q50" s="147">
        <v>0</v>
      </c>
      <c r="R50" s="147">
        <v>0</v>
      </c>
      <c r="S50" s="147">
        <v>14189970.939246915</v>
      </c>
      <c r="T50" s="147">
        <v>5564508.738691383</v>
      </c>
      <c r="U50" s="147">
        <v>21950069.746345323</v>
      </c>
      <c r="V50" s="147">
        <v>15907233.652120432</v>
      </c>
      <c r="W50" s="147">
        <v>7615952.1552998731</v>
      </c>
      <c r="X50" s="147">
        <v>0</v>
      </c>
      <c r="Y50" s="147">
        <v>0</v>
      </c>
      <c r="Z50" s="147">
        <v>0</v>
      </c>
      <c r="AA50" s="147">
        <v>43283682.778383784</v>
      </c>
      <c r="AB50" s="147">
        <v>42615554.373466201</v>
      </c>
      <c r="AC50" s="147">
        <v>35012344.742803186</v>
      </c>
      <c r="AD50" s="147">
        <v>23198672.676878441</v>
      </c>
      <c r="AE50" s="147">
        <v>0</v>
      </c>
      <c r="AF50" s="147">
        <v>0</v>
      </c>
      <c r="AG50" s="147">
        <v>0</v>
      </c>
      <c r="AH50" s="147">
        <v>18464199.393959198</v>
      </c>
      <c r="AI50" s="147">
        <v>20660586.272340089</v>
      </c>
      <c r="AJ50" s="147">
        <v>13726715.95032784</v>
      </c>
      <c r="AK50" s="147">
        <v>12376233.615076795</v>
      </c>
      <c r="AL50" s="147">
        <v>0</v>
      </c>
      <c r="AM50" s="147">
        <v>0</v>
      </c>
      <c r="AN50" s="147">
        <v>17151564.92545484</v>
      </c>
      <c r="AO50" s="240">
        <v>14912089.134003811</v>
      </c>
      <c r="AP50" s="147">
        <f t="shared" si="4"/>
        <v>306629379.09439814</v>
      </c>
    </row>
    <row r="51" spans="2:42">
      <c r="B51" s="147" t="str">
        <v>Pórticos 1 e 2 (BR-356)</v>
      </c>
      <c r="C51" s="149" t="str">
        <v>3</v>
      </c>
      <c r="D51" s="149" t="str">
        <v>3.2</v>
      </c>
      <c r="E51" s="149">
        <v>1</v>
      </c>
      <c r="F51" s="149">
        <v>0</v>
      </c>
      <c r="G51" s="147" t="str">
        <v>Obras de arte especiais</v>
      </c>
      <c r="H51" s="147" t="b">
        <v>0</v>
      </c>
      <c r="I51" s="147" t="b">
        <f t="shared" si="1"/>
        <v>0</v>
      </c>
      <c r="J51" s="147" t="b">
        <f t="shared" si="2"/>
        <v>0</v>
      </c>
      <c r="K51" s="147" t="b">
        <f t="shared" si="3"/>
        <v>1</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c r="AH51" s="147">
        <v>0</v>
      </c>
      <c r="AI51" s="147">
        <v>0</v>
      </c>
      <c r="AJ51" s="147">
        <v>0</v>
      </c>
      <c r="AK51" s="147">
        <v>0</v>
      </c>
      <c r="AL51" s="147">
        <v>0</v>
      </c>
      <c r="AM51" s="147">
        <v>0</v>
      </c>
      <c r="AN51" s="147">
        <v>0</v>
      </c>
      <c r="AO51" s="240">
        <v>0</v>
      </c>
      <c r="AP51" s="147">
        <f t="shared" si="4"/>
        <v>0</v>
      </c>
    </row>
    <row r="52" spans="2:42">
      <c r="B52" s="147" t="str">
        <v>Pórticos 1 e 2 (BR-356)</v>
      </c>
      <c r="C52" s="149" t="str">
        <v>3</v>
      </c>
      <c r="D52" s="149" t="str">
        <v>3.3</v>
      </c>
      <c r="E52" s="149">
        <v>1</v>
      </c>
      <c r="F52" s="149">
        <v>0</v>
      </c>
      <c r="G52" s="147" t="str">
        <v>Drenagem e obras de arte correntes</v>
      </c>
      <c r="H52" s="147" t="b">
        <v>0</v>
      </c>
      <c r="I52" s="147" t="b">
        <f t="shared" si="1"/>
        <v>0</v>
      </c>
      <c r="J52" s="147" t="b">
        <f t="shared" si="2"/>
        <v>0</v>
      </c>
      <c r="K52" s="147" t="b">
        <f t="shared" si="3"/>
        <v>1</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c r="AH52" s="147">
        <v>0</v>
      </c>
      <c r="AI52" s="147">
        <v>0</v>
      </c>
      <c r="AJ52" s="147">
        <v>0</v>
      </c>
      <c r="AK52" s="147">
        <v>0</v>
      </c>
      <c r="AL52" s="147">
        <v>0</v>
      </c>
      <c r="AM52" s="147">
        <v>0</v>
      </c>
      <c r="AN52" s="147">
        <v>0</v>
      </c>
      <c r="AO52" s="240">
        <v>0</v>
      </c>
      <c r="AP52" s="147">
        <f t="shared" si="4"/>
        <v>0</v>
      </c>
    </row>
    <row r="53" spans="2:42">
      <c r="B53" s="147" t="str">
        <v>Pórticos 1 e 2 (BR-356)</v>
      </c>
      <c r="C53" s="149" t="str">
        <v>3</v>
      </c>
      <c r="D53" s="149" t="str">
        <v>3.4</v>
      </c>
      <c r="E53" s="149">
        <v>1</v>
      </c>
      <c r="F53" s="149">
        <v>0</v>
      </c>
      <c r="G53" s="147" t="str">
        <v xml:space="preserve">Sinalização e dispositivos de proteção e segurança </v>
      </c>
      <c r="H53" s="147" t="b">
        <v>0</v>
      </c>
      <c r="I53" s="147" t="b">
        <f t="shared" si="1"/>
        <v>0</v>
      </c>
      <c r="J53" s="147" t="b">
        <f t="shared" si="2"/>
        <v>0</v>
      </c>
      <c r="K53" s="147" t="b">
        <f t="shared" si="3"/>
        <v>1</v>
      </c>
      <c r="L53" s="147">
        <v>0</v>
      </c>
      <c r="M53" s="147">
        <v>0</v>
      </c>
      <c r="N53" s="147">
        <v>0</v>
      </c>
      <c r="O53" s="147">
        <v>0</v>
      </c>
      <c r="P53" s="147">
        <v>0</v>
      </c>
      <c r="Q53" s="147">
        <v>0</v>
      </c>
      <c r="R53" s="147">
        <v>0</v>
      </c>
      <c r="S53" s="147">
        <v>703262.32093499997</v>
      </c>
      <c r="T53" s="147">
        <v>239626.13538750005</v>
      </c>
      <c r="U53" s="147">
        <v>826396.05043000006</v>
      </c>
      <c r="V53" s="147">
        <v>709993.39215375006</v>
      </c>
      <c r="W53" s="147">
        <v>346784.78918999998</v>
      </c>
      <c r="X53" s="147">
        <v>0</v>
      </c>
      <c r="Y53" s="147">
        <v>0</v>
      </c>
      <c r="Z53" s="147">
        <v>0</v>
      </c>
      <c r="AA53" s="147">
        <v>942888.45632250002</v>
      </c>
      <c r="AB53" s="147">
        <v>695364.53070500004</v>
      </c>
      <c r="AC53" s="147">
        <v>727942.91540375003</v>
      </c>
      <c r="AD53" s="147">
        <v>459866.78566499986</v>
      </c>
      <c r="AE53" s="147">
        <v>0</v>
      </c>
      <c r="AF53" s="147">
        <v>0</v>
      </c>
      <c r="AG53" s="147">
        <v>0</v>
      </c>
      <c r="AH53" s="147">
        <v>714032.03488500009</v>
      </c>
      <c r="AI53" s="147">
        <v>924220.95214250009</v>
      </c>
      <c r="AJ53" s="147">
        <v>634605.39450375014</v>
      </c>
      <c r="AK53" s="147">
        <v>553204.30656499998</v>
      </c>
      <c r="AL53" s="147">
        <v>0</v>
      </c>
      <c r="AM53" s="147">
        <v>0</v>
      </c>
      <c r="AN53" s="147">
        <v>1476707.2777775005</v>
      </c>
      <c r="AO53" s="240">
        <v>1349355.4103187502</v>
      </c>
      <c r="AP53" s="147">
        <f t="shared" si="4"/>
        <v>11304250.752385002</v>
      </c>
    </row>
    <row r="54" spans="2:42">
      <c r="B54" s="147" t="str">
        <v>Pórticos 1 e 2 (BR-356)</v>
      </c>
      <c r="C54" s="149" t="str">
        <v>3</v>
      </c>
      <c r="D54" s="149" t="str">
        <v>3.5</v>
      </c>
      <c r="E54" s="149">
        <v>1</v>
      </c>
      <c r="F54" s="149">
        <v>0</v>
      </c>
      <c r="G54" s="147" t="str">
        <v>Administração local (%)</v>
      </c>
      <c r="H54" s="147" t="b">
        <v>0</v>
      </c>
      <c r="I54" s="147" t="b">
        <f t="shared" si="1"/>
        <v>0</v>
      </c>
      <c r="J54" s="147" t="b">
        <f t="shared" si="2"/>
        <v>0</v>
      </c>
      <c r="K54" s="147" t="b">
        <f t="shared" si="3"/>
        <v>1</v>
      </c>
      <c r="L54" s="147">
        <v>0</v>
      </c>
      <c r="M54" s="147">
        <v>0</v>
      </c>
      <c r="N54" s="147">
        <v>0</v>
      </c>
      <c r="O54" s="147">
        <v>0</v>
      </c>
      <c r="P54" s="147">
        <v>0</v>
      </c>
      <c r="Q54" s="147">
        <v>0</v>
      </c>
      <c r="R54" s="147">
        <v>0</v>
      </c>
      <c r="S54" s="147">
        <v>183186.76910023758</v>
      </c>
      <c r="T54" s="147">
        <v>71390.858951170259</v>
      </c>
      <c r="U54" s="147">
        <v>280150.52930033643</v>
      </c>
      <c r="V54" s="147">
        <v>204391.89264457245</v>
      </c>
      <c r="W54" s="147">
        <v>97941.664417225431</v>
      </c>
      <c r="X54" s="147">
        <v>0</v>
      </c>
      <c r="Y54" s="147">
        <v>0</v>
      </c>
      <c r="Z54" s="147">
        <v>0</v>
      </c>
      <c r="AA54" s="147">
        <v>543986.82618688722</v>
      </c>
      <c r="AB54" s="147">
        <v>532724.30252130574</v>
      </c>
      <c r="AC54" s="147">
        <v>439605.53819594532</v>
      </c>
      <c r="AD54" s="147">
        <v>291000.03538928431</v>
      </c>
      <c r="AE54" s="147">
        <v>0</v>
      </c>
      <c r="AF54" s="147">
        <v>0</v>
      </c>
      <c r="AG54" s="147">
        <v>0</v>
      </c>
      <c r="AH54" s="147">
        <v>235892.24657478364</v>
      </c>
      <c r="AI54" s="147">
        <v>265493.12886113586</v>
      </c>
      <c r="AJ54" s="147">
        <v>176644.25254142858</v>
      </c>
      <c r="AK54" s="147">
        <v>159032.08643619408</v>
      </c>
      <c r="AL54" s="147">
        <v>0</v>
      </c>
      <c r="AM54" s="147">
        <v>0</v>
      </c>
      <c r="AN54" s="147">
        <v>229127.74809975779</v>
      </c>
      <c r="AO54" s="240">
        <v>200015.76789516752</v>
      </c>
      <c r="AP54" s="147">
        <f t="shared" si="4"/>
        <v>3910583.6471154317</v>
      </c>
    </row>
    <row r="55" spans="2:42">
      <c r="B55" s="147" t="str">
        <v>Pórticos 1 e 2 (BR-356)</v>
      </c>
      <c r="C55" s="149" t="str">
        <v>3</v>
      </c>
      <c r="D55" s="149" t="str">
        <v>3.6</v>
      </c>
      <c r="E55" s="149">
        <v>1</v>
      </c>
      <c r="F55" s="149">
        <v>0</v>
      </c>
      <c r="G55" s="147" t="str">
        <v>Canteiro de obras (%)</v>
      </c>
      <c r="H55" s="147" t="b">
        <v>0</v>
      </c>
      <c r="I55" s="147" t="b">
        <f t="shared" si="1"/>
        <v>0</v>
      </c>
      <c r="J55" s="147" t="b">
        <f t="shared" si="2"/>
        <v>0</v>
      </c>
      <c r="K55" s="147" t="b">
        <f t="shared" si="3"/>
        <v>1</v>
      </c>
      <c r="L55" s="147">
        <v>0</v>
      </c>
      <c r="M55" s="147">
        <v>0</v>
      </c>
      <c r="N55" s="147">
        <v>0</v>
      </c>
      <c r="O55" s="147">
        <v>0</v>
      </c>
      <c r="P55" s="147">
        <v>0</v>
      </c>
      <c r="Q55" s="147">
        <v>0</v>
      </c>
      <c r="R55" s="147">
        <v>0</v>
      </c>
      <c r="S55" s="147">
        <v>46169.023106563938</v>
      </c>
      <c r="T55" s="147">
        <v>17992.818109644537</v>
      </c>
      <c r="U55" s="147">
        <v>70607.043970003491</v>
      </c>
      <c r="V55" s="147">
        <v>51513.403837249964</v>
      </c>
      <c r="W55" s="147">
        <v>24684.484527918605</v>
      </c>
      <c r="X55" s="147">
        <v>0</v>
      </c>
      <c r="Y55" s="147">
        <v>0</v>
      </c>
      <c r="Z55" s="147">
        <v>0</v>
      </c>
      <c r="AA55" s="147">
        <v>137102.37082758945</v>
      </c>
      <c r="AB55" s="147">
        <v>134263.8486029307</v>
      </c>
      <c r="AC55" s="147">
        <v>110794.8917404415</v>
      </c>
      <c r="AD55" s="147">
        <v>73341.472333884667</v>
      </c>
      <c r="AE55" s="147">
        <v>0</v>
      </c>
      <c r="AF55" s="147">
        <v>0</v>
      </c>
      <c r="AG55" s="147">
        <v>0</v>
      </c>
      <c r="AH55" s="147">
        <v>59452.517429417014</v>
      </c>
      <c r="AI55" s="147">
        <v>66912.902395896017</v>
      </c>
      <c r="AJ55" s="147">
        <v>44520.096168977929</v>
      </c>
      <c r="AK55" s="147">
        <v>40081.257557089557</v>
      </c>
      <c r="AL55" s="147">
        <v>0</v>
      </c>
      <c r="AM55" s="147">
        <v>0</v>
      </c>
      <c r="AN55" s="147">
        <v>57747.643830020257</v>
      </c>
      <c r="AO55" s="240">
        <v>50410.478087399941</v>
      </c>
      <c r="AP55" s="147">
        <f t="shared" si="4"/>
        <v>985594.25252502761</v>
      </c>
    </row>
    <row r="56" spans="2:42">
      <c r="B56" s="147" t="str">
        <v>Pórticos 1 e 2 (BR-356)</v>
      </c>
      <c r="C56" s="149" t="str">
        <v>3</v>
      </c>
      <c r="D56" s="149" t="str">
        <v>3.7</v>
      </c>
      <c r="E56" s="149">
        <v>1</v>
      </c>
      <c r="F56" s="149">
        <v>0</v>
      </c>
      <c r="G56" s="147" t="str">
        <v>Mobilização e desmobilização (%)</v>
      </c>
      <c r="H56" s="147" t="b">
        <v>0</v>
      </c>
      <c r="I56" s="147" t="b">
        <f t="shared" si="1"/>
        <v>0</v>
      </c>
      <c r="J56" s="147" t="b">
        <f t="shared" si="2"/>
        <v>0</v>
      </c>
      <c r="K56" s="147" t="b">
        <f t="shared" si="3"/>
        <v>1</v>
      </c>
      <c r="L56" s="147">
        <v>0</v>
      </c>
      <c r="M56" s="147">
        <v>0</v>
      </c>
      <c r="N56" s="147">
        <v>0</v>
      </c>
      <c r="O56" s="147">
        <v>0</v>
      </c>
      <c r="P56" s="147">
        <v>0</v>
      </c>
      <c r="Q56" s="147">
        <v>0</v>
      </c>
      <c r="R56" s="147">
        <v>0</v>
      </c>
      <c r="S56" s="147">
        <v>863.80752909055104</v>
      </c>
      <c r="T56" s="147">
        <v>336.63982269657527</v>
      </c>
      <c r="U56" s="147">
        <v>1321.0350162129685</v>
      </c>
      <c r="V56" s="147">
        <v>963.79916856790248</v>
      </c>
      <c r="W56" s="147">
        <v>461.83874278041264</v>
      </c>
      <c r="X56" s="147">
        <v>0</v>
      </c>
      <c r="Y56" s="147">
        <v>0</v>
      </c>
      <c r="Z56" s="147">
        <v>0</v>
      </c>
      <c r="AA56" s="147">
        <v>2565.1411316129643</v>
      </c>
      <c r="AB56" s="147">
        <v>2512.0332964419299</v>
      </c>
      <c r="AC56" s="147">
        <v>2072.9366841760025</v>
      </c>
      <c r="AD56" s="147">
        <v>1372.1952888275198</v>
      </c>
      <c r="AE56" s="147">
        <v>0</v>
      </c>
      <c r="AF56" s="147">
        <v>0</v>
      </c>
      <c r="AG56" s="147">
        <v>0</v>
      </c>
      <c r="AH56" s="147">
        <v>1112.3374228729635</v>
      </c>
      <c r="AI56" s="147">
        <v>1251.9188190199902</v>
      </c>
      <c r="AJ56" s="147">
        <v>832.95663800023226</v>
      </c>
      <c r="AK56" s="147">
        <v>749.90739945522409</v>
      </c>
      <c r="AL56" s="147">
        <v>0</v>
      </c>
      <c r="AM56" s="147">
        <v>0</v>
      </c>
      <c r="AN56" s="147">
        <v>1080.4397877874756</v>
      </c>
      <c r="AO56" s="240">
        <v>943.16378357070869</v>
      </c>
      <c r="AP56" s="147">
        <f t="shared" si="4"/>
        <v>18440.150531113417</v>
      </c>
    </row>
    <row r="57" spans="2:42">
      <c r="B57" s="147" t="str">
        <v>Pórticos 1 e 2 (BR-356)</v>
      </c>
      <c r="C57" s="149" t="str">
        <v>3</v>
      </c>
      <c r="D57" s="149" t="str">
        <v>3.8</v>
      </c>
      <c r="E57" s="149">
        <v>1</v>
      </c>
      <c r="F57" s="149">
        <v>0</v>
      </c>
      <c r="G57" s="147" t="str">
        <v>Projetos (%)</v>
      </c>
      <c r="H57" s="147" t="b">
        <v>0</v>
      </c>
      <c r="I57" s="147" t="b">
        <f t="shared" si="1"/>
        <v>0</v>
      </c>
      <c r="J57" s="147" t="b">
        <f t="shared" si="2"/>
        <v>0</v>
      </c>
      <c r="K57" s="147" t="b">
        <f t="shared" si="3"/>
        <v>1</v>
      </c>
      <c r="L57" s="147">
        <v>0</v>
      </c>
      <c r="M57" s="147">
        <v>0</v>
      </c>
      <c r="N57" s="147">
        <v>0</v>
      </c>
      <c r="O57" s="147">
        <v>0</v>
      </c>
      <c r="P57" s="147">
        <v>0</v>
      </c>
      <c r="Q57" s="147">
        <v>0</v>
      </c>
      <c r="R57" s="147">
        <v>0</v>
      </c>
      <c r="S57" s="147">
        <v>372330.83150454791</v>
      </c>
      <c r="T57" s="147">
        <v>145103.37185197207</v>
      </c>
      <c r="U57" s="147">
        <v>569411.64491938299</v>
      </c>
      <c r="V57" s="147">
        <v>415430.67610685452</v>
      </c>
      <c r="W57" s="147">
        <v>199068.42361224684</v>
      </c>
      <c r="X57" s="147">
        <v>0</v>
      </c>
      <c r="Y57" s="147">
        <v>0</v>
      </c>
      <c r="Z57" s="147">
        <v>0</v>
      </c>
      <c r="AA57" s="147">
        <v>1105664.2808676572</v>
      </c>
      <c r="AB57" s="147">
        <v>1082772.9726042801</v>
      </c>
      <c r="AC57" s="147">
        <v>893507.19145517342</v>
      </c>
      <c r="AD57" s="147">
        <v>591463.48656358605</v>
      </c>
      <c r="AE57" s="147">
        <v>0</v>
      </c>
      <c r="AF57" s="147">
        <v>0</v>
      </c>
      <c r="AG57" s="147">
        <v>0</v>
      </c>
      <c r="AH57" s="147">
        <v>479455.785721105</v>
      </c>
      <c r="AI57" s="147">
        <v>539620.18061206478</v>
      </c>
      <c r="AJ57" s="147">
        <v>359033.03362078982</v>
      </c>
      <c r="AK57" s="147">
        <v>323235.94804104487</v>
      </c>
      <c r="AL57" s="147">
        <v>0</v>
      </c>
      <c r="AM57" s="147">
        <v>0</v>
      </c>
      <c r="AN57" s="147">
        <v>465706.80508080852</v>
      </c>
      <c r="AO57" s="240">
        <v>406536.11360806407</v>
      </c>
      <c r="AP57" s="147">
        <f t="shared" si="4"/>
        <v>7948340.7461695774</v>
      </c>
    </row>
    <row r="58" spans="2:42">
      <c r="B58" s="147" t="str">
        <v>Pórticos 1 e 2 (BR-356)</v>
      </c>
      <c r="C58" s="149" t="str">
        <v>3</v>
      </c>
      <c r="D58" s="149" t="str">
        <v>3a</v>
      </c>
      <c r="E58" s="149">
        <v>0</v>
      </c>
      <c r="F58" s="149">
        <v>0</v>
      </c>
      <c r="G58" s="147" t="str">
        <v>Manutenção Do Sistema Rodoviário (Contornos)</v>
      </c>
      <c r="H58" s="147" t="b">
        <v>0</v>
      </c>
      <c r="I58" s="147" t="b">
        <f t="shared" si="1"/>
        <v>0</v>
      </c>
      <c r="J58" s="147" t="b">
        <f t="shared" si="2"/>
        <v>0</v>
      </c>
      <c r="K58" s="147" t="b">
        <f t="shared" si="3"/>
        <v>1</v>
      </c>
      <c r="L58" s="147">
        <v>0</v>
      </c>
      <c r="M58" s="147">
        <v>0</v>
      </c>
      <c r="N58" s="147">
        <v>0</v>
      </c>
      <c r="O58" s="147">
        <v>0</v>
      </c>
      <c r="P58" s="147">
        <v>0</v>
      </c>
      <c r="Q58" s="147">
        <v>0</v>
      </c>
      <c r="R58" s="147">
        <v>0</v>
      </c>
      <c r="S58" s="147">
        <v>0</v>
      </c>
      <c r="T58" s="147">
        <v>0</v>
      </c>
      <c r="U58" s="147">
        <v>0</v>
      </c>
      <c r="V58" s="147">
        <v>0</v>
      </c>
      <c r="W58" s="147">
        <v>0</v>
      </c>
      <c r="X58" s="147">
        <v>0</v>
      </c>
      <c r="Y58" s="147">
        <v>0</v>
      </c>
      <c r="Z58" s="147">
        <v>0</v>
      </c>
      <c r="AA58" s="147">
        <v>0</v>
      </c>
      <c r="AB58" s="147">
        <v>0</v>
      </c>
      <c r="AC58" s="147">
        <v>0</v>
      </c>
      <c r="AD58" s="147">
        <v>0</v>
      </c>
      <c r="AE58" s="147">
        <v>0</v>
      </c>
      <c r="AF58" s="147">
        <v>0</v>
      </c>
      <c r="AG58" s="147">
        <v>0</v>
      </c>
      <c r="AH58" s="147">
        <v>0</v>
      </c>
      <c r="AI58" s="147">
        <v>0</v>
      </c>
      <c r="AJ58" s="147">
        <v>0</v>
      </c>
      <c r="AK58" s="147">
        <v>0</v>
      </c>
      <c r="AL58" s="147">
        <v>0</v>
      </c>
      <c r="AM58" s="147">
        <v>0</v>
      </c>
      <c r="AN58" s="147">
        <v>0</v>
      </c>
      <c r="AO58" s="240">
        <v>0</v>
      </c>
      <c r="AP58" s="147">
        <f t="shared" si="4"/>
        <v>0</v>
      </c>
    </row>
    <row r="59" spans="2:42">
      <c r="B59" s="147" t="str">
        <v>Pórticos 1 e 2 (BR-356)</v>
      </c>
      <c r="C59" s="149" t="str">
        <v>3</v>
      </c>
      <c r="D59" s="149" t="str">
        <v>3.1</v>
      </c>
      <c r="E59" s="149">
        <v>1</v>
      </c>
      <c r="F59" s="149">
        <v>0</v>
      </c>
      <c r="G59" s="147" t="str">
        <v xml:space="preserve">Pavimento </v>
      </c>
      <c r="H59" s="147" t="b">
        <v>0</v>
      </c>
      <c r="I59" s="147" t="b">
        <f t="shared" si="1"/>
        <v>0</v>
      </c>
      <c r="J59" s="147" t="b">
        <f t="shared" si="2"/>
        <v>0</v>
      </c>
      <c r="K59" s="147" t="b">
        <f t="shared" si="3"/>
        <v>1</v>
      </c>
      <c r="L59" s="147">
        <v>0</v>
      </c>
      <c r="M59" s="147">
        <v>0</v>
      </c>
      <c r="N59" s="147">
        <v>0</v>
      </c>
      <c r="O59" s="147">
        <v>0</v>
      </c>
      <c r="P59" s="147">
        <v>0</v>
      </c>
      <c r="Q59" s="147">
        <v>0</v>
      </c>
      <c r="R59" s="147">
        <v>0</v>
      </c>
      <c r="S59" s="147">
        <v>0</v>
      </c>
      <c r="T59" s="147">
        <v>0</v>
      </c>
      <c r="U59" s="147">
        <v>0</v>
      </c>
      <c r="V59" s="147">
        <v>0</v>
      </c>
      <c r="W59" s="147">
        <v>1287945.6739814004</v>
      </c>
      <c r="X59" s="147">
        <v>0</v>
      </c>
      <c r="Y59" s="147">
        <v>0</v>
      </c>
      <c r="Z59" s="147">
        <v>0</v>
      </c>
      <c r="AA59" s="147">
        <v>369718.32836399972</v>
      </c>
      <c r="AB59" s="147">
        <v>0</v>
      </c>
      <c r="AC59" s="147">
        <v>0</v>
      </c>
      <c r="AD59" s="147">
        <v>0</v>
      </c>
      <c r="AE59" s="147">
        <v>1287945.6739814004</v>
      </c>
      <c r="AF59" s="147">
        <v>0</v>
      </c>
      <c r="AG59" s="147">
        <v>0</v>
      </c>
      <c r="AH59" s="147">
        <v>0</v>
      </c>
      <c r="AI59" s="147">
        <v>1406967.1225004988</v>
      </c>
      <c r="AJ59" s="147">
        <v>0</v>
      </c>
      <c r="AK59" s="147">
        <v>0</v>
      </c>
      <c r="AL59" s="147">
        <v>0</v>
      </c>
      <c r="AM59" s="147">
        <v>1287945.6739814004</v>
      </c>
      <c r="AN59" s="147">
        <v>0</v>
      </c>
      <c r="AO59" s="240">
        <v>0</v>
      </c>
      <c r="AP59" s="147">
        <f t="shared" si="4"/>
        <v>5640522.4728087001</v>
      </c>
    </row>
    <row r="60" spans="2:42">
      <c r="B60" s="147" t="str">
        <v>Pórticos 1 e 2 (BR-356)</v>
      </c>
      <c r="C60" s="149" t="str">
        <v>3</v>
      </c>
      <c r="D60" s="149" t="str">
        <v>3.2</v>
      </c>
      <c r="E60" s="149">
        <v>1</v>
      </c>
      <c r="F60" s="149">
        <v>0</v>
      </c>
      <c r="G60" s="147" t="str">
        <v>Obras De Arte Especiais</v>
      </c>
      <c r="H60" s="147" t="b">
        <v>0</v>
      </c>
      <c r="I60" s="147" t="b">
        <f t="shared" si="1"/>
        <v>0</v>
      </c>
      <c r="J60" s="147" t="b">
        <f t="shared" si="2"/>
        <v>0</v>
      </c>
      <c r="K60" s="147" t="b">
        <f t="shared" si="3"/>
        <v>1</v>
      </c>
      <c r="L60" s="147">
        <v>0</v>
      </c>
      <c r="M60" s="147">
        <v>0</v>
      </c>
      <c r="N60" s="147">
        <v>0</v>
      </c>
      <c r="O60" s="147">
        <v>0</v>
      </c>
      <c r="P60" s="147">
        <v>0</v>
      </c>
      <c r="Q60" s="147">
        <v>0</v>
      </c>
      <c r="R60" s="147">
        <v>0</v>
      </c>
      <c r="S60" s="147">
        <v>0</v>
      </c>
      <c r="T60" s="147">
        <v>0</v>
      </c>
      <c r="U60" s="147">
        <v>0</v>
      </c>
      <c r="V60" s="147">
        <v>0</v>
      </c>
      <c r="W60" s="147">
        <v>0</v>
      </c>
      <c r="X60" s="147">
        <v>0</v>
      </c>
      <c r="Y60" s="147">
        <v>0</v>
      </c>
      <c r="Z60" s="147">
        <v>0</v>
      </c>
      <c r="AA60" s="147">
        <v>0</v>
      </c>
      <c r="AB60" s="147">
        <v>0</v>
      </c>
      <c r="AC60" s="147">
        <v>0</v>
      </c>
      <c r="AD60" s="147">
        <v>0</v>
      </c>
      <c r="AE60" s="147">
        <v>0</v>
      </c>
      <c r="AF60" s="147">
        <v>0</v>
      </c>
      <c r="AG60" s="147">
        <v>0</v>
      </c>
      <c r="AH60" s="147">
        <v>0</v>
      </c>
      <c r="AI60" s="147">
        <v>0</v>
      </c>
      <c r="AJ60" s="147">
        <v>0</v>
      </c>
      <c r="AK60" s="147">
        <v>0</v>
      </c>
      <c r="AL60" s="147">
        <v>0</v>
      </c>
      <c r="AM60" s="147">
        <v>0</v>
      </c>
      <c r="AN60" s="147">
        <v>0</v>
      </c>
      <c r="AO60" s="240">
        <v>0</v>
      </c>
      <c r="AP60" s="147">
        <f t="shared" si="4"/>
        <v>0</v>
      </c>
    </row>
    <row r="61" spans="2:42">
      <c r="B61" s="147" t="str">
        <v>Pórticos 1 e 2 (BR-356)</v>
      </c>
      <c r="C61" s="149" t="str">
        <v>3</v>
      </c>
      <c r="D61" s="149" t="str">
        <v>3.3</v>
      </c>
      <c r="E61" s="149">
        <v>1</v>
      </c>
      <c r="F61" s="149">
        <v>0</v>
      </c>
      <c r="G61" s="147" t="str">
        <v>Drenagem E Obras De Arte Correntes</v>
      </c>
      <c r="H61" s="147" t="b">
        <v>0</v>
      </c>
      <c r="I61" s="147" t="b">
        <f t="shared" si="1"/>
        <v>0</v>
      </c>
      <c r="J61" s="147" t="b">
        <f t="shared" si="2"/>
        <v>0</v>
      </c>
      <c r="K61" s="147" t="b">
        <f t="shared" si="3"/>
        <v>1</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c r="AH61" s="147">
        <v>0</v>
      </c>
      <c r="AI61" s="147">
        <v>0</v>
      </c>
      <c r="AJ61" s="147">
        <v>0</v>
      </c>
      <c r="AK61" s="147">
        <v>0</v>
      </c>
      <c r="AL61" s="147">
        <v>0</v>
      </c>
      <c r="AM61" s="147">
        <v>0</v>
      </c>
      <c r="AN61" s="147">
        <v>0</v>
      </c>
      <c r="AO61" s="240">
        <v>0</v>
      </c>
      <c r="AP61" s="147">
        <f t="shared" si="4"/>
        <v>0</v>
      </c>
    </row>
    <row r="62" spans="2:42">
      <c r="B62" s="147" t="str">
        <v>Pórticos 1 e 2 (BR-356)</v>
      </c>
      <c r="C62" s="149" t="str">
        <v>3</v>
      </c>
      <c r="D62" s="149" t="str">
        <v>3.4</v>
      </c>
      <c r="E62" s="149">
        <v>1</v>
      </c>
      <c r="F62" s="149">
        <v>0</v>
      </c>
      <c r="G62" s="147" t="str">
        <v xml:space="preserve">Sinalização E Dispositivos De Proteção E Segurança </v>
      </c>
      <c r="H62" s="147" t="b">
        <v>0</v>
      </c>
      <c r="I62" s="147" t="b">
        <f t="shared" si="1"/>
        <v>0</v>
      </c>
      <c r="J62" s="147" t="b">
        <f t="shared" si="2"/>
        <v>0</v>
      </c>
      <c r="K62" s="147" t="b">
        <f t="shared" si="3"/>
        <v>1</v>
      </c>
      <c r="L62" s="147">
        <v>0</v>
      </c>
      <c r="M62" s="147">
        <v>0</v>
      </c>
      <c r="N62" s="147">
        <v>0</v>
      </c>
      <c r="O62" s="147">
        <v>0</v>
      </c>
      <c r="P62" s="147">
        <v>0</v>
      </c>
      <c r="Q62" s="147">
        <v>0</v>
      </c>
      <c r="R62" s="147">
        <v>0</v>
      </c>
      <c r="S62" s="147">
        <v>0</v>
      </c>
      <c r="T62" s="147">
        <v>0</v>
      </c>
      <c r="U62" s="147">
        <v>0</v>
      </c>
      <c r="V62" s="147">
        <v>0</v>
      </c>
      <c r="W62" s="147">
        <v>88850.140087499924</v>
      </c>
      <c r="X62" s="147">
        <v>0</v>
      </c>
      <c r="Y62" s="147">
        <v>0</v>
      </c>
      <c r="Z62" s="147">
        <v>0</v>
      </c>
      <c r="AA62" s="147">
        <v>0</v>
      </c>
      <c r="AB62" s="147">
        <v>0</v>
      </c>
      <c r="AC62" s="147">
        <v>0</v>
      </c>
      <c r="AD62" s="147">
        <v>0</v>
      </c>
      <c r="AE62" s="147">
        <v>88850.140087499924</v>
      </c>
      <c r="AF62" s="147">
        <v>0</v>
      </c>
      <c r="AG62" s="147">
        <v>0</v>
      </c>
      <c r="AH62" s="147">
        <v>0</v>
      </c>
      <c r="AI62" s="147">
        <v>0</v>
      </c>
      <c r="AJ62" s="147">
        <v>0</v>
      </c>
      <c r="AK62" s="147">
        <v>0</v>
      </c>
      <c r="AL62" s="147">
        <v>0</v>
      </c>
      <c r="AM62" s="147">
        <v>88850.140087499924</v>
      </c>
      <c r="AN62" s="147">
        <v>0</v>
      </c>
      <c r="AO62" s="240">
        <v>0</v>
      </c>
      <c r="AP62" s="147">
        <f t="shared" si="4"/>
        <v>266550.42026249977</v>
      </c>
    </row>
    <row r="63" spans="2:42">
      <c r="B63" s="147" t="str">
        <v>Pórticos 1 e 2 (BR-356)</v>
      </c>
      <c r="C63" s="149" t="str">
        <v>3</v>
      </c>
      <c r="D63" s="149" t="str">
        <v>3.7</v>
      </c>
      <c r="E63" s="149">
        <v>1</v>
      </c>
      <c r="F63" s="149">
        <v>0</v>
      </c>
      <c r="G63" s="147" t="str">
        <v>Administração local (%)</v>
      </c>
      <c r="H63" s="147" t="b">
        <v>0</v>
      </c>
      <c r="I63" s="147" t="b">
        <f t="shared" si="1"/>
        <v>0</v>
      </c>
      <c r="J63" s="147" t="b">
        <f t="shared" si="2"/>
        <v>0</v>
      </c>
      <c r="K63" s="147" t="b">
        <f t="shared" si="3"/>
        <v>1</v>
      </c>
      <c r="L63" s="147">
        <v>0</v>
      </c>
      <c r="M63" s="147">
        <v>0</v>
      </c>
      <c r="N63" s="147">
        <v>0</v>
      </c>
      <c r="O63" s="147">
        <v>0</v>
      </c>
      <c r="P63" s="147">
        <v>0</v>
      </c>
      <c r="Q63" s="147">
        <v>0</v>
      </c>
      <c r="R63" s="147">
        <v>0</v>
      </c>
      <c r="S63" s="147">
        <v>0</v>
      </c>
      <c r="T63" s="147">
        <v>0</v>
      </c>
      <c r="U63" s="147">
        <v>0</v>
      </c>
      <c r="V63" s="147">
        <v>0</v>
      </c>
      <c r="W63" s="147">
        <v>16934.588513047474</v>
      </c>
      <c r="X63" s="147">
        <v>0</v>
      </c>
      <c r="Y63" s="147">
        <v>0</v>
      </c>
      <c r="Z63" s="147">
        <v>0</v>
      </c>
      <c r="AA63" s="147">
        <v>4547.5354388771966</v>
      </c>
      <c r="AB63" s="147">
        <v>0</v>
      </c>
      <c r="AC63" s="147">
        <v>0</v>
      </c>
      <c r="AD63" s="147">
        <v>0</v>
      </c>
      <c r="AE63" s="147">
        <v>16934.588513047474</v>
      </c>
      <c r="AF63" s="147">
        <v>0</v>
      </c>
      <c r="AG63" s="147">
        <v>0</v>
      </c>
      <c r="AH63" s="147">
        <v>0</v>
      </c>
      <c r="AI63" s="147">
        <v>17305.695606756137</v>
      </c>
      <c r="AJ63" s="147">
        <v>0</v>
      </c>
      <c r="AK63" s="147">
        <v>0</v>
      </c>
      <c r="AL63" s="147">
        <v>0</v>
      </c>
      <c r="AM63" s="147">
        <v>16934.588513047474</v>
      </c>
      <c r="AN63" s="147">
        <v>0</v>
      </c>
      <c r="AO63" s="240">
        <v>0</v>
      </c>
      <c r="AP63" s="147">
        <f t="shared" si="4"/>
        <v>72656.996584775756</v>
      </c>
    </row>
    <row r="64" spans="2:42">
      <c r="B64" s="147" t="str">
        <v>Pórticos 1 e 2 (BR-356)</v>
      </c>
      <c r="C64" s="149" t="str">
        <v>3</v>
      </c>
      <c r="D64" s="149" t="str">
        <v>3.8</v>
      </c>
      <c r="E64" s="149">
        <v>1</v>
      </c>
      <c r="F64" s="149">
        <v>0</v>
      </c>
      <c r="G64" s="147" t="str">
        <v>Canteiro de obras (%)</v>
      </c>
      <c r="H64" s="147" t="b">
        <v>0</v>
      </c>
      <c r="I64" s="147" t="b">
        <f t="shared" si="1"/>
        <v>0</v>
      </c>
      <c r="J64" s="147" t="b">
        <f t="shared" si="2"/>
        <v>0</v>
      </c>
      <c r="K64" s="147" t="b">
        <f t="shared" si="3"/>
        <v>1</v>
      </c>
      <c r="L64" s="147">
        <v>0</v>
      </c>
      <c r="M64" s="160">
        <v>0</v>
      </c>
      <c r="N64" s="147">
        <v>0</v>
      </c>
      <c r="O64" s="147">
        <v>0</v>
      </c>
      <c r="P64" s="147">
        <v>0</v>
      </c>
      <c r="Q64" s="147">
        <v>0</v>
      </c>
      <c r="R64" s="147">
        <v>0</v>
      </c>
      <c r="S64" s="147">
        <v>0</v>
      </c>
      <c r="T64" s="147">
        <v>0</v>
      </c>
      <c r="U64" s="147">
        <v>0</v>
      </c>
      <c r="V64" s="147">
        <v>0</v>
      </c>
      <c r="W64" s="147">
        <v>4268.0670236135911</v>
      </c>
      <c r="X64" s="147">
        <v>0</v>
      </c>
      <c r="Y64" s="147">
        <v>0</v>
      </c>
      <c r="Z64" s="147">
        <v>0</v>
      </c>
      <c r="AA64" s="147">
        <v>1146.1268179283993</v>
      </c>
      <c r="AB64" s="147">
        <v>0</v>
      </c>
      <c r="AC64" s="147">
        <v>0</v>
      </c>
      <c r="AD64" s="147">
        <v>0</v>
      </c>
      <c r="AE64" s="147">
        <v>4268.0670236135911</v>
      </c>
      <c r="AF64" s="147">
        <v>0</v>
      </c>
      <c r="AG64" s="147">
        <v>0</v>
      </c>
      <c r="AH64" s="147">
        <v>0</v>
      </c>
      <c r="AI64" s="147">
        <v>4361.5980797515458</v>
      </c>
      <c r="AJ64" s="147">
        <v>0</v>
      </c>
      <c r="AK64" s="147">
        <v>0</v>
      </c>
      <c r="AL64" s="147">
        <v>0</v>
      </c>
      <c r="AM64" s="147">
        <v>4268.0670236135911</v>
      </c>
      <c r="AN64" s="147">
        <v>0</v>
      </c>
      <c r="AO64" s="240">
        <v>0</v>
      </c>
      <c r="AP64" s="147">
        <f t="shared" si="4"/>
        <v>18311.925968520718</v>
      </c>
    </row>
    <row r="65" spans="2:42">
      <c r="B65" s="147" t="str">
        <v>Pórticos 1 e 2 (BR-356)</v>
      </c>
      <c r="C65" s="149" t="str">
        <v>3</v>
      </c>
      <c r="D65" s="149" t="str">
        <v>3.9</v>
      </c>
      <c r="E65" s="149">
        <v>1</v>
      </c>
      <c r="F65" s="149">
        <v>0</v>
      </c>
      <c r="G65" s="147" t="str">
        <v>Mobilização e desmobilização (%)</v>
      </c>
      <c r="H65" s="147" t="b">
        <v>0</v>
      </c>
      <c r="I65" s="147" t="b">
        <f t="shared" si="1"/>
        <v>0</v>
      </c>
      <c r="J65" s="147" t="b">
        <f t="shared" si="2"/>
        <v>0</v>
      </c>
      <c r="K65" s="147" t="b">
        <f t="shared" si="3"/>
        <v>1</v>
      </c>
      <c r="L65" s="147">
        <v>0</v>
      </c>
      <c r="M65" s="147">
        <v>0</v>
      </c>
      <c r="N65" s="147">
        <v>0</v>
      </c>
      <c r="O65" s="147">
        <v>0</v>
      </c>
      <c r="P65" s="147">
        <v>0</v>
      </c>
      <c r="Q65" s="147">
        <v>0</v>
      </c>
      <c r="R65" s="147">
        <v>0</v>
      </c>
      <c r="S65" s="147">
        <v>0</v>
      </c>
      <c r="T65" s="147">
        <v>0</v>
      </c>
      <c r="U65" s="147">
        <v>0</v>
      </c>
      <c r="V65" s="147">
        <v>0</v>
      </c>
      <c r="W65" s="147">
        <v>79.854157215996224</v>
      </c>
      <c r="X65" s="147">
        <v>0</v>
      </c>
      <c r="Y65" s="147">
        <v>0</v>
      </c>
      <c r="Z65" s="147">
        <v>0</v>
      </c>
      <c r="AA65" s="147">
        <v>21.443663045111986</v>
      </c>
      <c r="AB65" s="147">
        <v>0</v>
      </c>
      <c r="AC65" s="147">
        <v>0</v>
      </c>
      <c r="AD65" s="147">
        <v>0</v>
      </c>
      <c r="AE65" s="147">
        <v>79.854157215996224</v>
      </c>
      <c r="AF65" s="147">
        <v>0</v>
      </c>
      <c r="AG65" s="147">
        <v>0</v>
      </c>
      <c r="AH65" s="147">
        <v>0</v>
      </c>
      <c r="AI65" s="147">
        <v>81.604093105028923</v>
      </c>
      <c r="AJ65" s="147">
        <v>0</v>
      </c>
      <c r="AK65" s="147">
        <v>0</v>
      </c>
      <c r="AL65" s="147">
        <v>0</v>
      </c>
      <c r="AM65" s="147">
        <v>79.854157215996224</v>
      </c>
      <c r="AN65" s="147">
        <v>0</v>
      </c>
      <c r="AO65" s="240">
        <v>0</v>
      </c>
      <c r="AP65" s="147">
        <f t="shared" si="4"/>
        <v>342.61022779812959</v>
      </c>
    </row>
    <row r="66" spans="2:42">
      <c r="B66" s="147" t="str">
        <v>Pórticos 1 e 2 (BR-356)</v>
      </c>
      <c r="C66" s="149" t="str">
        <v>3</v>
      </c>
      <c r="D66" s="149" t="str">
        <v>3.10</v>
      </c>
      <c r="E66" s="149">
        <v>1</v>
      </c>
      <c r="F66" s="149">
        <v>0</v>
      </c>
      <c r="G66" s="147" t="str">
        <v>Projetos (%)</v>
      </c>
      <c r="H66" s="147" t="b">
        <v>0</v>
      </c>
      <c r="I66" s="147" t="b">
        <f t="shared" si="1"/>
        <v>0</v>
      </c>
      <c r="J66" s="147" t="b">
        <f t="shared" si="2"/>
        <v>0</v>
      </c>
      <c r="K66" s="147" t="b">
        <f t="shared" si="3"/>
        <v>1</v>
      </c>
      <c r="L66" s="147">
        <v>0</v>
      </c>
      <c r="M66" s="147">
        <v>0</v>
      </c>
      <c r="N66" s="147">
        <v>0</v>
      </c>
      <c r="O66" s="147">
        <v>0</v>
      </c>
      <c r="P66" s="147">
        <v>0</v>
      </c>
      <c r="Q66" s="147">
        <v>0</v>
      </c>
      <c r="R66" s="147">
        <v>0</v>
      </c>
      <c r="S66" s="147">
        <v>0</v>
      </c>
      <c r="T66" s="147">
        <v>0</v>
      </c>
      <c r="U66" s="147">
        <v>0</v>
      </c>
      <c r="V66" s="147">
        <v>0</v>
      </c>
      <c r="W66" s="147">
        <v>34419.895351722509</v>
      </c>
      <c r="X66" s="147">
        <v>0</v>
      </c>
      <c r="Y66" s="147">
        <v>0</v>
      </c>
      <c r="Z66" s="147">
        <v>0</v>
      </c>
      <c r="AA66" s="147">
        <v>9242.9582090999938</v>
      </c>
      <c r="AB66" s="147">
        <v>0</v>
      </c>
      <c r="AC66" s="147">
        <v>0</v>
      </c>
      <c r="AD66" s="147">
        <v>0</v>
      </c>
      <c r="AE66" s="147">
        <v>34419.895351722509</v>
      </c>
      <c r="AF66" s="147">
        <v>0</v>
      </c>
      <c r="AG66" s="147">
        <v>0</v>
      </c>
      <c r="AH66" s="147">
        <v>0</v>
      </c>
      <c r="AI66" s="147">
        <v>35174.178062512474</v>
      </c>
      <c r="AJ66" s="147">
        <v>0</v>
      </c>
      <c r="AK66" s="147">
        <v>0</v>
      </c>
      <c r="AL66" s="147">
        <v>0</v>
      </c>
      <c r="AM66" s="147">
        <v>34419.895351722509</v>
      </c>
      <c r="AN66" s="147">
        <v>0</v>
      </c>
      <c r="AO66" s="240">
        <v>0</v>
      </c>
      <c r="AP66" s="147">
        <f t="shared" si="4"/>
        <v>147676.82232678001</v>
      </c>
    </row>
    <row r="67" spans="2:42">
      <c r="B67" s="147" t="str">
        <v>Pórtico 3 (MG-262)</v>
      </c>
      <c r="C67" s="149" t="str">
        <v>1</v>
      </c>
      <c r="D67" s="149">
        <v>1</v>
      </c>
      <c r="E67" s="149">
        <v>0</v>
      </c>
      <c r="F67" s="149">
        <v>0</v>
      </c>
      <c r="G67" s="147" t="str">
        <v>Trabalhos iniciais</v>
      </c>
      <c r="H67" s="147" t="b">
        <v>0</v>
      </c>
      <c r="I67" s="147" t="b">
        <f t="shared" si="1"/>
        <v>0</v>
      </c>
      <c r="J67" s="147" t="b">
        <f t="shared" si="2"/>
        <v>0</v>
      </c>
      <c r="K67" s="147" t="b">
        <f t="shared" si="3"/>
        <v>1</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c r="AH67" s="147">
        <v>0</v>
      </c>
      <c r="AI67" s="147">
        <v>0</v>
      </c>
      <c r="AJ67" s="147">
        <v>0</v>
      </c>
      <c r="AK67" s="147">
        <v>0</v>
      </c>
      <c r="AL67" s="147">
        <v>0</v>
      </c>
      <c r="AM67" s="147">
        <v>0</v>
      </c>
      <c r="AN67" s="147">
        <v>0</v>
      </c>
      <c r="AO67" s="240">
        <v>0</v>
      </c>
      <c r="AP67" s="147">
        <f t="shared" si="4"/>
        <v>0</v>
      </c>
    </row>
    <row r="68" spans="2:42">
      <c r="B68" s="147" t="str">
        <v>Pórtico 3 (MG-262)</v>
      </c>
      <c r="C68" s="149" t="str">
        <v>1</v>
      </c>
      <c r="D68" s="149" t="str">
        <v>1.1</v>
      </c>
      <c r="E68" s="149">
        <v>1</v>
      </c>
      <c r="F68" s="149">
        <v>0</v>
      </c>
      <c r="G68" s="147" t="str">
        <v>Pavimento</v>
      </c>
      <c r="H68" s="147" t="b">
        <v>0</v>
      </c>
      <c r="I68" s="147" t="b">
        <f t="shared" si="1"/>
        <v>0</v>
      </c>
      <c r="J68" s="147" t="b">
        <f t="shared" si="2"/>
        <v>0</v>
      </c>
      <c r="K68" s="147" t="b">
        <f t="shared" si="3"/>
        <v>1</v>
      </c>
      <c r="L68" s="147">
        <v>58519973.581390366</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c r="AH68" s="147">
        <v>0</v>
      </c>
      <c r="AI68" s="147">
        <v>0</v>
      </c>
      <c r="AJ68" s="147">
        <v>0</v>
      </c>
      <c r="AK68" s="147">
        <v>0</v>
      </c>
      <c r="AL68" s="147">
        <v>0</v>
      </c>
      <c r="AM68" s="147">
        <v>0</v>
      </c>
      <c r="AN68" s="147">
        <v>0</v>
      </c>
      <c r="AO68" s="240">
        <v>0</v>
      </c>
      <c r="AP68" s="147">
        <f t="shared" si="4"/>
        <v>58519973.581390366</v>
      </c>
    </row>
    <row r="69" spans="2:42">
      <c r="B69" s="147" t="str">
        <v>Pórtico 3 (MG-262)</v>
      </c>
      <c r="C69" s="149" t="str">
        <v>1</v>
      </c>
      <c r="D69" s="149" t="str">
        <v>1.2</v>
      </c>
      <c r="E69" s="149">
        <v>1</v>
      </c>
      <c r="F69" s="149">
        <v>0</v>
      </c>
      <c r="G69" s="147" t="str">
        <v>Obras de arte especiais</v>
      </c>
      <c r="H69" s="147" t="b">
        <v>0</v>
      </c>
      <c r="I69" s="147" t="b">
        <f t="shared" si="1"/>
        <v>0</v>
      </c>
      <c r="J69" s="147" t="b">
        <f t="shared" si="2"/>
        <v>0</v>
      </c>
      <c r="K69" s="147" t="b">
        <f t="shared" si="3"/>
        <v>1</v>
      </c>
      <c r="L69" s="147">
        <v>1955815.9098980527</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c r="AH69" s="147">
        <v>0</v>
      </c>
      <c r="AI69" s="147">
        <v>0</v>
      </c>
      <c r="AJ69" s="147">
        <v>0</v>
      </c>
      <c r="AK69" s="147">
        <v>0</v>
      </c>
      <c r="AL69" s="147">
        <v>0</v>
      </c>
      <c r="AM69" s="147">
        <v>0</v>
      </c>
      <c r="AN69" s="147">
        <v>0</v>
      </c>
      <c r="AO69" s="240">
        <v>0</v>
      </c>
      <c r="AP69" s="147">
        <f t="shared" si="4"/>
        <v>1955815.9098980527</v>
      </c>
    </row>
    <row r="70" spans="2:42">
      <c r="B70" s="147" t="str">
        <v>Pórtico 3 (MG-262)</v>
      </c>
      <c r="C70" s="149" t="str">
        <v>1</v>
      </c>
      <c r="D70" s="149" t="str">
        <v>1.3</v>
      </c>
      <c r="E70" s="149">
        <v>1</v>
      </c>
      <c r="F70" s="149">
        <v>0</v>
      </c>
      <c r="G70" s="147" t="str">
        <v>Drenagem e obras de arte correntes</v>
      </c>
      <c r="H70" s="147" t="b">
        <v>0</v>
      </c>
      <c r="I70" s="147" t="b">
        <f t="shared" ref="I70:I133" si="5">OR(ISNUMBER(FIND("Antivirus",G70)),
    ISNUMBER(FIND("ARCGIS",G70)),
    ISNUMBER(FIND("AutoCAD",G70)),
    ISNUMBER(FIND("Correio eletrônico",G70)),
    ISNUMBER(FIND("ISO 9001:2008",G70)),
    ISNUMBER(FIND("Microsoft",G70)),
    ISNUMBER(FIND("Sistema de Informações Georreferenciadas",G70)),
    ISNUMBER(FIND("Sistema 0800 - CCO",G70)),
    ISNUMBER(FIND("Sistema de Comunicação com os Usuários",G70)),
    ISNUMBER(FIND("Software",G70)),
    ISNUMBER(FIND("Storage",G70)),
    ISNUMBER(FIND("Windows Server",G70)))</f>
        <v>0</v>
      </c>
      <c r="J70" s="147" t="b">
        <f t="shared" ref="J70:J133" si="6">OR(F70,I70)</f>
        <v>0</v>
      </c>
      <c r="K70" s="147" t="b">
        <f t="shared" ref="K70:K133" si="7">AND(NOT(H70),NOT(J70))</f>
        <v>1</v>
      </c>
      <c r="L70" s="147">
        <v>1990042.9727171622</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c r="AH70" s="147">
        <v>0</v>
      </c>
      <c r="AI70" s="147">
        <v>0</v>
      </c>
      <c r="AJ70" s="147">
        <v>0</v>
      </c>
      <c r="AK70" s="147">
        <v>0</v>
      </c>
      <c r="AL70" s="147">
        <v>0</v>
      </c>
      <c r="AM70" s="147">
        <v>0</v>
      </c>
      <c r="AN70" s="147">
        <v>0</v>
      </c>
      <c r="AO70" s="240">
        <v>0</v>
      </c>
      <c r="AP70" s="147">
        <f t="shared" ref="AP70:AP133" si="8">SUM(L70:AO70)</f>
        <v>1990042.9727171622</v>
      </c>
    </row>
    <row r="71" spans="2:42">
      <c r="B71" s="147" t="str">
        <v>Pórtico 3 (MG-262)</v>
      </c>
      <c r="C71" s="149" t="str">
        <v>1</v>
      </c>
      <c r="D71" s="149" t="str">
        <v>1.4</v>
      </c>
      <c r="E71" s="149">
        <v>1</v>
      </c>
      <c r="F71" s="149">
        <v>0</v>
      </c>
      <c r="G71" s="147" t="str">
        <v xml:space="preserve">Sinalização e dispositivos de proteção e segurança </v>
      </c>
      <c r="H71" s="147" t="b">
        <v>0</v>
      </c>
      <c r="I71" s="147" t="b">
        <f t="shared" si="5"/>
        <v>0</v>
      </c>
      <c r="J71" s="147" t="b">
        <f t="shared" si="6"/>
        <v>0</v>
      </c>
      <c r="K71" s="147" t="b">
        <f t="shared" si="7"/>
        <v>1</v>
      </c>
      <c r="L71" s="147">
        <v>7010532.5804294581</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c r="AH71" s="147">
        <v>0</v>
      </c>
      <c r="AI71" s="147">
        <v>0</v>
      </c>
      <c r="AJ71" s="147">
        <v>0</v>
      </c>
      <c r="AK71" s="147">
        <v>0</v>
      </c>
      <c r="AL71" s="147">
        <v>0</v>
      </c>
      <c r="AM71" s="147">
        <v>0</v>
      </c>
      <c r="AN71" s="147">
        <v>0</v>
      </c>
      <c r="AO71" s="240">
        <v>0</v>
      </c>
      <c r="AP71" s="147">
        <f t="shared" si="8"/>
        <v>7010532.5804294581</v>
      </c>
    </row>
    <row r="72" spans="2:42">
      <c r="B72" s="147" t="str">
        <v>Pórtico 3 (MG-262)</v>
      </c>
      <c r="C72" s="149" t="str">
        <v>1</v>
      </c>
      <c r="D72" s="149" t="str">
        <v>1.5</v>
      </c>
      <c r="E72" s="149">
        <v>1</v>
      </c>
      <c r="F72" s="149">
        <v>0</v>
      </c>
      <c r="G72" s="147" t="str">
        <v>Terraplenos e estrutura de contenção</v>
      </c>
      <c r="H72" s="147" t="b">
        <v>0</v>
      </c>
      <c r="I72" s="147" t="b">
        <f t="shared" si="5"/>
        <v>0</v>
      </c>
      <c r="J72" s="147" t="b">
        <f t="shared" si="6"/>
        <v>0</v>
      </c>
      <c r="K72" s="147" t="b">
        <f t="shared" si="7"/>
        <v>1</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c r="AH72" s="147">
        <v>0</v>
      </c>
      <c r="AI72" s="147">
        <v>0</v>
      </c>
      <c r="AJ72" s="147">
        <v>0</v>
      </c>
      <c r="AK72" s="147">
        <v>0</v>
      </c>
      <c r="AL72" s="147">
        <v>0</v>
      </c>
      <c r="AM72" s="147">
        <v>0</v>
      </c>
      <c r="AN72" s="147">
        <v>0</v>
      </c>
      <c r="AO72" s="240">
        <v>0</v>
      </c>
      <c r="AP72" s="147">
        <f t="shared" si="8"/>
        <v>0</v>
      </c>
    </row>
    <row r="73" spans="2:42">
      <c r="B73" s="147" t="str">
        <v>Pórtico 3 (MG-262)</v>
      </c>
      <c r="C73" s="149" t="str">
        <v>1</v>
      </c>
      <c r="D73" s="149" t="str">
        <v>1.6</v>
      </c>
      <c r="E73" s="149">
        <v>1</v>
      </c>
      <c r="F73" s="149">
        <v>0</v>
      </c>
      <c r="G73" s="147" t="str">
        <v>Sistemas elétricos e de iluminação</v>
      </c>
      <c r="H73" s="147" t="b">
        <v>0</v>
      </c>
      <c r="I73" s="147" t="b">
        <f t="shared" si="5"/>
        <v>0</v>
      </c>
      <c r="J73" s="147" t="b">
        <f t="shared" si="6"/>
        <v>0</v>
      </c>
      <c r="K73" s="147" t="b">
        <f t="shared" si="7"/>
        <v>1</v>
      </c>
      <c r="L73" s="147">
        <v>69206.659928697816</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v>0</v>
      </c>
      <c r="AK73" s="147">
        <v>0</v>
      </c>
      <c r="AL73" s="147">
        <v>0</v>
      </c>
      <c r="AM73" s="147">
        <v>0</v>
      </c>
      <c r="AN73" s="147">
        <v>0</v>
      </c>
      <c r="AO73" s="240">
        <v>0</v>
      </c>
      <c r="AP73" s="147">
        <f t="shared" si="8"/>
        <v>69206.659928697816</v>
      </c>
    </row>
    <row r="74" spans="2:42">
      <c r="B74" s="147" t="str">
        <v>Pórtico 3 (MG-262)</v>
      </c>
      <c r="C74" s="149" t="str">
        <v>1</v>
      </c>
      <c r="D74" s="149" t="str">
        <v>1.7</v>
      </c>
      <c r="E74" s="149">
        <v>1</v>
      </c>
      <c r="F74" s="149">
        <v>0</v>
      </c>
      <c r="G74" s="147" t="str">
        <v>Canteiro central e faixa de domínio</v>
      </c>
      <c r="H74" s="147" t="b">
        <v>0</v>
      </c>
      <c r="I74" s="147" t="b">
        <f t="shared" si="5"/>
        <v>0</v>
      </c>
      <c r="J74" s="147" t="b">
        <f t="shared" si="6"/>
        <v>0</v>
      </c>
      <c r="K74" s="147" t="b">
        <f t="shared" si="7"/>
        <v>1</v>
      </c>
      <c r="L74" s="147">
        <v>566483.78506027791</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c r="AH74" s="147">
        <v>0</v>
      </c>
      <c r="AI74" s="147">
        <v>0</v>
      </c>
      <c r="AJ74" s="147">
        <v>0</v>
      </c>
      <c r="AK74" s="147">
        <v>0</v>
      </c>
      <c r="AL74" s="147">
        <v>0</v>
      </c>
      <c r="AM74" s="147">
        <v>0</v>
      </c>
      <c r="AN74" s="147">
        <v>0</v>
      </c>
      <c r="AO74" s="240">
        <v>0</v>
      </c>
      <c r="AP74" s="147">
        <f t="shared" si="8"/>
        <v>566483.78506027791</v>
      </c>
    </row>
    <row r="75" spans="2:42">
      <c r="B75" s="147" t="str">
        <v>Pórtico 3 (MG-262)</v>
      </c>
      <c r="C75" s="149" t="str">
        <v>1</v>
      </c>
      <c r="D75" s="149" t="str">
        <v>1.8</v>
      </c>
      <c r="E75" s="149">
        <v>1</v>
      </c>
      <c r="F75" s="149">
        <v>0</v>
      </c>
      <c r="G75" s="147" t="str">
        <v>Administração local (%)</v>
      </c>
      <c r="H75" s="147" t="b">
        <v>0</v>
      </c>
      <c r="I75" s="147" t="b">
        <f t="shared" si="5"/>
        <v>0</v>
      </c>
      <c r="J75" s="147" t="b">
        <f t="shared" si="6"/>
        <v>0</v>
      </c>
      <c r="K75" s="147" t="b">
        <f t="shared" si="7"/>
        <v>1</v>
      </c>
      <c r="L75" s="147">
        <v>862378.28251991549</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c r="AH75" s="147">
        <v>0</v>
      </c>
      <c r="AI75" s="147">
        <v>0</v>
      </c>
      <c r="AJ75" s="147">
        <v>0</v>
      </c>
      <c r="AK75" s="147">
        <v>0</v>
      </c>
      <c r="AL75" s="147">
        <v>0</v>
      </c>
      <c r="AM75" s="147">
        <v>0</v>
      </c>
      <c r="AN75" s="147">
        <v>0</v>
      </c>
      <c r="AO75" s="240">
        <v>0</v>
      </c>
      <c r="AP75" s="147">
        <f t="shared" si="8"/>
        <v>862378.28251991549</v>
      </c>
    </row>
    <row r="76" spans="2:42">
      <c r="B76" s="147" t="str">
        <v>Pórtico 3 (MG-262)</v>
      </c>
      <c r="C76" s="149" t="str">
        <v>1</v>
      </c>
      <c r="D76" s="149" t="str">
        <v>1.9</v>
      </c>
      <c r="E76" s="149">
        <v>1</v>
      </c>
      <c r="F76" s="149">
        <v>0</v>
      </c>
      <c r="G76" s="147" t="str">
        <v>Canteiro de obras (%)</v>
      </c>
      <c r="H76" s="147" t="b">
        <v>0</v>
      </c>
      <c r="I76" s="147" t="b">
        <f t="shared" si="5"/>
        <v>0</v>
      </c>
      <c r="J76" s="147" t="b">
        <f t="shared" si="6"/>
        <v>0</v>
      </c>
      <c r="K76" s="147" t="b">
        <f t="shared" si="7"/>
        <v>1</v>
      </c>
      <c r="L76" s="147">
        <v>217347.37201721445</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c r="AH76" s="147">
        <v>0</v>
      </c>
      <c r="AI76" s="147">
        <v>0</v>
      </c>
      <c r="AJ76" s="147">
        <v>0</v>
      </c>
      <c r="AK76" s="147">
        <v>0</v>
      </c>
      <c r="AL76" s="147">
        <v>0</v>
      </c>
      <c r="AM76" s="147">
        <v>0</v>
      </c>
      <c r="AN76" s="147">
        <v>0</v>
      </c>
      <c r="AO76" s="240">
        <v>0</v>
      </c>
      <c r="AP76" s="147">
        <f t="shared" si="8"/>
        <v>217347.37201721445</v>
      </c>
    </row>
    <row r="77" spans="2:42">
      <c r="B77" s="147" t="str">
        <v>Pórtico 3 (MG-262)</v>
      </c>
      <c r="C77" s="149" t="str">
        <v>1</v>
      </c>
      <c r="D77" s="149" t="str">
        <v>1.10</v>
      </c>
      <c r="E77" s="149">
        <v>1</v>
      </c>
      <c r="F77" s="149">
        <v>0</v>
      </c>
      <c r="G77" s="147" t="str">
        <v>Mobilização e desmobilização (%)</v>
      </c>
      <c r="H77" s="147" t="b">
        <v>0</v>
      </c>
      <c r="I77" s="147" t="b">
        <f t="shared" si="5"/>
        <v>0</v>
      </c>
      <c r="J77" s="147" t="b">
        <f t="shared" si="6"/>
        <v>0</v>
      </c>
      <c r="K77" s="147" t="b">
        <f t="shared" si="7"/>
        <v>1</v>
      </c>
      <c r="L77" s="147">
        <v>4066.4992183865929</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c r="AH77" s="147">
        <v>0</v>
      </c>
      <c r="AI77" s="147">
        <v>0</v>
      </c>
      <c r="AJ77" s="147">
        <v>0</v>
      </c>
      <c r="AK77" s="147">
        <v>0</v>
      </c>
      <c r="AL77" s="147">
        <v>0</v>
      </c>
      <c r="AM77" s="147">
        <v>0</v>
      </c>
      <c r="AN77" s="147">
        <v>0</v>
      </c>
      <c r="AO77" s="240">
        <v>0</v>
      </c>
      <c r="AP77" s="147">
        <f t="shared" si="8"/>
        <v>4066.4992183865929</v>
      </c>
    </row>
    <row r="78" spans="2:42">
      <c r="B78" s="147" t="str">
        <v>Pórtico 3 (MG-262)</v>
      </c>
      <c r="C78" s="149" t="str">
        <v>1</v>
      </c>
      <c r="D78" s="149" t="str">
        <v>1.11</v>
      </c>
      <c r="E78" s="149">
        <v>1</v>
      </c>
      <c r="F78" s="149">
        <v>0</v>
      </c>
      <c r="G78" s="147" t="str">
        <v>Projetos (%)</v>
      </c>
      <c r="H78" s="147" t="b">
        <v>0</v>
      </c>
      <c r="I78" s="147" t="b">
        <f t="shared" si="5"/>
        <v>0</v>
      </c>
      <c r="J78" s="147" t="b">
        <f t="shared" si="6"/>
        <v>0</v>
      </c>
      <c r="K78" s="147" t="b">
        <f t="shared" si="7"/>
        <v>1</v>
      </c>
      <c r="L78" s="147">
        <v>1752801.3872356005</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c r="AH78" s="147">
        <v>0</v>
      </c>
      <c r="AI78" s="147">
        <v>0</v>
      </c>
      <c r="AJ78" s="147">
        <v>0</v>
      </c>
      <c r="AK78" s="147">
        <v>0</v>
      </c>
      <c r="AL78" s="147">
        <v>0</v>
      </c>
      <c r="AM78" s="147">
        <v>0</v>
      </c>
      <c r="AN78" s="147">
        <v>0</v>
      </c>
      <c r="AO78" s="240">
        <v>0</v>
      </c>
      <c r="AP78" s="147">
        <f t="shared" si="8"/>
        <v>1752801.3872356005</v>
      </c>
    </row>
    <row r="79" spans="2:42">
      <c r="B79" s="147" t="str">
        <v>Pórtico 3 (MG-262)</v>
      </c>
      <c r="C79" s="149" t="str">
        <v>2</v>
      </c>
      <c r="D79" s="149">
        <v>2</v>
      </c>
      <c r="E79" s="149">
        <v>0</v>
      </c>
      <c r="F79" s="149">
        <v>0</v>
      </c>
      <c r="G79" s="147" t="str">
        <v>Recuperação do sistema rodoviário</v>
      </c>
      <c r="H79" s="147" t="b">
        <v>0</v>
      </c>
      <c r="I79" s="147" t="b">
        <f t="shared" si="5"/>
        <v>0</v>
      </c>
      <c r="J79" s="147" t="b">
        <f t="shared" si="6"/>
        <v>0</v>
      </c>
      <c r="K79" s="147" t="b">
        <f t="shared" si="7"/>
        <v>1</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c r="AH79" s="147">
        <v>0</v>
      </c>
      <c r="AI79" s="147">
        <v>0</v>
      </c>
      <c r="AJ79" s="147">
        <v>0</v>
      </c>
      <c r="AK79" s="147">
        <v>0</v>
      </c>
      <c r="AL79" s="147">
        <v>0</v>
      </c>
      <c r="AM79" s="147">
        <v>0</v>
      </c>
      <c r="AN79" s="147">
        <v>0</v>
      </c>
      <c r="AO79" s="240">
        <v>0</v>
      </c>
      <c r="AP79" s="147">
        <f t="shared" si="8"/>
        <v>0</v>
      </c>
    </row>
    <row r="80" spans="2:42">
      <c r="B80" s="147" t="str">
        <v>Pórtico 3 (MG-262)</v>
      </c>
      <c r="C80" s="149" t="str">
        <v>2</v>
      </c>
      <c r="D80" s="149" t="str">
        <v>2.1</v>
      </c>
      <c r="E80" s="149">
        <v>1</v>
      </c>
      <c r="F80" s="149">
        <v>0</v>
      </c>
      <c r="G80" s="147" t="str">
        <v>Pavimento</v>
      </c>
      <c r="H80" s="147" t="b">
        <v>0</v>
      </c>
      <c r="I80" s="147" t="b">
        <f t="shared" si="5"/>
        <v>0</v>
      </c>
      <c r="J80" s="147" t="b">
        <f t="shared" si="6"/>
        <v>0</v>
      </c>
      <c r="K80" s="147" t="b">
        <f t="shared" si="7"/>
        <v>1</v>
      </c>
      <c r="L80" s="147">
        <v>0</v>
      </c>
      <c r="M80" s="147">
        <v>20438340.030753653</v>
      </c>
      <c r="N80" s="147">
        <v>19187171.144163512</v>
      </c>
      <c r="O80" s="147">
        <v>11413770.883317729</v>
      </c>
      <c r="P80" s="147">
        <v>14442497.982219622</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c r="AH80" s="147">
        <v>0</v>
      </c>
      <c r="AI80" s="147">
        <v>0</v>
      </c>
      <c r="AJ80" s="147">
        <v>0</v>
      </c>
      <c r="AK80" s="147">
        <v>0</v>
      </c>
      <c r="AL80" s="147">
        <v>0</v>
      </c>
      <c r="AM80" s="147">
        <v>0</v>
      </c>
      <c r="AN80" s="147">
        <v>0</v>
      </c>
      <c r="AO80" s="240">
        <v>0</v>
      </c>
      <c r="AP80" s="147">
        <f t="shared" si="8"/>
        <v>65481780.040454514</v>
      </c>
    </row>
    <row r="81" spans="2:42">
      <c r="B81" s="147" t="str">
        <v>Pórtico 3 (MG-262)</v>
      </c>
      <c r="C81" s="149" t="str">
        <v>2</v>
      </c>
      <c r="D81" s="149" t="str">
        <v>2.2</v>
      </c>
      <c r="E81" s="149">
        <v>1</v>
      </c>
      <c r="F81" s="149">
        <v>0</v>
      </c>
      <c r="G81" s="147" t="str">
        <v>Obras de arte especiais</v>
      </c>
      <c r="H81" s="147" t="b">
        <v>0</v>
      </c>
      <c r="I81" s="147" t="b">
        <f t="shared" si="5"/>
        <v>0</v>
      </c>
      <c r="J81" s="147" t="b">
        <f t="shared" si="6"/>
        <v>0</v>
      </c>
      <c r="K81" s="147" t="b">
        <f t="shared" si="7"/>
        <v>1</v>
      </c>
      <c r="L81" s="147">
        <v>0</v>
      </c>
      <c r="M81" s="147">
        <v>5007893.8809299069</v>
      </c>
      <c r="N81" s="147">
        <v>869952.47556512582</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c r="AH81" s="147">
        <v>0</v>
      </c>
      <c r="AI81" s="147">
        <v>0</v>
      </c>
      <c r="AJ81" s="147">
        <v>0</v>
      </c>
      <c r="AK81" s="147">
        <v>0</v>
      </c>
      <c r="AL81" s="147">
        <v>0</v>
      </c>
      <c r="AM81" s="147">
        <v>0</v>
      </c>
      <c r="AN81" s="147">
        <v>0</v>
      </c>
      <c r="AO81" s="240">
        <v>0</v>
      </c>
      <c r="AP81" s="147">
        <f t="shared" si="8"/>
        <v>5877846.356495033</v>
      </c>
    </row>
    <row r="82" spans="2:42">
      <c r="B82" s="147" t="str">
        <v>Pórtico 3 (MG-262)</v>
      </c>
      <c r="C82" s="149" t="str">
        <v>2</v>
      </c>
      <c r="D82" s="149" t="str">
        <v>2.3</v>
      </c>
      <c r="E82" s="149">
        <v>1</v>
      </c>
      <c r="F82" s="149">
        <v>0</v>
      </c>
      <c r="G82" s="147" t="str">
        <v>Drenagem e obras de arte correntes</v>
      </c>
      <c r="H82" s="147" t="b">
        <v>0</v>
      </c>
      <c r="I82" s="147" t="b">
        <f t="shared" si="5"/>
        <v>0</v>
      </c>
      <c r="J82" s="147" t="b">
        <f t="shared" si="6"/>
        <v>0</v>
      </c>
      <c r="K82" s="147" t="b">
        <f t="shared" si="7"/>
        <v>1</v>
      </c>
      <c r="L82" s="147">
        <v>0</v>
      </c>
      <c r="M82" s="147">
        <v>569413.48989327252</v>
      </c>
      <c r="N82" s="147">
        <v>569413.48989327252</v>
      </c>
      <c r="O82" s="147">
        <v>569413.48989327252</v>
      </c>
      <c r="P82" s="147">
        <v>569413.48989327252</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c r="AH82" s="147">
        <v>0</v>
      </c>
      <c r="AI82" s="147">
        <v>0</v>
      </c>
      <c r="AJ82" s="147">
        <v>0</v>
      </c>
      <c r="AK82" s="147">
        <v>0</v>
      </c>
      <c r="AL82" s="147">
        <v>0</v>
      </c>
      <c r="AM82" s="147">
        <v>0</v>
      </c>
      <c r="AN82" s="147">
        <v>0</v>
      </c>
      <c r="AO82" s="240">
        <v>0</v>
      </c>
      <c r="AP82" s="147">
        <f t="shared" si="8"/>
        <v>2277653.9595730901</v>
      </c>
    </row>
    <row r="83" spans="2:42">
      <c r="B83" s="147" t="str">
        <v>Pórtico 3 (MG-262)</v>
      </c>
      <c r="C83" s="149" t="str">
        <v>2</v>
      </c>
      <c r="D83" s="149" t="str">
        <v>2.4</v>
      </c>
      <c r="E83" s="149">
        <v>1</v>
      </c>
      <c r="F83" s="149">
        <v>0</v>
      </c>
      <c r="G83" s="147" t="str">
        <v xml:space="preserve">Sinalização e dispositivos de proteção e segurança </v>
      </c>
      <c r="H83" s="147" t="b">
        <v>0</v>
      </c>
      <c r="I83" s="147" t="b">
        <f t="shared" si="5"/>
        <v>0</v>
      </c>
      <c r="J83" s="147" t="b">
        <f t="shared" si="6"/>
        <v>0</v>
      </c>
      <c r="K83" s="147" t="b">
        <f t="shared" si="7"/>
        <v>1</v>
      </c>
      <c r="L83" s="147">
        <v>0</v>
      </c>
      <c r="M83" s="147">
        <v>3126219.9802938383</v>
      </c>
      <c r="N83" s="147">
        <v>3126219.9802938383</v>
      </c>
      <c r="O83" s="147">
        <v>3126219.9802938383</v>
      </c>
      <c r="P83" s="147">
        <v>3070022.0025088387</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c r="AH83" s="147">
        <v>0</v>
      </c>
      <c r="AI83" s="147">
        <v>0</v>
      </c>
      <c r="AJ83" s="147">
        <v>0</v>
      </c>
      <c r="AK83" s="147">
        <v>0</v>
      </c>
      <c r="AL83" s="147">
        <v>0</v>
      </c>
      <c r="AM83" s="147">
        <v>0</v>
      </c>
      <c r="AN83" s="147">
        <v>0</v>
      </c>
      <c r="AO83" s="240">
        <v>0</v>
      </c>
      <c r="AP83" s="147">
        <f t="shared" si="8"/>
        <v>12448681.943390355</v>
      </c>
    </row>
    <row r="84" spans="2:42">
      <c r="B84" s="147" t="str">
        <v>Pórtico 3 (MG-262)</v>
      </c>
      <c r="C84" s="149" t="str">
        <v>2</v>
      </c>
      <c r="D84" s="149" t="str">
        <v>2.6</v>
      </c>
      <c r="E84" s="149">
        <v>1</v>
      </c>
      <c r="F84" s="149">
        <v>0</v>
      </c>
      <c r="G84" s="147" t="str">
        <v>Terraplenos e estrutura de contenção</v>
      </c>
      <c r="H84" s="147" t="b">
        <v>0</v>
      </c>
      <c r="I84" s="147" t="b">
        <f t="shared" si="5"/>
        <v>0</v>
      </c>
      <c r="J84" s="147" t="b">
        <f t="shared" si="6"/>
        <v>0</v>
      </c>
      <c r="K84" s="147" t="b">
        <f t="shared" si="7"/>
        <v>1</v>
      </c>
      <c r="L84" s="147">
        <v>0</v>
      </c>
      <c r="M84" s="147">
        <v>0</v>
      </c>
      <c r="N84" s="147">
        <v>0</v>
      </c>
      <c r="O84" s="147">
        <v>0</v>
      </c>
      <c r="P84" s="147">
        <v>0</v>
      </c>
      <c r="Q84" s="147">
        <v>0</v>
      </c>
      <c r="R84" s="147">
        <v>0</v>
      </c>
      <c r="S84" s="147">
        <v>0</v>
      </c>
      <c r="T84" s="147">
        <v>0</v>
      </c>
      <c r="U84" s="147">
        <v>0</v>
      </c>
      <c r="V84" s="147">
        <v>0</v>
      </c>
      <c r="W84" s="147">
        <v>0</v>
      </c>
      <c r="X84" s="147">
        <v>0</v>
      </c>
      <c r="Y84" s="147">
        <v>0</v>
      </c>
      <c r="Z84" s="147">
        <v>0</v>
      </c>
      <c r="AA84" s="147">
        <v>0</v>
      </c>
      <c r="AB84" s="147">
        <v>0</v>
      </c>
      <c r="AC84" s="147">
        <v>0</v>
      </c>
      <c r="AD84" s="147">
        <v>0</v>
      </c>
      <c r="AE84" s="147">
        <v>0</v>
      </c>
      <c r="AF84" s="147">
        <v>0</v>
      </c>
      <c r="AG84" s="147">
        <v>0</v>
      </c>
      <c r="AH84" s="147">
        <v>0</v>
      </c>
      <c r="AI84" s="147">
        <v>0</v>
      </c>
      <c r="AJ84" s="147">
        <v>0</v>
      </c>
      <c r="AK84" s="147">
        <v>0</v>
      </c>
      <c r="AL84" s="147">
        <v>0</v>
      </c>
      <c r="AM84" s="147">
        <v>0</v>
      </c>
      <c r="AN84" s="147">
        <v>0</v>
      </c>
      <c r="AO84" s="240">
        <v>0</v>
      </c>
      <c r="AP84" s="147">
        <f t="shared" si="8"/>
        <v>0</v>
      </c>
    </row>
    <row r="85" spans="2:42">
      <c r="B85" s="147" t="str">
        <v>Pórtico 3 (MG-262)</v>
      </c>
      <c r="C85" s="149" t="str">
        <v>2</v>
      </c>
      <c r="D85" s="149" t="str">
        <v>2.7</v>
      </c>
      <c r="E85" s="149">
        <v>1</v>
      </c>
      <c r="F85" s="149">
        <v>0</v>
      </c>
      <c r="G85" s="147" t="str">
        <v>Sistemas elétricos e de iluminação</v>
      </c>
      <c r="H85" s="147" t="b">
        <v>0</v>
      </c>
      <c r="I85" s="147" t="b">
        <f t="shared" si="5"/>
        <v>0</v>
      </c>
      <c r="J85" s="147" t="b">
        <f t="shared" si="6"/>
        <v>0</v>
      </c>
      <c r="K85" s="147" t="b">
        <f t="shared" si="7"/>
        <v>1</v>
      </c>
      <c r="L85" s="147">
        <v>0</v>
      </c>
      <c r="M85" s="147">
        <v>44747.753419999994</v>
      </c>
      <c r="N85" s="147">
        <v>4917.0102799999995</v>
      </c>
      <c r="O85" s="147">
        <v>4917.0102799999995</v>
      </c>
      <c r="P85" s="147">
        <v>2458.5051399999998</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c r="AH85" s="147">
        <v>0</v>
      </c>
      <c r="AI85" s="147">
        <v>0</v>
      </c>
      <c r="AJ85" s="147">
        <v>0</v>
      </c>
      <c r="AK85" s="147">
        <v>0</v>
      </c>
      <c r="AL85" s="147">
        <v>0</v>
      </c>
      <c r="AM85" s="147">
        <v>0</v>
      </c>
      <c r="AN85" s="147">
        <v>0</v>
      </c>
      <c r="AO85" s="240">
        <v>0</v>
      </c>
      <c r="AP85" s="147">
        <f t="shared" si="8"/>
        <v>57040.279119999999</v>
      </c>
    </row>
    <row r="86" spans="2:42">
      <c r="B86" s="147" t="str">
        <v>Pórtico 3 (MG-262)</v>
      </c>
      <c r="C86" s="149" t="str">
        <v>2</v>
      </c>
      <c r="D86" s="149" t="str">
        <v>2.8</v>
      </c>
      <c r="E86" s="149">
        <v>1</v>
      </c>
      <c r="F86" s="149">
        <v>0</v>
      </c>
      <c r="G86" s="147" t="str">
        <v>Canteiro central e faixa de domínio</v>
      </c>
      <c r="H86" s="147" t="b">
        <v>0</v>
      </c>
      <c r="I86" s="147" t="b">
        <f t="shared" si="5"/>
        <v>0</v>
      </c>
      <c r="J86" s="147" t="b">
        <f t="shared" si="6"/>
        <v>0</v>
      </c>
      <c r="K86" s="147" t="b">
        <f t="shared" si="7"/>
        <v>1</v>
      </c>
      <c r="L86" s="147">
        <v>0</v>
      </c>
      <c r="M86" s="147">
        <v>388764.729761408</v>
      </c>
      <c r="N86" s="147">
        <v>388764.729761408</v>
      </c>
      <c r="O86" s="147">
        <v>388764.729761408</v>
      </c>
      <c r="P86" s="147">
        <v>388764.729761408</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c r="AH86" s="147">
        <v>0</v>
      </c>
      <c r="AI86" s="147">
        <v>0</v>
      </c>
      <c r="AJ86" s="147">
        <v>0</v>
      </c>
      <c r="AK86" s="147">
        <v>0</v>
      </c>
      <c r="AL86" s="147">
        <v>0</v>
      </c>
      <c r="AM86" s="147">
        <v>0</v>
      </c>
      <c r="AN86" s="147">
        <v>0</v>
      </c>
      <c r="AO86" s="240">
        <v>0</v>
      </c>
      <c r="AP86" s="147">
        <f t="shared" si="8"/>
        <v>1555058.919045632</v>
      </c>
    </row>
    <row r="87" spans="2:42">
      <c r="B87" s="147" t="str">
        <v>Pórtico 3 (MG-262)</v>
      </c>
      <c r="C87" s="149" t="str">
        <v>2</v>
      </c>
      <c r="D87" s="149" t="str">
        <v>2.9</v>
      </c>
      <c r="E87" s="149">
        <v>1</v>
      </c>
      <c r="F87" s="149">
        <v>0</v>
      </c>
      <c r="G87" s="147" t="str">
        <v>Administração local (%)</v>
      </c>
      <c r="H87" s="147" t="b">
        <v>0</v>
      </c>
      <c r="I87" s="147" t="b">
        <f t="shared" si="5"/>
        <v>0</v>
      </c>
      <c r="J87" s="147" t="b">
        <f t="shared" si="6"/>
        <v>0</v>
      </c>
      <c r="K87" s="147" t="b">
        <f t="shared" si="7"/>
        <v>1</v>
      </c>
      <c r="L87" s="147">
        <v>0</v>
      </c>
      <c r="M87" s="147">
        <v>363777.17234014062</v>
      </c>
      <c r="N87" s="147">
        <v>297001.19760847307</v>
      </c>
      <c r="O87" s="147">
        <v>190687.95895061886</v>
      </c>
      <c r="P87" s="147">
        <v>227219.82752713465</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c r="AH87" s="147">
        <v>0</v>
      </c>
      <c r="AI87" s="147">
        <v>0</v>
      </c>
      <c r="AJ87" s="147">
        <v>0</v>
      </c>
      <c r="AK87" s="147">
        <v>0</v>
      </c>
      <c r="AL87" s="147">
        <v>0</v>
      </c>
      <c r="AM87" s="147">
        <v>0</v>
      </c>
      <c r="AN87" s="147">
        <v>0</v>
      </c>
      <c r="AO87" s="240">
        <v>0</v>
      </c>
      <c r="AP87" s="147">
        <f t="shared" si="8"/>
        <v>1078686.1564263671</v>
      </c>
    </row>
    <row r="88" spans="2:42">
      <c r="B88" s="147" t="str">
        <v>Pórtico 3 (MG-262)</v>
      </c>
      <c r="C88" s="149" t="str">
        <v>2</v>
      </c>
      <c r="D88" s="149" t="str">
        <v>2.10</v>
      </c>
      <c r="E88" s="149">
        <v>1</v>
      </c>
      <c r="F88" s="149">
        <v>0</v>
      </c>
      <c r="G88" s="147" t="str">
        <v>Canteiro de obras (%)</v>
      </c>
      <c r="H88" s="147" t="b">
        <v>0</v>
      </c>
      <c r="I88" s="147" t="b">
        <f t="shared" si="5"/>
        <v>0</v>
      </c>
      <c r="J88" s="147" t="b">
        <f t="shared" si="6"/>
        <v>0</v>
      </c>
      <c r="K88" s="147" t="b">
        <f t="shared" si="7"/>
        <v>1</v>
      </c>
      <c r="L88" s="147">
        <v>0</v>
      </c>
      <c r="M88" s="147">
        <v>91683.677581661454</v>
      </c>
      <c r="N88" s="147">
        <v>74853.960372867194</v>
      </c>
      <c r="O88" s="147">
        <v>48059.566889993373</v>
      </c>
      <c r="P88" s="147">
        <v>57266.785799521735</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c r="AH88" s="147">
        <v>0</v>
      </c>
      <c r="AI88" s="147">
        <v>0</v>
      </c>
      <c r="AJ88" s="147">
        <v>0</v>
      </c>
      <c r="AK88" s="147">
        <v>0</v>
      </c>
      <c r="AL88" s="147">
        <v>0</v>
      </c>
      <c r="AM88" s="147">
        <v>0</v>
      </c>
      <c r="AN88" s="147">
        <v>0</v>
      </c>
      <c r="AO88" s="240">
        <v>0</v>
      </c>
      <c r="AP88" s="147">
        <f t="shared" si="8"/>
        <v>271863.99064404378</v>
      </c>
    </row>
    <row r="89" spans="2:42">
      <c r="B89" s="147" t="str">
        <v>Pórtico 3 (MG-262)</v>
      </c>
      <c r="C89" s="149" t="str">
        <v>2</v>
      </c>
      <c r="D89" s="149" t="str">
        <v>2.11</v>
      </c>
      <c r="E89" s="149">
        <v>1</v>
      </c>
      <c r="F89" s="149">
        <v>0</v>
      </c>
      <c r="G89" s="147" t="str">
        <v>Mobilização e desmobilização (%)</v>
      </c>
      <c r="H89" s="147" t="b">
        <v>0</v>
      </c>
      <c r="I89" s="147" t="b">
        <f t="shared" si="5"/>
        <v>0</v>
      </c>
      <c r="J89" s="147" t="b">
        <f t="shared" si="6"/>
        <v>0</v>
      </c>
      <c r="K89" s="147" t="b">
        <f t="shared" si="7"/>
        <v>1</v>
      </c>
      <c r="L89" s="147">
        <v>0</v>
      </c>
      <c r="M89" s="147">
        <v>1715.3720321730207</v>
      </c>
      <c r="N89" s="147">
        <v>1400.4934521375153</v>
      </c>
      <c r="O89" s="147">
        <v>899.17899342568239</v>
      </c>
      <c r="P89" s="147">
        <v>1071.4430891523423</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c r="AH89" s="147">
        <v>0</v>
      </c>
      <c r="AI89" s="147">
        <v>0</v>
      </c>
      <c r="AJ89" s="147">
        <v>0</v>
      </c>
      <c r="AK89" s="147">
        <v>0</v>
      </c>
      <c r="AL89" s="147">
        <v>0</v>
      </c>
      <c r="AM89" s="147">
        <v>0</v>
      </c>
      <c r="AN89" s="147">
        <v>0</v>
      </c>
      <c r="AO89" s="240">
        <v>0</v>
      </c>
      <c r="AP89" s="147">
        <f t="shared" si="8"/>
        <v>5086.4875668885607</v>
      </c>
    </row>
    <row r="90" spans="2:42">
      <c r="B90" s="147" t="str">
        <v>Pórtico 3 (MG-262)</v>
      </c>
      <c r="C90" s="149" t="str">
        <v>2</v>
      </c>
      <c r="D90" s="149" t="str">
        <v>2.12</v>
      </c>
      <c r="E90" s="149">
        <v>1</v>
      </c>
      <c r="F90" s="149">
        <v>0</v>
      </c>
      <c r="G90" s="147" t="str">
        <v>Projetos (%)</v>
      </c>
      <c r="H90" s="147" t="b">
        <v>0</v>
      </c>
      <c r="I90" s="147" t="b">
        <f t="shared" si="5"/>
        <v>0</v>
      </c>
      <c r="J90" s="147" t="b">
        <f t="shared" si="6"/>
        <v>0</v>
      </c>
      <c r="K90" s="147" t="b">
        <f t="shared" si="7"/>
        <v>1</v>
      </c>
      <c r="L90" s="147">
        <v>0</v>
      </c>
      <c r="M90" s="147">
        <v>739384.49662630202</v>
      </c>
      <c r="N90" s="147">
        <v>603660.97074892896</v>
      </c>
      <c r="O90" s="147">
        <v>387577.15233865619</v>
      </c>
      <c r="P90" s="147">
        <v>461828.91773807857</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c r="AH90" s="147">
        <v>0</v>
      </c>
      <c r="AI90" s="147">
        <v>0</v>
      </c>
      <c r="AJ90" s="147">
        <v>0</v>
      </c>
      <c r="AK90" s="147">
        <v>0</v>
      </c>
      <c r="AL90" s="147">
        <v>0</v>
      </c>
      <c r="AM90" s="147">
        <v>0</v>
      </c>
      <c r="AN90" s="147">
        <v>0</v>
      </c>
      <c r="AO90" s="240">
        <v>0</v>
      </c>
      <c r="AP90" s="147">
        <f t="shared" si="8"/>
        <v>2192451.5374519657</v>
      </c>
    </row>
    <row r="91" spans="2:42">
      <c r="B91" s="147" t="str">
        <v>Pórtico 3 (MG-262)</v>
      </c>
      <c r="C91" s="149" t="str">
        <v>4</v>
      </c>
      <c r="D91" s="149">
        <v>4</v>
      </c>
      <c r="E91" s="149">
        <v>0</v>
      </c>
      <c r="F91" s="149">
        <v>0</v>
      </c>
      <c r="G91" s="147" t="str">
        <v>Obras de ampliação da capacidade e outras melhorias</v>
      </c>
      <c r="H91" s="147" t="b">
        <v>0</v>
      </c>
      <c r="I91" s="147" t="b">
        <f t="shared" si="5"/>
        <v>0</v>
      </c>
      <c r="J91" s="147" t="b">
        <f t="shared" si="6"/>
        <v>0</v>
      </c>
      <c r="K91" s="147" t="b">
        <f t="shared" si="7"/>
        <v>1</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c r="AH91" s="147">
        <v>0</v>
      </c>
      <c r="AI91" s="147">
        <v>0</v>
      </c>
      <c r="AJ91" s="147">
        <v>0</v>
      </c>
      <c r="AK91" s="147">
        <v>0</v>
      </c>
      <c r="AL91" s="147">
        <v>0</v>
      </c>
      <c r="AM91" s="147">
        <v>0</v>
      </c>
      <c r="AN91" s="147">
        <v>0</v>
      </c>
      <c r="AO91" s="240">
        <v>0</v>
      </c>
      <c r="AP91" s="147">
        <f t="shared" si="8"/>
        <v>0</v>
      </c>
    </row>
    <row r="92" spans="2:42">
      <c r="B92" s="147" t="str">
        <v>Pórtico 3 (MG-262)</v>
      </c>
      <c r="C92" s="149" t="str">
        <v>4</v>
      </c>
      <c r="D92" s="149" t="str">
        <v>4.1</v>
      </c>
      <c r="E92" s="149">
        <v>1</v>
      </c>
      <c r="F92" s="149">
        <v>0</v>
      </c>
      <c r="G92" s="147" t="str">
        <v xml:space="preserve">Duplicação </v>
      </c>
      <c r="H92" s="147" t="b">
        <v>0</v>
      </c>
      <c r="I92" s="147" t="b">
        <f t="shared" si="5"/>
        <v>0</v>
      </c>
      <c r="J92" s="147" t="b">
        <f t="shared" si="6"/>
        <v>0</v>
      </c>
      <c r="K92" s="147" t="b">
        <f t="shared" si="7"/>
        <v>1</v>
      </c>
      <c r="L92" s="147">
        <v>0</v>
      </c>
      <c r="M92" s="147">
        <v>0</v>
      </c>
      <c r="N92" s="147">
        <v>0</v>
      </c>
      <c r="O92" s="147">
        <v>0</v>
      </c>
      <c r="P92" s="147">
        <v>0</v>
      </c>
      <c r="Q92" s="147">
        <v>0</v>
      </c>
      <c r="R92" s="147">
        <v>0</v>
      </c>
      <c r="S92" s="147">
        <v>0</v>
      </c>
      <c r="T92" s="147">
        <v>0</v>
      </c>
      <c r="U92" s="147">
        <v>0</v>
      </c>
      <c r="V92" s="147">
        <v>0</v>
      </c>
      <c r="W92" s="147">
        <v>0</v>
      </c>
      <c r="X92" s="147">
        <v>0</v>
      </c>
      <c r="Y92" s="147">
        <v>0</v>
      </c>
      <c r="Z92" s="147">
        <v>41815900</v>
      </c>
      <c r="AA92" s="147">
        <v>0</v>
      </c>
      <c r="AB92" s="147">
        <v>0</v>
      </c>
      <c r="AC92" s="147">
        <v>0</v>
      </c>
      <c r="AD92" s="147">
        <v>0</v>
      </c>
      <c r="AE92" s="147">
        <v>0</v>
      </c>
      <c r="AF92" s="147">
        <v>0</v>
      </c>
      <c r="AG92" s="147">
        <v>0</v>
      </c>
      <c r="AH92" s="147">
        <v>0</v>
      </c>
      <c r="AI92" s="147">
        <v>0</v>
      </c>
      <c r="AJ92" s="147">
        <v>0</v>
      </c>
      <c r="AK92" s="147">
        <v>0</v>
      </c>
      <c r="AL92" s="147">
        <v>0</v>
      </c>
      <c r="AM92" s="147">
        <v>0</v>
      </c>
      <c r="AN92" s="147">
        <v>0</v>
      </c>
      <c r="AO92" s="240">
        <v>0</v>
      </c>
      <c r="AP92" s="147">
        <f t="shared" si="8"/>
        <v>41815900</v>
      </c>
    </row>
    <row r="93" spans="2:42">
      <c r="B93" s="147" t="str">
        <v>Pórtico 3 (MG-262)</v>
      </c>
      <c r="C93" s="149" t="str">
        <v>4</v>
      </c>
      <c r="D93" s="149" t="str">
        <v>4.2</v>
      </c>
      <c r="E93" s="149">
        <v>1</v>
      </c>
      <c r="F93" s="149">
        <v>0</v>
      </c>
      <c r="G93" s="147" t="str">
        <v xml:space="preserve">Vias marginais </v>
      </c>
      <c r="H93" s="147" t="b">
        <v>0</v>
      </c>
      <c r="I93" s="147" t="b">
        <f t="shared" si="5"/>
        <v>0</v>
      </c>
      <c r="J93" s="147" t="b">
        <f t="shared" si="6"/>
        <v>0</v>
      </c>
      <c r="K93" s="147" t="b">
        <f t="shared" si="7"/>
        <v>1</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c r="AH93" s="147">
        <v>0</v>
      </c>
      <c r="AI93" s="147">
        <v>0</v>
      </c>
      <c r="AJ93" s="147">
        <v>0</v>
      </c>
      <c r="AK93" s="147">
        <v>0</v>
      </c>
      <c r="AL93" s="147">
        <v>0</v>
      </c>
      <c r="AM93" s="147">
        <v>0</v>
      </c>
      <c r="AN93" s="147">
        <v>0</v>
      </c>
      <c r="AO93" s="240">
        <v>0</v>
      </c>
      <c r="AP93" s="147">
        <f t="shared" si="8"/>
        <v>0</v>
      </c>
    </row>
    <row r="94" spans="2:42">
      <c r="B94" s="147" t="str">
        <v>Pórtico 3 (MG-262)</v>
      </c>
      <c r="C94" s="149" t="str">
        <v>4</v>
      </c>
      <c r="D94" s="149" t="str">
        <v>4.3</v>
      </c>
      <c r="E94" s="149">
        <v>1</v>
      </c>
      <c r="F94" s="149">
        <v>0</v>
      </c>
      <c r="G94" s="147" t="str">
        <v xml:space="preserve">Contornos urbanos e travessias urbanas </v>
      </c>
      <c r="H94" s="147" t="b">
        <v>0</v>
      </c>
      <c r="I94" s="147" t="b">
        <f t="shared" si="5"/>
        <v>0</v>
      </c>
      <c r="J94" s="147" t="b">
        <f t="shared" si="6"/>
        <v>0</v>
      </c>
      <c r="K94" s="147" t="b">
        <f t="shared" si="7"/>
        <v>1</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c r="AH94" s="147">
        <v>0</v>
      </c>
      <c r="AI94" s="147">
        <v>0</v>
      </c>
      <c r="AJ94" s="147">
        <v>0</v>
      </c>
      <c r="AK94" s="147">
        <v>0</v>
      </c>
      <c r="AL94" s="147">
        <v>0</v>
      </c>
      <c r="AM94" s="147">
        <v>0</v>
      </c>
      <c r="AN94" s="147">
        <v>0</v>
      </c>
      <c r="AO94" s="240">
        <v>0</v>
      </c>
      <c r="AP94" s="147">
        <f t="shared" si="8"/>
        <v>0</v>
      </c>
    </row>
    <row r="95" spans="2:42">
      <c r="B95" s="147" t="str">
        <v>Pórtico 3 (MG-262)</v>
      </c>
      <c r="C95" s="149" t="str">
        <v>4</v>
      </c>
      <c r="D95" s="149" t="str">
        <v>4.4</v>
      </c>
      <c r="E95" s="149">
        <v>1</v>
      </c>
      <c r="F95" s="149">
        <v>0</v>
      </c>
      <c r="G95" s="147" t="str">
        <v xml:space="preserve">Faixas adicionais </v>
      </c>
      <c r="H95" s="147" t="b">
        <v>0</v>
      </c>
      <c r="I95" s="147" t="b">
        <f t="shared" si="5"/>
        <v>0</v>
      </c>
      <c r="J95" s="147" t="b">
        <f t="shared" si="6"/>
        <v>0</v>
      </c>
      <c r="K95" s="147" t="b">
        <f t="shared" si="7"/>
        <v>1</v>
      </c>
      <c r="L95" s="147">
        <v>0</v>
      </c>
      <c r="M95" s="147">
        <v>0</v>
      </c>
      <c r="N95" s="147">
        <v>9023326.3842203151</v>
      </c>
      <c r="O95" s="147">
        <v>41531119.271397069</v>
      </c>
      <c r="P95" s="147">
        <v>35675758.309870161</v>
      </c>
      <c r="Q95" s="147">
        <v>29344098.972681198</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c r="AH95" s="147">
        <v>0</v>
      </c>
      <c r="AI95" s="147">
        <v>0</v>
      </c>
      <c r="AJ95" s="147">
        <v>0</v>
      </c>
      <c r="AK95" s="147">
        <v>0</v>
      </c>
      <c r="AL95" s="147">
        <v>0</v>
      </c>
      <c r="AM95" s="147">
        <v>0</v>
      </c>
      <c r="AN95" s="147">
        <v>0</v>
      </c>
      <c r="AO95" s="240">
        <v>0</v>
      </c>
      <c r="AP95" s="147">
        <f t="shared" si="8"/>
        <v>115574302.93816873</v>
      </c>
    </row>
    <row r="96" spans="2:42">
      <c r="B96" s="147" t="str">
        <v>Pórtico 3 (MG-262)</v>
      </c>
      <c r="C96" s="149" t="str">
        <v>4</v>
      </c>
      <c r="D96" s="149" t="str">
        <v>4.5</v>
      </c>
      <c r="E96" s="149">
        <v>1</v>
      </c>
      <c r="F96" s="149">
        <v>0</v>
      </c>
      <c r="G96" s="147" t="str">
        <v xml:space="preserve">Acostamentos e adequação de plataforma </v>
      </c>
      <c r="H96" s="147" t="b">
        <v>0</v>
      </c>
      <c r="I96" s="147" t="b">
        <f t="shared" si="5"/>
        <v>0</v>
      </c>
      <c r="J96" s="147" t="b">
        <f t="shared" si="6"/>
        <v>0</v>
      </c>
      <c r="K96" s="147" t="b">
        <f t="shared" si="7"/>
        <v>1</v>
      </c>
      <c r="L96" s="147">
        <v>0</v>
      </c>
      <c r="M96" s="147">
        <v>0</v>
      </c>
      <c r="N96" s="147">
        <v>14271364.87801853</v>
      </c>
      <c r="O96" s="147">
        <v>33304773.802972753</v>
      </c>
      <c r="P96" s="147">
        <v>26249668.152612593</v>
      </c>
      <c r="Q96" s="147">
        <v>50174286.299207993</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c r="AH96" s="147">
        <v>0</v>
      </c>
      <c r="AI96" s="147">
        <v>0</v>
      </c>
      <c r="AJ96" s="147">
        <v>0</v>
      </c>
      <c r="AK96" s="147">
        <v>0</v>
      </c>
      <c r="AL96" s="147">
        <v>0</v>
      </c>
      <c r="AM96" s="147">
        <v>0</v>
      </c>
      <c r="AN96" s="147">
        <v>0</v>
      </c>
      <c r="AO96" s="240">
        <v>0</v>
      </c>
      <c r="AP96" s="147">
        <f t="shared" si="8"/>
        <v>124000093.13281187</v>
      </c>
    </row>
    <row r="97" spans="2:42">
      <c r="B97" s="147" t="str">
        <v>Pórtico 3 (MG-262)</v>
      </c>
      <c r="C97" s="149" t="str">
        <v>4</v>
      </c>
      <c r="D97" s="149" t="str">
        <v>4.6</v>
      </c>
      <c r="E97" s="149">
        <v>1</v>
      </c>
      <c r="F97" s="149">
        <v>0</v>
      </c>
      <c r="G97" s="147" t="str">
        <v>Implantação de oae</v>
      </c>
      <c r="H97" s="147" t="b">
        <v>0</v>
      </c>
      <c r="I97" s="147" t="b">
        <f t="shared" si="5"/>
        <v>0</v>
      </c>
      <c r="J97" s="147" t="b">
        <f t="shared" si="6"/>
        <v>0</v>
      </c>
      <c r="K97" s="147" t="b">
        <f t="shared" si="7"/>
        <v>1</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c r="AH97" s="147">
        <v>0</v>
      </c>
      <c r="AI97" s="147">
        <v>0</v>
      </c>
      <c r="AJ97" s="147">
        <v>0</v>
      </c>
      <c r="AK97" s="147">
        <v>0</v>
      </c>
      <c r="AL97" s="147">
        <v>0</v>
      </c>
      <c r="AM97" s="147">
        <v>0</v>
      </c>
      <c r="AN97" s="147">
        <v>0</v>
      </c>
      <c r="AO97" s="240">
        <v>0</v>
      </c>
      <c r="AP97" s="147">
        <f t="shared" si="8"/>
        <v>0</v>
      </c>
    </row>
    <row r="98" spans="2:42">
      <c r="B98" s="147" t="str">
        <v>Pórtico 3 (MG-262)</v>
      </c>
      <c r="C98" s="149" t="str">
        <v>4</v>
      </c>
      <c r="D98" s="149" t="str">
        <v>4.7</v>
      </c>
      <c r="E98" s="149">
        <v>1</v>
      </c>
      <c r="F98" s="149">
        <v>0</v>
      </c>
      <c r="G98" s="147" t="str">
        <v xml:space="preserve">Implantação de dispositivo em nível </v>
      </c>
      <c r="H98" s="147" t="b">
        <v>0</v>
      </c>
      <c r="I98" s="147" t="b">
        <f t="shared" si="5"/>
        <v>0</v>
      </c>
      <c r="J98" s="147" t="b">
        <f t="shared" si="6"/>
        <v>0</v>
      </c>
      <c r="K98" s="147" t="b">
        <f t="shared" si="7"/>
        <v>1</v>
      </c>
      <c r="L98" s="147">
        <v>0</v>
      </c>
      <c r="M98" s="147">
        <v>0</v>
      </c>
      <c r="N98" s="147">
        <v>18475415.532032974</v>
      </c>
      <c r="O98" s="147">
        <v>5861804.5686446112</v>
      </c>
      <c r="P98" s="147">
        <v>11723609.137289222</v>
      </c>
      <c r="Q98" s="147">
        <v>5861804.5686446112</v>
      </c>
      <c r="R98" s="147">
        <v>0</v>
      </c>
      <c r="S98" s="147">
        <v>0</v>
      </c>
      <c r="T98" s="147">
        <v>0</v>
      </c>
      <c r="U98" s="147">
        <v>0</v>
      </c>
      <c r="V98" s="147">
        <v>0</v>
      </c>
      <c r="W98" s="147">
        <v>0</v>
      </c>
      <c r="X98" s="147">
        <v>0</v>
      </c>
      <c r="Y98" s="147">
        <v>0</v>
      </c>
      <c r="Z98" s="147">
        <v>6460283.0527160354</v>
      </c>
      <c r="AA98" s="147">
        <v>0</v>
      </c>
      <c r="AB98" s="147">
        <v>0</v>
      </c>
      <c r="AC98" s="147">
        <v>0</v>
      </c>
      <c r="AD98" s="147">
        <v>0</v>
      </c>
      <c r="AE98" s="147">
        <v>0</v>
      </c>
      <c r="AF98" s="147">
        <v>0</v>
      </c>
      <c r="AG98" s="147">
        <v>0</v>
      </c>
      <c r="AH98" s="147">
        <v>0</v>
      </c>
      <c r="AI98" s="147">
        <v>0</v>
      </c>
      <c r="AJ98" s="147">
        <v>0</v>
      </c>
      <c r="AK98" s="147">
        <v>0</v>
      </c>
      <c r="AL98" s="147">
        <v>0</v>
      </c>
      <c r="AM98" s="147">
        <v>0</v>
      </c>
      <c r="AN98" s="147">
        <v>0</v>
      </c>
      <c r="AO98" s="240">
        <v>0</v>
      </c>
      <c r="AP98" s="147">
        <f t="shared" si="8"/>
        <v>48382916.85932745</v>
      </c>
    </row>
    <row r="99" spans="2:42">
      <c r="B99" s="147" t="str">
        <v>Pórtico 3 (MG-262)</v>
      </c>
      <c r="C99" s="149" t="str">
        <v>4</v>
      </c>
      <c r="D99" s="149" t="str">
        <v>4.8</v>
      </c>
      <c r="E99" s="149">
        <v>1</v>
      </c>
      <c r="F99" s="149">
        <v>0</v>
      </c>
      <c r="G99" s="147" t="str">
        <v>Adequação oae - alargamento e trem tipo</v>
      </c>
      <c r="H99" s="147" t="b">
        <v>0</v>
      </c>
      <c r="I99" s="147" t="b">
        <f t="shared" si="5"/>
        <v>0</v>
      </c>
      <c r="J99" s="147" t="b">
        <f t="shared" si="6"/>
        <v>0</v>
      </c>
      <c r="K99" s="147" t="b">
        <f t="shared" si="7"/>
        <v>1</v>
      </c>
      <c r="L99" s="147">
        <v>0</v>
      </c>
      <c r="M99" s="147">
        <v>0</v>
      </c>
      <c r="N99" s="147">
        <v>0</v>
      </c>
      <c r="O99" s="147">
        <v>5595912.2767431997</v>
      </c>
      <c r="P99" s="147">
        <v>0</v>
      </c>
      <c r="Q99" s="147">
        <v>3169467.2530193864</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c r="AH99" s="147">
        <v>0</v>
      </c>
      <c r="AI99" s="147">
        <v>0</v>
      </c>
      <c r="AJ99" s="147">
        <v>0</v>
      </c>
      <c r="AK99" s="147">
        <v>0</v>
      </c>
      <c r="AL99" s="147">
        <v>0</v>
      </c>
      <c r="AM99" s="147">
        <v>0</v>
      </c>
      <c r="AN99" s="147">
        <v>0</v>
      </c>
      <c r="AO99" s="240">
        <v>0</v>
      </c>
      <c r="AP99" s="147">
        <f t="shared" si="8"/>
        <v>8765379.5297625866</v>
      </c>
    </row>
    <row r="100" spans="2:42">
      <c r="B100" s="147" t="str">
        <v>Pórtico 3 (MG-262)</v>
      </c>
      <c r="C100" s="149" t="str">
        <v>4</v>
      </c>
      <c r="D100" s="149" t="str">
        <v>4.9</v>
      </c>
      <c r="E100" s="149">
        <v>1</v>
      </c>
      <c r="F100" s="149">
        <v>0</v>
      </c>
      <c r="G100" s="147" t="str">
        <v xml:space="preserve">Adequação de acessos existentes simples </v>
      </c>
      <c r="H100" s="147" t="b">
        <v>0</v>
      </c>
      <c r="I100" s="147" t="b">
        <f t="shared" si="5"/>
        <v>0</v>
      </c>
      <c r="J100" s="147" t="b">
        <f t="shared" si="6"/>
        <v>0</v>
      </c>
      <c r="K100" s="147" t="b">
        <f t="shared" si="7"/>
        <v>1</v>
      </c>
      <c r="L100" s="147">
        <v>0</v>
      </c>
      <c r="M100" s="147">
        <v>0</v>
      </c>
      <c r="N100" s="147">
        <v>83422.939247915929</v>
      </c>
      <c r="O100" s="147">
        <v>500537.63548749557</v>
      </c>
      <c r="P100" s="147">
        <v>583960.57473541133</v>
      </c>
      <c r="Q100" s="147">
        <v>333691.75699166371</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c r="AH100" s="147">
        <v>0</v>
      </c>
      <c r="AI100" s="147">
        <v>0</v>
      </c>
      <c r="AJ100" s="147">
        <v>0</v>
      </c>
      <c r="AK100" s="147">
        <v>0</v>
      </c>
      <c r="AL100" s="147">
        <v>0</v>
      </c>
      <c r="AM100" s="147">
        <v>0</v>
      </c>
      <c r="AN100" s="147">
        <v>0</v>
      </c>
      <c r="AO100" s="240">
        <v>0</v>
      </c>
      <c r="AP100" s="147">
        <f t="shared" si="8"/>
        <v>1501612.9064624866</v>
      </c>
    </row>
    <row r="101" spans="2:42">
      <c r="B101" s="147" t="str">
        <v>Pórtico 3 (MG-262)</v>
      </c>
      <c r="C101" s="149" t="str">
        <v>4</v>
      </c>
      <c r="D101" s="149" t="str">
        <v>4.10</v>
      </c>
      <c r="E101" s="149">
        <v>1</v>
      </c>
      <c r="F101" s="149">
        <v>0</v>
      </c>
      <c r="G101" s="147" t="str">
        <v xml:space="preserve">Adequação de acessos existentes com faixa de aceleração </v>
      </c>
      <c r="H101" s="147" t="b">
        <v>0</v>
      </c>
      <c r="I101" s="147" t="b">
        <f t="shared" si="5"/>
        <v>0</v>
      </c>
      <c r="J101" s="147" t="b">
        <f t="shared" si="6"/>
        <v>0</v>
      </c>
      <c r="K101" s="147" t="b">
        <f t="shared" si="7"/>
        <v>1</v>
      </c>
      <c r="L101" s="147">
        <v>0</v>
      </c>
      <c r="M101" s="147">
        <v>0</v>
      </c>
      <c r="N101" s="147">
        <v>2255806.7329566428</v>
      </c>
      <c r="O101" s="147">
        <v>1691855.0497174819</v>
      </c>
      <c r="P101" s="147">
        <v>3383710.0994349639</v>
      </c>
      <c r="Q101" s="147">
        <v>3947661.7826741254</v>
      </c>
      <c r="R101" s="147">
        <v>0</v>
      </c>
      <c r="S101" s="147">
        <v>0</v>
      </c>
      <c r="T101" s="147">
        <v>0</v>
      </c>
      <c r="U101" s="147">
        <v>0</v>
      </c>
      <c r="V101" s="147">
        <v>0</v>
      </c>
      <c r="W101" s="147">
        <v>0</v>
      </c>
      <c r="X101" s="147">
        <v>0</v>
      </c>
      <c r="Y101" s="147">
        <v>0</v>
      </c>
      <c r="Z101" s="147">
        <v>0</v>
      </c>
      <c r="AA101" s="147">
        <v>0</v>
      </c>
      <c r="AB101" s="147">
        <v>0</v>
      </c>
      <c r="AC101" s="147">
        <v>0</v>
      </c>
      <c r="AD101" s="147">
        <v>0</v>
      </c>
      <c r="AE101" s="147">
        <v>0</v>
      </c>
      <c r="AF101" s="147">
        <v>0</v>
      </c>
      <c r="AG101" s="147">
        <v>0</v>
      </c>
      <c r="AH101" s="147">
        <v>0</v>
      </c>
      <c r="AI101" s="147">
        <v>0</v>
      </c>
      <c r="AJ101" s="147">
        <v>0</v>
      </c>
      <c r="AK101" s="147">
        <v>0</v>
      </c>
      <c r="AL101" s="147">
        <v>0</v>
      </c>
      <c r="AM101" s="147">
        <v>0</v>
      </c>
      <c r="AN101" s="147">
        <v>0</v>
      </c>
      <c r="AO101" s="240">
        <v>0</v>
      </c>
      <c r="AP101" s="147">
        <f t="shared" si="8"/>
        <v>11279033.664783213</v>
      </c>
    </row>
    <row r="102" spans="2:42">
      <c r="B102" s="147" t="str">
        <v>Pórtico 3 (MG-262)</v>
      </c>
      <c r="C102" s="149" t="str">
        <v>4</v>
      </c>
      <c r="D102" s="149" t="str">
        <v>4.12</v>
      </c>
      <c r="E102" s="149">
        <v>1</v>
      </c>
      <c r="F102" s="149">
        <v>0</v>
      </c>
      <c r="G102" s="147" t="str">
        <v>Correções de curvas</v>
      </c>
      <c r="H102" s="147" t="b">
        <v>0</v>
      </c>
      <c r="I102" s="147" t="b">
        <f t="shared" si="5"/>
        <v>0</v>
      </c>
      <c r="J102" s="147" t="b">
        <f t="shared" si="6"/>
        <v>0</v>
      </c>
      <c r="K102" s="147" t="b">
        <f t="shared" si="7"/>
        <v>1</v>
      </c>
      <c r="L102" s="147">
        <v>0</v>
      </c>
      <c r="M102" s="147">
        <v>0</v>
      </c>
      <c r="N102" s="147">
        <v>18794803.470668577</v>
      </c>
      <c r="O102" s="147">
        <v>10545727.333931578</v>
      </c>
      <c r="P102" s="147">
        <v>2687994.3679571524</v>
      </c>
      <c r="Q102" s="147">
        <v>2287172.5373400985</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c r="AH102" s="147">
        <v>0</v>
      </c>
      <c r="AI102" s="147">
        <v>0</v>
      </c>
      <c r="AJ102" s="147">
        <v>0</v>
      </c>
      <c r="AK102" s="147">
        <v>0</v>
      </c>
      <c r="AL102" s="147">
        <v>0</v>
      </c>
      <c r="AM102" s="147">
        <v>0</v>
      </c>
      <c r="AN102" s="147">
        <v>0</v>
      </c>
      <c r="AO102" s="240">
        <v>0</v>
      </c>
      <c r="AP102" s="147">
        <f t="shared" si="8"/>
        <v>34315697.709897406</v>
      </c>
    </row>
    <row r="103" spans="2:42">
      <c r="B103" s="147" t="str">
        <v>Pórtico 3 (MG-262)</v>
      </c>
      <c r="C103" s="149" t="str">
        <v>4</v>
      </c>
      <c r="D103" s="149" t="str">
        <v>4.13</v>
      </c>
      <c r="E103" s="149">
        <v>1</v>
      </c>
      <c r="F103" s="149">
        <v>0</v>
      </c>
      <c r="G103" s="147" t="str">
        <v>Passarelas</v>
      </c>
      <c r="H103" s="147" t="b">
        <v>0</v>
      </c>
      <c r="I103" s="147" t="b">
        <f t="shared" si="5"/>
        <v>0</v>
      </c>
      <c r="J103" s="147" t="b">
        <f t="shared" si="6"/>
        <v>0</v>
      </c>
      <c r="K103" s="147" t="b">
        <f t="shared" si="7"/>
        <v>1</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c r="AH103" s="147">
        <v>0</v>
      </c>
      <c r="AI103" s="147">
        <v>0</v>
      </c>
      <c r="AJ103" s="147">
        <v>0</v>
      </c>
      <c r="AK103" s="147">
        <v>0</v>
      </c>
      <c r="AL103" s="147">
        <v>0</v>
      </c>
      <c r="AM103" s="147">
        <v>0</v>
      </c>
      <c r="AN103" s="147">
        <v>0</v>
      </c>
      <c r="AO103" s="240">
        <v>0</v>
      </c>
      <c r="AP103" s="147">
        <f t="shared" si="8"/>
        <v>0</v>
      </c>
    </row>
    <row r="104" spans="2:42">
      <c r="B104" s="147" t="str">
        <v>Pórtico 3 (MG-262)</v>
      </c>
      <c r="C104" s="149" t="str">
        <v>4</v>
      </c>
      <c r="D104" s="149" t="str">
        <v>4.14</v>
      </c>
      <c r="E104" s="149">
        <v>1</v>
      </c>
      <c r="F104" s="149">
        <v>0</v>
      </c>
      <c r="G104" s="147" t="str">
        <v xml:space="preserve">Paradas de ônibus sem baia </v>
      </c>
      <c r="H104" s="147" t="b">
        <v>0</v>
      </c>
      <c r="I104" s="147" t="b">
        <f t="shared" si="5"/>
        <v>0</v>
      </c>
      <c r="J104" s="147" t="b">
        <f t="shared" si="6"/>
        <v>0</v>
      </c>
      <c r="K104" s="147" t="b">
        <f t="shared" si="7"/>
        <v>1</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c r="AH104" s="147">
        <v>0</v>
      </c>
      <c r="AI104" s="147">
        <v>0</v>
      </c>
      <c r="AJ104" s="147">
        <v>0</v>
      </c>
      <c r="AK104" s="147">
        <v>0</v>
      </c>
      <c r="AL104" s="147">
        <v>0</v>
      </c>
      <c r="AM104" s="147">
        <v>0</v>
      </c>
      <c r="AN104" s="147">
        <v>0</v>
      </c>
      <c r="AO104" s="240">
        <v>0</v>
      </c>
      <c r="AP104" s="147">
        <f t="shared" si="8"/>
        <v>0</v>
      </c>
    </row>
    <row r="105" spans="2:42">
      <c r="B105" s="147" t="str">
        <v>Pórtico 3 (MG-262)</v>
      </c>
      <c r="C105" s="149" t="str">
        <v>4</v>
      </c>
      <c r="D105" s="149" t="str">
        <v>4.15</v>
      </c>
      <c r="E105" s="149">
        <v>1</v>
      </c>
      <c r="F105" s="149">
        <v>0</v>
      </c>
      <c r="G105" s="147" t="str">
        <v xml:space="preserve">Paradas de ônibus com baia </v>
      </c>
      <c r="H105" s="147" t="b">
        <v>0</v>
      </c>
      <c r="I105" s="147" t="b">
        <f t="shared" si="5"/>
        <v>0</v>
      </c>
      <c r="J105" s="147" t="b">
        <f t="shared" si="6"/>
        <v>0</v>
      </c>
      <c r="K105" s="147" t="b">
        <f t="shared" si="7"/>
        <v>1</v>
      </c>
      <c r="L105" s="147">
        <v>0</v>
      </c>
      <c r="M105" s="147">
        <v>0</v>
      </c>
      <c r="N105" s="147">
        <v>946143.92717393092</v>
      </c>
      <c r="O105" s="147">
        <v>189228.78543478623</v>
      </c>
      <c r="P105" s="147">
        <v>1135372.7126087171</v>
      </c>
      <c r="Q105" s="147">
        <v>946143.92717393115</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c r="AH105" s="147">
        <v>0</v>
      </c>
      <c r="AI105" s="147">
        <v>0</v>
      </c>
      <c r="AJ105" s="147">
        <v>0</v>
      </c>
      <c r="AK105" s="147">
        <v>0</v>
      </c>
      <c r="AL105" s="147">
        <v>0</v>
      </c>
      <c r="AM105" s="147">
        <v>0</v>
      </c>
      <c r="AN105" s="147">
        <v>0</v>
      </c>
      <c r="AO105" s="240">
        <v>0</v>
      </c>
      <c r="AP105" s="147">
        <f t="shared" si="8"/>
        <v>3216889.3523913654</v>
      </c>
    </row>
    <row r="106" spans="2:42">
      <c r="B106" s="147" t="str">
        <v>Pórtico 3 (MG-262)</v>
      </c>
      <c r="C106" s="149" t="str">
        <v>4</v>
      </c>
      <c r="D106" s="149" t="str">
        <v>4.16</v>
      </c>
      <c r="E106" s="149">
        <v>1</v>
      </c>
      <c r="F106" s="149">
        <v>0</v>
      </c>
      <c r="G106" s="147" t="str">
        <v>Desapropriações</v>
      </c>
      <c r="H106" s="147" t="b">
        <v>1</v>
      </c>
      <c r="I106" s="147" t="b">
        <f t="shared" si="5"/>
        <v>0</v>
      </c>
      <c r="J106" s="147" t="b">
        <f t="shared" si="6"/>
        <v>0</v>
      </c>
      <c r="K106" s="147" t="b">
        <f t="shared" si="7"/>
        <v>0</v>
      </c>
      <c r="L106" s="147">
        <v>0</v>
      </c>
      <c r="M106" s="147">
        <v>135891.74430021783</v>
      </c>
      <c r="N106" s="147">
        <v>115576.00069737018</v>
      </c>
      <c r="O106" s="147">
        <v>404372.1267737326</v>
      </c>
      <c r="P106" s="147">
        <v>7370759.7694754088</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c r="AH106" s="147">
        <v>0</v>
      </c>
      <c r="AI106" s="147">
        <v>0</v>
      </c>
      <c r="AJ106" s="147">
        <v>0</v>
      </c>
      <c r="AK106" s="147">
        <v>0</v>
      </c>
      <c r="AL106" s="147">
        <v>0</v>
      </c>
      <c r="AM106" s="147">
        <v>0</v>
      </c>
      <c r="AN106" s="147">
        <v>0</v>
      </c>
      <c r="AO106" s="240">
        <v>0</v>
      </c>
      <c r="AP106" s="147">
        <f t="shared" si="8"/>
        <v>8026599.6412467295</v>
      </c>
    </row>
    <row r="107" spans="2:42">
      <c r="B107" s="147" t="str">
        <v>Pórtico 3 (MG-262)</v>
      </c>
      <c r="C107" s="149" t="str">
        <v>4</v>
      </c>
      <c r="D107" s="149" t="str">
        <v>4.17</v>
      </c>
      <c r="E107" s="149">
        <v>1</v>
      </c>
      <c r="F107" s="149">
        <v>0</v>
      </c>
      <c r="G107" s="147" t="str">
        <v>Administração local (%)</v>
      </c>
      <c r="H107" s="147" t="b">
        <v>0</v>
      </c>
      <c r="I107" s="147" t="b">
        <f t="shared" si="5"/>
        <v>0</v>
      </c>
      <c r="J107" s="147" t="b">
        <f t="shared" si="6"/>
        <v>0</v>
      </c>
      <c r="K107" s="147" t="b">
        <f t="shared" si="7"/>
        <v>1</v>
      </c>
      <c r="L107" s="147">
        <v>0</v>
      </c>
      <c r="M107" s="147">
        <v>1671.4684548926793</v>
      </c>
      <c r="N107" s="147">
        <v>786780.07633969991</v>
      </c>
      <c r="O107" s="147">
        <v>1225391.5694685637</v>
      </c>
      <c r="P107" s="147">
        <v>1092373.2474249986</v>
      </c>
      <c r="Q107" s="147">
        <v>1181591.2233021159</v>
      </c>
      <c r="R107" s="147">
        <v>0</v>
      </c>
      <c r="S107" s="147">
        <v>0</v>
      </c>
      <c r="T107" s="147">
        <v>0</v>
      </c>
      <c r="U107" s="147">
        <v>0</v>
      </c>
      <c r="V107" s="147">
        <v>0</v>
      </c>
      <c r="W107" s="147">
        <v>0</v>
      </c>
      <c r="X107" s="147">
        <v>0</v>
      </c>
      <c r="Y107" s="147">
        <v>0</v>
      </c>
      <c r="Z107" s="147">
        <v>593797.0515484073</v>
      </c>
      <c r="AA107" s="147">
        <v>0</v>
      </c>
      <c r="AB107" s="147">
        <v>0</v>
      </c>
      <c r="AC107" s="147">
        <v>0</v>
      </c>
      <c r="AD107" s="147">
        <v>0</v>
      </c>
      <c r="AE107" s="147">
        <v>0</v>
      </c>
      <c r="AF107" s="147">
        <v>0</v>
      </c>
      <c r="AG107" s="147">
        <v>0</v>
      </c>
      <c r="AH107" s="147">
        <v>0</v>
      </c>
      <c r="AI107" s="147">
        <v>0</v>
      </c>
      <c r="AJ107" s="147">
        <v>0</v>
      </c>
      <c r="AK107" s="147">
        <v>0</v>
      </c>
      <c r="AL107" s="147">
        <v>0</v>
      </c>
      <c r="AM107" s="147">
        <v>0</v>
      </c>
      <c r="AN107" s="147">
        <v>0</v>
      </c>
      <c r="AO107" s="240">
        <v>0</v>
      </c>
      <c r="AP107" s="147">
        <f t="shared" si="8"/>
        <v>4881604.6365386778</v>
      </c>
    </row>
    <row r="108" spans="2:42">
      <c r="B108" s="147" t="str">
        <v>Pórtico 3 (MG-262)</v>
      </c>
      <c r="C108" s="149" t="str">
        <v>4</v>
      </c>
      <c r="D108" s="149" t="str">
        <v>4.18</v>
      </c>
      <c r="E108" s="149">
        <v>1</v>
      </c>
      <c r="F108" s="149">
        <v>0</v>
      </c>
      <c r="G108" s="147" t="str">
        <v>Canteiro de obras (%)</v>
      </c>
      <c r="H108" s="147" t="b">
        <v>0</v>
      </c>
      <c r="I108" s="147" t="b">
        <f t="shared" si="5"/>
        <v>0</v>
      </c>
      <c r="J108" s="147" t="b">
        <f t="shared" si="6"/>
        <v>0</v>
      </c>
      <c r="K108" s="147" t="b">
        <f t="shared" si="7"/>
        <v>1</v>
      </c>
      <c r="L108" s="147">
        <v>0</v>
      </c>
      <c r="M108" s="147">
        <v>421.26440733067523</v>
      </c>
      <c r="N108" s="147">
        <v>198294.16558155036</v>
      </c>
      <c r="O108" s="147">
        <v>308838.52563841845</v>
      </c>
      <c r="P108" s="147">
        <v>275313.58268434927</v>
      </c>
      <c r="Q108" s="147">
        <v>297799.41400297231</v>
      </c>
      <c r="R108" s="147">
        <v>0</v>
      </c>
      <c r="S108" s="147">
        <v>0</v>
      </c>
      <c r="T108" s="147">
        <v>0</v>
      </c>
      <c r="U108" s="147">
        <v>0</v>
      </c>
      <c r="V108" s="147">
        <v>0</v>
      </c>
      <c r="W108" s="147">
        <v>0</v>
      </c>
      <c r="X108" s="147">
        <v>0</v>
      </c>
      <c r="Y108" s="147">
        <v>0</v>
      </c>
      <c r="Z108" s="147">
        <v>149656.1674634197</v>
      </c>
      <c r="AA108" s="147">
        <v>0</v>
      </c>
      <c r="AB108" s="147">
        <v>0</v>
      </c>
      <c r="AC108" s="147">
        <v>0</v>
      </c>
      <c r="AD108" s="147">
        <v>0</v>
      </c>
      <c r="AE108" s="147">
        <v>0</v>
      </c>
      <c r="AF108" s="147">
        <v>0</v>
      </c>
      <c r="AG108" s="147">
        <v>0</v>
      </c>
      <c r="AH108" s="147">
        <v>0</v>
      </c>
      <c r="AI108" s="147">
        <v>0</v>
      </c>
      <c r="AJ108" s="147">
        <v>0</v>
      </c>
      <c r="AK108" s="147">
        <v>0</v>
      </c>
      <c r="AL108" s="147">
        <v>0</v>
      </c>
      <c r="AM108" s="147">
        <v>0</v>
      </c>
      <c r="AN108" s="147">
        <v>0</v>
      </c>
      <c r="AO108" s="240">
        <v>0</v>
      </c>
      <c r="AP108" s="147">
        <f t="shared" si="8"/>
        <v>1230323.1197780408</v>
      </c>
    </row>
    <row r="109" spans="2:42">
      <c r="B109" s="147" t="str">
        <v>Pórtico 3 (MG-262)</v>
      </c>
      <c r="C109" s="149" t="str">
        <v>4</v>
      </c>
      <c r="D109" s="149" t="str">
        <v>4.19</v>
      </c>
      <c r="E109" s="149">
        <v>1</v>
      </c>
      <c r="F109" s="149">
        <v>0</v>
      </c>
      <c r="G109" s="147" t="str">
        <v>Mobilização e desmobilização (%)</v>
      </c>
      <c r="H109" s="147" t="b">
        <v>0</v>
      </c>
      <c r="I109" s="147" t="b">
        <f t="shared" si="5"/>
        <v>0</v>
      </c>
      <c r="J109" s="147" t="b">
        <f t="shared" si="6"/>
        <v>0</v>
      </c>
      <c r="K109" s="147" t="b">
        <f t="shared" si="7"/>
        <v>1</v>
      </c>
      <c r="L109" s="147">
        <v>0</v>
      </c>
      <c r="M109" s="147">
        <v>7.8817211694126339</v>
      </c>
      <c r="N109" s="147">
        <v>3710.0198721709426</v>
      </c>
      <c r="O109" s="147">
        <v>5778.2691893639585</v>
      </c>
      <c r="P109" s="147">
        <v>5151.0283211910501</v>
      </c>
      <c r="Q109" s="147">
        <v>5571.7309716685149</v>
      </c>
      <c r="R109" s="147">
        <v>0</v>
      </c>
      <c r="S109" s="147">
        <v>0</v>
      </c>
      <c r="T109" s="147">
        <v>0</v>
      </c>
      <c r="U109" s="147">
        <v>0</v>
      </c>
      <c r="V109" s="147">
        <v>0</v>
      </c>
      <c r="W109" s="147">
        <v>0</v>
      </c>
      <c r="X109" s="147">
        <v>0</v>
      </c>
      <c r="Y109" s="147">
        <v>0</v>
      </c>
      <c r="Z109" s="147">
        <v>2800.0186170575303</v>
      </c>
      <c r="AA109" s="147">
        <v>0</v>
      </c>
      <c r="AB109" s="147">
        <v>0</v>
      </c>
      <c r="AC109" s="147">
        <v>0</v>
      </c>
      <c r="AD109" s="147">
        <v>0</v>
      </c>
      <c r="AE109" s="147">
        <v>0</v>
      </c>
      <c r="AF109" s="147">
        <v>0</v>
      </c>
      <c r="AG109" s="147">
        <v>0</v>
      </c>
      <c r="AH109" s="147">
        <v>0</v>
      </c>
      <c r="AI109" s="147">
        <v>0</v>
      </c>
      <c r="AJ109" s="147">
        <v>0</v>
      </c>
      <c r="AK109" s="147">
        <v>0</v>
      </c>
      <c r="AL109" s="147">
        <v>0</v>
      </c>
      <c r="AM109" s="147">
        <v>0</v>
      </c>
      <c r="AN109" s="147">
        <v>0</v>
      </c>
      <c r="AO109" s="240">
        <v>0</v>
      </c>
      <c r="AP109" s="147">
        <f t="shared" si="8"/>
        <v>23018.948692621409</v>
      </c>
    </row>
    <row r="110" spans="2:42">
      <c r="B110" s="147" t="str">
        <v>Pórtico 3 (MG-262)</v>
      </c>
      <c r="C110" s="149" t="str">
        <v>4</v>
      </c>
      <c r="D110" s="149" t="str">
        <v>4.20</v>
      </c>
      <c r="E110" s="149">
        <v>1</v>
      </c>
      <c r="F110" s="149">
        <v>0</v>
      </c>
      <c r="G110" s="147" t="str">
        <v>Projetos (%)</v>
      </c>
      <c r="H110" s="147" t="b">
        <v>0</v>
      </c>
      <c r="I110" s="147" t="b">
        <f t="shared" si="5"/>
        <v>0</v>
      </c>
      <c r="J110" s="147" t="b">
        <f t="shared" si="6"/>
        <v>0</v>
      </c>
      <c r="K110" s="147" t="b">
        <f t="shared" si="7"/>
        <v>1</v>
      </c>
      <c r="L110" s="147">
        <v>0</v>
      </c>
      <c r="M110" s="147">
        <v>3397.2936075054458</v>
      </c>
      <c r="N110" s="147">
        <v>1599146.4966254064</v>
      </c>
      <c r="O110" s="147">
        <v>2490633.2712775683</v>
      </c>
      <c r="P110" s="147">
        <v>2220270.8280995907</v>
      </c>
      <c r="Q110" s="147">
        <v>2401608.1774433255</v>
      </c>
      <c r="R110" s="147">
        <v>0</v>
      </c>
      <c r="S110" s="147">
        <v>0</v>
      </c>
      <c r="T110" s="147">
        <v>0</v>
      </c>
      <c r="U110" s="147">
        <v>0</v>
      </c>
      <c r="V110" s="147">
        <v>0</v>
      </c>
      <c r="W110" s="147">
        <v>0</v>
      </c>
      <c r="X110" s="147">
        <v>0</v>
      </c>
      <c r="Y110" s="147">
        <v>0</v>
      </c>
      <c r="Z110" s="147">
        <v>1206904.576317901</v>
      </c>
      <c r="AA110" s="147">
        <v>0</v>
      </c>
      <c r="AB110" s="147">
        <v>0</v>
      </c>
      <c r="AC110" s="147">
        <v>0</v>
      </c>
      <c r="AD110" s="147">
        <v>0</v>
      </c>
      <c r="AE110" s="147">
        <v>0</v>
      </c>
      <c r="AF110" s="147">
        <v>0</v>
      </c>
      <c r="AG110" s="147">
        <v>0</v>
      </c>
      <c r="AH110" s="147">
        <v>0</v>
      </c>
      <c r="AI110" s="147">
        <v>0</v>
      </c>
      <c r="AJ110" s="147">
        <v>0</v>
      </c>
      <c r="AK110" s="147">
        <v>0</v>
      </c>
      <c r="AL110" s="147">
        <v>0</v>
      </c>
      <c r="AM110" s="147">
        <v>0</v>
      </c>
      <c r="AN110" s="147">
        <v>0</v>
      </c>
      <c r="AO110" s="240">
        <v>0</v>
      </c>
      <c r="AP110" s="147">
        <f t="shared" si="8"/>
        <v>9921960.643371297</v>
      </c>
    </row>
    <row r="111" spans="2:42">
      <c r="B111" s="147" t="str">
        <v>Pórtico 3 (MG-262)</v>
      </c>
      <c r="C111" s="149" t="str">
        <v>3</v>
      </c>
      <c r="D111" s="149">
        <v>3</v>
      </c>
      <c r="E111" s="149">
        <v>1</v>
      </c>
      <c r="F111" s="149">
        <v>0</v>
      </c>
      <c r="G111" s="147" t="str">
        <v>Manutenção da rodovia</v>
      </c>
      <c r="H111" s="147" t="b">
        <v>0</v>
      </c>
      <c r="I111" s="147" t="b">
        <f t="shared" si="5"/>
        <v>0</v>
      </c>
      <c r="J111" s="147" t="b">
        <f t="shared" si="6"/>
        <v>0</v>
      </c>
      <c r="K111" s="147" t="b">
        <f t="shared" si="7"/>
        <v>1</v>
      </c>
      <c r="L111" s="147">
        <v>0</v>
      </c>
      <c r="M111" s="147">
        <v>0</v>
      </c>
      <c r="N111" s="147">
        <v>0</v>
      </c>
      <c r="O111" s="147">
        <v>0</v>
      </c>
      <c r="P111" s="147">
        <v>0</v>
      </c>
      <c r="Q111" s="147">
        <v>0</v>
      </c>
      <c r="R111" s="147">
        <v>0</v>
      </c>
      <c r="S111" s="147">
        <v>0</v>
      </c>
      <c r="T111" s="147">
        <v>0</v>
      </c>
      <c r="U111" s="147">
        <v>0</v>
      </c>
      <c r="V111" s="147">
        <v>0</v>
      </c>
      <c r="W111" s="147">
        <v>0</v>
      </c>
      <c r="X111" s="147">
        <v>0</v>
      </c>
      <c r="Y111" s="147">
        <v>0</v>
      </c>
      <c r="Z111" s="147">
        <v>0</v>
      </c>
      <c r="AA111" s="147">
        <v>0</v>
      </c>
      <c r="AB111" s="147">
        <v>0</v>
      </c>
      <c r="AC111" s="147">
        <v>0</v>
      </c>
      <c r="AD111" s="147">
        <v>0</v>
      </c>
      <c r="AE111" s="147">
        <v>0</v>
      </c>
      <c r="AF111" s="147">
        <v>0</v>
      </c>
      <c r="AG111" s="147">
        <v>0</v>
      </c>
      <c r="AH111" s="147">
        <v>0</v>
      </c>
      <c r="AI111" s="147">
        <v>0</v>
      </c>
      <c r="AJ111" s="147">
        <v>0</v>
      </c>
      <c r="AK111" s="147">
        <v>0</v>
      </c>
      <c r="AL111" s="147">
        <v>0</v>
      </c>
      <c r="AM111" s="147">
        <v>0</v>
      </c>
      <c r="AN111" s="147">
        <v>0</v>
      </c>
      <c r="AO111" s="240">
        <v>0</v>
      </c>
      <c r="AP111" s="147">
        <f t="shared" si="8"/>
        <v>0</v>
      </c>
    </row>
    <row r="112" spans="2:42">
      <c r="B112" s="147" t="str">
        <v>Pórtico 3 (MG-262)</v>
      </c>
      <c r="C112" s="149" t="str">
        <v>3</v>
      </c>
      <c r="D112" s="149" t="str">
        <v>3.1</v>
      </c>
      <c r="E112" s="149">
        <v>1</v>
      </c>
      <c r="F112" s="149">
        <v>0</v>
      </c>
      <c r="G112" s="147" t="str">
        <v>Pavimento</v>
      </c>
      <c r="H112" s="147" t="b">
        <v>0</v>
      </c>
      <c r="I112" s="147" t="b">
        <f t="shared" si="5"/>
        <v>0</v>
      </c>
      <c r="J112" s="147" t="b">
        <f t="shared" si="6"/>
        <v>0</v>
      </c>
      <c r="K112" s="147" t="b">
        <f t="shared" si="7"/>
        <v>1</v>
      </c>
      <c r="L112" s="147">
        <v>0</v>
      </c>
      <c r="M112" s="147">
        <v>0</v>
      </c>
      <c r="N112" s="147">
        <v>0</v>
      </c>
      <c r="O112" s="147">
        <v>0</v>
      </c>
      <c r="P112" s="147">
        <v>0</v>
      </c>
      <c r="Q112" s="147">
        <v>0</v>
      </c>
      <c r="R112" s="147">
        <v>0</v>
      </c>
      <c r="S112" s="147">
        <v>9316919.9392824546</v>
      </c>
      <c r="T112" s="147">
        <v>38092564.777861185</v>
      </c>
      <c r="U112" s="147">
        <v>11259604.135843119</v>
      </c>
      <c r="V112" s="147">
        <v>2511308.4706509407</v>
      </c>
      <c r="W112" s="147">
        <v>0</v>
      </c>
      <c r="X112" s="147">
        <v>0</v>
      </c>
      <c r="Y112" s="147">
        <v>0</v>
      </c>
      <c r="Z112" s="147">
        <v>0</v>
      </c>
      <c r="AA112" s="147">
        <v>0</v>
      </c>
      <c r="AB112" s="147">
        <v>4751985.7384008113</v>
      </c>
      <c r="AC112" s="147">
        <v>57536621.238431826</v>
      </c>
      <c r="AD112" s="147">
        <v>31025686.303109642</v>
      </c>
      <c r="AE112" s="147">
        <v>20191513.540645041</v>
      </c>
      <c r="AF112" s="147">
        <v>6721266.840793957</v>
      </c>
      <c r="AG112" s="147">
        <v>2323897.3907516175</v>
      </c>
      <c r="AH112" s="147">
        <v>974537.61547648488</v>
      </c>
      <c r="AI112" s="147">
        <v>0</v>
      </c>
      <c r="AJ112" s="147">
        <v>1788963.5476124398</v>
      </c>
      <c r="AK112" s="147">
        <v>26501834.942085806</v>
      </c>
      <c r="AL112" s="147">
        <v>18921317.589573741</v>
      </c>
      <c r="AM112" s="147">
        <v>9646247.4086034745</v>
      </c>
      <c r="AN112" s="147">
        <v>0</v>
      </c>
      <c r="AO112" s="240">
        <v>857489.95616844005</v>
      </c>
      <c r="AP112" s="147">
        <f t="shared" si="8"/>
        <v>242421759.43529096</v>
      </c>
    </row>
    <row r="113" spans="2:42">
      <c r="B113" s="147" t="str">
        <v>Pórtico 3 (MG-262)</v>
      </c>
      <c r="C113" s="149" t="str">
        <v>3</v>
      </c>
      <c r="D113" s="149" t="str">
        <v>3.2</v>
      </c>
      <c r="E113" s="149">
        <v>1</v>
      </c>
      <c r="F113" s="149">
        <v>0</v>
      </c>
      <c r="G113" s="147" t="str">
        <v>Obras de arte especiais</v>
      </c>
      <c r="H113" s="147" t="b">
        <v>0</v>
      </c>
      <c r="I113" s="147" t="b">
        <f t="shared" si="5"/>
        <v>0</v>
      </c>
      <c r="J113" s="147" t="b">
        <f t="shared" si="6"/>
        <v>0</v>
      </c>
      <c r="K113" s="147" t="b">
        <f t="shared" si="7"/>
        <v>1</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c r="AH113" s="147">
        <v>0</v>
      </c>
      <c r="AI113" s="147">
        <v>0</v>
      </c>
      <c r="AJ113" s="147">
        <v>0</v>
      </c>
      <c r="AK113" s="147">
        <v>0</v>
      </c>
      <c r="AL113" s="147">
        <v>0</v>
      </c>
      <c r="AM113" s="147">
        <v>0</v>
      </c>
      <c r="AN113" s="147">
        <v>0</v>
      </c>
      <c r="AO113" s="240">
        <v>0</v>
      </c>
      <c r="AP113" s="147">
        <f t="shared" si="8"/>
        <v>0</v>
      </c>
    </row>
    <row r="114" spans="2:42">
      <c r="B114" s="147" t="str">
        <v>Pórtico 3 (MG-262)</v>
      </c>
      <c r="C114" s="149" t="str">
        <v>3</v>
      </c>
      <c r="D114" s="149" t="str">
        <v>3.3</v>
      </c>
      <c r="E114" s="149">
        <v>1</v>
      </c>
      <c r="F114" s="149">
        <v>0</v>
      </c>
      <c r="G114" s="147" t="str">
        <v>Drenagem e obras de arte correntes</v>
      </c>
      <c r="H114" s="147" t="b">
        <v>0</v>
      </c>
      <c r="I114" s="147" t="b">
        <f t="shared" si="5"/>
        <v>0</v>
      </c>
      <c r="J114" s="147" t="b">
        <f t="shared" si="6"/>
        <v>0</v>
      </c>
      <c r="K114" s="147" t="b">
        <f t="shared" si="7"/>
        <v>1</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c r="AH114" s="147">
        <v>0</v>
      </c>
      <c r="AI114" s="147">
        <v>0</v>
      </c>
      <c r="AJ114" s="147">
        <v>0</v>
      </c>
      <c r="AK114" s="147">
        <v>0</v>
      </c>
      <c r="AL114" s="147">
        <v>0</v>
      </c>
      <c r="AM114" s="147">
        <v>0</v>
      </c>
      <c r="AN114" s="147">
        <v>0</v>
      </c>
      <c r="AO114" s="240">
        <v>0</v>
      </c>
      <c r="AP114" s="147">
        <f t="shared" si="8"/>
        <v>0</v>
      </c>
    </row>
    <row r="115" spans="2:42">
      <c r="B115" s="147" t="str">
        <v>Pórtico 3 (MG-262)</v>
      </c>
      <c r="C115" s="149" t="str">
        <v>3</v>
      </c>
      <c r="D115" s="149" t="str">
        <v>3.4</v>
      </c>
      <c r="E115" s="149">
        <v>1</v>
      </c>
      <c r="F115" s="149">
        <v>0</v>
      </c>
      <c r="G115" s="147" t="str">
        <v xml:space="preserve">Sinalização e dispositivos de proteção e segurança </v>
      </c>
      <c r="H115" s="147" t="b">
        <v>0</v>
      </c>
      <c r="I115" s="147" t="b">
        <f t="shared" si="5"/>
        <v>0</v>
      </c>
      <c r="J115" s="147" t="b">
        <f t="shared" si="6"/>
        <v>0</v>
      </c>
      <c r="K115" s="147" t="b">
        <f t="shared" si="7"/>
        <v>1</v>
      </c>
      <c r="L115" s="147">
        <v>0</v>
      </c>
      <c r="M115" s="147">
        <v>0</v>
      </c>
      <c r="N115" s="147">
        <v>0</v>
      </c>
      <c r="O115" s="147">
        <v>0</v>
      </c>
      <c r="P115" s="147">
        <v>0</v>
      </c>
      <c r="Q115" s="147">
        <v>0</v>
      </c>
      <c r="R115" s="147">
        <v>0</v>
      </c>
      <c r="S115" s="147">
        <v>325783.84698749997</v>
      </c>
      <c r="T115" s="147">
        <v>1306680.4187918755</v>
      </c>
      <c r="U115" s="147">
        <v>413422.39425562503</v>
      </c>
      <c r="V115" s="147">
        <v>90196.354331250011</v>
      </c>
      <c r="W115" s="147">
        <v>0</v>
      </c>
      <c r="X115" s="147">
        <v>0</v>
      </c>
      <c r="Y115" s="147">
        <v>0</v>
      </c>
      <c r="Z115" s="147">
        <v>0</v>
      </c>
      <c r="AA115" s="147">
        <v>0</v>
      </c>
      <c r="AB115" s="147">
        <v>90196.354331250026</v>
      </c>
      <c r="AC115" s="147">
        <v>1043450.660330625</v>
      </c>
      <c r="AD115" s="147">
        <v>569044.76083312486</v>
      </c>
      <c r="AE115" s="147">
        <v>387844.32362437499</v>
      </c>
      <c r="AF115" s="147">
        <v>125197.92466875</v>
      </c>
      <c r="AG115" s="147">
        <v>83465.283112500008</v>
      </c>
      <c r="AH115" s="147">
        <v>35001.570337500008</v>
      </c>
      <c r="AI115" s="147">
        <v>0</v>
      </c>
      <c r="AJ115" s="147">
        <v>67310.712187500001</v>
      </c>
      <c r="AK115" s="147">
        <v>918701.4737431251</v>
      </c>
      <c r="AL115" s="147">
        <v>681408.77637812507</v>
      </c>
      <c r="AM115" s="147">
        <v>666779.91492937505</v>
      </c>
      <c r="AN115" s="147">
        <v>0</v>
      </c>
      <c r="AO115" s="240">
        <v>67310.712187500001</v>
      </c>
      <c r="AP115" s="147">
        <f t="shared" si="8"/>
        <v>6871795.4810299994</v>
      </c>
    </row>
    <row r="116" spans="2:42">
      <c r="B116" s="147" t="str">
        <v>Pórtico 3 (MG-262)</v>
      </c>
      <c r="C116" s="149" t="str">
        <v>3</v>
      </c>
      <c r="D116" s="149" t="str">
        <v>3.5</v>
      </c>
      <c r="E116" s="149">
        <v>1</v>
      </c>
      <c r="F116" s="149">
        <v>0</v>
      </c>
      <c r="G116" s="147" t="str">
        <v>Administração local (%)</v>
      </c>
      <c r="H116" s="147" t="b">
        <v>0</v>
      </c>
      <c r="I116" s="147" t="b">
        <f t="shared" si="5"/>
        <v>0</v>
      </c>
      <c r="J116" s="147" t="b">
        <f t="shared" si="6"/>
        <v>0</v>
      </c>
      <c r="K116" s="147" t="b">
        <f t="shared" si="7"/>
        <v>1</v>
      </c>
      <c r="L116" s="147">
        <v>0</v>
      </c>
      <c r="M116" s="147">
        <v>0</v>
      </c>
      <c r="N116" s="147">
        <v>0</v>
      </c>
      <c r="O116" s="147">
        <v>0</v>
      </c>
      <c r="P116" s="147">
        <v>0</v>
      </c>
      <c r="Q116" s="147">
        <v>0</v>
      </c>
      <c r="R116" s="147">
        <v>0</v>
      </c>
      <c r="S116" s="147">
        <v>118605.25657112044</v>
      </c>
      <c r="T116" s="147">
        <v>484610.71591883263</v>
      </c>
      <c r="U116" s="147">
        <v>143578.22632021457</v>
      </c>
      <c r="V116" s="147">
        <v>31998.509347280946</v>
      </c>
      <c r="W116" s="147">
        <v>0</v>
      </c>
      <c r="X116" s="147">
        <v>0</v>
      </c>
      <c r="Y116" s="147">
        <v>0</v>
      </c>
      <c r="Z116" s="147">
        <v>0</v>
      </c>
      <c r="AA116" s="147">
        <v>0</v>
      </c>
      <c r="AB116" s="147">
        <v>59558.839740604344</v>
      </c>
      <c r="AC116" s="147">
        <v>720534.8843547781</v>
      </c>
      <c r="AD116" s="147">
        <v>388615.19208649598</v>
      </c>
      <c r="AE116" s="147">
        <v>253126.10173051382</v>
      </c>
      <c r="AF116" s="147">
        <v>84211.5166151913</v>
      </c>
      <c r="AG116" s="147">
        <v>29610.560888528646</v>
      </c>
      <c r="AH116" s="147">
        <v>12417.331985512013</v>
      </c>
      <c r="AI116" s="147">
        <v>0</v>
      </c>
      <c r="AJ116" s="147">
        <v>22832.173395539263</v>
      </c>
      <c r="AK116" s="147">
        <v>337272.59791469586</v>
      </c>
      <c r="AL116" s="147">
        <v>241113.53430120795</v>
      </c>
      <c r="AM116" s="147">
        <v>126850.23607945404</v>
      </c>
      <c r="AN116" s="147">
        <v>0</v>
      </c>
      <c r="AO116" s="240">
        <v>11375.048220778062</v>
      </c>
      <c r="AP116" s="147">
        <f t="shared" si="8"/>
        <v>3066310.7254707473</v>
      </c>
    </row>
    <row r="117" spans="2:42">
      <c r="B117" s="147" t="str">
        <v>Pórtico 3 (MG-262)</v>
      </c>
      <c r="C117" s="149" t="str">
        <v>3</v>
      </c>
      <c r="D117" s="149" t="str">
        <v>3.6</v>
      </c>
      <c r="E117" s="149">
        <v>1</v>
      </c>
      <c r="F117" s="149">
        <v>0</v>
      </c>
      <c r="G117" s="147" t="str">
        <v>Canteiro de obras (%)</v>
      </c>
      <c r="H117" s="147" t="b">
        <v>0</v>
      </c>
      <c r="I117" s="147" t="b">
        <f t="shared" si="5"/>
        <v>0</v>
      </c>
      <c r="J117" s="147" t="b">
        <f t="shared" si="6"/>
        <v>0</v>
      </c>
      <c r="K117" s="147" t="b">
        <f t="shared" si="7"/>
        <v>1</v>
      </c>
      <c r="L117" s="147">
        <v>0</v>
      </c>
      <c r="M117" s="147">
        <v>0</v>
      </c>
      <c r="N117" s="147">
        <v>0</v>
      </c>
      <c r="O117" s="147">
        <v>0</v>
      </c>
      <c r="P117" s="147">
        <v>0</v>
      </c>
      <c r="Q117" s="147">
        <v>0</v>
      </c>
      <c r="R117" s="147">
        <v>0</v>
      </c>
      <c r="S117" s="147">
        <v>29892.381737436859</v>
      </c>
      <c r="T117" s="147">
        <v>122137.66010962447</v>
      </c>
      <c r="U117" s="147">
        <v>36186.382243306107</v>
      </c>
      <c r="V117" s="147">
        <v>8064.6649574447902</v>
      </c>
      <c r="W117" s="147">
        <v>0</v>
      </c>
      <c r="X117" s="147">
        <v>0</v>
      </c>
      <c r="Y117" s="147">
        <v>0</v>
      </c>
      <c r="Z117" s="147">
        <v>0</v>
      </c>
      <c r="AA117" s="147">
        <v>0</v>
      </c>
      <c r="AB117" s="147">
        <v>15010.764487469387</v>
      </c>
      <c r="AC117" s="147">
        <v>181598.2228861636</v>
      </c>
      <c r="AD117" s="147">
        <v>97943.666298222568</v>
      </c>
      <c r="AE117" s="147">
        <v>63796.009379235184</v>
      </c>
      <c r="AF117" s="147">
        <v>21224.040772934393</v>
      </c>
      <c r="AG117" s="147">
        <v>7462.8242889787634</v>
      </c>
      <c r="AH117" s="147">
        <v>3129.5714760233532</v>
      </c>
      <c r="AI117" s="147">
        <v>0</v>
      </c>
      <c r="AJ117" s="147">
        <v>5754.4502053798142</v>
      </c>
      <c r="AK117" s="147">
        <v>85003.662889069674</v>
      </c>
      <c r="AL117" s="147">
        <v>60768.451734450777</v>
      </c>
      <c r="AM117" s="147">
        <v>31970.384702951833</v>
      </c>
      <c r="AN117" s="147">
        <v>0</v>
      </c>
      <c r="AO117" s="240">
        <v>2866.8820719034143</v>
      </c>
      <c r="AP117" s="147">
        <f t="shared" si="8"/>
        <v>772810.02024059498</v>
      </c>
    </row>
    <row r="118" spans="2:42">
      <c r="B118" s="147" t="str">
        <v>Pórtico 3 (MG-262)</v>
      </c>
      <c r="C118" s="149" t="str">
        <v>3</v>
      </c>
      <c r="D118" s="149" t="str">
        <v>3.7</v>
      </c>
      <c r="E118" s="149">
        <v>1</v>
      </c>
      <c r="F118" s="149">
        <v>0</v>
      </c>
      <c r="G118" s="147" t="str">
        <v>Mobilização e desmobilização (%)</v>
      </c>
      <c r="H118" s="147" t="b">
        <v>0</v>
      </c>
      <c r="I118" s="147" t="b">
        <f t="shared" si="5"/>
        <v>0</v>
      </c>
      <c r="J118" s="147" t="b">
        <f t="shared" si="6"/>
        <v>0</v>
      </c>
      <c r="K118" s="147" t="b">
        <f t="shared" si="7"/>
        <v>1</v>
      </c>
      <c r="L118" s="147">
        <v>0</v>
      </c>
      <c r="M118" s="147">
        <v>0</v>
      </c>
      <c r="N118" s="147">
        <v>0</v>
      </c>
      <c r="O118" s="147">
        <v>0</v>
      </c>
      <c r="P118" s="147">
        <v>0</v>
      </c>
      <c r="Q118" s="147">
        <v>0</v>
      </c>
      <c r="R118" s="147">
        <v>0</v>
      </c>
      <c r="S118" s="147">
        <v>559.27681960365737</v>
      </c>
      <c r="T118" s="147">
        <v>2285.1562214058772</v>
      </c>
      <c r="U118" s="147">
        <v>677.03553874572719</v>
      </c>
      <c r="V118" s="147">
        <v>150.88727984896707</v>
      </c>
      <c r="W118" s="147">
        <v>0</v>
      </c>
      <c r="X118" s="147">
        <v>0</v>
      </c>
      <c r="Y118" s="147">
        <v>0</v>
      </c>
      <c r="Z118" s="147">
        <v>0</v>
      </c>
      <c r="AA118" s="147">
        <v>0</v>
      </c>
      <c r="AB118" s="147">
        <v>280.84656137845951</v>
      </c>
      <c r="AC118" s="147">
        <v>3397.644170128222</v>
      </c>
      <c r="AD118" s="147">
        <v>1832.4944017086805</v>
      </c>
      <c r="AE118" s="147">
        <v>1193.602756127626</v>
      </c>
      <c r="AF118" s="147">
        <v>397.09495639683706</v>
      </c>
      <c r="AG118" s="147">
        <v>139.6270350841188</v>
      </c>
      <c r="AH118" s="147">
        <v>58.553272777211127</v>
      </c>
      <c r="AI118" s="147">
        <v>0</v>
      </c>
      <c r="AJ118" s="147">
        <v>107.66390706839651</v>
      </c>
      <c r="AK118" s="147">
        <v>1590.3911121180779</v>
      </c>
      <c r="AL118" s="147">
        <v>1136.9581292252083</v>
      </c>
      <c r="AM118" s="147">
        <v>598.15558476490537</v>
      </c>
      <c r="AN118" s="147">
        <v>0</v>
      </c>
      <c r="AO118" s="240">
        <v>53.638438764644526</v>
      </c>
      <c r="AP118" s="147">
        <f t="shared" si="8"/>
        <v>14459.026185146615</v>
      </c>
    </row>
    <row r="119" spans="2:42">
      <c r="B119" s="147" t="str">
        <v>Pórtico 3 (MG-262)</v>
      </c>
      <c r="C119" s="149" t="str">
        <v>3</v>
      </c>
      <c r="D119" s="149" t="str">
        <v>3.8</v>
      </c>
      <c r="E119" s="149">
        <v>1</v>
      </c>
      <c r="F119" s="149">
        <v>0</v>
      </c>
      <c r="G119" s="147" t="str">
        <v>Projetos (%)</v>
      </c>
      <c r="H119" s="147" t="b">
        <v>0</v>
      </c>
      <c r="I119" s="147" t="b">
        <f t="shared" si="5"/>
        <v>0</v>
      </c>
      <c r="J119" s="147" t="b">
        <f t="shared" si="6"/>
        <v>0</v>
      </c>
      <c r="K119" s="147" t="b">
        <f t="shared" si="7"/>
        <v>1</v>
      </c>
      <c r="L119" s="147">
        <v>0</v>
      </c>
      <c r="M119" s="147">
        <v>0</v>
      </c>
      <c r="N119" s="147">
        <v>0</v>
      </c>
      <c r="O119" s="147">
        <v>0</v>
      </c>
      <c r="P119" s="147">
        <v>0</v>
      </c>
      <c r="Q119" s="147">
        <v>0</v>
      </c>
      <c r="R119" s="147">
        <v>0</v>
      </c>
      <c r="S119" s="147">
        <v>241067.59465674887</v>
      </c>
      <c r="T119" s="147">
        <v>984981.12991632638</v>
      </c>
      <c r="U119" s="147">
        <v>291825.66325246863</v>
      </c>
      <c r="V119" s="147">
        <v>65037.620624554766</v>
      </c>
      <c r="W119" s="147">
        <v>0</v>
      </c>
      <c r="X119" s="147">
        <v>0</v>
      </c>
      <c r="Y119" s="147">
        <v>0</v>
      </c>
      <c r="Z119" s="147">
        <v>0</v>
      </c>
      <c r="AA119" s="147">
        <v>0</v>
      </c>
      <c r="AB119" s="147">
        <v>121054.55231830153</v>
      </c>
      <c r="AC119" s="147">
        <v>1464501.7974690613</v>
      </c>
      <c r="AD119" s="147">
        <v>789868.27659856912</v>
      </c>
      <c r="AE119" s="147">
        <v>514483.94660673541</v>
      </c>
      <c r="AF119" s="147">
        <v>171161.61913656769</v>
      </c>
      <c r="AG119" s="147">
        <v>60184.066846602938</v>
      </c>
      <c r="AH119" s="147">
        <v>25238.479645349627</v>
      </c>
      <c r="AI119" s="147">
        <v>0</v>
      </c>
      <c r="AJ119" s="147">
        <v>46406.856494998501</v>
      </c>
      <c r="AK119" s="147">
        <v>685513.4103957233</v>
      </c>
      <c r="AL119" s="147">
        <v>490068.15914879664</v>
      </c>
      <c r="AM119" s="147">
        <v>257825.68308832127</v>
      </c>
      <c r="AN119" s="147">
        <v>0</v>
      </c>
      <c r="AO119" s="240">
        <v>23120.016708898504</v>
      </c>
      <c r="AP119" s="147">
        <f t="shared" si="8"/>
        <v>6232338.8729080241</v>
      </c>
    </row>
    <row r="120" spans="2:42">
      <c r="B120" s="147" t="str">
        <v>Pórtico 3 (MG-262)</v>
      </c>
      <c r="C120" s="149" t="str">
        <v>3</v>
      </c>
      <c r="D120" s="149" t="str">
        <v>3a</v>
      </c>
      <c r="E120" s="149">
        <v>1</v>
      </c>
      <c r="F120" s="149">
        <v>0</v>
      </c>
      <c r="G120" s="147" t="str">
        <v>Manutenção Do Sistema Rodoviário (Contornos)</v>
      </c>
      <c r="H120" s="147" t="b">
        <v>0</v>
      </c>
      <c r="I120" s="147" t="b">
        <f t="shared" si="5"/>
        <v>0</v>
      </c>
      <c r="J120" s="147" t="b">
        <f t="shared" si="6"/>
        <v>0</v>
      </c>
      <c r="K120" s="147" t="b">
        <f t="shared" si="7"/>
        <v>1</v>
      </c>
      <c r="L120" s="147">
        <v>0</v>
      </c>
      <c r="M120" s="147">
        <v>0</v>
      </c>
      <c r="N120" s="147">
        <v>0</v>
      </c>
      <c r="O120" s="147">
        <v>0</v>
      </c>
      <c r="P120" s="147">
        <v>0</v>
      </c>
      <c r="Q120" s="147">
        <v>0</v>
      </c>
      <c r="R120" s="147">
        <v>0</v>
      </c>
      <c r="S120" s="147">
        <v>0</v>
      </c>
      <c r="T120" s="147">
        <v>0</v>
      </c>
      <c r="U120" s="147">
        <v>0</v>
      </c>
      <c r="V120" s="147">
        <v>0</v>
      </c>
      <c r="W120" s="147">
        <v>0</v>
      </c>
      <c r="X120" s="147">
        <v>0</v>
      </c>
      <c r="Y120" s="147">
        <v>0</v>
      </c>
      <c r="Z120" s="147">
        <v>0</v>
      </c>
      <c r="AA120" s="147">
        <v>0</v>
      </c>
      <c r="AB120" s="147">
        <v>0</v>
      </c>
      <c r="AC120" s="147">
        <v>0</v>
      </c>
      <c r="AD120" s="147">
        <v>0</v>
      </c>
      <c r="AE120" s="147">
        <v>0</v>
      </c>
      <c r="AF120" s="147">
        <v>0</v>
      </c>
      <c r="AG120" s="147">
        <v>0</v>
      </c>
      <c r="AH120" s="147">
        <v>0</v>
      </c>
      <c r="AI120" s="147">
        <v>0</v>
      </c>
      <c r="AJ120" s="147">
        <v>0</v>
      </c>
      <c r="AK120" s="147">
        <v>0</v>
      </c>
      <c r="AL120" s="147">
        <v>0</v>
      </c>
      <c r="AM120" s="147">
        <v>0</v>
      </c>
      <c r="AN120" s="147">
        <v>0</v>
      </c>
      <c r="AO120" s="240">
        <v>0</v>
      </c>
      <c r="AP120" s="147">
        <f t="shared" si="8"/>
        <v>0</v>
      </c>
    </row>
    <row r="121" spans="2:42">
      <c r="B121" s="147" t="str">
        <v>Pórtico 3 (MG-262)</v>
      </c>
      <c r="C121" s="149" t="str">
        <v>3</v>
      </c>
      <c r="D121" s="149" t="str">
        <v>3.1</v>
      </c>
      <c r="E121" s="149">
        <v>1</v>
      </c>
      <c r="F121" s="149">
        <v>0</v>
      </c>
      <c r="G121" s="147" t="str">
        <v>Pavimento</v>
      </c>
      <c r="H121" s="147" t="b">
        <v>0</v>
      </c>
      <c r="I121" s="147" t="b">
        <f t="shared" si="5"/>
        <v>0</v>
      </c>
      <c r="J121" s="147" t="b">
        <f t="shared" si="6"/>
        <v>0</v>
      </c>
      <c r="K121" s="147" t="b">
        <f t="shared" si="7"/>
        <v>1</v>
      </c>
      <c r="L121" s="147">
        <v>0</v>
      </c>
      <c r="M121" s="147">
        <v>0</v>
      </c>
      <c r="N121" s="147">
        <v>0</v>
      </c>
      <c r="O121" s="147">
        <v>0</v>
      </c>
      <c r="P121" s="147">
        <v>0</v>
      </c>
      <c r="Q121" s="147">
        <v>0</v>
      </c>
      <c r="R121" s="147">
        <v>0</v>
      </c>
      <c r="S121" s="147">
        <v>0</v>
      </c>
      <c r="T121" s="147">
        <v>0</v>
      </c>
      <c r="U121" s="147">
        <v>0</v>
      </c>
      <c r="V121" s="147">
        <v>0</v>
      </c>
      <c r="W121" s="147">
        <v>0</v>
      </c>
      <c r="X121" s="147">
        <v>0</v>
      </c>
      <c r="Y121" s="147">
        <v>0</v>
      </c>
      <c r="Z121" s="147">
        <v>0</v>
      </c>
      <c r="AA121" s="147">
        <v>0</v>
      </c>
      <c r="AB121" s="147">
        <v>0</v>
      </c>
      <c r="AC121" s="147">
        <v>0</v>
      </c>
      <c r="AD121" s="147">
        <v>0</v>
      </c>
      <c r="AE121" s="147">
        <v>0</v>
      </c>
      <c r="AF121" s="147">
        <v>0</v>
      </c>
      <c r="AG121" s="147">
        <v>0</v>
      </c>
      <c r="AH121" s="147">
        <v>0</v>
      </c>
      <c r="AI121" s="147">
        <v>0</v>
      </c>
      <c r="AJ121" s="147">
        <v>0</v>
      </c>
      <c r="AK121" s="147">
        <v>0</v>
      </c>
      <c r="AL121" s="147">
        <v>0</v>
      </c>
      <c r="AM121" s="147">
        <v>0</v>
      </c>
      <c r="AN121" s="147">
        <v>0</v>
      </c>
      <c r="AO121" s="240">
        <v>0</v>
      </c>
      <c r="AP121" s="147">
        <f t="shared" si="8"/>
        <v>0</v>
      </c>
    </row>
    <row r="122" spans="2:42">
      <c r="B122" s="147" t="str">
        <v>Pórtico 3 (MG-262)</v>
      </c>
      <c r="C122" s="149" t="str">
        <v>3</v>
      </c>
      <c r="D122" s="149" t="str">
        <v>3.2</v>
      </c>
      <c r="E122" s="149">
        <v>1</v>
      </c>
      <c r="F122" s="149">
        <v>0</v>
      </c>
      <c r="G122" s="147" t="str">
        <v>Obras de arte especiais</v>
      </c>
      <c r="H122" s="147" t="b">
        <v>0</v>
      </c>
      <c r="I122" s="147" t="b">
        <f t="shared" si="5"/>
        <v>0</v>
      </c>
      <c r="J122" s="147" t="b">
        <f t="shared" si="6"/>
        <v>0</v>
      </c>
      <c r="K122" s="147" t="b">
        <f t="shared" si="7"/>
        <v>1</v>
      </c>
      <c r="L122" s="147">
        <v>0</v>
      </c>
      <c r="M122" s="147">
        <v>0</v>
      </c>
      <c r="N122" s="147">
        <v>0</v>
      </c>
      <c r="O122" s="147">
        <v>0</v>
      </c>
      <c r="P122" s="147">
        <v>0</v>
      </c>
      <c r="Q122" s="147">
        <v>0</v>
      </c>
      <c r="R122" s="147">
        <v>0</v>
      </c>
      <c r="S122" s="147">
        <v>0</v>
      </c>
      <c r="T122" s="147">
        <v>0</v>
      </c>
      <c r="U122" s="147">
        <v>0</v>
      </c>
      <c r="V122" s="147">
        <v>0</v>
      </c>
      <c r="W122" s="147">
        <v>0</v>
      </c>
      <c r="X122" s="147">
        <v>0</v>
      </c>
      <c r="Y122" s="147">
        <v>0</v>
      </c>
      <c r="Z122" s="147">
        <v>0</v>
      </c>
      <c r="AA122" s="147">
        <v>0</v>
      </c>
      <c r="AB122" s="147">
        <v>0</v>
      </c>
      <c r="AC122" s="147">
        <v>0</v>
      </c>
      <c r="AD122" s="147">
        <v>0</v>
      </c>
      <c r="AE122" s="147">
        <v>0</v>
      </c>
      <c r="AF122" s="147">
        <v>0</v>
      </c>
      <c r="AG122" s="147">
        <v>0</v>
      </c>
      <c r="AH122" s="147">
        <v>0</v>
      </c>
      <c r="AI122" s="147">
        <v>0</v>
      </c>
      <c r="AJ122" s="147">
        <v>0</v>
      </c>
      <c r="AK122" s="147">
        <v>0</v>
      </c>
      <c r="AL122" s="147">
        <v>0</v>
      </c>
      <c r="AM122" s="147">
        <v>0</v>
      </c>
      <c r="AN122" s="147">
        <v>0</v>
      </c>
      <c r="AO122" s="240">
        <v>0</v>
      </c>
      <c r="AP122" s="147">
        <f t="shared" si="8"/>
        <v>0</v>
      </c>
    </row>
    <row r="123" spans="2:42">
      <c r="B123" s="147" t="str">
        <v>Pórtico 3 (MG-262)</v>
      </c>
      <c r="C123" s="149" t="str">
        <v>3</v>
      </c>
      <c r="D123" s="149" t="str">
        <v>3.3</v>
      </c>
      <c r="E123" s="149">
        <v>1</v>
      </c>
      <c r="F123" s="149">
        <v>0</v>
      </c>
      <c r="G123" s="147" t="str">
        <v>Drenagem e obras de arte correntes</v>
      </c>
      <c r="H123" s="147" t="b">
        <v>0</v>
      </c>
      <c r="I123" s="147" t="b">
        <f t="shared" si="5"/>
        <v>0</v>
      </c>
      <c r="J123" s="147" t="b">
        <f t="shared" si="6"/>
        <v>0</v>
      </c>
      <c r="K123" s="147" t="b">
        <f t="shared" si="7"/>
        <v>1</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c r="AH123" s="147">
        <v>0</v>
      </c>
      <c r="AI123" s="147">
        <v>0</v>
      </c>
      <c r="AJ123" s="147">
        <v>0</v>
      </c>
      <c r="AK123" s="147">
        <v>0</v>
      </c>
      <c r="AL123" s="147">
        <v>0</v>
      </c>
      <c r="AM123" s="147">
        <v>0</v>
      </c>
      <c r="AN123" s="147">
        <v>0</v>
      </c>
      <c r="AO123" s="240">
        <v>0</v>
      </c>
      <c r="AP123" s="147">
        <f t="shared" si="8"/>
        <v>0</v>
      </c>
    </row>
    <row r="124" spans="2:42">
      <c r="B124" s="147" t="str">
        <v>Pórtico 3 (MG-262)</v>
      </c>
      <c r="C124" s="149" t="str">
        <v>3</v>
      </c>
      <c r="D124" s="149" t="str">
        <v>3.4</v>
      </c>
      <c r="E124" s="149">
        <v>0</v>
      </c>
      <c r="F124" s="149">
        <v>0</v>
      </c>
      <c r="G124" s="147" t="str">
        <v xml:space="preserve">Sinalização e dispositivos de proteção e segurança </v>
      </c>
      <c r="H124" s="147" t="b">
        <v>0</v>
      </c>
      <c r="I124" s="147" t="b">
        <f t="shared" si="5"/>
        <v>0</v>
      </c>
      <c r="J124" s="147" t="b">
        <f t="shared" si="6"/>
        <v>0</v>
      </c>
      <c r="K124" s="147" t="b">
        <f t="shared" si="7"/>
        <v>1</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c r="AH124" s="147">
        <v>0</v>
      </c>
      <c r="AI124" s="147">
        <v>0</v>
      </c>
      <c r="AJ124" s="147">
        <v>0</v>
      </c>
      <c r="AK124" s="147">
        <v>0</v>
      </c>
      <c r="AL124" s="147">
        <v>0</v>
      </c>
      <c r="AM124" s="147">
        <v>0</v>
      </c>
      <c r="AN124" s="147">
        <v>0</v>
      </c>
      <c r="AO124" s="240">
        <v>0</v>
      </c>
      <c r="AP124" s="147">
        <f t="shared" si="8"/>
        <v>0</v>
      </c>
    </row>
    <row r="125" spans="2:42">
      <c r="B125" s="147" t="str">
        <v>Pórtico 3 (MG-262)</v>
      </c>
      <c r="C125" s="149" t="str">
        <v>3</v>
      </c>
      <c r="D125" s="149" t="str">
        <v>3.5</v>
      </c>
      <c r="E125" s="149">
        <v>1</v>
      </c>
      <c r="F125" s="149">
        <v>0</v>
      </c>
      <c r="G125" s="147" t="str">
        <v>Administração local (%)</v>
      </c>
      <c r="H125" s="147" t="b">
        <v>0</v>
      </c>
      <c r="I125" s="147" t="b">
        <f t="shared" si="5"/>
        <v>0</v>
      </c>
      <c r="J125" s="147" t="b">
        <f t="shared" si="6"/>
        <v>0</v>
      </c>
      <c r="K125" s="147" t="b">
        <f t="shared" si="7"/>
        <v>1</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c r="AH125" s="147">
        <v>0</v>
      </c>
      <c r="AI125" s="147">
        <v>0</v>
      </c>
      <c r="AJ125" s="147">
        <v>0</v>
      </c>
      <c r="AK125" s="147">
        <v>0</v>
      </c>
      <c r="AL125" s="147">
        <v>0</v>
      </c>
      <c r="AM125" s="147">
        <v>0</v>
      </c>
      <c r="AN125" s="147">
        <v>0</v>
      </c>
      <c r="AO125" s="240">
        <v>0</v>
      </c>
      <c r="AP125" s="147">
        <f t="shared" si="8"/>
        <v>0</v>
      </c>
    </row>
    <row r="126" spans="2:42">
      <c r="B126" s="147" t="str">
        <v>Pórtico 3 (MG-262)</v>
      </c>
      <c r="C126" s="149" t="str">
        <v>3</v>
      </c>
      <c r="D126" s="149" t="str">
        <v>3.6</v>
      </c>
      <c r="E126" s="149">
        <v>1</v>
      </c>
      <c r="F126" s="149">
        <v>0</v>
      </c>
      <c r="G126" s="147" t="str">
        <v>Canteiro de obras (%)</v>
      </c>
      <c r="H126" s="147" t="b">
        <v>0</v>
      </c>
      <c r="I126" s="147" t="b">
        <f t="shared" si="5"/>
        <v>0</v>
      </c>
      <c r="J126" s="147" t="b">
        <f t="shared" si="6"/>
        <v>0</v>
      </c>
      <c r="K126" s="147" t="b">
        <f t="shared" si="7"/>
        <v>1</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c r="AH126" s="147">
        <v>0</v>
      </c>
      <c r="AI126" s="147">
        <v>0</v>
      </c>
      <c r="AJ126" s="147">
        <v>0</v>
      </c>
      <c r="AK126" s="147">
        <v>0</v>
      </c>
      <c r="AL126" s="147">
        <v>0</v>
      </c>
      <c r="AM126" s="147">
        <v>0</v>
      </c>
      <c r="AN126" s="147">
        <v>0</v>
      </c>
      <c r="AO126" s="240">
        <v>0</v>
      </c>
      <c r="AP126" s="147">
        <f t="shared" si="8"/>
        <v>0</v>
      </c>
    </row>
    <row r="127" spans="2:42">
      <c r="B127" s="147" t="str">
        <v>Pórtico 3 (MG-262)</v>
      </c>
      <c r="C127" s="149" t="str">
        <v>3</v>
      </c>
      <c r="D127" s="149" t="str">
        <v>3.7</v>
      </c>
      <c r="E127" s="149">
        <v>1</v>
      </c>
      <c r="F127" s="149">
        <v>0</v>
      </c>
      <c r="G127" s="147" t="str">
        <v>Mobilização e desmobilização (%)</v>
      </c>
      <c r="H127" s="147" t="b">
        <v>0</v>
      </c>
      <c r="I127" s="147" t="b">
        <f t="shared" si="5"/>
        <v>0</v>
      </c>
      <c r="J127" s="147" t="b">
        <f t="shared" si="6"/>
        <v>0</v>
      </c>
      <c r="K127" s="147" t="b">
        <f t="shared" si="7"/>
        <v>1</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c r="AH127" s="147">
        <v>0</v>
      </c>
      <c r="AI127" s="147">
        <v>0</v>
      </c>
      <c r="AJ127" s="147">
        <v>0</v>
      </c>
      <c r="AK127" s="147">
        <v>0</v>
      </c>
      <c r="AL127" s="147">
        <v>0</v>
      </c>
      <c r="AM127" s="147">
        <v>0</v>
      </c>
      <c r="AN127" s="147">
        <v>0</v>
      </c>
      <c r="AO127" s="240">
        <v>0</v>
      </c>
      <c r="AP127" s="147">
        <f t="shared" si="8"/>
        <v>0</v>
      </c>
    </row>
    <row r="128" spans="2:42">
      <c r="B128" s="147" t="str">
        <v>Pórtico 3 (MG-262)</v>
      </c>
      <c r="C128" s="149" t="str">
        <v>3</v>
      </c>
      <c r="D128" s="149" t="str">
        <v>3.8</v>
      </c>
      <c r="E128" s="149">
        <v>1</v>
      </c>
      <c r="F128" s="149">
        <v>0</v>
      </c>
      <c r="G128" s="147" t="str">
        <v>Projetos (%)</v>
      </c>
      <c r="H128" s="147" t="b">
        <v>0</v>
      </c>
      <c r="I128" s="147" t="b">
        <f t="shared" si="5"/>
        <v>0</v>
      </c>
      <c r="J128" s="147" t="b">
        <f t="shared" si="6"/>
        <v>0</v>
      </c>
      <c r="K128" s="147" t="b">
        <f t="shared" si="7"/>
        <v>1</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c r="AH128" s="147">
        <v>0</v>
      </c>
      <c r="AI128" s="147">
        <v>0</v>
      </c>
      <c r="AJ128" s="147">
        <v>0</v>
      </c>
      <c r="AK128" s="147">
        <v>0</v>
      </c>
      <c r="AL128" s="147">
        <v>0</v>
      </c>
      <c r="AM128" s="147">
        <v>0</v>
      </c>
      <c r="AN128" s="147">
        <v>0</v>
      </c>
      <c r="AO128" s="240">
        <v>0</v>
      </c>
      <c r="AP128" s="147">
        <f t="shared" si="8"/>
        <v>0</v>
      </c>
    </row>
    <row r="129" spans="2:42">
      <c r="B129" s="147" t="str">
        <v>Pórtico 4 (MG-329)</v>
      </c>
      <c r="C129" s="149" t="str">
        <v>1</v>
      </c>
      <c r="D129" s="149">
        <v>1</v>
      </c>
      <c r="E129" s="149">
        <v>0</v>
      </c>
      <c r="F129" s="149">
        <v>0</v>
      </c>
      <c r="G129" s="147" t="str">
        <v>Trabalhos iniciais</v>
      </c>
      <c r="H129" s="147" t="b">
        <v>0</v>
      </c>
      <c r="I129" s="147" t="b">
        <f t="shared" si="5"/>
        <v>0</v>
      </c>
      <c r="J129" s="147" t="b">
        <f t="shared" si="6"/>
        <v>0</v>
      </c>
      <c r="K129" s="147" t="b">
        <f t="shared" si="7"/>
        <v>1</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c r="AH129" s="147">
        <v>0</v>
      </c>
      <c r="AI129" s="147">
        <v>0</v>
      </c>
      <c r="AJ129" s="147">
        <v>0</v>
      </c>
      <c r="AK129" s="147">
        <v>0</v>
      </c>
      <c r="AL129" s="147">
        <v>0</v>
      </c>
      <c r="AM129" s="147">
        <v>0</v>
      </c>
      <c r="AN129" s="147">
        <v>0</v>
      </c>
      <c r="AO129" s="240">
        <v>0</v>
      </c>
      <c r="AP129" s="147">
        <f t="shared" si="8"/>
        <v>0</v>
      </c>
    </row>
    <row r="130" spans="2:42">
      <c r="B130" s="147" t="str">
        <v>Pórtico 4 (MG-329)</v>
      </c>
      <c r="C130" s="149" t="str">
        <v>1</v>
      </c>
      <c r="D130" s="149" t="str">
        <v>1.1</v>
      </c>
      <c r="E130" s="149">
        <v>1</v>
      </c>
      <c r="F130" s="149">
        <v>0</v>
      </c>
      <c r="G130" s="147" t="str">
        <v>Pavimento</v>
      </c>
      <c r="H130" s="147" t="b">
        <v>0</v>
      </c>
      <c r="I130" s="147" t="b">
        <f t="shared" si="5"/>
        <v>0</v>
      </c>
      <c r="J130" s="147" t="b">
        <f t="shared" si="6"/>
        <v>0</v>
      </c>
      <c r="K130" s="147" t="b">
        <f t="shared" si="7"/>
        <v>1</v>
      </c>
      <c r="L130" s="147">
        <v>13076595.210696179</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c r="AH130" s="147">
        <v>0</v>
      </c>
      <c r="AI130" s="147">
        <v>0</v>
      </c>
      <c r="AJ130" s="147">
        <v>0</v>
      </c>
      <c r="AK130" s="147">
        <v>0</v>
      </c>
      <c r="AL130" s="147">
        <v>0</v>
      </c>
      <c r="AM130" s="147">
        <v>0</v>
      </c>
      <c r="AN130" s="147">
        <v>0</v>
      </c>
      <c r="AO130" s="240">
        <v>0</v>
      </c>
      <c r="AP130" s="147">
        <f t="shared" si="8"/>
        <v>13076595.210696179</v>
      </c>
    </row>
    <row r="131" spans="2:42">
      <c r="B131" s="147" t="str">
        <v>Pórtico 4 (MG-329)</v>
      </c>
      <c r="C131" s="149" t="str">
        <v>1</v>
      </c>
      <c r="D131" s="149" t="str">
        <v>1.2</v>
      </c>
      <c r="E131" s="149">
        <v>1</v>
      </c>
      <c r="F131" s="149">
        <v>0</v>
      </c>
      <c r="G131" s="147" t="str">
        <v>Obras de arte especiais</v>
      </c>
      <c r="H131" s="147" t="b">
        <v>0</v>
      </c>
      <c r="I131" s="147" t="b">
        <f t="shared" si="5"/>
        <v>0</v>
      </c>
      <c r="J131" s="147" t="b">
        <f t="shared" si="6"/>
        <v>0</v>
      </c>
      <c r="K131" s="147" t="b">
        <f t="shared" si="7"/>
        <v>1</v>
      </c>
      <c r="L131" s="147">
        <v>0</v>
      </c>
      <c r="M131" s="147">
        <v>0</v>
      </c>
      <c r="N131" s="147">
        <v>0</v>
      </c>
      <c r="O131" s="147">
        <v>0</v>
      </c>
      <c r="P131" s="147">
        <v>0</v>
      </c>
      <c r="Q131" s="147">
        <v>0</v>
      </c>
      <c r="R131" s="147">
        <v>0</v>
      </c>
      <c r="S131" s="147">
        <v>0</v>
      </c>
      <c r="T131" s="147">
        <v>0</v>
      </c>
      <c r="U131" s="147">
        <v>0</v>
      </c>
      <c r="V131" s="147">
        <v>0</v>
      </c>
      <c r="W131" s="147">
        <v>0</v>
      </c>
      <c r="X131" s="147">
        <v>0</v>
      </c>
      <c r="Y131" s="147">
        <v>0</v>
      </c>
      <c r="Z131" s="147">
        <v>0</v>
      </c>
      <c r="AA131" s="147">
        <v>0</v>
      </c>
      <c r="AB131" s="147">
        <v>0</v>
      </c>
      <c r="AC131" s="147">
        <v>0</v>
      </c>
      <c r="AD131" s="147">
        <v>0</v>
      </c>
      <c r="AE131" s="147">
        <v>0</v>
      </c>
      <c r="AF131" s="147">
        <v>0</v>
      </c>
      <c r="AG131" s="147">
        <v>0</v>
      </c>
      <c r="AH131" s="147">
        <v>0</v>
      </c>
      <c r="AI131" s="147">
        <v>0</v>
      </c>
      <c r="AJ131" s="147">
        <v>0</v>
      </c>
      <c r="AK131" s="147">
        <v>0</v>
      </c>
      <c r="AL131" s="147">
        <v>0</v>
      </c>
      <c r="AM131" s="147">
        <v>0</v>
      </c>
      <c r="AN131" s="147">
        <v>0</v>
      </c>
      <c r="AO131" s="240">
        <v>0</v>
      </c>
      <c r="AP131" s="147">
        <f t="shared" si="8"/>
        <v>0</v>
      </c>
    </row>
    <row r="132" spans="2:42">
      <c r="B132" s="147" t="str">
        <v>Pórtico 4 (MG-329)</v>
      </c>
      <c r="C132" s="149" t="str">
        <v>1</v>
      </c>
      <c r="D132" s="149" t="str">
        <v>1.3</v>
      </c>
      <c r="E132" s="149">
        <v>1</v>
      </c>
      <c r="F132" s="149">
        <v>0</v>
      </c>
      <c r="G132" s="147" t="str">
        <v>Drenagem e obras de arte correntes</v>
      </c>
      <c r="H132" s="147" t="b">
        <v>0</v>
      </c>
      <c r="I132" s="147" t="b">
        <f t="shared" si="5"/>
        <v>0</v>
      </c>
      <c r="J132" s="147" t="b">
        <f t="shared" si="6"/>
        <v>0</v>
      </c>
      <c r="K132" s="147" t="b">
        <f t="shared" si="7"/>
        <v>1</v>
      </c>
      <c r="L132" s="147">
        <v>621239.63971266162</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c r="AH132" s="147">
        <v>0</v>
      </c>
      <c r="AI132" s="147">
        <v>0</v>
      </c>
      <c r="AJ132" s="147">
        <v>0</v>
      </c>
      <c r="AK132" s="147">
        <v>0</v>
      </c>
      <c r="AL132" s="147">
        <v>0</v>
      </c>
      <c r="AM132" s="147">
        <v>0</v>
      </c>
      <c r="AN132" s="147">
        <v>0</v>
      </c>
      <c r="AO132" s="240">
        <v>0</v>
      </c>
      <c r="AP132" s="147">
        <f t="shared" si="8"/>
        <v>621239.63971266162</v>
      </c>
    </row>
    <row r="133" spans="2:42">
      <c r="B133" s="147" t="str">
        <v>Pórtico 4 (MG-329)</v>
      </c>
      <c r="C133" s="149" t="str">
        <v>1</v>
      </c>
      <c r="D133" s="149" t="str">
        <v>1.4</v>
      </c>
      <c r="E133" s="149">
        <v>1</v>
      </c>
      <c r="F133" s="149">
        <v>0</v>
      </c>
      <c r="G133" s="147" t="str">
        <v xml:space="preserve">Sinalização e dispositivos de proteção e segurança </v>
      </c>
      <c r="H133" s="147" t="b">
        <v>0</v>
      </c>
      <c r="I133" s="147" t="b">
        <f t="shared" si="5"/>
        <v>0</v>
      </c>
      <c r="J133" s="147" t="b">
        <f t="shared" si="6"/>
        <v>0</v>
      </c>
      <c r="K133" s="147" t="b">
        <f t="shared" si="7"/>
        <v>1</v>
      </c>
      <c r="L133" s="147">
        <v>3063895.416811212</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c r="AH133" s="147">
        <v>0</v>
      </c>
      <c r="AI133" s="147">
        <v>0</v>
      </c>
      <c r="AJ133" s="147">
        <v>0</v>
      </c>
      <c r="AK133" s="147">
        <v>0</v>
      </c>
      <c r="AL133" s="147">
        <v>0</v>
      </c>
      <c r="AM133" s="147">
        <v>0</v>
      </c>
      <c r="AN133" s="147">
        <v>0</v>
      </c>
      <c r="AO133" s="240">
        <v>0</v>
      </c>
      <c r="AP133" s="147">
        <f t="shared" si="8"/>
        <v>3063895.416811212</v>
      </c>
    </row>
    <row r="134" spans="2:42">
      <c r="B134" s="147" t="str">
        <v>Pórtico 4 (MG-329)</v>
      </c>
      <c r="C134" s="149" t="str">
        <v>1</v>
      </c>
      <c r="D134" s="149" t="str">
        <v>1.5</v>
      </c>
      <c r="E134" s="149">
        <v>1</v>
      </c>
      <c r="F134" s="149">
        <v>0</v>
      </c>
      <c r="G134" s="147" t="str">
        <v>Terraplenos e estrutura de contenção</v>
      </c>
      <c r="H134" s="147" t="b">
        <v>0</v>
      </c>
      <c r="I134" s="147" t="b">
        <f t="shared" ref="I134:I197" si="9">OR(ISNUMBER(FIND("Antivirus",G134)),
    ISNUMBER(FIND("ARCGIS",G134)),
    ISNUMBER(FIND("AutoCAD",G134)),
    ISNUMBER(FIND("Correio eletrônico",G134)),
    ISNUMBER(FIND("ISO 9001:2008",G134)),
    ISNUMBER(FIND("Microsoft",G134)),
    ISNUMBER(FIND("Sistema de Informações Georreferenciadas",G134)),
    ISNUMBER(FIND("Sistema 0800 - CCO",G134)),
    ISNUMBER(FIND("Sistema de Comunicação com os Usuários",G134)),
    ISNUMBER(FIND("Software",G134)),
    ISNUMBER(FIND("Storage",G134)),
    ISNUMBER(FIND("Windows Server",G134)))</f>
        <v>0</v>
      </c>
      <c r="J134" s="147" t="b">
        <f t="shared" ref="J134:J197" si="10">OR(F134,I134)</f>
        <v>0</v>
      </c>
      <c r="K134" s="147" t="b">
        <f t="shared" ref="K134:K197" si="11">AND(NOT(H134),NOT(J134))</f>
        <v>1</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c r="AH134" s="147">
        <v>0</v>
      </c>
      <c r="AI134" s="147">
        <v>0</v>
      </c>
      <c r="AJ134" s="147">
        <v>0</v>
      </c>
      <c r="AK134" s="147">
        <v>0</v>
      </c>
      <c r="AL134" s="147">
        <v>0</v>
      </c>
      <c r="AM134" s="147">
        <v>0</v>
      </c>
      <c r="AN134" s="147">
        <v>0</v>
      </c>
      <c r="AO134" s="240">
        <v>0</v>
      </c>
      <c r="AP134" s="147">
        <f t="shared" ref="AP134:AP197" si="12">SUM(L134:AO134)</f>
        <v>0</v>
      </c>
    </row>
    <row r="135" spans="2:42">
      <c r="B135" s="147" t="str">
        <v>Pórtico 4 (MG-329)</v>
      </c>
      <c r="C135" s="149" t="str">
        <v>1</v>
      </c>
      <c r="D135" s="149" t="str">
        <v>1.6</v>
      </c>
      <c r="E135" s="149">
        <v>1</v>
      </c>
      <c r="F135" s="149">
        <v>0</v>
      </c>
      <c r="G135" s="147" t="str">
        <v>Sistemas elétricos e de iluminação</v>
      </c>
      <c r="H135" s="147" t="b">
        <v>0</v>
      </c>
      <c r="I135" s="147" t="b">
        <f t="shared" si="9"/>
        <v>0</v>
      </c>
      <c r="J135" s="147" t="b">
        <f t="shared" si="10"/>
        <v>0</v>
      </c>
      <c r="K135" s="147" t="b">
        <f t="shared" si="11"/>
        <v>1</v>
      </c>
      <c r="L135" s="147">
        <v>1043372.9341645939</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c r="AH135" s="147">
        <v>0</v>
      </c>
      <c r="AI135" s="147">
        <v>0</v>
      </c>
      <c r="AJ135" s="147">
        <v>0</v>
      </c>
      <c r="AK135" s="147">
        <v>0</v>
      </c>
      <c r="AL135" s="147">
        <v>0</v>
      </c>
      <c r="AM135" s="147">
        <v>0</v>
      </c>
      <c r="AN135" s="147">
        <v>0</v>
      </c>
      <c r="AO135" s="240">
        <v>0</v>
      </c>
      <c r="AP135" s="147">
        <f t="shared" si="12"/>
        <v>1043372.9341645939</v>
      </c>
    </row>
    <row r="136" spans="2:42">
      <c r="B136" s="147" t="str">
        <v>Pórtico 4 (MG-329)</v>
      </c>
      <c r="C136" s="149" t="str">
        <v>1</v>
      </c>
      <c r="D136" s="149" t="str">
        <v>1.7</v>
      </c>
      <c r="E136" s="149">
        <v>1</v>
      </c>
      <c r="F136" s="149">
        <v>0</v>
      </c>
      <c r="G136" s="147" t="str">
        <v>Canteiro central e faixa de domínio</v>
      </c>
      <c r="H136" s="147" t="b">
        <v>0</v>
      </c>
      <c r="I136" s="147" t="b">
        <f t="shared" si="9"/>
        <v>0</v>
      </c>
      <c r="J136" s="147" t="b">
        <f t="shared" si="10"/>
        <v>0</v>
      </c>
      <c r="K136" s="147" t="b">
        <f t="shared" si="11"/>
        <v>1</v>
      </c>
      <c r="L136" s="147">
        <v>205040.90789454625</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c r="AH136" s="147">
        <v>0</v>
      </c>
      <c r="AI136" s="147">
        <v>0</v>
      </c>
      <c r="AJ136" s="147">
        <v>0</v>
      </c>
      <c r="AK136" s="147">
        <v>0</v>
      </c>
      <c r="AL136" s="147">
        <v>0</v>
      </c>
      <c r="AM136" s="147">
        <v>0</v>
      </c>
      <c r="AN136" s="147">
        <v>0</v>
      </c>
      <c r="AO136" s="240">
        <v>0</v>
      </c>
      <c r="AP136" s="147">
        <f t="shared" si="12"/>
        <v>205040.90789454625</v>
      </c>
    </row>
    <row r="137" spans="2:42">
      <c r="B137" s="147" t="str">
        <v>Pórtico 4 (MG-329)</v>
      </c>
      <c r="C137" s="149" t="str">
        <v>1</v>
      </c>
      <c r="D137" s="149" t="str">
        <v>1.8</v>
      </c>
      <c r="E137" s="149">
        <v>1</v>
      </c>
      <c r="F137" s="149">
        <v>0</v>
      </c>
      <c r="G137" s="147" t="str">
        <v>Administração local (%)</v>
      </c>
      <c r="H137" s="147" t="b">
        <v>0</v>
      </c>
      <c r="I137" s="147" t="b">
        <f t="shared" si="9"/>
        <v>0</v>
      </c>
      <c r="J137" s="147" t="b">
        <f t="shared" si="10"/>
        <v>0</v>
      </c>
      <c r="K137" s="147" t="b">
        <f t="shared" si="11"/>
        <v>1</v>
      </c>
      <c r="L137" s="147">
        <v>221524.77254413406</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c r="AH137" s="147">
        <v>0</v>
      </c>
      <c r="AI137" s="147">
        <v>0</v>
      </c>
      <c r="AJ137" s="147">
        <v>0</v>
      </c>
      <c r="AK137" s="147">
        <v>0</v>
      </c>
      <c r="AL137" s="147">
        <v>0</v>
      </c>
      <c r="AM137" s="147">
        <v>0</v>
      </c>
      <c r="AN137" s="147">
        <v>0</v>
      </c>
      <c r="AO137" s="240">
        <v>0</v>
      </c>
      <c r="AP137" s="147">
        <f t="shared" si="12"/>
        <v>221524.77254413406</v>
      </c>
    </row>
    <row r="138" spans="2:42">
      <c r="B138" s="147" t="str">
        <v>Pórtico 4 (MG-329)</v>
      </c>
      <c r="C138" s="149" t="str">
        <v>1</v>
      </c>
      <c r="D138" s="149" t="str">
        <v>1.9</v>
      </c>
      <c r="E138" s="149">
        <v>1</v>
      </c>
      <c r="F138" s="149">
        <v>0</v>
      </c>
      <c r="G138" s="147" t="str">
        <v>Canteiro de obras (%)</v>
      </c>
      <c r="H138" s="147" t="b">
        <v>0</v>
      </c>
      <c r="I138" s="147" t="b">
        <f t="shared" si="9"/>
        <v>0</v>
      </c>
      <c r="J138" s="147" t="b">
        <f t="shared" si="10"/>
        <v>0</v>
      </c>
      <c r="K138" s="147" t="b">
        <f t="shared" si="11"/>
        <v>1</v>
      </c>
      <c r="L138" s="147">
        <v>55831.446738765495</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c r="AH138" s="147">
        <v>0</v>
      </c>
      <c r="AI138" s="147">
        <v>0</v>
      </c>
      <c r="AJ138" s="147">
        <v>0</v>
      </c>
      <c r="AK138" s="147">
        <v>0</v>
      </c>
      <c r="AL138" s="147">
        <v>0</v>
      </c>
      <c r="AM138" s="147">
        <v>0</v>
      </c>
      <c r="AN138" s="147">
        <v>0</v>
      </c>
      <c r="AO138" s="240">
        <v>0</v>
      </c>
      <c r="AP138" s="147">
        <f t="shared" si="12"/>
        <v>55831.446738765495</v>
      </c>
    </row>
    <row r="139" spans="2:42">
      <c r="B139" s="147" t="str">
        <v>Pórtico 4 (MG-329)</v>
      </c>
      <c r="C139" s="149" t="str">
        <v>1</v>
      </c>
      <c r="D139" s="149" t="str">
        <v>1.10</v>
      </c>
      <c r="E139" s="149">
        <v>1</v>
      </c>
      <c r="F139" s="149">
        <v>0</v>
      </c>
      <c r="G139" s="147" t="str">
        <v>Mobilização e desmobilização (%)</v>
      </c>
      <c r="H139" s="147" t="b">
        <v>0</v>
      </c>
      <c r="I139" s="147" t="b">
        <f t="shared" si="9"/>
        <v>0</v>
      </c>
      <c r="J139" s="147" t="b">
        <f t="shared" si="10"/>
        <v>0</v>
      </c>
      <c r="K139" s="147" t="b">
        <f t="shared" si="11"/>
        <v>1</v>
      </c>
      <c r="L139" s="147">
        <v>1044.5883583381933</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c r="AH139" s="147">
        <v>0</v>
      </c>
      <c r="AI139" s="147">
        <v>0</v>
      </c>
      <c r="AJ139" s="147">
        <v>0</v>
      </c>
      <c r="AK139" s="147">
        <v>0</v>
      </c>
      <c r="AL139" s="147">
        <v>0</v>
      </c>
      <c r="AM139" s="147">
        <v>0</v>
      </c>
      <c r="AN139" s="147">
        <v>0</v>
      </c>
      <c r="AO139" s="240">
        <v>0</v>
      </c>
      <c r="AP139" s="147">
        <f t="shared" si="12"/>
        <v>1044.5883583381933</v>
      </c>
    </row>
    <row r="140" spans="2:42">
      <c r="B140" s="147" t="str">
        <v>Pórtico 4 (MG-329)</v>
      </c>
      <c r="C140" s="149" t="str">
        <v>1</v>
      </c>
      <c r="D140" s="149" t="str">
        <v>1.11</v>
      </c>
      <c r="E140" s="149">
        <v>1</v>
      </c>
      <c r="F140" s="149">
        <v>0</v>
      </c>
      <c r="G140" s="147" t="str">
        <v>Projetos (%)</v>
      </c>
      <c r="H140" s="147" t="b">
        <v>0</v>
      </c>
      <c r="I140" s="147" t="b">
        <f t="shared" si="9"/>
        <v>0</v>
      </c>
      <c r="J140" s="147" t="b">
        <f t="shared" si="10"/>
        <v>0</v>
      </c>
      <c r="K140" s="147" t="b">
        <f t="shared" si="11"/>
        <v>1</v>
      </c>
      <c r="L140" s="147">
        <v>450253.60273197986</v>
      </c>
      <c r="M140" s="147">
        <v>0</v>
      </c>
      <c r="N140" s="147">
        <v>0</v>
      </c>
      <c r="O140" s="147">
        <v>0</v>
      </c>
      <c r="P140" s="147">
        <v>0</v>
      </c>
      <c r="Q140" s="147">
        <v>0</v>
      </c>
      <c r="R140" s="147">
        <v>0</v>
      </c>
      <c r="S140" s="147">
        <v>0</v>
      </c>
      <c r="T140" s="147">
        <v>0</v>
      </c>
      <c r="U140" s="147">
        <v>0</v>
      </c>
      <c r="V140" s="147">
        <v>0</v>
      </c>
      <c r="W140" s="147">
        <v>0</v>
      </c>
      <c r="X140" s="147">
        <v>0</v>
      </c>
      <c r="Y140" s="147">
        <v>0</v>
      </c>
      <c r="Z140" s="147">
        <v>0</v>
      </c>
      <c r="AA140" s="147">
        <v>0</v>
      </c>
      <c r="AB140" s="147">
        <v>0</v>
      </c>
      <c r="AC140" s="147">
        <v>0</v>
      </c>
      <c r="AD140" s="147">
        <v>0</v>
      </c>
      <c r="AE140" s="147">
        <v>0</v>
      </c>
      <c r="AF140" s="147">
        <v>0</v>
      </c>
      <c r="AG140" s="147">
        <v>0</v>
      </c>
      <c r="AH140" s="147">
        <v>0</v>
      </c>
      <c r="AI140" s="147">
        <v>0</v>
      </c>
      <c r="AJ140" s="147">
        <v>0</v>
      </c>
      <c r="AK140" s="147">
        <v>0</v>
      </c>
      <c r="AL140" s="147">
        <v>0</v>
      </c>
      <c r="AM140" s="147">
        <v>0</v>
      </c>
      <c r="AN140" s="147">
        <v>0</v>
      </c>
      <c r="AO140" s="240">
        <v>0</v>
      </c>
      <c r="AP140" s="147">
        <f t="shared" si="12"/>
        <v>450253.60273197986</v>
      </c>
    </row>
    <row r="141" spans="2:42">
      <c r="B141" s="147" t="str">
        <v>Pórtico 4 (MG-329)</v>
      </c>
      <c r="C141" s="149" t="str">
        <v>2</v>
      </c>
      <c r="D141" s="149">
        <v>2</v>
      </c>
      <c r="E141" s="149">
        <v>0</v>
      </c>
      <c r="F141" s="149">
        <v>0</v>
      </c>
      <c r="G141" s="147" t="str">
        <v>Recuperação do sistema rodoviário</v>
      </c>
      <c r="H141" s="147" t="b">
        <v>0</v>
      </c>
      <c r="I141" s="147" t="b">
        <f t="shared" si="9"/>
        <v>0</v>
      </c>
      <c r="J141" s="147" t="b">
        <f t="shared" si="10"/>
        <v>0</v>
      </c>
      <c r="K141" s="147" t="b">
        <f t="shared" si="11"/>
        <v>1</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c r="AH141" s="147">
        <v>0</v>
      </c>
      <c r="AI141" s="147">
        <v>0</v>
      </c>
      <c r="AJ141" s="147">
        <v>0</v>
      </c>
      <c r="AK141" s="147">
        <v>0</v>
      </c>
      <c r="AL141" s="147">
        <v>0</v>
      </c>
      <c r="AM141" s="147">
        <v>0</v>
      </c>
      <c r="AN141" s="147">
        <v>0</v>
      </c>
      <c r="AO141" s="240">
        <v>0</v>
      </c>
      <c r="AP141" s="147">
        <f t="shared" si="12"/>
        <v>0</v>
      </c>
    </row>
    <row r="142" spans="2:42">
      <c r="B142" s="147" t="str">
        <v>Pórtico 4 (MG-329)</v>
      </c>
      <c r="C142" s="149" t="str">
        <v>2</v>
      </c>
      <c r="D142" s="149" t="str">
        <v>2.1</v>
      </c>
      <c r="E142" s="149">
        <v>1</v>
      </c>
      <c r="F142" s="149">
        <v>0</v>
      </c>
      <c r="G142" s="147" t="str">
        <v>Pavimento</v>
      </c>
      <c r="H142" s="147" t="b">
        <v>0</v>
      </c>
      <c r="I142" s="147" t="b">
        <f t="shared" si="9"/>
        <v>0</v>
      </c>
      <c r="J142" s="147" t="b">
        <f t="shared" si="10"/>
        <v>0</v>
      </c>
      <c r="K142" s="147" t="b">
        <f t="shared" si="11"/>
        <v>1</v>
      </c>
      <c r="L142" s="147">
        <v>0</v>
      </c>
      <c r="M142" s="147">
        <v>10791194.099859428</v>
      </c>
      <c r="N142" s="147">
        <v>6448485.8326087613</v>
      </c>
      <c r="O142" s="147">
        <v>7538545.3102565045</v>
      </c>
      <c r="P142" s="147">
        <v>3565947.1426890753</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c r="AH142" s="147">
        <v>0</v>
      </c>
      <c r="AI142" s="147">
        <v>0</v>
      </c>
      <c r="AJ142" s="147">
        <v>0</v>
      </c>
      <c r="AK142" s="147">
        <v>0</v>
      </c>
      <c r="AL142" s="147">
        <v>0</v>
      </c>
      <c r="AM142" s="147">
        <v>0</v>
      </c>
      <c r="AN142" s="147">
        <v>0</v>
      </c>
      <c r="AO142" s="240">
        <v>0</v>
      </c>
      <c r="AP142" s="147">
        <f t="shared" si="12"/>
        <v>28344172.38541377</v>
      </c>
    </row>
    <row r="143" spans="2:42">
      <c r="B143" s="147" t="str">
        <v>Pórtico 4 (MG-329)</v>
      </c>
      <c r="C143" s="149" t="str">
        <v>2</v>
      </c>
      <c r="D143" s="149" t="str">
        <v>2.2</v>
      </c>
      <c r="E143" s="149">
        <v>1</v>
      </c>
      <c r="F143" s="149">
        <v>0</v>
      </c>
      <c r="G143" s="147" t="str">
        <v>Obras de arte especiais</v>
      </c>
      <c r="H143" s="147" t="b">
        <v>0</v>
      </c>
      <c r="I143" s="147" t="b">
        <f t="shared" si="9"/>
        <v>0</v>
      </c>
      <c r="J143" s="147" t="b">
        <f t="shared" si="10"/>
        <v>0</v>
      </c>
      <c r="K143" s="147" t="b">
        <f t="shared" si="11"/>
        <v>1</v>
      </c>
      <c r="L143" s="147">
        <v>0</v>
      </c>
      <c r="M143" s="147">
        <v>1260671.4666422752</v>
      </c>
      <c r="N143" s="147">
        <v>0</v>
      </c>
      <c r="O143" s="147">
        <v>204473.87957109677</v>
      </c>
      <c r="P143" s="147">
        <v>0</v>
      </c>
      <c r="Q143" s="147">
        <v>0</v>
      </c>
      <c r="R143" s="147">
        <v>0</v>
      </c>
      <c r="S143" s="147">
        <v>0</v>
      </c>
      <c r="T143" s="147">
        <v>0</v>
      </c>
      <c r="U143" s="147">
        <v>0</v>
      </c>
      <c r="V143" s="147">
        <v>0</v>
      </c>
      <c r="W143" s="147">
        <v>0</v>
      </c>
      <c r="X143" s="147">
        <v>0</v>
      </c>
      <c r="Y143" s="147">
        <v>0</v>
      </c>
      <c r="Z143" s="147">
        <v>0</v>
      </c>
      <c r="AA143" s="147">
        <v>0</v>
      </c>
      <c r="AB143" s="147">
        <v>0</v>
      </c>
      <c r="AC143" s="147">
        <v>0</v>
      </c>
      <c r="AD143" s="147">
        <v>0</v>
      </c>
      <c r="AE143" s="147">
        <v>0</v>
      </c>
      <c r="AF143" s="147">
        <v>0</v>
      </c>
      <c r="AG143" s="147">
        <v>0</v>
      </c>
      <c r="AH143" s="147">
        <v>0</v>
      </c>
      <c r="AI143" s="147">
        <v>0</v>
      </c>
      <c r="AJ143" s="147">
        <v>0</v>
      </c>
      <c r="AK143" s="147">
        <v>0</v>
      </c>
      <c r="AL143" s="147">
        <v>0</v>
      </c>
      <c r="AM143" s="147">
        <v>0</v>
      </c>
      <c r="AN143" s="147">
        <v>0</v>
      </c>
      <c r="AO143" s="240">
        <v>0</v>
      </c>
      <c r="AP143" s="147">
        <f t="shared" si="12"/>
        <v>1465145.346213372</v>
      </c>
    </row>
    <row r="144" spans="2:42">
      <c r="B144" s="147" t="str">
        <v>Pórtico 4 (MG-329)</v>
      </c>
      <c r="C144" s="149" t="str">
        <v>2</v>
      </c>
      <c r="D144" s="149" t="str">
        <v>2.3</v>
      </c>
      <c r="E144" s="149">
        <v>1</v>
      </c>
      <c r="F144" s="149">
        <v>0</v>
      </c>
      <c r="G144" s="147" t="str">
        <v>Drenagem e obras de arte correntes</v>
      </c>
      <c r="H144" s="147" t="b">
        <v>0</v>
      </c>
      <c r="I144" s="147" t="b">
        <f t="shared" si="9"/>
        <v>0</v>
      </c>
      <c r="J144" s="147" t="b">
        <f t="shared" si="10"/>
        <v>0</v>
      </c>
      <c r="K144" s="147" t="b">
        <f t="shared" si="11"/>
        <v>1</v>
      </c>
      <c r="L144" s="147">
        <v>0</v>
      </c>
      <c r="M144" s="147">
        <v>412951.54670923442</v>
      </c>
      <c r="N144" s="147">
        <v>412951.54670923442</v>
      </c>
      <c r="O144" s="147">
        <v>412951.54670923442</v>
      </c>
      <c r="P144" s="147">
        <v>412951.54670923442</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c r="AH144" s="147">
        <v>0</v>
      </c>
      <c r="AI144" s="147">
        <v>0</v>
      </c>
      <c r="AJ144" s="147">
        <v>0</v>
      </c>
      <c r="AK144" s="147">
        <v>0</v>
      </c>
      <c r="AL144" s="147">
        <v>0</v>
      </c>
      <c r="AM144" s="147">
        <v>0</v>
      </c>
      <c r="AN144" s="147">
        <v>0</v>
      </c>
      <c r="AO144" s="240">
        <v>0</v>
      </c>
      <c r="AP144" s="147">
        <f t="shared" si="12"/>
        <v>1651806.1868369377</v>
      </c>
    </row>
    <row r="145" spans="2:42">
      <c r="B145" s="147" t="str">
        <v>Pórtico 4 (MG-329)</v>
      </c>
      <c r="C145" s="149" t="str">
        <v>2</v>
      </c>
      <c r="D145" s="149" t="str">
        <v>2.4</v>
      </c>
      <c r="E145" s="149">
        <v>1</v>
      </c>
      <c r="F145" s="149">
        <v>0</v>
      </c>
      <c r="G145" s="147" t="str">
        <v xml:space="preserve">Sinalização e dispositivos de proteção e segurança </v>
      </c>
      <c r="H145" s="147" t="b">
        <v>0</v>
      </c>
      <c r="I145" s="147" t="b">
        <f t="shared" si="9"/>
        <v>0</v>
      </c>
      <c r="J145" s="147" t="b">
        <f t="shared" si="10"/>
        <v>0</v>
      </c>
      <c r="K145" s="147" t="b">
        <f t="shared" si="11"/>
        <v>1</v>
      </c>
      <c r="L145" s="147">
        <v>0</v>
      </c>
      <c r="M145" s="147">
        <v>1430548.1510273316</v>
      </c>
      <c r="N145" s="147">
        <v>1430548.1510273316</v>
      </c>
      <c r="O145" s="147">
        <v>1430548.1510273316</v>
      </c>
      <c r="P145" s="147">
        <v>1430482.9028073316</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c r="AH145" s="147">
        <v>0</v>
      </c>
      <c r="AI145" s="147">
        <v>0</v>
      </c>
      <c r="AJ145" s="147">
        <v>0</v>
      </c>
      <c r="AK145" s="147">
        <v>0</v>
      </c>
      <c r="AL145" s="147">
        <v>0</v>
      </c>
      <c r="AM145" s="147">
        <v>0</v>
      </c>
      <c r="AN145" s="147">
        <v>0</v>
      </c>
      <c r="AO145" s="240">
        <v>0</v>
      </c>
      <c r="AP145" s="147">
        <f t="shared" si="12"/>
        <v>5722127.3558893269</v>
      </c>
    </row>
    <row r="146" spans="2:42">
      <c r="B146" s="147" t="str">
        <v>Pórtico 4 (MG-329)</v>
      </c>
      <c r="C146" s="149" t="str">
        <v>2</v>
      </c>
      <c r="D146" s="149" t="str">
        <v>2.6</v>
      </c>
      <c r="E146" s="149">
        <v>1</v>
      </c>
      <c r="F146" s="149">
        <v>0</v>
      </c>
      <c r="G146" s="147" t="str">
        <v>Terraplenos e estrutura de contenção</v>
      </c>
      <c r="H146" s="147" t="b">
        <v>0</v>
      </c>
      <c r="I146" s="147" t="b">
        <f t="shared" si="9"/>
        <v>0</v>
      </c>
      <c r="J146" s="147" t="b">
        <f t="shared" si="10"/>
        <v>0</v>
      </c>
      <c r="K146" s="147" t="b">
        <f t="shared" si="11"/>
        <v>1</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c r="AH146" s="147">
        <v>0</v>
      </c>
      <c r="AI146" s="147">
        <v>0</v>
      </c>
      <c r="AJ146" s="147">
        <v>0</v>
      </c>
      <c r="AK146" s="147">
        <v>0</v>
      </c>
      <c r="AL146" s="147">
        <v>0</v>
      </c>
      <c r="AM146" s="147">
        <v>0</v>
      </c>
      <c r="AN146" s="147">
        <v>0</v>
      </c>
      <c r="AO146" s="240">
        <v>0</v>
      </c>
      <c r="AP146" s="147">
        <f t="shared" si="12"/>
        <v>0</v>
      </c>
    </row>
    <row r="147" spans="2:42">
      <c r="B147" s="147" t="str">
        <v>Pórtico 4 (MG-329)</v>
      </c>
      <c r="C147" s="149" t="str">
        <v>2</v>
      </c>
      <c r="D147" s="149" t="str">
        <v>2.7</v>
      </c>
      <c r="E147" s="149">
        <v>1</v>
      </c>
      <c r="F147" s="149">
        <v>0</v>
      </c>
      <c r="G147" s="147" t="str">
        <v>Sistemas elétricos e de iluminação</v>
      </c>
      <c r="H147" s="147" t="b">
        <v>0</v>
      </c>
      <c r="I147" s="147" t="b">
        <f t="shared" si="9"/>
        <v>0</v>
      </c>
      <c r="J147" s="147" t="b">
        <f t="shared" si="10"/>
        <v>0</v>
      </c>
      <c r="K147" s="147" t="b">
        <f t="shared" si="11"/>
        <v>1</v>
      </c>
      <c r="L147" s="147">
        <v>0</v>
      </c>
      <c r="M147" s="147">
        <v>3687.7577100000003</v>
      </c>
      <c r="N147" s="147">
        <v>3687.7577100000003</v>
      </c>
      <c r="O147" s="147">
        <v>3687.7577100000003</v>
      </c>
      <c r="P147" s="147">
        <v>3687.7577100000003</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c r="AH147" s="147">
        <v>0</v>
      </c>
      <c r="AI147" s="147">
        <v>0</v>
      </c>
      <c r="AJ147" s="147">
        <v>0</v>
      </c>
      <c r="AK147" s="147">
        <v>0</v>
      </c>
      <c r="AL147" s="147">
        <v>0</v>
      </c>
      <c r="AM147" s="147">
        <v>0</v>
      </c>
      <c r="AN147" s="147">
        <v>0</v>
      </c>
      <c r="AO147" s="240">
        <v>0</v>
      </c>
      <c r="AP147" s="147">
        <f t="shared" si="12"/>
        <v>14751.030840000001</v>
      </c>
    </row>
    <row r="148" spans="2:42">
      <c r="B148" s="147" t="str">
        <v>Pórtico 4 (MG-329)</v>
      </c>
      <c r="C148" s="149" t="str">
        <v>2</v>
      </c>
      <c r="D148" s="149" t="str">
        <v>2.8</v>
      </c>
      <c r="E148" s="149">
        <v>1</v>
      </c>
      <c r="F148" s="149">
        <v>0</v>
      </c>
      <c r="G148" s="147" t="str">
        <v>Canteiro central e faixa de domínio</v>
      </c>
      <c r="H148" s="147" t="b">
        <v>0</v>
      </c>
      <c r="I148" s="147" t="b">
        <f t="shared" si="9"/>
        <v>0</v>
      </c>
      <c r="J148" s="147" t="b">
        <f t="shared" si="10"/>
        <v>0</v>
      </c>
      <c r="K148" s="147" t="b">
        <f t="shared" si="11"/>
        <v>1</v>
      </c>
      <c r="L148" s="147">
        <v>0</v>
      </c>
      <c r="M148" s="147">
        <v>238217.58157404629</v>
      </c>
      <c r="N148" s="147">
        <v>238217.58157404629</v>
      </c>
      <c r="O148" s="147">
        <v>238217.58157404629</v>
      </c>
      <c r="P148" s="147">
        <v>238217.58157404629</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c r="AH148" s="147">
        <v>0</v>
      </c>
      <c r="AI148" s="147">
        <v>0</v>
      </c>
      <c r="AJ148" s="147">
        <v>0</v>
      </c>
      <c r="AK148" s="147">
        <v>0</v>
      </c>
      <c r="AL148" s="147">
        <v>0</v>
      </c>
      <c r="AM148" s="147">
        <v>0</v>
      </c>
      <c r="AN148" s="147">
        <v>0</v>
      </c>
      <c r="AO148" s="240">
        <v>0</v>
      </c>
      <c r="AP148" s="147">
        <f t="shared" si="12"/>
        <v>952870.32629618514</v>
      </c>
    </row>
    <row r="149" spans="2:42">
      <c r="B149" s="147" t="str">
        <v>Pórtico 4 (MG-329)</v>
      </c>
      <c r="C149" s="149" t="str">
        <v>2</v>
      </c>
      <c r="D149" s="149" t="str">
        <v>2.9</v>
      </c>
      <c r="E149" s="149">
        <v>1</v>
      </c>
      <c r="F149" s="149">
        <v>0</v>
      </c>
      <c r="G149" s="147" t="str">
        <v>Administração local (%)</v>
      </c>
      <c r="H149" s="147" t="b">
        <v>0</v>
      </c>
      <c r="I149" s="147" t="b">
        <f t="shared" si="9"/>
        <v>0</v>
      </c>
      <c r="J149" s="147" t="b">
        <f t="shared" si="10"/>
        <v>0</v>
      </c>
      <c r="K149" s="147" t="b">
        <f t="shared" si="11"/>
        <v>1</v>
      </c>
      <c r="L149" s="147">
        <v>0</v>
      </c>
      <c r="M149" s="147">
        <v>173888.42842332448</v>
      </c>
      <c r="N149" s="147">
        <v>104966.85769644129</v>
      </c>
      <c r="O149" s="147">
        <v>120889.61799023302</v>
      </c>
      <c r="P149" s="147">
        <v>69510.829257323159</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c r="AH149" s="147">
        <v>0</v>
      </c>
      <c r="AI149" s="147">
        <v>0</v>
      </c>
      <c r="AJ149" s="147">
        <v>0</v>
      </c>
      <c r="AK149" s="147">
        <v>0</v>
      </c>
      <c r="AL149" s="147">
        <v>0</v>
      </c>
      <c r="AM149" s="147">
        <v>0</v>
      </c>
      <c r="AN149" s="147">
        <v>0</v>
      </c>
      <c r="AO149" s="240">
        <v>0</v>
      </c>
      <c r="AP149" s="147">
        <f t="shared" si="12"/>
        <v>469255.73336732195</v>
      </c>
    </row>
    <row r="150" spans="2:42">
      <c r="B150" s="147" t="str">
        <v>Pórtico 4 (MG-329)</v>
      </c>
      <c r="C150" s="149" t="str">
        <v>2</v>
      </c>
      <c r="D150" s="149" t="str">
        <v>2.10</v>
      </c>
      <c r="E150" s="149">
        <v>1</v>
      </c>
      <c r="F150" s="149">
        <v>0</v>
      </c>
      <c r="G150" s="147" t="str">
        <v>Canteiro de obras (%)</v>
      </c>
      <c r="H150" s="147" t="b">
        <v>0</v>
      </c>
      <c r="I150" s="147" t="b">
        <f t="shared" si="9"/>
        <v>0</v>
      </c>
      <c r="J150" s="147" t="b">
        <f t="shared" si="10"/>
        <v>0</v>
      </c>
      <c r="K150" s="147" t="b">
        <f t="shared" si="11"/>
        <v>1</v>
      </c>
      <c r="L150" s="147">
        <v>0</v>
      </c>
      <c r="M150" s="147">
        <v>43825.538870919176</v>
      </c>
      <c r="N150" s="147">
        <v>26455.061695851058</v>
      </c>
      <c r="O150" s="147">
        <v>30468.115103229458</v>
      </c>
      <c r="P150" s="147">
        <v>17518.98948761803</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c r="AH150" s="147">
        <v>0</v>
      </c>
      <c r="AI150" s="147">
        <v>0</v>
      </c>
      <c r="AJ150" s="147">
        <v>0</v>
      </c>
      <c r="AK150" s="147">
        <v>0</v>
      </c>
      <c r="AL150" s="147">
        <v>0</v>
      </c>
      <c r="AM150" s="147">
        <v>0</v>
      </c>
      <c r="AN150" s="147">
        <v>0</v>
      </c>
      <c r="AO150" s="240">
        <v>0</v>
      </c>
      <c r="AP150" s="147">
        <f t="shared" si="12"/>
        <v>118267.70515761773</v>
      </c>
    </row>
    <row r="151" spans="2:42">
      <c r="B151" s="147" t="str">
        <v>Pórtico 4 (MG-329)</v>
      </c>
      <c r="C151" s="149" t="str">
        <v>2</v>
      </c>
      <c r="D151" s="149" t="str">
        <v>2.11</v>
      </c>
      <c r="E151" s="149">
        <v>1</v>
      </c>
      <c r="F151" s="149">
        <v>0</v>
      </c>
      <c r="G151" s="147" t="str">
        <v>Mobilização e desmobilização (%)</v>
      </c>
      <c r="H151" s="147" t="b">
        <v>0</v>
      </c>
      <c r="I151" s="147" t="b">
        <f t="shared" si="9"/>
        <v>0</v>
      </c>
      <c r="J151" s="147" t="b">
        <f t="shared" si="10"/>
        <v>0</v>
      </c>
      <c r="K151" s="147" t="b">
        <f t="shared" si="11"/>
        <v>1</v>
      </c>
      <c r="L151" s="147">
        <v>0</v>
      </c>
      <c r="M151" s="147">
        <v>819.96169500429426</v>
      </c>
      <c r="N151" s="147">
        <v>494.96567043850365</v>
      </c>
      <c r="O151" s="147">
        <v>570.04860515719633</v>
      </c>
      <c r="P151" s="147">
        <v>327.77464202640186</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c r="AH151" s="147">
        <v>0</v>
      </c>
      <c r="AI151" s="147">
        <v>0</v>
      </c>
      <c r="AJ151" s="147">
        <v>0</v>
      </c>
      <c r="AK151" s="147">
        <v>0</v>
      </c>
      <c r="AL151" s="147">
        <v>0</v>
      </c>
      <c r="AM151" s="147">
        <v>0</v>
      </c>
      <c r="AN151" s="147">
        <v>0</v>
      </c>
      <c r="AO151" s="240">
        <v>0</v>
      </c>
      <c r="AP151" s="147">
        <f t="shared" si="12"/>
        <v>2212.7506126263961</v>
      </c>
    </row>
    <row r="152" spans="2:42">
      <c r="B152" s="147" t="str">
        <v>Pórtico 4 (MG-329)</v>
      </c>
      <c r="C152" s="149" t="str">
        <v>2</v>
      </c>
      <c r="D152" s="149" t="str">
        <v>2.12</v>
      </c>
      <c r="E152" s="149">
        <v>1</v>
      </c>
      <c r="F152" s="149">
        <v>0</v>
      </c>
      <c r="G152" s="147" t="str">
        <v>Projetos (%)</v>
      </c>
      <c r="H152" s="147" t="b">
        <v>0</v>
      </c>
      <c r="I152" s="147" t="b">
        <f t="shared" si="9"/>
        <v>0</v>
      </c>
      <c r="J152" s="147" t="b">
        <f t="shared" si="10"/>
        <v>0</v>
      </c>
      <c r="K152" s="147" t="b">
        <f t="shared" si="11"/>
        <v>1</v>
      </c>
      <c r="L152" s="147">
        <v>0</v>
      </c>
      <c r="M152" s="147">
        <v>353431.7650880579</v>
      </c>
      <c r="N152" s="147">
        <v>213347.27174073437</v>
      </c>
      <c r="O152" s="147">
        <v>245710.60567120533</v>
      </c>
      <c r="P152" s="147">
        <v>141282.17328724219</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c r="AH152" s="147">
        <v>0</v>
      </c>
      <c r="AI152" s="147">
        <v>0</v>
      </c>
      <c r="AJ152" s="147">
        <v>0</v>
      </c>
      <c r="AK152" s="147">
        <v>0</v>
      </c>
      <c r="AL152" s="147">
        <v>0</v>
      </c>
      <c r="AM152" s="147">
        <v>0</v>
      </c>
      <c r="AN152" s="147">
        <v>0</v>
      </c>
      <c r="AO152" s="240">
        <v>0</v>
      </c>
      <c r="AP152" s="147">
        <f t="shared" si="12"/>
        <v>953771.81578723982</v>
      </c>
    </row>
    <row r="153" spans="2:42">
      <c r="B153" s="147" t="str">
        <v>Pórtico 4 (MG-329)</v>
      </c>
      <c r="C153" s="149" t="str">
        <v>4</v>
      </c>
      <c r="D153" s="149">
        <v>4</v>
      </c>
      <c r="E153" s="149">
        <v>0</v>
      </c>
      <c r="F153" s="149">
        <v>0</v>
      </c>
      <c r="G153" s="147" t="str">
        <v>Obras de ampliação da capacidade e outras melhorias</v>
      </c>
      <c r="H153" s="147" t="b">
        <v>0</v>
      </c>
      <c r="I153" s="147" t="b">
        <f t="shared" si="9"/>
        <v>0</v>
      </c>
      <c r="J153" s="147" t="b">
        <f t="shared" si="10"/>
        <v>0</v>
      </c>
      <c r="K153" s="147" t="b">
        <f t="shared" si="11"/>
        <v>1</v>
      </c>
      <c r="L153" s="147">
        <v>0</v>
      </c>
      <c r="M153" s="147">
        <v>0</v>
      </c>
      <c r="N153" s="147">
        <v>0</v>
      </c>
      <c r="O153" s="147">
        <v>0</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c r="AH153" s="147">
        <v>0</v>
      </c>
      <c r="AI153" s="147">
        <v>0</v>
      </c>
      <c r="AJ153" s="147">
        <v>0</v>
      </c>
      <c r="AK153" s="147">
        <v>0</v>
      </c>
      <c r="AL153" s="147">
        <v>0</v>
      </c>
      <c r="AM153" s="147">
        <v>0</v>
      </c>
      <c r="AN153" s="147">
        <v>0</v>
      </c>
      <c r="AO153" s="240">
        <v>0</v>
      </c>
      <c r="AP153" s="147">
        <f t="shared" si="12"/>
        <v>0</v>
      </c>
    </row>
    <row r="154" spans="2:42">
      <c r="B154" s="147" t="str">
        <v>Pórtico 4 (MG-329)</v>
      </c>
      <c r="C154" s="149" t="str">
        <v>4</v>
      </c>
      <c r="D154" s="149" t="str">
        <v>4.1</v>
      </c>
      <c r="E154" s="149">
        <v>1</v>
      </c>
      <c r="F154" s="149">
        <v>0</v>
      </c>
      <c r="G154" s="147" t="str">
        <v xml:space="preserve">Duplicação </v>
      </c>
      <c r="H154" s="147" t="b">
        <v>0</v>
      </c>
      <c r="I154" s="147" t="b">
        <f t="shared" si="9"/>
        <v>0</v>
      </c>
      <c r="J154" s="147" t="b">
        <f t="shared" si="10"/>
        <v>0</v>
      </c>
      <c r="K154" s="147" t="b">
        <f t="shared" si="11"/>
        <v>1</v>
      </c>
      <c r="L154" s="147">
        <v>0</v>
      </c>
      <c r="M154" s="147">
        <v>0</v>
      </c>
      <c r="N154" s="147">
        <v>0</v>
      </c>
      <c r="O154" s="147">
        <v>45329784.5</v>
      </c>
      <c r="P154" s="147">
        <v>0</v>
      </c>
      <c r="Q154" s="147">
        <v>0</v>
      </c>
      <c r="R154" s="147">
        <v>0</v>
      </c>
      <c r="S154" s="147">
        <v>0</v>
      </c>
      <c r="T154" s="147">
        <v>0</v>
      </c>
      <c r="U154" s="147">
        <v>0</v>
      </c>
      <c r="V154" s="147">
        <v>0</v>
      </c>
      <c r="W154" s="147">
        <v>0</v>
      </c>
      <c r="X154" s="147">
        <v>0</v>
      </c>
      <c r="Y154" s="147">
        <v>0</v>
      </c>
      <c r="Z154" s="147">
        <v>183983215.5</v>
      </c>
      <c r="AA154" s="147">
        <v>0</v>
      </c>
      <c r="AB154" s="147">
        <v>0</v>
      </c>
      <c r="AC154" s="147">
        <v>0</v>
      </c>
      <c r="AD154" s="147">
        <v>0</v>
      </c>
      <c r="AE154" s="147">
        <v>0</v>
      </c>
      <c r="AF154" s="147">
        <v>0</v>
      </c>
      <c r="AG154" s="147">
        <v>0</v>
      </c>
      <c r="AH154" s="147">
        <v>0</v>
      </c>
      <c r="AI154" s="147">
        <v>0</v>
      </c>
      <c r="AJ154" s="147">
        <v>0</v>
      </c>
      <c r="AK154" s="147">
        <v>0</v>
      </c>
      <c r="AL154" s="147">
        <v>0</v>
      </c>
      <c r="AM154" s="147">
        <v>0</v>
      </c>
      <c r="AN154" s="147">
        <v>0</v>
      </c>
      <c r="AO154" s="240">
        <v>0</v>
      </c>
      <c r="AP154" s="147">
        <f t="shared" si="12"/>
        <v>229313000</v>
      </c>
    </row>
    <row r="155" spans="2:42">
      <c r="B155" s="147" t="str">
        <v>Pórtico 4 (MG-329)</v>
      </c>
      <c r="C155" s="149" t="str">
        <v>4</v>
      </c>
      <c r="D155" s="149" t="str">
        <v>4.2</v>
      </c>
      <c r="E155" s="149">
        <v>1</v>
      </c>
      <c r="F155" s="149">
        <v>0</v>
      </c>
      <c r="G155" s="147" t="str">
        <v xml:space="preserve">Vias marginais </v>
      </c>
      <c r="H155" s="147" t="b">
        <v>0</v>
      </c>
      <c r="I155" s="147" t="b">
        <f t="shared" si="9"/>
        <v>0</v>
      </c>
      <c r="J155" s="147" t="b">
        <f t="shared" si="10"/>
        <v>0</v>
      </c>
      <c r="K155" s="147" t="b">
        <f t="shared" si="11"/>
        <v>1</v>
      </c>
      <c r="L155" s="147">
        <v>0</v>
      </c>
      <c r="M155" s="147">
        <v>0</v>
      </c>
      <c r="N155" s="147">
        <v>0</v>
      </c>
      <c r="O155" s="147">
        <v>0</v>
      </c>
      <c r="P155" s="147">
        <v>0</v>
      </c>
      <c r="Q155" s="147">
        <v>0</v>
      </c>
      <c r="R155" s="147">
        <v>0</v>
      </c>
      <c r="S155" s="147">
        <v>0</v>
      </c>
      <c r="T155" s="147">
        <v>0</v>
      </c>
      <c r="U155" s="147">
        <v>0</v>
      </c>
      <c r="V155" s="147">
        <v>0</v>
      </c>
      <c r="W155" s="147">
        <v>0</v>
      </c>
      <c r="X155" s="147">
        <v>0</v>
      </c>
      <c r="Y155" s="147">
        <v>0</v>
      </c>
      <c r="Z155" s="147">
        <v>0</v>
      </c>
      <c r="AA155" s="147">
        <v>0</v>
      </c>
      <c r="AB155" s="147">
        <v>0</v>
      </c>
      <c r="AC155" s="147">
        <v>0</v>
      </c>
      <c r="AD155" s="147">
        <v>0</v>
      </c>
      <c r="AE155" s="147">
        <v>0</v>
      </c>
      <c r="AF155" s="147">
        <v>0</v>
      </c>
      <c r="AG155" s="147">
        <v>0</v>
      </c>
      <c r="AH155" s="147">
        <v>0</v>
      </c>
      <c r="AI155" s="147">
        <v>0</v>
      </c>
      <c r="AJ155" s="147">
        <v>0</v>
      </c>
      <c r="AK155" s="147">
        <v>0</v>
      </c>
      <c r="AL155" s="147">
        <v>0</v>
      </c>
      <c r="AM155" s="147">
        <v>0</v>
      </c>
      <c r="AN155" s="147">
        <v>0</v>
      </c>
      <c r="AO155" s="240">
        <v>0</v>
      </c>
      <c r="AP155" s="147">
        <f t="shared" si="12"/>
        <v>0</v>
      </c>
    </row>
    <row r="156" spans="2:42">
      <c r="B156" s="147" t="str">
        <v>Pórtico 4 (MG-329)</v>
      </c>
      <c r="C156" s="149" t="str">
        <v>4</v>
      </c>
      <c r="D156" s="149" t="str">
        <v>4.3</v>
      </c>
      <c r="E156" s="149">
        <v>1</v>
      </c>
      <c r="F156" s="149">
        <v>0</v>
      </c>
      <c r="G156" s="147" t="str">
        <v xml:space="preserve">Contornos urbanos e travessias urbanas </v>
      </c>
      <c r="H156" s="147" t="b">
        <v>0</v>
      </c>
      <c r="I156" s="147" t="b">
        <f t="shared" si="9"/>
        <v>0</v>
      </c>
      <c r="J156" s="147" t="b">
        <f t="shared" si="10"/>
        <v>0</v>
      </c>
      <c r="K156" s="147" t="b">
        <f t="shared" si="11"/>
        <v>1</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c r="AH156" s="147">
        <v>0</v>
      </c>
      <c r="AI156" s="147">
        <v>0</v>
      </c>
      <c r="AJ156" s="147">
        <v>0</v>
      </c>
      <c r="AK156" s="147">
        <v>0</v>
      </c>
      <c r="AL156" s="147">
        <v>0</v>
      </c>
      <c r="AM156" s="147">
        <v>0</v>
      </c>
      <c r="AN156" s="147">
        <v>0</v>
      </c>
      <c r="AO156" s="240">
        <v>0</v>
      </c>
      <c r="AP156" s="147">
        <f t="shared" si="12"/>
        <v>0</v>
      </c>
    </row>
    <row r="157" spans="2:42">
      <c r="B157" s="147" t="str">
        <v>Pórtico 4 (MG-329)</v>
      </c>
      <c r="C157" s="149" t="str">
        <v>4</v>
      </c>
      <c r="D157" s="149" t="str">
        <v>4.4</v>
      </c>
      <c r="E157" s="149">
        <v>1</v>
      </c>
      <c r="F157" s="149">
        <v>0</v>
      </c>
      <c r="G157" s="147" t="str">
        <v xml:space="preserve">Faixas adicionais </v>
      </c>
      <c r="H157" s="147" t="b">
        <v>0</v>
      </c>
      <c r="I157" s="147" t="b">
        <f t="shared" si="9"/>
        <v>0</v>
      </c>
      <c r="J157" s="147" t="b">
        <f t="shared" si="10"/>
        <v>0</v>
      </c>
      <c r="K157" s="147" t="b">
        <f t="shared" si="11"/>
        <v>1</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c r="AH157" s="147">
        <v>0</v>
      </c>
      <c r="AI157" s="147">
        <v>0</v>
      </c>
      <c r="AJ157" s="147">
        <v>0</v>
      </c>
      <c r="AK157" s="147">
        <v>0</v>
      </c>
      <c r="AL157" s="147">
        <v>0</v>
      </c>
      <c r="AM157" s="147">
        <v>0</v>
      </c>
      <c r="AN157" s="147">
        <v>0</v>
      </c>
      <c r="AO157" s="240">
        <v>0</v>
      </c>
      <c r="AP157" s="147">
        <f t="shared" si="12"/>
        <v>0</v>
      </c>
    </row>
    <row r="158" spans="2:42">
      <c r="B158" s="147" t="str">
        <v>Pórtico 4 (MG-329)</v>
      </c>
      <c r="C158" s="149" t="str">
        <v>4</v>
      </c>
      <c r="D158" s="149" t="str">
        <v>4.5</v>
      </c>
      <c r="E158" s="149">
        <v>1</v>
      </c>
      <c r="F158" s="149">
        <v>0</v>
      </c>
      <c r="G158" s="147" t="str">
        <v xml:space="preserve">Acostamentos e adequação de plataforma </v>
      </c>
      <c r="H158" s="147" t="b">
        <v>0</v>
      </c>
      <c r="I158" s="147" t="b">
        <f t="shared" si="9"/>
        <v>0</v>
      </c>
      <c r="J158" s="147" t="b">
        <f t="shared" si="10"/>
        <v>0</v>
      </c>
      <c r="K158" s="147" t="b">
        <f t="shared" si="11"/>
        <v>1</v>
      </c>
      <c r="L158" s="147">
        <v>0</v>
      </c>
      <c r="M158" s="147">
        <v>0</v>
      </c>
      <c r="N158" s="147">
        <v>0</v>
      </c>
      <c r="O158" s="147">
        <v>70177534.277245477</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c r="AH158" s="147">
        <v>0</v>
      </c>
      <c r="AI158" s="147">
        <v>0</v>
      </c>
      <c r="AJ158" s="147">
        <v>0</v>
      </c>
      <c r="AK158" s="147">
        <v>0</v>
      </c>
      <c r="AL158" s="147">
        <v>0</v>
      </c>
      <c r="AM158" s="147">
        <v>0</v>
      </c>
      <c r="AN158" s="147">
        <v>0</v>
      </c>
      <c r="AO158" s="240">
        <v>0</v>
      </c>
      <c r="AP158" s="147">
        <f t="shared" si="12"/>
        <v>70177534.277245477</v>
      </c>
    </row>
    <row r="159" spans="2:42">
      <c r="B159" s="147" t="str">
        <v>Pórtico 4 (MG-329)</v>
      </c>
      <c r="C159" s="149" t="str">
        <v>4</v>
      </c>
      <c r="D159" s="149" t="str">
        <v>4.6</v>
      </c>
      <c r="E159" s="149">
        <v>1</v>
      </c>
      <c r="F159" s="149">
        <v>0</v>
      </c>
      <c r="G159" s="147" t="str">
        <v>Implantação de oae</v>
      </c>
      <c r="H159" s="147" t="b">
        <v>0</v>
      </c>
      <c r="I159" s="147" t="b">
        <f t="shared" si="9"/>
        <v>0</v>
      </c>
      <c r="J159" s="147" t="b">
        <f t="shared" si="10"/>
        <v>0</v>
      </c>
      <c r="K159" s="147" t="b">
        <f t="shared" si="11"/>
        <v>1</v>
      </c>
      <c r="L159" s="147">
        <v>0</v>
      </c>
      <c r="M159" s="147">
        <v>0</v>
      </c>
      <c r="N159" s="147">
        <v>0</v>
      </c>
      <c r="O159" s="147">
        <v>0</v>
      </c>
      <c r="P159" s="147">
        <v>0</v>
      </c>
      <c r="Q159" s="147">
        <v>0</v>
      </c>
      <c r="R159" s="147">
        <v>0</v>
      </c>
      <c r="S159" s="147">
        <v>0</v>
      </c>
      <c r="T159" s="147">
        <v>0</v>
      </c>
      <c r="U159" s="147">
        <v>0</v>
      </c>
      <c r="V159" s="147">
        <v>0</v>
      </c>
      <c r="W159" s="147">
        <v>0</v>
      </c>
      <c r="X159" s="147">
        <v>0</v>
      </c>
      <c r="Y159" s="147">
        <v>0</v>
      </c>
      <c r="Z159" s="147">
        <v>5774341.9066947326</v>
      </c>
      <c r="AA159" s="147">
        <v>0</v>
      </c>
      <c r="AB159" s="147">
        <v>0</v>
      </c>
      <c r="AC159" s="147">
        <v>0</v>
      </c>
      <c r="AD159" s="147">
        <v>0</v>
      </c>
      <c r="AE159" s="147">
        <v>0</v>
      </c>
      <c r="AF159" s="147">
        <v>0</v>
      </c>
      <c r="AG159" s="147">
        <v>0</v>
      </c>
      <c r="AH159" s="147">
        <v>0</v>
      </c>
      <c r="AI159" s="147">
        <v>0</v>
      </c>
      <c r="AJ159" s="147">
        <v>0</v>
      </c>
      <c r="AK159" s="147">
        <v>0</v>
      </c>
      <c r="AL159" s="147">
        <v>0</v>
      </c>
      <c r="AM159" s="147">
        <v>0</v>
      </c>
      <c r="AN159" s="147">
        <v>0</v>
      </c>
      <c r="AO159" s="240">
        <v>0</v>
      </c>
      <c r="AP159" s="147">
        <f t="shared" si="12"/>
        <v>5774341.9066947326</v>
      </c>
    </row>
    <row r="160" spans="2:42">
      <c r="B160" s="147" t="str">
        <v>Pórtico 4 (MG-329)</v>
      </c>
      <c r="C160" s="149" t="str">
        <v>4</v>
      </c>
      <c r="D160" s="149" t="str">
        <v>4.7</v>
      </c>
      <c r="E160" s="149">
        <v>1</v>
      </c>
      <c r="F160" s="149">
        <v>0</v>
      </c>
      <c r="G160" s="147" t="str">
        <v xml:space="preserve">Implantação de dispositivo em nível </v>
      </c>
      <c r="H160" s="147" t="b">
        <v>0</v>
      </c>
      <c r="I160" s="147" t="b">
        <f t="shared" si="9"/>
        <v>0</v>
      </c>
      <c r="J160" s="147" t="b">
        <f t="shared" si="10"/>
        <v>0</v>
      </c>
      <c r="K160" s="147" t="b">
        <f t="shared" si="11"/>
        <v>1</v>
      </c>
      <c r="L160" s="147">
        <v>0</v>
      </c>
      <c r="M160" s="147">
        <v>0</v>
      </c>
      <c r="N160" s="147">
        <v>0</v>
      </c>
      <c r="O160" s="147">
        <v>18304812.592301283</v>
      </c>
      <c r="P160" s="147">
        <v>0</v>
      </c>
      <c r="Q160" s="147">
        <v>0</v>
      </c>
      <c r="R160" s="147">
        <v>0</v>
      </c>
      <c r="S160" s="147">
        <v>0</v>
      </c>
      <c r="T160" s="147">
        <v>0</v>
      </c>
      <c r="U160" s="147">
        <v>0</v>
      </c>
      <c r="V160" s="147">
        <v>0</v>
      </c>
      <c r="W160" s="147">
        <v>0</v>
      </c>
      <c r="X160" s="147">
        <v>0</v>
      </c>
      <c r="Y160" s="147">
        <v>0</v>
      </c>
      <c r="Z160" s="147">
        <v>32301415.263580177</v>
      </c>
      <c r="AA160" s="147">
        <v>0</v>
      </c>
      <c r="AB160" s="147">
        <v>0</v>
      </c>
      <c r="AC160" s="147">
        <v>0</v>
      </c>
      <c r="AD160" s="147">
        <v>0</v>
      </c>
      <c r="AE160" s="147">
        <v>0</v>
      </c>
      <c r="AF160" s="147">
        <v>0</v>
      </c>
      <c r="AG160" s="147">
        <v>0</v>
      </c>
      <c r="AH160" s="147">
        <v>0</v>
      </c>
      <c r="AI160" s="147">
        <v>0</v>
      </c>
      <c r="AJ160" s="147">
        <v>0</v>
      </c>
      <c r="AK160" s="147">
        <v>0</v>
      </c>
      <c r="AL160" s="147">
        <v>0</v>
      </c>
      <c r="AM160" s="147">
        <v>0</v>
      </c>
      <c r="AN160" s="147">
        <v>0</v>
      </c>
      <c r="AO160" s="240">
        <v>0</v>
      </c>
      <c r="AP160" s="147">
        <f t="shared" si="12"/>
        <v>50606227.85588146</v>
      </c>
    </row>
    <row r="161" spans="2:42">
      <c r="B161" s="147" t="str">
        <v>Pórtico 4 (MG-329)</v>
      </c>
      <c r="C161" s="149" t="str">
        <v>4</v>
      </c>
      <c r="D161" s="149" t="str">
        <v>4.8</v>
      </c>
      <c r="E161" s="149">
        <v>1</v>
      </c>
      <c r="F161" s="149">
        <v>0</v>
      </c>
      <c r="G161" s="147" t="str">
        <v>Adequação oae - alargamento e trem tipo</v>
      </c>
      <c r="H161" s="147" t="b">
        <v>0</v>
      </c>
      <c r="I161" s="147" t="b">
        <f t="shared" si="9"/>
        <v>0</v>
      </c>
      <c r="J161" s="147" t="b">
        <f t="shared" si="10"/>
        <v>0</v>
      </c>
      <c r="K161" s="147" t="b">
        <f t="shared" si="11"/>
        <v>1</v>
      </c>
      <c r="L161" s="147">
        <v>0</v>
      </c>
      <c r="M161" s="147">
        <v>0</v>
      </c>
      <c r="N161" s="147">
        <v>0</v>
      </c>
      <c r="O161" s="147">
        <v>5180818.4683896247</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c r="AH161" s="147">
        <v>0</v>
      </c>
      <c r="AI161" s="147">
        <v>0</v>
      </c>
      <c r="AJ161" s="147">
        <v>0</v>
      </c>
      <c r="AK161" s="147">
        <v>0</v>
      </c>
      <c r="AL161" s="147">
        <v>0</v>
      </c>
      <c r="AM161" s="147">
        <v>0</v>
      </c>
      <c r="AN161" s="147">
        <v>0</v>
      </c>
      <c r="AO161" s="240">
        <v>0</v>
      </c>
      <c r="AP161" s="147">
        <f t="shared" si="12"/>
        <v>5180818.4683896247</v>
      </c>
    </row>
    <row r="162" spans="2:42">
      <c r="B162" s="147" t="str">
        <v>Pórtico 4 (MG-329)</v>
      </c>
      <c r="C162" s="149" t="str">
        <v>4</v>
      </c>
      <c r="D162" s="149" t="str">
        <v>4.9</v>
      </c>
      <c r="E162" s="149">
        <v>1</v>
      </c>
      <c r="F162" s="149">
        <v>0</v>
      </c>
      <c r="G162" s="147" t="str">
        <v xml:space="preserve">Adequação de acessos existentes simples </v>
      </c>
      <c r="H162" s="147" t="b">
        <v>0</v>
      </c>
      <c r="I162" s="147" t="b">
        <f t="shared" si="9"/>
        <v>0</v>
      </c>
      <c r="J162" s="147" t="b">
        <f t="shared" si="10"/>
        <v>0</v>
      </c>
      <c r="K162" s="147" t="b">
        <f t="shared" si="11"/>
        <v>1</v>
      </c>
      <c r="L162" s="147">
        <v>0</v>
      </c>
      <c r="M162" s="147">
        <v>0</v>
      </c>
      <c r="N162" s="147">
        <v>0</v>
      </c>
      <c r="O162" s="147">
        <v>962674.27907671779</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c r="AH162" s="147">
        <v>0</v>
      </c>
      <c r="AI162" s="147">
        <v>0</v>
      </c>
      <c r="AJ162" s="147">
        <v>0</v>
      </c>
      <c r="AK162" s="147">
        <v>0</v>
      </c>
      <c r="AL162" s="147">
        <v>0</v>
      </c>
      <c r="AM162" s="147">
        <v>0</v>
      </c>
      <c r="AN162" s="147">
        <v>0</v>
      </c>
      <c r="AO162" s="240">
        <v>0</v>
      </c>
      <c r="AP162" s="147">
        <f t="shared" si="12"/>
        <v>962674.27907671779</v>
      </c>
    </row>
    <row r="163" spans="2:42">
      <c r="B163" s="147" t="str">
        <v>Pórtico 4 (MG-329)</v>
      </c>
      <c r="C163" s="149" t="str">
        <v>4</v>
      </c>
      <c r="D163" s="149" t="str">
        <v>4.10</v>
      </c>
      <c r="E163" s="149">
        <v>1</v>
      </c>
      <c r="F163" s="149">
        <v>0</v>
      </c>
      <c r="G163" s="147" t="str">
        <v xml:space="preserve">Adequação de acessos existentes com faixa de aceleração </v>
      </c>
      <c r="H163" s="147" t="b">
        <v>0</v>
      </c>
      <c r="I163" s="147" t="b">
        <f t="shared" si="9"/>
        <v>0</v>
      </c>
      <c r="J163" s="147" t="b">
        <f t="shared" si="10"/>
        <v>0</v>
      </c>
      <c r="K163" s="147" t="b">
        <f t="shared" si="11"/>
        <v>1</v>
      </c>
      <c r="L163" s="147">
        <v>0</v>
      </c>
      <c r="M163" s="147">
        <v>0</v>
      </c>
      <c r="N163" s="147">
        <v>0</v>
      </c>
      <c r="O163" s="147">
        <v>5293905.0477746828</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c r="AH163" s="147">
        <v>0</v>
      </c>
      <c r="AI163" s="147">
        <v>0</v>
      </c>
      <c r="AJ163" s="147">
        <v>0</v>
      </c>
      <c r="AK163" s="147">
        <v>0</v>
      </c>
      <c r="AL163" s="147">
        <v>0</v>
      </c>
      <c r="AM163" s="147">
        <v>0</v>
      </c>
      <c r="AN163" s="147">
        <v>0</v>
      </c>
      <c r="AO163" s="240">
        <v>0</v>
      </c>
      <c r="AP163" s="147">
        <f t="shared" si="12"/>
        <v>5293905.0477746828</v>
      </c>
    </row>
    <row r="164" spans="2:42">
      <c r="B164" s="147" t="str">
        <v>Pórtico 4 (MG-329)</v>
      </c>
      <c r="C164" s="149" t="str">
        <v>4</v>
      </c>
      <c r="D164" s="149" t="str">
        <v>4.12</v>
      </c>
      <c r="E164" s="149">
        <v>1</v>
      </c>
      <c r="F164" s="149">
        <v>0</v>
      </c>
      <c r="G164" s="147" t="str">
        <v>Correções de curvas</v>
      </c>
      <c r="H164" s="147" t="b">
        <v>0</v>
      </c>
      <c r="I164" s="147" t="b">
        <f t="shared" si="9"/>
        <v>0</v>
      </c>
      <c r="J164" s="147" t="b">
        <f t="shared" si="10"/>
        <v>0</v>
      </c>
      <c r="K164" s="147" t="b">
        <f t="shared" si="11"/>
        <v>1</v>
      </c>
      <c r="L164" s="147">
        <v>0</v>
      </c>
      <c r="M164" s="147">
        <v>0</v>
      </c>
      <c r="N164" s="147">
        <v>0</v>
      </c>
      <c r="O164" s="147">
        <v>1294829.2007263699</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c r="AH164" s="147">
        <v>0</v>
      </c>
      <c r="AI164" s="147">
        <v>0</v>
      </c>
      <c r="AJ164" s="147">
        <v>0</v>
      </c>
      <c r="AK164" s="147">
        <v>0</v>
      </c>
      <c r="AL164" s="147">
        <v>0</v>
      </c>
      <c r="AM164" s="147">
        <v>0</v>
      </c>
      <c r="AN164" s="147">
        <v>0</v>
      </c>
      <c r="AO164" s="240">
        <v>0</v>
      </c>
      <c r="AP164" s="147">
        <f t="shared" si="12"/>
        <v>1294829.2007263699</v>
      </c>
    </row>
    <row r="165" spans="2:42">
      <c r="B165" s="147" t="str">
        <v>Pórtico 4 (MG-329)</v>
      </c>
      <c r="C165" s="149" t="str">
        <v>4</v>
      </c>
      <c r="D165" s="149" t="str">
        <v>4.13</v>
      </c>
      <c r="E165" s="149">
        <v>1</v>
      </c>
      <c r="F165" s="149">
        <v>0</v>
      </c>
      <c r="G165" s="147" t="str">
        <v>Passarelas</v>
      </c>
      <c r="H165" s="147" t="b">
        <v>0</v>
      </c>
      <c r="I165" s="147" t="b">
        <f t="shared" si="9"/>
        <v>0</v>
      </c>
      <c r="J165" s="147" t="b">
        <f t="shared" si="10"/>
        <v>0</v>
      </c>
      <c r="K165" s="147" t="b">
        <f t="shared" si="11"/>
        <v>1</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2110579.865495</v>
      </c>
      <c r="AA165" s="147">
        <v>0</v>
      </c>
      <c r="AB165" s="147">
        <v>0</v>
      </c>
      <c r="AC165" s="147">
        <v>0</v>
      </c>
      <c r="AD165" s="147">
        <v>0</v>
      </c>
      <c r="AE165" s="147">
        <v>0</v>
      </c>
      <c r="AF165" s="147">
        <v>0</v>
      </c>
      <c r="AG165" s="147">
        <v>0</v>
      </c>
      <c r="AH165" s="147">
        <v>0</v>
      </c>
      <c r="AI165" s="147">
        <v>0</v>
      </c>
      <c r="AJ165" s="147">
        <v>0</v>
      </c>
      <c r="AK165" s="147">
        <v>0</v>
      </c>
      <c r="AL165" s="147">
        <v>0</v>
      </c>
      <c r="AM165" s="147">
        <v>0</v>
      </c>
      <c r="AN165" s="147">
        <v>0</v>
      </c>
      <c r="AO165" s="240">
        <v>0</v>
      </c>
      <c r="AP165" s="147">
        <f t="shared" si="12"/>
        <v>2110579.865495</v>
      </c>
    </row>
    <row r="166" spans="2:42">
      <c r="B166" s="147" t="str">
        <v>Pórtico 4 (MG-329)</v>
      </c>
      <c r="C166" s="149" t="str">
        <v>4</v>
      </c>
      <c r="D166" s="149" t="str">
        <v>4.14</v>
      </c>
      <c r="E166" s="149">
        <v>1</v>
      </c>
      <c r="F166" s="149">
        <v>0</v>
      </c>
      <c r="G166" s="147" t="str">
        <v xml:space="preserve">Paradas de ônibus sem baia </v>
      </c>
      <c r="H166" s="147" t="b">
        <v>0</v>
      </c>
      <c r="I166" s="147" t="b">
        <f t="shared" si="9"/>
        <v>0</v>
      </c>
      <c r="J166" s="147" t="b">
        <f t="shared" si="10"/>
        <v>0</v>
      </c>
      <c r="K166" s="147" t="b">
        <f t="shared" si="11"/>
        <v>1</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c r="AH166" s="147">
        <v>0</v>
      </c>
      <c r="AI166" s="147">
        <v>0</v>
      </c>
      <c r="AJ166" s="147">
        <v>0</v>
      </c>
      <c r="AK166" s="147">
        <v>0</v>
      </c>
      <c r="AL166" s="147">
        <v>0</v>
      </c>
      <c r="AM166" s="147">
        <v>0</v>
      </c>
      <c r="AN166" s="147">
        <v>0</v>
      </c>
      <c r="AO166" s="240">
        <v>0</v>
      </c>
      <c r="AP166" s="147">
        <f t="shared" si="12"/>
        <v>0</v>
      </c>
    </row>
    <row r="167" spans="2:42">
      <c r="B167" s="147" t="str">
        <v>Pórtico 4 (MG-329)</v>
      </c>
      <c r="C167" s="149" t="str">
        <v>4</v>
      </c>
      <c r="D167" s="149" t="str">
        <v>4.15</v>
      </c>
      <c r="E167" s="149">
        <v>1</v>
      </c>
      <c r="F167" s="149">
        <v>0</v>
      </c>
      <c r="G167" s="147" t="str">
        <v xml:space="preserve">Paradas de ônibus com baia </v>
      </c>
      <c r="H167" s="147" t="b">
        <v>0</v>
      </c>
      <c r="I167" s="147" t="b">
        <f t="shared" si="9"/>
        <v>0</v>
      </c>
      <c r="J167" s="147" t="b">
        <f t="shared" si="10"/>
        <v>0</v>
      </c>
      <c r="K167" s="147" t="b">
        <f t="shared" si="11"/>
        <v>1</v>
      </c>
      <c r="L167" s="147">
        <v>0</v>
      </c>
      <c r="M167" s="147">
        <v>0</v>
      </c>
      <c r="N167" s="147">
        <v>0</v>
      </c>
      <c r="O167" s="147">
        <v>1516306.45766669</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c r="AH167" s="147">
        <v>0</v>
      </c>
      <c r="AI167" s="147">
        <v>0</v>
      </c>
      <c r="AJ167" s="147">
        <v>0</v>
      </c>
      <c r="AK167" s="147">
        <v>0</v>
      </c>
      <c r="AL167" s="147">
        <v>0</v>
      </c>
      <c r="AM167" s="147">
        <v>0</v>
      </c>
      <c r="AN167" s="147">
        <v>0</v>
      </c>
      <c r="AO167" s="240">
        <v>0</v>
      </c>
      <c r="AP167" s="147">
        <f t="shared" si="12"/>
        <v>1516306.45766669</v>
      </c>
    </row>
    <row r="168" spans="2:42">
      <c r="B168" s="147" t="str">
        <v>Pórtico 4 (MG-329)</v>
      </c>
      <c r="C168" s="149" t="str">
        <v>4</v>
      </c>
      <c r="D168" s="149" t="str">
        <v>4.16</v>
      </c>
      <c r="E168" s="149">
        <v>1</v>
      </c>
      <c r="F168" s="149">
        <v>0</v>
      </c>
      <c r="G168" s="147" t="str">
        <v>Desapropriações</v>
      </c>
      <c r="H168" s="147" t="b">
        <v>1</v>
      </c>
      <c r="I168" s="147" t="b">
        <f t="shared" si="9"/>
        <v>0</v>
      </c>
      <c r="J168" s="147" t="b">
        <f t="shared" si="10"/>
        <v>0</v>
      </c>
      <c r="K168" s="147" t="b">
        <f t="shared" si="11"/>
        <v>0</v>
      </c>
      <c r="L168" s="147">
        <v>0</v>
      </c>
      <c r="M168" s="147">
        <v>0</v>
      </c>
      <c r="N168" s="147">
        <v>974271.67419790057</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c r="AH168" s="147">
        <v>0</v>
      </c>
      <c r="AI168" s="147">
        <v>0</v>
      </c>
      <c r="AJ168" s="147">
        <v>0</v>
      </c>
      <c r="AK168" s="147">
        <v>0</v>
      </c>
      <c r="AL168" s="147">
        <v>0</v>
      </c>
      <c r="AM168" s="147">
        <v>0</v>
      </c>
      <c r="AN168" s="147">
        <v>0</v>
      </c>
      <c r="AO168" s="240">
        <v>0</v>
      </c>
      <c r="AP168" s="147">
        <f t="shared" si="12"/>
        <v>974271.67419790057</v>
      </c>
    </row>
    <row r="169" spans="2:42">
      <c r="B169" s="147" t="str">
        <v>Pórtico 4 (MG-329)</v>
      </c>
      <c r="C169" s="149" t="str">
        <v>4</v>
      </c>
      <c r="D169" s="149" t="str">
        <v>4.17</v>
      </c>
      <c r="E169" s="149">
        <v>1</v>
      </c>
      <c r="F169" s="149">
        <v>0</v>
      </c>
      <c r="G169" s="147" t="str">
        <v>Administração local (%)</v>
      </c>
      <c r="H169" s="147" t="b">
        <v>0</v>
      </c>
      <c r="I169" s="147" t="b">
        <f t="shared" si="9"/>
        <v>0</v>
      </c>
      <c r="J169" s="147" t="b">
        <f t="shared" si="10"/>
        <v>0</v>
      </c>
      <c r="K169" s="147" t="b">
        <f t="shared" si="11"/>
        <v>1</v>
      </c>
      <c r="L169" s="147">
        <v>0</v>
      </c>
      <c r="M169" s="147">
        <v>0</v>
      </c>
      <c r="N169" s="147">
        <v>11983.541592634176</v>
      </c>
      <c r="O169" s="147">
        <v>1821146.1773251246</v>
      </c>
      <c r="P169" s="147">
        <v>0</v>
      </c>
      <c r="Q169" s="147">
        <v>0</v>
      </c>
      <c r="R169" s="147">
        <v>0</v>
      </c>
      <c r="S169" s="147">
        <v>0</v>
      </c>
      <c r="T169" s="147">
        <v>0</v>
      </c>
      <c r="U169" s="147">
        <v>0</v>
      </c>
      <c r="V169" s="147">
        <v>0</v>
      </c>
      <c r="W169" s="147">
        <v>0</v>
      </c>
      <c r="X169" s="147">
        <v>0</v>
      </c>
      <c r="Y169" s="147">
        <v>0</v>
      </c>
      <c r="Z169" s="147">
        <v>2757285.4961899701</v>
      </c>
      <c r="AA169" s="147">
        <v>0</v>
      </c>
      <c r="AB169" s="147">
        <v>0</v>
      </c>
      <c r="AC169" s="147">
        <v>0</v>
      </c>
      <c r="AD169" s="147">
        <v>0</v>
      </c>
      <c r="AE169" s="147">
        <v>0</v>
      </c>
      <c r="AF169" s="147">
        <v>0</v>
      </c>
      <c r="AG169" s="147">
        <v>0</v>
      </c>
      <c r="AH169" s="147">
        <v>0</v>
      </c>
      <c r="AI169" s="147">
        <v>0</v>
      </c>
      <c r="AJ169" s="147">
        <v>0</v>
      </c>
      <c r="AK169" s="147">
        <v>0</v>
      </c>
      <c r="AL169" s="147">
        <v>0</v>
      </c>
      <c r="AM169" s="147">
        <v>0</v>
      </c>
      <c r="AN169" s="147">
        <v>0</v>
      </c>
      <c r="AO169" s="240">
        <v>0</v>
      </c>
      <c r="AP169" s="147">
        <f t="shared" si="12"/>
        <v>4590415.2151077287</v>
      </c>
    </row>
    <row r="170" spans="2:42">
      <c r="B170" s="147" t="str">
        <v>Pórtico 4 (MG-329)</v>
      </c>
      <c r="C170" s="149" t="str">
        <v>4</v>
      </c>
      <c r="D170" s="149" t="str">
        <v>4.18</v>
      </c>
      <c r="E170" s="149">
        <v>1</v>
      </c>
      <c r="F170" s="149">
        <v>0</v>
      </c>
      <c r="G170" s="147" t="str">
        <v>Canteiro de obras (%)</v>
      </c>
      <c r="H170" s="147" t="b">
        <v>0</v>
      </c>
      <c r="I170" s="147" t="b">
        <f t="shared" si="9"/>
        <v>0</v>
      </c>
      <c r="J170" s="147" t="b">
        <f t="shared" si="10"/>
        <v>0</v>
      </c>
      <c r="K170" s="147" t="b">
        <f t="shared" si="11"/>
        <v>1</v>
      </c>
      <c r="L170" s="147">
        <v>0</v>
      </c>
      <c r="M170" s="147">
        <v>0</v>
      </c>
      <c r="N170" s="147">
        <v>3020.2421900134914</v>
      </c>
      <c r="O170" s="147">
        <v>458988.06095186068</v>
      </c>
      <c r="P170" s="147">
        <v>0</v>
      </c>
      <c r="Q170" s="147">
        <v>0</v>
      </c>
      <c r="R170" s="147">
        <v>0</v>
      </c>
      <c r="S170" s="147">
        <v>0</v>
      </c>
      <c r="T170" s="147">
        <v>0</v>
      </c>
      <c r="U170" s="147">
        <v>0</v>
      </c>
      <c r="V170" s="147">
        <v>0</v>
      </c>
      <c r="W170" s="147">
        <v>0</v>
      </c>
      <c r="X170" s="147">
        <v>0</v>
      </c>
      <c r="Y170" s="147">
        <v>0</v>
      </c>
      <c r="Z170" s="147">
        <v>694925.61286088673</v>
      </c>
      <c r="AA170" s="147">
        <v>0</v>
      </c>
      <c r="AB170" s="147">
        <v>0</v>
      </c>
      <c r="AC170" s="147">
        <v>0</v>
      </c>
      <c r="AD170" s="147">
        <v>0</v>
      </c>
      <c r="AE170" s="147">
        <v>0</v>
      </c>
      <c r="AF170" s="147">
        <v>0</v>
      </c>
      <c r="AG170" s="147">
        <v>0</v>
      </c>
      <c r="AH170" s="147">
        <v>0</v>
      </c>
      <c r="AI170" s="147">
        <v>0</v>
      </c>
      <c r="AJ170" s="147">
        <v>0</v>
      </c>
      <c r="AK170" s="147">
        <v>0</v>
      </c>
      <c r="AL170" s="147">
        <v>0</v>
      </c>
      <c r="AM170" s="147">
        <v>0</v>
      </c>
      <c r="AN170" s="147">
        <v>0</v>
      </c>
      <c r="AO170" s="240">
        <v>0</v>
      </c>
      <c r="AP170" s="147">
        <f t="shared" si="12"/>
        <v>1156933.9160027609</v>
      </c>
    </row>
    <row r="171" spans="2:42">
      <c r="B171" s="147" t="str">
        <v>Pórtico 4 (MG-329)</v>
      </c>
      <c r="C171" s="149" t="str">
        <v>4</v>
      </c>
      <c r="D171" s="149" t="str">
        <v>4.19</v>
      </c>
      <c r="E171" s="149">
        <v>1</v>
      </c>
      <c r="F171" s="149">
        <v>0</v>
      </c>
      <c r="G171" s="147" t="str">
        <v>Mobilização e desmobilização (%)</v>
      </c>
      <c r="H171" s="147" t="b">
        <v>0</v>
      </c>
      <c r="I171" s="147" t="b">
        <f t="shared" si="9"/>
        <v>0</v>
      </c>
      <c r="J171" s="147" t="b">
        <f t="shared" si="10"/>
        <v>0</v>
      </c>
      <c r="K171" s="147" t="b">
        <f t="shared" si="11"/>
        <v>1</v>
      </c>
      <c r="L171" s="147">
        <v>0</v>
      </c>
      <c r="M171" s="147">
        <v>0</v>
      </c>
      <c r="N171" s="147">
        <v>56.507757103478234</v>
      </c>
      <c r="O171" s="147">
        <v>8587.5185597444888</v>
      </c>
      <c r="P171" s="147">
        <v>0</v>
      </c>
      <c r="Q171" s="147">
        <v>0</v>
      </c>
      <c r="R171" s="147">
        <v>0</v>
      </c>
      <c r="S171" s="147">
        <v>0</v>
      </c>
      <c r="T171" s="147">
        <v>0</v>
      </c>
      <c r="U171" s="147">
        <v>0</v>
      </c>
      <c r="V171" s="147">
        <v>0</v>
      </c>
      <c r="W171" s="147">
        <v>0</v>
      </c>
      <c r="X171" s="147">
        <v>0</v>
      </c>
      <c r="Y171" s="147">
        <v>0</v>
      </c>
      <c r="Z171" s="147">
        <v>13001.834047074657</v>
      </c>
      <c r="AA171" s="147">
        <v>0</v>
      </c>
      <c r="AB171" s="147">
        <v>0</v>
      </c>
      <c r="AC171" s="147">
        <v>0</v>
      </c>
      <c r="AD171" s="147">
        <v>0</v>
      </c>
      <c r="AE171" s="147">
        <v>0</v>
      </c>
      <c r="AF171" s="147">
        <v>0</v>
      </c>
      <c r="AG171" s="147">
        <v>0</v>
      </c>
      <c r="AH171" s="147">
        <v>0</v>
      </c>
      <c r="AI171" s="147">
        <v>0</v>
      </c>
      <c r="AJ171" s="147">
        <v>0</v>
      </c>
      <c r="AK171" s="147">
        <v>0</v>
      </c>
      <c r="AL171" s="147">
        <v>0</v>
      </c>
      <c r="AM171" s="147">
        <v>0</v>
      </c>
      <c r="AN171" s="147">
        <v>0</v>
      </c>
      <c r="AO171" s="240">
        <v>0</v>
      </c>
      <c r="AP171" s="147">
        <f t="shared" si="12"/>
        <v>21645.860363922624</v>
      </c>
    </row>
    <row r="172" spans="2:42">
      <c r="B172" s="147" t="str">
        <v>Pórtico 4 (MG-329)</v>
      </c>
      <c r="C172" s="149" t="str">
        <v>4</v>
      </c>
      <c r="D172" s="149" t="str">
        <v>4.20</v>
      </c>
      <c r="E172" s="149">
        <v>1</v>
      </c>
      <c r="F172" s="149">
        <v>0</v>
      </c>
      <c r="G172" s="147" t="str">
        <v>Projetos (%)</v>
      </c>
      <c r="H172" s="147" t="b">
        <v>0</v>
      </c>
      <c r="I172" s="147" t="b">
        <f t="shared" si="9"/>
        <v>0</v>
      </c>
      <c r="J172" s="147" t="b">
        <f t="shared" si="10"/>
        <v>0</v>
      </c>
      <c r="K172" s="147" t="b">
        <f t="shared" si="11"/>
        <v>1</v>
      </c>
      <c r="L172" s="147">
        <v>0</v>
      </c>
      <c r="M172" s="147">
        <v>0</v>
      </c>
      <c r="N172" s="147">
        <v>24356.791854947514</v>
      </c>
      <c r="O172" s="147">
        <v>3701516.6205795216</v>
      </c>
      <c r="P172" s="147">
        <v>0</v>
      </c>
      <c r="Q172" s="147">
        <v>0</v>
      </c>
      <c r="R172" s="147">
        <v>0</v>
      </c>
      <c r="S172" s="147">
        <v>0</v>
      </c>
      <c r="T172" s="147">
        <v>0</v>
      </c>
      <c r="U172" s="147">
        <v>0</v>
      </c>
      <c r="V172" s="147">
        <v>0</v>
      </c>
      <c r="W172" s="147">
        <v>0</v>
      </c>
      <c r="X172" s="147">
        <v>0</v>
      </c>
      <c r="Y172" s="147">
        <v>0</v>
      </c>
      <c r="Z172" s="147">
        <v>5604238.8133942485</v>
      </c>
      <c r="AA172" s="147">
        <v>0</v>
      </c>
      <c r="AB172" s="147">
        <v>0</v>
      </c>
      <c r="AC172" s="147">
        <v>0</v>
      </c>
      <c r="AD172" s="147">
        <v>0</v>
      </c>
      <c r="AE172" s="147">
        <v>0</v>
      </c>
      <c r="AF172" s="147">
        <v>0</v>
      </c>
      <c r="AG172" s="147">
        <v>0</v>
      </c>
      <c r="AH172" s="147">
        <v>0</v>
      </c>
      <c r="AI172" s="147">
        <v>0</v>
      </c>
      <c r="AJ172" s="147">
        <v>0</v>
      </c>
      <c r="AK172" s="147">
        <v>0</v>
      </c>
      <c r="AL172" s="147">
        <v>0</v>
      </c>
      <c r="AM172" s="147">
        <v>0</v>
      </c>
      <c r="AN172" s="147">
        <v>0</v>
      </c>
      <c r="AO172" s="240">
        <v>0</v>
      </c>
      <c r="AP172" s="147">
        <f t="shared" si="12"/>
        <v>9330112.2258287184</v>
      </c>
    </row>
    <row r="173" spans="2:42">
      <c r="B173" s="147" t="str">
        <v>Pórtico 4 (MG-329)</v>
      </c>
      <c r="C173" s="149" t="str">
        <v>3</v>
      </c>
      <c r="D173" s="149">
        <v>3</v>
      </c>
      <c r="E173" s="149">
        <v>1</v>
      </c>
      <c r="F173" s="149">
        <v>0</v>
      </c>
      <c r="G173" s="147" t="str">
        <v>Manutenção do sistema rodoviário</v>
      </c>
      <c r="H173" s="147" t="b">
        <v>0</v>
      </c>
      <c r="I173" s="147" t="b">
        <f t="shared" si="9"/>
        <v>0</v>
      </c>
      <c r="J173" s="147" t="b">
        <f t="shared" si="10"/>
        <v>0</v>
      </c>
      <c r="K173" s="147" t="b">
        <f t="shared" si="11"/>
        <v>1</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c r="AH173" s="147">
        <v>0</v>
      </c>
      <c r="AI173" s="147">
        <v>0</v>
      </c>
      <c r="AJ173" s="147">
        <v>0</v>
      </c>
      <c r="AK173" s="147">
        <v>0</v>
      </c>
      <c r="AL173" s="147">
        <v>0</v>
      </c>
      <c r="AM173" s="147">
        <v>0</v>
      </c>
      <c r="AN173" s="147">
        <v>0</v>
      </c>
      <c r="AO173" s="240">
        <v>0</v>
      </c>
      <c r="AP173" s="147">
        <f t="shared" si="12"/>
        <v>0</v>
      </c>
    </row>
    <row r="174" spans="2:42">
      <c r="B174" s="147" t="str">
        <v>Pórtico 4 (MG-329)</v>
      </c>
      <c r="C174" s="149" t="str">
        <v>3</v>
      </c>
      <c r="D174" s="149" t="str">
        <v>3.1</v>
      </c>
      <c r="E174" s="149">
        <v>1</v>
      </c>
      <c r="F174" s="149">
        <v>0</v>
      </c>
      <c r="G174" s="147" t="str">
        <v>Pavimento</v>
      </c>
      <c r="H174" s="147" t="b">
        <v>0</v>
      </c>
      <c r="I174" s="147" t="b">
        <f t="shared" si="9"/>
        <v>0</v>
      </c>
      <c r="J174" s="147" t="b">
        <f t="shared" si="10"/>
        <v>0</v>
      </c>
      <c r="K174" s="147" t="b">
        <f t="shared" si="11"/>
        <v>1</v>
      </c>
      <c r="L174" s="147">
        <v>0</v>
      </c>
      <c r="M174" s="147">
        <v>0</v>
      </c>
      <c r="N174" s="147">
        <v>0</v>
      </c>
      <c r="O174" s="147">
        <v>0</v>
      </c>
      <c r="P174" s="147">
        <v>0</v>
      </c>
      <c r="Q174" s="147">
        <v>0</v>
      </c>
      <c r="R174" s="147">
        <v>0</v>
      </c>
      <c r="S174" s="147">
        <v>31927234.30235821</v>
      </c>
      <c r="T174" s="147">
        <v>10633187.242193837</v>
      </c>
      <c r="U174" s="147">
        <v>0</v>
      </c>
      <c r="V174" s="147">
        <v>0</v>
      </c>
      <c r="W174" s="147">
        <v>0</v>
      </c>
      <c r="X174" s="147">
        <v>0</v>
      </c>
      <c r="Y174" s="147">
        <v>0</v>
      </c>
      <c r="Z174" s="147">
        <v>2561142.7699795212</v>
      </c>
      <c r="AA174" s="147">
        <v>0</v>
      </c>
      <c r="AB174" s="147">
        <v>57088357.287536614</v>
      </c>
      <c r="AC174" s="147">
        <v>13279389.836553559</v>
      </c>
      <c r="AD174" s="147">
        <v>9725200.2038289309</v>
      </c>
      <c r="AE174" s="147">
        <v>0</v>
      </c>
      <c r="AF174" s="147">
        <v>0</v>
      </c>
      <c r="AG174" s="147">
        <v>0</v>
      </c>
      <c r="AH174" s="147">
        <v>0</v>
      </c>
      <c r="AI174" s="147">
        <v>5403174.6313410634</v>
      </c>
      <c r="AJ174" s="147">
        <v>28226027.292225678</v>
      </c>
      <c r="AK174" s="147">
        <v>8786042.8090996593</v>
      </c>
      <c r="AL174" s="147">
        <v>5167853.5262972014</v>
      </c>
      <c r="AM174" s="147">
        <v>0</v>
      </c>
      <c r="AN174" s="147">
        <v>175573.72681183281</v>
      </c>
      <c r="AO174" s="240">
        <v>14262828.549988639</v>
      </c>
      <c r="AP174" s="147">
        <f t="shared" si="12"/>
        <v>187236012.17821473</v>
      </c>
    </row>
    <row r="175" spans="2:42">
      <c r="B175" s="147" t="str">
        <v>Pórtico 4 (MG-329)</v>
      </c>
      <c r="C175" s="149" t="str">
        <v>3</v>
      </c>
      <c r="D175" s="149" t="str">
        <v>3.2</v>
      </c>
      <c r="E175" s="149">
        <v>1</v>
      </c>
      <c r="F175" s="149">
        <v>0</v>
      </c>
      <c r="G175" s="147" t="str">
        <v>Obras de arte especiais</v>
      </c>
      <c r="H175" s="147" t="b">
        <v>0</v>
      </c>
      <c r="I175" s="147" t="b">
        <f t="shared" si="9"/>
        <v>0</v>
      </c>
      <c r="J175" s="147" t="b">
        <f t="shared" si="10"/>
        <v>0</v>
      </c>
      <c r="K175" s="147" t="b">
        <f t="shared" si="11"/>
        <v>1</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c r="AH175" s="147">
        <v>0</v>
      </c>
      <c r="AI175" s="147">
        <v>0</v>
      </c>
      <c r="AJ175" s="147">
        <v>0</v>
      </c>
      <c r="AK175" s="147">
        <v>0</v>
      </c>
      <c r="AL175" s="147">
        <v>0</v>
      </c>
      <c r="AM175" s="147">
        <v>0</v>
      </c>
      <c r="AN175" s="147">
        <v>0</v>
      </c>
      <c r="AO175" s="240">
        <v>0</v>
      </c>
      <c r="AP175" s="147">
        <f t="shared" si="12"/>
        <v>0</v>
      </c>
    </row>
    <row r="176" spans="2:42">
      <c r="B176" s="147" t="str">
        <v>Pórtico 4 (MG-329)</v>
      </c>
      <c r="C176" s="149" t="str">
        <v>3</v>
      </c>
      <c r="D176" s="149" t="str">
        <v>3.3</v>
      </c>
      <c r="E176" s="149">
        <v>1</v>
      </c>
      <c r="F176" s="149">
        <v>0</v>
      </c>
      <c r="G176" s="147" t="str">
        <v>Drenagem e obras de arte correntes</v>
      </c>
      <c r="H176" s="147" t="b">
        <v>0</v>
      </c>
      <c r="I176" s="147" t="b">
        <f t="shared" si="9"/>
        <v>0</v>
      </c>
      <c r="J176" s="147" t="b">
        <f t="shared" si="10"/>
        <v>0</v>
      </c>
      <c r="K176" s="147" t="b">
        <f t="shared" si="11"/>
        <v>1</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c r="AH176" s="147">
        <v>0</v>
      </c>
      <c r="AI176" s="147">
        <v>0</v>
      </c>
      <c r="AJ176" s="147">
        <v>0</v>
      </c>
      <c r="AK176" s="147">
        <v>0</v>
      </c>
      <c r="AL176" s="147">
        <v>0</v>
      </c>
      <c r="AM176" s="147">
        <v>0</v>
      </c>
      <c r="AN176" s="147">
        <v>0</v>
      </c>
      <c r="AO176" s="240">
        <v>0</v>
      </c>
      <c r="AP176" s="147">
        <f t="shared" si="12"/>
        <v>0</v>
      </c>
    </row>
    <row r="177" spans="2:42">
      <c r="B177" s="147" t="str">
        <v>Pórtico 4 (MG-329)</v>
      </c>
      <c r="C177" s="149" t="str">
        <v>3</v>
      </c>
      <c r="D177" s="149" t="str">
        <v>3.4</v>
      </c>
      <c r="E177" s="149">
        <v>1</v>
      </c>
      <c r="F177" s="149">
        <v>0</v>
      </c>
      <c r="G177" s="147" t="str">
        <v xml:space="preserve">Sinalização e dispositivos de proteção e segurança </v>
      </c>
      <c r="H177" s="147" t="b">
        <v>0</v>
      </c>
      <c r="I177" s="147" t="b">
        <f t="shared" si="9"/>
        <v>0</v>
      </c>
      <c r="J177" s="147" t="b">
        <f t="shared" si="10"/>
        <v>0</v>
      </c>
      <c r="K177" s="147" t="b">
        <f t="shared" si="11"/>
        <v>1</v>
      </c>
      <c r="L177" s="147">
        <v>0</v>
      </c>
      <c r="M177" s="147">
        <v>0</v>
      </c>
      <c r="N177" s="147">
        <v>0</v>
      </c>
      <c r="O177" s="147">
        <v>0</v>
      </c>
      <c r="P177" s="147">
        <v>0</v>
      </c>
      <c r="Q177" s="147">
        <v>0</v>
      </c>
      <c r="R177" s="147">
        <v>0</v>
      </c>
      <c r="S177" s="147">
        <v>995749.80229375022</v>
      </c>
      <c r="T177" s="147">
        <v>396774.21144125011</v>
      </c>
      <c r="U177" s="147">
        <v>0</v>
      </c>
      <c r="V177" s="147">
        <v>0</v>
      </c>
      <c r="W177" s="147">
        <v>0</v>
      </c>
      <c r="X177" s="147">
        <v>0</v>
      </c>
      <c r="Y177" s="147">
        <v>0</v>
      </c>
      <c r="Z177" s="147">
        <v>143641.05980812502</v>
      </c>
      <c r="AA177" s="147">
        <v>0</v>
      </c>
      <c r="AB177" s="147">
        <v>954465.89881874993</v>
      </c>
      <c r="AC177" s="147">
        <v>253985.75398750001</v>
      </c>
      <c r="AD177" s="147">
        <v>184072.36092874996</v>
      </c>
      <c r="AE177" s="147">
        <v>0</v>
      </c>
      <c r="AF177" s="147">
        <v>0</v>
      </c>
      <c r="AG177" s="147">
        <v>0</v>
      </c>
      <c r="AH177" s="147">
        <v>0</v>
      </c>
      <c r="AI177" s="147">
        <v>158449.416489375</v>
      </c>
      <c r="AJ177" s="147">
        <v>872346.82994999993</v>
      </c>
      <c r="AK177" s="147">
        <v>321296.46617500001</v>
      </c>
      <c r="AL177" s="147">
        <v>184072.36092874996</v>
      </c>
      <c r="AM177" s="147">
        <v>0</v>
      </c>
      <c r="AN177" s="147">
        <v>14808.356681249999</v>
      </c>
      <c r="AO177" s="240">
        <v>1015987.8897581252</v>
      </c>
      <c r="AP177" s="147">
        <f t="shared" si="12"/>
        <v>5495650.4072606247</v>
      </c>
    </row>
    <row r="178" spans="2:42">
      <c r="B178" s="147" t="str">
        <v>Pórtico 4 (MG-329)</v>
      </c>
      <c r="C178" s="149" t="str">
        <v>3</v>
      </c>
      <c r="D178" s="149" t="str">
        <v>3.5</v>
      </c>
      <c r="E178" s="149">
        <v>1</v>
      </c>
      <c r="F178" s="149">
        <v>0</v>
      </c>
      <c r="G178" s="147" t="str">
        <v>Administração local (%)</v>
      </c>
      <c r="H178" s="147" t="b">
        <v>0</v>
      </c>
      <c r="I178" s="147" t="b">
        <f t="shared" si="9"/>
        <v>0</v>
      </c>
      <c r="J178" s="147" t="b">
        <f t="shared" si="10"/>
        <v>0</v>
      </c>
      <c r="K178" s="147" t="b">
        <f t="shared" si="11"/>
        <v>1</v>
      </c>
      <c r="L178" s="147">
        <v>0</v>
      </c>
      <c r="M178" s="147">
        <v>0</v>
      </c>
      <c r="N178" s="147">
        <v>0</v>
      </c>
      <c r="O178" s="147">
        <v>0</v>
      </c>
      <c r="P178" s="147">
        <v>0</v>
      </c>
      <c r="Q178" s="147">
        <v>0</v>
      </c>
      <c r="R178" s="147">
        <v>0</v>
      </c>
      <c r="S178" s="147">
        <v>404952.70448721916</v>
      </c>
      <c r="T178" s="147">
        <v>135668.52587971158</v>
      </c>
      <c r="U178" s="147">
        <v>0</v>
      </c>
      <c r="V178" s="147">
        <v>0</v>
      </c>
      <c r="W178" s="147">
        <v>0</v>
      </c>
      <c r="X178" s="147">
        <v>0</v>
      </c>
      <c r="Y178" s="147">
        <v>0</v>
      </c>
      <c r="Z178" s="147">
        <v>33268.841106388041</v>
      </c>
      <c r="AA178" s="147">
        <v>0</v>
      </c>
      <c r="AB178" s="147">
        <v>713926.72519217094</v>
      </c>
      <c r="AC178" s="147">
        <v>166460.51976365503</v>
      </c>
      <c r="AD178" s="147">
        <v>121884.05254651948</v>
      </c>
      <c r="AE178" s="147">
        <v>0</v>
      </c>
      <c r="AF178" s="147">
        <v>0</v>
      </c>
      <c r="AG178" s="147">
        <v>0</v>
      </c>
      <c r="AH178" s="147">
        <v>0</v>
      </c>
      <c r="AI178" s="147">
        <v>68407.97578831439</v>
      </c>
      <c r="AJ178" s="147">
        <v>357910.00170276081</v>
      </c>
      <c r="AK178" s="147">
        <v>112020.27308587832</v>
      </c>
      <c r="AL178" s="147">
        <v>65828.688412879201</v>
      </c>
      <c r="AM178" s="147">
        <v>0</v>
      </c>
      <c r="AN178" s="147">
        <v>2341.6996269649189</v>
      </c>
      <c r="AO178" s="240">
        <v>187929.44220888519</v>
      </c>
      <c r="AP178" s="147">
        <f t="shared" si="12"/>
        <v>2370599.4498013472</v>
      </c>
    </row>
    <row r="179" spans="2:42">
      <c r="B179" s="147" t="str">
        <v>Pórtico 4 (MG-329)</v>
      </c>
      <c r="C179" s="149" t="str">
        <v>3</v>
      </c>
      <c r="D179" s="149" t="str">
        <v>3.6</v>
      </c>
      <c r="E179" s="149">
        <v>1</v>
      </c>
      <c r="F179" s="149">
        <v>0</v>
      </c>
      <c r="G179" s="147" t="str">
        <v>Canteiro de obras (%)</v>
      </c>
      <c r="H179" s="147" t="b">
        <v>0</v>
      </c>
      <c r="I179" s="147" t="b">
        <f t="shared" si="9"/>
        <v>0</v>
      </c>
      <c r="J179" s="147" t="b">
        <f t="shared" si="10"/>
        <v>0</v>
      </c>
      <c r="K179" s="147" t="b">
        <f t="shared" si="11"/>
        <v>1</v>
      </c>
      <c r="L179" s="147">
        <v>0</v>
      </c>
      <c r="M179" s="147">
        <v>0</v>
      </c>
      <c r="N179" s="147">
        <v>0</v>
      </c>
      <c r="O179" s="147">
        <v>0</v>
      </c>
      <c r="P179" s="147">
        <v>0</v>
      </c>
      <c r="Q179" s="147">
        <v>0</v>
      </c>
      <c r="R179" s="147">
        <v>0</v>
      </c>
      <c r="S179" s="147">
        <v>102061.25072442109</v>
      </c>
      <c r="T179" s="147">
        <v>34192.880506268768</v>
      </c>
      <c r="U179" s="147">
        <v>0</v>
      </c>
      <c r="V179" s="147">
        <v>0</v>
      </c>
      <c r="W179" s="147">
        <v>0</v>
      </c>
      <c r="X179" s="147">
        <v>0</v>
      </c>
      <c r="Y179" s="147">
        <v>0</v>
      </c>
      <c r="Z179" s="147">
        <v>8384.8298723417029</v>
      </c>
      <c r="AA179" s="147">
        <v>0</v>
      </c>
      <c r="AB179" s="147">
        <v>179932.75187770161</v>
      </c>
      <c r="AC179" s="147">
        <v>41953.464330677285</v>
      </c>
      <c r="AD179" s="147">
        <v>30718.744950748809</v>
      </c>
      <c r="AE179" s="147">
        <v>0</v>
      </c>
      <c r="AF179" s="147">
        <v>0</v>
      </c>
      <c r="AG179" s="147">
        <v>0</v>
      </c>
      <c r="AH179" s="147">
        <v>0</v>
      </c>
      <c r="AI179" s="147">
        <v>17241.034548274358</v>
      </c>
      <c r="AJ179" s="147">
        <v>90204.959778744596</v>
      </c>
      <c r="AK179" s="147">
        <v>28232.751753351444</v>
      </c>
      <c r="AL179" s="147">
        <v>16590.970250400449</v>
      </c>
      <c r="AM179" s="147">
        <v>0</v>
      </c>
      <c r="AN179" s="147">
        <v>590.18445882855679</v>
      </c>
      <c r="AO179" s="240">
        <v>47364.330963214969</v>
      </c>
      <c r="AP179" s="147">
        <f t="shared" si="12"/>
        <v>597468.15401497367</v>
      </c>
    </row>
    <row r="180" spans="2:42">
      <c r="B180" s="147" t="str">
        <v>Pórtico 4 (MG-329)</v>
      </c>
      <c r="C180" s="149" t="str">
        <v>3</v>
      </c>
      <c r="D180" s="149" t="str">
        <v>3.7</v>
      </c>
      <c r="E180" s="149">
        <v>1</v>
      </c>
      <c r="F180" s="149">
        <v>0</v>
      </c>
      <c r="G180" s="147" t="str">
        <v>Mobilização e desmobilização (%)</v>
      </c>
      <c r="H180" s="147" t="b">
        <v>0</v>
      </c>
      <c r="I180" s="147" t="b">
        <f t="shared" si="9"/>
        <v>0</v>
      </c>
      <c r="J180" s="147" t="b">
        <f t="shared" si="10"/>
        <v>0</v>
      </c>
      <c r="K180" s="147" t="b">
        <f t="shared" si="11"/>
        <v>1</v>
      </c>
      <c r="L180" s="147">
        <v>0</v>
      </c>
      <c r="M180" s="147">
        <v>0</v>
      </c>
      <c r="N180" s="147">
        <v>0</v>
      </c>
      <c r="O180" s="147">
        <v>0</v>
      </c>
      <c r="P180" s="147">
        <v>0</v>
      </c>
      <c r="Q180" s="147">
        <v>0</v>
      </c>
      <c r="R180" s="147">
        <v>0</v>
      </c>
      <c r="S180" s="147">
        <v>1909.5330780698139</v>
      </c>
      <c r="T180" s="147">
        <v>639.73776431083513</v>
      </c>
      <c r="U180" s="147">
        <v>0</v>
      </c>
      <c r="V180" s="147">
        <v>0</v>
      </c>
      <c r="W180" s="147">
        <v>0</v>
      </c>
      <c r="X180" s="147">
        <v>0</v>
      </c>
      <c r="Y180" s="147">
        <v>0</v>
      </c>
      <c r="Z180" s="147">
        <v>156.87746212768349</v>
      </c>
      <c r="AA180" s="147">
        <v>0</v>
      </c>
      <c r="AB180" s="147">
        <v>3366.4837448086109</v>
      </c>
      <c r="AC180" s="147">
        <v>784.93578425138151</v>
      </c>
      <c r="AD180" s="147">
        <v>574.73780875594548</v>
      </c>
      <c r="AE180" s="147">
        <v>0</v>
      </c>
      <c r="AF180" s="147">
        <v>0</v>
      </c>
      <c r="AG180" s="147">
        <v>0</v>
      </c>
      <c r="AH180" s="147">
        <v>0</v>
      </c>
      <c r="AI180" s="147">
        <v>322.57419477416545</v>
      </c>
      <c r="AJ180" s="147">
        <v>1687.7056990861893</v>
      </c>
      <c r="AK180" s="147">
        <v>528.22567796593034</v>
      </c>
      <c r="AL180" s="147">
        <v>310.41170145910519</v>
      </c>
      <c r="AM180" s="147">
        <v>0</v>
      </c>
      <c r="AN180" s="147">
        <v>11.042160842598804</v>
      </c>
      <c r="AO180" s="240">
        <v>886.17135350531237</v>
      </c>
      <c r="AP180" s="147">
        <f t="shared" si="12"/>
        <v>11178.436429957574</v>
      </c>
    </row>
    <row r="181" spans="2:42">
      <c r="B181" s="147" t="str">
        <v>Pórtico 4 (MG-329)</v>
      </c>
      <c r="C181" s="149" t="str">
        <v>3</v>
      </c>
      <c r="D181" s="149" t="str">
        <v>3.8</v>
      </c>
      <c r="E181" s="149">
        <v>1</v>
      </c>
      <c r="F181" s="149">
        <v>0</v>
      </c>
      <c r="G181" s="147" t="str">
        <v>Projetos (%)</v>
      </c>
      <c r="H181" s="147" t="b">
        <v>0</v>
      </c>
      <c r="I181" s="147" t="b">
        <f t="shared" si="9"/>
        <v>0</v>
      </c>
      <c r="J181" s="147" t="b">
        <f t="shared" si="10"/>
        <v>0</v>
      </c>
      <c r="K181" s="147" t="b">
        <f t="shared" si="11"/>
        <v>1</v>
      </c>
      <c r="L181" s="147">
        <v>0</v>
      </c>
      <c r="M181" s="147">
        <v>0</v>
      </c>
      <c r="N181" s="147">
        <v>0</v>
      </c>
      <c r="O181" s="147">
        <v>0</v>
      </c>
      <c r="P181" s="147">
        <v>0</v>
      </c>
      <c r="Q181" s="147">
        <v>0</v>
      </c>
      <c r="R181" s="147">
        <v>0</v>
      </c>
      <c r="S181" s="147">
        <v>823074.60261629906</v>
      </c>
      <c r="T181" s="147">
        <v>275749.03634087724</v>
      </c>
      <c r="U181" s="147">
        <v>0</v>
      </c>
      <c r="V181" s="147">
        <v>0</v>
      </c>
      <c r="W181" s="147">
        <v>0</v>
      </c>
      <c r="X181" s="147">
        <v>0</v>
      </c>
      <c r="Y181" s="147">
        <v>0</v>
      </c>
      <c r="Z181" s="147">
        <v>67619.595744691163</v>
      </c>
      <c r="AA181" s="147">
        <v>0</v>
      </c>
      <c r="AB181" s="147">
        <v>1451070.5796588841</v>
      </c>
      <c r="AC181" s="147">
        <v>338334.38976352656</v>
      </c>
      <c r="AD181" s="147">
        <v>247731.81411894204</v>
      </c>
      <c r="AE181" s="147">
        <v>0</v>
      </c>
      <c r="AF181" s="147">
        <v>0</v>
      </c>
      <c r="AG181" s="147">
        <v>0</v>
      </c>
      <c r="AH181" s="147">
        <v>0</v>
      </c>
      <c r="AI181" s="147">
        <v>139040.60119576094</v>
      </c>
      <c r="AJ181" s="147">
        <v>727459.35305439192</v>
      </c>
      <c r="AK181" s="147">
        <v>227683.48188186649</v>
      </c>
      <c r="AL181" s="147">
        <v>133798.14718064881</v>
      </c>
      <c r="AM181" s="147">
        <v>0</v>
      </c>
      <c r="AN181" s="147">
        <v>4759.5520873270707</v>
      </c>
      <c r="AO181" s="240">
        <v>381970.41099366912</v>
      </c>
      <c r="AP181" s="147">
        <f t="shared" si="12"/>
        <v>4818291.5646368852</v>
      </c>
    </row>
    <row r="182" spans="2:42">
      <c r="B182" s="147" t="str">
        <v>Pórtico 4 (MG-329)</v>
      </c>
      <c r="C182" s="149" t="str">
        <v>3</v>
      </c>
      <c r="D182" s="149" t="str">
        <v>3a</v>
      </c>
      <c r="E182" s="149">
        <v>1</v>
      </c>
      <c r="F182" s="149">
        <v>0</v>
      </c>
      <c r="G182" s="147" t="str">
        <v>Manutenção Do Sistema Rodoviário (Contornos)</v>
      </c>
      <c r="H182" s="147" t="b">
        <v>0</v>
      </c>
      <c r="I182" s="147" t="b">
        <f t="shared" si="9"/>
        <v>0</v>
      </c>
      <c r="J182" s="147" t="b">
        <f t="shared" si="10"/>
        <v>0</v>
      </c>
      <c r="K182" s="147" t="b">
        <f t="shared" si="11"/>
        <v>1</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c r="AH182" s="147">
        <v>0</v>
      </c>
      <c r="AI182" s="147">
        <v>0</v>
      </c>
      <c r="AJ182" s="147">
        <v>0</v>
      </c>
      <c r="AK182" s="147">
        <v>0</v>
      </c>
      <c r="AL182" s="147">
        <v>0</v>
      </c>
      <c r="AM182" s="147">
        <v>0</v>
      </c>
      <c r="AN182" s="147">
        <v>0</v>
      </c>
      <c r="AO182" s="240">
        <v>0</v>
      </c>
      <c r="AP182" s="147">
        <f t="shared" si="12"/>
        <v>0</v>
      </c>
    </row>
    <row r="183" spans="2:42">
      <c r="B183" s="147" t="str">
        <v>Pórtico 4 (MG-329)</v>
      </c>
      <c r="C183" s="149" t="str">
        <v>3</v>
      </c>
      <c r="D183" s="149" t="str">
        <v>3.1</v>
      </c>
      <c r="E183" s="149">
        <v>1</v>
      </c>
      <c r="F183" s="149">
        <v>0</v>
      </c>
      <c r="G183" s="147" t="str">
        <v xml:space="preserve">Pavimento </v>
      </c>
      <c r="H183" s="147" t="b">
        <v>0</v>
      </c>
      <c r="I183" s="147" t="b">
        <f t="shared" si="9"/>
        <v>0</v>
      </c>
      <c r="J183" s="147" t="b">
        <f t="shared" si="10"/>
        <v>0</v>
      </c>
      <c r="K183" s="147" t="b">
        <f t="shared" si="11"/>
        <v>1</v>
      </c>
      <c r="L183" s="147">
        <v>0</v>
      </c>
      <c r="M183" s="147">
        <v>0</v>
      </c>
      <c r="N183" s="147">
        <v>0</v>
      </c>
      <c r="O183" s="147">
        <v>0</v>
      </c>
      <c r="P183" s="147">
        <v>0</v>
      </c>
      <c r="Q183" s="147">
        <v>0</v>
      </c>
      <c r="R183" s="147">
        <v>0</v>
      </c>
      <c r="S183" s="147">
        <v>0</v>
      </c>
      <c r="T183" s="147">
        <v>0</v>
      </c>
      <c r="U183" s="147">
        <v>0</v>
      </c>
      <c r="V183" s="147">
        <v>0</v>
      </c>
      <c r="W183" s="147">
        <v>0</v>
      </c>
      <c r="X183" s="147">
        <v>0</v>
      </c>
      <c r="Y183" s="147">
        <v>0</v>
      </c>
      <c r="Z183" s="147">
        <v>0</v>
      </c>
      <c r="AA183" s="147">
        <v>0</v>
      </c>
      <c r="AB183" s="147">
        <v>0</v>
      </c>
      <c r="AC183" s="147">
        <v>0</v>
      </c>
      <c r="AD183" s="147">
        <v>0</v>
      </c>
      <c r="AE183" s="147">
        <v>0</v>
      </c>
      <c r="AF183" s="147">
        <v>0</v>
      </c>
      <c r="AG183" s="147">
        <v>0</v>
      </c>
      <c r="AH183" s="147">
        <v>0</v>
      </c>
      <c r="AI183" s="147">
        <v>0</v>
      </c>
      <c r="AJ183" s="147">
        <v>0</v>
      </c>
      <c r="AK183" s="147">
        <v>0</v>
      </c>
      <c r="AL183" s="147">
        <v>0</v>
      </c>
      <c r="AM183" s="147">
        <v>0</v>
      </c>
      <c r="AN183" s="147">
        <v>0</v>
      </c>
      <c r="AO183" s="240">
        <v>0</v>
      </c>
      <c r="AP183" s="147">
        <f t="shared" si="12"/>
        <v>0</v>
      </c>
    </row>
    <row r="184" spans="2:42">
      <c r="B184" s="147" t="str">
        <v>Pórtico 4 (MG-329)</v>
      </c>
      <c r="C184" s="149" t="str">
        <v>3</v>
      </c>
      <c r="D184" s="149" t="str">
        <v>3.2</v>
      </c>
      <c r="E184" s="149">
        <v>1</v>
      </c>
      <c r="F184" s="149">
        <v>0</v>
      </c>
      <c r="G184" s="147" t="str">
        <v>Obras De Arte Especiais</v>
      </c>
      <c r="H184" s="147" t="b">
        <v>0</v>
      </c>
      <c r="I184" s="147" t="b">
        <f t="shared" si="9"/>
        <v>0</v>
      </c>
      <c r="J184" s="147" t="b">
        <f t="shared" si="10"/>
        <v>0</v>
      </c>
      <c r="K184" s="147" t="b">
        <f t="shared" si="11"/>
        <v>1</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c r="AH184" s="147">
        <v>0</v>
      </c>
      <c r="AI184" s="147">
        <v>0</v>
      </c>
      <c r="AJ184" s="147">
        <v>0</v>
      </c>
      <c r="AK184" s="147">
        <v>0</v>
      </c>
      <c r="AL184" s="147">
        <v>0</v>
      </c>
      <c r="AM184" s="147">
        <v>0</v>
      </c>
      <c r="AN184" s="147">
        <v>0</v>
      </c>
      <c r="AO184" s="240">
        <v>0</v>
      </c>
      <c r="AP184" s="147">
        <f t="shared" si="12"/>
        <v>0</v>
      </c>
    </row>
    <row r="185" spans="2:42">
      <c r="B185" s="147" t="str">
        <v>Pórtico 4 (MG-329)</v>
      </c>
      <c r="C185" s="149" t="str">
        <v>3</v>
      </c>
      <c r="D185" s="149" t="str">
        <v>3.3</v>
      </c>
      <c r="E185" s="149">
        <v>1</v>
      </c>
      <c r="F185" s="149">
        <v>0</v>
      </c>
      <c r="G185" s="147" t="str">
        <v>Drenagem E Obras De Arte Correntes</v>
      </c>
      <c r="H185" s="147" t="b">
        <v>0</v>
      </c>
      <c r="I185" s="147" t="b">
        <f t="shared" si="9"/>
        <v>0</v>
      </c>
      <c r="J185" s="147" t="b">
        <f t="shared" si="10"/>
        <v>0</v>
      </c>
      <c r="K185" s="147" t="b">
        <f t="shared" si="11"/>
        <v>1</v>
      </c>
      <c r="L185" s="147">
        <v>0</v>
      </c>
      <c r="M185" s="147">
        <v>0</v>
      </c>
      <c r="N185" s="147">
        <v>0</v>
      </c>
      <c r="O185" s="147">
        <v>0</v>
      </c>
      <c r="P185" s="147">
        <v>0</v>
      </c>
      <c r="Q185" s="147">
        <v>0</v>
      </c>
      <c r="R185" s="147">
        <v>0</v>
      </c>
      <c r="S185" s="147">
        <v>0</v>
      </c>
      <c r="T185" s="147">
        <v>0</v>
      </c>
      <c r="U185" s="147">
        <v>0</v>
      </c>
      <c r="V185" s="147">
        <v>0</v>
      </c>
      <c r="W185" s="147">
        <v>0</v>
      </c>
      <c r="X185" s="147">
        <v>0</v>
      </c>
      <c r="Y185" s="147">
        <v>0</v>
      </c>
      <c r="Z185" s="147">
        <v>0</v>
      </c>
      <c r="AA185" s="147">
        <v>0</v>
      </c>
      <c r="AB185" s="147">
        <v>0</v>
      </c>
      <c r="AC185" s="147">
        <v>0</v>
      </c>
      <c r="AD185" s="147">
        <v>0</v>
      </c>
      <c r="AE185" s="147">
        <v>0</v>
      </c>
      <c r="AF185" s="147">
        <v>0</v>
      </c>
      <c r="AG185" s="147">
        <v>0</v>
      </c>
      <c r="AH185" s="147">
        <v>0</v>
      </c>
      <c r="AI185" s="147">
        <v>0</v>
      </c>
      <c r="AJ185" s="147">
        <v>0</v>
      </c>
      <c r="AK185" s="147">
        <v>0</v>
      </c>
      <c r="AL185" s="147">
        <v>0</v>
      </c>
      <c r="AM185" s="147">
        <v>0</v>
      </c>
      <c r="AN185" s="147">
        <v>0</v>
      </c>
      <c r="AO185" s="240">
        <v>0</v>
      </c>
      <c r="AP185" s="147">
        <f t="shared" si="12"/>
        <v>0</v>
      </c>
    </row>
    <row r="186" spans="2:42">
      <c r="B186" s="147" t="str">
        <v>Pórtico 4 (MG-329)</v>
      </c>
      <c r="C186" s="149" t="str">
        <v>3</v>
      </c>
      <c r="D186" s="149" t="str">
        <v>3.4</v>
      </c>
      <c r="E186" s="149">
        <v>0</v>
      </c>
      <c r="F186" s="149">
        <v>0</v>
      </c>
      <c r="G186" s="147" t="str">
        <v xml:space="preserve">Sinalização E Dispositivos De Proteção E Segurança </v>
      </c>
      <c r="H186" s="147" t="b">
        <v>0</v>
      </c>
      <c r="I186" s="147" t="b">
        <f t="shared" si="9"/>
        <v>0</v>
      </c>
      <c r="J186" s="147" t="b">
        <f t="shared" si="10"/>
        <v>0</v>
      </c>
      <c r="K186" s="147" t="b">
        <f t="shared" si="11"/>
        <v>1</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c r="AH186" s="147">
        <v>0</v>
      </c>
      <c r="AI186" s="147">
        <v>0</v>
      </c>
      <c r="AJ186" s="147">
        <v>0</v>
      </c>
      <c r="AK186" s="147">
        <v>0</v>
      </c>
      <c r="AL186" s="147">
        <v>0</v>
      </c>
      <c r="AM186" s="147">
        <v>0</v>
      </c>
      <c r="AN186" s="147">
        <v>0</v>
      </c>
      <c r="AO186" s="240">
        <v>0</v>
      </c>
      <c r="AP186" s="147">
        <f t="shared" si="12"/>
        <v>0</v>
      </c>
    </row>
    <row r="187" spans="2:42">
      <c r="B187" s="147" t="str">
        <v>Pórtico 4 (MG-329)</v>
      </c>
      <c r="C187" s="149" t="str">
        <v>3</v>
      </c>
      <c r="D187" s="149" t="str">
        <v>3.7</v>
      </c>
      <c r="E187" s="149">
        <v>1</v>
      </c>
      <c r="F187" s="149">
        <v>0</v>
      </c>
      <c r="G187" s="147" t="str">
        <v>Administração Local (4,0%)</v>
      </c>
      <c r="H187" s="147" t="b">
        <v>0</v>
      </c>
      <c r="I187" s="147" t="b">
        <f t="shared" si="9"/>
        <v>0</v>
      </c>
      <c r="J187" s="147" t="b">
        <f t="shared" si="10"/>
        <v>0</v>
      </c>
      <c r="K187" s="147" t="b">
        <f t="shared" si="11"/>
        <v>1</v>
      </c>
      <c r="L187" s="147">
        <v>0</v>
      </c>
      <c r="M187" s="147">
        <v>0</v>
      </c>
      <c r="N187" s="147">
        <v>0</v>
      </c>
      <c r="O187" s="147">
        <v>0</v>
      </c>
      <c r="P187" s="147">
        <v>0</v>
      </c>
      <c r="Q187" s="147">
        <v>0</v>
      </c>
      <c r="R187" s="147">
        <v>0</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c r="AH187" s="147">
        <v>0</v>
      </c>
      <c r="AI187" s="147">
        <v>0</v>
      </c>
      <c r="AJ187" s="147">
        <v>0</v>
      </c>
      <c r="AK187" s="147">
        <v>0</v>
      </c>
      <c r="AL187" s="147">
        <v>0</v>
      </c>
      <c r="AM187" s="147">
        <v>0</v>
      </c>
      <c r="AN187" s="147">
        <v>0</v>
      </c>
      <c r="AO187" s="240">
        <v>0</v>
      </c>
      <c r="AP187" s="147">
        <f t="shared" si="12"/>
        <v>0</v>
      </c>
    </row>
    <row r="188" spans="2:42">
      <c r="B188" s="147" t="str">
        <v>Pórtico 4 (MG-329)</v>
      </c>
      <c r="C188" s="149" t="str">
        <v>3</v>
      </c>
      <c r="D188" s="149" t="str">
        <v>3.8</v>
      </c>
      <c r="E188" s="149">
        <v>1</v>
      </c>
      <c r="F188" s="149">
        <v>0</v>
      </c>
      <c r="G188" s="147" t="str">
        <v>Canteiro De Obras (2,0%)</v>
      </c>
      <c r="H188" s="147" t="b">
        <v>0</v>
      </c>
      <c r="I188" s="147" t="b">
        <f t="shared" si="9"/>
        <v>0</v>
      </c>
      <c r="J188" s="147" t="b">
        <f t="shared" si="10"/>
        <v>0</v>
      </c>
      <c r="K188" s="147" t="b">
        <f t="shared" si="11"/>
        <v>1</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c r="AH188" s="147">
        <v>0</v>
      </c>
      <c r="AI188" s="147">
        <v>0</v>
      </c>
      <c r="AJ188" s="147">
        <v>0</v>
      </c>
      <c r="AK188" s="147">
        <v>0</v>
      </c>
      <c r="AL188" s="147">
        <v>0</v>
      </c>
      <c r="AM188" s="147">
        <v>0</v>
      </c>
      <c r="AN188" s="147">
        <v>0</v>
      </c>
      <c r="AO188" s="240">
        <v>0</v>
      </c>
      <c r="AP188" s="147">
        <f t="shared" si="12"/>
        <v>0</v>
      </c>
    </row>
    <row r="189" spans="2:42">
      <c r="B189" s="147" t="str">
        <v>Pórtico 4 (MG-329)</v>
      </c>
      <c r="C189" s="149" t="str">
        <v>3</v>
      </c>
      <c r="D189" s="149" t="str">
        <v>3.9</v>
      </c>
      <c r="E189" s="149">
        <v>1</v>
      </c>
      <c r="F189" s="149">
        <v>0</v>
      </c>
      <c r="G189" s="147" t="str">
        <v>Mobilização E Desmobilização (0,5%)</v>
      </c>
      <c r="H189" s="147" t="b">
        <v>0</v>
      </c>
      <c r="I189" s="147" t="b">
        <f t="shared" si="9"/>
        <v>0</v>
      </c>
      <c r="J189" s="147" t="b">
        <f t="shared" si="10"/>
        <v>0</v>
      </c>
      <c r="K189" s="147" t="b">
        <f t="shared" si="11"/>
        <v>1</v>
      </c>
      <c r="L189" s="147">
        <v>0</v>
      </c>
      <c r="M189" s="147">
        <v>0</v>
      </c>
      <c r="N189" s="147">
        <v>0</v>
      </c>
      <c r="O189" s="147">
        <v>0</v>
      </c>
      <c r="P189" s="147">
        <v>0</v>
      </c>
      <c r="Q189" s="147">
        <v>0</v>
      </c>
      <c r="R189" s="147">
        <v>0</v>
      </c>
      <c r="S189" s="147">
        <v>0</v>
      </c>
      <c r="T189" s="147">
        <v>0</v>
      </c>
      <c r="U189" s="147">
        <v>0</v>
      </c>
      <c r="V189" s="147">
        <v>0</v>
      </c>
      <c r="W189" s="147">
        <v>0</v>
      </c>
      <c r="X189" s="147">
        <v>0</v>
      </c>
      <c r="Y189" s="147">
        <v>0</v>
      </c>
      <c r="Z189" s="147">
        <v>0</v>
      </c>
      <c r="AA189" s="147">
        <v>0</v>
      </c>
      <c r="AB189" s="147">
        <v>0</v>
      </c>
      <c r="AC189" s="147">
        <v>0</v>
      </c>
      <c r="AD189" s="147">
        <v>0</v>
      </c>
      <c r="AE189" s="147">
        <v>0</v>
      </c>
      <c r="AF189" s="147">
        <v>0</v>
      </c>
      <c r="AG189" s="147">
        <v>0</v>
      </c>
      <c r="AH189" s="147">
        <v>0</v>
      </c>
      <c r="AI189" s="147">
        <v>0</v>
      </c>
      <c r="AJ189" s="147">
        <v>0</v>
      </c>
      <c r="AK189" s="147">
        <v>0</v>
      </c>
      <c r="AL189" s="147">
        <v>0</v>
      </c>
      <c r="AM189" s="147">
        <v>0</v>
      </c>
      <c r="AN189" s="147">
        <v>0</v>
      </c>
      <c r="AO189" s="240">
        <v>0</v>
      </c>
      <c r="AP189" s="147">
        <f t="shared" si="12"/>
        <v>0</v>
      </c>
    </row>
    <row r="190" spans="2:42">
      <c r="B190" s="147" t="str">
        <v>Pórtico 4 (MG-329)</v>
      </c>
      <c r="C190" s="149" t="str">
        <v>3</v>
      </c>
      <c r="D190" s="149" t="str">
        <v>3.10</v>
      </c>
      <c r="E190" s="149">
        <v>1</v>
      </c>
      <c r="F190" s="149">
        <v>0</v>
      </c>
      <c r="G190" s="147" t="str">
        <v>Projetos (2,5%)</v>
      </c>
      <c r="H190" s="147" t="b">
        <v>0</v>
      </c>
      <c r="I190" s="147" t="b">
        <f t="shared" si="9"/>
        <v>0</v>
      </c>
      <c r="J190" s="147" t="b">
        <f t="shared" si="10"/>
        <v>0</v>
      </c>
      <c r="K190" s="147" t="b">
        <f t="shared" si="11"/>
        <v>1</v>
      </c>
      <c r="L190" s="147">
        <v>0</v>
      </c>
      <c r="M190" s="147">
        <v>0</v>
      </c>
      <c r="N190" s="147">
        <v>0</v>
      </c>
      <c r="O190" s="147">
        <v>0</v>
      </c>
      <c r="P190" s="147">
        <v>0</v>
      </c>
      <c r="Q190" s="147">
        <v>0</v>
      </c>
      <c r="R190" s="147">
        <v>0</v>
      </c>
      <c r="S190" s="147">
        <v>0</v>
      </c>
      <c r="T190" s="147">
        <v>0</v>
      </c>
      <c r="U190" s="147">
        <v>0</v>
      </c>
      <c r="V190" s="147">
        <v>0</v>
      </c>
      <c r="W190" s="147">
        <v>0</v>
      </c>
      <c r="X190" s="147">
        <v>0</v>
      </c>
      <c r="Y190" s="147">
        <v>0</v>
      </c>
      <c r="Z190" s="147">
        <v>0</v>
      </c>
      <c r="AA190" s="147">
        <v>0</v>
      </c>
      <c r="AB190" s="147">
        <v>0</v>
      </c>
      <c r="AC190" s="147">
        <v>0</v>
      </c>
      <c r="AD190" s="147">
        <v>0</v>
      </c>
      <c r="AE190" s="147">
        <v>0</v>
      </c>
      <c r="AF190" s="147">
        <v>0</v>
      </c>
      <c r="AG190" s="147">
        <v>0</v>
      </c>
      <c r="AH190" s="147">
        <v>0</v>
      </c>
      <c r="AI190" s="147">
        <v>0</v>
      </c>
      <c r="AJ190" s="147">
        <v>0</v>
      </c>
      <c r="AK190" s="147">
        <v>0</v>
      </c>
      <c r="AL190" s="147">
        <v>0</v>
      </c>
      <c r="AM190" s="147">
        <v>0</v>
      </c>
      <c r="AN190" s="147">
        <v>0</v>
      </c>
      <c r="AO190" s="240">
        <v>0</v>
      </c>
      <c r="AP190" s="147">
        <f t="shared" si="12"/>
        <v>0</v>
      </c>
    </row>
    <row r="191" spans="2:42">
      <c r="B191" s="147" t="str">
        <v>Operação Geral</v>
      </c>
      <c r="C191" s="149" t="str">
        <v>6</v>
      </c>
      <c r="D191" s="149">
        <v>6</v>
      </c>
      <c r="E191" s="149">
        <v>0</v>
      </c>
      <c r="F191" s="149">
        <v>0</v>
      </c>
      <c r="G191" s="147" t="str">
        <v>Equipamentos, sistemas e edificações operacionais</v>
      </c>
      <c r="H191" s="147" t="b">
        <v>0</v>
      </c>
      <c r="I191" s="147" t="b">
        <f t="shared" si="9"/>
        <v>0</v>
      </c>
      <c r="J191" s="147" t="b">
        <f t="shared" si="10"/>
        <v>0</v>
      </c>
      <c r="K191" s="147" t="b">
        <f t="shared" si="11"/>
        <v>1</v>
      </c>
      <c r="L191" s="147">
        <v>0</v>
      </c>
      <c r="M191" s="147">
        <v>0</v>
      </c>
      <c r="N191" s="147">
        <v>0</v>
      </c>
      <c r="O191" s="147">
        <v>0</v>
      </c>
      <c r="P191" s="147">
        <v>0</v>
      </c>
      <c r="Q191" s="147">
        <v>0</v>
      </c>
      <c r="R191" s="147">
        <v>0</v>
      </c>
      <c r="S191" s="147">
        <v>0</v>
      </c>
      <c r="T191" s="147">
        <v>0</v>
      </c>
      <c r="U191" s="147">
        <v>0</v>
      </c>
      <c r="V191" s="147">
        <v>0</v>
      </c>
      <c r="W191" s="147">
        <v>0</v>
      </c>
      <c r="X191" s="147">
        <v>0</v>
      </c>
      <c r="Y191" s="147">
        <v>0</v>
      </c>
      <c r="Z191" s="147">
        <v>0</v>
      </c>
      <c r="AA191" s="147">
        <v>0</v>
      </c>
      <c r="AB191" s="147">
        <v>0</v>
      </c>
      <c r="AC191" s="147">
        <v>0</v>
      </c>
      <c r="AD191" s="147">
        <v>0</v>
      </c>
      <c r="AE191" s="147">
        <v>0</v>
      </c>
      <c r="AF191" s="147">
        <v>0</v>
      </c>
      <c r="AG191" s="147">
        <v>0</v>
      </c>
      <c r="AH191" s="147">
        <v>0</v>
      </c>
      <c r="AI191" s="147">
        <v>0</v>
      </c>
      <c r="AJ191" s="147">
        <v>0</v>
      </c>
      <c r="AK191" s="147">
        <v>0</v>
      </c>
      <c r="AL191" s="147">
        <v>0</v>
      </c>
      <c r="AM191" s="147">
        <v>0</v>
      </c>
      <c r="AN191" s="147">
        <v>0</v>
      </c>
      <c r="AO191" s="240">
        <v>0</v>
      </c>
      <c r="AP191" s="147">
        <f t="shared" si="12"/>
        <v>0</v>
      </c>
    </row>
    <row r="192" spans="2:42">
      <c r="B192" s="147" t="str">
        <v>Operação Geral</v>
      </c>
      <c r="C192" s="149">
        <v>6</v>
      </c>
      <c r="D192" s="149" t="str">
        <v>6.1</v>
      </c>
      <c r="E192" s="149">
        <v>0</v>
      </c>
      <c r="F192" s="149">
        <v>0</v>
      </c>
      <c r="G192" s="147" t="str">
        <v>IMPLANTAÇÃO E INSTALAÇÃO DOS EQUIPAMENTOS E SISTEMAS</v>
      </c>
      <c r="H192" s="147" t="b">
        <v>0</v>
      </c>
      <c r="I192" s="147" t="b">
        <f t="shared" si="9"/>
        <v>0</v>
      </c>
      <c r="J192" s="147" t="b">
        <f t="shared" si="10"/>
        <v>0</v>
      </c>
      <c r="K192" s="147" t="b">
        <f t="shared" si="11"/>
        <v>1</v>
      </c>
      <c r="L192" s="147">
        <v>0</v>
      </c>
      <c r="M192" s="147">
        <v>0</v>
      </c>
      <c r="N192" s="147">
        <v>0</v>
      </c>
      <c r="O192" s="147">
        <v>0</v>
      </c>
      <c r="P192" s="147">
        <v>0</v>
      </c>
      <c r="Q192" s="147">
        <v>0</v>
      </c>
      <c r="R192" s="147">
        <v>0</v>
      </c>
      <c r="S192" s="147">
        <v>0</v>
      </c>
      <c r="T192" s="147">
        <v>0</v>
      </c>
      <c r="U192" s="147">
        <v>0</v>
      </c>
      <c r="V192" s="147">
        <v>0</v>
      </c>
      <c r="W192" s="147">
        <v>0</v>
      </c>
      <c r="X192" s="147">
        <v>0</v>
      </c>
      <c r="Y192" s="147">
        <v>0</v>
      </c>
      <c r="Z192" s="147">
        <v>0</v>
      </c>
      <c r="AA192" s="147">
        <v>0</v>
      </c>
      <c r="AB192" s="147">
        <v>0</v>
      </c>
      <c r="AC192" s="147">
        <v>0</v>
      </c>
      <c r="AD192" s="147">
        <v>0</v>
      </c>
      <c r="AE192" s="147">
        <v>0</v>
      </c>
      <c r="AF192" s="147">
        <v>0</v>
      </c>
      <c r="AG192" s="147">
        <v>0</v>
      </c>
      <c r="AH192" s="147">
        <v>0</v>
      </c>
      <c r="AI192" s="147">
        <v>0</v>
      </c>
      <c r="AJ192" s="147">
        <v>0</v>
      </c>
      <c r="AK192" s="147">
        <v>0</v>
      </c>
      <c r="AL192" s="147">
        <v>0</v>
      </c>
      <c r="AM192" s="147">
        <v>0</v>
      </c>
      <c r="AN192" s="147">
        <v>0</v>
      </c>
      <c r="AO192" s="240">
        <v>0</v>
      </c>
      <c r="AP192" s="147">
        <f t="shared" si="12"/>
        <v>0</v>
      </c>
    </row>
    <row r="193" spans="2:42">
      <c r="B193" s="147" t="str">
        <v>Operação Geral</v>
      </c>
      <c r="C193" s="149" t="str">
        <v>6</v>
      </c>
      <c r="D193" s="149" t="str">
        <v>6.1.1</v>
      </c>
      <c r="E193" s="149">
        <v>0</v>
      </c>
      <c r="F193" s="149">
        <v>0</v>
      </c>
      <c r="G193" s="147" t="str">
        <v>Aquisição de veículos</v>
      </c>
      <c r="H193" s="147" t="b">
        <v>0</v>
      </c>
      <c r="I193" s="147" t="b">
        <f t="shared" si="9"/>
        <v>0</v>
      </c>
      <c r="J193" s="147" t="b">
        <f t="shared" si="10"/>
        <v>0</v>
      </c>
      <c r="K193" s="147" t="b">
        <f t="shared" si="11"/>
        <v>1</v>
      </c>
      <c r="L193" s="147">
        <v>7353231.752922561</v>
      </c>
      <c r="M193" s="147">
        <v>0</v>
      </c>
      <c r="N193" s="147">
        <v>0</v>
      </c>
      <c r="O193" s="147">
        <v>0</v>
      </c>
      <c r="P193" s="147">
        <v>0</v>
      </c>
      <c r="Q193" s="147">
        <v>0</v>
      </c>
      <c r="R193" s="147">
        <v>684652.18848000001</v>
      </c>
      <c r="S193" s="147">
        <v>0</v>
      </c>
      <c r="T193" s="147">
        <v>0</v>
      </c>
      <c r="U193" s="147">
        <v>0</v>
      </c>
      <c r="V193" s="147">
        <v>0</v>
      </c>
      <c r="W193" s="147">
        <v>0</v>
      </c>
      <c r="X193" s="147">
        <v>0</v>
      </c>
      <c r="Y193" s="147">
        <v>0</v>
      </c>
      <c r="Z193" s="147">
        <v>0</v>
      </c>
      <c r="AA193" s="147">
        <v>0</v>
      </c>
      <c r="AB193" s="147">
        <v>0</v>
      </c>
      <c r="AC193" s="147">
        <v>0</v>
      </c>
      <c r="AD193" s="147">
        <v>0</v>
      </c>
      <c r="AE193" s="147">
        <v>0</v>
      </c>
      <c r="AF193" s="147">
        <v>0</v>
      </c>
      <c r="AG193" s="147">
        <v>0</v>
      </c>
      <c r="AH193" s="147">
        <v>0</v>
      </c>
      <c r="AI193" s="147">
        <v>0</v>
      </c>
      <c r="AJ193" s="147">
        <v>0</v>
      </c>
      <c r="AK193" s="147">
        <v>0</v>
      </c>
      <c r="AL193" s="147">
        <v>0</v>
      </c>
      <c r="AM193" s="147">
        <v>0</v>
      </c>
      <c r="AN193" s="147">
        <v>0</v>
      </c>
      <c r="AO193" s="240">
        <v>0</v>
      </c>
      <c r="AP193" s="147">
        <f t="shared" si="12"/>
        <v>8037883.941402561</v>
      </c>
    </row>
    <row r="194" spans="2:42">
      <c r="B194" s="147" t="str">
        <v>Operação Geral</v>
      </c>
      <c r="C194" s="149" t="str">
        <v>6</v>
      </c>
      <c r="D194" s="149" t="str">
        <v>6.1.2</v>
      </c>
      <c r="E194" s="149">
        <v>0</v>
      </c>
      <c r="F194" s="149">
        <v>0</v>
      </c>
      <c r="G194" s="147" t="str">
        <v>Sede/Centro Administrativo</v>
      </c>
      <c r="H194" s="147" t="b">
        <v>0</v>
      </c>
      <c r="I194" s="147" t="b">
        <f t="shared" si="9"/>
        <v>0</v>
      </c>
      <c r="J194" s="147" t="b">
        <f t="shared" si="10"/>
        <v>0</v>
      </c>
      <c r="K194" s="147" t="b">
        <f t="shared" si="11"/>
        <v>1</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c r="AH194" s="147">
        <v>0</v>
      </c>
      <c r="AI194" s="147">
        <v>0</v>
      </c>
      <c r="AJ194" s="147">
        <v>0</v>
      </c>
      <c r="AK194" s="147">
        <v>0</v>
      </c>
      <c r="AL194" s="147">
        <v>0</v>
      </c>
      <c r="AM194" s="147">
        <v>0</v>
      </c>
      <c r="AN194" s="147">
        <v>0</v>
      </c>
      <c r="AO194" s="240">
        <v>0</v>
      </c>
      <c r="AP194" s="147">
        <f t="shared" si="12"/>
        <v>0</v>
      </c>
    </row>
    <row r="195" spans="2:42">
      <c r="B195" s="147" t="str">
        <v>Operação Geral</v>
      </c>
      <c r="C195" s="149" t="str">
        <v>6</v>
      </c>
      <c r="D195" s="149" t="str">
        <v>6.1.2</v>
      </c>
      <c r="E195" s="149">
        <v>0</v>
      </c>
      <c r="F195" s="149">
        <v>0</v>
      </c>
      <c r="G195" s="147" t="str">
        <v>ISO 9001:2008</v>
      </c>
      <c r="H195" s="147" t="b">
        <v>0</v>
      </c>
      <c r="I195" s="147" t="b">
        <f t="shared" si="9"/>
        <v>1</v>
      </c>
      <c r="J195" s="147" t="b">
        <f t="shared" si="10"/>
        <v>1</v>
      </c>
      <c r="K195" s="147" t="b">
        <f t="shared" si="11"/>
        <v>0</v>
      </c>
      <c r="L195" s="147">
        <v>81875</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c r="AH195" s="147">
        <v>0</v>
      </c>
      <c r="AI195" s="147">
        <v>0</v>
      </c>
      <c r="AJ195" s="147">
        <v>0</v>
      </c>
      <c r="AK195" s="147">
        <v>0</v>
      </c>
      <c r="AL195" s="147">
        <v>0</v>
      </c>
      <c r="AM195" s="147">
        <v>0</v>
      </c>
      <c r="AN195" s="147">
        <v>0</v>
      </c>
      <c r="AO195" s="240">
        <v>0</v>
      </c>
      <c r="AP195" s="147">
        <f t="shared" si="12"/>
        <v>81875</v>
      </c>
    </row>
    <row r="196" spans="2:42">
      <c r="B196" s="147" t="str">
        <v>Operação Geral</v>
      </c>
      <c r="C196" s="149" t="str">
        <v>6</v>
      </c>
      <c r="D196" s="149" t="str">
        <v>6.1.2</v>
      </c>
      <c r="E196" s="149">
        <v>0</v>
      </c>
      <c r="F196" s="149">
        <v>0</v>
      </c>
      <c r="G196" s="147" t="str">
        <v>Tecnologia da Informação</v>
      </c>
      <c r="H196" s="147" t="b">
        <v>0</v>
      </c>
      <c r="I196" s="147" t="b">
        <f t="shared" si="9"/>
        <v>0</v>
      </c>
      <c r="J196" s="147" t="b">
        <f t="shared" si="10"/>
        <v>0</v>
      </c>
      <c r="K196" s="147" t="b">
        <f t="shared" si="11"/>
        <v>1</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c r="AH196" s="147">
        <v>0</v>
      </c>
      <c r="AI196" s="147">
        <v>0</v>
      </c>
      <c r="AJ196" s="147">
        <v>0</v>
      </c>
      <c r="AK196" s="147">
        <v>0</v>
      </c>
      <c r="AL196" s="147">
        <v>0</v>
      </c>
      <c r="AM196" s="147">
        <v>0</v>
      </c>
      <c r="AN196" s="147">
        <v>0</v>
      </c>
      <c r="AO196" s="240">
        <v>0</v>
      </c>
      <c r="AP196" s="147">
        <f t="shared" si="12"/>
        <v>0</v>
      </c>
    </row>
    <row r="197" spans="2:42">
      <c r="B197" s="147" t="str">
        <v>Operação Geral</v>
      </c>
      <c r="C197" s="149" t="str">
        <v>6</v>
      </c>
      <c r="D197" s="149" t="str">
        <v>6.1.2</v>
      </c>
      <c r="E197" s="149">
        <v>1</v>
      </c>
      <c r="F197" s="149">
        <v>0</v>
      </c>
      <c r="G197" s="147" t="str">
        <v>Servidor de Gerenciamento/Virtualização</v>
      </c>
      <c r="H197" s="147" t="b">
        <v>0</v>
      </c>
      <c r="I197" s="147" t="b">
        <f t="shared" si="9"/>
        <v>0</v>
      </c>
      <c r="J197" s="147" t="b">
        <f t="shared" si="10"/>
        <v>0</v>
      </c>
      <c r="K197" s="147" t="b">
        <f t="shared" si="11"/>
        <v>1</v>
      </c>
      <c r="L197" s="147">
        <v>40011.014428705894</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c r="AH197" s="147">
        <v>0</v>
      </c>
      <c r="AI197" s="147">
        <v>0</v>
      </c>
      <c r="AJ197" s="147">
        <v>0</v>
      </c>
      <c r="AK197" s="147">
        <v>0</v>
      </c>
      <c r="AL197" s="147">
        <v>0</v>
      </c>
      <c r="AM197" s="147">
        <v>0</v>
      </c>
      <c r="AN197" s="147">
        <v>0</v>
      </c>
      <c r="AO197" s="240">
        <v>0</v>
      </c>
      <c r="AP197" s="147">
        <f t="shared" si="12"/>
        <v>40011.014428705894</v>
      </c>
    </row>
    <row r="198" spans="2:42">
      <c r="B198" s="147" t="str">
        <v>Operação Geral</v>
      </c>
      <c r="C198" s="149" t="str">
        <v>6</v>
      </c>
      <c r="D198" s="149" t="str">
        <v>6.1.2</v>
      </c>
      <c r="E198" s="149">
        <v>1</v>
      </c>
      <c r="F198" s="149">
        <v>0</v>
      </c>
      <c r="G198" s="147" t="str">
        <v>Servidor de Backup</v>
      </c>
      <c r="H198" s="147" t="b">
        <v>0</v>
      </c>
      <c r="I198" s="147" t="b">
        <f t="shared" ref="I198:I261" si="13">OR(ISNUMBER(FIND("Antivirus",G198)),
    ISNUMBER(FIND("ARCGIS",G198)),
    ISNUMBER(FIND("AutoCAD",G198)),
    ISNUMBER(FIND("Correio eletrônico",G198)),
    ISNUMBER(FIND("ISO 9001:2008",G198)),
    ISNUMBER(FIND("Microsoft",G198)),
    ISNUMBER(FIND("Sistema de Informações Georreferenciadas",G198)),
    ISNUMBER(FIND("Sistema 0800 - CCO",G198)),
    ISNUMBER(FIND("Sistema de Comunicação com os Usuários",G198)),
    ISNUMBER(FIND("Software",G198)),
    ISNUMBER(FIND("Storage",G198)),
    ISNUMBER(FIND("Windows Server",G198)))</f>
        <v>0</v>
      </c>
      <c r="J198" s="147" t="b">
        <f t="shared" ref="J198:J261" si="14">OR(F198,I198)</f>
        <v>0</v>
      </c>
      <c r="K198" s="147" t="b">
        <f t="shared" ref="K198:K261" si="15">AND(NOT(H198),NOT(J198))</f>
        <v>1</v>
      </c>
      <c r="L198" s="147">
        <v>40011.014428705894</v>
      </c>
      <c r="M198" s="147">
        <v>0</v>
      </c>
      <c r="N198" s="147">
        <v>0</v>
      </c>
      <c r="O198" s="147">
        <v>0</v>
      </c>
      <c r="P198" s="147">
        <v>0</v>
      </c>
      <c r="Q198" s="147">
        <v>0</v>
      </c>
      <c r="R198" s="147">
        <v>0</v>
      </c>
      <c r="S198" s="147">
        <v>0</v>
      </c>
      <c r="T198" s="147">
        <v>0</v>
      </c>
      <c r="U198" s="147">
        <v>0</v>
      </c>
      <c r="V198" s="147">
        <v>0</v>
      </c>
      <c r="W198" s="147">
        <v>0</v>
      </c>
      <c r="X198" s="147">
        <v>0</v>
      </c>
      <c r="Y198" s="147">
        <v>0</v>
      </c>
      <c r="Z198" s="147">
        <v>0</v>
      </c>
      <c r="AA198" s="147">
        <v>0</v>
      </c>
      <c r="AB198" s="147">
        <v>0</v>
      </c>
      <c r="AC198" s="147">
        <v>0</v>
      </c>
      <c r="AD198" s="147">
        <v>0</v>
      </c>
      <c r="AE198" s="147">
        <v>0</v>
      </c>
      <c r="AF198" s="147">
        <v>0</v>
      </c>
      <c r="AG198" s="147">
        <v>0</v>
      </c>
      <c r="AH198" s="147">
        <v>0</v>
      </c>
      <c r="AI198" s="147">
        <v>0</v>
      </c>
      <c r="AJ198" s="147">
        <v>0</v>
      </c>
      <c r="AK198" s="147">
        <v>0</v>
      </c>
      <c r="AL198" s="147">
        <v>0</v>
      </c>
      <c r="AM198" s="147">
        <v>0</v>
      </c>
      <c r="AN198" s="147">
        <v>0</v>
      </c>
      <c r="AO198" s="240">
        <v>0</v>
      </c>
      <c r="AP198" s="147">
        <f t="shared" ref="AP198:AP261" si="16">SUM(L198:AO198)</f>
        <v>40011.014428705894</v>
      </c>
    </row>
    <row r="199" spans="2:42">
      <c r="B199" s="147" t="str">
        <v>Operação Geral</v>
      </c>
      <c r="C199" s="149" t="str">
        <v>6</v>
      </c>
      <c r="D199" s="149" t="str">
        <v>6.1.2</v>
      </c>
      <c r="E199" s="149">
        <v>1</v>
      </c>
      <c r="F199" s="149">
        <v>0</v>
      </c>
      <c r="G199" s="147" t="str">
        <v>Unidade de Fita para Backup</v>
      </c>
      <c r="H199" s="147" t="b">
        <v>0</v>
      </c>
      <c r="I199" s="147" t="b">
        <f t="shared" si="13"/>
        <v>0</v>
      </c>
      <c r="J199" s="147" t="b">
        <f t="shared" si="14"/>
        <v>0</v>
      </c>
      <c r="K199" s="147" t="b">
        <f t="shared" si="15"/>
        <v>1</v>
      </c>
      <c r="L199" s="147">
        <v>77232.023647403345</v>
      </c>
      <c r="M199" s="147">
        <v>0</v>
      </c>
      <c r="N199" s="147">
        <v>0</v>
      </c>
      <c r="O199" s="147">
        <v>0</v>
      </c>
      <c r="P199" s="147">
        <v>0</v>
      </c>
      <c r="Q199" s="147">
        <v>0</v>
      </c>
      <c r="R199" s="147">
        <v>0</v>
      </c>
      <c r="S199" s="147">
        <v>0</v>
      </c>
      <c r="T199" s="147">
        <v>0</v>
      </c>
      <c r="U199" s="147">
        <v>0</v>
      </c>
      <c r="V199" s="147">
        <v>0</v>
      </c>
      <c r="W199" s="147">
        <v>0</v>
      </c>
      <c r="X199" s="147">
        <v>0</v>
      </c>
      <c r="Y199" s="147">
        <v>0</v>
      </c>
      <c r="Z199" s="147">
        <v>0</v>
      </c>
      <c r="AA199" s="147">
        <v>0</v>
      </c>
      <c r="AB199" s="147">
        <v>0</v>
      </c>
      <c r="AC199" s="147">
        <v>0</v>
      </c>
      <c r="AD199" s="147">
        <v>0</v>
      </c>
      <c r="AE199" s="147">
        <v>0</v>
      </c>
      <c r="AF199" s="147">
        <v>0</v>
      </c>
      <c r="AG199" s="147">
        <v>0</v>
      </c>
      <c r="AH199" s="147">
        <v>0</v>
      </c>
      <c r="AI199" s="147">
        <v>0</v>
      </c>
      <c r="AJ199" s="147">
        <v>0</v>
      </c>
      <c r="AK199" s="147">
        <v>0</v>
      </c>
      <c r="AL199" s="147">
        <v>0</v>
      </c>
      <c r="AM199" s="147">
        <v>0</v>
      </c>
      <c r="AN199" s="147">
        <v>0</v>
      </c>
      <c r="AO199" s="240">
        <v>0</v>
      </c>
      <c r="AP199" s="147">
        <f t="shared" si="16"/>
        <v>77232.023647403345</v>
      </c>
    </row>
    <row r="200" spans="2:42">
      <c r="B200" s="147" t="str">
        <v>Operação Geral</v>
      </c>
      <c r="C200" s="149" t="str">
        <v>6</v>
      </c>
      <c r="D200" s="149" t="str">
        <v>6.1.2</v>
      </c>
      <c r="E200" s="149">
        <v>1</v>
      </c>
      <c r="F200" s="149">
        <v>0</v>
      </c>
      <c r="G200" s="147" t="str">
        <v>Servidores</v>
      </c>
      <c r="H200" s="147" t="b">
        <v>0</v>
      </c>
      <c r="I200" s="147" t="b">
        <f t="shared" si="13"/>
        <v>0</v>
      </c>
      <c r="J200" s="147" t="b">
        <f t="shared" si="14"/>
        <v>0</v>
      </c>
      <c r="K200" s="147" t="b">
        <f t="shared" si="15"/>
        <v>1</v>
      </c>
      <c r="L200" s="147">
        <v>622690.87113645859</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c r="AH200" s="147">
        <v>0</v>
      </c>
      <c r="AI200" s="147">
        <v>0</v>
      </c>
      <c r="AJ200" s="147">
        <v>0</v>
      </c>
      <c r="AK200" s="147">
        <v>0</v>
      </c>
      <c r="AL200" s="147">
        <v>0</v>
      </c>
      <c r="AM200" s="147">
        <v>0</v>
      </c>
      <c r="AN200" s="147">
        <v>0</v>
      </c>
      <c r="AO200" s="240">
        <v>0</v>
      </c>
      <c r="AP200" s="147">
        <f t="shared" si="16"/>
        <v>622690.87113645859</v>
      </c>
    </row>
    <row r="201" spans="2:42">
      <c r="B201" s="147" t="str">
        <v>Operação Geral</v>
      </c>
      <c r="C201" s="149" t="str">
        <v>6</v>
      </c>
      <c r="D201" s="149" t="str">
        <v>6.1.2</v>
      </c>
      <c r="E201" s="149">
        <v>1</v>
      </c>
      <c r="F201" s="149">
        <v>0</v>
      </c>
      <c r="G201" s="147" t="str">
        <v>Storage</v>
      </c>
      <c r="H201" s="147" t="b">
        <v>0</v>
      </c>
      <c r="I201" s="147" t="b">
        <f t="shared" si="13"/>
        <v>1</v>
      </c>
      <c r="J201" s="147" t="b">
        <f t="shared" si="14"/>
        <v>1</v>
      </c>
      <c r="K201" s="147" t="b">
        <f t="shared" si="15"/>
        <v>0</v>
      </c>
      <c r="L201" s="147">
        <v>244238.95319256917</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c r="AH201" s="147">
        <v>0</v>
      </c>
      <c r="AI201" s="147">
        <v>0</v>
      </c>
      <c r="AJ201" s="147">
        <v>0</v>
      </c>
      <c r="AK201" s="147">
        <v>0</v>
      </c>
      <c r="AL201" s="147">
        <v>0</v>
      </c>
      <c r="AM201" s="147">
        <v>0</v>
      </c>
      <c r="AN201" s="147">
        <v>0</v>
      </c>
      <c r="AO201" s="240">
        <v>0</v>
      </c>
      <c r="AP201" s="147">
        <f t="shared" si="16"/>
        <v>244238.95319256917</v>
      </c>
    </row>
    <row r="202" spans="2:42">
      <c r="B202" s="147" t="str">
        <v>Operação Geral</v>
      </c>
      <c r="C202" s="149" t="str">
        <v>6</v>
      </c>
      <c r="D202" s="149" t="str">
        <v>6.1.2</v>
      </c>
      <c r="E202" s="149">
        <v>1</v>
      </c>
      <c r="F202" s="149">
        <v>0</v>
      </c>
      <c r="G202" s="147" t="str">
        <v>Rack</v>
      </c>
      <c r="H202" s="147" t="b">
        <v>0</v>
      </c>
      <c r="I202" s="147" t="b">
        <f t="shared" si="13"/>
        <v>0</v>
      </c>
      <c r="J202" s="147" t="b">
        <f t="shared" si="14"/>
        <v>0</v>
      </c>
      <c r="K202" s="147" t="b">
        <f t="shared" si="15"/>
        <v>1</v>
      </c>
      <c r="L202" s="147">
        <v>9026.5168649279003</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c r="AH202" s="147">
        <v>0</v>
      </c>
      <c r="AI202" s="147">
        <v>0</v>
      </c>
      <c r="AJ202" s="147">
        <v>0</v>
      </c>
      <c r="AK202" s="147">
        <v>0</v>
      </c>
      <c r="AL202" s="147">
        <v>0</v>
      </c>
      <c r="AM202" s="147">
        <v>0</v>
      </c>
      <c r="AN202" s="147">
        <v>0</v>
      </c>
      <c r="AO202" s="240">
        <v>0</v>
      </c>
      <c r="AP202" s="147">
        <f t="shared" si="16"/>
        <v>9026.5168649279003</v>
      </c>
    </row>
    <row r="203" spans="2:42">
      <c r="B203" s="147" t="str">
        <v>Operação Geral</v>
      </c>
      <c r="C203" s="149" t="str">
        <v>6</v>
      </c>
      <c r="D203" s="149" t="str">
        <v>6.1.2</v>
      </c>
      <c r="E203" s="149">
        <v>1</v>
      </c>
      <c r="F203" s="149">
        <v>0</v>
      </c>
      <c r="G203" s="147" t="str">
        <v>Nobreak</v>
      </c>
      <c r="H203" s="147" t="b">
        <v>0</v>
      </c>
      <c r="I203" s="147" t="b">
        <f t="shared" si="13"/>
        <v>0</v>
      </c>
      <c r="J203" s="147" t="b">
        <f t="shared" si="14"/>
        <v>0</v>
      </c>
      <c r="K203" s="147" t="b">
        <f t="shared" si="15"/>
        <v>1</v>
      </c>
      <c r="L203" s="147">
        <v>43832.81090988779</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c r="AH203" s="147">
        <v>0</v>
      </c>
      <c r="AI203" s="147">
        <v>0</v>
      </c>
      <c r="AJ203" s="147">
        <v>0</v>
      </c>
      <c r="AK203" s="147">
        <v>0</v>
      </c>
      <c r="AL203" s="147">
        <v>0</v>
      </c>
      <c r="AM203" s="147">
        <v>0</v>
      </c>
      <c r="AN203" s="147">
        <v>0</v>
      </c>
      <c r="AO203" s="240">
        <v>0</v>
      </c>
      <c r="AP203" s="147">
        <f t="shared" si="16"/>
        <v>43832.81090988779</v>
      </c>
    </row>
    <row r="204" spans="2:42">
      <c r="B204" s="147" t="str">
        <v>Operação Geral</v>
      </c>
      <c r="C204" s="149" t="str">
        <v>6</v>
      </c>
      <c r="D204" s="149" t="str">
        <v>6.1.2</v>
      </c>
      <c r="E204" s="149">
        <v>0</v>
      </c>
      <c r="F204" s="149">
        <v>0</v>
      </c>
      <c r="G204" s="147" t="str">
        <v>Computador e Periféricos</v>
      </c>
      <c r="H204" s="147" t="b">
        <v>0</v>
      </c>
      <c r="I204" s="147" t="b">
        <f t="shared" si="13"/>
        <v>0</v>
      </c>
      <c r="J204" s="147" t="b">
        <f t="shared" si="14"/>
        <v>0</v>
      </c>
      <c r="K204" s="147" t="b">
        <f t="shared" si="15"/>
        <v>1</v>
      </c>
      <c r="L204" s="147">
        <v>756372.22162563179</v>
      </c>
      <c r="M204" s="147">
        <v>0</v>
      </c>
      <c r="N204" s="147">
        <v>0</v>
      </c>
      <c r="O204" s="147">
        <v>0</v>
      </c>
      <c r="P204" s="147">
        <v>0</v>
      </c>
      <c r="Q204" s="147">
        <v>0</v>
      </c>
      <c r="R204" s="147">
        <v>56445.688181017293</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c r="AH204" s="147">
        <v>0</v>
      </c>
      <c r="AI204" s="147">
        <v>0</v>
      </c>
      <c r="AJ204" s="147">
        <v>0</v>
      </c>
      <c r="AK204" s="147">
        <v>0</v>
      </c>
      <c r="AL204" s="147">
        <v>0</v>
      </c>
      <c r="AM204" s="147">
        <v>0</v>
      </c>
      <c r="AN204" s="147">
        <v>0</v>
      </c>
      <c r="AO204" s="240">
        <v>0</v>
      </c>
      <c r="AP204" s="147">
        <f t="shared" si="16"/>
        <v>812817.90980664908</v>
      </c>
    </row>
    <row r="205" spans="2:42">
      <c r="B205" s="147" t="str">
        <v>Operação Geral</v>
      </c>
      <c r="C205" s="149" t="str">
        <v>6</v>
      </c>
      <c r="D205" s="149" t="str">
        <v>6.1.2</v>
      </c>
      <c r="E205" s="149">
        <v>0</v>
      </c>
      <c r="F205" s="149">
        <v>0</v>
      </c>
      <c r="G205" s="147" t="str">
        <v>Impressora Multifuncional - A4</v>
      </c>
      <c r="H205" s="147" t="b">
        <v>0</v>
      </c>
      <c r="I205" s="147" t="b">
        <f t="shared" si="13"/>
        <v>0</v>
      </c>
      <c r="J205" s="147" t="b">
        <f t="shared" si="14"/>
        <v>0</v>
      </c>
      <c r="K205" s="147" t="b">
        <f t="shared" si="15"/>
        <v>1</v>
      </c>
      <c r="L205" s="147">
        <v>19159.479527055224</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c r="AH205" s="147">
        <v>0</v>
      </c>
      <c r="AI205" s="147">
        <v>0</v>
      </c>
      <c r="AJ205" s="147">
        <v>0</v>
      </c>
      <c r="AK205" s="147">
        <v>0</v>
      </c>
      <c r="AL205" s="147">
        <v>0</v>
      </c>
      <c r="AM205" s="147">
        <v>0</v>
      </c>
      <c r="AN205" s="147">
        <v>0</v>
      </c>
      <c r="AO205" s="240">
        <v>0</v>
      </c>
      <c r="AP205" s="147">
        <f t="shared" si="16"/>
        <v>19159.479527055224</v>
      </c>
    </row>
    <row r="206" spans="2:42">
      <c r="B206" s="147" t="str">
        <v>Operação Geral</v>
      </c>
      <c r="C206" s="149" t="str">
        <v>6</v>
      </c>
      <c r="D206" s="149" t="str">
        <v>6.1.2</v>
      </c>
      <c r="E206" s="149">
        <v>0</v>
      </c>
      <c r="F206" s="149">
        <v>0</v>
      </c>
      <c r="G206" s="147" t="str">
        <v>Impressora A3</v>
      </c>
      <c r="H206" s="147" t="b">
        <v>0</v>
      </c>
      <c r="I206" s="147" t="b">
        <f t="shared" si="13"/>
        <v>0</v>
      </c>
      <c r="J206" s="147" t="b">
        <f t="shared" si="14"/>
        <v>0</v>
      </c>
      <c r="K206" s="147" t="b">
        <f t="shared" si="15"/>
        <v>1</v>
      </c>
      <c r="L206" s="147">
        <v>22355.062067046878</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c r="AH206" s="147">
        <v>0</v>
      </c>
      <c r="AI206" s="147">
        <v>0</v>
      </c>
      <c r="AJ206" s="147">
        <v>0</v>
      </c>
      <c r="AK206" s="147">
        <v>0</v>
      </c>
      <c r="AL206" s="147">
        <v>0</v>
      </c>
      <c r="AM206" s="147">
        <v>0</v>
      </c>
      <c r="AN206" s="147">
        <v>0</v>
      </c>
      <c r="AO206" s="240">
        <v>0</v>
      </c>
      <c r="AP206" s="147">
        <f t="shared" si="16"/>
        <v>22355.062067046878</v>
      </c>
    </row>
    <row r="207" spans="2:42">
      <c r="B207" s="147" t="str">
        <v>Operação Geral</v>
      </c>
      <c r="C207" s="149" t="str">
        <v>6</v>
      </c>
      <c r="D207" s="149" t="str">
        <v>6.1.2</v>
      </c>
      <c r="E207" s="149">
        <v>0</v>
      </c>
      <c r="F207" s="149">
        <v>0</v>
      </c>
      <c r="G207" s="147" t="str">
        <v>Software</v>
      </c>
      <c r="H207" s="147" t="b">
        <v>0</v>
      </c>
      <c r="I207" s="147" t="b">
        <f t="shared" si="13"/>
        <v>1</v>
      </c>
      <c r="J207" s="147" t="b">
        <f t="shared" si="14"/>
        <v>1</v>
      </c>
      <c r="K207" s="147" t="b">
        <f t="shared" si="15"/>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c r="AH207" s="147">
        <v>0</v>
      </c>
      <c r="AI207" s="147">
        <v>0</v>
      </c>
      <c r="AJ207" s="147">
        <v>0</v>
      </c>
      <c r="AK207" s="147">
        <v>0</v>
      </c>
      <c r="AL207" s="147">
        <v>0</v>
      </c>
      <c r="AM207" s="147">
        <v>0</v>
      </c>
      <c r="AN207" s="147">
        <v>0</v>
      </c>
      <c r="AO207" s="240">
        <v>0</v>
      </c>
      <c r="AP207" s="147">
        <f t="shared" si="16"/>
        <v>0</v>
      </c>
    </row>
    <row r="208" spans="2:42">
      <c r="B208" s="147" t="str">
        <v>Operação Geral</v>
      </c>
      <c r="C208" s="149" t="str">
        <v>6</v>
      </c>
      <c r="D208" s="149" t="str">
        <v>6.1.2</v>
      </c>
      <c r="E208" s="149">
        <v>0</v>
      </c>
      <c r="F208" s="149">
        <v>0</v>
      </c>
      <c r="G208" s="147" t="str">
        <v>Antivirus</v>
      </c>
      <c r="H208" s="147" t="b">
        <v>0</v>
      </c>
      <c r="I208" s="147" t="b">
        <f t="shared" si="13"/>
        <v>1</v>
      </c>
      <c r="J208" s="147" t="b">
        <f t="shared" si="14"/>
        <v>1</v>
      </c>
      <c r="K208" s="147" t="b">
        <f t="shared" si="15"/>
        <v>0</v>
      </c>
      <c r="L208" s="147">
        <v>5456.0704571799506</v>
      </c>
      <c r="M208" s="147">
        <v>0</v>
      </c>
      <c r="N208" s="147">
        <v>0</v>
      </c>
      <c r="O208" s="147">
        <v>0</v>
      </c>
      <c r="P208" s="147">
        <v>0</v>
      </c>
      <c r="Q208" s="147">
        <v>0</v>
      </c>
      <c r="R208" s="147">
        <v>407.16943710298142</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c r="AH208" s="147">
        <v>0</v>
      </c>
      <c r="AI208" s="147">
        <v>0</v>
      </c>
      <c r="AJ208" s="147">
        <v>0</v>
      </c>
      <c r="AK208" s="147">
        <v>0</v>
      </c>
      <c r="AL208" s="147">
        <v>0</v>
      </c>
      <c r="AM208" s="147">
        <v>0</v>
      </c>
      <c r="AN208" s="147">
        <v>0</v>
      </c>
      <c r="AO208" s="240">
        <v>0</v>
      </c>
      <c r="AP208" s="147">
        <f t="shared" si="16"/>
        <v>5863.2398942829323</v>
      </c>
    </row>
    <row r="209" spans="2:42">
      <c r="B209" s="147" t="str">
        <v>Operação Geral</v>
      </c>
      <c r="C209" s="149" t="str">
        <v>6</v>
      </c>
      <c r="D209" s="149" t="str">
        <v>6.1.2</v>
      </c>
      <c r="E209" s="149">
        <v>0</v>
      </c>
      <c r="F209" s="149">
        <v>0</v>
      </c>
      <c r="G209" s="147" t="str">
        <v>Microsoft Office 365</v>
      </c>
      <c r="H209" s="147" t="b">
        <v>0</v>
      </c>
      <c r="I209" s="147" t="b">
        <f t="shared" si="13"/>
        <v>1</v>
      </c>
      <c r="J209" s="147" t="b">
        <f t="shared" si="14"/>
        <v>1</v>
      </c>
      <c r="K209" s="147" t="b">
        <f t="shared" si="15"/>
        <v>0</v>
      </c>
      <c r="L209" s="147">
        <v>48267.312066768674</v>
      </c>
      <c r="M209" s="147">
        <v>0</v>
      </c>
      <c r="N209" s="147">
        <v>0</v>
      </c>
      <c r="O209" s="147">
        <v>0</v>
      </c>
      <c r="P209" s="147">
        <v>0</v>
      </c>
      <c r="Q209" s="147">
        <v>0</v>
      </c>
      <c r="R209" s="147">
        <v>3602.0382139379608</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c r="AH209" s="147">
        <v>0</v>
      </c>
      <c r="AI209" s="147">
        <v>0</v>
      </c>
      <c r="AJ209" s="147">
        <v>0</v>
      </c>
      <c r="AK209" s="147">
        <v>0</v>
      </c>
      <c r="AL209" s="147">
        <v>0</v>
      </c>
      <c r="AM209" s="147">
        <v>0</v>
      </c>
      <c r="AN209" s="147">
        <v>0</v>
      </c>
      <c r="AO209" s="240">
        <v>0</v>
      </c>
      <c r="AP209" s="147">
        <f t="shared" si="16"/>
        <v>51869.350280706632</v>
      </c>
    </row>
    <row r="210" spans="2:42">
      <c r="B210" s="147" t="str">
        <v>Operação Geral</v>
      </c>
      <c r="C210" s="149" t="str">
        <v>6</v>
      </c>
      <c r="D210" s="149" t="str">
        <v>6.1.2</v>
      </c>
      <c r="E210" s="149">
        <v>0</v>
      </c>
      <c r="F210" s="149">
        <v>0</v>
      </c>
      <c r="G210" s="147" t="str">
        <v>Windows Server</v>
      </c>
      <c r="H210" s="147" t="b">
        <v>0</v>
      </c>
      <c r="I210" s="147" t="b">
        <f t="shared" si="13"/>
        <v>1</v>
      </c>
      <c r="J210" s="147" t="b">
        <f t="shared" si="14"/>
        <v>1</v>
      </c>
      <c r="K210" s="147" t="b">
        <f t="shared" si="15"/>
        <v>0</v>
      </c>
      <c r="L210" s="147">
        <v>38932.535818611766</v>
      </c>
      <c r="M210" s="147">
        <v>0</v>
      </c>
      <c r="N210" s="147">
        <v>0</v>
      </c>
      <c r="O210" s="147">
        <v>0</v>
      </c>
      <c r="P210" s="147">
        <v>0</v>
      </c>
      <c r="Q210" s="147">
        <v>0</v>
      </c>
      <c r="R210" s="147">
        <v>0</v>
      </c>
      <c r="S210" s="147">
        <v>0</v>
      </c>
      <c r="T210" s="147">
        <v>0</v>
      </c>
      <c r="U210" s="147">
        <v>0</v>
      </c>
      <c r="V210" s="147">
        <v>0</v>
      </c>
      <c r="W210" s="147">
        <v>0</v>
      </c>
      <c r="X210" s="147">
        <v>0</v>
      </c>
      <c r="Y210" s="147">
        <v>0</v>
      </c>
      <c r="Z210" s="147">
        <v>0</v>
      </c>
      <c r="AA210" s="147">
        <v>0</v>
      </c>
      <c r="AB210" s="147">
        <v>0</v>
      </c>
      <c r="AC210" s="147">
        <v>0</v>
      </c>
      <c r="AD210" s="147">
        <v>0</v>
      </c>
      <c r="AE210" s="147">
        <v>0</v>
      </c>
      <c r="AF210" s="147">
        <v>0</v>
      </c>
      <c r="AG210" s="147">
        <v>0</v>
      </c>
      <c r="AH210" s="147">
        <v>0</v>
      </c>
      <c r="AI210" s="147">
        <v>0</v>
      </c>
      <c r="AJ210" s="147">
        <v>0</v>
      </c>
      <c r="AK210" s="147">
        <v>0</v>
      </c>
      <c r="AL210" s="147">
        <v>0</v>
      </c>
      <c r="AM210" s="147">
        <v>0</v>
      </c>
      <c r="AN210" s="147">
        <v>0</v>
      </c>
      <c r="AO210" s="240">
        <v>0</v>
      </c>
      <c r="AP210" s="147">
        <f t="shared" si="16"/>
        <v>38932.535818611766</v>
      </c>
    </row>
    <row r="211" spans="2:42">
      <c r="B211" s="147" t="str">
        <v>Operação Geral</v>
      </c>
      <c r="C211" s="149" t="str">
        <v>6</v>
      </c>
      <c r="D211" s="149" t="str">
        <v>6.1.2</v>
      </c>
      <c r="E211" s="149">
        <v>0</v>
      </c>
      <c r="F211" s="149">
        <v>0</v>
      </c>
      <c r="G211" s="147" t="str">
        <v>Banco de Dados</v>
      </c>
      <c r="H211" s="147" t="b">
        <v>0</v>
      </c>
      <c r="I211" s="147" t="b">
        <f t="shared" si="13"/>
        <v>0</v>
      </c>
      <c r="J211" s="147" t="b">
        <f t="shared" si="14"/>
        <v>0</v>
      </c>
      <c r="K211" s="147" t="b">
        <f t="shared" si="15"/>
        <v>1</v>
      </c>
      <c r="L211" s="147">
        <v>36337.033430704316</v>
      </c>
      <c r="M211" s="147">
        <v>0</v>
      </c>
      <c r="N211" s="147">
        <v>0</v>
      </c>
      <c r="O211" s="147">
        <v>0</v>
      </c>
      <c r="P211" s="147">
        <v>0</v>
      </c>
      <c r="Q211" s="147">
        <v>0</v>
      </c>
      <c r="R211" s="147">
        <v>0</v>
      </c>
      <c r="S211" s="147">
        <v>0</v>
      </c>
      <c r="T211" s="147">
        <v>0</v>
      </c>
      <c r="U211" s="147">
        <v>0</v>
      </c>
      <c r="V211" s="147">
        <v>0</v>
      </c>
      <c r="W211" s="147">
        <v>0</v>
      </c>
      <c r="X211" s="147">
        <v>0</v>
      </c>
      <c r="Y211" s="147">
        <v>0</v>
      </c>
      <c r="Z211" s="147">
        <v>0</v>
      </c>
      <c r="AA211" s="147">
        <v>0</v>
      </c>
      <c r="AB211" s="147">
        <v>0</v>
      </c>
      <c r="AC211" s="147">
        <v>0</v>
      </c>
      <c r="AD211" s="147">
        <v>0</v>
      </c>
      <c r="AE211" s="147">
        <v>0</v>
      </c>
      <c r="AF211" s="147">
        <v>0</v>
      </c>
      <c r="AG211" s="147">
        <v>0</v>
      </c>
      <c r="AH211" s="147">
        <v>0</v>
      </c>
      <c r="AI211" s="147">
        <v>0</v>
      </c>
      <c r="AJ211" s="147">
        <v>0</v>
      </c>
      <c r="AK211" s="147">
        <v>0</v>
      </c>
      <c r="AL211" s="147">
        <v>0</v>
      </c>
      <c r="AM211" s="147">
        <v>0</v>
      </c>
      <c r="AN211" s="147">
        <v>0</v>
      </c>
      <c r="AO211" s="240">
        <v>0</v>
      </c>
      <c r="AP211" s="147">
        <f t="shared" si="16"/>
        <v>36337.033430704316</v>
      </c>
    </row>
    <row r="212" spans="2:42">
      <c r="B212" s="147" t="str">
        <v>Operação Geral</v>
      </c>
      <c r="C212" s="149" t="str">
        <v>6</v>
      </c>
      <c r="D212" s="149" t="str">
        <v>6.1.2</v>
      </c>
      <c r="E212" s="149">
        <v>0</v>
      </c>
      <c r="F212" s="149">
        <v>0</v>
      </c>
      <c r="G212" s="147" t="str">
        <v>ERP</v>
      </c>
      <c r="H212" s="147" t="b">
        <v>0</v>
      </c>
      <c r="I212" s="147" t="b">
        <f t="shared" si="13"/>
        <v>0</v>
      </c>
      <c r="J212" s="147" t="b">
        <f t="shared" si="14"/>
        <v>0</v>
      </c>
      <c r="K212" s="147" t="b">
        <f t="shared" si="15"/>
        <v>1</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c r="AH212" s="147">
        <v>0</v>
      </c>
      <c r="AI212" s="147">
        <v>0</v>
      </c>
      <c r="AJ212" s="147">
        <v>0</v>
      </c>
      <c r="AK212" s="147">
        <v>0</v>
      </c>
      <c r="AL212" s="147">
        <v>0</v>
      </c>
      <c r="AM212" s="147">
        <v>0</v>
      </c>
      <c r="AN212" s="147">
        <v>0</v>
      </c>
      <c r="AO212" s="240">
        <v>0</v>
      </c>
      <c r="AP212" s="147">
        <f t="shared" si="16"/>
        <v>0</v>
      </c>
    </row>
    <row r="213" spans="2:42">
      <c r="B213" s="147" t="str">
        <v>Operação Geral</v>
      </c>
      <c r="C213" s="149" t="str">
        <v>6</v>
      </c>
      <c r="D213" s="149" t="str">
        <v>6.1.2</v>
      </c>
      <c r="E213" s="149">
        <v>0</v>
      </c>
      <c r="F213" s="149">
        <v>0</v>
      </c>
      <c r="G213" s="147" t="str">
        <v>Correio eletrônico</v>
      </c>
      <c r="H213" s="147" t="b">
        <v>0</v>
      </c>
      <c r="I213" s="147" t="b">
        <f t="shared" si="13"/>
        <v>1</v>
      </c>
      <c r="J213" s="147" t="b">
        <f t="shared" si="14"/>
        <v>1</v>
      </c>
      <c r="K213" s="147" t="b">
        <f t="shared" si="15"/>
        <v>0</v>
      </c>
      <c r="L213" s="147">
        <v>49028.988197523991</v>
      </c>
      <c r="M213" s="147">
        <v>0</v>
      </c>
      <c r="N213" s="147">
        <v>0</v>
      </c>
      <c r="O213" s="147">
        <v>0</v>
      </c>
      <c r="P213" s="147">
        <v>0</v>
      </c>
      <c r="Q213" s="147">
        <v>0</v>
      </c>
      <c r="R213" s="147">
        <v>3658.8797162331339</v>
      </c>
      <c r="S213" s="147">
        <v>0</v>
      </c>
      <c r="T213" s="147">
        <v>0</v>
      </c>
      <c r="U213" s="147">
        <v>0</v>
      </c>
      <c r="V213" s="147">
        <v>0</v>
      </c>
      <c r="W213" s="147">
        <v>0</v>
      </c>
      <c r="X213" s="147">
        <v>0</v>
      </c>
      <c r="Y213" s="147">
        <v>0</v>
      </c>
      <c r="Z213" s="147">
        <v>0</v>
      </c>
      <c r="AA213" s="147">
        <v>0</v>
      </c>
      <c r="AB213" s="147">
        <v>0</v>
      </c>
      <c r="AC213" s="147">
        <v>0</v>
      </c>
      <c r="AD213" s="147">
        <v>0</v>
      </c>
      <c r="AE213" s="147">
        <v>0</v>
      </c>
      <c r="AF213" s="147">
        <v>0</v>
      </c>
      <c r="AG213" s="147">
        <v>0</v>
      </c>
      <c r="AH213" s="147">
        <v>0</v>
      </c>
      <c r="AI213" s="147">
        <v>0</v>
      </c>
      <c r="AJ213" s="147">
        <v>0</v>
      </c>
      <c r="AK213" s="147">
        <v>0</v>
      </c>
      <c r="AL213" s="147">
        <v>0</v>
      </c>
      <c r="AM213" s="147">
        <v>0</v>
      </c>
      <c r="AN213" s="147">
        <v>0</v>
      </c>
      <c r="AO213" s="240">
        <v>0</v>
      </c>
      <c r="AP213" s="147">
        <f t="shared" si="16"/>
        <v>52687.867913757123</v>
      </c>
    </row>
    <row r="214" spans="2:42">
      <c r="B214" s="147" t="str">
        <v>Operação Geral</v>
      </c>
      <c r="C214" s="149" t="str">
        <v>6</v>
      </c>
      <c r="D214" s="149" t="str">
        <v>6.1.2</v>
      </c>
      <c r="E214" s="149">
        <v>0</v>
      </c>
      <c r="F214" s="149">
        <v>0</v>
      </c>
      <c r="G214" s="147" t="str">
        <v>Backup</v>
      </c>
      <c r="H214" s="147" t="b">
        <v>0</v>
      </c>
      <c r="I214" s="147" t="b">
        <f t="shared" si="13"/>
        <v>0</v>
      </c>
      <c r="J214" s="147" t="b">
        <f t="shared" si="14"/>
        <v>0</v>
      </c>
      <c r="K214" s="147" t="b">
        <f t="shared" si="15"/>
        <v>1</v>
      </c>
      <c r="L214" s="147">
        <v>19466.267909305883</v>
      </c>
      <c r="M214" s="147">
        <v>0</v>
      </c>
      <c r="N214" s="147">
        <v>0</v>
      </c>
      <c r="O214" s="147">
        <v>0</v>
      </c>
      <c r="P214" s="147">
        <v>0</v>
      </c>
      <c r="Q214" s="147">
        <v>0</v>
      </c>
      <c r="R214" s="147">
        <v>0</v>
      </c>
      <c r="S214" s="147">
        <v>0</v>
      </c>
      <c r="T214" s="147">
        <v>0</v>
      </c>
      <c r="U214" s="147">
        <v>0</v>
      </c>
      <c r="V214" s="147">
        <v>0</v>
      </c>
      <c r="W214" s="147">
        <v>0</v>
      </c>
      <c r="X214" s="147">
        <v>0</v>
      </c>
      <c r="Y214" s="147">
        <v>0</v>
      </c>
      <c r="Z214" s="147">
        <v>0</v>
      </c>
      <c r="AA214" s="147">
        <v>0</v>
      </c>
      <c r="AB214" s="147">
        <v>0</v>
      </c>
      <c r="AC214" s="147">
        <v>0</v>
      </c>
      <c r="AD214" s="147">
        <v>0</v>
      </c>
      <c r="AE214" s="147">
        <v>0</v>
      </c>
      <c r="AF214" s="147">
        <v>0</v>
      </c>
      <c r="AG214" s="147">
        <v>0</v>
      </c>
      <c r="AH214" s="147">
        <v>0</v>
      </c>
      <c r="AI214" s="147">
        <v>0</v>
      </c>
      <c r="AJ214" s="147">
        <v>0</v>
      </c>
      <c r="AK214" s="147">
        <v>0</v>
      </c>
      <c r="AL214" s="147">
        <v>0</v>
      </c>
      <c r="AM214" s="147">
        <v>0</v>
      </c>
      <c r="AN214" s="147">
        <v>0</v>
      </c>
      <c r="AO214" s="240">
        <v>0</v>
      </c>
      <c r="AP214" s="147">
        <f t="shared" si="16"/>
        <v>19466.267909305883</v>
      </c>
    </row>
    <row r="215" spans="2:42">
      <c r="B215" s="147" t="str">
        <v>Operação Geral</v>
      </c>
      <c r="C215" s="149" t="str">
        <v>6</v>
      </c>
      <c r="D215" s="149" t="str">
        <v>6.1.2</v>
      </c>
      <c r="E215" s="149">
        <v>0</v>
      </c>
      <c r="F215" s="149">
        <v>0</v>
      </c>
      <c r="G215" s="147" t="str">
        <v>Implantação Sistema da Qualidade</v>
      </c>
      <c r="H215" s="147" t="b">
        <v>0</v>
      </c>
      <c r="I215" s="147" t="b">
        <f t="shared" si="13"/>
        <v>0</v>
      </c>
      <c r="J215" s="147" t="b">
        <f t="shared" si="14"/>
        <v>0</v>
      </c>
      <c r="K215" s="147" t="b">
        <f t="shared" si="15"/>
        <v>1</v>
      </c>
      <c r="L215" s="147">
        <v>0</v>
      </c>
      <c r="M215" s="147">
        <v>0</v>
      </c>
      <c r="N215" s="147">
        <v>0</v>
      </c>
      <c r="O215" s="147">
        <v>0</v>
      </c>
      <c r="P215" s="147">
        <v>0</v>
      </c>
      <c r="Q215" s="147">
        <v>0</v>
      </c>
      <c r="R215" s="147">
        <v>0</v>
      </c>
      <c r="S215" s="147">
        <v>0</v>
      </c>
      <c r="T215" s="147">
        <v>0</v>
      </c>
      <c r="U215" s="147">
        <v>0</v>
      </c>
      <c r="V215" s="147">
        <v>0</v>
      </c>
      <c r="W215" s="147">
        <v>0</v>
      </c>
      <c r="X215" s="147">
        <v>0</v>
      </c>
      <c r="Y215" s="147">
        <v>0</v>
      </c>
      <c r="Z215" s="147">
        <v>0</v>
      </c>
      <c r="AA215" s="147">
        <v>0</v>
      </c>
      <c r="AB215" s="147">
        <v>0</v>
      </c>
      <c r="AC215" s="147">
        <v>0</v>
      </c>
      <c r="AD215" s="147">
        <v>0</v>
      </c>
      <c r="AE215" s="147">
        <v>0</v>
      </c>
      <c r="AF215" s="147">
        <v>0</v>
      </c>
      <c r="AG215" s="147">
        <v>0</v>
      </c>
      <c r="AH215" s="147">
        <v>0</v>
      </c>
      <c r="AI215" s="147">
        <v>0</v>
      </c>
      <c r="AJ215" s="147">
        <v>0</v>
      </c>
      <c r="AK215" s="147">
        <v>0</v>
      </c>
      <c r="AL215" s="147">
        <v>0</v>
      </c>
      <c r="AM215" s="147">
        <v>0</v>
      </c>
      <c r="AN215" s="147">
        <v>0</v>
      </c>
      <c r="AO215" s="240">
        <v>0</v>
      </c>
      <c r="AP215" s="147">
        <f t="shared" si="16"/>
        <v>0</v>
      </c>
    </row>
    <row r="216" spans="2:42">
      <c r="B216" s="147" t="str">
        <v>Operação Geral</v>
      </c>
      <c r="C216" s="149" t="str">
        <v>6</v>
      </c>
      <c r="D216" s="149" t="str">
        <v>6.1.2</v>
      </c>
      <c r="E216" s="149">
        <v>0</v>
      </c>
      <c r="F216" s="149">
        <v>0</v>
      </c>
      <c r="G216" s="147" t="str">
        <v>Software Gestão Ambiental</v>
      </c>
      <c r="H216" s="147" t="b">
        <v>0</v>
      </c>
      <c r="I216" s="147" t="b">
        <f t="shared" si="13"/>
        <v>1</v>
      </c>
      <c r="J216" s="147" t="b">
        <f t="shared" si="14"/>
        <v>1</v>
      </c>
      <c r="K216" s="147" t="b">
        <f t="shared" si="15"/>
        <v>0</v>
      </c>
      <c r="L216" s="147">
        <v>0</v>
      </c>
      <c r="M216" s="147">
        <v>0</v>
      </c>
      <c r="N216" s="147">
        <v>0</v>
      </c>
      <c r="O216" s="147">
        <v>0</v>
      </c>
      <c r="P216" s="147">
        <v>0</v>
      </c>
      <c r="Q216" s="147">
        <v>0</v>
      </c>
      <c r="R216" s="147">
        <v>0</v>
      </c>
      <c r="S216" s="147">
        <v>0</v>
      </c>
      <c r="T216" s="147">
        <v>0</v>
      </c>
      <c r="U216" s="147">
        <v>0</v>
      </c>
      <c r="V216" s="147">
        <v>0</v>
      </c>
      <c r="W216" s="147">
        <v>0</v>
      </c>
      <c r="X216" s="147">
        <v>0</v>
      </c>
      <c r="Y216" s="147">
        <v>0</v>
      </c>
      <c r="Z216" s="147">
        <v>0</v>
      </c>
      <c r="AA216" s="147">
        <v>0</v>
      </c>
      <c r="AB216" s="147">
        <v>0</v>
      </c>
      <c r="AC216" s="147">
        <v>0</v>
      </c>
      <c r="AD216" s="147">
        <v>0</v>
      </c>
      <c r="AE216" s="147">
        <v>0</v>
      </c>
      <c r="AF216" s="147">
        <v>0</v>
      </c>
      <c r="AG216" s="147">
        <v>0</v>
      </c>
      <c r="AH216" s="147">
        <v>0</v>
      </c>
      <c r="AI216" s="147">
        <v>0</v>
      </c>
      <c r="AJ216" s="147">
        <v>0</v>
      </c>
      <c r="AK216" s="147">
        <v>0</v>
      </c>
      <c r="AL216" s="147">
        <v>0</v>
      </c>
      <c r="AM216" s="147">
        <v>0</v>
      </c>
      <c r="AN216" s="147">
        <v>0</v>
      </c>
      <c r="AO216" s="240">
        <v>0</v>
      </c>
      <c r="AP216" s="147">
        <f t="shared" si="16"/>
        <v>0</v>
      </c>
    </row>
    <row r="217" spans="2:42">
      <c r="B217" s="147" t="str">
        <v>Operação Geral</v>
      </c>
      <c r="C217" s="149" t="str">
        <v>6</v>
      </c>
      <c r="D217" s="149" t="str">
        <v>6.1.2</v>
      </c>
      <c r="E217" s="149">
        <v>0</v>
      </c>
      <c r="F217" s="149">
        <v>0</v>
      </c>
      <c r="G217" s="147" t="str">
        <v>Centro de Controle Operacional</v>
      </c>
      <c r="H217" s="147" t="b">
        <v>0</v>
      </c>
      <c r="I217" s="147" t="b">
        <f t="shared" si="13"/>
        <v>0</v>
      </c>
      <c r="J217" s="147" t="b">
        <f t="shared" si="14"/>
        <v>0</v>
      </c>
      <c r="K217" s="147" t="b">
        <f t="shared" si="15"/>
        <v>1</v>
      </c>
      <c r="L217" s="147">
        <v>0</v>
      </c>
      <c r="M217" s="147">
        <v>0</v>
      </c>
      <c r="N217" s="147">
        <v>0</v>
      </c>
      <c r="O217" s="147">
        <v>0</v>
      </c>
      <c r="P217" s="147">
        <v>0</v>
      </c>
      <c r="Q217" s="147">
        <v>0</v>
      </c>
      <c r="R217" s="147">
        <v>0</v>
      </c>
      <c r="S217" s="147">
        <v>0</v>
      </c>
      <c r="T217" s="147">
        <v>0</v>
      </c>
      <c r="U217" s="147">
        <v>0</v>
      </c>
      <c r="V217" s="147">
        <v>0</v>
      </c>
      <c r="W217" s="147">
        <v>0</v>
      </c>
      <c r="X217" s="147">
        <v>0</v>
      </c>
      <c r="Y217" s="147">
        <v>0</v>
      </c>
      <c r="Z217" s="147">
        <v>0</v>
      </c>
      <c r="AA217" s="147">
        <v>0</v>
      </c>
      <c r="AB217" s="147">
        <v>0</v>
      </c>
      <c r="AC217" s="147">
        <v>0</v>
      </c>
      <c r="AD217" s="147">
        <v>0</v>
      </c>
      <c r="AE217" s="147">
        <v>0</v>
      </c>
      <c r="AF217" s="147">
        <v>0</v>
      </c>
      <c r="AG217" s="147">
        <v>0</v>
      </c>
      <c r="AH217" s="147">
        <v>0</v>
      </c>
      <c r="AI217" s="147">
        <v>0</v>
      </c>
      <c r="AJ217" s="147">
        <v>0</v>
      </c>
      <c r="AK217" s="147">
        <v>0</v>
      </c>
      <c r="AL217" s="147">
        <v>0</v>
      </c>
      <c r="AM217" s="147">
        <v>0</v>
      </c>
      <c r="AN217" s="147">
        <v>0</v>
      </c>
      <c r="AO217" s="240">
        <v>0</v>
      </c>
      <c r="AP217" s="147">
        <f t="shared" si="16"/>
        <v>0</v>
      </c>
    </row>
    <row r="218" spans="2:42">
      <c r="B218" s="147" t="str">
        <v>Operação Geral</v>
      </c>
      <c r="C218" s="149" t="str">
        <v>6</v>
      </c>
      <c r="D218" s="149" t="str">
        <v>6.1.2</v>
      </c>
      <c r="E218" s="149">
        <v>0</v>
      </c>
      <c r="F218" s="149">
        <v>0</v>
      </c>
      <c r="G218" s="147" t="str">
        <v>Tecnologia da Informação</v>
      </c>
      <c r="H218" s="147" t="b">
        <v>0</v>
      </c>
      <c r="I218" s="147" t="b">
        <f t="shared" si="13"/>
        <v>0</v>
      </c>
      <c r="J218" s="147" t="b">
        <f t="shared" si="14"/>
        <v>0</v>
      </c>
      <c r="K218" s="147" t="b">
        <f t="shared" si="15"/>
        <v>1</v>
      </c>
      <c r="L218" s="147">
        <v>0</v>
      </c>
      <c r="M218" s="147">
        <v>0</v>
      </c>
      <c r="N218" s="147">
        <v>0</v>
      </c>
      <c r="O218" s="147">
        <v>0</v>
      </c>
      <c r="P218" s="147">
        <v>0</v>
      </c>
      <c r="Q218" s="147">
        <v>0</v>
      </c>
      <c r="R218" s="147">
        <v>0</v>
      </c>
      <c r="S218" s="147">
        <v>0</v>
      </c>
      <c r="T218" s="147">
        <v>0</v>
      </c>
      <c r="U218" s="147">
        <v>0</v>
      </c>
      <c r="V218" s="147">
        <v>0</v>
      </c>
      <c r="W218" s="147">
        <v>0</v>
      </c>
      <c r="X218" s="147">
        <v>0</v>
      </c>
      <c r="Y218" s="147">
        <v>0</v>
      </c>
      <c r="Z218" s="147">
        <v>0</v>
      </c>
      <c r="AA218" s="147">
        <v>0</v>
      </c>
      <c r="AB218" s="147">
        <v>0</v>
      </c>
      <c r="AC218" s="147">
        <v>0</v>
      </c>
      <c r="AD218" s="147">
        <v>0</v>
      </c>
      <c r="AE218" s="147">
        <v>0</v>
      </c>
      <c r="AF218" s="147">
        <v>0</v>
      </c>
      <c r="AG218" s="147">
        <v>0</v>
      </c>
      <c r="AH218" s="147">
        <v>0</v>
      </c>
      <c r="AI218" s="147">
        <v>0</v>
      </c>
      <c r="AJ218" s="147">
        <v>0</v>
      </c>
      <c r="AK218" s="147">
        <v>0</v>
      </c>
      <c r="AL218" s="147">
        <v>0</v>
      </c>
      <c r="AM218" s="147">
        <v>0</v>
      </c>
      <c r="AN218" s="147">
        <v>0</v>
      </c>
      <c r="AO218" s="240">
        <v>0</v>
      </c>
      <c r="AP218" s="147">
        <f t="shared" si="16"/>
        <v>0</v>
      </c>
    </row>
    <row r="219" spans="2:42">
      <c r="B219" s="147" t="str">
        <v>Operação Geral</v>
      </c>
      <c r="C219" s="149" t="str">
        <v>6</v>
      </c>
      <c r="D219" s="149" t="str">
        <v>6.1.2</v>
      </c>
      <c r="E219" s="149">
        <v>1</v>
      </c>
      <c r="F219" s="149">
        <v>0</v>
      </c>
      <c r="G219" s="147" t="str">
        <v>Video Wall 49"</v>
      </c>
      <c r="H219" s="147" t="b">
        <v>0</v>
      </c>
      <c r="I219" s="147" t="b">
        <f t="shared" si="13"/>
        <v>0</v>
      </c>
      <c r="J219" s="147" t="b">
        <f t="shared" si="14"/>
        <v>0</v>
      </c>
      <c r="K219" s="147" t="b">
        <f t="shared" si="15"/>
        <v>1</v>
      </c>
      <c r="L219" s="147">
        <v>1721606.7217861963</v>
      </c>
      <c r="M219" s="147">
        <v>0</v>
      </c>
      <c r="N219" s="147">
        <v>0</v>
      </c>
      <c r="O219" s="147">
        <v>0</v>
      </c>
      <c r="P219" s="147">
        <v>0</v>
      </c>
      <c r="Q219" s="147">
        <v>0</v>
      </c>
      <c r="R219" s="147">
        <v>0</v>
      </c>
      <c r="S219" s="147">
        <v>0</v>
      </c>
      <c r="T219" s="147">
        <v>0</v>
      </c>
      <c r="U219" s="147">
        <v>0</v>
      </c>
      <c r="V219" s="147">
        <v>0</v>
      </c>
      <c r="W219" s="147">
        <v>0</v>
      </c>
      <c r="X219" s="147">
        <v>0</v>
      </c>
      <c r="Y219" s="147">
        <v>0</v>
      </c>
      <c r="Z219" s="147">
        <v>0</v>
      </c>
      <c r="AA219" s="147">
        <v>0</v>
      </c>
      <c r="AB219" s="147">
        <v>0</v>
      </c>
      <c r="AC219" s="147">
        <v>0</v>
      </c>
      <c r="AD219" s="147">
        <v>0</v>
      </c>
      <c r="AE219" s="147">
        <v>0</v>
      </c>
      <c r="AF219" s="147">
        <v>0</v>
      </c>
      <c r="AG219" s="147">
        <v>0</v>
      </c>
      <c r="AH219" s="147">
        <v>0</v>
      </c>
      <c r="AI219" s="147">
        <v>0</v>
      </c>
      <c r="AJ219" s="147">
        <v>0</v>
      </c>
      <c r="AK219" s="147">
        <v>0</v>
      </c>
      <c r="AL219" s="147">
        <v>0</v>
      </c>
      <c r="AM219" s="147">
        <v>0</v>
      </c>
      <c r="AN219" s="147">
        <v>0</v>
      </c>
      <c r="AO219" s="240">
        <v>0</v>
      </c>
      <c r="AP219" s="147">
        <f t="shared" si="16"/>
        <v>1721606.7217861963</v>
      </c>
    </row>
    <row r="220" spans="2:42">
      <c r="B220" s="147" t="str">
        <v>Operação Geral</v>
      </c>
      <c r="C220" s="149" t="str">
        <v>6</v>
      </c>
      <c r="D220" s="149" t="str">
        <v>6.1.2</v>
      </c>
      <c r="E220" s="149">
        <v>1</v>
      </c>
      <c r="F220" s="149">
        <v>0</v>
      </c>
      <c r="G220" s="147" t="str">
        <v>Servidor de Gerenciamento/Virtualização</v>
      </c>
      <c r="H220" s="147" t="b">
        <v>0</v>
      </c>
      <c r="I220" s="147" t="b">
        <f t="shared" si="13"/>
        <v>0</v>
      </c>
      <c r="J220" s="147" t="b">
        <f t="shared" si="14"/>
        <v>0</v>
      </c>
      <c r="K220" s="147" t="b">
        <f t="shared" si="15"/>
        <v>1</v>
      </c>
      <c r="L220" s="147">
        <v>80022.028857411788</v>
      </c>
      <c r="M220" s="147">
        <v>0</v>
      </c>
      <c r="N220" s="147">
        <v>0</v>
      </c>
      <c r="O220" s="147">
        <v>0</v>
      </c>
      <c r="P220" s="147">
        <v>0</v>
      </c>
      <c r="Q220" s="147">
        <v>0</v>
      </c>
      <c r="R220" s="147">
        <v>0</v>
      </c>
      <c r="S220" s="147">
        <v>0</v>
      </c>
      <c r="T220" s="147">
        <v>0</v>
      </c>
      <c r="U220" s="147">
        <v>0</v>
      </c>
      <c r="V220" s="147">
        <v>0</v>
      </c>
      <c r="W220" s="147">
        <v>0</v>
      </c>
      <c r="X220" s="147">
        <v>0</v>
      </c>
      <c r="Y220" s="147">
        <v>0</v>
      </c>
      <c r="Z220" s="147">
        <v>0</v>
      </c>
      <c r="AA220" s="147">
        <v>0</v>
      </c>
      <c r="AB220" s="147">
        <v>0</v>
      </c>
      <c r="AC220" s="147">
        <v>0</v>
      </c>
      <c r="AD220" s="147">
        <v>0</v>
      </c>
      <c r="AE220" s="147">
        <v>0</v>
      </c>
      <c r="AF220" s="147">
        <v>0</v>
      </c>
      <c r="AG220" s="147">
        <v>0</v>
      </c>
      <c r="AH220" s="147">
        <v>0</v>
      </c>
      <c r="AI220" s="147">
        <v>0</v>
      </c>
      <c r="AJ220" s="147">
        <v>0</v>
      </c>
      <c r="AK220" s="147">
        <v>0</v>
      </c>
      <c r="AL220" s="147">
        <v>0</v>
      </c>
      <c r="AM220" s="147">
        <v>0</v>
      </c>
      <c r="AN220" s="147">
        <v>0</v>
      </c>
      <c r="AO220" s="240">
        <v>0</v>
      </c>
      <c r="AP220" s="147">
        <f t="shared" si="16"/>
        <v>80022.028857411788</v>
      </c>
    </row>
    <row r="221" spans="2:42">
      <c r="B221" s="147" t="str">
        <v>Operação Geral</v>
      </c>
      <c r="C221" s="149" t="str">
        <v>6</v>
      </c>
      <c r="D221" s="149" t="str">
        <v>6.1.2</v>
      </c>
      <c r="E221" s="149">
        <v>1</v>
      </c>
      <c r="F221" s="149">
        <v>0</v>
      </c>
      <c r="G221" s="147" t="str">
        <v>Servidor de Backup</v>
      </c>
      <c r="H221" s="147" t="b">
        <v>0</v>
      </c>
      <c r="I221" s="147" t="b">
        <f t="shared" si="13"/>
        <v>0</v>
      </c>
      <c r="J221" s="147" t="b">
        <f t="shared" si="14"/>
        <v>0</v>
      </c>
      <c r="K221" s="147" t="b">
        <f t="shared" si="15"/>
        <v>1</v>
      </c>
      <c r="L221" s="147">
        <v>40011.014428705894</v>
      </c>
      <c r="M221" s="147">
        <v>0</v>
      </c>
      <c r="N221" s="147">
        <v>0</v>
      </c>
      <c r="O221" s="147">
        <v>0</v>
      </c>
      <c r="P221" s="147">
        <v>0</v>
      </c>
      <c r="Q221" s="147">
        <v>0</v>
      </c>
      <c r="R221" s="147">
        <v>0</v>
      </c>
      <c r="S221" s="147">
        <v>0</v>
      </c>
      <c r="T221" s="147">
        <v>0</v>
      </c>
      <c r="U221" s="147">
        <v>0</v>
      </c>
      <c r="V221" s="147">
        <v>0</v>
      </c>
      <c r="W221" s="147">
        <v>0</v>
      </c>
      <c r="X221" s="147">
        <v>0</v>
      </c>
      <c r="Y221" s="147">
        <v>0</v>
      </c>
      <c r="Z221" s="147">
        <v>0</v>
      </c>
      <c r="AA221" s="147">
        <v>0</v>
      </c>
      <c r="AB221" s="147">
        <v>0</v>
      </c>
      <c r="AC221" s="147">
        <v>0</v>
      </c>
      <c r="AD221" s="147">
        <v>0</v>
      </c>
      <c r="AE221" s="147">
        <v>0</v>
      </c>
      <c r="AF221" s="147">
        <v>0</v>
      </c>
      <c r="AG221" s="147">
        <v>0</v>
      </c>
      <c r="AH221" s="147">
        <v>0</v>
      </c>
      <c r="AI221" s="147">
        <v>0</v>
      </c>
      <c r="AJ221" s="147">
        <v>0</v>
      </c>
      <c r="AK221" s="147">
        <v>0</v>
      </c>
      <c r="AL221" s="147">
        <v>0</v>
      </c>
      <c r="AM221" s="147">
        <v>0</v>
      </c>
      <c r="AN221" s="147">
        <v>0</v>
      </c>
      <c r="AO221" s="240">
        <v>0</v>
      </c>
      <c r="AP221" s="147">
        <f t="shared" si="16"/>
        <v>40011.014428705894</v>
      </c>
    </row>
    <row r="222" spans="2:42">
      <c r="B222" s="147" t="str">
        <v>Operação Geral</v>
      </c>
      <c r="C222" s="149" t="str">
        <v>6</v>
      </c>
      <c r="D222" s="149" t="str">
        <v>6.1.2</v>
      </c>
      <c r="E222" s="149">
        <v>1</v>
      </c>
      <c r="F222" s="149">
        <v>0</v>
      </c>
      <c r="G222" s="147" t="str">
        <v>Unidade de Fita para Backup</v>
      </c>
      <c r="H222" s="147" t="b">
        <v>0</v>
      </c>
      <c r="I222" s="147" t="b">
        <f t="shared" si="13"/>
        <v>0</v>
      </c>
      <c r="J222" s="147" t="b">
        <f t="shared" si="14"/>
        <v>0</v>
      </c>
      <c r="K222" s="147" t="b">
        <f t="shared" si="15"/>
        <v>1</v>
      </c>
      <c r="L222" s="147">
        <v>38616.011823701672</v>
      </c>
      <c r="M222" s="147">
        <v>0</v>
      </c>
      <c r="N222" s="147">
        <v>0</v>
      </c>
      <c r="O222" s="147">
        <v>0</v>
      </c>
      <c r="P222" s="147">
        <v>0</v>
      </c>
      <c r="Q222" s="147">
        <v>0</v>
      </c>
      <c r="R222" s="147">
        <v>0</v>
      </c>
      <c r="S222" s="147">
        <v>0</v>
      </c>
      <c r="T222" s="147">
        <v>0</v>
      </c>
      <c r="U222" s="147">
        <v>0</v>
      </c>
      <c r="V222" s="147">
        <v>0</v>
      </c>
      <c r="W222" s="147">
        <v>0</v>
      </c>
      <c r="X222" s="147">
        <v>0</v>
      </c>
      <c r="Y222" s="147">
        <v>0</v>
      </c>
      <c r="Z222" s="147">
        <v>0</v>
      </c>
      <c r="AA222" s="147">
        <v>0</v>
      </c>
      <c r="AB222" s="147">
        <v>0</v>
      </c>
      <c r="AC222" s="147">
        <v>0</v>
      </c>
      <c r="AD222" s="147">
        <v>0</v>
      </c>
      <c r="AE222" s="147">
        <v>0</v>
      </c>
      <c r="AF222" s="147">
        <v>0</v>
      </c>
      <c r="AG222" s="147">
        <v>0</v>
      </c>
      <c r="AH222" s="147">
        <v>0</v>
      </c>
      <c r="AI222" s="147">
        <v>0</v>
      </c>
      <c r="AJ222" s="147">
        <v>0</v>
      </c>
      <c r="AK222" s="147">
        <v>0</v>
      </c>
      <c r="AL222" s="147">
        <v>0</v>
      </c>
      <c r="AM222" s="147">
        <v>0</v>
      </c>
      <c r="AN222" s="147">
        <v>0</v>
      </c>
      <c r="AO222" s="240">
        <v>0</v>
      </c>
      <c r="AP222" s="147">
        <f t="shared" si="16"/>
        <v>38616.011823701672</v>
      </c>
    </row>
    <row r="223" spans="2:42">
      <c r="B223" s="147" t="str">
        <v>Operação Geral</v>
      </c>
      <c r="C223" s="149" t="str">
        <v>6</v>
      </c>
      <c r="D223" s="149" t="str">
        <v>6.1.2</v>
      </c>
      <c r="E223" s="149">
        <v>1</v>
      </c>
      <c r="F223" s="149">
        <v>0</v>
      </c>
      <c r="G223" s="147" t="str">
        <v>Servidores</v>
      </c>
      <c r="H223" s="147" t="b">
        <v>0</v>
      </c>
      <c r="I223" s="147" t="b">
        <f t="shared" si="13"/>
        <v>0</v>
      </c>
      <c r="J223" s="147" t="b">
        <f t="shared" si="14"/>
        <v>0</v>
      </c>
      <c r="K223" s="147" t="b">
        <f t="shared" si="15"/>
        <v>1</v>
      </c>
      <c r="L223" s="147">
        <v>105019.40371054376</v>
      </c>
      <c r="M223" s="147">
        <v>0</v>
      </c>
      <c r="N223" s="147">
        <v>0</v>
      </c>
      <c r="O223" s="147">
        <v>0</v>
      </c>
      <c r="P223" s="147">
        <v>0</v>
      </c>
      <c r="Q223" s="147">
        <v>0</v>
      </c>
      <c r="R223" s="147">
        <v>0</v>
      </c>
      <c r="S223" s="147">
        <v>0</v>
      </c>
      <c r="T223" s="147">
        <v>0</v>
      </c>
      <c r="U223" s="147">
        <v>0</v>
      </c>
      <c r="V223" s="147">
        <v>0</v>
      </c>
      <c r="W223" s="147">
        <v>0</v>
      </c>
      <c r="X223" s="147">
        <v>0</v>
      </c>
      <c r="Y223" s="147">
        <v>0</v>
      </c>
      <c r="Z223" s="147">
        <v>0</v>
      </c>
      <c r="AA223" s="147">
        <v>0</v>
      </c>
      <c r="AB223" s="147">
        <v>0</v>
      </c>
      <c r="AC223" s="147">
        <v>0</v>
      </c>
      <c r="AD223" s="147">
        <v>0</v>
      </c>
      <c r="AE223" s="147">
        <v>0</v>
      </c>
      <c r="AF223" s="147">
        <v>0</v>
      </c>
      <c r="AG223" s="147">
        <v>0</v>
      </c>
      <c r="AH223" s="147">
        <v>0</v>
      </c>
      <c r="AI223" s="147">
        <v>0</v>
      </c>
      <c r="AJ223" s="147">
        <v>0</v>
      </c>
      <c r="AK223" s="147">
        <v>0</v>
      </c>
      <c r="AL223" s="147">
        <v>0</v>
      </c>
      <c r="AM223" s="147">
        <v>0</v>
      </c>
      <c r="AN223" s="147">
        <v>0</v>
      </c>
      <c r="AO223" s="240">
        <v>0</v>
      </c>
      <c r="AP223" s="147">
        <f t="shared" si="16"/>
        <v>105019.40371054376</v>
      </c>
    </row>
    <row r="224" spans="2:42">
      <c r="B224" s="147" t="str">
        <v>Operação Geral</v>
      </c>
      <c r="C224" s="149" t="str">
        <v>6</v>
      </c>
      <c r="D224" s="149" t="str">
        <v>6.1.2</v>
      </c>
      <c r="E224" s="149">
        <v>0</v>
      </c>
      <c r="F224" s="149">
        <v>0</v>
      </c>
      <c r="G224" s="147" t="str">
        <v>Computador e Periféricos</v>
      </c>
      <c r="H224" s="147" t="b">
        <v>0</v>
      </c>
      <c r="I224" s="147" t="b">
        <f t="shared" si="13"/>
        <v>0</v>
      </c>
      <c r="J224" s="147" t="b">
        <f t="shared" si="14"/>
        <v>0</v>
      </c>
      <c r="K224" s="147" t="b">
        <f t="shared" si="15"/>
        <v>1</v>
      </c>
      <c r="L224" s="147">
        <v>0</v>
      </c>
      <c r="M224" s="147">
        <v>0</v>
      </c>
      <c r="N224" s="147">
        <v>0</v>
      </c>
      <c r="O224" s="147">
        <v>0</v>
      </c>
      <c r="P224" s="147">
        <v>0</v>
      </c>
      <c r="Q224" s="147">
        <v>0</v>
      </c>
      <c r="R224" s="147">
        <v>0</v>
      </c>
      <c r="S224" s="147">
        <v>0</v>
      </c>
      <c r="T224" s="147">
        <v>0</v>
      </c>
      <c r="U224" s="147">
        <v>0</v>
      </c>
      <c r="V224" s="147">
        <v>0</v>
      </c>
      <c r="W224" s="147">
        <v>0</v>
      </c>
      <c r="X224" s="147">
        <v>0</v>
      </c>
      <c r="Y224" s="147">
        <v>0</v>
      </c>
      <c r="Z224" s="147">
        <v>0</v>
      </c>
      <c r="AA224" s="147">
        <v>0</v>
      </c>
      <c r="AB224" s="147">
        <v>0</v>
      </c>
      <c r="AC224" s="147">
        <v>0</v>
      </c>
      <c r="AD224" s="147">
        <v>0</v>
      </c>
      <c r="AE224" s="147">
        <v>0</v>
      </c>
      <c r="AF224" s="147">
        <v>0</v>
      </c>
      <c r="AG224" s="147">
        <v>0</v>
      </c>
      <c r="AH224" s="147">
        <v>0</v>
      </c>
      <c r="AI224" s="147">
        <v>0</v>
      </c>
      <c r="AJ224" s="147">
        <v>0</v>
      </c>
      <c r="AK224" s="147">
        <v>0</v>
      </c>
      <c r="AL224" s="147">
        <v>0</v>
      </c>
      <c r="AM224" s="147">
        <v>0</v>
      </c>
      <c r="AN224" s="147">
        <v>0</v>
      </c>
      <c r="AO224" s="240">
        <v>0</v>
      </c>
      <c r="AP224" s="147">
        <f t="shared" si="16"/>
        <v>0</v>
      </c>
    </row>
    <row r="225" spans="2:42">
      <c r="B225" s="147" t="str">
        <v>Operação Geral</v>
      </c>
      <c r="C225" s="149" t="str">
        <v>6</v>
      </c>
      <c r="D225" s="149" t="str">
        <v>6.1.2</v>
      </c>
      <c r="E225" s="149">
        <v>0</v>
      </c>
      <c r="F225" s="149">
        <v>0</v>
      </c>
      <c r="G225" s="147" t="str">
        <v>Impressora Multifuncional - A4</v>
      </c>
      <c r="H225" s="147" t="b">
        <v>0</v>
      </c>
      <c r="I225" s="147" t="b">
        <f t="shared" si="13"/>
        <v>0</v>
      </c>
      <c r="J225" s="147" t="b">
        <f t="shared" si="14"/>
        <v>0</v>
      </c>
      <c r="K225" s="147" t="b">
        <f t="shared" si="15"/>
        <v>1</v>
      </c>
      <c r="L225" s="147">
        <v>0</v>
      </c>
      <c r="M225" s="147">
        <v>0</v>
      </c>
      <c r="N225" s="147">
        <v>0</v>
      </c>
      <c r="O225" s="147">
        <v>0</v>
      </c>
      <c r="P225" s="147">
        <v>0</v>
      </c>
      <c r="Q225" s="147">
        <v>0</v>
      </c>
      <c r="R225" s="147">
        <v>0</v>
      </c>
      <c r="S225" s="147">
        <v>0</v>
      </c>
      <c r="T225" s="147">
        <v>0</v>
      </c>
      <c r="U225" s="147">
        <v>0</v>
      </c>
      <c r="V225" s="147">
        <v>0</v>
      </c>
      <c r="W225" s="147">
        <v>0</v>
      </c>
      <c r="X225" s="147">
        <v>0</v>
      </c>
      <c r="Y225" s="147">
        <v>0</v>
      </c>
      <c r="Z225" s="147">
        <v>0</v>
      </c>
      <c r="AA225" s="147">
        <v>0</v>
      </c>
      <c r="AB225" s="147">
        <v>0</v>
      </c>
      <c r="AC225" s="147">
        <v>0</v>
      </c>
      <c r="AD225" s="147">
        <v>0</v>
      </c>
      <c r="AE225" s="147">
        <v>0</v>
      </c>
      <c r="AF225" s="147">
        <v>0</v>
      </c>
      <c r="AG225" s="147">
        <v>0</v>
      </c>
      <c r="AH225" s="147">
        <v>0</v>
      </c>
      <c r="AI225" s="147">
        <v>0</v>
      </c>
      <c r="AJ225" s="147">
        <v>0</v>
      </c>
      <c r="AK225" s="147">
        <v>0</v>
      </c>
      <c r="AL225" s="147">
        <v>0</v>
      </c>
      <c r="AM225" s="147">
        <v>0</v>
      </c>
      <c r="AN225" s="147">
        <v>0</v>
      </c>
      <c r="AO225" s="240">
        <v>0</v>
      </c>
      <c r="AP225" s="147">
        <f t="shared" si="16"/>
        <v>0</v>
      </c>
    </row>
    <row r="226" spans="2:42">
      <c r="B226" s="147" t="str">
        <v>Operação Geral</v>
      </c>
      <c r="C226" s="149" t="str">
        <v>6</v>
      </c>
      <c r="D226" s="149" t="str">
        <v>6.1.2</v>
      </c>
      <c r="E226" s="149">
        <v>0</v>
      </c>
      <c r="F226" s="149">
        <v>0</v>
      </c>
      <c r="G226" s="147" t="str">
        <v>Programas e Sistemas Operacionais</v>
      </c>
      <c r="H226" s="147" t="b">
        <v>0</v>
      </c>
      <c r="I226" s="147" t="b">
        <f t="shared" si="13"/>
        <v>0</v>
      </c>
      <c r="J226" s="147" t="b">
        <f t="shared" si="14"/>
        <v>0</v>
      </c>
      <c r="K226" s="147" t="b">
        <f t="shared" si="15"/>
        <v>1</v>
      </c>
      <c r="L226" s="147">
        <v>0</v>
      </c>
      <c r="M226" s="147">
        <v>0</v>
      </c>
      <c r="N226" s="147">
        <v>0</v>
      </c>
      <c r="O226" s="147">
        <v>0</v>
      </c>
      <c r="P226" s="147">
        <v>0</v>
      </c>
      <c r="Q226" s="147">
        <v>0</v>
      </c>
      <c r="R226" s="147">
        <v>0</v>
      </c>
      <c r="S226" s="147">
        <v>0</v>
      </c>
      <c r="T226" s="147">
        <v>0</v>
      </c>
      <c r="U226" s="147">
        <v>0</v>
      </c>
      <c r="V226" s="147">
        <v>0</v>
      </c>
      <c r="W226" s="147">
        <v>0</v>
      </c>
      <c r="X226" s="147">
        <v>0</v>
      </c>
      <c r="Y226" s="147">
        <v>0</v>
      </c>
      <c r="Z226" s="147">
        <v>0</v>
      </c>
      <c r="AA226" s="147">
        <v>0</v>
      </c>
      <c r="AB226" s="147">
        <v>0</v>
      </c>
      <c r="AC226" s="147">
        <v>0</v>
      </c>
      <c r="AD226" s="147">
        <v>0</v>
      </c>
      <c r="AE226" s="147">
        <v>0</v>
      </c>
      <c r="AF226" s="147">
        <v>0</v>
      </c>
      <c r="AG226" s="147">
        <v>0</v>
      </c>
      <c r="AH226" s="147">
        <v>0</v>
      </c>
      <c r="AI226" s="147">
        <v>0</v>
      </c>
      <c r="AJ226" s="147">
        <v>0</v>
      </c>
      <c r="AK226" s="147">
        <v>0</v>
      </c>
      <c r="AL226" s="147">
        <v>0</v>
      </c>
      <c r="AM226" s="147">
        <v>0</v>
      </c>
      <c r="AN226" s="147">
        <v>0</v>
      </c>
      <c r="AO226" s="240">
        <v>0</v>
      </c>
      <c r="AP226" s="147">
        <f t="shared" si="16"/>
        <v>0</v>
      </c>
    </row>
    <row r="227" spans="2:42">
      <c r="B227" s="147" t="str">
        <v>Operação Geral</v>
      </c>
      <c r="C227" s="149" t="str">
        <v>6</v>
      </c>
      <c r="D227" s="149" t="str">
        <v>6.1.2</v>
      </c>
      <c r="E227" s="149">
        <v>0</v>
      </c>
      <c r="F227" s="149">
        <v>0</v>
      </c>
      <c r="G227" s="147" t="str">
        <v>Sistema de Gestão da Operação - KCOR</v>
      </c>
      <c r="H227" s="147" t="b">
        <v>0</v>
      </c>
      <c r="I227" s="147" t="b">
        <f t="shared" si="13"/>
        <v>0</v>
      </c>
      <c r="J227" s="147" t="b">
        <f t="shared" si="14"/>
        <v>0</v>
      </c>
      <c r="K227" s="147" t="b">
        <f t="shared" si="15"/>
        <v>1</v>
      </c>
      <c r="L227" s="147">
        <v>0</v>
      </c>
      <c r="M227" s="147">
        <v>0</v>
      </c>
      <c r="N227" s="147">
        <v>0</v>
      </c>
      <c r="O227" s="147">
        <v>0</v>
      </c>
      <c r="P227" s="147">
        <v>0</v>
      </c>
      <c r="Q227" s="147">
        <v>0</v>
      </c>
      <c r="R227" s="147">
        <v>0</v>
      </c>
      <c r="S227" s="147">
        <v>0</v>
      </c>
      <c r="T227" s="147">
        <v>0</v>
      </c>
      <c r="U227" s="147">
        <v>0</v>
      </c>
      <c r="V227" s="147">
        <v>0</v>
      </c>
      <c r="W227" s="147">
        <v>0</v>
      </c>
      <c r="X227" s="147">
        <v>0</v>
      </c>
      <c r="Y227" s="147">
        <v>0</v>
      </c>
      <c r="Z227" s="147">
        <v>0</v>
      </c>
      <c r="AA227" s="147">
        <v>0</v>
      </c>
      <c r="AB227" s="147">
        <v>0</v>
      </c>
      <c r="AC227" s="147">
        <v>0</v>
      </c>
      <c r="AD227" s="147">
        <v>0</v>
      </c>
      <c r="AE227" s="147">
        <v>0</v>
      </c>
      <c r="AF227" s="147">
        <v>0</v>
      </c>
      <c r="AG227" s="147">
        <v>0</v>
      </c>
      <c r="AH227" s="147">
        <v>0</v>
      </c>
      <c r="AI227" s="147">
        <v>0</v>
      </c>
      <c r="AJ227" s="147">
        <v>0</v>
      </c>
      <c r="AK227" s="147">
        <v>0</v>
      </c>
      <c r="AL227" s="147">
        <v>0</v>
      </c>
      <c r="AM227" s="147">
        <v>0</v>
      </c>
      <c r="AN227" s="147">
        <v>0</v>
      </c>
      <c r="AO227" s="240">
        <v>0</v>
      </c>
      <c r="AP227" s="147">
        <f t="shared" si="16"/>
        <v>0</v>
      </c>
    </row>
    <row r="228" spans="2:42">
      <c r="B228" s="147" t="str">
        <v>Operação Geral</v>
      </c>
      <c r="C228" s="149" t="str">
        <v>6</v>
      </c>
      <c r="D228" s="149" t="str">
        <v>6.1.2</v>
      </c>
      <c r="E228" s="149">
        <v>0</v>
      </c>
      <c r="F228" s="149">
        <v>0</v>
      </c>
      <c r="G228" s="147" t="str">
        <v>SIG - Sistema de Informações Georreferenciadas</v>
      </c>
      <c r="H228" s="147" t="b">
        <v>0</v>
      </c>
      <c r="I228" s="147" t="b">
        <f t="shared" si="13"/>
        <v>1</v>
      </c>
      <c r="J228" s="147" t="b">
        <f t="shared" si="14"/>
        <v>1</v>
      </c>
      <c r="K228" s="147" t="b">
        <f t="shared" si="15"/>
        <v>0</v>
      </c>
      <c r="L228" s="147">
        <v>184275.62411130866</v>
      </c>
      <c r="M228" s="147">
        <v>0</v>
      </c>
      <c r="N228" s="147">
        <v>0</v>
      </c>
      <c r="O228" s="147">
        <v>0</v>
      </c>
      <c r="P228" s="147">
        <v>0</v>
      </c>
      <c r="Q228" s="147">
        <v>0</v>
      </c>
      <c r="R228" s="147">
        <v>0</v>
      </c>
      <c r="S228" s="147">
        <v>0</v>
      </c>
      <c r="T228" s="147">
        <v>0</v>
      </c>
      <c r="U228" s="147">
        <v>0</v>
      </c>
      <c r="V228" s="147">
        <v>0</v>
      </c>
      <c r="W228" s="147">
        <v>0</v>
      </c>
      <c r="X228" s="147">
        <v>0</v>
      </c>
      <c r="Y228" s="147">
        <v>0</v>
      </c>
      <c r="Z228" s="147">
        <v>0</v>
      </c>
      <c r="AA228" s="147">
        <v>0</v>
      </c>
      <c r="AB228" s="147">
        <v>0</v>
      </c>
      <c r="AC228" s="147">
        <v>0</v>
      </c>
      <c r="AD228" s="147">
        <v>0</v>
      </c>
      <c r="AE228" s="147">
        <v>0</v>
      </c>
      <c r="AF228" s="147">
        <v>0</v>
      </c>
      <c r="AG228" s="147">
        <v>0</v>
      </c>
      <c r="AH228" s="147">
        <v>0</v>
      </c>
      <c r="AI228" s="147">
        <v>0</v>
      </c>
      <c r="AJ228" s="147">
        <v>0</v>
      </c>
      <c r="AK228" s="147">
        <v>0</v>
      </c>
      <c r="AL228" s="147">
        <v>0</v>
      </c>
      <c r="AM228" s="147">
        <v>0</v>
      </c>
      <c r="AN228" s="147">
        <v>0</v>
      </c>
      <c r="AO228" s="240">
        <v>0</v>
      </c>
      <c r="AP228" s="147">
        <f t="shared" si="16"/>
        <v>184275.62411130866</v>
      </c>
    </row>
    <row r="229" spans="2:42">
      <c r="B229" s="147" t="str">
        <v>Operação Geral</v>
      </c>
      <c r="C229" s="149" t="str">
        <v>6</v>
      </c>
      <c r="D229" s="149" t="str">
        <v>6.1.2</v>
      </c>
      <c r="E229" s="149">
        <v>0</v>
      </c>
      <c r="F229" s="149">
        <v>0</v>
      </c>
      <c r="G229" s="147" t="str">
        <v>AutoCAD Civil 3D Autodesk</v>
      </c>
      <c r="H229" s="147" t="b">
        <v>0</v>
      </c>
      <c r="I229" s="147" t="b">
        <f t="shared" si="13"/>
        <v>1</v>
      </c>
      <c r="J229" s="147" t="b">
        <f t="shared" si="14"/>
        <v>1</v>
      </c>
      <c r="K229" s="147" t="b">
        <f t="shared" si="15"/>
        <v>0</v>
      </c>
      <c r="L229" s="147">
        <v>89563.520000000004</v>
      </c>
      <c r="M229" s="147">
        <v>0</v>
      </c>
      <c r="N229" s="147">
        <v>0</v>
      </c>
      <c r="O229" s="147">
        <v>0</v>
      </c>
      <c r="P229" s="147">
        <v>0</v>
      </c>
      <c r="Q229" s="147">
        <v>0</v>
      </c>
      <c r="R229" s="147">
        <v>44781.760000000002</v>
      </c>
      <c r="S229" s="147">
        <v>0</v>
      </c>
      <c r="T229" s="147">
        <v>0</v>
      </c>
      <c r="U229" s="147">
        <v>0</v>
      </c>
      <c r="V229" s="147">
        <v>0</v>
      </c>
      <c r="W229" s="147">
        <v>0</v>
      </c>
      <c r="X229" s="147">
        <v>0</v>
      </c>
      <c r="Y229" s="147">
        <v>0</v>
      </c>
      <c r="Z229" s="147">
        <v>0</v>
      </c>
      <c r="AA229" s="147">
        <v>0</v>
      </c>
      <c r="AB229" s="147">
        <v>0</v>
      </c>
      <c r="AC229" s="147">
        <v>0</v>
      </c>
      <c r="AD229" s="147">
        <v>0</v>
      </c>
      <c r="AE229" s="147">
        <v>0</v>
      </c>
      <c r="AF229" s="147">
        <v>0</v>
      </c>
      <c r="AG229" s="147">
        <v>0</v>
      </c>
      <c r="AH229" s="147">
        <v>0</v>
      </c>
      <c r="AI229" s="147">
        <v>0</v>
      </c>
      <c r="AJ229" s="147">
        <v>0</v>
      </c>
      <c r="AK229" s="147">
        <v>0</v>
      </c>
      <c r="AL229" s="147">
        <v>0</v>
      </c>
      <c r="AM229" s="147">
        <v>0</v>
      </c>
      <c r="AN229" s="147">
        <v>0</v>
      </c>
      <c r="AO229" s="240">
        <v>0</v>
      </c>
      <c r="AP229" s="147">
        <f t="shared" si="16"/>
        <v>134345.28</v>
      </c>
    </row>
    <row r="230" spans="2:42">
      <c r="B230" s="147" t="str">
        <v>Operação Geral</v>
      </c>
      <c r="C230" s="149" t="str">
        <v>6</v>
      </c>
      <c r="D230" s="149" t="str">
        <v>6.1.2</v>
      </c>
      <c r="E230" s="149">
        <v>0</v>
      </c>
      <c r="F230" s="149">
        <v>0</v>
      </c>
      <c r="G230" s="147" t="str">
        <v>ARCGIS - Sistema de Informações Geográficas</v>
      </c>
      <c r="H230" s="147" t="b">
        <v>0</v>
      </c>
      <c r="I230" s="147" t="b">
        <f t="shared" si="13"/>
        <v>1</v>
      </c>
      <c r="J230" s="147" t="b">
        <f t="shared" si="14"/>
        <v>1</v>
      </c>
      <c r="K230" s="147" t="b">
        <f t="shared" si="15"/>
        <v>0</v>
      </c>
      <c r="L230" s="147">
        <v>23927.936514118792</v>
      </c>
      <c r="M230" s="147">
        <v>0</v>
      </c>
      <c r="N230" s="147">
        <v>0</v>
      </c>
      <c r="O230" s="147">
        <v>0</v>
      </c>
      <c r="P230" s="147">
        <v>0</v>
      </c>
      <c r="Q230" s="147">
        <v>0</v>
      </c>
      <c r="R230" s="147">
        <v>0</v>
      </c>
      <c r="S230" s="147">
        <v>0</v>
      </c>
      <c r="T230" s="147">
        <v>0</v>
      </c>
      <c r="U230" s="147">
        <v>0</v>
      </c>
      <c r="V230" s="147">
        <v>0</v>
      </c>
      <c r="W230" s="147">
        <v>0</v>
      </c>
      <c r="X230" s="147">
        <v>0</v>
      </c>
      <c r="Y230" s="147">
        <v>0</v>
      </c>
      <c r="Z230" s="147">
        <v>0</v>
      </c>
      <c r="AA230" s="147">
        <v>0</v>
      </c>
      <c r="AB230" s="147">
        <v>0</v>
      </c>
      <c r="AC230" s="147">
        <v>0</v>
      </c>
      <c r="AD230" s="147">
        <v>0</v>
      </c>
      <c r="AE230" s="147">
        <v>0</v>
      </c>
      <c r="AF230" s="147">
        <v>0</v>
      </c>
      <c r="AG230" s="147">
        <v>0</v>
      </c>
      <c r="AH230" s="147">
        <v>0</v>
      </c>
      <c r="AI230" s="147">
        <v>0</v>
      </c>
      <c r="AJ230" s="147">
        <v>0</v>
      </c>
      <c r="AK230" s="147">
        <v>0</v>
      </c>
      <c r="AL230" s="147">
        <v>0</v>
      </c>
      <c r="AM230" s="147">
        <v>0</v>
      </c>
      <c r="AN230" s="147">
        <v>0</v>
      </c>
      <c r="AO230" s="240">
        <v>0</v>
      </c>
      <c r="AP230" s="147">
        <f t="shared" si="16"/>
        <v>23927.936514118792</v>
      </c>
    </row>
    <row r="231" spans="2:42">
      <c r="B231" s="147" t="str">
        <v>Operação Geral</v>
      </c>
      <c r="C231" s="149" t="str">
        <v>6</v>
      </c>
      <c r="D231" s="149" t="str">
        <v>6.1.2</v>
      </c>
      <c r="E231" s="149">
        <v>0</v>
      </c>
      <c r="F231" s="149">
        <v>0</v>
      </c>
      <c r="G231" s="147" t="str">
        <v>Sistema de Comunicação com os Usuários</v>
      </c>
      <c r="H231" s="147" t="b">
        <v>0</v>
      </c>
      <c r="I231" s="147" t="b">
        <f t="shared" si="13"/>
        <v>1</v>
      </c>
      <c r="J231" s="147" t="b">
        <f t="shared" si="14"/>
        <v>1</v>
      </c>
      <c r="K231" s="147" t="b">
        <f t="shared" si="15"/>
        <v>0</v>
      </c>
      <c r="L231" s="147">
        <v>0</v>
      </c>
      <c r="M231" s="147">
        <v>0</v>
      </c>
      <c r="N231" s="147">
        <v>0</v>
      </c>
      <c r="O231" s="147">
        <v>0</v>
      </c>
      <c r="P231" s="147">
        <v>0</v>
      </c>
      <c r="Q231" s="147">
        <v>0</v>
      </c>
      <c r="R231" s="147">
        <v>0</v>
      </c>
      <c r="S231" s="147">
        <v>0</v>
      </c>
      <c r="T231" s="147">
        <v>0</v>
      </c>
      <c r="U231" s="147">
        <v>0</v>
      </c>
      <c r="V231" s="147">
        <v>0</v>
      </c>
      <c r="W231" s="147">
        <v>0</v>
      </c>
      <c r="X231" s="147">
        <v>0</v>
      </c>
      <c r="Y231" s="147">
        <v>0</v>
      </c>
      <c r="Z231" s="147">
        <v>0</v>
      </c>
      <c r="AA231" s="147">
        <v>0</v>
      </c>
      <c r="AB231" s="147">
        <v>0</v>
      </c>
      <c r="AC231" s="147">
        <v>0</v>
      </c>
      <c r="AD231" s="147">
        <v>0</v>
      </c>
      <c r="AE231" s="147">
        <v>0</v>
      </c>
      <c r="AF231" s="147">
        <v>0</v>
      </c>
      <c r="AG231" s="147">
        <v>0</v>
      </c>
      <c r="AH231" s="147">
        <v>0</v>
      </c>
      <c r="AI231" s="147">
        <v>0</v>
      </c>
      <c r="AJ231" s="147">
        <v>0</v>
      </c>
      <c r="AK231" s="147">
        <v>0</v>
      </c>
      <c r="AL231" s="147">
        <v>0</v>
      </c>
      <c r="AM231" s="147">
        <v>0</v>
      </c>
      <c r="AN231" s="147">
        <v>0</v>
      </c>
      <c r="AO231" s="240">
        <v>0</v>
      </c>
      <c r="AP231" s="147">
        <f t="shared" si="16"/>
        <v>0</v>
      </c>
    </row>
    <row r="232" spans="2:42">
      <c r="B232" s="147" t="str">
        <v>Operação Geral</v>
      </c>
      <c r="C232" s="149" t="str">
        <v>6</v>
      </c>
      <c r="D232" s="149" t="str">
        <v>6.1.2</v>
      </c>
      <c r="E232" s="149">
        <v>0</v>
      </c>
      <c r="F232" s="149">
        <v>0</v>
      </c>
      <c r="G232" s="147" t="str">
        <v>Sistema 0800 - CCO</v>
      </c>
      <c r="H232" s="147" t="b">
        <v>0</v>
      </c>
      <c r="I232" s="147" t="b">
        <f t="shared" si="13"/>
        <v>1</v>
      </c>
      <c r="J232" s="147" t="b">
        <f t="shared" si="14"/>
        <v>1</v>
      </c>
      <c r="K232" s="147" t="b">
        <f t="shared" si="15"/>
        <v>0</v>
      </c>
      <c r="L232" s="147">
        <v>1980650.9724218692</v>
      </c>
      <c r="M232" s="147">
        <v>0</v>
      </c>
      <c r="N232" s="147">
        <v>0</v>
      </c>
      <c r="O232" s="147">
        <v>0</v>
      </c>
      <c r="P232" s="147">
        <v>0</v>
      </c>
      <c r="Q232" s="147">
        <v>0</v>
      </c>
      <c r="R232" s="147">
        <v>0</v>
      </c>
      <c r="S232" s="147">
        <v>0</v>
      </c>
      <c r="T232" s="147">
        <v>0</v>
      </c>
      <c r="U232" s="147">
        <v>0</v>
      </c>
      <c r="V232" s="147">
        <v>0</v>
      </c>
      <c r="W232" s="147">
        <v>0</v>
      </c>
      <c r="X232" s="147">
        <v>0</v>
      </c>
      <c r="Y232" s="147">
        <v>0</v>
      </c>
      <c r="Z232" s="147">
        <v>0</v>
      </c>
      <c r="AA232" s="147">
        <v>0</v>
      </c>
      <c r="AB232" s="147">
        <v>0</v>
      </c>
      <c r="AC232" s="147">
        <v>0</v>
      </c>
      <c r="AD232" s="147">
        <v>0</v>
      </c>
      <c r="AE232" s="147">
        <v>0</v>
      </c>
      <c r="AF232" s="147">
        <v>0</v>
      </c>
      <c r="AG232" s="147">
        <v>0</v>
      </c>
      <c r="AH232" s="147">
        <v>0</v>
      </c>
      <c r="AI232" s="147">
        <v>0</v>
      </c>
      <c r="AJ232" s="147">
        <v>0</v>
      </c>
      <c r="AK232" s="147">
        <v>0</v>
      </c>
      <c r="AL232" s="147">
        <v>0</v>
      </c>
      <c r="AM232" s="147">
        <v>0</v>
      </c>
      <c r="AN232" s="147">
        <v>0</v>
      </c>
      <c r="AO232" s="240">
        <v>0</v>
      </c>
      <c r="AP232" s="147">
        <f t="shared" si="16"/>
        <v>1980650.9724218692</v>
      </c>
    </row>
    <row r="233" spans="2:42">
      <c r="B233" s="147" t="str">
        <v>Operação Geral</v>
      </c>
      <c r="C233" s="149" t="str">
        <v>6</v>
      </c>
      <c r="D233" s="149" t="str">
        <v>6.1.2</v>
      </c>
      <c r="E233" s="149">
        <v>0</v>
      </c>
      <c r="F233" s="149">
        <v>0</v>
      </c>
      <c r="G233" s="147" t="str">
        <v>Equipamentos de Pista</v>
      </c>
      <c r="H233" s="147" t="b">
        <v>0</v>
      </c>
      <c r="I233" s="147" t="b">
        <f t="shared" si="13"/>
        <v>0</v>
      </c>
      <c r="J233" s="147" t="b">
        <f t="shared" si="14"/>
        <v>0</v>
      </c>
      <c r="K233" s="147" t="b">
        <f t="shared" si="15"/>
        <v>1</v>
      </c>
      <c r="L233" s="147">
        <v>0</v>
      </c>
      <c r="M233" s="147">
        <v>0</v>
      </c>
      <c r="N233" s="147">
        <v>0</v>
      </c>
      <c r="O233" s="147">
        <v>0</v>
      </c>
      <c r="P233" s="147">
        <v>0</v>
      </c>
      <c r="Q233" s="147">
        <v>0</v>
      </c>
      <c r="R233" s="147">
        <v>0</v>
      </c>
      <c r="S233" s="147">
        <v>0</v>
      </c>
      <c r="T233" s="147">
        <v>0</v>
      </c>
      <c r="U233" s="147">
        <v>0</v>
      </c>
      <c r="V233" s="147">
        <v>0</v>
      </c>
      <c r="W233" s="147">
        <v>0</v>
      </c>
      <c r="X233" s="147">
        <v>0</v>
      </c>
      <c r="Y233" s="147">
        <v>0</v>
      </c>
      <c r="Z233" s="147">
        <v>0</v>
      </c>
      <c r="AA233" s="147">
        <v>0</v>
      </c>
      <c r="AB233" s="147">
        <v>0</v>
      </c>
      <c r="AC233" s="147">
        <v>0</v>
      </c>
      <c r="AD233" s="147">
        <v>0</v>
      </c>
      <c r="AE233" s="147">
        <v>0</v>
      </c>
      <c r="AF233" s="147">
        <v>0</v>
      </c>
      <c r="AG233" s="147">
        <v>0</v>
      </c>
      <c r="AH233" s="147">
        <v>0</v>
      </c>
      <c r="AI233" s="147">
        <v>0</v>
      </c>
      <c r="AJ233" s="147">
        <v>0</v>
      </c>
      <c r="AK233" s="147">
        <v>0</v>
      </c>
      <c r="AL233" s="147">
        <v>0</v>
      </c>
      <c r="AM233" s="147">
        <v>0</v>
      </c>
      <c r="AN233" s="147">
        <v>0</v>
      </c>
      <c r="AO233" s="240">
        <v>0</v>
      </c>
      <c r="AP233" s="147">
        <f t="shared" si="16"/>
        <v>0</v>
      </c>
    </row>
    <row r="234" spans="2:42">
      <c r="B234" s="147" t="str">
        <v>Operação Geral</v>
      </c>
      <c r="C234" s="149" t="str">
        <v>6</v>
      </c>
      <c r="D234" s="149" t="str">
        <v>6.1.2</v>
      </c>
      <c r="E234" s="149">
        <v>0</v>
      </c>
      <c r="F234" s="149">
        <v>0</v>
      </c>
      <c r="G234" s="147" t="str">
        <v>Rede, Sistema, Equipamentos e instalação de Fibra Óptica (72 Fibras)  -</v>
      </c>
      <c r="H234" s="147" t="b">
        <v>0</v>
      </c>
      <c r="I234" s="147" t="b">
        <f t="shared" si="13"/>
        <v>0</v>
      </c>
      <c r="J234" s="147" t="b">
        <f t="shared" si="14"/>
        <v>0</v>
      </c>
      <c r="K234" s="147" t="b">
        <f t="shared" si="15"/>
        <v>1</v>
      </c>
      <c r="L234" s="147">
        <v>0</v>
      </c>
      <c r="M234" s="147">
        <v>0</v>
      </c>
      <c r="N234" s="147">
        <v>0</v>
      </c>
      <c r="O234" s="147">
        <v>0</v>
      </c>
      <c r="P234" s="147">
        <v>0</v>
      </c>
      <c r="Q234" s="147">
        <v>0</v>
      </c>
      <c r="R234" s="147">
        <v>0</v>
      </c>
      <c r="S234" s="147">
        <v>0</v>
      </c>
      <c r="T234" s="147">
        <v>0</v>
      </c>
      <c r="U234" s="147">
        <v>0</v>
      </c>
      <c r="V234" s="147">
        <v>0</v>
      </c>
      <c r="W234" s="147">
        <v>0</v>
      </c>
      <c r="X234" s="147">
        <v>0</v>
      </c>
      <c r="Y234" s="147">
        <v>0</v>
      </c>
      <c r="Z234" s="147">
        <v>0</v>
      </c>
      <c r="AA234" s="147">
        <v>0</v>
      </c>
      <c r="AB234" s="147">
        <v>0</v>
      </c>
      <c r="AC234" s="147">
        <v>0</v>
      </c>
      <c r="AD234" s="147">
        <v>0</v>
      </c>
      <c r="AE234" s="147">
        <v>0</v>
      </c>
      <c r="AF234" s="147">
        <v>0</v>
      </c>
      <c r="AG234" s="147">
        <v>0</v>
      </c>
      <c r="AH234" s="147">
        <v>0</v>
      </c>
      <c r="AI234" s="147">
        <v>0</v>
      </c>
      <c r="AJ234" s="147">
        <v>0</v>
      </c>
      <c r="AK234" s="147">
        <v>0</v>
      </c>
      <c r="AL234" s="147">
        <v>0</v>
      </c>
      <c r="AM234" s="147">
        <v>0</v>
      </c>
      <c r="AN234" s="147">
        <v>0</v>
      </c>
      <c r="AO234" s="240">
        <v>0</v>
      </c>
      <c r="AP234" s="147">
        <f t="shared" si="16"/>
        <v>0</v>
      </c>
    </row>
    <row r="235" spans="2:42">
      <c r="B235" s="147" t="str">
        <v>Operação Geral</v>
      </c>
      <c r="C235" s="149" t="str">
        <v>6</v>
      </c>
      <c r="D235" s="149" t="str">
        <v>6.1.2</v>
      </c>
      <c r="E235" s="149">
        <v>0</v>
      </c>
      <c r="F235" s="149">
        <v>0</v>
      </c>
      <c r="G235" s="147" t="str">
        <v>Wi-Fi</v>
      </c>
      <c r="H235" s="147" t="b">
        <v>0</v>
      </c>
      <c r="I235" s="147" t="b">
        <f t="shared" si="13"/>
        <v>0</v>
      </c>
      <c r="J235" s="147" t="b">
        <f t="shared" si="14"/>
        <v>0</v>
      </c>
      <c r="K235" s="147" t="b">
        <f t="shared" si="15"/>
        <v>1</v>
      </c>
      <c r="L235" s="147">
        <v>0</v>
      </c>
      <c r="M235" s="147">
        <v>0</v>
      </c>
      <c r="N235" s="147">
        <v>0</v>
      </c>
      <c r="O235" s="147">
        <v>0</v>
      </c>
      <c r="P235" s="147">
        <v>0</v>
      </c>
      <c r="Q235" s="147">
        <v>0</v>
      </c>
      <c r="R235" s="147">
        <v>0</v>
      </c>
      <c r="S235" s="147">
        <v>0</v>
      </c>
      <c r="T235" s="147">
        <v>0</v>
      </c>
      <c r="U235" s="147">
        <v>0</v>
      </c>
      <c r="V235" s="147">
        <v>0</v>
      </c>
      <c r="W235" s="147">
        <v>0</v>
      </c>
      <c r="X235" s="147">
        <v>0</v>
      </c>
      <c r="Y235" s="147">
        <v>0</v>
      </c>
      <c r="Z235" s="147">
        <v>0</v>
      </c>
      <c r="AA235" s="147">
        <v>0</v>
      </c>
      <c r="AB235" s="147">
        <v>0</v>
      </c>
      <c r="AC235" s="147">
        <v>0</v>
      </c>
      <c r="AD235" s="147">
        <v>0</v>
      </c>
      <c r="AE235" s="147">
        <v>0</v>
      </c>
      <c r="AF235" s="147">
        <v>0</v>
      </c>
      <c r="AG235" s="147">
        <v>0</v>
      </c>
      <c r="AH235" s="147">
        <v>0</v>
      </c>
      <c r="AI235" s="147">
        <v>0</v>
      </c>
      <c r="AJ235" s="147">
        <v>0</v>
      </c>
      <c r="AK235" s="147">
        <v>0</v>
      </c>
      <c r="AL235" s="147">
        <v>0</v>
      </c>
      <c r="AM235" s="147">
        <v>0</v>
      </c>
      <c r="AN235" s="147">
        <v>0</v>
      </c>
      <c r="AO235" s="240">
        <v>0</v>
      </c>
      <c r="AP235" s="147">
        <f t="shared" si="16"/>
        <v>0</v>
      </c>
    </row>
    <row r="236" spans="2:42">
      <c r="B236" s="147" t="str">
        <v>Operação Geral</v>
      </c>
      <c r="C236" s="149" t="str">
        <v>6</v>
      </c>
      <c r="D236" s="149" t="str">
        <v>6.1.2</v>
      </c>
      <c r="E236" s="149">
        <v>0</v>
      </c>
      <c r="F236" s="149">
        <v>0</v>
      </c>
      <c r="G236" s="147" t="str">
        <v>Call Box</v>
      </c>
      <c r="H236" s="147" t="b">
        <v>0</v>
      </c>
      <c r="I236" s="147" t="b">
        <f t="shared" si="13"/>
        <v>0</v>
      </c>
      <c r="J236" s="147" t="b">
        <f t="shared" si="14"/>
        <v>0</v>
      </c>
      <c r="K236" s="147" t="b">
        <f t="shared" si="15"/>
        <v>1</v>
      </c>
      <c r="L236" s="147">
        <v>0</v>
      </c>
      <c r="M236" s="147">
        <v>0</v>
      </c>
      <c r="N236" s="147">
        <v>0</v>
      </c>
      <c r="O236" s="147">
        <v>0</v>
      </c>
      <c r="P236" s="147">
        <v>0</v>
      </c>
      <c r="Q236" s="147">
        <v>0</v>
      </c>
      <c r="R236" s="147">
        <v>0</v>
      </c>
      <c r="S236" s="147">
        <v>0</v>
      </c>
      <c r="T236" s="147">
        <v>0</v>
      </c>
      <c r="U236" s="147">
        <v>0</v>
      </c>
      <c r="V236" s="147">
        <v>0</v>
      </c>
      <c r="W236" s="147">
        <v>0</v>
      </c>
      <c r="X236" s="147">
        <v>0</v>
      </c>
      <c r="Y236" s="147">
        <v>0</v>
      </c>
      <c r="Z236" s="147">
        <v>0</v>
      </c>
      <c r="AA236" s="147">
        <v>0</v>
      </c>
      <c r="AB236" s="147">
        <v>0</v>
      </c>
      <c r="AC236" s="147">
        <v>0</v>
      </c>
      <c r="AD236" s="147">
        <v>0</v>
      </c>
      <c r="AE236" s="147">
        <v>0</v>
      </c>
      <c r="AF236" s="147">
        <v>0</v>
      </c>
      <c r="AG236" s="147">
        <v>0</v>
      </c>
      <c r="AH236" s="147">
        <v>0</v>
      </c>
      <c r="AI236" s="147">
        <v>0</v>
      </c>
      <c r="AJ236" s="147">
        <v>0</v>
      </c>
      <c r="AK236" s="147">
        <v>0</v>
      </c>
      <c r="AL236" s="147">
        <v>0</v>
      </c>
      <c r="AM236" s="147">
        <v>0</v>
      </c>
      <c r="AN236" s="147">
        <v>0</v>
      </c>
      <c r="AO236" s="240">
        <v>0</v>
      </c>
      <c r="AP236" s="147">
        <f t="shared" si="16"/>
        <v>0</v>
      </c>
    </row>
    <row r="237" spans="2:42">
      <c r="B237" s="147" t="str">
        <v>Operação Geral</v>
      </c>
      <c r="C237" s="149" t="str">
        <v>6</v>
      </c>
      <c r="D237" s="149" t="str">
        <v>6.1.2</v>
      </c>
      <c r="E237" s="149">
        <v>0</v>
      </c>
      <c r="F237" s="149">
        <v>0</v>
      </c>
      <c r="G237" s="147" t="str">
        <v>Sistema de Monitoração de Tráfego</v>
      </c>
      <c r="H237" s="147" t="b">
        <v>0</v>
      </c>
      <c r="I237" s="147" t="b">
        <f t="shared" si="13"/>
        <v>0</v>
      </c>
      <c r="J237" s="147" t="b">
        <f t="shared" si="14"/>
        <v>0</v>
      </c>
      <c r="K237" s="147" t="b">
        <f t="shared" si="15"/>
        <v>1</v>
      </c>
      <c r="L237" s="147">
        <v>0</v>
      </c>
      <c r="M237" s="147">
        <v>0</v>
      </c>
      <c r="N237" s="147">
        <v>0</v>
      </c>
      <c r="O237" s="147">
        <v>0</v>
      </c>
      <c r="P237" s="147">
        <v>0</v>
      </c>
      <c r="Q237" s="147">
        <v>0</v>
      </c>
      <c r="R237" s="147">
        <v>0</v>
      </c>
      <c r="S237" s="147">
        <v>0</v>
      </c>
      <c r="T237" s="147">
        <v>0</v>
      </c>
      <c r="U237" s="147">
        <v>0</v>
      </c>
      <c r="V237" s="147">
        <v>0</v>
      </c>
      <c r="W237" s="147">
        <v>0</v>
      </c>
      <c r="X237" s="147">
        <v>0</v>
      </c>
      <c r="Y237" s="147">
        <v>0</v>
      </c>
      <c r="Z237" s="147">
        <v>0</v>
      </c>
      <c r="AA237" s="147">
        <v>0</v>
      </c>
      <c r="AB237" s="147">
        <v>0</v>
      </c>
      <c r="AC237" s="147">
        <v>0</v>
      </c>
      <c r="AD237" s="147">
        <v>0</v>
      </c>
      <c r="AE237" s="147">
        <v>0</v>
      </c>
      <c r="AF237" s="147">
        <v>0</v>
      </c>
      <c r="AG237" s="147">
        <v>0</v>
      </c>
      <c r="AH237" s="147">
        <v>0</v>
      </c>
      <c r="AI237" s="147">
        <v>0</v>
      </c>
      <c r="AJ237" s="147">
        <v>0</v>
      </c>
      <c r="AK237" s="147">
        <v>0</v>
      </c>
      <c r="AL237" s="147">
        <v>0</v>
      </c>
      <c r="AM237" s="147">
        <v>0</v>
      </c>
      <c r="AN237" s="147">
        <v>0</v>
      </c>
      <c r="AO237" s="240">
        <v>0</v>
      </c>
      <c r="AP237" s="147">
        <f t="shared" si="16"/>
        <v>0</v>
      </c>
    </row>
    <row r="238" spans="2:42">
      <c r="B238" s="147" t="str">
        <v>Operação Geral</v>
      </c>
      <c r="C238" s="149" t="str">
        <v>6</v>
      </c>
      <c r="D238" s="149" t="str">
        <v>6.1.2</v>
      </c>
      <c r="E238" s="149">
        <v>0</v>
      </c>
      <c r="F238" s="149">
        <v>0</v>
      </c>
      <c r="G238" s="147" t="str">
        <v>Equipamentos de Detecção e Sensoriamento de Pista</v>
      </c>
      <c r="H238" s="147" t="b">
        <v>0</v>
      </c>
      <c r="I238" s="147" t="b">
        <f t="shared" si="13"/>
        <v>0</v>
      </c>
      <c r="J238" s="147" t="b">
        <f t="shared" si="14"/>
        <v>0</v>
      </c>
      <c r="K238" s="147" t="b">
        <f t="shared" si="15"/>
        <v>1</v>
      </c>
      <c r="L238" s="147">
        <v>0</v>
      </c>
      <c r="M238" s="147">
        <v>0</v>
      </c>
      <c r="N238" s="147">
        <v>0</v>
      </c>
      <c r="O238" s="147">
        <v>0</v>
      </c>
      <c r="P238" s="147">
        <v>0</v>
      </c>
      <c r="Q238" s="147">
        <v>0</v>
      </c>
      <c r="R238" s="147">
        <v>0</v>
      </c>
      <c r="S238" s="147">
        <v>0</v>
      </c>
      <c r="T238" s="147">
        <v>0</v>
      </c>
      <c r="U238" s="147">
        <v>0</v>
      </c>
      <c r="V238" s="147">
        <v>0</v>
      </c>
      <c r="W238" s="147">
        <v>0</v>
      </c>
      <c r="X238" s="147">
        <v>0</v>
      </c>
      <c r="Y238" s="147">
        <v>0</v>
      </c>
      <c r="Z238" s="147">
        <v>0</v>
      </c>
      <c r="AA238" s="147">
        <v>0</v>
      </c>
      <c r="AB238" s="147">
        <v>0</v>
      </c>
      <c r="AC238" s="147">
        <v>0</v>
      </c>
      <c r="AD238" s="147">
        <v>0</v>
      </c>
      <c r="AE238" s="147">
        <v>0</v>
      </c>
      <c r="AF238" s="147">
        <v>0</v>
      </c>
      <c r="AG238" s="147">
        <v>0</v>
      </c>
      <c r="AH238" s="147">
        <v>0</v>
      </c>
      <c r="AI238" s="147">
        <v>0</v>
      </c>
      <c r="AJ238" s="147">
        <v>0</v>
      </c>
      <c r="AK238" s="147">
        <v>0</v>
      </c>
      <c r="AL238" s="147">
        <v>0</v>
      </c>
      <c r="AM238" s="147">
        <v>0</v>
      </c>
      <c r="AN238" s="147">
        <v>0</v>
      </c>
      <c r="AO238" s="240">
        <v>0</v>
      </c>
      <c r="AP238" s="147">
        <f t="shared" si="16"/>
        <v>0</v>
      </c>
    </row>
    <row r="239" spans="2:42">
      <c r="B239" s="147" t="str">
        <v>Operação Geral</v>
      </c>
      <c r="C239" s="149" t="str">
        <v>6</v>
      </c>
      <c r="D239" s="149" t="str">
        <v>6.1.2</v>
      </c>
      <c r="E239" s="149">
        <v>0</v>
      </c>
      <c r="F239" s="149">
        <v>0</v>
      </c>
      <c r="G239" s="147" t="str">
        <v>Sistema de Sensoriamento de Tráfego</v>
      </c>
      <c r="H239" s="147" t="b">
        <v>0</v>
      </c>
      <c r="I239" s="147" t="b">
        <f t="shared" si="13"/>
        <v>0</v>
      </c>
      <c r="J239" s="147" t="b">
        <f t="shared" si="14"/>
        <v>0</v>
      </c>
      <c r="K239" s="147" t="b">
        <f t="shared" si="15"/>
        <v>1</v>
      </c>
      <c r="L239" s="147">
        <v>0</v>
      </c>
      <c r="M239" s="147">
        <v>2968301.5950919311</v>
      </c>
      <c r="N239" s="147">
        <v>0</v>
      </c>
      <c r="O239" s="147">
        <v>0</v>
      </c>
      <c r="P239" s="147">
        <v>0</v>
      </c>
      <c r="Q239" s="147">
        <v>0</v>
      </c>
      <c r="R239" s="147">
        <v>0</v>
      </c>
      <c r="S239" s="147">
        <v>0</v>
      </c>
      <c r="T239" s="147">
        <v>0</v>
      </c>
      <c r="U239" s="147">
        <v>0</v>
      </c>
      <c r="V239" s="147">
        <v>0</v>
      </c>
      <c r="W239" s="147">
        <v>0</v>
      </c>
      <c r="X239" s="147">
        <v>0</v>
      </c>
      <c r="Y239" s="147">
        <v>0</v>
      </c>
      <c r="Z239" s="147">
        <v>0</v>
      </c>
      <c r="AA239" s="147">
        <v>0</v>
      </c>
      <c r="AB239" s="147">
        <v>0</v>
      </c>
      <c r="AC239" s="147">
        <v>0</v>
      </c>
      <c r="AD239" s="147">
        <v>0</v>
      </c>
      <c r="AE239" s="147">
        <v>0</v>
      </c>
      <c r="AF239" s="147">
        <v>0</v>
      </c>
      <c r="AG239" s="147">
        <v>0</v>
      </c>
      <c r="AH239" s="147">
        <v>0</v>
      </c>
      <c r="AI239" s="147">
        <v>0</v>
      </c>
      <c r="AJ239" s="147">
        <v>0</v>
      </c>
      <c r="AK239" s="147">
        <v>0</v>
      </c>
      <c r="AL239" s="147">
        <v>0</v>
      </c>
      <c r="AM239" s="147">
        <v>0</v>
      </c>
      <c r="AN239" s="147">
        <v>0</v>
      </c>
      <c r="AO239" s="240">
        <v>0</v>
      </c>
      <c r="AP239" s="147">
        <f t="shared" si="16"/>
        <v>2968301.5950919311</v>
      </c>
    </row>
    <row r="240" spans="2:42">
      <c r="B240" s="147" t="str">
        <v>Operação Geral</v>
      </c>
      <c r="C240" s="149" t="str">
        <v>6</v>
      </c>
      <c r="D240" s="149" t="str">
        <v>6.1.2</v>
      </c>
      <c r="E240" s="149">
        <v>0</v>
      </c>
      <c r="F240" s="149">
        <v>0</v>
      </c>
      <c r="G240" s="147" t="str">
        <v>Sensoriamento Automático de Tráfego (c/ pesagem)</v>
      </c>
      <c r="H240" s="147" t="b">
        <v>0</v>
      </c>
      <c r="I240" s="147" t="b">
        <f t="shared" si="13"/>
        <v>0</v>
      </c>
      <c r="J240" s="147" t="b">
        <f t="shared" si="14"/>
        <v>0</v>
      </c>
      <c r="K240" s="147" t="b">
        <f t="shared" si="15"/>
        <v>1</v>
      </c>
      <c r="L240" s="147">
        <v>0</v>
      </c>
      <c r="M240" s="147">
        <v>172425.71238466175</v>
      </c>
      <c r="N240" s="147">
        <v>0</v>
      </c>
      <c r="O240" s="147">
        <v>0</v>
      </c>
      <c r="P240" s="147">
        <v>0</v>
      </c>
      <c r="Q240" s="147">
        <v>0</v>
      </c>
      <c r="R240" s="147">
        <v>0</v>
      </c>
      <c r="S240" s="147">
        <v>0</v>
      </c>
      <c r="T240" s="147">
        <v>0</v>
      </c>
      <c r="U240" s="147">
        <v>0</v>
      </c>
      <c r="V240" s="147">
        <v>0</v>
      </c>
      <c r="W240" s="147">
        <v>0</v>
      </c>
      <c r="X240" s="147">
        <v>0</v>
      </c>
      <c r="Y240" s="147">
        <v>0</v>
      </c>
      <c r="Z240" s="147">
        <v>0</v>
      </c>
      <c r="AA240" s="147">
        <v>0</v>
      </c>
      <c r="AB240" s="147">
        <v>0</v>
      </c>
      <c r="AC240" s="147">
        <v>0</v>
      </c>
      <c r="AD240" s="147">
        <v>0</v>
      </c>
      <c r="AE240" s="147">
        <v>0</v>
      </c>
      <c r="AF240" s="147">
        <v>0</v>
      </c>
      <c r="AG240" s="147">
        <v>0</v>
      </c>
      <c r="AH240" s="147">
        <v>0</v>
      </c>
      <c r="AI240" s="147">
        <v>0</v>
      </c>
      <c r="AJ240" s="147">
        <v>0</v>
      </c>
      <c r="AK240" s="147">
        <v>0</v>
      </c>
      <c r="AL240" s="147">
        <v>0</v>
      </c>
      <c r="AM240" s="147">
        <v>0</v>
      </c>
      <c r="AN240" s="147">
        <v>0</v>
      </c>
      <c r="AO240" s="240">
        <v>0</v>
      </c>
      <c r="AP240" s="147">
        <f t="shared" si="16"/>
        <v>172425.71238466175</v>
      </c>
    </row>
    <row r="241" spans="2:42">
      <c r="B241" s="147" t="str">
        <v>Operação Geral</v>
      </c>
      <c r="C241" s="149" t="str">
        <v>6</v>
      </c>
      <c r="D241" s="149" t="str">
        <v>6.1.2</v>
      </c>
      <c r="E241" s="149">
        <v>0</v>
      </c>
      <c r="F241" s="149">
        <v>0</v>
      </c>
      <c r="G241" s="147" t="str">
        <v>Detecção de Altura</v>
      </c>
      <c r="H241" s="147" t="b">
        <v>0</v>
      </c>
      <c r="I241" s="147" t="b">
        <f t="shared" si="13"/>
        <v>0</v>
      </c>
      <c r="J241" s="147" t="b">
        <f t="shared" si="14"/>
        <v>0</v>
      </c>
      <c r="K241" s="147" t="b">
        <f t="shared" si="15"/>
        <v>1</v>
      </c>
      <c r="L241" s="147">
        <v>0</v>
      </c>
      <c r="M241" s="147">
        <v>1213932.3398348638</v>
      </c>
      <c r="N241" s="147">
        <v>0</v>
      </c>
      <c r="O241" s="147">
        <v>0</v>
      </c>
      <c r="P241" s="147">
        <v>0</v>
      </c>
      <c r="Q241" s="147">
        <v>0</v>
      </c>
      <c r="R241" s="147">
        <v>0</v>
      </c>
      <c r="S241" s="147">
        <v>0</v>
      </c>
      <c r="T241" s="147">
        <v>0</v>
      </c>
      <c r="U241" s="147">
        <v>0</v>
      </c>
      <c r="V241" s="147">
        <v>0</v>
      </c>
      <c r="W241" s="147">
        <v>0</v>
      </c>
      <c r="X241" s="147">
        <v>0</v>
      </c>
      <c r="Y241" s="147">
        <v>0</v>
      </c>
      <c r="Z241" s="147">
        <v>0</v>
      </c>
      <c r="AA241" s="147">
        <v>0</v>
      </c>
      <c r="AB241" s="147">
        <v>0</v>
      </c>
      <c r="AC241" s="147">
        <v>0</v>
      </c>
      <c r="AD241" s="147">
        <v>0</v>
      </c>
      <c r="AE241" s="147">
        <v>0</v>
      </c>
      <c r="AF241" s="147">
        <v>0</v>
      </c>
      <c r="AG241" s="147">
        <v>0</v>
      </c>
      <c r="AH241" s="147">
        <v>0</v>
      </c>
      <c r="AI241" s="147">
        <v>0</v>
      </c>
      <c r="AJ241" s="147">
        <v>0</v>
      </c>
      <c r="AK241" s="147">
        <v>0</v>
      </c>
      <c r="AL241" s="147">
        <v>0</v>
      </c>
      <c r="AM241" s="147">
        <v>0</v>
      </c>
      <c r="AN241" s="147">
        <v>0</v>
      </c>
      <c r="AO241" s="240">
        <v>0</v>
      </c>
      <c r="AP241" s="147">
        <f t="shared" si="16"/>
        <v>1213932.3398348638</v>
      </c>
    </row>
    <row r="242" spans="2:42">
      <c r="B242" s="147" t="str">
        <v>Operação Geral</v>
      </c>
      <c r="C242" s="149" t="str">
        <v>6</v>
      </c>
      <c r="D242" s="149" t="str">
        <v>6.1.2</v>
      </c>
      <c r="E242" s="149">
        <v>0</v>
      </c>
      <c r="F242" s="149">
        <v>0</v>
      </c>
      <c r="G242" s="147" t="str">
        <v>Sistema de Circuito fechado de TV</v>
      </c>
      <c r="H242" s="147" t="b">
        <v>0</v>
      </c>
      <c r="I242" s="147" t="b">
        <f t="shared" si="13"/>
        <v>0</v>
      </c>
      <c r="J242" s="147" t="b">
        <f t="shared" si="14"/>
        <v>0</v>
      </c>
      <c r="K242" s="147" t="b">
        <f t="shared" si="15"/>
        <v>1</v>
      </c>
      <c r="L242" s="147">
        <v>0</v>
      </c>
      <c r="M242" s="147">
        <v>0</v>
      </c>
      <c r="N242" s="147">
        <v>0</v>
      </c>
      <c r="O242" s="147">
        <v>0</v>
      </c>
      <c r="P242" s="147">
        <v>0</v>
      </c>
      <c r="Q242" s="147">
        <v>0</v>
      </c>
      <c r="R242" s="147">
        <v>0</v>
      </c>
      <c r="S242" s="147">
        <v>0</v>
      </c>
      <c r="T242" s="147">
        <v>0</v>
      </c>
      <c r="U242" s="147">
        <v>0</v>
      </c>
      <c r="V242" s="147">
        <v>0</v>
      </c>
      <c r="W242" s="147">
        <v>0</v>
      </c>
      <c r="X242" s="147">
        <v>0</v>
      </c>
      <c r="Y242" s="147">
        <v>0</v>
      </c>
      <c r="Z242" s="147">
        <v>0</v>
      </c>
      <c r="AA242" s="147">
        <v>0</v>
      </c>
      <c r="AB242" s="147">
        <v>0</v>
      </c>
      <c r="AC242" s="147">
        <v>0</v>
      </c>
      <c r="AD242" s="147">
        <v>0</v>
      </c>
      <c r="AE242" s="147">
        <v>0</v>
      </c>
      <c r="AF242" s="147">
        <v>0</v>
      </c>
      <c r="AG242" s="147">
        <v>0</v>
      </c>
      <c r="AH242" s="147">
        <v>0</v>
      </c>
      <c r="AI242" s="147">
        <v>0</v>
      </c>
      <c r="AJ242" s="147">
        <v>0</v>
      </c>
      <c r="AK242" s="147">
        <v>0</v>
      </c>
      <c r="AL242" s="147">
        <v>0</v>
      </c>
      <c r="AM242" s="147">
        <v>0</v>
      </c>
      <c r="AN242" s="147">
        <v>0</v>
      </c>
      <c r="AO242" s="240">
        <v>0</v>
      </c>
      <c r="AP242" s="147">
        <f t="shared" si="16"/>
        <v>0</v>
      </c>
    </row>
    <row r="243" spans="2:42">
      <c r="B243" s="147" t="str">
        <v>Operação Geral</v>
      </c>
      <c r="C243" s="149" t="str">
        <v>6</v>
      </c>
      <c r="D243" s="149" t="str">
        <v>6.1.2</v>
      </c>
      <c r="E243" s="149">
        <v>1</v>
      </c>
      <c r="F243" s="149">
        <v>0</v>
      </c>
      <c r="G243" s="147" t="str">
        <v>Sistema Completo - CFTV (Equipamentos, instalação e monitoramento)</v>
      </c>
      <c r="H243" s="147" t="b">
        <v>0</v>
      </c>
      <c r="I243" s="147" t="b">
        <f t="shared" si="13"/>
        <v>0</v>
      </c>
      <c r="J243" s="147" t="b">
        <f t="shared" si="14"/>
        <v>0</v>
      </c>
      <c r="K243" s="147" t="b">
        <f t="shared" si="15"/>
        <v>1</v>
      </c>
      <c r="L243" s="147">
        <v>0</v>
      </c>
      <c r="M243" s="147">
        <v>0</v>
      </c>
      <c r="N243" s="147">
        <v>0</v>
      </c>
      <c r="O243" s="147">
        <v>0</v>
      </c>
      <c r="P243" s="147">
        <v>0</v>
      </c>
      <c r="Q243" s="147">
        <v>0</v>
      </c>
      <c r="R243" s="147">
        <v>0</v>
      </c>
      <c r="S243" s="147">
        <v>0</v>
      </c>
      <c r="T243" s="147">
        <v>0</v>
      </c>
      <c r="U243" s="147">
        <v>0</v>
      </c>
      <c r="V243" s="147">
        <v>0</v>
      </c>
      <c r="W243" s="147">
        <v>0</v>
      </c>
      <c r="X243" s="147">
        <v>0</v>
      </c>
      <c r="Y243" s="147">
        <v>0</v>
      </c>
      <c r="Z243" s="147">
        <v>0</v>
      </c>
      <c r="AA243" s="147">
        <v>0</v>
      </c>
      <c r="AB243" s="147">
        <v>0</v>
      </c>
      <c r="AC243" s="147">
        <v>0</v>
      </c>
      <c r="AD243" s="147">
        <v>0</v>
      </c>
      <c r="AE243" s="147">
        <v>0</v>
      </c>
      <c r="AF243" s="147">
        <v>0</v>
      </c>
      <c r="AG243" s="147">
        <v>0</v>
      </c>
      <c r="AH243" s="147">
        <v>0</v>
      </c>
      <c r="AI243" s="147">
        <v>0</v>
      </c>
      <c r="AJ243" s="147">
        <v>0</v>
      </c>
      <c r="AK243" s="147">
        <v>0</v>
      </c>
      <c r="AL243" s="147">
        <v>0</v>
      </c>
      <c r="AM243" s="147">
        <v>0</v>
      </c>
      <c r="AN243" s="147">
        <v>0</v>
      </c>
      <c r="AO243" s="240">
        <v>0</v>
      </c>
      <c r="AP243" s="147">
        <f t="shared" si="16"/>
        <v>0</v>
      </c>
    </row>
    <row r="244" spans="2:42">
      <c r="B244" s="147" t="str">
        <v>Operação Geral</v>
      </c>
      <c r="C244" s="149" t="str">
        <v>6</v>
      </c>
      <c r="D244" s="149" t="str">
        <v>6.1.2</v>
      </c>
      <c r="E244" s="149">
        <v>1</v>
      </c>
      <c r="F244" s="149">
        <v>0</v>
      </c>
      <c r="G244" s="147" t="str">
        <v>Câmeras - CFTV (Pista)</v>
      </c>
      <c r="H244" s="147" t="b">
        <v>0</v>
      </c>
      <c r="I244" s="147" t="b">
        <f t="shared" si="13"/>
        <v>0</v>
      </c>
      <c r="J244" s="147" t="b">
        <f t="shared" si="14"/>
        <v>0</v>
      </c>
      <c r="K244" s="147" t="b">
        <f t="shared" si="15"/>
        <v>1</v>
      </c>
      <c r="L244" s="147">
        <v>0</v>
      </c>
      <c r="M244" s="147">
        <v>0</v>
      </c>
      <c r="N244" s="147">
        <v>0</v>
      </c>
      <c r="O244" s="147">
        <v>0</v>
      </c>
      <c r="P244" s="147">
        <v>0</v>
      </c>
      <c r="Q244" s="147">
        <v>0</v>
      </c>
      <c r="R244" s="147">
        <v>0</v>
      </c>
      <c r="S244" s="147">
        <v>0</v>
      </c>
      <c r="T244" s="147">
        <v>0</v>
      </c>
      <c r="U244" s="147">
        <v>0</v>
      </c>
      <c r="V244" s="147">
        <v>0</v>
      </c>
      <c r="W244" s="147">
        <v>0</v>
      </c>
      <c r="X244" s="147">
        <v>0</v>
      </c>
      <c r="Y244" s="147">
        <v>0</v>
      </c>
      <c r="Z244" s="147">
        <v>0</v>
      </c>
      <c r="AA244" s="147">
        <v>0</v>
      </c>
      <c r="AB244" s="147">
        <v>0</v>
      </c>
      <c r="AC244" s="147">
        <v>0</v>
      </c>
      <c r="AD244" s="147">
        <v>0</v>
      </c>
      <c r="AE244" s="147">
        <v>0</v>
      </c>
      <c r="AF244" s="147">
        <v>0</v>
      </c>
      <c r="AG244" s="147">
        <v>0</v>
      </c>
      <c r="AH244" s="147">
        <v>0</v>
      </c>
      <c r="AI244" s="147">
        <v>0</v>
      </c>
      <c r="AJ244" s="147">
        <v>0</v>
      </c>
      <c r="AK244" s="147">
        <v>0</v>
      </c>
      <c r="AL244" s="147">
        <v>0</v>
      </c>
      <c r="AM244" s="147">
        <v>0</v>
      </c>
      <c r="AN244" s="147">
        <v>0</v>
      </c>
      <c r="AO244" s="240">
        <v>0</v>
      </c>
      <c r="AP244" s="147">
        <f t="shared" si="16"/>
        <v>0</v>
      </c>
    </row>
    <row r="245" spans="2:42">
      <c r="B245" s="147" t="str">
        <v>Operação Geral</v>
      </c>
      <c r="C245" s="149" t="str">
        <v>6</v>
      </c>
      <c r="D245" s="149" t="str">
        <v>6.1.2</v>
      </c>
      <c r="E245" s="149">
        <v>1</v>
      </c>
      <c r="F245" s="149">
        <v>0</v>
      </c>
      <c r="G245" s="147" t="str">
        <v>Câmeras - CFTV - Edificações</v>
      </c>
      <c r="H245" s="147" t="b">
        <v>0</v>
      </c>
      <c r="I245" s="147" t="b">
        <f t="shared" si="13"/>
        <v>0</v>
      </c>
      <c r="J245" s="147" t="b">
        <f t="shared" si="14"/>
        <v>0</v>
      </c>
      <c r="K245" s="147" t="b">
        <f t="shared" si="15"/>
        <v>1</v>
      </c>
      <c r="L245" s="147">
        <v>0</v>
      </c>
      <c r="M245" s="147">
        <v>0</v>
      </c>
      <c r="N245" s="147">
        <v>0</v>
      </c>
      <c r="O245" s="147">
        <v>0</v>
      </c>
      <c r="P245" s="147">
        <v>0</v>
      </c>
      <c r="Q245" s="147">
        <v>0</v>
      </c>
      <c r="R245" s="147">
        <v>0</v>
      </c>
      <c r="S245" s="147">
        <v>0</v>
      </c>
      <c r="T245" s="147">
        <v>0</v>
      </c>
      <c r="U245" s="147">
        <v>0</v>
      </c>
      <c r="V245" s="147">
        <v>0</v>
      </c>
      <c r="W245" s="147">
        <v>0</v>
      </c>
      <c r="X245" s="147">
        <v>0</v>
      </c>
      <c r="Y245" s="147">
        <v>0</v>
      </c>
      <c r="Z245" s="147">
        <v>0</v>
      </c>
      <c r="AA245" s="147">
        <v>0</v>
      </c>
      <c r="AB245" s="147">
        <v>0</v>
      </c>
      <c r="AC245" s="147">
        <v>0</v>
      </c>
      <c r="AD245" s="147">
        <v>0</v>
      </c>
      <c r="AE245" s="147">
        <v>0</v>
      </c>
      <c r="AF245" s="147">
        <v>0</v>
      </c>
      <c r="AG245" s="147">
        <v>0</v>
      </c>
      <c r="AH245" s="147">
        <v>0</v>
      </c>
      <c r="AI245" s="147">
        <v>0</v>
      </c>
      <c r="AJ245" s="147">
        <v>0</v>
      </c>
      <c r="AK245" s="147">
        <v>0</v>
      </c>
      <c r="AL245" s="147">
        <v>0</v>
      </c>
      <c r="AM245" s="147">
        <v>0</v>
      </c>
      <c r="AN245" s="147">
        <v>0</v>
      </c>
      <c r="AO245" s="240">
        <v>0</v>
      </c>
      <c r="AP245" s="147">
        <f t="shared" si="16"/>
        <v>0</v>
      </c>
    </row>
    <row r="246" spans="2:42">
      <c r="B246" s="147" t="str">
        <v>Operação Geral</v>
      </c>
      <c r="C246" s="149" t="str">
        <v>6</v>
      </c>
      <c r="D246" s="149" t="str">
        <v>6.1.2</v>
      </c>
      <c r="E246" s="149">
        <v>1</v>
      </c>
      <c r="F246" s="149">
        <v>0</v>
      </c>
      <c r="G246" s="147" t="str">
        <v>Câmeras - CFTV - Pista de pedágio</v>
      </c>
      <c r="H246" s="147" t="b">
        <v>0</v>
      </c>
      <c r="I246" s="147" t="b">
        <f t="shared" si="13"/>
        <v>0</v>
      </c>
      <c r="J246" s="147" t="b">
        <f t="shared" si="14"/>
        <v>0</v>
      </c>
      <c r="K246" s="147" t="b">
        <f t="shared" si="15"/>
        <v>1</v>
      </c>
      <c r="L246" s="147">
        <v>0</v>
      </c>
      <c r="M246" s="147">
        <v>0</v>
      </c>
      <c r="N246" s="147">
        <v>0</v>
      </c>
      <c r="O246" s="147">
        <v>0</v>
      </c>
      <c r="P246" s="147">
        <v>0</v>
      </c>
      <c r="Q246" s="147">
        <v>0</v>
      </c>
      <c r="R246" s="147">
        <v>0</v>
      </c>
      <c r="S246" s="147">
        <v>0</v>
      </c>
      <c r="T246" s="147">
        <v>0</v>
      </c>
      <c r="U246" s="147">
        <v>0</v>
      </c>
      <c r="V246" s="147">
        <v>0</v>
      </c>
      <c r="W246" s="147">
        <v>0</v>
      </c>
      <c r="X246" s="147">
        <v>0</v>
      </c>
      <c r="Y246" s="147">
        <v>0</v>
      </c>
      <c r="Z246" s="147">
        <v>0</v>
      </c>
      <c r="AA246" s="147">
        <v>0</v>
      </c>
      <c r="AB246" s="147">
        <v>0</v>
      </c>
      <c r="AC246" s="147">
        <v>0</v>
      </c>
      <c r="AD246" s="147">
        <v>0</v>
      </c>
      <c r="AE246" s="147">
        <v>0</v>
      </c>
      <c r="AF246" s="147">
        <v>0</v>
      </c>
      <c r="AG246" s="147">
        <v>0</v>
      </c>
      <c r="AH246" s="147">
        <v>0</v>
      </c>
      <c r="AI246" s="147">
        <v>0</v>
      </c>
      <c r="AJ246" s="147">
        <v>0</v>
      </c>
      <c r="AK246" s="147">
        <v>0</v>
      </c>
      <c r="AL246" s="147">
        <v>0</v>
      </c>
      <c r="AM246" s="147">
        <v>0</v>
      </c>
      <c r="AN246" s="147">
        <v>0</v>
      </c>
      <c r="AO246" s="240">
        <v>0</v>
      </c>
      <c r="AP246" s="147">
        <f t="shared" si="16"/>
        <v>0</v>
      </c>
    </row>
    <row r="247" spans="2:42">
      <c r="B247" s="147" t="str">
        <v>Operação Geral</v>
      </c>
      <c r="C247" s="149" t="str">
        <v>6</v>
      </c>
      <c r="D247" s="149" t="str">
        <v>6.1.2</v>
      </c>
      <c r="E247" s="149">
        <v>1</v>
      </c>
      <c r="F247" s="149">
        <v>0</v>
      </c>
      <c r="G247" s="147" t="str">
        <v>Câmeras - Cabines de Pedágio</v>
      </c>
      <c r="H247" s="147" t="b">
        <v>0</v>
      </c>
      <c r="I247" s="147" t="b">
        <f t="shared" si="13"/>
        <v>0</v>
      </c>
      <c r="J247" s="147" t="b">
        <f t="shared" si="14"/>
        <v>0</v>
      </c>
      <c r="K247" s="147" t="b">
        <f t="shared" si="15"/>
        <v>1</v>
      </c>
      <c r="L247" s="147">
        <v>0</v>
      </c>
      <c r="M247" s="147">
        <v>0</v>
      </c>
      <c r="N247" s="147">
        <v>0</v>
      </c>
      <c r="O247" s="147">
        <v>0</v>
      </c>
      <c r="P247" s="147">
        <v>0</v>
      </c>
      <c r="Q247" s="147">
        <v>0</v>
      </c>
      <c r="R247" s="147">
        <v>0</v>
      </c>
      <c r="S247" s="147">
        <v>0</v>
      </c>
      <c r="T247" s="147">
        <v>0</v>
      </c>
      <c r="U247" s="147">
        <v>0</v>
      </c>
      <c r="V247" s="147">
        <v>0</v>
      </c>
      <c r="W247" s="147">
        <v>0</v>
      </c>
      <c r="X247" s="147">
        <v>0</v>
      </c>
      <c r="Y247" s="147">
        <v>0</v>
      </c>
      <c r="Z247" s="147">
        <v>0</v>
      </c>
      <c r="AA247" s="147">
        <v>0</v>
      </c>
      <c r="AB247" s="147">
        <v>0</v>
      </c>
      <c r="AC247" s="147">
        <v>0</v>
      </c>
      <c r="AD247" s="147">
        <v>0</v>
      </c>
      <c r="AE247" s="147">
        <v>0</v>
      </c>
      <c r="AF247" s="147">
        <v>0</v>
      </c>
      <c r="AG247" s="147">
        <v>0</v>
      </c>
      <c r="AH247" s="147">
        <v>0</v>
      </c>
      <c r="AI247" s="147">
        <v>0</v>
      </c>
      <c r="AJ247" s="147">
        <v>0</v>
      </c>
      <c r="AK247" s="147">
        <v>0</v>
      </c>
      <c r="AL247" s="147">
        <v>0</v>
      </c>
      <c r="AM247" s="147">
        <v>0</v>
      </c>
      <c r="AN247" s="147">
        <v>0</v>
      </c>
      <c r="AO247" s="240">
        <v>0</v>
      </c>
      <c r="AP247" s="147">
        <f t="shared" si="16"/>
        <v>0</v>
      </c>
    </row>
    <row r="248" spans="2:42">
      <c r="B248" s="147" t="str">
        <v>Operação Geral</v>
      </c>
      <c r="C248" s="149" t="str">
        <v>6</v>
      </c>
      <c r="D248" s="149" t="str">
        <v>6.1.2</v>
      </c>
      <c r="E248" s="149">
        <v>1</v>
      </c>
      <c r="F248" s="149">
        <v>0</v>
      </c>
      <c r="G248" s="147" t="str">
        <v>NVR – gerenciamento de armazenamento de vídeos</v>
      </c>
      <c r="H248" s="147" t="b">
        <v>0</v>
      </c>
      <c r="I248" s="147" t="b">
        <f t="shared" si="13"/>
        <v>0</v>
      </c>
      <c r="J248" s="147" t="b">
        <f t="shared" si="14"/>
        <v>0</v>
      </c>
      <c r="K248" s="147" t="b">
        <f t="shared" si="15"/>
        <v>1</v>
      </c>
      <c r="L248" s="147">
        <v>0</v>
      </c>
      <c r="M248" s="147">
        <v>0</v>
      </c>
      <c r="N248" s="147">
        <v>0</v>
      </c>
      <c r="O248" s="147">
        <v>0</v>
      </c>
      <c r="P248" s="147">
        <v>0</v>
      </c>
      <c r="Q248" s="147">
        <v>0</v>
      </c>
      <c r="R248" s="147">
        <v>0</v>
      </c>
      <c r="S248" s="147">
        <v>0</v>
      </c>
      <c r="T248" s="147">
        <v>0</v>
      </c>
      <c r="U248" s="147">
        <v>0</v>
      </c>
      <c r="V248" s="147">
        <v>0</v>
      </c>
      <c r="W248" s="147">
        <v>0</v>
      </c>
      <c r="X248" s="147">
        <v>0</v>
      </c>
      <c r="Y248" s="147">
        <v>0</v>
      </c>
      <c r="Z248" s="147">
        <v>0</v>
      </c>
      <c r="AA248" s="147">
        <v>0</v>
      </c>
      <c r="AB248" s="147">
        <v>0</v>
      </c>
      <c r="AC248" s="147">
        <v>0</v>
      </c>
      <c r="AD248" s="147">
        <v>0</v>
      </c>
      <c r="AE248" s="147">
        <v>0</v>
      </c>
      <c r="AF248" s="147">
        <v>0</v>
      </c>
      <c r="AG248" s="147">
        <v>0</v>
      </c>
      <c r="AH248" s="147">
        <v>0</v>
      </c>
      <c r="AI248" s="147">
        <v>0</v>
      </c>
      <c r="AJ248" s="147">
        <v>0</v>
      </c>
      <c r="AK248" s="147">
        <v>0</v>
      </c>
      <c r="AL248" s="147">
        <v>0</v>
      </c>
      <c r="AM248" s="147">
        <v>0</v>
      </c>
      <c r="AN248" s="147">
        <v>0</v>
      </c>
      <c r="AO248" s="240">
        <v>0</v>
      </c>
      <c r="AP248" s="147">
        <f t="shared" si="16"/>
        <v>0</v>
      </c>
    </row>
    <row r="249" spans="2:42">
      <c r="B249" s="147" t="str">
        <v>Operação Geral</v>
      </c>
      <c r="C249" s="149" t="str">
        <v>6</v>
      </c>
      <c r="D249" s="149" t="str">
        <v>6.1.2</v>
      </c>
      <c r="E249" s="149">
        <v>1</v>
      </c>
      <c r="F249" s="149">
        <v>0</v>
      </c>
      <c r="G249" s="147" t="str">
        <v>Câmeras - CFTV - Passarelas</v>
      </c>
      <c r="H249" s="147" t="b">
        <v>0</v>
      </c>
      <c r="I249" s="147" t="b">
        <f t="shared" si="13"/>
        <v>0</v>
      </c>
      <c r="J249" s="147" t="b">
        <f t="shared" si="14"/>
        <v>0</v>
      </c>
      <c r="K249" s="147" t="b">
        <f t="shared" si="15"/>
        <v>1</v>
      </c>
      <c r="L249" s="147">
        <v>0</v>
      </c>
      <c r="M249" s="147">
        <v>0</v>
      </c>
      <c r="N249" s="147">
        <v>0</v>
      </c>
      <c r="O249" s="147">
        <v>0</v>
      </c>
      <c r="P249" s="147">
        <v>0</v>
      </c>
      <c r="Q249" s="147">
        <v>0</v>
      </c>
      <c r="R249" s="147">
        <v>0</v>
      </c>
      <c r="S249" s="147">
        <v>0</v>
      </c>
      <c r="T249" s="147">
        <v>0</v>
      </c>
      <c r="U249" s="147">
        <v>0</v>
      </c>
      <c r="V249" s="147">
        <v>0</v>
      </c>
      <c r="W249" s="147">
        <v>0</v>
      </c>
      <c r="X249" s="147">
        <v>0</v>
      </c>
      <c r="Y249" s="147">
        <v>0</v>
      </c>
      <c r="Z249" s="147">
        <v>0</v>
      </c>
      <c r="AA249" s="147">
        <v>0</v>
      </c>
      <c r="AB249" s="147">
        <v>0</v>
      </c>
      <c r="AC249" s="147">
        <v>0</v>
      </c>
      <c r="AD249" s="147">
        <v>0</v>
      </c>
      <c r="AE249" s="147">
        <v>0</v>
      </c>
      <c r="AF249" s="147">
        <v>0</v>
      </c>
      <c r="AG249" s="147">
        <v>0</v>
      </c>
      <c r="AH249" s="147">
        <v>0</v>
      </c>
      <c r="AI249" s="147">
        <v>0</v>
      </c>
      <c r="AJ249" s="147">
        <v>0</v>
      </c>
      <c r="AK249" s="147">
        <v>0</v>
      </c>
      <c r="AL249" s="147">
        <v>0</v>
      </c>
      <c r="AM249" s="147">
        <v>0</v>
      </c>
      <c r="AN249" s="147">
        <v>0</v>
      </c>
      <c r="AO249" s="240">
        <v>0</v>
      </c>
      <c r="AP249" s="147">
        <f t="shared" si="16"/>
        <v>0</v>
      </c>
    </row>
    <row r="250" spans="2:42">
      <c r="B250" s="147" t="str">
        <v>Operação Geral</v>
      </c>
      <c r="C250" s="149" t="str">
        <v>6</v>
      </c>
      <c r="D250" s="149" t="str">
        <v>6.1.2</v>
      </c>
      <c r="E250" s="149">
        <v>0</v>
      </c>
      <c r="F250" s="149">
        <v>0</v>
      </c>
      <c r="G250" s="147" t="str">
        <v>Sistema de Controle de Velocidade</v>
      </c>
      <c r="H250" s="147" t="b">
        <v>0</v>
      </c>
      <c r="I250" s="147" t="b">
        <f t="shared" si="13"/>
        <v>0</v>
      </c>
      <c r="J250" s="147" t="b">
        <f t="shared" si="14"/>
        <v>0</v>
      </c>
      <c r="K250" s="147" t="b">
        <f t="shared" si="15"/>
        <v>1</v>
      </c>
      <c r="L250" s="147">
        <v>0</v>
      </c>
      <c r="M250" s="147">
        <v>0</v>
      </c>
      <c r="N250" s="147">
        <v>0</v>
      </c>
      <c r="O250" s="147">
        <v>0</v>
      </c>
      <c r="P250" s="147">
        <v>0</v>
      </c>
      <c r="Q250" s="147">
        <v>0</v>
      </c>
      <c r="R250" s="147">
        <v>0</v>
      </c>
      <c r="S250" s="147">
        <v>0</v>
      </c>
      <c r="T250" s="147">
        <v>0</v>
      </c>
      <c r="U250" s="147">
        <v>0</v>
      </c>
      <c r="V250" s="147">
        <v>0</v>
      </c>
      <c r="W250" s="147">
        <v>0</v>
      </c>
      <c r="X250" s="147">
        <v>0</v>
      </c>
      <c r="Y250" s="147">
        <v>0</v>
      </c>
      <c r="Z250" s="147">
        <v>0</v>
      </c>
      <c r="AA250" s="147">
        <v>0</v>
      </c>
      <c r="AB250" s="147">
        <v>0</v>
      </c>
      <c r="AC250" s="147">
        <v>0</v>
      </c>
      <c r="AD250" s="147">
        <v>0</v>
      </c>
      <c r="AE250" s="147">
        <v>0</v>
      </c>
      <c r="AF250" s="147">
        <v>0</v>
      </c>
      <c r="AG250" s="147">
        <v>0</v>
      </c>
      <c r="AH250" s="147">
        <v>0</v>
      </c>
      <c r="AI250" s="147">
        <v>0</v>
      </c>
      <c r="AJ250" s="147">
        <v>0</v>
      </c>
      <c r="AK250" s="147">
        <v>0</v>
      </c>
      <c r="AL250" s="147">
        <v>0</v>
      </c>
      <c r="AM250" s="147">
        <v>0</v>
      </c>
      <c r="AN250" s="147">
        <v>0</v>
      </c>
      <c r="AO250" s="240">
        <v>0</v>
      </c>
      <c r="AP250" s="147">
        <f t="shared" si="16"/>
        <v>0</v>
      </c>
    </row>
    <row r="251" spans="2:42">
      <c r="B251" s="147" t="str">
        <v>Operação Geral</v>
      </c>
      <c r="C251" s="149" t="str">
        <v>6</v>
      </c>
      <c r="D251" s="149" t="str">
        <v>6.1.2</v>
      </c>
      <c r="E251" s="149">
        <v>0</v>
      </c>
      <c r="F251" s="149">
        <v>0</v>
      </c>
      <c r="G251" s="147" t="str">
        <v>Radar Fixo - 2 Pistas</v>
      </c>
      <c r="H251" s="147" t="b">
        <v>0</v>
      </c>
      <c r="I251" s="147" t="b">
        <f t="shared" si="13"/>
        <v>0</v>
      </c>
      <c r="J251" s="147" t="b">
        <f t="shared" si="14"/>
        <v>0</v>
      </c>
      <c r="K251" s="147" t="b">
        <f t="shared" si="15"/>
        <v>1</v>
      </c>
      <c r="L251" s="147">
        <v>0</v>
      </c>
      <c r="M251" s="147">
        <v>0</v>
      </c>
      <c r="N251" s="147">
        <v>392187.06531251292</v>
      </c>
      <c r="O251" s="147">
        <v>0</v>
      </c>
      <c r="P251" s="147">
        <v>0</v>
      </c>
      <c r="Q251" s="147">
        <v>0</v>
      </c>
      <c r="R251" s="147">
        <v>0</v>
      </c>
      <c r="S251" s="147">
        <v>0</v>
      </c>
      <c r="T251" s="147">
        <v>392187.06531251292</v>
      </c>
      <c r="U251" s="147">
        <v>0</v>
      </c>
      <c r="V251" s="147">
        <v>0</v>
      </c>
      <c r="W251" s="147">
        <v>0</v>
      </c>
      <c r="X251" s="147">
        <v>0</v>
      </c>
      <c r="Y251" s="147">
        <v>0</v>
      </c>
      <c r="Z251" s="147">
        <v>392187.06531251292</v>
      </c>
      <c r="AA251" s="147">
        <v>0</v>
      </c>
      <c r="AB251" s="147">
        <v>0</v>
      </c>
      <c r="AC251" s="147">
        <v>0</v>
      </c>
      <c r="AD251" s="147">
        <v>0</v>
      </c>
      <c r="AE251" s="147">
        <v>0</v>
      </c>
      <c r="AF251" s="147">
        <v>0</v>
      </c>
      <c r="AG251" s="147">
        <v>0</v>
      </c>
      <c r="AH251" s="147">
        <v>0</v>
      </c>
      <c r="AI251" s="147">
        <v>0</v>
      </c>
      <c r="AJ251" s="147">
        <v>0</v>
      </c>
      <c r="AK251" s="147">
        <v>0</v>
      </c>
      <c r="AL251" s="147">
        <v>0</v>
      </c>
      <c r="AM251" s="147">
        <v>0</v>
      </c>
      <c r="AN251" s="147">
        <v>0</v>
      </c>
      <c r="AO251" s="240">
        <v>0</v>
      </c>
      <c r="AP251" s="147">
        <f t="shared" si="16"/>
        <v>1176561.1959375388</v>
      </c>
    </row>
    <row r="252" spans="2:42">
      <c r="B252" s="147" t="str">
        <v>Operação Geral</v>
      </c>
      <c r="C252" s="149" t="str">
        <v>6</v>
      </c>
      <c r="D252" s="149" t="str">
        <v>6.1.2</v>
      </c>
      <c r="E252" s="149">
        <v>0</v>
      </c>
      <c r="F252" s="149">
        <v>0</v>
      </c>
      <c r="G252" s="147" t="str">
        <v>Radar Fixo - 1 Pistas</v>
      </c>
      <c r="H252" s="147" t="b">
        <v>0</v>
      </c>
      <c r="I252" s="147" t="b">
        <f t="shared" si="13"/>
        <v>0</v>
      </c>
      <c r="J252" s="147" t="b">
        <f t="shared" si="14"/>
        <v>0</v>
      </c>
      <c r="K252" s="147" t="b">
        <f t="shared" si="15"/>
        <v>1</v>
      </c>
      <c r="L252" s="147">
        <v>1406224.6020527319</v>
      </c>
      <c r="M252" s="147">
        <v>0</v>
      </c>
      <c r="N252" s="147">
        <v>0</v>
      </c>
      <c r="O252" s="147">
        <v>0</v>
      </c>
      <c r="P252" s="147">
        <v>0</v>
      </c>
      <c r="Q252" s="147">
        <v>0</v>
      </c>
      <c r="R252" s="147">
        <v>0</v>
      </c>
      <c r="S252" s="147">
        <v>0</v>
      </c>
      <c r="T252" s="147">
        <v>0</v>
      </c>
      <c r="U252" s="147">
        <v>0</v>
      </c>
      <c r="V252" s="147">
        <v>0</v>
      </c>
      <c r="W252" s="147">
        <v>0</v>
      </c>
      <c r="X252" s="147">
        <v>0</v>
      </c>
      <c r="Y252" s="147">
        <v>0</v>
      </c>
      <c r="Z252" s="147">
        <v>0</v>
      </c>
      <c r="AA252" s="147">
        <v>0</v>
      </c>
      <c r="AB252" s="147">
        <v>0</v>
      </c>
      <c r="AC252" s="147">
        <v>0</v>
      </c>
      <c r="AD252" s="147">
        <v>0</v>
      </c>
      <c r="AE252" s="147">
        <v>0</v>
      </c>
      <c r="AF252" s="147">
        <v>0</v>
      </c>
      <c r="AG252" s="147">
        <v>0</v>
      </c>
      <c r="AH252" s="147">
        <v>0</v>
      </c>
      <c r="AI252" s="147">
        <v>0</v>
      </c>
      <c r="AJ252" s="147">
        <v>0</v>
      </c>
      <c r="AK252" s="147">
        <v>0</v>
      </c>
      <c r="AL252" s="147">
        <v>0</v>
      </c>
      <c r="AM252" s="147">
        <v>0</v>
      </c>
      <c r="AN252" s="147">
        <v>0</v>
      </c>
      <c r="AO252" s="240">
        <v>0</v>
      </c>
      <c r="AP252" s="147">
        <f t="shared" si="16"/>
        <v>1406224.6020527319</v>
      </c>
    </row>
    <row r="253" spans="2:42">
      <c r="B253" s="147" t="str">
        <v>Operação Geral</v>
      </c>
      <c r="C253" s="149" t="str">
        <v>6</v>
      </c>
      <c r="D253" s="149" t="str">
        <v>6.1.2</v>
      </c>
      <c r="E253" s="149">
        <v>0</v>
      </c>
      <c r="F253" s="149">
        <v>0</v>
      </c>
      <c r="G253" s="147" t="str">
        <v>Radar Móvel (30 a 200 m)</v>
      </c>
      <c r="H253" s="147" t="b">
        <v>0</v>
      </c>
      <c r="I253" s="147" t="b">
        <f t="shared" si="13"/>
        <v>0</v>
      </c>
      <c r="J253" s="147" t="b">
        <f t="shared" si="14"/>
        <v>0</v>
      </c>
      <c r="K253" s="147" t="b">
        <f t="shared" si="15"/>
        <v>1</v>
      </c>
      <c r="L253" s="147">
        <v>0</v>
      </c>
      <c r="M253" s="147">
        <v>0</v>
      </c>
      <c r="N253" s="147">
        <v>0</v>
      </c>
      <c r="O253" s="147">
        <v>0</v>
      </c>
      <c r="P253" s="147">
        <v>0</v>
      </c>
      <c r="Q253" s="147">
        <v>0</v>
      </c>
      <c r="R253" s="147">
        <v>0</v>
      </c>
      <c r="S253" s="147">
        <v>0</v>
      </c>
      <c r="T253" s="147">
        <v>0</v>
      </c>
      <c r="U253" s="147">
        <v>0</v>
      </c>
      <c r="V253" s="147">
        <v>0</v>
      </c>
      <c r="W253" s="147">
        <v>0</v>
      </c>
      <c r="X253" s="147">
        <v>0</v>
      </c>
      <c r="Y253" s="147">
        <v>0</v>
      </c>
      <c r="Z253" s="147">
        <v>0</v>
      </c>
      <c r="AA253" s="147">
        <v>0</v>
      </c>
      <c r="AB253" s="147">
        <v>0</v>
      </c>
      <c r="AC253" s="147">
        <v>0</v>
      </c>
      <c r="AD253" s="147">
        <v>0</v>
      </c>
      <c r="AE253" s="147">
        <v>0</v>
      </c>
      <c r="AF253" s="147">
        <v>0</v>
      </c>
      <c r="AG253" s="147">
        <v>0</v>
      </c>
      <c r="AH253" s="147">
        <v>0</v>
      </c>
      <c r="AI253" s="147">
        <v>0</v>
      </c>
      <c r="AJ253" s="147">
        <v>0</v>
      </c>
      <c r="AK253" s="147">
        <v>0</v>
      </c>
      <c r="AL253" s="147">
        <v>0</v>
      </c>
      <c r="AM253" s="147">
        <v>0</v>
      </c>
      <c r="AN253" s="147">
        <v>0</v>
      </c>
      <c r="AO253" s="240">
        <v>0</v>
      </c>
      <c r="AP253" s="147">
        <f t="shared" si="16"/>
        <v>0</v>
      </c>
    </row>
    <row r="254" spans="2:42">
      <c r="B254" s="147" t="str">
        <v>Operação Geral</v>
      </c>
      <c r="C254" s="149" t="str">
        <v>6</v>
      </c>
      <c r="D254" s="149" t="str">
        <v>6.1.2</v>
      </c>
      <c r="E254" s="149">
        <v>0</v>
      </c>
      <c r="F254" s="149">
        <v>0</v>
      </c>
      <c r="G254" s="147" t="str">
        <v>Lombada Eletrônica (2 faixas)</v>
      </c>
      <c r="H254" s="147" t="b">
        <v>0</v>
      </c>
      <c r="I254" s="147" t="b">
        <f t="shared" si="13"/>
        <v>0</v>
      </c>
      <c r="J254" s="147" t="b">
        <f t="shared" si="14"/>
        <v>0</v>
      </c>
      <c r="K254" s="147" t="b">
        <f t="shared" si="15"/>
        <v>1</v>
      </c>
      <c r="L254" s="147">
        <v>0</v>
      </c>
      <c r="M254" s="147">
        <v>0</v>
      </c>
      <c r="N254" s="147">
        <v>0</v>
      </c>
      <c r="O254" s="147">
        <v>0</v>
      </c>
      <c r="P254" s="147">
        <v>0</v>
      </c>
      <c r="Q254" s="147">
        <v>0</v>
      </c>
      <c r="R254" s="147">
        <v>0</v>
      </c>
      <c r="S254" s="147">
        <v>0</v>
      </c>
      <c r="T254" s="147">
        <v>0</v>
      </c>
      <c r="U254" s="147">
        <v>0</v>
      </c>
      <c r="V254" s="147">
        <v>0</v>
      </c>
      <c r="W254" s="147">
        <v>0</v>
      </c>
      <c r="X254" s="147">
        <v>0</v>
      </c>
      <c r="Y254" s="147">
        <v>0</v>
      </c>
      <c r="Z254" s="147">
        <v>0</v>
      </c>
      <c r="AA254" s="147">
        <v>0</v>
      </c>
      <c r="AB254" s="147">
        <v>0</v>
      </c>
      <c r="AC254" s="147">
        <v>0</v>
      </c>
      <c r="AD254" s="147">
        <v>0</v>
      </c>
      <c r="AE254" s="147">
        <v>0</v>
      </c>
      <c r="AF254" s="147">
        <v>0</v>
      </c>
      <c r="AG254" s="147">
        <v>0</v>
      </c>
      <c r="AH254" s="147">
        <v>0</v>
      </c>
      <c r="AI254" s="147">
        <v>0</v>
      </c>
      <c r="AJ254" s="147">
        <v>0</v>
      </c>
      <c r="AK254" s="147">
        <v>0</v>
      </c>
      <c r="AL254" s="147">
        <v>0</v>
      </c>
      <c r="AM254" s="147">
        <v>0</v>
      </c>
      <c r="AN254" s="147">
        <v>0</v>
      </c>
      <c r="AO254" s="240">
        <v>0</v>
      </c>
      <c r="AP254" s="147">
        <f t="shared" si="16"/>
        <v>0</v>
      </c>
    </row>
    <row r="255" spans="2:42">
      <c r="B255" s="147" t="str">
        <v>Operação Geral</v>
      </c>
      <c r="C255" s="149" t="str">
        <v>6</v>
      </c>
      <c r="D255" s="149" t="str">
        <v>6.1.2</v>
      </c>
      <c r="E255" s="149">
        <v>0</v>
      </c>
      <c r="F255" s="149">
        <v>0</v>
      </c>
      <c r="G255" s="147" t="str">
        <v>Estação meteorológica</v>
      </c>
      <c r="H255" s="147" t="b">
        <v>0</v>
      </c>
      <c r="I255" s="147" t="b">
        <f t="shared" si="13"/>
        <v>0</v>
      </c>
      <c r="J255" s="147" t="b">
        <f t="shared" si="14"/>
        <v>0</v>
      </c>
      <c r="K255" s="147" t="b">
        <f t="shared" si="15"/>
        <v>1</v>
      </c>
      <c r="L255" s="147">
        <v>0</v>
      </c>
      <c r="M255" s="147">
        <v>0</v>
      </c>
      <c r="N255" s="147">
        <v>0</v>
      </c>
      <c r="O255" s="147">
        <v>0</v>
      </c>
      <c r="P255" s="147">
        <v>0</v>
      </c>
      <c r="Q255" s="147">
        <v>0</v>
      </c>
      <c r="R255" s="147">
        <v>0</v>
      </c>
      <c r="S255" s="147">
        <v>0</v>
      </c>
      <c r="T255" s="147">
        <v>0</v>
      </c>
      <c r="U255" s="147">
        <v>0</v>
      </c>
      <c r="V255" s="147">
        <v>0</v>
      </c>
      <c r="W255" s="147">
        <v>0</v>
      </c>
      <c r="X255" s="147">
        <v>0</v>
      </c>
      <c r="Y255" s="147">
        <v>0</v>
      </c>
      <c r="Z255" s="147">
        <v>0</v>
      </c>
      <c r="AA255" s="147">
        <v>0</v>
      </c>
      <c r="AB255" s="147">
        <v>0</v>
      </c>
      <c r="AC255" s="147">
        <v>0</v>
      </c>
      <c r="AD255" s="147">
        <v>0</v>
      </c>
      <c r="AE255" s="147">
        <v>0</v>
      </c>
      <c r="AF255" s="147">
        <v>0</v>
      </c>
      <c r="AG255" s="147">
        <v>0</v>
      </c>
      <c r="AH255" s="147">
        <v>0</v>
      </c>
      <c r="AI255" s="147">
        <v>0</v>
      </c>
      <c r="AJ255" s="147">
        <v>0</v>
      </c>
      <c r="AK255" s="147">
        <v>0</v>
      </c>
      <c r="AL255" s="147">
        <v>0</v>
      </c>
      <c r="AM255" s="147">
        <v>0</v>
      </c>
      <c r="AN255" s="147">
        <v>0</v>
      </c>
      <c r="AO255" s="240">
        <v>0</v>
      </c>
      <c r="AP255" s="147">
        <f t="shared" si="16"/>
        <v>0</v>
      </c>
    </row>
    <row r="256" spans="2:42">
      <c r="B256" s="147" t="str">
        <v>Operação Geral</v>
      </c>
      <c r="C256" s="149" t="str">
        <v>6</v>
      </c>
      <c r="D256" s="149" t="str">
        <v>6.1.2</v>
      </c>
      <c r="E256" s="149">
        <v>0</v>
      </c>
      <c r="F256" s="149">
        <v>0</v>
      </c>
      <c r="G256" s="147" t="str">
        <v>Base meteorológica</v>
      </c>
      <c r="H256" s="147" t="b">
        <v>0</v>
      </c>
      <c r="I256" s="147" t="b">
        <f t="shared" si="13"/>
        <v>0</v>
      </c>
      <c r="J256" s="147" t="b">
        <f t="shared" si="14"/>
        <v>0</v>
      </c>
      <c r="K256" s="147" t="b">
        <f t="shared" si="15"/>
        <v>1</v>
      </c>
      <c r="L256" s="147">
        <v>0</v>
      </c>
      <c r="M256" s="147">
        <v>0</v>
      </c>
      <c r="N256" s="147">
        <v>0</v>
      </c>
      <c r="O256" s="147">
        <v>0</v>
      </c>
      <c r="P256" s="147">
        <v>0</v>
      </c>
      <c r="Q256" s="147">
        <v>0</v>
      </c>
      <c r="R256" s="147">
        <v>0</v>
      </c>
      <c r="S256" s="147">
        <v>0</v>
      </c>
      <c r="T256" s="147">
        <v>0</v>
      </c>
      <c r="U256" s="147">
        <v>0</v>
      </c>
      <c r="V256" s="147">
        <v>0</v>
      </c>
      <c r="W256" s="147">
        <v>0</v>
      </c>
      <c r="X256" s="147">
        <v>0</v>
      </c>
      <c r="Y256" s="147">
        <v>0</v>
      </c>
      <c r="Z256" s="147">
        <v>0</v>
      </c>
      <c r="AA256" s="147">
        <v>0</v>
      </c>
      <c r="AB256" s="147">
        <v>0</v>
      </c>
      <c r="AC256" s="147">
        <v>0</v>
      </c>
      <c r="AD256" s="147">
        <v>0</v>
      </c>
      <c r="AE256" s="147">
        <v>0</v>
      </c>
      <c r="AF256" s="147">
        <v>0</v>
      </c>
      <c r="AG256" s="147">
        <v>0</v>
      </c>
      <c r="AH256" s="147">
        <v>0</v>
      </c>
      <c r="AI256" s="147">
        <v>0</v>
      </c>
      <c r="AJ256" s="147">
        <v>0</v>
      </c>
      <c r="AK256" s="147">
        <v>0</v>
      </c>
      <c r="AL256" s="147">
        <v>0</v>
      </c>
      <c r="AM256" s="147">
        <v>0</v>
      </c>
      <c r="AN256" s="147">
        <v>0</v>
      </c>
      <c r="AO256" s="240">
        <v>0</v>
      </c>
      <c r="AP256" s="147">
        <f t="shared" si="16"/>
        <v>0</v>
      </c>
    </row>
    <row r="257" spans="2:42">
      <c r="B257" s="147" t="str">
        <v>Operação Geral</v>
      </c>
      <c r="C257" s="149" t="str">
        <v>6</v>
      </c>
      <c r="D257" s="149" t="str">
        <v>6.1.2</v>
      </c>
      <c r="E257" s="149">
        <v>0</v>
      </c>
      <c r="F257" s="149">
        <v>0</v>
      </c>
      <c r="G257" s="147" t="str">
        <v>Sistema de Comunicação com os Usuários</v>
      </c>
      <c r="H257" s="147" t="b">
        <v>0</v>
      </c>
      <c r="I257" s="147" t="b">
        <f t="shared" si="13"/>
        <v>1</v>
      </c>
      <c r="J257" s="147" t="b">
        <f t="shared" si="14"/>
        <v>1</v>
      </c>
      <c r="K257" s="147" t="b">
        <f t="shared" si="15"/>
        <v>0</v>
      </c>
      <c r="L257" s="147">
        <v>0</v>
      </c>
      <c r="M257" s="147">
        <v>0</v>
      </c>
      <c r="N257" s="147">
        <v>0</v>
      </c>
      <c r="O257" s="147">
        <v>0</v>
      </c>
      <c r="P257" s="147">
        <v>0</v>
      </c>
      <c r="Q257" s="147">
        <v>0</v>
      </c>
      <c r="R257" s="147">
        <v>0</v>
      </c>
      <c r="S257" s="147">
        <v>0</v>
      </c>
      <c r="T257" s="147">
        <v>0</v>
      </c>
      <c r="U257" s="147">
        <v>0</v>
      </c>
      <c r="V257" s="147">
        <v>0</v>
      </c>
      <c r="W257" s="147">
        <v>0</v>
      </c>
      <c r="X257" s="147">
        <v>0</v>
      </c>
      <c r="Y257" s="147">
        <v>0</v>
      </c>
      <c r="Z257" s="147">
        <v>0</v>
      </c>
      <c r="AA257" s="147">
        <v>0</v>
      </c>
      <c r="AB257" s="147">
        <v>0</v>
      </c>
      <c r="AC257" s="147">
        <v>0</v>
      </c>
      <c r="AD257" s="147">
        <v>0</v>
      </c>
      <c r="AE257" s="147">
        <v>0</v>
      </c>
      <c r="AF257" s="147">
        <v>0</v>
      </c>
      <c r="AG257" s="147">
        <v>0</v>
      </c>
      <c r="AH257" s="147">
        <v>0</v>
      </c>
      <c r="AI257" s="147">
        <v>0</v>
      </c>
      <c r="AJ257" s="147">
        <v>0</v>
      </c>
      <c r="AK257" s="147">
        <v>0</v>
      </c>
      <c r="AL257" s="147">
        <v>0</v>
      </c>
      <c r="AM257" s="147">
        <v>0</v>
      </c>
      <c r="AN257" s="147">
        <v>0</v>
      </c>
      <c r="AO257" s="240">
        <v>0</v>
      </c>
      <c r="AP257" s="147">
        <f t="shared" si="16"/>
        <v>0</v>
      </c>
    </row>
    <row r="258" spans="2:42">
      <c r="B258" s="147" t="str">
        <v>Operação Geral</v>
      </c>
      <c r="C258" s="149" t="str">
        <v>6</v>
      </c>
      <c r="D258" s="149" t="str">
        <v>6.1.2</v>
      </c>
      <c r="E258" s="149">
        <v>0</v>
      </c>
      <c r="F258" s="149">
        <v>0</v>
      </c>
      <c r="G258" s="147" t="str">
        <v>Painéis de Mensagens</v>
      </c>
      <c r="H258" s="147" t="b">
        <v>0</v>
      </c>
      <c r="I258" s="147" t="b">
        <f t="shared" si="13"/>
        <v>0</v>
      </c>
      <c r="J258" s="147" t="b">
        <f t="shared" si="14"/>
        <v>0</v>
      </c>
      <c r="K258" s="147" t="b">
        <f t="shared" si="15"/>
        <v>1</v>
      </c>
      <c r="L258" s="147">
        <v>0</v>
      </c>
      <c r="M258" s="147">
        <v>0</v>
      </c>
      <c r="N258" s="147">
        <v>0</v>
      </c>
      <c r="O258" s="147">
        <v>0</v>
      </c>
      <c r="P258" s="147">
        <v>0</v>
      </c>
      <c r="Q258" s="147">
        <v>0</v>
      </c>
      <c r="R258" s="147">
        <v>0</v>
      </c>
      <c r="S258" s="147">
        <v>0</v>
      </c>
      <c r="T258" s="147">
        <v>0</v>
      </c>
      <c r="U258" s="147">
        <v>0</v>
      </c>
      <c r="V258" s="147">
        <v>0</v>
      </c>
      <c r="W258" s="147">
        <v>0</v>
      </c>
      <c r="X258" s="147">
        <v>0</v>
      </c>
      <c r="Y258" s="147">
        <v>0</v>
      </c>
      <c r="Z258" s="147">
        <v>0</v>
      </c>
      <c r="AA258" s="147">
        <v>0</v>
      </c>
      <c r="AB258" s="147">
        <v>0</v>
      </c>
      <c r="AC258" s="147">
        <v>0</v>
      </c>
      <c r="AD258" s="147">
        <v>0</v>
      </c>
      <c r="AE258" s="147">
        <v>0</v>
      </c>
      <c r="AF258" s="147">
        <v>0</v>
      </c>
      <c r="AG258" s="147">
        <v>0</v>
      </c>
      <c r="AH258" s="147">
        <v>0</v>
      </c>
      <c r="AI258" s="147">
        <v>0</v>
      </c>
      <c r="AJ258" s="147">
        <v>0</v>
      </c>
      <c r="AK258" s="147">
        <v>0</v>
      </c>
      <c r="AL258" s="147">
        <v>0</v>
      </c>
      <c r="AM258" s="147">
        <v>0</v>
      </c>
      <c r="AN258" s="147">
        <v>0</v>
      </c>
      <c r="AO258" s="240">
        <v>0</v>
      </c>
      <c r="AP258" s="147">
        <f t="shared" si="16"/>
        <v>0</v>
      </c>
    </row>
    <row r="259" spans="2:42">
      <c r="B259" s="147" t="str">
        <v>Operação Geral</v>
      </c>
      <c r="C259" s="149" t="str">
        <v>6</v>
      </c>
      <c r="D259" s="149" t="str">
        <v>6.1.2</v>
      </c>
      <c r="E259" s="149">
        <v>0</v>
      </c>
      <c r="F259" s="149">
        <v>0</v>
      </c>
      <c r="G259" s="147" t="str">
        <v>Painel de Mensagem Variável Fixo</v>
      </c>
      <c r="H259" s="147" t="b">
        <v>0</v>
      </c>
      <c r="I259" s="147" t="b">
        <f t="shared" si="13"/>
        <v>0</v>
      </c>
      <c r="J259" s="147" t="b">
        <f t="shared" si="14"/>
        <v>0</v>
      </c>
      <c r="K259" s="147" t="b">
        <f t="shared" si="15"/>
        <v>1</v>
      </c>
      <c r="L259" s="147">
        <v>0</v>
      </c>
      <c r="M259" s="147">
        <v>0</v>
      </c>
      <c r="N259" s="147">
        <v>0</v>
      </c>
      <c r="O259" s="147">
        <v>0</v>
      </c>
      <c r="P259" s="147">
        <v>0</v>
      </c>
      <c r="Q259" s="147">
        <v>0</v>
      </c>
      <c r="R259" s="147">
        <v>0</v>
      </c>
      <c r="S259" s="147">
        <v>0</v>
      </c>
      <c r="T259" s="147">
        <v>0</v>
      </c>
      <c r="U259" s="147">
        <v>0</v>
      </c>
      <c r="V259" s="147">
        <v>0</v>
      </c>
      <c r="W259" s="147">
        <v>0</v>
      </c>
      <c r="X259" s="147">
        <v>0</v>
      </c>
      <c r="Y259" s="147">
        <v>0</v>
      </c>
      <c r="Z259" s="147">
        <v>0</v>
      </c>
      <c r="AA259" s="147">
        <v>0</v>
      </c>
      <c r="AB259" s="147">
        <v>0</v>
      </c>
      <c r="AC259" s="147">
        <v>0</v>
      </c>
      <c r="AD259" s="147">
        <v>0</v>
      </c>
      <c r="AE259" s="147">
        <v>0</v>
      </c>
      <c r="AF259" s="147">
        <v>0</v>
      </c>
      <c r="AG259" s="147">
        <v>0</v>
      </c>
      <c r="AH259" s="147">
        <v>0</v>
      </c>
      <c r="AI259" s="147">
        <v>0</v>
      </c>
      <c r="AJ259" s="147">
        <v>0</v>
      </c>
      <c r="AK259" s="147">
        <v>0</v>
      </c>
      <c r="AL259" s="147">
        <v>0</v>
      </c>
      <c r="AM259" s="147">
        <v>0</v>
      </c>
      <c r="AN259" s="147">
        <v>0</v>
      </c>
      <c r="AO259" s="240">
        <v>0</v>
      </c>
      <c r="AP259" s="147">
        <f t="shared" si="16"/>
        <v>0</v>
      </c>
    </row>
    <row r="260" spans="2:42">
      <c r="B260" s="147" t="str">
        <v>Operação Geral</v>
      </c>
      <c r="C260" s="149" t="str">
        <v>6</v>
      </c>
      <c r="D260" s="149" t="str">
        <v>6.1.2</v>
      </c>
      <c r="E260" s="149">
        <v>0</v>
      </c>
      <c r="F260" s="149">
        <v>0</v>
      </c>
      <c r="G260" s="147" t="str">
        <v>Painel de Mensagem Variável Móvel</v>
      </c>
      <c r="H260" s="147" t="b">
        <v>0</v>
      </c>
      <c r="I260" s="147" t="b">
        <f t="shared" si="13"/>
        <v>0</v>
      </c>
      <c r="J260" s="147" t="b">
        <f t="shared" si="14"/>
        <v>0</v>
      </c>
      <c r="K260" s="147" t="b">
        <f t="shared" si="15"/>
        <v>1</v>
      </c>
      <c r="L260" s="147">
        <v>0</v>
      </c>
      <c r="M260" s="147">
        <v>0</v>
      </c>
      <c r="N260" s="147">
        <v>0</v>
      </c>
      <c r="O260" s="147">
        <v>0</v>
      </c>
      <c r="P260" s="147">
        <v>0</v>
      </c>
      <c r="Q260" s="147">
        <v>0</v>
      </c>
      <c r="R260" s="147">
        <v>0</v>
      </c>
      <c r="S260" s="147">
        <v>0</v>
      </c>
      <c r="T260" s="147">
        <v>0</v>
      </c>
      <c r="U260" s="147">
        <v>0</v>
      </c>
      <c r="V260" s="147">
        <v>0</v>
      </c>
      <c r="W260" s="147">
        <v>0</v>
      </c>
      <c r="X260" s="147">
        <v>0</v>
      </c>
      <c r="Y260" s="147">
        <v>0</v>
      </c>
      <c r="Z260" s="147">
        <v>0</v>
      </c>
      <c r="AA260" s="147">
        <v>0</v>
      </c>
      <c r="AB260" s="147">
        <v>0</v>
      </c>
      <c r="AC260" s="147">
        <v>0</v>
      </c>
      <c r="AD260" s="147">
        <v>0</v>
      </c>
      <c r="AE260" s="147">
        <v>0</v>
      </c>
      <c r="AF260" s="147">
        <v>0</v>
      </c>
      <c r="AG260" s="147">
        <v>0</v>
      </c>
      <c r="AH260" s="147">
        <v>0</v>
      </c>
      <c r="AI260" s="147">
        <v>0</v>
      </c>
      <c r="AJ260" s="147">
        <v>0</v>
      </c>
      <c r="AK260" s="147">
        <v>0</v>
      </c>
      <c r="AL260" s="147">
        <v>0</v>
      </c>
      <c r="AM260" s="147">
        <v>0</v>
      </c>
      <c r="AN260" s="147">
        <v>0</v>
      </c>
      <c r="AO260" s="240">
        <v>0</v>
      </c>
      <c r="AP260" s="147">
        <f t="shared" si="16"/>
        <v>0</v>
      </c>
    </row>
    <row r="261" spans="2:42">
      <c r="B261" s="147" t="str">
        <v>Operação Geral</v>
      </c>
      <c r="C261" s="149" t="str">
        <v>6</v>
      </c>
      <c r="D261" s="149" t="str">
        <v>6.1.2</v>
      </c>
      <c r="E261" s="149">
        <v>0</v>
      </c>
      <c r="F261" s="149">
        <v>0</v>
      </c>
      <c r="G261" s="147" t="str">
        <v>Serviço de Autoatendimento (SAU)</v>
      </c>
      <c r="H261" s="147" t="b">
        <v>0</v>
      </c>
      <c r="I261" s="147" t="b">
        <f t="shared" si="13"/>
        <v>0</v>
      </c>
      <c r="J261" s="147" t="b">
        <f t="shared" si="14"/>
        <v>0</v>
      </c>
      <c r="K261" s="147" t="b">
        <f t="shared" si="15"/>
        <v>1</v>
      </c>
      <c r="L261" s="147">
        <v>0</v>
      </c>
      <c r="M261" s="147">
        <v>0</v>
      </c>
      <c r="N261" s="147">
        <v>0</v>
      </c>
      <c r="O261" s="147">
        <v>0</v>
      </c>
      <c r="P261" s="147">
        <v>0</v>
      </c>
      <c r="Q261" s="147">
        <v>0</v>
      </c>
      <c r="R261" s="147">
        <v>0</v>
      </c>
      <c r="S261" s="147">
        <v>0</v>
      </c>
      <c r="T261" s="147">
        <v>0</v>
      </c>
      <c r="U261" s="147">
        <v>0</v>
      </c>
      <c r="V261" s="147">
        <v>0</v>
      </c>
      <c r="W261" s="147">
        <v>0</v>
      </c>
      <c r="X261" s="147">
        <v>0</v>
      </c>
      <c r="Y261" s="147">
        <v>0</v>
      </c>
      <c r="Z261" s="147">
        <v>0</v>
      </c>
      <c r="AA261" s="147">
        <v>0</v>
      </c>
      <c r="AB261" s="147">
        <v>0</v>
      </c>
      <c r="AC261" s="147">
        <v>0</v>
      </c>
      <c r="AD261" s="147">
        <v>0</v>
      </c>
      <c r="AE261" s="147">
        <v>0</v>
      </c>
      <c r="AF261" s="147">
        <v>0</v>
      </c>
      <c r="AG261" s="147">
        <v>0</v>
      </c>
      <c r="AH261" s="147">
        <v>0</v>
      </c>
      <c r="AI261" s="147">
        <v>0</v>
      </c>
      <c r="AJ261" s="147">
        <v>0</v>
      </c>
      <c r="AK261" s="147">
        <v>0</v>
      </c>
      <c r="AL261" s="147">
        <v>0</v>
      </c>
      <c r="AM261" s="147">
        <v>0</v>
      </c>
      <c r="AN261" s="147">
        <v>0</v>
      </c>
      <c r="AO261" s="240">
        <v>0</v>
      </c>
      <c r="AP261" s="147">
        <f t="shared" si="16"/>
        <v>0</v>
      </c>
    </row>
    <row r="262" spans="2:42">
      <c r="B262" s="147" t="str">
        <v>Operação Geral</v>
      </c>
      <c r="C262" s="149" t="str">
        <v>6</v>
      </c>
      <c r="D262" s="149" t="str">
        <v>6.1.2</v>
      </c>
      <c r="E262" s="149">
        <v>0</v>
      </c>
      <c r="F262" s="149">
        <v>0</v>
      </c>
      <c r="G262" s="147" t="str">
        <v>Software com interface web + PABX p/ SA</v>
      </c>
      <c r="H262" s="147" t="b">
        <v>0</v>
      </c>
      <c r="I262" s="147" t="b">
        <f t="shared" ref="I262:I325" si="17">OR(ISNUMBER(FIND("Antivirus",G262)),
    ISNUMBER(FIND("ARCGIS",G262)),
    ISNUMBER(FIND("AutoCAD",G262)),
    ISNUMBER(FIND("Correio eletrônico",G262)),
    ISNUMBER(FIND("ISO 9001:2008",G262)),
    ISNUMBER(FIND("Microsoft",G262)),
    ISNUMBER(FIND("Sistema de Informações Georreferenciadas",G262)),
    ISNUMBER(FIND("Sistema 0800 - CCO",G262)),
    ISNUMBER(FIND("Sistema de Comunicação com os Usuários",G262)),
    ISNUMBER(FIND("Software",G262)),
    ISNUMBER(FIND("Storage",G262)),
    ISNUMBER(FIND("Windows Server",G262)))</f>
        <v>1</v>
      </c>
      <c r="J262" s="147" t="b">
        <f t="shared" ref="J262:J325" si="18">OR(F262,I262)</f>
        <v>1</v>
      </c>
      <c r="K262" s="147" t="b">
        <f t="shared" ref="K262:K325" si="19">AND(NOT(H262),NOT(J262))</f>
        <v>0</v>
      </c>
      <c r="L262" s="147">
        <v>0</v>
      </c>
      <c r="M262" s="147">
        <v>0</v>
      </c>
      <c r="N262" s="147">
        <v>0</v>
      </c>
      <c r="O262" s="147">
        <v>0</v>
      </c>
      <c r="P262" s="147">
        <v>0</v>
      </c>
      <c r="Q262" s="147">
        <v>0</v>
      </c>
      <c r="R262" s="147">
        <v>0</v>
      </c>
      <c r="S262" s="147">
        <v>0</v>
      </c>
      <c r="T262" s="147">
        <v>0</v>
      </c>
      <c r="U262" s="147">
        <v>0</v>
      </c>
      <c r="V262" s="147">
        <v>0</v>
      </c>
      <c r="W262" s="147">
        <v>0</v>
      </c>
      <c r="X262" s="147">
        <v>0</v>
      </c>
      <c r="Y262" s="147">
        <v>0</v>
      </c>
      <c r="Z262" s="147">
        <v>0</v>
      </c>
      <c r="AA262" s="147">
        <v>0</v>
      </c>
      <c r="AB262" s="147">
        <v>0</v>
      </c>
      <c r="AC262" s="147">
        <v>0</v>
      </c>
      <c r="AD262" s="147">
        <v>0</v>
      </c>
      <c r="AE262" s="147">
        <v>0</v>
      </c>
      <c r="AF262" s="147">
        <v>0</v>
      </c>
      <c r="AG262" s="147">
        <v>0</v>
      </c>
      <c r="AH262" s="147">
        <v>0</v>
      </c>
      <c r="AI262" s="147">
        <v>0</v>
      </c>
      <c r="AJ262" s="147">
        <v>0</v>
      </c>
      <c r="AK262" s="147">
        <v>0</v>
      </c>
      <c r="AL262" s="147">
        <v>0</v>
      </c>
      <c r="AM262" s="147">
        <v>0</v>
      </c>
      <c r="AN262" s="147">
        <v>0</v>
      </c>
      <c r="AO262" s="240">
        <v>0</v>
      </c>
      <c r="AP262" s="147">
        <f t="shared" ref="AP262:AP325" si="20">SUM(L262:AO262)</f>
        <v>0</v>
      </c>
    </row>
    <row r="263" spans="2:42">
      <c r="B263" s="147" t="str">
        <v>Operação Geral</v>
      </c>
      <c r="C263" s="149" t="str">
        <v>6</v>
      </c>
      <c r="D263" s="149" t="str">
        <v>6.1.2</v>
      </c>
      <c r="E263" s="149">
        <v>0</v>
      </c>
      <c r="F263" s="149">
        <v>0</v>
      </c>
      <c r="G263" s="147" t="str">
        <v>Totem de Autoatendimento</v>
      </c>
      <c r="H263" s="147" t="b">
        <v>0</v>
      </c>
      <c r="I263" s="147" t="b">
        <f t="shared" si="17"/>
        <v>0</v>
      </c>
      <c r="J263" s="147" t="b">
        <f t="shared" si="18"/>
        <v>0</v>
      </c>
      <c r="K263" s="147" t="b">
        <f t="shared" si="19"/>
        <v>1</v>
      </c>
      <c r="L263" s="147">
        <v>0</v>
      </c>
      <c r="M263" s="147">
        <v>0</v>
      </c>
      <c r="N263" s="147">
        <v>0</v>
      </c>
      <c r="O263" s="147">
        <v>0</v>
      </c>
      <c r="P263" s="147">
        <v>0</v>
      </c>
      <c r="Q263" s="147">
        <v>0</v>
      </c>
      <c r="R263" s="147">
        <v>0</v>
      </c>
      <c r="S263" s="147">
        <v>0</v>
      </c>
      <c r="T263" s="147">
        <v>0</v>
      </c>
      <c r="U263" s="147">
        <v>0</v>
      </c>
      <c r="V263" s="147">
        <v>0</v>
      </c>
      <c r="W263" s="147">
        <v>0</v>
      </c>
      <c r="X263" s="147">
        <v>0</v>
      </c>
      <c r="Y263" s="147">
        <v>0</v>
      </c>
      <c r="Z263" s="147">
        <v>0</v>
      </c>
      <c r="AA263" s="147">
        <v>0</v>
      </c>
      <c r="AB263" s="147">
        <v>0</v>
      </c>
      <c r="AC263" s="147">
        <v>0</v>
      </c>
      <c r="AD263" s="147">
        <v>0</v>
      </c>
      <c r="AE263" s="147">
        <v>0</v>
      </c>
      <c r="AF263" s="147">
        <v>0</v>
      </c>
      <c r="AG263" s="147">
        <v>0</v>
      </c>
      <c r="AH263" s="147">
        <v>0</v>
      </c>
      <c r="AI263" s="147">
        <v>0</v>
      </c>
      <c r="AJ263" s="147">
        <v>0</v>
      </c>
      <c r="AK263" s="147">
        <v>0</v>
      </c>
      <c r="AL263" s="147">
        <v>0</v>
      </c>
      <c r="AM263" s="147">
        <v>0</v>
      </c>
      <c r="AN263" s="147">
        <v>0</v>
      </c>
      <c r="AO263" s="240">
        <v>0</v>
      </c>
      <c r="AP263" s="147">
        <f t="shared" si="20"/>
        <v>0</v>
      </c>
    </row>
    <row r="264" spans="2:42">
      <c r="B264" s="147" t="str">
        <v>Operação Geral</v>
      </c>
      <c r="C264" s="149" t="str">
        <v>6</v>
      </c>
      <c r="D264" s="149" t="str">
        <v>6.1.2</v>
      </c>
      <c r="E264" s="149">
        <v>0</v>
      </c>
      <c r="F264" s="149">
        <v>0</v>
      </c>
      <c r="G264" s="147" t="str">
        <v>Sistema de Radiocomunicação</v>
      </c>
      <c r="H264" s="147" t="b">
        <v>0</v>
      </c>
      <c r="I264" s="147" t="b">
        <f t="shared" si="17"/>
        <v>0</v>
      </c>
      <c r="J264" s="147" t="b">
        <f t="shared" si="18"/>
        <v>0</v>
      </c>
      <c r="K264" s="147" t="b">
        <f t="shared" si="19"/>
        <v>1</v>
      </c>
      <c r="L264" s="147">
        <v>0</v>
      </c>
      <c r="M264" s="147">
        <v>0</v>
      </c>
      <c r="N264" s="147">
        <v>0</v>
      </c>
      <c r="O264" s="147">
        <v>0</v>
      </c>
      <c r="P264" s="147">
        <v>0</v>
      </c>
      <c r="Q264" s="147">
        <v>0</v>
      </c>
      <c r="R264" s="147">
        <v>0</v>
      </c>
      <c r="S264" s="147">
        <v>0</v>
      </c>
      <c r="T264" s="147">
        <v>0</v>
      </c>
      <c r="U264" s="147">
        <v>0</v>
      </c>
      <c r="V264" s="147">
        <v>0</v>
      </c>
      <c r="W264" s="147">
        <v>0</v>
      </c>
      <c r="X264" s="147">
        <v>0</v>
      </c>
      <c r="Y264" s="147">
        <v>0</v>
      </c>
      <c r="Z264" s="147">
        <v>0</v>
      </c>
      <c r="AA264" s="147">
        <v>0</v>
      </c>
      <c r="AB264" s="147">
        <v>0</v>
      </c>
      <c r="AC264" s="147">
        <v>0</v>
      </c>
      <c r="AD264" s="147">
        <v>0</v>
      </c>
      <c r="AE264" s="147">
        <v>0</v>
      </c>
      <c r="AF264" s="147">
        <v>0</v>
      </c>
      <c r="AG264" s="147">
        <v>0</v>
      </c>
      <c r="AH264" s="147">
        <v>0</v>
      </c>
      <c r="AI264" s="147">
        <v>0</v>
      </c>
      <c r="AJ264" s="147">
        <v>0</v>
      </c>
      <c r="AK264" s="147">
        <v>0</v>
      </c>
      <c r="AL264" s="147">
        <v>0</v>
      </c>
      <c r="AM264" s="147">
        <v>0</v>
      </c>
      <c r="AN264" s="147">
        <v>0</v>
      </c>
      <c r="AO264" s="240">
        <v>0</v>
      </c>
      <c r="AP264" s="147">
        <f t="shared" si="20"/>
        <v>0</v>
      </c>
    </row>
    <row r="265" spans="2:42">
      <c r="B265" s="147" t="str">
        <v>Operação Geral</v>
      </c>
      <c r="C265" s="149" t="str">
        <v>6</v>
      </c>
      <c r="D265" s="149" t="str">
        <v>6.1.2</v>
      </c>
      <c r="E265" s="149">
        <v>0</v>
      </c>
      <c r="F265" s="149">
        <v>0</v>
      </c>
      <c r="G265" s="147" t="str">
        <v>Sistema de Voz e Dados</v>
      </c>
      <c r="H265" s="147" t="b">
        <v>0</v>
      </c>
      <c r="I265" s="147" t="b">
        <f t="shared" si="17"/>
        <v>0</v>
      </c>
      <c r="J265" s="147" t="b">
        <f t="shared" si="18"/>
        <v>0</v>
      </c>
      <c r="K265" s="147" t="b">
        <f t="shared" si="19"/>
        <v>1</v>
      </c>
      <c r="L265" s="147">
        <v>769393.57810508052</v>
      </c>
      <c r="M265" s="147">
        <v>0</v>
      </c>
      <c r="N265" s="147">
        <v>0</v>
      </c>
      <c r="O265" s="147">
        <v>0</v>
      </c>
      <c r="P265" s="147">
        <v>0</v>
      </c>
      <c r="Q265" s="147">
        <v>0</v>
      </c>
      <c r="R265" s="147">
        <v>0</v>
      </c>
      <c r="S265" s="147">
        <v>0</v>
      </c>
      <c r="T265" s="147">
        <v>0</v>
      </c>
      <c r="U265" s="147">
        <v>0</v>
      </c>
      <c r="V265" s="147">
        <v>0</v>
      </c>
      <c r="W265" s="147">
        <v>0</v>
      </c>
      <c r="X265" s="147">
        <v>0</v>
      </c>
      <c r="Y265" s="147">
        <v>0</v>
      </c>
      <c r="Z265" s="147">
        <v>0</v>
      </c>
      <c r="AA265" s="147">
        <v>0</v>
      </c>
      <c r="AB265" s="147">
        <v>0</v>
      </c>
      <c r="AC265" s="147">
        <v>0</v>
      </c>
      <c r="AD265" s="147">
        <v>0</v>
      </c>
      <c r="AE265" s="147">
        <v>0</v>
      </c>
      <c r="AF265" s="147">
        <v>0</v>
      </c>
      <c r="AG265" s="147">
        <v>0</v>
      </c>
      <c r="AH265" s="147">
        <v>0</v>
      </c>
      <c r="AI265" s="147">
        <v>0</v>
      </c>
      <c r="AJ265" s="147">
        <v>0</v>
      </c>
      <c r="AK265" s="147">
        <v>0</v>
      </c>
      <c r="AL265" s="147">
        <v>0</v>
      </c>
      <c r="AM265" s="147">
        <v>0</v>
      </c>
      <c r="AN265" s="147">
        <v>0</v>
      </c>
      <c r="AO265" s="240">
        <v>0</v>
      </c>
      <c r="AP265" s="147">
        <f t="shared" si="20"/>
        <v>769393.57810508052</v>
      </c>
    </row>
    <row r="266" spans="2:42">
      <c r="B266" s="147" t="str">
        <v>Operação Geral</v>
      </c>
      <c r="C266" s="149" t="str">
        <v>6</v>
      </c>
      <c r="D266" s="149" t="str">
        <v>6.1.2</v>
      </c>
      <c r="E266" s="149">
        <v>0</v>
      </c>
      <c r="F266" s="149">
        <v>0</v>
      </c>
      <c r="G266" s="147" t="str">
        <v>Estação Portátil</v>
      </c>
      <c r="H266" s="147" t="b">
        <v>0</v>
      </c>
      <c r="I266" s="147" t="b">
        <f t="shared" si="17"/>
        <v>0</v>
      </c>
      <c r="J266" s="147" t="b">
        <f t="shared" si="18"/>
        <v>0</v>
      </c>
      <c r="K266" s="147" t="b">
        <f t="shared" si="19"/>
        <v>1</v>
      </c>
      <c r="L266" s="147">
        <v>114149.45386838781</v>
      </c>
      <c r="M266" s="147">
        <v>79026.544985806948</v>
      </c>
      <c r="N266" s="147">
        <v>21951.818051613041</v>
      </c>
      <c r="O266" s="147">
        <v>0</v>
      </c>
      <c r="P266" s="147">
        <v>0</v>
      </c>
      <c r="Q266" s="147">
        <v>0</v>
      </c>
      <c r="R266" s="147">
        <v>21951.818051613041</v>
      </c>
      <c r="S266" s="147">
        <v>0</v>
      </c>
      <c r="T266" s="147">
        <v>0</v>
      </c>
      <c r="U266" s="147">
        <v>0</v>
      </c>
      <c r="V266" s="147">
        <v>0</v>
      </c>
      <c r="W266" s="147">
        <v>0</v>
      </c>
      <c r="X266" s="147">
        <v>0</v>
      </c>
      <c r="Y266" s="147">
        <v>0</v>
      </c>
      <c r="Z266" s="147">
        <v>0</v>
      </c>
      <c r="AA266" s="147">
        <v>0</v>
      </c>
      <c r="AB266" s="147">
        <v>0</v>
      </c>
      <c r="AC266" s="147">
        <v>0</v>
      </c>
      <c r="AD266" s="147">
        <v>0</v>
      </c>
      <c r="AE266" s="147">
        <v>0</v>
      </c>
      <c r="AF266" s="147">
        <v>0</v>
      </c>
      <c r="AG266" s="147">
        <v>0</v>
      </c>
      <c r="AH266" s="147">
        <v>0</v>
      </c>
      <c r="AI266" s="147">
        <v>0</v>
      </c>
      <c r="AJ266" s="147">
        <v>0</v>
      </c>
      <c r="AK266" s="147">
        <v>0</v>
      </c>
      <c r="AL266" s="147">
        <v>0</v>
      </c>
      <c r="AM266" s="147">
        <v>0</v>
      </c>
      <c r="AN266" s="147">
        <v>0</v>
      </c>
      <c r="AO266" s="240">
        <v>0</v>
      </c>
      <c r="AP266" s="147">
        <f t="shared" si="20"/>
        <v>237079.63495742087</v>
      </c>
    </row>
    <row r="267" spans="2:42">
      <c r="B267" s="147" t="str">
        <v>Operação Geral</v>
      </c>
      <c r="C267" s="149" t="str">
        <v>6</v>
      </c>
      <c r="D267" s="149" t="str">
        <v>6.1.2</v>
      </c>
      <c r="E267" s="149">
        <v>0</v>
      </c>
      <c r="F267" s="149">
        <v>0</v>
      </c>
      <c r="G267" s="147" t="str">
        <v>Estação Fixa</v>
      </c>
      <c r="H267" s="147" t="b">
        <v>0</v>
      </c>
      <c r="I267" s="147" t="b">
        <f t="shared" si="17"/>
        <v>0</v>
      </c>
      <c r="J267" s="147" t="b">
        <f t="shared" si="18"/>
        <v>0</v>
      </c>
      <c r="K267" s="147" t="b">
        <f t="shared" si="19"/>
        <v>1</v>
      </c>
      <c r="L267" s="147">
        <v>192060.92325923691</v>
      </c>
      <c r="M267" s="147">
        <v>0</v>
      </c>
      <c r="N267" s="147">
        <v>0</v>
      </c>
      <c r="O267" s="147">
        <v>0</v>
      </c>
      <c r="P267" s="147">
        <v>0</v>
      </c>
      <c r="Q267" s="147">
        <v>0</v>
      </c>
      <c r="R267" s="147">
        <v>0</v>
      </c>
      <c r="S267" s="147">
        <v>0</v>
      </c>
      <c r="T267" s="147">
        <v>0</v>
      </c>
      <c r="U267" s="147">
        <v>0</v>
      </c>
      <c r="V267" s="147">
        <v>0</v>
      </c>
      <c r="W267" s="147">
        <v>0</v>
      </c>
      <c r="X267" s="147">
        <v>0</v>
      </c>
      <c r="Y267" s="147">
        <v>0</v>
      </c>
      <c r="Z267" s="147">
        <v>0</v>
      </c>
      <c r="AA267" s="147">
        <v>0</v>
      </c>
      <c r="AB267" s="147">
        <v>0</v>
      </c>
      <c r="AC267" s="147">
        <v>0</v>
      </c>
      <c r="AD267" s="147">
        <v>0</v>
      </c>
      <c r="AE267" s="147">
        <v>0</v>
      </c>
      <c r="AF267" s="147">
        <v>0</v>
      </c>
      <c r="AG267" s="147">
        <v>0</v>
      </c>
      <c r="AH267" s="147">
        <v>0</v>
      </c>
      <c r="AI267" s="147">
        <v>0</v>
      </c>
      <c r="AJ267" s="147">
        <v>0</v>
      </c>
      <c r="AK267" s="147">
        <v>0</v>
      </c>
      <c r="AL267" s="147">
        <v>0</v>
      </c>
      <c r="AM267" s="147">
        <v>0</v>
      </c>
      <c r="AN267" s="147">
        <v>0</v>
      </c>
      <c r="AO267" s="240">
        <v>0</v>
      </c>
      <c r="AP267" s="147">
        <f t="shared" si="20"/>
        <v>192060.92325923691</v>
      </c>
    </row>
    <row r="268" spans="2:42">
      <c r="B268" s="147" t="str">
        <v>Operação Geral</v>
      </c>
      <c r="C268" s="149" t="str">
        <v>6</v>
      </c>
      <c r="D268" s="149" t="str">
        <v>6.1.2</v>
      </c>
      <c r="E268" s="149">
        <v>0</v>
      </c>
      <c r="F268" s="149">
        <v>0</v>
      </c>
      <c r="G268" s="147" t="str">
        <v>Estação Móvel</v>
      </c>
      <c r="H268" s="147" t="b">
        <v>0</v>
      </c>
      <c r="I268" s="147" t="b">
        <f t="shared" si="17"/>
        <v>0</v>
      </c>
      <c r="J268" s="147" t="b">
        <f t="shared" si="18"/>
        <v>0</v>
      </c>
      <c r="K268" s="147" t="b">
        <f t="shared" si="19"/>
        <v>1</v>
      </c>
      <c r="L268" s="147">
        <v>129216.14122659061</v>
      </c>
      <c r="M268" s="147">
        <v>0</v>
      </c>
      <c r="N268" s="147">
        <v>0</v>
      </c>
      <c r="O268" s="147">
        <v>0</v>
      </c>
      <c r="P268" s="147">
        <v>0</v>
      </c>
      <c r="Q268" s="147">
        <v>0</v>
      </c>
      <c r="R268" s="147">
        <v>0</v>
      </c>
      <c r="S268" s="147">
        <v>0</v>
      </c>
      <c r="T268" s="147">
        <v>0</v>
      </c>
      <c r="U268" s="147">
        <v>0</v>
      </c>
      <c r="V268" s="147">
        <v>0</v>
      </c>
      <c r="W268" s="147">
        <v>0</v>
      </c>
      <c r="X268" s="147">
        <v>0</v>
      </c>
      <c r="Y268" s="147">
        <v>0</v>
      </c>
      <c r="Z268" s="147">
        <v>0</v>
      </c>
      <c r="AA268" s="147">
        <v>0</v>
      </c>
      <c r="AB268" s="147">
        <v>0</v>
      </c>
      <c r="AC268" s="147">
        <v>0</v>
      </c>
      <c r="AD268" s="147">
        <v>0</v>
      </c>
      <c r="AE268" s="147">
        <v>0</v>
      </c>
      <c r="AF268" s="147">
        <v>0</v>
      </c>
      <c r="AG268" s="147">
        <v>0</v>
      </c>
      <c r="AH268" s="147">
        <v>0</v>
      </c>
      <c r="AI268" s="147">
        <v>0</v>
      </c>
      <c r="AJ268" s="147">
        <v>0</v>
      </c>
      <c r="AK268" s="147">
        <v>0</v>
      </c>
      <c r="AL268" s="147">
        <v>0</v>
      </c>
      <c r="AM268" s="147">
        <v>0</v>
      </c>
      <c r="AN268" s="147">
        <v>0</v>
      </c>
      <c r="AO268" s="240">
        <v>0</v>
      </c>
      <c r="AP268" s="147">
        <f t="shared" si="20"/>
        <v>129216.14122659061</v>
      </c>
    </row>
    <row r="269" spans="2:42">
      <c r="B269" s="147" t="str">
        <v>Operação Geral</v>
      </c>
      <c r="C269" s="149" t="str">
        <v>6</v>
      </c>
      <c r="D269" s="149" t="str">
        <v>6.1.2</v>
      </c>
      <c r="E269" s="149">
        <v>0</v>
      </c>
      <c r="F269" s="149">
        <v>0</v>
      </c>
      <c r="G269" s="147" t="str">
        <v>Repetidoras</v>
      </c>
      <c r="H269" s="147" t="b">
        <v>0</v>
      </c>
      <c r="I269" s="147" t="b">
        <f t="shared" si="17"/>
        <v>0</v>
      </c>
      <c r="J269" s="147" t="b">
        <f t="shared" si="18"/>
        <v>0</v>
      </c>
      <c r="K269" s="147" t="b">
        <f t="shared" si="19"/>
        <v>1</v>
      </c>
      <c r="L269" s="147">
        <v>3165304.2468096483</v>
      </c>
      <c r="M269" s="147">
        <v>0</v>
      </c>
      <c r="N269" s="147">
        <v>0</v>
      </c>
      <c r="O269" s="147">
        <v>0</v>
      </c>
      <c r="P269" s="147">
        <v>0</v>
      </c>
      <c r="Q269" s="147">
        <v>0</v>
      </c>
      <c r="R269" s="147">
        <v>0</v>
      </c>
      <c r="S269" s="147">
        <v>0</v>
      </c>
      <c r="T269" s="147">
        <v>0</v>
      </c>
      <c r="U269" s="147">
        <v>0</v>
      </c>
      <c r="V269" s="147">
        <v>0</v>
      </c>
      <c r="W269" s="147">
        <v>0</v>
      </c>
      <c r="X269" s="147">
        <v>0</v>
      </c>
      <c r="Y269" s="147">
        <v>0</v>
      </c>
      <c r="Z269" s="147">
        <v>0</v>
      </c>
      <c r="AA269" s="147">
        <v>0</v>
      </c>
      <c r="AB269" s="147">
        <v>0</v>
      </c>
      <c r="AC269" s="147">
        <v>0</v>
      </c>
      <c r="AD269" s="147">
        <v>0</v>
      </c>
      <c r="AE269" s="147">
        <v>0</v>
      </c>
      <c r="AF269" s="147">
        <v>0</v>
      </c>
      <c r="AG269" s="147">
        <v>0</v>
      </c>
      <c r="AH269" s="147">
        <v>0</v>
      </c>
      <c r="AI269" s="147">
        <v>0</v>
      </c>
      <c r="AJ269" s="147">
        <v>0</v>
      </c>
      <c r="AK269" s="147">
        <v>0</v>
      </c>
      <c r="AL269" s="147">
        <v>0</v>
      </c>
      <c r="AM269" s="147">
        <v>0</v>
      </c>
      <c r="AN269" s="147">
        <v>0</v>
      </c>
      <c r="AO269" s="240">
        <v>0</v>
      </c>
      <c r="AP269" s="147">
        <f t="shared" si="20"/>
        <v>3165304.2468096483</v>
      </c>
    </row>
    <row r="270" spans="2:42">
      <c r="B270" s="147" t="str">
        <v>Operação Geral</v>
      </c>
      <c r="C270" s="149" t="str">
        <v>6</v>
      </c>
      <c r="D270" s="149" t="str">
        <v>6.1.2</v>
      </c>
      <c r="E270" s="149">
        <v>0</v>
      </c>
      <c r="F270" s="149">
        <v>0</v>
      </c>
      <c r="G270" s="147" t="str">
        <v xml:space="preserve">Infra </v>
      </c>
      <c r="H270" s="147" t="b">
        <v>0</v>
      </c>
      <c r="I270" s="147" t="b">
        <f t="shared" si="17"/>
        <v>0</v>
      </c>
      <c r="J270" s="147" t="b">
        <f t="shared" si="18"/>
        <v>0</v>
      </c>
      <c r="K270" s="147" t="b">
        <f t="shared" si="19"/>
        <v>1</v>
      </c>
      <c r="L270" s="147">
        <v>3896919.3107817876</v>
      </c>
      <c r="M270" s="147">
        <v>0</v>
      </c>
      <c r="N270" s="147">
        <v>0</v>
      </c>
      <c r="O270" s="147">
        <v>0</v>
      </c>
      <c r="P270" s="147">
        <v>0</v>
      </c>
      <c r="Q270" s="147">
        <v>0</v>
      </c>
      <c r="R270" s="147">
        <v>0</v>
      </c>
      <c r="S270" s="147">
        <v>0</v>
      </c>
      <c r="T270" s="147">
        <v>0</v>
      </c>
      <c r="U270" s="147">
        <v>0</v>
      </c>
      <c r="V270" s="147">
        <v>0</v>
      </c>
      <c r="W270" s="147">
        <v>0</v>
      </c>
      <c r="X270" s="147">
        <v>0</v>
      </c>
      <c r="Y270" s="147">
        <v>0</v>
      </c>
      <c r="Z270" s="147">
        <v>0</v>
      </c>
      <c r="AA270" s="147">
        <v>0</v>
      </c>
      <c r="AB270" s="147">
        <v>0</v>
      </c>
      <c r="AC270" s="147">
        <v>0</v>
      </c>
      <c r="AD270" s="147">
        <v>0</v>
      </c>
      <c r="AE270" s="147">
        <v>0</v>
      </c>
      <c r="AF270" s="147">
        <v>0</v>
      </c>
      <c r="AG270" s="147">
        <v>0</v>
      </c>
      <c r="AH270" s="147">
        <v>0</v>
      </c>
      <c r="AI270" s="147">
        <v>0</v>
      </c>
      <c r="AJ270" s="147">
        <v>0</v>
      </c>
      <c r="AK270" s="147">
        <v>0</v>
      </c>
      <c r="AL270" s="147">
        <v>0</v>
      </c>
      <c r="AM270" s="147">
        <v>0</v>
      </c>
      <c r="AN270" s="147">
        <v>0</v>
      </c>
      <c r="AO270" s="240">
        <v>0</v>
      </c>
      <c r="AP270" s="147">
        <f t="shared" si="20"/>
        <v>3896919.3107817876</v>
      </c>
    </row>
    <row r="271" spans="2:42">
      <c r="B271" s="147" t="str">
        <v>Operação Geral</v>
      </c>
      <c r="C271" s="149" t="str">
        <v>6</v>
      </c>
      <c r="D271" s="149" t="str">
        <v>6.1.2</v>
      </c>
      <c r="E271" s="149">
        <v>0</v>
      </c>
      <c r="F271" s="149">
        <v>0</v>
      </c>
      <c r="G271" s="147" t="str">
        <v>Sistema de Telefonia Convencional</v>
      </c>
      <c r="H271" s="147" t="b">
        <v>0</v>
      </c>
      <c r="I271" s="147" t="b">
        <f t="shared" si="17"/>
        <v>0</v>
      </c>
      <c r="J271" s="147" t="b">
        <f t="shared" si="18"/>
        <v>0</v>
      </c>
      <c r="K271" s="147" t="b">
        <f t="shared" si="19"/>
        <v>1</v>
      </c>
      <c r="L271" s="147">
        <v>0</v>
      </c>
      <c r="M271" s="147">
        <v>0</v>
      </c>
      <c r="N271" s="147">
        <v>0</v>
      </c>
      <c r="O271" s="147">
        <v>0</v>
      </c>
      <c r="P271" s="147">
        <v>0</v>
      </c>
      <c r="Q271" s="147">
        <v>0</v>
      </c>
      <c r="R271" s="147">
        <v>0</v>
      </c>
      <c r="S271" s="147">
        <v>0</v>
      </c>
      <c r="T271" s="147">
        <v>0</v>
      </c>
      <c r="U271" s="147">
        <v>0</v>
      </c>
      <c r="V271" s="147">
        <v>0</v>
      </c>
      <c r="W271" s="147">
        <v>0</v>
      </c>
      <c r="X271" s="147">
        <v>0</v>
      </c>
      <c r="Y271" s="147">
        <v>0</v>
      </c>
      <c r="Z271" s="147">
        <v>0</v>
      </c>
      <c r="AA271" s="147">
        <v>0</v>
      </c>
      <c r="AB271" s="147">
        <v>0</v>
      </c>
      <c r="AC271" s="147">
        <v>0</v>
      </c>
      <c r="AD271" s="147">
        <v>0</v>
      </c>
      <c r="AE271" s="147">
        <v>0</v>
      </c>
      <c r="AF271" s="147">
        <v>0</v>
      </c>
      <c r="AG271" s="147">
        <v>0</v>
      </c>
      <c r="AH271" s="147">
        <v>0</v>
      </c>
      <c r="AI271" s="147">
        <v>0</v>
      </c>
      <c r="AJ271" s="147">
        <v>0</v>
      </c>
      <c r="AK271" s="147">
        <v>0</v>
      </c>
      <c r="AL271" s="147">
        <v>0</v>
      </c>
      <c r="AM271" s="147">
        <v>0</v>
      </c>
      <c r="AN271" s="147">
        <v>0</v>
      </c>
      <c r="AO271" s="240">
        <v>0</v>
      </c>
      <c r="AP271" s="147">
        <f t="shared" si="20"/>
        <v>0</v>
      </c>
    </row>
    <row r="272" spans="2:42">
      <c r="B272" s="147" t="str">
        <v>Operação Geral</v>
      </c>
      <c r="C272" s="149" t="str">
        <v>6</v>
      </c>
      <c r="D272" s="149" t="str">
        <v>6.1.2</v>
      </c>
      <c r="E272" s="149">
        <v>1</v>
      </c>
      <c r="F272" s="149">
        <v>0</v>
      </c>
      <c r="G272" s="147" t="str">
        <v>Central Telefônica - Comunicação - Switch / Firewall</v>
      </c>
      <c r="H272" s="147" t="b">
        <v>0</v>
      </c>
      <c r="I272" s="147" t="b">
        <f t="shared" si="17"/>
        <v>0</v>
      </c>
      <c r="J272" s="147" t="b">
        <f t="shared" si="18"/>
        <v>0</v>
      </c>
      <c r="K272" s="147" t="b">
        <f t="shared" si="19"/>
        <v>1</v>
      </c>
      <c r="L272" s="147">
        <v>0</v>
      </c>
      <c r="M272" s="147">
        <v>0</v>
      </c>
      <c r="N272" s="147">
        <v>0</v>
      </c>
      <c r="O272" s="147">
        <v>0</v>
      </c>
      <c r="P272" s="147">
        <v>0</v>
      </c>
      <c r="Q272" s="147">
        <v>0</v>
      </c>
      <c r="R272" s="147">
        <v>0</v>
      </c>
      <c r="S272" s="147">
        <v>0</v>
      </c>
      <c r="T272" s="147">
        <v>0</v>
      </c>
      <c r="U272" s="147">
        <v>0</v>
      </c>
      <c r="V272" s="147">
        <v>0</v>
      </c>
      <c r="W272" s="147">
        <v>0</v>
      </c>
      <c r="X272" s="147">
        <v>0</v>
      </c>
      <c r="Y272" s="147">
        <v>0</v>
      </c>
      <c r="Z272" s="147">
        <v>0</v>
      </c>
      <c r="AA272" s="147">
        <v>0</v>
      </c>
      <c r="AB272" s="147">
        <v>0</v>
      </c>
      <c r="AC272" s="147">
        <v>0</v>
      </c>
      <c r="AD272" s="147">
        <v>0</v>
      </c>
      <c r="AE272" s="147">
        <v>0</v>
      </c>
      <c r="AF272" s="147">
        <v>0</v>
      </c>
      <c r="AG272" s="147">
        <v>0</v>
      </c>
      <c r="AH272" s="147">
        <v>0</v>
      </c>
      <c r="AI272" s="147">
        <v>0</v>
      </c>
      <c r="AJ272" s="147">
        <v>0</v>
      </c>
      <c r="AK272" s="147">
        <v>0</v>
      </c>
      <c r="AL272" s="147">
        <v>0</v>
      </c>
      <c r="AM272" s="147">
        <v>0</v>
      </c>
      <c r="AN272" s="147">
        <v>0</v>
      </c>
      <c r="AO272" s="240">
        <v>0</v>
      </c>
      <c r="AP272" s="147">
        <f t="shared" si="20"/>
        <v>0</v>
      </c>
    </row>
    <row r="273" spans="2:42">
      <c r="B273" s="147" t="str">
        <v>Operação Geral</v>
      </c>
      <c r="C273" s="149" t="str">
        <v>6</v>
      </c>
      <c r="D273" s="149" t="str">
        <v>6.1.2</v>
      </c>
      <c r="E273" s="149">
        <v>0</v>
      </c>
      <c r="F273" s="149">
        <v>0</v>
      </c>
      <c r="G273" s="147" t="str">
        <v>Sistema de Telefonia Celular</v>
      </c>
      <c r="H273" s="147" t="b">
        <v>0</v>
      </c>
      <c r="I273" s="147" t="b">
        <f t="shared" si="17"/>
        <v>0</v>
      </c>
      <c r="J273" s="147" t="b">
        <f t="shared" si="18"/>
        <v>0</v>
      </c>
      <c r="K273" s="147" t="b">
        <f t="shared" si="19"/>
        <v>1</v>
      </c>
      <c r="L273" s="147">
        <v>0</v>
      </c>
      <c r="M273" s="147">
        <v>0</v>
      </c>
      <c r="N273" s="147">
        <v>0</v>
      </c>
      <c r="O273" s="147">
        <v>0</v>
      </c>
      <c r="P273" s="147">
        <v>0</v>
      </c>
      <c r="Q273" s="147">
        <v>0</v>
      </c>
      <c r="R273" s="147">
        <v>0</v>
      </c>
      <c r="S273" s="147">
        <v>0</v>
      </c>
      <c r="T273" s="147">
        <v>0</v>
      </c>
      <c r="U273" s="147">
        <v>0</v>
      </c>
      <c r="V273" s="147">
        <v>0</v>
      </c>
      <c r="W273" s="147">
        <v>0</v>
      </c>
      <c r="X273" s="147">
        <v>0</v>
      </c>
      <c r="Y273" s="147">
        <v>0</v>
      </c>
      <c r="Z273" s="147">
        <v>0</v>
      </c>
      <c r="AA273" s="147">
        <v>0</v>
      </c>
      <c r="AB273" s="147">
        <v>0</v>
      </c>
      <c r="AC273" s="147">
        <v>0</v>
      </c>
      <c r="AD273" s="147">
        <v>0</v>
      </c>
      <c r="AE273" s="147">
        <v>0</v>
      </c>
      <c r="AF273" s="147">
        <v>0</v>
      </c>
      <c r="AG273" s="147">
        <v>0</v>
      </c>
      <c r="AH273" s="147">
        <v>0</v>
      </c>
      <c r="AI273" s="147">
        <v>0</v>
      </c>
      <c r="AJ273" s="147">
        <v>0</v>
      </c>
      <c r="AK273" s="147">
        <v>0</v>
      </c>
      <c r="AL273" s="147">
        <v>0</v>
      </c>
      <c r="AM273" s="147">
        <v>0</v>
      </c>
      <c r="AN273" s="147">
        <v>0</v>
      </c>
      <c r="AO273" s="240">
        <v>0</v>
      </c>
      <c r="AP273" s="147">
        <f t="shared" si="20"/>
        <v>0</v>
      </c>
    </row>
    <row r="274" spans="2:42">
      <c r="B274" s="147" t="str">
        <v>Operação Geral</v>
      </c>
      <c r="C274" s="149" t="str">
        <v>6</v>
      </c>
      <c r="D274" s="149" t="str">
        <v>6.1.2</v>
      </c>
      <c r="E274" s="149">
        <v>0</v>
      </c>
      <c r="F274" s="149">
        <v>0</v>
      </c>
      <c r="G274" s="147" t="str">
        <v>Aparelhos celulares</v>
      </c>
      <c r="H274" s="147" t="b">
        <v>0</v>
      </c>
      <c r="I274" s="147" t="b">
        <f t="shared" si="17"/>
        <v>0</v>
      </c>
      <c r="J274" s="147" t="b">
        <f t="shared" si="18"/>
        <v>0</v>
      </c>
      <c r="K274" s="147" t="b">
        <f t="shared" si="19"/>
        <v>1</v>
      </c>
      <c r="L274" s="147">
        <v>179629.19999999998</v>
      </c>
      <c r="M274" s="147">
        <v>78861.599999999991</v>
      </c>
      <c r="N274" s="147">
        <v>21906</v>
      </c>
      <c r="O274" s="147">
        <v>0</v>
      </c>
      <c r="P274" s="147">
        <v>0</v>
      </c>
      <c r="Q274" s="147">
        <v>0</v>
      </c>
      <c r="R274" s="147">
        <v>30668.399999999998</v>
      </c>
      <c r="S274" s="147">
        <v>0</v>
      </c>
      <c r="T274" s="147">
        <v>0</v>
      </c>
      <c r="U274" s="147">
        <v>0</v>
      </c>
      <c r="V274" s="147">
        <v>0</v>
      </c>
      <c r="W274" s="147">
        <v>0</v>
      </c>
      <c r="X274" s="147">
        <v>0</v>
      </c>
      <c r="Y274" s="147">
        <v>0</v>
      </c>
      <c r="Z274" s="147">
        <v>0</v>
      </c>
      <c r="AA274" s="147">
        <v>0</v>
      </c>
      <c r="AB274" s="147">
        <v>0</v>
      </c>
      <c r="AC274" s="147">
        <v>0</v>
      </c>
      <c r="AD274" s="147">
        <v>0</v>
      </c>
      <c r="AE274" s="147">
        <v>0</v>
      </c>
      <c r="AF274" s="147">
        <v>0</v>
      </c>
      <c r="AG274" s="147">
        <v>0</v>
      </c>
      <c r="AH274" s="147">
        <v>0</v>
      </c>
      <c r="AI274" s="147">
        <v>0</v>
      </c>
      <c r="AJ274" s="147">
        <v>0</v>
      </c>
      <c r="AK274" s="147">
        <v>0</v>
      </c>
      <c r="AL274" s="147">
        <v>0</v>
      </c>
      <c r="AM274" s="147">
        <v>0</v>
      </c>
      <c r="AN274" s="147">
        <v>0</v>
      </c>
      <c r="AO274" s="240">
        <v>0</v>
      </c>
      <c r="AP274" s="147">
        <f t="shared" si="20"/>
        <v>311065.2</v>
      </c>
    </row>
    <row r="275" spans="2:42">
      <c r="B275" s="147" t="str">
        <v>Operação Geral</v>
      </c>
      <c r="C275" s="149" t="str">
        <v>6</v>
      </c>
      <c r="D275" s="149" t="str">
        <v>6.1.2</v>
      </c>
      <c r="E275" s="149">
        <v>0</v>
      </c>
      <c r="F275" s="149">
        <v>0</v>
      </c>
      <c r="G275" s="147" t="str">
        <v>Sistema de Controle e Arrecadação</v>
      </c>
      <c r="H275" s="147" t="b">
        <v>0</v>
      </c>
      <c r="I275" s="147" t="b">
        <f t="shared" si="17"/>
        <v>0</v>
      </c>
      <c r="J275" s="147" t="b">
        <f t="shared" si="18"/>
        <v>0</v>
      </c>
      <c r="K275" s="147" t="b">
        <f t="shared" si="19"/>
        <v>1</v>
      </c>
      <c r="L275" s="147">
        <v>0</v>
      </c>
      <c r="M275" s="147">
        <v>0</v>
      </c>
      <c r="N275" s="147">
        <v>0</v>
      </c>
      <c r="O275" s="147">
        <v>0</v>
      </c>
      <c r="P275" s="147">
        <v>0</v>
      </c>
      <c r="Q275" s="147">
        <v>0</v>
      </c>
      <c r="R275" s="147">
        <v>0</v>
      </c>
      <c r="S275" s="147">
        <v>0</v>
      </c>
      <c r="T275" s="147">
        <v>0</v>
      </c>
      <c r="U275" s="147">
        <v>0</v>
      </c>
      <c r="V275" s="147">
        <v>0</v>
      </c>
      <c r="W275" s="147">
        <v>0</v>
      </c>
      <c r="X275" s="147">
        <v>0</v>
      </c>
      <c r="Y275" s="147">
        <v>0</v>
      </c>
      <c r="Z275" s="147">
        <v>0</v>
      </c>
      <c r="AA275" s="147">
        <v>0</v>
      </c>
      <c r="AB275" s="147">
        <v>0</v>
      </c>
      <c r="AC275" s="147">
        <v>0</v>
      </c>
      <c r="AD275" s="147">
        <v>0</v>
      </c>
      <c r="AE275" s="147">
        <v>0</v>
      </c>
      <c r="AF275" s="147">
        <v>0</v>
      </c>
      <c r="AG275" s="147">
        <v>0</v>
      </c>
      <c r="AH275" s="147">
        <v>0</v>
      </c>
      <c r="AI275" s="147">
        <v>0</v>
      </c>
      <c r="AJ275" s="147">
        <v>0</v>
      </c>
      <c r="AK275" s="147">
        <v>0</v>
      </c>
      <c r="AL275" s="147">
        <v>0</v>
      </c>
      <c r="AM275" s="147">
        <v>0</v>
      </c>
      <c r="AN275" s="147">
        <v>0</v>
      </c>
      <c r="AO275" s="240">
        <v>0</v>
      </c>
      <c r="AP275" s="147">
        <f t="shared" si="20"/>
        <v>0</v>
      </c>
    </row>
    <row r="276" spans="2:42">
      <c r="B276" s="147" t="str">
        <v>Operação Geral</v>
      </c>
      <c r="C276" s="149" t="str">
        <v>6</v>
      </c>
      <c r="D276" s="149" t="str">
        <v>6.1.2</v>
      </c>
      <c r="E276" s="149">
        <v>0</v>
      </c>
      <c r="F276" s="149">
        <v>0</v>
      </c>
      <c r="G276" s="147" t="str">
        <v>Sistema Free Flow</v>
      </c>
      <c r="H276" s="147" t="b">
        <v>0</v>
      </c>
      <c r="I276" s="147" t="b">
        <f t="shared" si="17"/>
        <v>0</v>
      </c>
      <c r="J276" s="147" t="b">
        <f t="shared" si="18"/>
        <v>0</v>
      </c>
      <c r="K276" s="147" t="b">
        <f t="shared" si="19"/>
        <v>1</v>
      </c>
      <c r="L276" s="147">
        <v>0</v>
      </c>
      <c r="M276" s="147">
        <v>0</v>
      </c>
      <c r="N276" s="147">
        <v>0</v>
      </c>
      <c r="O276" s="147">
        <v>0</v>
      </c>
      <c r="P276" s="147">
        <v>0</v>
      </c>
      <c r="Q276" s="147">
        <v>0</v>
      </c>
      <c r="R276" s="147">
        <v>0</v>
      </c>
      <c r="S276" s="147">
        <v>0</v>
      </c>
      <c r="T276" s="147">
        <v>0</v>
      </c>
      <c r="U276" s="147">
        <v>0</v>
      </c>
      <c r="V276" s="147">
        <v>0</v>
      </c>
      <c r="W276" s="147">
        <v>0</v>
      </c>
      <c r="X276" s="147">
        <v>0</v>
      </c>
      <c r="Y276" s="147">
        <v>0</v>
      </c>
      <c r="Z276" s="147">
        <v>0</v>
      </c>
      <c r="AA276" s="147">
        <v>0</v>
      </c>
      <c r="AB276" s="147">
        <v>0</v>
      </c>
      <c r="AC276" s="147">
        <v>0</v>
      </c>
      <c r="AD276" s="147">
        <v>0</v>
      </c>
      <c r="AE276" s="147">
        <v>0</v>
      </c>
      <c r="AF276" s="147">
        <v>0</v>
      </c>
      <c r="AG276" s="147">
        <v>0</v>
      </c>
      <c r="AH276" s="147">
        <v>0</v>
      </c>
      <c r="AI276" s="147">
        <v>0</v>
      </c>
      <c r="AJ276" s="147">
        <v>0</v>
      </c>
      <c r="AK276" s="147">
        <v>0</v>
      </c>
      <c r="AL276" s="147">
        <v>0</v>
      </c>
      <c r="AM276" s="147">
        <v>0</v>
      </c>
      <c r="AN276" s="147">
        <v>0</v>
      </c>
      <c r="AO276" s="240">
        <v>0</v>
      </c>
      <c r="AP276" s="147">
        <f t="shared" si="20"/>
        <v>0</v>
      </c>
    </row>
    <row r="277" spans="2:42">
      <c r="B277" s="147" t="str">
        <v>Operação Geral</v>
      </c>
      <c r="C277" s="149" t="str">
        <v>6</v>
      </c>
      <c r="D277" s="149" t="str">
        <v>6.1.2</v>
      </c>
      <c r="E277" s="149">
        <v>0</v>
      </c>
      <c r="F277" s="149">
        <v>0</v>
      </c>
      <c r="G277" s="147" t="str">
        <v>Sistema (Câmeras, sensores, gerador, etc)</v>
      </c>
      <c r="H277" s="147" t="b">
        <v>0</v>
      </c>
      <c r="I277" s="147" t="b">
        <f t="shared" si="17"/>
        <v>0</v>
      </c>
      <c r="J277" s="147" t="b">
        <f t="shared" si="18"/>
        <v>0</v>
      </c>
      <c r="K277" s="147" t="b">
        <f t="shared" si="19"/>
        <v>1</v>
      </c>
      <c r="L277" s="147">
        <v>6369419.7385831876</v>
      </c>
      <c r="M277" s="147">
        <v>0</v>
      </c>
      <c r="N277" s="147">
        <v>0</v>
      </c>
      <c r="O277" s="147">
        <v>0</v>
      </c>
      <c r="P277" s="147">
        <v>0</v>
      </c>
      <c r="Q277" s="147">
        <v>0</v>
      </c>
      <c r="R277" s="147">
        <v>0</v>
      </c>
      <c r="S277" s="147">
        <v>0</v>
      </c>
      <c r="T277" s="147">
        <v>0</v>
      </c>
      <c r="U277" s="147">
        <v>0</v>
      </c>
      <c r="V277" s="147">
        <v>0</v>
      </c>
      <c r="W277" s="147">
        <v>0</v>
      </c>
      <c r="X277" s="147">
        <v>0</v>
      </c>
      <c r="Y277" s="147">
        <v>0</v>
      </c>
      <c r="Z277" s="147">
        <v>0</v>
      </c>
      <c r="AA277" s="147">
        <v>0</v>
      </c>
      <c r="AB277" s="147">
        <v>0</v>
      </c>
      <c r="AC277" s="147">
        <v>0</v>
      </c>
      <c r="AD277" s="147">
        <v>0</v>
      </c>
      <c r="AE277" s="147">
        <v>0</v>
      </c>
      <c r="AF277" s="147">
        <v>0</v>
      </c>
      <c r="AG277" s="147">
        <v>0</v>
      </c>
      <c r="AH277" s="147">
        <v>0</v>
      </c>
      <c r="AI277" s="147">
        <v>0</v>
      </c>
      <c r="AJ277" s="147">
        <v>0</v>
      </c>
      <c r="AK277" s="147">
        <v>0</v>
      </c>
      <c r="AL277" s="147">
        <v>0</v>
      </c>
      <c r="AM277" s="147">
        <v>0</v>
      </c>
      <c r="AN277" s="147">
        <v>0</v>
      </c>
      <c r="AO277" s="240">
        <v>0</v>
      </c>
      <c r="AP277" s="147">
        <f t="shared" si="20"/>
        <v>6369419.7385831876</v>
      </c>
    </row>
    <row r="278" spans="2:42">
      <c r="B278" s="147" t="str">
        <v>Operação Geral</v>
      </c>
      <c r="C278" s="149" t="str">
        <v>6</v>
      </c>
      <c r="D278" s="149" t="str">
        <v>6.1.2</v>
      </c>
      <c r="E278" s="149">
        <v>0</v>
      </c>
      <c r="F278" s="149">
        <v>0</v>
      </c>
      <c r="G278" s="147" t="str">
        <v xml:space="preserve">Pórtico Free-flow </v>
      </c>
      <c r="H278" s="147" t="b">
        <v>0</v>
      </c>
      <c r="I278" s="147" t="b">
        <f t="shared" si="17"/>
        <v>0</v>
      </c>
      <c r="J278" s="147" t="b">
        <f t="shared" si="18"/>
        <v>0</v>
      </c>
      <c r="K278" s="147" t="b">
        <f t="shared" si="19"/>
        <v>1</v>
      </c>
      <c r="L278" s="147">
        <v>623981.05434347328</v>
      </c>
      <c r="M278" s="147">
        <v>0</v>
      </c>
      <c r="N278" s="147">
        <v>0</v>
      </c>
      <c r="O278" s="147">
        <v>0</v>
      </c>
      <c r="P278" s="147">
        <v>222850.37655124048</v>
      </c>
      <c r="Q278" s="147">
        <v>222850.37655124048</v>
      </c>
      <c r="R278" s="147">
        <v>0</v>
      </c>
      <c r="S278" s="147">
        <v>0</v>
      </c>
      <c r="T278" s="147">
        <v>0</v>
      </c>
      <c r="U278" s="147">
        <v>0</v>
      </c>
      <c r="V278" s="147">
        <v>0</v>
      </c>
      <c r="W278" s="147">
        <v>0</v>
      </c>
      <c r="X278" s="147">
        <v>0</v>
      </c>
      <c r="Y278" s="147">
        <v>0</v>
      </c>
      <c r="Z278" s="147">
        <v>0</v>
      </c>
      <c r="AA278" s="147">
        <v>0</v>
      </c>
      <c r="AB278" s="147">
        <v>0</v>
      </c>
      <c r="AC278" s="147">
        <v>0</v>
      </c>
      <c r="AD278" s="147">
        <v>0</v>
      </c>
      <c r="AE278" s="147">
        <v>0</v>
      </c>
      <c r="AF278" s="147">
        <v>0</v>
      </c>
      <c r="AG278" s="147">
        <v>0</v>
      </c>
      <c r="AH278" s="147">
        <v>0</v>
      </c>
      <c r="AI278" s="147">
        <v>0</v>
      </c>
      <c r="AJ278" s="147">
        <v>0</v>
      </c>
      <c r="AK278" s="147">
        <v>0</v>
      </c>
      <c r="AL278" s="147">
        <v>0</v>
      </c>
      <c r="AM278" s="147">
        <v>0</v>
      </c>
      <c r="AN278" s="147">
        <v>0</v>
      </c>
      <c r="AO278" s="240">
        <v>0</v>
      </c>
      <c r="AP278" s="147">
        <f t="shared" si="20"/>
        <v>1069681.8074459543</v>
      </c>
    </row>
    <row r="279" spans="2:42">
      <c r="B279" s="147" t="str">
        <v>Operação Geral</v>
      </c>
      <c r="C279" s="149" t="str">
        <v>6</v>
      </c>
      <c r="D279" s="149" t="str">
        <v>6.1.2</v>
      </c>
      <c r="E279" s="149">
        <v>0</v>
      </c>
      <c r="F279" s="149">
        <v>0</v>
      </c>
      <c r="G279" s="147" t="str">
        <v>Sensores de Tráfego (SAT) por localidade</v>
      </c>
      <c r="H279" s="147" t="b">
        <v>0</v>
      </c>
      <c r="I279" s="147" t="b">
        <f t="shared" si="17"/>
        <v>0</v>
      </c>
      <c r="J279" s="147" t="b">
        <f t="shared" si="18"/>
        <v>0</v>
      </c>
      <c r="K279" s="147" t="b">
        <f t="shared" si="19"/>
        <v>1</v>
      </c>
      <c r="L279" s="147">
        <v>242069.00270777955</v>
      </c>
      <c r="M279" s="147">
        <v>0</v>
      </c>
      <c r="N279" s="147">
        <v>0</v>
      </c>
      <c r="O279" s="147">
        <v>0</v>
      </c>
      <c r="P279" s="147">
        <v>0</v>
      </c>
      <c r="Q279" s="147">
        <v>0</v>
      </c>
      <c r="R279" s="147">
        <v>0</v>
      </c>
      <c r="S279" s="147">
        <v>0</v>
      </c>
      <c r="T279" s="147">
        <v>0</v>
      </c>
      <c r="U279" s="147">
        <v>0</v>
      </c>
      <c r="V279" s="147">
        <v>0</v>
      </c>
      <c r="W279" s="147">
        <v>0</v>
      </c>
      <c r="X279" s="147">
        <v>0</v>
      </c>
      <c r="Y279" s="147">
        <v>0</v>
      </c>
      <c r="Z279" s="147">
        <v>0</v>
      </c>
      <c r="AA279" s="147">
        <v>0</v>
      </c>
      <c r="AB279" s="147">
        <v>0</v>
      </c>
      <c r="AC279" s="147">
        <v>0</v>
      </c>
      <c r="AD279" s="147">
        <v>0</v>
      </c>
      <c r="AE279" s="147">
        <v>0</v>
      </c>
      <c r="AF279" s="147">
        <v>0</v>
      </c>
      <c r="AG279" s="147">
        <v>0</v>
      </c>
      <c r="AH279" s="147">
        <v>0</v>
      </c>
      <c r="AI279" s="147">
        <v>0</v>
      </c>
      <c r="AJ279" s="147">
        <v>0</v>
      </c>
      <c r="AK279" s="147">
        <v>0</v>
      </c>
      <c r="AL279" s="147">
        <v>0</v>
      </c>
      <c r="AM279" s="147">
        <v>0</v>
      </c>
      <c r="AN279" s="147">
        <v>0</v>
      </c>
      <c r="AO279" s="240">
        <v>0</v>
      </c>
      <c r="AP279" s="147">
        <f t="shared" si="20"/>
        <v>242069.00270777955</v>
      </c>
    </row>
    <row r="280" spans="2:42">
      <c r="B280" s="147" t="str">
        <v>Operação Geral</v>
      </c>
      <c r="C280" s="149" t="str">
        <v>6</v>
      </c>
      <c r="D280" s="149" t="str">
        <v>6.1.2</v>
      </c>
      <c r="E280" s="149">
        <v>0</v>
      </c>
      <c r="F280" s="149">
        <v>0</v>
      </c>
      <c r="G280" s="147" t="str">
        <v>PMV + Pórtico</v>
      </c>
      <c r="H280" s="147" t="b">
        <v>0</v>
      </c>
      <c r="I280" s="147" t="b">
        <f t="shared" si="17"/>
        <v>0</v>
      </c>
      <c r="J280" s="147" t="b">
        <f t="shared" si="18"/>
        <v>0</v>
      </c>
      <c r="K280" s="147" t="b">
        <f t="shared" si="19"/>
        <v>1</v>
      </c>
      <c r="L280" s="147">
        <v>4091533.077142098</v>
      </c>
      <c r="M280" s="147">
        <v>0</v>
      </c>
      <c r="N280" s="147">
        <v>0</v>
      </c>
      <c r="O280" s="147">
        <v>0</v>
      </c>
      <c r="P280" s="147">
        <v>0</v>
      </c>
      <c r="Q280" s="147">
        <v>0</v>
      </c>
      <c r="R280" s="147">
        <v>0</v>
      </c>
      <c r="S280" s="147">
        <v>0</v>
      </c>
      <c r="T280" s="147">
        <v>0</v>
      </c>
      <c r="U280" s="147">
        <v>0</v>
      </c>
      <c r="V280" s="147">
        <v>0</v>
      </c>
      <c r="W280" s="147">
        <v>0</v>
      </c>
      <c r="X280" s="147">
        <v>0</v>
      </c>
      <c r="Y280" s="147">
        <v>0</v>
      </c>
      <c r="Z280" s="147">
        <v>0</v>
      </c>
      <c r="AA280" s="147">
        <v>0</v>
      </c>
      <c r="AB280" s="147">
        <v>0</v>
      </c>
      <c r="AC280" s="147">
        <v>0</v>
      </c>
      <c r="AD280" s="147">
        <v>0</v>
      </c>
      <c r="AE280" s="147">
        <v>0</v>
      </c>
      <c r="AF280" s="147">
        <v>0</v>
      </c>
      <c r="AG280" s="147">
        <v>0</v>
      </c>
      <c r="AH280" s="147">
        <v>0</v>
      </c>
      <c r="AI280" s="147">
        <v>0</v>
      </c>
      <c r="AJ280" s="147">
        <v>0</v>
      </c>
      <c r="AK280" s="147">
        <v>0</v>
      </c>
      <c r="AL280" s="147">
        <v>0</v>
      </c>
      <c r="AM280" s="147">
        <v>0</v>
      </c>
      <c r="AN280" s="147">
        <v>0</v>
      </c>
      <c r="AO280" s="240">
        <v>0</v>
      </c>
      <c r="AP280" s="147">
        <f t="shared" si="20"/>
        <v>4091533.077142098</v>
      </c>
    </row>
    <row r="281" spans="2:42">
      <c r="B281" s="147" t="str">
        <v>Operação Geral</v>
      </c>
      <c r="C281" s="149" t="str">
        <v>6</v>
      </c>
      <c r="D281" s="149" t="str">
        <v>6.1.2</v>
      </c>
      <c r="E281" s="149">
        <v>0</v>
      </c>
      <c r="F281" s="149">
        <v>0</v>
      </c>
      <c r="G281" s="147" t="str">
        <v>Sistema HS-WIM</v>
      </c>
      <c r="H281" s="147" t="b">
        <v>0</v>
      </c>
      <c r="I281" s="147" t="b">
        <f t="shared" si="17"/>
        <v>0</v>
      </c>
      <c r="J281" s="147" t="b">
        <f t="shared" si="18"/>
        <v>0</v>
      </c>
      <c r="K281" s="147" t="b">
        <f t="shared" si="19"/>
        <v>1</v>
      </c>
      <c r="L281" s="147">
        <v>0</v>
      </c>
      <c r="M281" s="147">
        <v>0</v>
      </c>
      <c r="N281" s="147">
        <v>0</v>
      </c>
      <c r="O281" s="147">
        <v>0</v>
      </c>
      <c r="P281" s="147">
        <v>0</v>
      </c>
      <c r="Q281" s="147">
        <v>0</v>
      </c>
      <c r="R281" s="147">
        <v>0</v>
      </c>
      <c r="S281" s="147">
        <v>0</v>
      </c>
      <c r="T281" s="147">
        <v>0</v>
      </c>
      <c r="U281" s="147">
        <v>0</v>
      </c>
      <c r="V281" s="147">
        <v>0</v>
      </c>
      <c r="W281" s="147">
        <v>0</v>
      </c>
      <c r="X281" s="147">
        <v>0</v>
      </c>
      <c r="Y281" s="147">
        <v>0</v>
      </c>
      <c r="Z281" s="147">
        <v>0</v>
      </c>
      <c r="AA281" s="147">
        <v>0</v>
      </c>
      <c r="AB281" s="147">
        <v>0</v>
      </c>
      <c r="AC281" s="147">
        <v>0</v>
      </c>
      <c r="AD281" s="147">
        <v>0</v>
      </c>
      <c r="AE281" s="147">
        <v>0</v>
      </c>
      <c r="AF281" s="147">
        <v>0</v>
      </c>
      <c r="AG281" s="147">
        <v>0</v>
      </c>
      <c r="AH281" s="147">
        <v>0</v>
      </c>
      <c r="AI281" s="147">
        <v>0</v>
      </c>
      <c r="AJ281" s="147">
        <v>0</v>
      </c>
      <c r="AK281" s="147">
        <v>0</v>
      </c>
      <c r="AL281" s="147">
        <v>0</v>
      </c>
      <c r="AM281" s="147">
        <v>0</v>
      </c>
      <c r="AN281" s="147">
        <v>0</v>
      </c>
      <c r="AO281" s="240">
        <v>0</v>
      </c>
      <c r="AP281" s="147">
        <f t="shared" si="20"/>
        <v>0</v>
      </c>
    </row>
    <row r="282" spans="2:42">
      <c r="B282" s="147" t="str">
        <v>Operação Geral</v>
      </c>
      <c r="C282" s="149" t="str">
        <v>6</v>
      </c>
      <c r="D282" s="149" t="str">
        <v>6.1.2</v>
      </c>
      <c r="E282" s="149">
        <v>0</v>
      </c>
      <c r="F282" s="149">
        <v>0</v>
      </c>
      <c r="G282" s="147" t="str">
        <v>Sistema (Software, sensores, gerador etc.)</v>
      </c>
      <c r="H282" s="147" t="b">
        <v>0</v>
      </c>
      <c r="I282" s="147" t="b">
        <f t="shared" si="17"/>
        <v>1</v>
      </c>
      <c r="J282" s="147" t="b">
        <f t="shared" si="18"/>
        <v>1</v>
      </c>
      <c r="K282" s="147" t="b">
        <f t="shared" si="19"/>
        <v>0</v>
      </c>
      <c r="L282" s="147">
        <v>0</v>
      </c>
      <c r="M282" s="147">
        <v>0</v>
      </c>
      <c r="N282" s="147">
        <v>0</v>
      </c>
      <c r="O282" s="147">
        <v>0</v>
      </c>
      <c r="P282" s="147">
        <v>0</v>
      </c>
      <c r="Q282" s="147">
        <v>3000000</v>
      </c>
      <c r="R282" s="147">
        <v>0</v>
      </c>
      <c r="S282" s="147">
        <v>0</v>
      </c>
      <c r="T282" s="147">
        <v>0</v>
      </c>
      <c r="U282" s="147">
        <v>0</v>
      </c>
      <c r="V282" s="147">
        <v>0</v>
      </c>
      <c r="W282" s="147">
        <v>0</v>
      </c>
      <c r="X282" s="147">
        <v>0</v>
      </c>
      <c r="Y282" s="147">
        <v>0</v>
      </c>
      <c r="Z282" s="147">
        <v>0</v>
      </c>
      <c r="AA282" s="147">
        <v>0</v>
      </c>
      <c r="AB282" s="147">
        <v>0</v>
      </c>
      <c r="AC282" s="147">
        <v>0</v>
      </c>
      <c r="AD282" s="147">
        <v>0</v>
      </c>
      <c r="AE282" s="147">
        <v>0</v>
      </c>
      <c r="AF282" s="147">
        <v>0</v>
      </c>
      <c r="AG282" s="147">
        <v>0</v>
      </c>
      <c r="AH282" s="147">
        <v>0</v>
      </c>
      <c r="AI282" s="147">
        <v>0</v>
      </c>
      <c r="AJ282" s="147">
        <v>0</v>
      </c>
      <c r="AK282" s="147">
        <v>0</v>
      </c>
      <c r="AL282" s="147">
        <v>0</v>
      </c>
      <c r="AM282" s="147">
        <v>0</v>
      </c>
      <c r="AN282" s="147">
        <v>0</v>
      </c>
      <c r="AO282" s="240">
        <v>0</v>
      </c>
      <c r="AP282" s="147">
        <f t="shared" si="20"/>
        <v>3000000</v>
      </c>
    </row>
    <row r="283" spans="2:42">
      <c r="B283" s="147" t="str">
        <v>Operação Geral</v>
      </c>
      <c r="C283" s="149" t="str">
        <v>6</v>
      </c>
      <c r="D283" s="149" t="str">
        <v>6.1.2</v>
      </c>
      <c r="E283" s="149">
        <v>0</v>
      </c>
      <c r="F283" s="149">
        <v>0</v>
      </c>
      <c r="G283" s="147" t="str">
        <v>Câmeras</v>
      </c>
      <c r="H283" s="147" t="b">
        <v>0</v>
      </c>
      <c r="I283" s="147" t="b">
        <f t="shared" si="17"/>
        <v>0</v>
      </c>
      <c r="J283" s="147" t="b">
        <f t="shared" si="18"/>
        <v>0</v>
      </c>
      <c r="K283" s="147" t="b">
        <f t="shared" si="19"/>
        <v>1</v>
      </c>
      <c r="L283" s="147">
        <v>0</v>
      </c>
      <c r="M283" s="147">
        <v>0</v>
      </c>
      <c r="N283" s="147">
        <v>0</v>
      </c>
      <c r="O283" s="147">
        <v>0</v>
      </c>
      <c r="P283" s="147">
        <v>0</v>
      </c>
      <c r="Q283" s="147">
        <v>286246.88844123256</v>
      </c>
      <c r="R283" s="147">
        <v>0</v>
      </c>
      <c r="S283" s="147">
        <v>0</v>
      </c>
      <c r="T283" s="147">
        <v>0</v>
      </c>
      <c r="U283" s="147">
        <v>0</v>
      </c>
      <c r="V283" s="147">
        <v>0</v>
      </c>
      <c r="W283" s="147">
        <v>0</v>
      </c>
      <c r="X283" s="147">
        <v>0</v>
      </c>
      <c r="Y283" s="147">
        <v>0</v>
      </c>
      <c r="Z283" s="147">
        <v>0</v>
      </c>
      <c r="AA283" s="147">
        <v>0</v>
      </c>
      <c r="AB283" s="147">
        <v>0</v>
      </c>
      <c r="AC283" s="147">
        <v>0</v>
      </c>
      <c r="AD283" s="147">
        <v>0</v>
      </c>
      <c r="AE283" s="147">
        <v>0</v>
      </c>
      <c r="AF283" s="147">
        <v>0</v>
      </c>
      <c r="AG283" s="147">
        <v>0</v>
      </c>
      <c r="AH283" s="147">
        <v>0</v>
      </c>
      <c r="AI283" s="147">
        <v>0</v>
      </c>
      <c r="AJ283" s="147">
        <v>0</v>
      </c>
      <c r="AK283" s="147">
        <v>0</v>
      </c>
      <c r="AL283" s="147">
        <v>0</v>
      </c>
      <c r="AM283" s="147">
        <v>0</v>
      </c>
      <c r="AN283" s="147">
        <v>0</v>
      </c>
      <c r="AO283" s="240">
        <v>0</v>
      </c>
      <c r="AP283" s="147">
        <f t="shared" si="20"/>
        <v>286246.88844123256</v>
      </c>
    </row>
    <row r="284" spans="2:42">
      <c r="B284" s="147" t="str">
        <v>Operação Geral</v>
      </c>
      <c r="C284" s="149" t="str">
        <v>6</v>
      </c>
      <c r="D284" s="149" t="str">
        <v>6.1.2</v>
      </c>
      <c r="E284" s="149">
        <v>0</v>
      </c>
      <c r="F284" s="149">
        <v>0</v>
      </c>
      <c r="G284" s="147" t="str">
        <v>Sensores de Tráfego (SAT) por localidade</v>
      </c>
      <c r="H284" s="147" t="b">
        <v>0</v>
      </c>
      <c r="I284" s="147" t="b">
        <f t="shared" si="17"/>
        <v>0</v>
      </c>
      <c r="J284" s="147" t="b">
        <f t="shared" si="18"/>
        <v>0</v>
      </c>
      <c r="K284" s="147" t="b">
        <f t="shared" si="19"/>
        <v>1</v>
      </c>
      <c r="L284" s="147">
        <v>0</v>
      </c>
      <c r="M284" s="147">
        <v>0</v>
      </c>
      <c r="N284" s="147">
        <v>0</v>
      </c>
      <c r="O284" s="147">
        <v>0</v>
      </c>
      <c r="P284" s="147">
        <v>0</v>
      </c>
      <c r="Q284" s="147">
        <v>228330.89193014853</v>
      </c>
      <c r="R284" s="147">
        <v>0</v>
      </c>
      <c r="S284" s="147">
        <v>0</v>
      </c>
      <c r="T284" s="147">
        <v>0</v>
      </c>
      <c r="U284" s="147">
        <v>0</v>
      </c>
      <c r="V284" s="147">
        <v>0</v>
      </c>
      <c r="W284" s="147">
        <v>0</v>
      </c>
      <c r="X284" s="147">
        <v>0</v>
      </c>
      <c r="Y284" s="147">
        <v>0</v>
      </c>
      <c r="Z284" s="147">
        <v>0</v>
      </c>
      <c r="AA284" s="147">
        <v>0</v>
      </c>
      <c r="AB284" s="147">
        <v>0</v>
      </c>
      <c r="AC284" s="147">
        <v>0</v>
      </c>
      <c r="AD284" s="147">
        <v>0</v>
      </c>
      <c r="AE284" s="147">
        <v>0</v>
      </c>
      <c r="AF284" s="147">
        <v>0</v>
      </c>
      <c r="AG284" s="147">
        <v>0</v>
      </c>
      <c r="AH284" s="147">
        <v>0</v>
      </c>
      <c r="AI284" s="147">
        <v>0</v>
      </c>
      <c r="AJ284" s="147">
        <v>0</v>
      </c>
      <c r="AK284" s="147">
        <v>0</v>
      </c>
      <c r="AL284" s="147">
        <v>0</v>
      </c>
      <c r="AM284" s="147">
        <v>0</v>
      </c>
      <c r="AN284" s="147">
        <v>0</v>
      </c>
      <c r="AO284" s="240">
        <v>0</v>
      </c>
      <c r="AP284" s="147">
        <f t="shared" si="20"/>
        <v>228330.89193014853</v>
      </c>
    </row>
    <row r="285" spans="2:42">
      <c r="B285" s="147" t="str">
        <v>Operação Geral</v>
      </c>
      <c r="C285" s="149" t="str">
        <v>6</v>
      </c>
      <c r="D285" s="149" t="str">
        <v>6.1.2</v>
      </c>
      <c r="E285" s="149">
        <v>0</v>
      </c>
      <c r="F285" s="149">
        <v>0</v>
      </c>
      <c r="G285" s="147" t="str">
        <v>Pórtico HS-WIM (2 ou mais faixas)</v>
      </c>
      <c r="H285" s="147" t="b">
        <v>0</v>
      </c>
      <c r="I285" s="147" t="b">
        <f t="shared" si="17"/>
        <v>0</v>
      </c>
      <c r="J285" s="147" t="b">
        <f t="shared" si="18"/>
        <v>0</v>
      </c>
      <c r="K285" s="147" t="b">
        <f t="shared" si="19"/>
        <v>1</v>
      </c>
      <c r="L285" s="147">
        <v>0</v>
      </c>
      <c r="M285" s="147">
        <v>0</v>
      </c>
      <c r="N285" s="147">
        <v>0</v>
      </c>
      <c r="O285" s="147">
        <v>0</v>
      </c>
      <c r="P285" s="147">
        <v>0</v>
      </c>
      <c r="Q285" s="147">
        <v>222850.37655124048</v>
      </c>
      <c r="R285" s="147">
        <v>0</v>
      </c>
      <c r="S285" s="147">
        <v>0</v>
      </c>
      <c r="T285" s="147">
        <v>0</v>
      </c>
      <c r="U285" s="147">
        <v>0</v>
      </c>
      <c r="V285" s="147">
        <v>0</v>
      </c>
      <c r="W285" s="147">
        <v>0</v>
      </c>
      <c r="X285" s="147">
        <v>0</v>
      </c>
      <c r="Y285" s="147">
        <v>0</v>
      </c>
      <c r="Z285" s="147">
        <v>0</v>
      </c>
      <c r="AA285" s="147">
        <v>0</v>
      </c>
      <c r="AB285" s="147">
        <v>0</v>
      </c>
      <c r="AC285" s="147">
        <v>0</v>
      </c>
      <c r="AD285" s="147">
        <v>0</v>
      </c>
      <c r="AE285" s="147">
        <v>0</v>
      </c>
      <c r="AF285" s="147">
        <v>0</v>
      </c>
      <c r="AG285" s="147">
        <v>0</v>
      </c>
      <c r="AH285" s="147">
        <v>0</v>
      </c>
      <c r="AI285" s="147">
        <v>0</v>
      </c>
      <c r="AJ285" s="147">
        <v>0</v>
      </c>
      <c r="AK285" s="147">
        <v>0</v>
      </c>
      <c r="AL285" s="147">
        <v>0</v>
      </c>
      <c r="AM285" s="147">
        <v>0</v>
      </c>
      <c r="AN285" s="147">
        <v>0</v>
      </c>
      <c r="AO285" s="240">
        <v>0</v>
      </c>
      <c r="AP285" s="147">
        <f t="shared" si="20"/>
        <v>222850.37655124048</v>
      </c>
    </row>
    <row r="286" spans="2:42">
      <c r="B286" s="147" t="str">
        <v>Operação Geral</v>
      </c>
      <c r="C286" s="149" t="str">
        <v>6</v>
      </c>
      <c r="D286" s="149" t="str">
        <v>6.1.2</v>
      </c>
      <c r="E286" s="149">
        <v>0</v>
      </c>
      <c r="F286" s="149">
        <v>0</v>
      </c>
      <c r="G286" s="147" t="str">
        <v>PMV + Pórtico</v>
      </c>
      <c r="H286" s="147" t="b">
        <v>0</v>
      </c>
      <c r="I286" s="147" t="b">
        <f t="shared" si="17"/>
        <v>0</v>
      </c>
      <c r="J286" s="147" t="b">
        <f t="shared" si="18"/>
        <v>0</v>
      </c>
      <c r="K286" s="147" t="b">
        <f t="shared" si="19"/>
        <v>1</v>
      </c>
      <c r="L286" s="147">
        <v>0</v>
      </c>
      <c r="M286" s="147">
        <v>0</v>
      </c>
      <c r="N286" s="147">
        <v>0</v>
      </c>
      <c r="O286" s="147">
        <v>0</v>
      </c>
      <c r="P286" s="147">
        <v>0</v>
      </c>
      <c r="Q286" s="147">
        <v>0</v>
      </c>
      <c r="R286" s="147">
        <v>0</v>
      </c>
      <c r="S286" s="147">
        <v>0</v>
      </c>
      <c r="T286" s="147">
        <v>0</v>
      </c>
      <c r="U286" s="147">
        <v>0</v>
      </c>
      <c r="V286" s="147">
        <v>0</v>
      </c>
      <c r="W286" s="147">
        <v>0</v>
      </c>
      <c r="X286" s="147">
        <v>0</v>
      </c>
      <c r="Y286" s="147">
        <v>0</v>
      </c>
      <c r="Z286" s="147">
        <v>0</v>
      </c>
      <c r="AA286" s="147">
        <v>0</v>
      </c>
      <c r="AB286" s="147">
        <v>0</v>
      </c>
      <c r="AC286" s="147">
        <v>0</v>
      </c>
      <c r="AD286" s="147">
        <v>0</v>
      </c>
      <c r="AE286" s="147">
        <v>0</v>
      </c>
      <c r="AF286" s="147">
        <v>0</v>
      </c>
      <c r="AG286" s="147">
        <v>0</v>
      </c>
      <c r="AH286" s="147">
        <v>0</v>
      </c>
      <c r="AI286" s="147">
        <v>0</v>
      </c>
      <c r="AJ286" s="147">
        <v>0</v>
      </c>
      <c r="AK286" s="147">
        <v>0</v>
      </c>
      <c r="AL286" s="147">
        <v>0</v>
      </c>
      <c r="AM286" s="147">
        <v>0</v>
      </c>
      <c r="AN286" s="147">
        <v>0</v>
      </c>
      <c r="AO286" s="240">
        <v>0</v>
      </c>
      <c r="AP286" s="147">
        <f t="shared" si="20"/>
        <v>0</v>
      </c>
    </row>
    <row r="287" spans="2:42">
      <c r="B287" s="147" t="str">
        <v>Operação Geral</v>
      </c>
      <c r="C287" s="149" t="str">
        <v>6</v>
      </c>
      <c r="D287" s="149" t="str">
        <v>6.1.2</v>
      </c>
      <c r="E287" s="149">
        <v>0</v>
      </c>
      <c r="F287" s="149">
        <v>0</v>
      </c>
      <c r="G287" s="147" t="str">
        <v>Autoatendimento - Pagamento de pedágio</v>
      </c>
      <c r="H287" s="147" t="b">
        <v>0</v>
      </c>
      <c r="I287" s="147" t="b">
        <f t="shared" si="17"/>
        <v>0</v>
      </c>
      <c r="J287" s="147" t="b">
        <f t="shared" si="18"/>
        <v>0</v>
      </c>
      <c r="K287" s="147" t="b">
        <f t="shared" si="19"/>
        <v>1</v>
      </c>
      <c r="L287" s="147">
        <v>0</v>
      </c>
      <c r="M287" s="147">
        <v>0</v>
      </c>
      <c r="N287" s="147">
        <v>0</v>
      </c>
      <c r="O287" s="147">
        <v>0</v>
      </c>
      <c r="P287" s="147">
        <v>0</v>
      </c>
      <c r="Q287" s="147">
        <v>1082952.8374784226</v>
      </c>
      <c r="R287" s="147">
        <v>0</v>
      </c>
      <c r="S287" s="147">
        <v>0</v>
      </c>
      <c r="T287" s="147">
        <v>0</v>
      </c>
      <c r="U287" s="147">
        <v>0</v>
      </c>
      <c r="V287" s="147">
        <v>0</v>
      </c>
      <c r="W287" s="147">
        <v>0</v>
      </c>
      <c r="X287" s="147">
        <v>0</v>
      </c>
      <c r="Y287" s="147">
        <v>0</v>
      </c>
      <c r="Z287" s="147">
        <v>0</v>
      </c>
      <c r="AA287" s="147">
        <v>0</v>
      </c>
      <c r="AB287" s="147">
        <v>0</v>
      </c>
      <c r="AC287" s="147">
        <v>0</v>
      </c>
      <c r="AD287" s="147">
        <v>0</v>
      </c>
      <c r="AE287" s="147">
        <v>0</v>
      </c>
      <c r="AF287" s="147">
        <v>0</v>
      </c>
      <c r="AG287" s="147">
        <v>0</v>
      </c>
      <c r="AH287" s="147">
        <v>0</v>
      </c>
      <c r="AI287" s="147">
        <v>0</v>
      </c>
      <c r="AJ287" s="147">
        <v>0</v>
      </c>
      <c r="AK287" s="147">
        <v>0</v>
      </c>
      <c r="AL287" s="147">
        <v>0</v>
      </c>
      <c r="AM287" s="147">
        <v>0</v>
      </c>
      <c r="AN287" s="147">
        <v>0</v>
      </c>
      <c r="AO287" s="240">
        <v>0</v>
      </c>
      <c r="AP287" s="147">
        <f t="shared" si="20"/>
        <v>1082952.8374784226</v>
      </c>
    </row>
    <row r="288" spans="2:42">
      <c r="B288" s="147" t="str">
        <v>Operação Geral</v>
      </c>
      <c r="C288" s="149" t="str">
        <v>6</v>
      </c>
      <c r="D288" s="149" t="str">
        <v>6.1.2</v>
      </c>
      <c r="E288" s="149">
        <v>0</v>
      </c>
      <c r="F288" s="149">
        <v>0</v>
      </c>
      <c r="G288" s="147" t="str">
        <v>Totem de Autoatendimento</v>
      </c>
      <c r="H288" s="147" t="b">
        <v>0</v>
      </c>
      <c r="I288" s="147" t="b">
        <f t="shared" si="17"/>
        <v>0</v>
      </c>
      <c r="J288" s="147" t="b">
        <f t="shared" si="18"/>
        <v>0</v>
      </c>
      <c r="K288" s="147" t="b">
        <f t="shared" si="19"/>
        <v>1</v>
      </c>
      <c r="L288" s="147">
        <v>602603.52594136586</v>
      </c>
      <c r="M288" s="147">
        <v>0</v>
      </c>
      <c r="N288" s="147">
        <v>0</v>
      </c>
      <c r="O288" s="147">
        <v>0</v>
      </c>
      <c r="P288" s="147">
        <v>0</v>
      </c>
      <c r="Q288" s="147">
        <v>0</v>
      </c>
      <c r="R288" s="147">
        <v>0</v>
      </c>
      <c r="S288" s="147">
        <v>0</v>
      </c>
      <c r="T288" s="147">
        <v>0</v>
      </c>
      <c r="U288" s="147">
        <v>0</v>
      </c>
      <c r="V288" s="147">
        <v>0</v>
      </c>
      <c r="W288" s="147">
        <v>0</v>
      </c>
      <c r="X288" s="147">
        <v>0</v>
      </c>
      <c r="Y288" s="147">
        <v>0</v>
      </c>
      <c r="Z288" s="147">
        <v>0</v>
      </c>
      <c r="AA288" s="147">
        <v>0</v>
      </c>
      <c r="AB288" s="147">
        <v>0</v>
      </c>
      <c r="AC288" s="147">
        <v>0</v>
      </c>
      <c r="AD288" s="147">
        <v>0</v>
      </c>
      <c r="AE288" s="147">
        <v>0</v>
      </c>
      <c r="AF288" s="147">
        <v>0</v>
      </c>
      <c r="AG288" s="147">
        <v>0</v>
      </c>
      <c r="AH288" s="147">
        <v>0</v>
      </c>
      <c r="AI288" s="147">
        <v>0</v>
      </c>
      <c r="AJ288" s="147">
        <v>0</v>
      </c>
      <c r="AK288" s="147">
        <v>0</v>
      </c>
      <c r="AL288" s="147">
        <v>0</v>
      </c>
      <c r="AM288" s="147">
        <v>0</v>
      </c>
      <c r="AN288" s="147">
        <v>0</v>
      </c>
      <c r="AO288" s="240">
        <v>0</v>
      </c>
      <c r="AP288" s="147">
        <f t="shared" si="20"/>
        <v>602603.52594136586</v>
      </c>
    </row>
    <row r="289" spans="2:42">
      <c r="B289" s="147">
        <v>0</v>
      </c>
      <c r="C289" s="149" t="str">
        <v>0</v>
      </c>
      <c r="D289" s="149">
        <v>0</v>
      </c>
      <c r="E289" s="149">
        <v>0</v>
      </c>
      <c r="F289" s="149">
        <v>0</v>
      </c>
      <c r="G289" s="147">
        <v>0</v>
      </c>
      <c r="H289" s="147" t="b">
        <v>0</v>
      </c>
      <c r="I289" s="147" t="b">
        <f t="shared" si="17"/>
        <v>0</v>
      </c>
      <c r="J289" s="147" t="b">
        <f t="shared" si="18"/>
        <v>0</v>
      </c>
      <c r="K289" s="147" t="b">
        <f t="shared" si="19"/>
        <v>1</v>
      </c>
      <c r="L289" s="147">
        <v>0</v>
      </c>
      <c r="M289" s="147">
        <v>0</v>
      </c>
      <c r="N289" s="147">
        <v>0</v>
      </c>
      <c r="O289" s="147">
        <v>0</v>
      </c>
      <c r="P289" s="147">
        <v>0</v>
      </c>
      <c r="Q289" s="147">
        <v>0</v>
      </c>
      <c r="R289" s="147">
        <v>0</v>
      </c>
      <c r="S289" s="147">
        <v>0</v>
      </c>
      <c r="T289" s="147">
        <v>0</v>
      </c>
      <c r="U289" s="147">
        <v>0</v>
      </c>
      <c r="V289" s="147">
        <v>0</v>
      </c>
      <c r="W289" s="147">
        <v>0</v>
      </c>
      <c r="X289" s="147">
        <v>0</v>
      </c>
      <c r="Y289" s="147">
        <v>0</v>
      </c>
      <c r="Z289" s="147">
        <v>0</v>
      </c>
      <c r="AA289" s="147">
        <v>0</v>
      </c>
      <c r="AB289" s="147">
        <v>0</v>
      </c>
      <c r="AC289" s="147">
        <v>0</v>
      </c>
      <c r="AD289" s="147">
        <v>0</v>
      </c>
      <c r="AE289" s="147">
        <v>0</v>
      </c>
      <c r="AF289" s="147">
        <v>0</v>
      </c>
      <c r="AG289" s="147">
        <v>0</v>
      </c>
      <c r="AH289" s="147">
        <v>0</v>
      </c>
      <c r="AI289" s="147">
        <v>0</v>
      </c>
      <c r="AJ289" s="147">
        <v>0</v>
      </c>
      <c r="AK289" s="147">
        <v>0</v>
      </c>
      <c r="AL289" s="147">
        <v>0</v>
      </c>
      <c r="AM289" s="147">
        <v>0</v>
      </c>
      <c r="AN289" s="147">
        <v>0</v>
      </c>
      <c r="AO289" s="240">
        <v>0</v>
      </c>
      <c r="AP289" s="147">
        <f t="shared" si="20"/>
        <v>0</v>
      </c>
    </row>
    <row r="290" spans="2:42">
      <c r="B290" s="147">
        <v>0</v>
      </c>
      <c r="C290" s="149" t="str">
        <v>0</v>
      </c>
      <c r="D290" s="149">
        <v>0</v>
      </c>
      <c r="E290" s="149">
        <v>0</v>
      </c>
      <c r="F290" s="149">
        <v>0</v>
      </c>
      <c r="G290" s="147">
        <v>0</v>
      </c>
      <c r="H290" s="147" t="b">
        <v>0</v>
      </c>
      <c r="I290" s="147" t="b">
        <f t="shared" si="17"/>
        <v>0</v>
      </c>
      <c r="J290" s="147" t="b">
        <f t="shared" si="18"/>
        <v>0</v>
      </c>
      <c r="K290" s="147" t="b">
        <f t="shared" si="19"/>
        <v>1</v>
      </c>
      <c r="L290" s="147">
        <v>0</v>
      </c>
      <c r="M290" s="147">
        <v>0</v>
      </c>
      <c r="N290" s="147">
        <v>0</v>
      </c>
      <c r="O290" s="147">
        <v>0</v>
      </c>
      <c r="P290" s="147">
        <v>0</v>
      </c>
      <c r="Q290" s="147">
        <v>0</v>
      </c>
      <c r="R290" s="147">
        <v>0</v>
      </c>
      <c r="S290" s="147">
        <v>0</v>
      </c>
      <c r="T290" s="147">
        <v>0</v>
      </c>
      <c r="U290" s="147">
        <v>0</v>
      </c>
      <c r="V290" s="147">
        <v>0</v>
      </c>
      <c r="W290" s="147">
        <v>0</v>
      </c>
      <c r="X290" s="147">
        <v>0</v>
      </c>
      <c r="Y290" s="147">
        <v>0</v>
      </c>
      <c r="Z290" s="147">
        <v>0</v>
      </c>
      <c r="AA290" s="147">
        <v>0</v>
      </c>
      <c r="AB290" s="147">
        <v>0</v>
      </c>
      <c r="AC290" s="147">
        <v>0</v>
      </c>
      <c r="AD290" s="147">
        <v>0</v>
      </c>
      <c r="AE290" s="147">
        <v>0</v>
      </c>
      <c r="AF290" s="147">
        <v>0</v>
      </c>
      <c r="AG290" s="147">
        <v>0</v>
      </c>
      <c r="AH290" s="147">
        <v>0</v>
      </c>
      <c r="AI290" s="147">
        <v>0</v>
      </c>
      <c r="AJ290" s="147">
        <v>0</v>
      </c>
      <c r="AK290" s="147">
        <v>0</v>
      </c>
      <c r="AL290" s="147">
        <v>0</v>
      </c>
      <c r="AM290" s="147">
        <v>0</v>
      </c>
      <c r="AN290" s="147">
        <v>0</v>
      </c>
      <c r="AO290" s="240">
        <v>0</v>
      </c>
      <c r="AP290" s="147">
        <f t="shared" si="20"/>
        <v>0</v>
      </c>
    </row>
    <row r="291" spans="2:42">
      <c r="B291" s="147">
        <v>0</v>
      </c>
      <c r="C291" s="149" t="str">
        <v>0</v>
      </c>
      <c r="D291" s="149">
        <v>0</v>
      </c>
      <c r="E291" s="149">
        <v>0</v>
      </c>
      <c r="F291" s="149">
        <v>0</v>
      </c>
      <c r="G291" s="147">
        <v>0</v>
      </c>
      <c r="H291" s="147" t="b">
        <v>0</v>
      </c>
      <c r="I291" s="147" t="b">
        <f t="shared" si="17"/>
        <v>0</v>
      </c>
      <c r="J291" s="147" t="b">
        <f t="shared" si="18"/>
        <v>0</v>
      </c>
      <c r="K291" s="147" t="b">
        <f t="shared" si="19"/>
        <v>1</v>
      </c>
      <c r="L291" s="147">
        <v>0</v>
      </c>
      <c r="M291" s="147">
        <v>0</v>
      </c>
      <c r="N291" s="147">
        <v>0</v>
      </c>
      <c r="O291" s="147">
        <v>0</v>
      </c>
      <c r="P291" s="147">
        <v>0</v>
      </c>
      <c r="Q291" s="147">
        <v>0</v>
      </c>
      <c r="R291" s="147">
        <v>0</v>
      </c>
      <c r="S291" s="147">
        <v>0</v>
      </c>
      <c r="T291" s="147">
        <v>0</v>
      </c>
      <c r="U291" s="147">
        <v>0</v>
      </c>
      <c r="V291" s="147">
        <v>0</v>
      </c>
      <c r="W291" s="147">
        <v>0</v>
      </c>
      <c r="X291" s="147">
        <v>0</v>
      </c>
      <c r="Y291" s="147">
        <v>0</v>
      </c>
      <c r="Z291" s="147">
        <v>0</v>
      </c>
      <c r="AA291" s="147">
        <v>0</v>
      </c>
      <c r="AB291" s="147">
        <v>0</v>
      </c>
      <c r="AC291" s="147">
        <v>0</v>
      </c>
      <c r="AD291" s="147">
        <v>0</v>
      </c>
      <c r="AE291" s="147">
        <v>0</v>
      </c>
      <c r="AF291" s="147">
        <v>0</v>
      </c>
      <c r="AG291" s="147">
        <v>0</v>
      </c>
      <c r="AH291" s="147">
        <v>0</v>
      </c>
      <c r="AI291" s="147">
        <v>0</v>
      </c>
      <c r="AJ291" s="147">
        <v>0</v>
      </c>
      <c r="AK291" s="147">
        <v>0</v>
      </c>
      <c r="AL291" s="147">
        <v>0</v>
      </c>
      <c r="AM291" s="147">
        <v>0</v>
      </c>
      <c r="AN291" s="147">
        <v>0</v>
      </c>
      <c r="AO291" s="240">
        <v>0</v>
      </c>
      <c r="AP291" s="147">
        <f t="shared" si="20"/>
        <v>0</v>
      </c>
    </row>
    <row r="292" spans="2:42">
      <c r="B292" s="147">
        <v>0</v>
      </c>
      <c r="C292" s="149" t="str">
        <v>0</v>
      </c>
      <c r="D292" s="149">
        <v>0</v>
      </c>
      <c r="E292" s="149">
        <v>0</v>
      </c>
      <c r="F292" s="149">
        <v>0</v>
      </c>
      <c r="G292" s="147">
        <v>0</v>
      </c>
      <c r="H292" s="147" t="b">
        <v>0</v>
      </c>
      <c r="I292" s="147" t="b">
        <f t="shared" si="17"/>
        <v>0</v>
      </c>
      <c r="J292" s="147" t="b">
        <f t="shared" si="18"/>
        <v>0</v>
      </c>
      <c r="K292" s="147" t="b">
        <f t="shared" si="19"/>
        <v>1</v>
      </c>
      <c r="L292" s="147">
        <v>0</v>
      </c>
      <c r="M292" s="147">
        <v>0</v>
      </c>
      <c r="N292" s="147">
        <v>0</v>
      </c>
      <c r="O292" s="147">
        <v>0</v>
      </c>
      <c r="P292" s="147">
        <v>0</v>
      </c>
      <c r="Q292" s="147">
        <v>0</v>
      </c>
      <c r="R292" s="147">
        <v>0</v>
      </c>
      <c r="S292" s="147">
        <v>0</v>
      </c>
      <c r="T292" s="147">
        <v>0</v>
      </c>
      <c r="U292" s="147">
        <v>0</v>
      </c>
      <c r="V292" s="147">
        <v>0</v>
      </c>
      <c r="W292" s="147">
        <v>0</v>
      </c>
      <c r="X292" s="147">
        <v>0</v>
      </c>
      <c r="Y292" s="147">
        <v>0</v>
      </c>
      <c r="Z292" s="147">
        <v>0</v>
      </c>
      <c r="AA292" s="147">
        <v>0</v>
      </c>
      <c r="AB292" s="147">
        <v>0</v>
      </c>
      <c r="AC292" s="147">
        <v>0</v>
      </c>
      <c r="AD292" s="147">
        <v>0</v>
      </c>
      <c r="AE292" s="147">
        <v>0</v>
      </c>
      <c r="AF292" s="147">
        <v>0</v>
      </c>
      <c r="AG292" s="147">
        <v>0</v>
      </c>
      <c r="AH292" s="147">
        <v>0</v>
      </c>
      <c r="AI292" s="147">
        <v>0</v>
      </c>
      <c r="AJ292" s="147">
        <v>0</v>
      </c>
      <c r="AK292" s="147">
        <v>0</v>
      </c>
      <c r="AL292" s="147">
        <v>0</v>
      </c>
      <c r="AM292" s="147">
        <v>0</v>
      </c>
      <c r="AN292" s="147">
        <v>0</v>
      </c>
      <c r="AO292" s="240">
        <v>0</v>
      </c>
      <c r="AP292" s="147">
        <f t="shared" si="20"/>
        <v>0</v>
      </c>
    </row>
    <row r="293" spans="2:42">
      <c r="B293" s="147">
        <v>0</v>
      </c>
      <c r="C293" s="149" t="str">
        <v>0</v>
      </c>
      <c r="D293" s="149">
        <v>0</v>
      </c>
      <c r="E293" s="149">
        <v>0</v>
      </c>
      <c r="F293" s="149">
        <v>0</v>
      </c>
      <c r="G293" s="147">
        <v>0</v>
      </c>
      <c r="H293" s="147" t="b">
        <v>0</v>
      </c>
      <c r="I293" s="147" t="b">
        <f t="shared" si="17"/>
        <v>0</v>
      </c>
      <c r="J293" s="147" t="b">
        <f t="shared" si="18"/>
        <v>0</v>
      </c>
      <c r="K293" s="147" t="b">
        <f t="shared" si="19"/>
        <v>1</v>
      </c>
      <c r="L293" s="147">
        <v>0</v>
      </c>
      <c r="M293" s="147">
        <v>0</v>
      </c>
      <c r="N293" s="147">
        <v>0</v>
      </c>
      <c r="O293" s="147">
        <v>0</v>
      </c>
      <c r="P293" s="147">
        <v>0</v>
      </c>
      <c r="Q293" s="147">
        <v>0</v>
      </c>
      <c r="R293" s="147">
        <v>0</v>
      </c>
      <c r="S293" s="147">
        <v>0</v>
      </c>
      <c r="T293" s="147">
        <v>0</v>
      </c>
      <c r="U293" s="147">
        <v>0</v>
      </c>
      <c r="V293" s="147">
        <v>0</v>
      </c>
      <c r="W293" s="147">
        <v>0</v>
      </c>
      <c r="X293" s="147">
        <v>0</v>
      </c>
      <c r="Y293" s="147">
        <v>0</v>
      </c>
      <c r="Z293" s="147">
        <v>0</v>
      </c>
      <c r="AA293" s="147">
        <v>0</v>
      </c>
      <c r="AB293" s="147">
        <v>0</v>
      </c>
      <c r="AC293" s="147">
        <v>0</v>
      </c>
      <c r="AD293" s="147">
        <v>0</v>
      </c>
      <c r="AE293" s="147">
        <v>0</v>
      </c>
      <c r="AF293" s="147">
        <v>0</v>
      </c>
      <c r="AG293" s="147">
        <v>0</v>
      </c>
      <c r="AH293" s="147">
        <v>0</v>
      </c>
      <c r="AI293" s="147">
        <v>0</v>
      </c>
      <c r="AJ293" s="147">
        <v>0</v>
      </c>
      <c r="AK293" s="147">
        <v>0</v>
      </c>
      <c r="AL293" s="147">
        <v>0</v>
      </c>
      <c r="AM293" s="147">
        <v>0</v>
      </c>
      <c r="AN293" s="147">
        <v>0</v>
      </c>
      <c r="AO293" s="240">
        <v>0</v>
      </c>
      <c r="AP293" s="147">
        <f t="shared" si="20"/>
        <v>0</v>
      </c>
    </row>
    <row r="294" spans="2:42">
      <c r="B294" s="147">
        <v>0</v>
      </c>
      <c r="C294" s="149" t="str">
        <v>0</v>
      </c>
      <c r="D294" s="149">
        <v>0</v>
      </c>
      <c r="E294" s="149">
        <v>0</v>
      </c>
      <c r="F294" s="149">
        <v>0</v>
      </c>
      <c r="G294" s="147">
        <v>0</v>
      </c>
      <c r="H294" s="147" t="b">
        <v>0</v>
      </c>
      <c r="I294" s="147" t="b">
        <f t="shared" si="17"/>
        <v>0</v>
      </c>
      <c r="J294" s="147" t="b">
        <f t="shared" si="18"/>
        <v>0</v>
      </c>
      <c r="K294" s="147" t="b">
        <f t="shared" si="19"/>
        <v>1</v>
      </c>
      <c r="L294" s="147">
        <v>0</v>
      </c>
      <c r="M294" s="147">
        <v>0</v>
      </c>
      <c r="N294" s="147">
        <v>0</v>
      </c>
      <c r="O294" s="147">
        <v>0</v>
      </c>
      <c r="P294" s="147">
        <v>0</v>
      </c>
      <c r="Q294" s="147">
        <v>0</v>
      </c>
      <c r="R294" s="147">
        <v>0</v>
      </c>
      <c r="S294" s="147">
        <v>0</v>
      </c>
      <c r="T294" s="147">
        <v>0</v>
      </c>
      <c r="U294" s="147">
        <v>0</v>
      </c>
      <c r="V294" s="147">
        <v>0</v>
      </c>
      <c r="W294" s="147">
        <v>0</v>
      </c>
      <c r="X294" s="147">
        <v>0</v>
      </c>
      <c r="Y294" s="147">
        <v>0</v>
      </c>
      <c r="Z294" s="147">
        <v>0</v>
      </c>
      <c r="AA294" s="147">
        <v>0</v>
      </c>
      <c r="AB294" s="147">
        <v>0</v>
      </c>
      <c r="AC294" s="147">
        <v>0</v>
      </c>
      <c r="AD294" s="147">
        <v>0</v>
      </c>
      <c r="AE294" s="147">
        <v>0</v>
      </c>
      <c r="AF294" s="147">
        <v>0</v>
      </c>
      <c r="AG294" s="147">
        <v>0</v>
      </c>
      <c r="AH294" s="147">
        <v>0</v>
      </c>
      <c r="AI294" s="147">
        <v>0</v>
      </c>
      <c r="AJ294" s="147">
        <v>0</v>
      </c>
      <c r="AK294" s="147">
        <v>0</v>
      </c>
      <c r="AL294" s="147">
        <v>0</v>
      </c>
      <c r="AM294" s="147">
        <v>0</v>
      </c>
      <c r="AN294" s="147">
        <v>0</v>
      </c>
      <c r="AO294" s="240">
        <v>0</v>
      </c>
      <c r="AP294" s="147">
        <f t="shared" si="20"/>
        <v>0</v>
      </c>
    </row>
    <row r="295" spans="2:42">
      <c r="B295" s="147">
        <v>0</v>
      </c>
      <c r="C295" s="149" t="str">
        <v>0</v>
      </c>
      <c r="D295" s="149">
        <v>0</v>
      </c>
      <c r="E295" s="149">
        <v>0</v>
      </c>
      <c r="F295" s="149">
        <v>0</v>
      </c>
      <c r="G295" s="147">
        <v>0</v>
      </c>
      <c r="H295" s="147" t="b">
        <v>0</v>
      </c>
      <c r="I295" s="147" t="b">
        <f t="shared" si="17"/>
        <v>0</v>
      </c>
      <c r="J295" s="147" t="b">
        <f t="shared" si="18"/>
        <v>0</v>
      </c>
      <c r="K295" s="147" t="b">
        <f t="shared" si="19"/>
        <v>1</v>
      </c>
      <c r="L295" s="147">
        <v>0</v>
      </c>
      <c r="M295" s="147">
        <v>0</v>
      </c>
      <c r="N295" s="147">
        <v>0</v>
      </c>
      <c r="O295" s="147">
        <v>0</v>
      </c>
      <c r="P295" s="147">
        <v>0</v>
      </c>
      <c r="Q295" s="147">
        <v>0</v>
      </c>
      <c r="R295" s="147">
        <v>0</v>
      </c>
      <c r="S295" s="147">
        <v>0</v>
      </c>
      <c r="T295" s="147">
        <v>0</v>
      </c>
      <c r="U295" s="147">
        <v>0</v>
      </c>
      <c r="V295" s="147">
        <v>0</v>
      </c>
      <c r="W295" s="147">
        <v>0</v>
      </c>
      <c r="X295" s="147">
        <v>0</v>
      </c>
      <c r="Y295" s="147">
        <v>0</v>
      </c>
      <c r="Z295" s="147">
        <v>0</v>
      </c>
      <c r="AA295" s="147">
        <v>0</v>
      </c>
      <c r="AB295" s="147">
        <v>0</v>
      </c>
      <c r="AC295" s="147">
        <v>0</v>
      </c>
      <c r="AD295" s="147">
        <v>0</v>
      </c>
      <c r="AE295" s="147">
        <v>0</v>
      </c>
      <c r="AF295" s="147">
        <v>0</v>
      </c>
      <c r="AG295" s="147">
        <v>0</v>
      </c>
      <c r="AH295" s="147">
        <v>0</v>
      </c>
      <c r="AI295" s="147">
        <v>0</v>
      </c>
      <c r="AJ295" s="147">
        <v>0</v>
      </c>
      <c r="AK295" s="147">
        <v>0</v>
      </c>
      <c r="AL295" s="147">
        <v>0</v>
      </c>
      <c r="AM295" s="147">
        <v>0</v>
      </c>
      <c r="AN295" s="147">
        <v>0</v>
      </c>
      <c r="AO295" s="240">
        <v>0</v>
      </c>
      <c r="AP295" s="147">
        <f t="shared" si="20"/>
        <v>0</v>
      </c>
    </row>
    <row r="296" spans="2:42">
      <c r="B296" s="147">
        <v>0</v>
      </c>
      <c r="C296" s="149" t="str">
        <v>0</v>
      </c>
      <c r="D296" s="149">
        <v>0</v>
      </c>
      <c r="E296" s="149">
        <v>0</v>
      </c>
      <c r="F296" s="149">
        <v>0</v>
      </c>
      <c r="G296" s="147">
        <v>0</v>
      </c>
      <c r="H296" s="147" t="b">
        <v>0</v>
      </c>
      <c r="I296" s="147" t="b">
        <f t="shared" si="17"/>
        <v>0</v>
      </c>
      <c r="J296" s="147" t="b">
        <f t="shared" si="18"/>
        <v>0</v>
      </c>
      <c r="K296" s="147" t="b">
        <f t="shared" si="19"/>
        <v>1</v>
      </c>
      <c r="L296" s="147">
        <v>0</v>
      </c>
      <c r="M296" s="147">
        <v>0</v>
      </c>
      <c r="N296" s="147">
        <v>0</v>
      </c>
      <c r="O296" s="147">
        <v>0</v>
      </c>
      <c r="P296" s="147">
        <v>0</v>
      </c>
      <c r="Q296" s="147">
        <v>0</v>
      </c>
      <c r="R296" s="147">
        <v>0</v>
      </c>
      <c r="S296" s="147">
        <v>0</v>
      </c>
      <c r="T296" s="147">
        <v>0</v>
      </c>
      <c r="U296" s="147">
        <v>0</v>
      </c>
      <c r="V296" s="147">
        <v>0</v>
      </c>
      <c r="W296" s="147">
        <v>0</v>
      </c>
      <c r="X296" s="147">
        <v>0</v>
      </c>
      <c r="Y296" s="147">
        <v>0</v>
      </c>
      <c r="Z296" s="147">
        <v>0</v>
      </c>
      <c r="AA296" s="147">
        <v>0</v>
      </c>
      <c r="AB296" s="147">
        <v>0</v>
      </c>
      <c r="AC296" s="147">
        <v>0</v>
      </c>
      <c r="AD296" s="147">
        <v>0</v>
      </c>
      <c r="AE296" s="147">
        <v>0</v>
      </c>
      <c r="AF296" s="147">
        <v>0</v>
      </c>
      <c r="AG296" s="147">
        <v>0</v>
      </c>
      <c r="AH296" s="147">
        <v>0</v>
      </c>
      <c r="AI296" s="147">
        <v>0</v>
      </c>
      <c r="AJ296" s="147">
        <v>0</v>
      </c>
      <c r="AK296" s="147">
        <v>0</v>
      </c>
      <c r="AL296" s="147">
        <v>0</v>
      </c>
      <c r="AM296" s="147">
        <v>0</v>
      </c>
      <c r="AN296" s="147">
        <v>0</v>
      </c>
      <c r="AO296" s="240">
        <v>0</v>
      </c>
      <c r="AP296" s="147">
        <f t="shared" si="20"/>
        <v>0</v>
      </c>
    </row>
    <row r="297" spans="2:42">
      <c r="B297" s="147">
        <v>0</v>
      </c>
      <c r="C297" s="149" t="str">
        <v>0</v>
      </c>
      <c r="D297" s="149">
        <v>0</v>
      </c>
      <c r="E297" s="149">
        <v>0</v>
      </c>
      <c r="F297" s="149">
        <v>0</v>
      </c>
      <c r="G297" s="147">
        <v>0</v>
      </c>
      <c r="H297" s="147" t="b">
        <v>0</v>
      </c>
      <c r="I297" s="147" t="b">
        <f t="shared" si="17"/>
        <v>0</v>
      </c>
      <c r="J297" s="147" t="b">
        <f t="shared" si="18"/>
        <v>0</v>
      </c>
      <c r="K297" s="147" t="b">
        <f t="shared" si="19"/>
        <v>1</v>
      </c>
      <c r="L297" s="147">
        <v>0</v>
      </c>
      <c r="M297" s="147">
        <v>0</v>
      </c>
      <c r="N297" s="147">
        <v>0</v>
      </c>
      <c r="O297" s="147">
        <v>0</v>
      </c>
      <c r="P297" s="147">
        <v>0</v>
      </c>
      <c r="Q297" s="147">
        <v>0</v>
      </c>
      <c r="R297" s="147">
        <v>0</v>
      </c>
      <c r="S297" s="147">
        <v>0</v>
      </c>
      <c r="T297" s="147">
        <v>0</v>
      </c>
      <c r="U297" s="147">
        <v>0</v>
      </c>
      <c r="V297" s="147">
        <v>0</v>
      </c>
      <c r="W297" s="147">
        <v>0</v>
      </c>
      <c r="X297" s="147">
        <v>0</v>
      </c>
      <c r="Y297" s="147">
        <v>0</v>
      </c>
      <c r="Z297" s="147">
        <v>0</v>
      </c>
      <c r="AA297" s="147">
        <v>0</v>
      </c>
      <c r="AB297" s="147">
        <v>0</v>
      </c>
      <c r="AC297" s="147">
        <v>0</v>
      </c>
      <c r="AD297" s="147">
        <v>0</v>
      </c>
      <c r="AE297" s="147">
        <v>0</v>
      </c>
      <c r="AF297" s="147">
        <v>0</v>
      </c>
      <c r="AG297" s="147">
        <v>0</v>
      </c>
      <c r="AH297" s="147">
        <v>0</v>
      </c>
      <c r="AI297" s="147">
        <v>0</v>
      </c>
      <c r="AJ297" s="147">
        <v>0</v>
      </c>
      <c r="AK297" s="147">
        <v>0</v>
      </c>
      <c r="AL297" s="147">
        <v>0</v>
      </c>
      <c r="AM297" s="147">
        <v>0</v>
      </c>
      <c r="AN297" s="147">
        <v>0</v>
      </c>
      <c r="AO297" s="240">
        <v>0</v>
      </c>
      <c r="AP297" s="147">
        <f t="shared" si="20"/>
        <v>0</v>
      </c>
    </row>
    <row r="298" spans="2:42">
      <c r="B298" s="147">
        <v>0</v>
      </c>
      <c r="C298" s="149" t="str">
        <v>0</v>
      </c>
      <c r="D298" s="149">
        <v>0</v>
      </c>
      <c r="E298" s="149">
        <v>0</v>
      </c>
      <c r="F298" s="149">
        <v>0</v>
      </c>
      <c r="G298" s="147">
        <v>0</v>
      </c>
      <c r="H298" s="147" t="b">
        <v>0</v>
      </c>
      <c r="I298" s="147" t="b">
        <f t="shared" si="17"/>
        <v>0</v>
      </c>
      <c r="J298" s="147" t="b">
        <f t="shared" si="18"/>
        <v>0</v>
      </c>
      <c r="K298" s="147" t="b">
        <f t="shared" si="19"/>
        <v>1</v>
      </c>
      <c r="L298" s="147">
        <v>0</v>
      </c>
      <c r="M298" s="147">
        <v>0</v>
      </c>
      <c r="N298" s="147">
        <v>0</v>
      </c>
      <c r="O298" s="147">
        <v>0</v>
      </c>
      <c r="P298" s="147">
        <v>0</v>
      </c>
      <c r="Q298" s="147">
        <v>0</v>
      </c>
      <c r="R298" s="147">
        <v>0</v>
      </c>
      <c r="S298" s="147">
        <v>0</v>
      </c>
      <c r="T298" s="147">
        <v>0</v>
      </c>
      <c r="U298" s="147">
        <v>0</v>
      </c>
      <c r="V298" s="147">
        <v>0</v>
      </c>
      <c r="W298" s="147">
        <v>0</v>
      </c>
      <c r="X298" s="147">
        <v>0</v>
      </c>
      <c r="Y298" s="147">
        <v>0</v>
      </c>
      <c r="Z298" s="147">
        <v>0</v>
      </c>
      <c r="AA298" s="147">
        <v>0</v>
      </c>
      <c r="AB298" s="147">
        <v>0</v>
      </c>
      <c r="AC298" s="147">
        <v>0</v>
      </c>
      <c r="AD298" s="147">
        <v>0</v>
      </c>
      <c r="AE298" s="147">
        <v>0</v>
      </c>
      <c r="AF298" s="147">
        <v>0</v>
      </c>
      <c r="AG298" s="147">
        <v>0</v>
      </c>
      <c r="AH298" s="147">
        <v>0</v>
      </c>
      <c r="AI298" s="147">
        <v>0</v>
      </c>
      <c r="AJ298" s="147">
        <v>0</v>
      </c>
      <c r="AK298" s="147">
        <v>0</v>
      </c>
      <c r="AL298" s="147">
        <v>0</v>
      </c>
      <c r="AM298" s="147">
        <v>0</v>
      </c>
      <c r="AN298" s="147">
        <v>0</v>
      </c>
      <c r="AO298" s="240">
        <v>0</v>
      </c>
      <c r="AP298" s="147">
        <f t="shared" si="20"/>
        <v>0</v>
      </c>
    </row>
    <row r="299" spans="2:42">
      <c r="B299" s="147">
        <v>0</v>
      </c>
      <c r="C299" s="149" t="str">
        <v>0</v>
      </c>
      <c r="D299" s="149">
        <v>0</v>
      </c>
      <c r="E299" s="149">
        <v>0</v>
      </c>
      <c r="F299" s="149">
        <v>0</v>
      </c>
      <c r="G299" s="147">
        <v>0</v>
      </c>
      <c r="H299" s="147" t="b">
        <v>0</v>
      </c>
      <c r="I299" s="147" t="b">
        <f t="shared" si="17"/>
        <v>0</v>
      </c>
      <c r="J299" s="147" t="b">
        <f t="shared" si="18"/>
        <v>0</v>
      </c>
      <c r="K299" s="147" t="b">
        <f t="shared" si="19"/>
        <v>1</v>
      </c>
      <c r="L299" s="147">
        <v>0</v>
      </c>
      <c r="M299" s="147">
        <v>0</v>
      </c>
      <c r="N299" s="147">
        <v>0</v>
      </c>
      <c r="O299" s="147">
        <v>0</v>
      </c>
      <c r="P299" s="147">
        <v>0</v>
      </c>
      <c r="Q299" s="147">
        <v>0</v>
      </c>
      <c r="R299" s="147">
        <v>0</v>
      </c>
      <c r="S299" s="147">
        <v>0</v>
      </c>
      <c r="T299" s="147">
        <v>0</v>
      </c>
      <c r="U299" s="147">
        <v>0</v>
      </c>
      <c r="V299" s="147">
        <v>0</v>
      </c>
      <c r="W299" s="147">
        <v>0</v>
      </c>
      <c r="X299" s="147">
        <v>0</v>
      </c>
      <c r="Y299" s="147">
        <v>0</v>
      </c>
      <c r="Z299" s="147">
        <v>0</v>
      </c>
      <c r="AA299" s="147">
        <v>0</v>
      </c>
      <c r="AB299" s="147">
        <v>0</v>
      </c>
      <c r="AC299" s="147">
        <v>0</v>
      </c>
      <c r="AD299" s="147">
        <v>0</v>
      </c>
      <c r="AE299" s="147">
        <v>0</v>
      </c>
      <c r="AF299" s="147">
        <v>0</v>
      </c>
      <c r="AG299" s="147">
        <v>0</v>
      </c>
      <c r="AH299" s="147">
        <v>0</v>
      </c>
      <c r="AI299" s="147">
        <v>0</v>
      </c>
      <c r="AJ299" s="147">
        <v>0</v>
      </c>
      <c r="AK299" s="147">
        <v>0</v>
      </c>
      <c r="AL299" s="147">
        <v>0</v>
      </c>
      <c r="AM299" s="147">
        <v>0</v>
      </c>
      <c r="AN299" s="147">
        <v>0</v>
      </c>
      <c r="AO299" s="240">
        <v>0</v>
      </c>
      <c r="AP299" s="147">
        <f t="shared" si="20"/>
        <v>0</v>
      </c>
    </row>
    <row r="300" spans="2:42">
      <c r="B300" s="147" t="str">
        <v>Operação Geral</v>
      </c>
      <c r="C300" s="149" t="str">
        <v>6</v>
      </c>
      <c r="D300" s="149" t="str">
        <v>6.2</v>
      </c>
      <c r="E300" s="149">
        <v>0</v>
      </c>
      <c r="F300" s="149">
        <v>0</v>
      </c>
      <c r="G300" s="147" t="str">
        <v>Reposição e atualização dos equipamentos e sistemas</v>
      </c>
      <c r="H300" s="147" t="b">
        <v>0</v>
      </c>
      <c r="I300" s="147" t="b">
        <f t="shared" si="17"/>
        <v>0</v>
      </c>
      <c r="J300" s="147" t="b">
        <f t="shared" si="18"/>
        <v>0</v>
      </c>
      <c r="K300" s="147" t="b">
        <f t="shared" si="19"/>
        <v>1</v>
      </c>
      <c r="L300" s="147">
        <v>0</v>
      </c>
      <c r="M300" s="147">
        <v>0</v>
      </c>
      <c r="N300" s="147">
        <v>0</v>
      </c>
      <c r="O300" s="147">
        <v>0</v>
      </c>
      <c r="P300" s="147">
        <v>0</v>
      </c>
      <c r="Q300" s="147">
        <v>0</v>
      </c>
      <c r="R300" s="147">
        <v>0</v>
      </c>
      <c r="S300" s="147">
        <v>0</v>
      </c>
      <c r="T300" s="147">
        <v>0</v>
      </c>
      <c r="U300" s="147">
        <v>0</v>
      </c>
      <c r="V300" s="147">
        <v>0</v>
      </c>
      <c r="W300" s="147">
        <v>0</v>
      </c>
      <c r="X300" s="147">
        <v>0</v>
      </c>
      <c r="Y300" s="147">
        <v>0</v>
      </c>
      <c r="Z300" s="147">
        <v>0</v>
      </c>
      <c r="AA300" s="147">
        <v>0</v>
      </c>
      <c r="AB300" s="147">
        <v>0</v>
      </c>
      <c r="AC300" s="147">
        <v>0</v>
      </c>
      <c r="AD300" s="147">
        <v>0</v>
      </c>
      <c r="AE300" s="147">
        <v>0</v>
      </c>
      <c r="AF300" s="147">
        <v>0</v>
      </c>
      <c r="AG300" s="147">
        <v>0</v>
      </c>
      <c r="AH300" s="147">
        <v>0</v>
      </c>
      <c r="AI300" s="147">
        <v>0</v>
      </c>
      <c r="AJ300" s="147">
        <v>0</v>
      </c>
      <c r="AK300" s="147">
        <v>0</v>
      </c>
      <c r="AL300" s="147">
        <v>0</v>
      </c>
      <c r="AM300" s="147">
        <v>0</v>
      </c>
      <c r="AN300" s="147">
        <v>0</v>
      </c>
      <c r="AO300" s="240">
        <v>0</v>
      </c>
      <c r="AP300" s="147">
        <f t="shared" si="20"/>
        <v>0</v>
      </c>
    </row>
    <row r="301" spans="2:42">
      <c r="B301" s="147" t="str">
        <v>Operação Geral</v>
      </c>
      <c r="C301" s="149" t="str">
        <v>6</v>
      </c>
      <c r="D301" s="149" t="str">
        <v>6.2.1</v>
      </c>
      <c r="E301" s="149">
        <v>0</v>
      </c>
      <c r="F301" s="149">
        <v>1</v>
      </c>
      <c r="G301" s="147" t="str">
        <v>Reposição de veículos</v>
      </c>
      <c r="H301" s="147" t="b">
        <v>0</v>
      </c>
      <c r="I301" s="147" t="b">
        <f t="shared" si="17"/>
        <v>0</v>
      </c>
      <c r="J301" s="147" t="b">
        <f t="shared" si="18"/>
        <v>1</v>
      </c>
      <c r="K301" s="147" t="b">
        <f t="shared" si="19"/>
        <v>0</v>
      </c>
      <c r="L301" s="147">
        <v>0</v>
      </c>
      <c r="M301" s="147">
        <v>0</v>
      </c>
      <c r="N301" s="147">
        <v>168287.7</v>
      </c>
      <c r="O301" s="147">
        <v>0</v>
      </c>
      <c r="P301" s="147">
        <v>3411292.1958080009</v>
      </c>
      <c r="Q301" s="147">
        <v>1427526.1009006985</v>
      </c>
      <c r="R301" s="147">
        <v>476731.63033709448</v>
      </c>
      <c r="S301" s="147">
        <v>0</v>
      </c>
      <c r="T301" s="147">
        <v>3411292.1958080009</v>
      </c>
      <c r="U301" s="147">
        <v>0</v>
      </c>
      <c r="V301" s="147">
        <v>1595813.8009006984</v>
      </c>
      <c r="W301" s="147">
        <v>0</v>
      </c>
      <c r="X301" s="147">
        <v>3719736.1261450956</v>
      </c>
      <c r="Y301" s="147">
        <v>0</v>
      </c>
      <c r="Z301" s="147">
        <v>168287.7</v>
      </c>
      <c r="AA301" s="147">
        <v>1427526.1009006985</v>
      </c>
      <c r="AB301" s="147">
        <v>3411292.1958080009</v>
      </c>
      <c r="AC301" s="147">
        <v>0</v>
      </c>
      <c r="AD301" s="147">
        <v>476731.63033709448</v>
      </c>
      <c r="AE301" s="147">
        <v>0</v>
      </c>
      <c r="AF301" s="147">
        <v>4154166.1082286993</v>
      </c>
      <c r="AG301" s="147">
        <v>0</v>
      </c>
      <c r="AH301" s="147">
        <v>168287.7</v>
      </c>
      <c r="AI301" s="147">
        <v>0</v>
      </c>
      <c r="AJ301" s="147">
        <v>3240479.5942090945</v>
      </c>
      <c r="AK301" s="147">
        <v>0</v>
      </c>
      <c r="AL301" s="147">
        <v>0</v>
      </c>
      <c r="AM301" s="147">
        <v>0</v>
      </c>
      <c r="AN301" s="147">
        <v>0</v>
      </c>
      <c r="AO301" s="240">
        <v>0</v>
      </c>
      <c r="AP301" s="147">
        <f t="shared" si="20"/>
        <v>27257450.779383171</v>
      </c>
    </row>
    <row r="302" spans="2:42">
      <c r="B302" s="147" t="str">
        <v>Operação Geral</v>
      </c>
      <c r="C302" s="149" t="str">
        <v>6</v>
      </c>
      <c r="D302" s="149" t="str">
        <v>6.2.2</v>
      </c>
      <c r="E302" s="149">
        <v>0</v>
      </c>
      <c r="F302" s="149">
        <v>1</v>
      </c>
      <c r="G302" s="147" t="str">
        <v>Sede/Centro Administrativo</v>
      </c>
      <c r="H302" s="147" t="b">
        <v>0</v>
      </c>
      <c r="I302" s="147" t="b">
        <f t="shared" si="17"/>
        <v>0</v>
      </c>
      <c r="J302" s="147" t="b">
        <f t="shared" si="18"/>
        <v>1</v>
      </c>
      <c r="K302" s="147" t="b">
        <f t="shared" si="19"/>
        <v>0</v>
      </c>
      <c r="L302" s="147">
        <v>0</v>
      </c>
      <c r="M302" s="147">
        <v>0</v>
      </c>
      <c r="N302" s="147">
        <v>0</v>
      </c>
      <c r="O302" s="147">
        <v>0</v>
      </c>
      <c r="P302" s="147">
        <v>0</v>
      </c>
      <c r="Q302" s="147">
        <v>0</v>
      </c>
      <c r="R302" s="147">
        <v>0</v>
      </c>
      <c r="S302" s="147">
        <v>0</v>
      </c>
      <c r="T302" s="147">
        <v>0</v>
      </c>
      <c r="U302" s="147">
        <v>0</v>
      </c>
      <c r="V302" s="147">
        <v>0</v>
      </c>
      <c r="W302" s="147">
        <v>0</v>
      </c>
      <c r="X302" s="147">
        <v>0</v>
      </c>
      <c r="Y302" s="147">
        <v>0</v>
      </c>
      <c r="Z302" s="147">
        <v>0</v>
      </c>
      <c r="AA302" s="147">
        <v>0</v>
      </c>
      <c r="AB302" s="147">
        <v>0</v>
      </c>
      <c r="AC302" s="147">
        <v>0</v>
      </c>
      <c r="AD302" s="147">
        <v>0</v>
      </c>
      <c r="AE302" s="147">
        <v>0</v>
      </c>
      <c r="AF302" s="147">
        <v>0</v>
      </c>
      <c r="AG302" s="147">
        <v>0</v>
      </c>
      <c r="AH302" s="147">
        <v>0</v>
      </c>
      <c r="AI302" s="147">
        <v>0</v>
      </c>
      <c r="AJ302" s="147">
        <v>0</v>
      </c>
      <c r="AK302" s="147">
        <v>0</v>
      </c>
      <c r="AL302" s="147">
        <v>0</v>
      </c>
      <c r="AM302" s="147">
        <v>0</v>
      </c>
      <c r="AN302" s="147">
        <v>0</v>
      </c>
      <c r="AO302" s="240">
        <v>0</v>
      </c>
      <c r="AP302" s="147">
        <f t="shared" si="20"/>
        <v>0</v>
      </c>
    </row>
    <row r="303" spans="2:42">
      <c r="B303" s="147" t="str">
        <v>Operação Geral</v>
      </c>
      <c r="C303" s="149" t="str">
        <v>6</v>
      </c>
      <c r="D303" s="149" t="str">
        <v>6.2.2</v>
      </c>
      <c r="E303" s="149">
        <v>0</v>
      </c>
      <c r="F303" s="149">
        <v>1</v>
      </c>
      <c r="G303" s="147" t="str">
        <v>ISO 9001:2008</v>
      </c>
      <c r="H303" s="147" t="b">
        <v>0</v>
      </c>
      <c r="I303" s="147" t="b">
        <f t="shared" si="17"/>
        <v>1</v>
      </c>
      <c r="J303" s="147" t="b">
        <f t="shared" si="18"/>
        <v>1</v>
      </c>
      <c r="K303" s="147" t="b">
        <f t="shared" si="19"/>
        <v>0</v>
      </c>
      <c r="L303" s="147">
        <v>0</v>
      </c>
      <c r="M303" s="147">
        <v>0</v>
      </c>
      <c r="N303" s="147">
        <v>0</v>
      </c>
      <c r="O303" s="147">
        <v>0</v>
      </c>
      <c r="P303" s="147">
        <v>0</v>
      </c>
      <c r="Q303" s="147">
        <v>0</v>
      </c>
      <c r="R303" s="147">
        <v>0</v>
      </c>
      <c r="S303" s="147">
        <v>0</v>
      </c>
      <c r="T303" s="147">
        <v>0</v>
      </c>
      <c r="U303" s="147">
        <v>0</v>
      </c>
      <c r="V303" s="147">
        <v>0</v>
      </c>
      <c r="W303" s="147">
        <v>0</v>
      </c>
      <c r="X303" s="147">
        <v>0</v>
      </c>
      <c r="Y303" s="147">
        <v>0</v>
      </c>
      <c r="Z303" s="147">
        <v>0</v>
      </c>
      <c r="AA303" s="147">
        <v>0</v>
      </c>
      <c r="AB303" s="147">
        <v>0</v>
      </c>
      <c r="AC303" s="147">
        <v>0</v>
      </c>
      <c r="AD303" s="147">
        <v>0</v>
      </c>
      <c r="AE303" s="147">
        <v>0</v>
      </c>
      <c r="AF303" s="147">
        <v>0</v>
      </c>
      <c r="AG303" s="147">
        <v>0</v>
      </c>
      <c r="AH303" s="147">
        <v>0</v>
      </c>
      <c r="AI303" s="147">
        <v>0</v>
      </c>
      <c r="AJ303" s="147">
        <v>0</v>
      </c>
      <c r="AK303" s="147">
        <v>0</v>
      </c>
      <c r="AL303" s="147">
        <v>0</v>
      </c>
      <c r="AM303" s="147">
        <v>0</v>
      </c>
      <c r="AN303" s="147">
        <v>0</v>
      </c>
      <c r="AO303" s="240">
        <v>0</v>
      </c>
      <c r="AP303" s="147">
        <f t="shared" si="20"/>
        <v>0</v>
      </c>
    </row>
    <row r="304" spans="2:42">
      <c r="B304" s="147" t="str">
        <v>Operação Geral</v>
      </c>
      <c r="C304" s="149" t="str">
        <v>6</v>
      </c>
      <c r="D304" s="149" t="str">
        <v>6.2.2</v>
      </c>
      <c r="E304" s="149">
        <v>0</v>
      </c>
      <c r="F304" s="149">
        <v>1</v>
      </c>
      <c r="G304" s="147" t="str">
        <v>Tecnologia da Informação</v>
      </c>
      <c r="H304" s="147" t="b">
        <v>0</v>
      </c>
      <c r="I304" s="147" t="b">
        <f t="shared" si="17"/>
        <v>0</v>
      </c>
      <c r="J304" s="147" t="b">
        <f t="shared" si="18"/>
        <v>1</v>
      </c>
      <c r="K304" s="147" t="b">
        <f t="shared" si="19"/>
        <v>0</v>
      </c>
      <c r="L304" s="147">
        <v>0</v>
      </c>
      <c r="M304" s="147">
        <v>0</v>
      </c>
      <c r="N304" s="147">
        <v>0</v>
      </c>
      <c r="O304" s="147">
        <v>0</v>
      </c>
      <c r="P304" s="147">
        <v>0</v>
      </c>
      <c r="Q304" s="147">
        <v>0</v>
      </c>
      <c r="R304" s="147">
        <v>0</v>
      </c>
      <c r="S304" s="147">
        <v>0</v>
      </c>
      <c r="T304" s="147">
        <v>0</v>
      </c>
      <c r="U304" s="147">
        <v>0</v>
      </c>
      <c r="V304" s="147">
        <v>0</v>
      </c>
      <c r="W304" s="147">
        <v>0</v>
      </c>
      <c r="X304" s="147">
        <v>0</v>
      </c>
      <c r="Y304" s="147">
        <v>0</v>
      </c>
      <c r="Z304" s="147">
        <v>0</v>
      </c>
      <c r="AA304" s="147">
        <v>0</v>
      </c>
      <c r="AB304" s="147">
        <v>0</v>
      </c>
      <c r="AC304" s="147">
        <v>0</v>
      </c>
      <c r="AD304" s="147">
        <v>0</v>
      </c>
      <c r="AE304" s="147">
        <v>0</v>
      </c>
      <c r="AF304" s="147">
        <v>0</v>
      </c>
      <c r="AG304" s="147">
        <v>0</v>
      </c>
      <c r="AH304" s="147">
        <v>0</v>
      </c>
      <c r="AI304" s="147">
        <v>0</v>
      </c>
      <c r="AJ304" s="147">
        <v>0</v>
      </c>
      <c r="AK304" s="147">
        <v>0</v>
      </c>
      <c r="AL304" s="147">
        <v>0</v>
      </c>
      <c r="AM304" s="147">
        <v>0</v>
      </c>
      <c r="AN304" s="147">
        <v>0</v>
      </c>
      <c r="AO304" s="240">
        <v>0</v>
      </c>
      <c r="AP304" s="147">
        <f t="shared" si="20"/>
        <v>0</v>
      </c>
    </row>
    <row r="305" spans="2:42">
      <c r="B305" s="147" t="str">
        <v>Operação Geral</v>
      </c>
      <c r="C305" s="149" t="str">
        <v>6</v>
      </c>
      <c r="D305" s="149" t="str">
        <v>6.2.2</v>
      </c>
      <c r="E305" s="149">
        <v>1</v>
      </c>
      <c r="F305" s="149">
        <v>1</v>
      </c>
      <c r="G305" s="147" t="str">
        <v>Servidor de Gerenciamento/Virtualização</v>
      </c>
      <c r="H305" s="147" t="b">
        <v>0</v>
      </c>
      <c r="I305" s="147" t="b">
        <f t="shared" si="17"/>
        <v>0</v>
      </c>
      <c r="J305" s="147" t="b">
        <f t="shared" si="18"/>
        <v>1</v>
      </c>
      <c r="K305" s="147" t="b">
        <f t="shared" si="19"/>
        <v>0</v>
      </c>
      <c r="L305" s="147">
        <v>0</v>
      </c>
      <c r="M305" s="147">
        <v>0</v>
      </c>
      <c r="N305" s="147">
        <v>0</v>
      </c>
      <c r="O305" s="147">
        <v>0</v>
      </c>
      <c r="P305" s="147">
        <v>0</v>
      </c>
      <c r="Q305" s="147">
        <v>0</v>
      </c>
      <c r="R305" s="147">
        <v>0</v>
      </c>
      <c r="S305" s="147">
        <v>0</v>
      </c>
      <c r="T305" s="147">
        <v>0</v>
      </c>
      <c r="U305" s="147">
        <v>0</v>
      </c>
      <c r="V305" s="147">
        <v>0</v>
      </c>
      <c r="W305" s="147">
        <v>0</v>
      </c>
      <c r="X305" s="147">
        <v>0</v>
      </c>
      <c r="Y305" s="147">
        <v>0</v>
      </c>
      <c r="Z305" s="147">
        <v>0</v>
      </c>
      <c r="AA305" s="147">
        <v>0</v>
      </c>
      <c r="AB305" s="147">
        <v>0</v>
      </c>
      <c r="AC305" s="147">
        <v>0</v>
      </c>
      <c r="AD305" s="147">
        <v>0</v>
      </c>
      <c r="AE305" s="147">
        <v>0</v>
      </c>
      <c r="AF305" s="147">
        <v>0</v>
      </c>
      <c r="AG305" s="147">
        <v>0</v>
      </c>
      <c r="AH305" s="147">
        <v>0</v>
      </c>
      <c r="AI305" s="147">
        <v>0</v>
      </c>
      <c r="AJ305" s="147">
        <v>0</v>
      </c>
      <c r="AK305" s="147">
        <v>0</v>
      </c>
      <c r="AL305" s="147">
        <v>0</v>
      </c>
      <c r="AM305" s="147">
        <v>0</v>
      </c>
      <c r="AN305" s="147">
        <v>0</v>
      </c>
      <c r="AO305" s="240">
        <v>0</v>
      </c>
      <c r="AP305" s="147">
        <f t="shared" si="20"/>
        <v>0</v>
      </c>
    </row>
    <row r="306" spans="2:42">
      <c r="B306" s="147" t="str">
        <v>Operação Geral</v>
      </c>
      <c r="C306" s="149" t="str">
        <v>6</v>
      </c>
      <c r="D306" s="149" t="str">
        <v>6.2.2</v>
      </c>
      <c r="E306" s="149">
        <v>1</v>
      </c>
      <c r="F306" s="149">
        <v>1</v>
      </c>
      <c r="G306" s="147" t="str">
        <v>Servidor de Backup</v>
      </c>
      <c r="H306" s="147" t="b">
        <v>0</v>
      </c>
      <c r="I306" s="147" t="b">
        <f t="shared" si="17"/>
        <v>0</v>
      </c>
      <c r="J306" s="147" t="b">
        <f t="shared" si="18"/>
        <v>1</v>
      </c>
      <c r="K306" s="147" t="b">
        <f t="shared" si="19"/>
        <v>0</v>
      </c>
      <c r="L306" s="147">
        <v>0</v>
      </c>
      <c r="M306" s="147">
        <v>0</v>
      </c>
      <c r="N306" s="147">
        <v>0</v>
      </c>
      <c r="O306" s="147">
        <v>0</v>
      </c>
      <c r="P306" s="147">
        <v>0</v>
      </c>
      <c r="Q306" s="147">
        <v>0</v>
      </c>
      <c r="R306" s="147">
        <v>0</v>
      </c>
      <c r="S306" s="147">
        <v>0</v>
      </c>
      <c r="T306" s="147">
        <v>0</v>
      </c>
      <c r="U306" s="147">
        <v>0</v>
      </c>
      <c r="V306" s="147">
        <v>0</v>
      </c>
      <c r="W306" s="147">
        <v>0</v>
      </c>
      <c r="X306" s="147">
        <v>0</v>
      </c>
      <c r="Y306" s="147">
        <v>0</v>
      </c>
      <c r="Z306" s="147">
        <v>0</v>
      </c>
      <c r="AA306" s="147">
        <v>0</v>
      </c>
      <c r="AB306" s="147">
        <v>0</v>
      </c>
      <c r="AC306" s="147">
        <v>0</v>
      </c>
      <c r="AD306" s="147">
        <v>0</v>
      </c>
      <c r="AE306" s="147">
        <v>0</v>
      </c>
      <c r="AF306" s="147">
        <v>0</v>
      </c>
      <c r="AG306" s="147">
        <v>0</v>
      </c>
      <c r="AH306" s="147">
        <v>0</v>
      </c>
      <c r="AI306" s="147">
        <v>0</v>
      </c>
      <c r="AJ306" s="147">
        <v>0</v>
      </c>
      <c r="AK306" s="147">
        <v>0</v>
      </c>
      <c r="AL306" s="147">
        <v>0</v>
      </c>
      <c r="AM306" s="147">
        <v>0</v>
      </c>
      <c r="AN306" s="147">
        <v>0</v>
      </c>
      <c r="AO306" s="240">
        <v>0</v>
      </c>
      <c r="AP306" s="147">
        <f t="shared" si="20"/>
        <v>0</v>
      </c>
    </row>
    <row r="307" spans="2:42">
      <c r="B307" s="147" t="str">
        <v>Operação Geral</v>
      </c>
      <c r="C307" s="149" t="str">
        <v>6</v>
      </c>
      <c r="D307" s="149" t="str">
        <v>6.2.2</v>
      </c>
      <c r="E307" s="149">
        <v>1</v>
      </c>
      <c r="F307" s="149">
        <v>1</v>
      </c>
      <c r="G307" s="147" t="str">
        <v>Unidade de Fita para Backup</v>
      </c>
      <c r="H307" s="147" t="b">
        <v>0</v>
      </c>
      <c r="I307" s="147" t="b">
        <f t="shared" si="17"/>
        <v>0</v>
      </c>
      <c r="J307" s="147" t="b">
        <f t="shared" si="18"/>
        <v>1</v>
      </c>
      <c r="K307" s="147" t="b">
        <f t="shared" si="19"/>
        <v>0</v>
      </c>
      <c r="L307" s="147">
        <v>0</v>
      </c>
      <c r="M307" s="147">
        <v>0</v>
      </c>
      <c r="N307" s="147">
        <v>0</v>
      </c>
      <c r="O307" s="147">
        <v>0</v>
      </c>
      <c r="P307" s="147">
        <v>0</v>
      </c>
      <c r="Q307" s="147">
        <v>0</v>
      </c>
      <c r="R307" s="147">
        <v>0</v>
      </c>
      <c r="S307" s="147">
        <v>0</v>
      </c>
      <c r="T307" s="147">
        <v>0</v>
      </c>
      <c r="U307" s="147">
        <v>0</v>
      </c>
      <c r="V307" s="147">
        <v>0</v>
      </c>
      <c r="W307" s="147">
        <v>0</v>
      </c>
      <c r="X307" s="147">
        <v>0</v>
      </c>
      <c r="Y307" s="147">
        <v>0</v>
      </c>
      <c r="Z307" s="147">
        <v>0</v>
      </c>
      <c r="AA307" s="147">
        <v>0</v>
      </c>
      <c r="AB307" s="147">
        <v>0</v>
      </c>
      <c r="AC307" s="147">
        <v>0</v>
      </c>
      <c r="AD307" s="147">
        <v>0</v>
      </c>
      <c r="AE307" s="147">
        <v>0</v>
      </c>
      <c r="AF307" s="147">
        <v>0</v>
      </c>
      <c r="AG307" s="147">
        <v>0</v>
      </c>
      <c r="AH307" s="147">
        <v>0</v>
      </c>
      <c r="AI307" s="147">
        <v>0</v>
      </c>
      <c r="AJ307" s="147">
        <v>0</v>
      </c>
      <c r="AK307" s="147">
        <v>0</v>
      </c>
      <c r="AL307" s="147">
        <v>0</v>
      </c>
      <c r="AM307" s="147">
        <v>0</v>
      </c>
      <c r="AN307" s="147">
        <v>0</v>
      </c>
      <c r="AO307" s="240">
        <v>0</v>
      </c>
      <c r="AP307" s="147">
        <f t="shared" si="20"/>
        <v>0</v>
      </c>
    </row>
    <row r="308" spans="2:42">
      <c r="B308" s="147" t="str">
        <v>Operação Geral</v>
      </c>
      <c r="C308" s="149" t="str">
        <v>6</v>
      </c>
      <c r="D308" s="149" t="str">
        <v>6.2.2</v>
      </c>
      <c r="E308" s="149">
        <v>1</v>
      </c>
      <c r="F308" s="149">
        <v>1</v>
      </c>
      <c r="G308" s="147" t="str">
        <v>Servidores</v>
      </c>
      <c r="H308" s="147" t="b">
        <v>0</v>
      </c>
      <c r="I308" s="147" t="b">
        <f t="shared" si="17"/>
        <v>0</v>
      </c>
      <c r="J308" s="147" t="b">
        <f t="shared" si="18"/>
        <v>1</v>
      </c>
      <c r="K308" s="147" t="b">
        <f t="shared" si="19"/>
        <v>0</v>
      </c>
      <c r="L308" s="147">
        <v>0</v>
      </c>
      <c r="M308" s="147">
        <v>0</v>
      </c>
      <c r="N308" s="147">
        <v>0</v>
      </c>
      <c r="O308" s="147">
        <v>0</v>
      </c>
      <c r="P308" s="147">
        <v>0</v>
      </c>
      <c r="Q308" s="147">
        <v>0</v>
      </c>
      <c r="R308" s="147">
        <v>0</v>
      </c>
      <c r="S308" s="147">
        <v>0</v>
      </c>
      <c r="T308" s="147">
        <v>0</v>
      </c>
      <c r="U308" s="147">
        <v>0</v>
      </c>
      <c r="V308" s="147">
        <v>0</v>
      </c>
      <c r="W308" s="147">
        <v>0</v>
      </c>
      <c r="X308" s="147">
        <v>0</v>
      </c>
      <c r="Y308" s="147">
        <v>0</v>
      </c>
      <c r="Z308" s="147">
        <v>0</v>
      </c>
      <c r="AA308" s="147">
        <v>0</v>
      </c>
      <c r="AB308" s="147">
        <v>0</v>
      </c>
      <c r="AC308" s="147">
        <v>0</v>
      </c>
      <c r="AD308" s="147">
        <v>0</v>
      </c>
      <c r="AE308" s="147">
        <v>0</v>
      </c>
      <c r="AF308" s="147">
        <v>0</v>
      </c>
      <c r="AG308" s="147">
        <v>0</v>
      </c>
      <c r="AH308" s="147">
        <v>0</v>
      </c>
      <c r="AI308" s="147">
        <v>0</v>
      </c>
      <c r="AJ308" s="147">
        <v>0</v>
      </c>
      <c r="AK308" s="147">
        <v>0</v>
      </c>
      <c r="AL308" s="147">
        <v>0</v>
      </c>
      <c r="AM308" s="147">
        <v>0</v>
      </c>
      <c r="AN308" s="147">
        <v>0</v>
      </c>
      <c r="AO308" s="240">
        <v>0</v>
      </c>
      <c r="AP308" s="147">
        <f t="shared" si="20"/>
        <v>0</v>
      </c>
    </row>
    <row r="309" spans="2:42">
      <c r="B309" s="147" t="str">
        <v>Operação Geral</v>
      </c>
      <c r="C309" s="149" t="str">
        <v>6</v>
      </c>
      <c r="D309" s="149" t="str">
        <v>6.2.2</v>
      </c>
      <c r="E309" s="149">
        <v>1</v>
      </c>
      <c r="F309" s="149">
        <v>1</v>
      </c>
      <c r="G309" s="147" t="str">
        <v>Storage</v>
      </c>
      <c r="H309" s="147" t="b">
        <v>0</v>
      </c>
      <c r="I309" s="147" t="b">
        <f t="shared" si="17"/>
        <v>1</v>
      </c>
      <c r="J309" s="147" t="b">
        <f t="shared" si="18"/>
        <v>1</v>
      </c>
      <c r="K309" s="147" t="b">
        <f t="shared" si="19"/>
        <v>0</v>
      </c>
      <c r="L309" s="147">
        <v>0</v>
      </c>
      <c r="M309" s="147">
        <v>0</v>
      </c>
      <c r="N309" s="147">
        <v>0</v>
      </c>
      <c r="O309" s="147">
        <v>0</v>
      </c>
      <c r="P309" s="147">
        <v>0</v>
      </c>
      <c r="Q309" s="147">
        <v>0</v>
      </c>
      <c r="R309" s="147">
        <v>0</v>
      </c>
      <c r="S309" s="147">
        <v>0</v>
      </c>
      <c r="T309" s="147">
        <v>0</v>
      </c>
      <c r="U309" s="147">
        <v>0</v>
      </c>
      <c r="V309" s="147">
        <v>0</v>
      </c>
      <c r="W309" s="147">
        <v>0</v>
      </c>
      <c r="X309" s="147">
        <v>0</v>
      </c>
      <c r="Y309" s="147">
        <v>0</v>
      </c>
      <c r="Z309" s="147">
        <v>0</v>
      </c>
      <c r="AA309" s="147">
        <v>0</v>
      </c>
      <c r="AB309" s="147">
        <v>0</v>
      </c>
      <c r="AC309" s="147">
        <v>0</v>
      </c>
      <c r="AD309" s="147">
        <v>0</v>
      </c>
      <c r="AE309" s="147">
        <v>0</v>
      </c>
      <c r="AF309" s="147">
        <v>0</v>
      </c>
      <c r="AG309" s="147">
        <v>0</v>
      </c>
      <c r="AH309" s="147">
        <v>0</v>
      </c>
      <c r="AI309" s="147">
        <v>0</v>
      </c>
      <c r="AJ309" s="147">
        <v>0</v>
      </c>
      <c r="AK309" s="147">
        <v>0</v>
      </c>
      <c r="AL309" s="147">
        <v>0</v>
      </c>
      <c r="AM309" s="147">
        <v>0</v>
      </c>
      <c r="AN309" s="147">
        <v>0</v>
      </c>
      <c r="AO309" s="240">
        <v>0</v>
      </c>
      <c r="AP309" s="147">
        <f t="shared" si="20"/>
        <v>0</v>
      </c>
    </row>
    <row r="310" spans="2:42">
      <c r="B310" s="147" t="str">
        <v>Operação Geral</v>
      </c>
      <c r="C310" s="149" t="str">
        <v>6</v>
      </c>
      <c r="D310" s="149" t="str">
        <v>6.2.2</v>
      </c>
      <c r="E310" s="149">
        <v>1</v>
      </c>
      <c r="F310" s="149">
        <v>1</v>
      </c>
      <c r="G310" s="147" t="str">
        <v>Rack</v>
      </c>
      <c r="H310" s="147" t="b">
        <v>0</v>
      </c>
      <c r="I310" s="147" t="b">
        <f t="shared" si="17"/>
        <v>0</v>
      </c>
      <c r="J310" s="147" t="b">
        <f t="shared" si="18"/>
        <v>1</v>
      </c>
      <c r="K310" s="147" t="b">
        <f t="shared" si="19"/>
        <v>0</v>
      </c>
      <c r="L310" s="147">
        <v>0</v>
      </c>
      <c r="M310" s="147">
        <v>0</v>
      </c>
      <c r="N310" s="147">
        <v>0</v>
      </c>
      <c r="O310" s="147">
        <v>0</v>
      </c>
      <c r="P310" s="147">
        <v>0</v>
      </c>
      <c r="Q310" s="147">
        <v>0</v>
      </c>
      <c r="R310" s="147">
        <v>0</v>
      </c>
      <c r="S310" s="147">
        <v>0</v>
      </c>
      <c r="T310" s="147">
        <v>0</v>
      </c>
      <c r="U310" s="147">
        <v>0</v>
      </c>
      <c r="V310" s="147">
        <v>0</v>
      </c>
      <c r="W310" s="147">
        <v>0</v>
      </c>
      <c r="X310" s="147">
        <v>0</v>
      </c>
      <c r="Y310" s="147">
        <v>0</v>
      </c>
      <c r="Z310" s="147">
        <v>0</v>
      </c>
      <c r="AA310" s="147">
        <v>0</v>
      </c>
      <c r="AB310" s="147">
        <v>0</v>
      </c>
      <c r="AC310" s="147">
        <v>0</v>
      </c>
      <c r="AD310" s="147">
        <v>0</v>
      </c>
      <c r="AE310" s="147">
        <v>0</v>
      </c>
      <c r="AF310" s="147">
        <v>0</v>
      </c>
      <c r="AG310" s="147">
        <v>0</v>
      </c>
      <c r="AH310" s="147">
        <v>0</v>
      </c>
      <c r="AI310" s="147">
        <v>0</v>
      </c>
      <c r="AJ310" s="147">
        <v>0</v>
      </c>
      <c r="AK310" s="147">
        <v>0</v>
      </c>
      <c r="AL310" s="147">
        <v>0</v>
      </c>
      <c r="AM310" s="147">
        <v>0</v>
      </c>
      <c r="AN310" s="147">
        <v>0</v>
      </c>
      <c r="AO310" s="240">
        <v>0</v>
      </c>
      <c r="AP310" s="147">
        <f t="shared" si="20"/>
        <v>0</v>
      </c>
    </row>
    <row r="311" spans="2:42">
      <c r="B311" s="147" t="str">
        <v>Operação Geral</v>
      </c>
      <c r="C311" s="149" t="str">
        <v>6</v>
      </c>
      <c r="D311" s="149" t="str">
        <v>6.2.2</v>
      </c>
      <c r="E311" s="149">
        <v>1</v>
      </c>
      <c r="F311" s="149">
        <v>1</v>
      </c>
      <c r="G311" s="147" t="str">
        <v>Nobreak</v>
      </c>
      <c r="H311" s="147" t="b">
        <v>0</v>
      </c>
      <c r="I311" s="147" t="b">
        <f t="shared" si="17"/>
        <v>0</v>
      </c>
      <c r="J311" s="147" t="b">
        <f t="shared" si="18"/>
        <v>1</v>
      </c>
      <c r="K311" s="147" t="b">
        <f t="shared" si="19"/>
        <v>0</v>
      </c>
      <c r="L311" s="147">
        <v>0</v>
      </c>
      <c r="M311" s="147">
        <v>0</v>
      </c>
      <c r="N311" s="147">
        <v>0</v>
      </c>
      <c r="O311" s="147">
        <v>0</v>
      </c>
      <c r="P311" s="147">
        <v>0</v>
      </c>
      <c r="Q311" s="147">
        <v>0</v>
      </c>
      <c r="R311" s="147">
        <v>0</v>
      </c>
      <c r="S311" s="147">
        <v>0</v>
      </c>
      <c r="T311" s="147">
        <v>0</v>
      </c>
      <c r="U311" s="147">
        <v>0</v>
      </c>
      <c r="V311" s="147">
        <v>0</v>
      </c>
      <c r="W311" s="147">
        <v>0</v>
      </c>
      <c r="X311" s="147">
        <v>0</v>
      </c>
      <c r="Y311" s="147">
        <v>0</v>
      </c>
      <c r="Z311" s="147">
        <v>0</v>
      </c>
      <c r="AA311" s="147">
        <v>0</v>
      </c>
      <c r="AB311" s="147">
        <v>0</v>
      </c>
      <c r="AC311" s="147">
        <v>0</v>
      </c>
      <c r="AD311" s="147">
        <v>0</v>
      </c>
      <c r="AE311" s="147">
        <v>0</v>
      </c>
      <c r="AF311" s="147">
        <v>0</v>
      </c>
      <c r="AG311" s="147">
        <v>0</v>
      </c>
      <c r="AH311" s="147">
        <v>0</v>
      </c>
      <c r="AI311" s="147">
        <v>0</v>
      </c>
      <c r="AJ311" s="147">
        <v>0</v>
      </c>
      <c r="AK311" s="147">
        <v>0</v>
      </c>
      <c r="AL311" s="147">
        <v>0</v>
      </c>
      <c r="AM311" s="147">
        <v>0</v>
      </c>
      <c r="AN311" s="147">
        <v>0</v>
      </c>
      <c r="AO311" s="240">
        <v>0</v>
      </c>
      <c r="AP311" s="147">
        <f t="shared" si="20"/>
        <v>0</v>
      </c>
    </row>
    <row r="312" spans="2:42">
      <c r="B312" s="147" t="str">
        <v>Operação Geral</v>
      </c>
      <c r="C312" s="149" t="str">
        <v>6</v>
      </c>
      <c r="D312" s="149" t="str">
        <v>6.2.2</v>
      </c>
      <c r="E312" s="149">
        <v>0</v>
      </c>
      <c r="F312" s="149">
        <v>1</v>
      </c>
      <c r="G312" s="147" t="str">
        <v>Computador e Periféricos</v>
      </c>
      <c r="H312" s="147" t="b">
        <v>0</v>
      </c>
      <c r="I312" s="147" t="b">
        <f t="shared" si="17"/>
        <v>0</v>
      </c>
      <c r="J312" s="147" t="b">
        <f t="shared" si="18"/>
        <v>1</v>
      </c>
      <c r="K312" s="147" t="b">
        <f t="shared" si="19"/>
        <v>0</v>
      </c>
      <c r="L312" s="147">
        <v>0</v>
      </c>
      <c r="M312" s="147">
        <v>0</v>
      </c>
      <c r="N312" s="147">
        <v>0</v>
      </c>
      <c r="O312" s="147">
        <v>0</v>
      </c>
      <c r="P312" s="147">
        <v>680734.99946306855</v>
      </c>
      <c r="Q312" s="147">
        <v>0</v>
      </c>
      <c r="R312" s="147">
        <v>0</v>
      </c>
      <c r="S312" s="147">
        <v>0</v>
      </c>
      <c r="T312" s="147">
        <v>680734.99946306855</v>
      </c>
      <c r="U312" s="147">
        <v>0</v>
      </c>
      <c r="V312" s="147">
        <v>0</v>
      </c>
      <c r="W312" s="147">
        <v>0</v>
      </c>
      <c r="X312" s="147">
        <v>680734.99946306855</v>
      </c>
      <c r="Y312" s="147">
        <v>0</v>
      </c>
      <c r="Z312" s="147">
        <v>0</v>
      </c>
      <c r="AA312" s="147">
        <v>0</v>
      </c>
      <c r="AB312" s="147">
        <v>680734.99946306855</v>
      </c>
      <c r="AC312" s="147">
        <v>0</v>
      </c>
      <c r="AD312" s="147">
        <v>0</v>
      </c>
      <c r="AE312" s="147">
        <v>0</v>
      </c>
      <c r="AF312" s="147">
        <v>624289.31128205126</v>
      </c>
      <c r="AG312" s="147">
        <v>0</v>
      </c>
      <c r="AH312" s="147">
        <v>0</v>
      </c>
      <c r="AI312" s="147">
        <v>0</v>
      </c>
      <c r="AJ312" s="147">
        <v>629933.88010015304</v>
      </c>
      <c r="AK312" s="147">
        <v>0</v>
      </c>
      <c r="AL312" s="147">
        <v>0</v>
      </c>
      <c r="AM312" s="147">
        <v>0</v>
      </c>
      <c r="AN312" s="147">
        <v>629933.88010015304</v>
      </c>
      <c r="AO312" s="240">
        <v>0</v>
      </c>
      <c r="AP312" s="147">
        <f t="shared" si="20"/>
        <v>4607097.0693346318</v>
      </c>
    </row>
    <row r="313" spans="2:42">
      <c r="B313" s="147" t="str">
        <v>Operação Geral</v>
      </c>
      <c r="C313" s="149" t="str">
        <v>6</v>
      </c>
      <c r="D313" s="149" t="str">
        <v>6.2.2</v>
      </c>
      <c r="E313" s="149">
        <v>0</v>
      </c>
      <c r="F313" s="149">
        <v>1</v>
      </c>
      <c r="G313" s="147" t="str">
        <v>Impressora Multifuncional - A4</v>
      </c>
      <c r="H313" s="147" t="b">
        <v>0</v>
      </c>
      <c r="I313" s="147" t="b">
        <f t="shared" si="17"/>
        <v>0</v>
      </c>
      <c r="J313" s="147" t="b">
        <f t="shared" si="18"/>
        <v>1</v>
      </c>
      <c r="K313" s="147" t="b">
        <f t="shared" si="19"/>
        <v>0</v>
      </c>
      <c r="L313" s="147">
        <v>0</v>
      </c>
      <c r="M313" s="147">
        <v>0</v>
      </c>
      <c r="N313" s="147">
        <v>0</v>
      </c>
      <c r="O313" s="147">
        <v>0</v>
      </c>
      <c r="P313" s="147">
        <v>19159.479527055224</v>
      </c>
      <c r="Q313" s="147">
        <v>0</v>
      </c>
      <c r="R313" s="147">
        <v>0</v>
      </c>
      <c r="S313" s="147">
        <v>0</v>
      </c>
      <c r="T313" s="147">
        <v>19159.479527055224</v>
      </c>
      <c r="U313" s="147">
        <v>0</v>
      </c>
      <c r="V313" s="147">
        <v>0</v>
      </c>
      <c r="W313" s="147">
        <v>0</v>
      </c>
      <c r="X313" s="147">
        <v>19159.479527055224</v>
      </c>
      <c r="Y313" s="147">
        <v>0</v>
      </c>
      <c r="Z313" s="147">
        <v>0</v>
      </c>
      <c r="AA313" s="147">
        <v>0</v>
      </c>
      <c r="AB313" s="147">
        <v>19159.479527055224</v>
      </c>
      <c r="AC313" s="147">
        <v>0</v>
      </c>
      <c r="AD313" s="147">
        <v>0</v>
      </c>
      <c r="AE313" s="147">
        <v>0</v>
      </c>
      <c r="AF313" s="147">
        <v>19159.479527055224</v>
      </c>
      <c r="AG313" s="147">
        <v>0</v>
      </c>
      <c r="AH313" s="147">
        <v>0</v>
      </c>
      <c r="AI313" s="147">
        <v>0</v>
      </c>
      <c r="AJ313" s="147">
        <v>19159.479527055224</v>
      </c>
      <c r="AK313" s="147">
        <v>0</v>
      </c>
      <c r="AL313" s="147">
        <v>0</v>
      </c>
      <c r="AM313" s="147">
        <v>0</v>
      </c>
      <c r="AN313" s="147">
        <v>19159.479527055224</v>
      </c>
      <c r="AO313" s="240">
        <v>0</v>
      </c>
      <c r="AP313" s="147">
        <f t="shared" si="20"/>
        <v>134116.35668938656</v>
      </c>
    </row>
    <row r="314" spans="2:42">
      <c r="B314" s="147" t="str">
        <v>Operação Geral</v>
      </c>
      <c r="C314" s="149" t="str">
        <v>6</v>
      </c>
      <c r="D314" s="149" t="str">
        <v>6.2.2</v>
      </c>
      <c r="E314" s="149">
        <v>0</v>
      </c>
      <c r="F314" s="149">
        <v>1</v>
      </c>
      <c r="G314" s="147" t="str">
        <v>Impressora A3</v>
      </c>
      <c r="H314" s="147" t="b">
        <v>0</v>
      </c>
      <c r="I314" s="147" t="b">
        <f t="shared" si="17"/>
        <v>0</v>
      </c>
      <c r="J314" s="147" t="b">
        <f t="shared" si="18"/>
        <v>1</v>
      </c>
      <c r="K314" s="147" t="b">
        <f t="shared" si="19"/>
        <v>0</v>
      </c>
      <c r="L314" s="147">
        <v>0</v>
      </c>
      <c r="M314" s="147">
        <v>0</v>
      </c>
      <c r="N314" s="147">
        <v>0</v>
      </c>
      <c r="O314" s="147">
        <v>0</v>
      </c>
      <c r="P314" s="147">
        <v>22355.062067046878</v>
      </c>
      <c r="Q314" s="147">
        <v>0</v>
      </c>
      <c r="R314" s="147">
        <v>0</v>
      </c>
      <c r="S314" s="147">
        <v>0</v>
      </c>
      <c r="T314" s="147">
        <v>22355.062067046878</v>
      </c>
      <c r="U314" s="147">
        <v>0</v>
      </c>
      <c r="V314" s="147">
        <v>0</v>
      </c>
      <c r="W314" s="147">
        <v>0</v>
      </c>
      <c r="X314" s="147">
        <v>22355.062067046878</v>
      </c>
      <c r="Y314" s="147">
        <v>0</v>
      </c>
      <c r="Z314" s="147">
        <v>0</v>
      </c>
      <c r="AA314" s="147">
        <v>0</v>
      </c>
      <c r="AB314" s="147">
        <v>22355.062067046878</v>
      </c>
      <c r="AC314" s="147">
        <v>0</v>
      </c>
      <c r="AD314" s="147">
        <v>0</v>
      </c>
      <c r="AE314" s="147">
        <v>0</v>
      </c>
      <c r="AF314" s="147">
        <v>22355.062067046878</v>
      </c>
      <c r="AG314" s="147">
        <v>0</v>
      </c>
      <c r="AH314" s="147">
        <v>0</v>
      </c>
      <c r="AI314" s="147">
        <v>0</v>
      </c>
      <c r="AJ314" s="147">
        <v>22355.062067046878</v>
      </c>
      <c r="AK314" s="147">
        <v>0</v>
      </c>
      <c r="AL314" s="147">
        <v>0</v>
      </c>
      <c r="AM314" s="147">
        <v>0</v>
      </c>
      <c r="AN314" s="147">
        <v>22355.062067046878</v>
      </c>
      <c r="AO314" s="240">
        <v>0</v>
      </c>
      <c r="AP314" s="147">
        <f t="shared" si="20"/>
        <v>156485.43446932815</v>
      </c>
    </row>
    <row r="315" spans="2:42">
      <c r="B315" s="147" t="str">
        <v>Operação Geral</v>
      </c>
      <c r="C315" s="149" t="str">
        <v>6</v>
      </c>
      <c r="D315" s="149" t="str">
        <v>6.2.2</v>
      </c>
      <c r="E315" s="149">
        <v>0</v>
      </c>
      <c r="F315" s="149">
        <v>1</v>
      </c>
      <c r="G315" s="147" t="str">
        <v>Software</v>
      </c>
      <c r="H315" s="147" t="b">
        <v>0</v>
      </c>
      <c r="I315" s="147" t="b">
        <f t="shared" si="17"/>
        <v>1</v>
      </c>
      <c r="J315" s="147" t="b">
        <f t="shared" si="18"/>
        <v>1</v>
      </c>
      <c r="K315" s="147" t="b">
        <f t="shared" si="19"/>
        <v>0</v>
      </c>
      <c r="L315" s="147">
        <v>0</v>
      </c>
      <c r="M315" s="147">
        <v>0</v>
      </c>
      <c r="N315" s="147">
        <v>0</v>
      </c>
      <c r="O315" s="147">
        <v>0</v>
      </c>
      <c r="P315" s="147">
        <v>0</v>
      </c>
      <c r="Q315" s="147">
        <v>0</v>
      </c>
      <c r="R315" s="147">
        <v>0</v>
      </c>
      <c r="S315" s="147">
        <v>0</v>
      </c>
      <c r="T315" s="147">
        <v>0</v>
      </c>
      <c r="U315" s="147">
        <v>0</v>
      </c>
      <c r="V315" s="147">
        <v>0</v>
      </c>
      <c r="W315" s="147">
        <v>0</v>
      </c>
      <c r="X315" s="147">
        <v>0</v>
      </c>
      <c r="Y315" s="147">
        <v>0</v>
      </c>
      <c r="Z315" s="147">
        <v>0</v>
      </c>
      <c r="AA315" s="147">
        <v>0</v>
      </c>
      <c r="AB315" s="147">
        <v>0</v>
      </c>
      <c r="AC315" s="147">
        <v>0</v>
      </c>
      <c r="AD315" s="147">
        <v>0</v>
      </c>
      <c r="AE315" s="147">
        <v>0</v>
      </c>
      <c r="AF315" s="147">
        <v>0</v>
      </c>
      <c r="AG315" s="147">
        <v>0</v>
      </c>
      <c r="AH315" s="147">
        <v>0</v>
      </c>
      <c r="AI315" s="147">
        <v>0</v>
      </c>
      <c r="AJ315" s="147">
        <v>0</v>
      </c>
      <c r="AK315" s="147">
        <v>0</v>
      </c>
      <c r="AL315" s="147">
        <v>0</v>
      </c>
      <c r="AM315" s="147">
        <v>0</v>
      </c>
      <c r="AN315" s="147">
        <v>0</v>
      </c>
      <c r="AO315" s="240">
        <v>0</v>
      </c>
      <c r="AP315" s="147">
        <f t="shared" si="20"/>
        <v>0</v>
      </c>
    </row>
    <row r="316" spans="2:42">
      <c r="B316" s="147" t="str">
        <v>Operação Geral</v>
      </c>
      <c r="C316" s="149" t="str">
        <v>6</v>
      </c>
      <c r="D316" s="149" t="str">
        <v>6.2.2</v>
      </c>
      <c r="E316" s="149">
        <v>0</v>
      </c>
      <c r="F316" s="149">
        <v>1</v>
      </c>
      <c r="G316" s="147" t="str">
        <v>Antivirus</v>
      </c>
      <c r="H316" s="147" t="b">
        <v>0</v>
      </c>
      <c r="I316" s="147" t="b">
        <f t="shared" si="17"/>
        <v>1</v>
      </c>
      <c r="J316" s="147" t="b">
        <f t="shared" si="18"/>
        <v>1</v>
      </c>
      <c r="K316" s="147" t="b">
        <f t="shared" si="19"/>
        <v>0</v>
      </c>
      <c r="L316" s="147">
        <v>0</v>
      </c>
      <c r="M316" s="147">
        <v>5456.0704571799506</v>
      </c>
      <c r="N316" s="147">
        <v>5456.0704571799506</v>
      </c>
      <c r="O316" s="147">
        <v>5456.0704571799506</v>
      </c>
      <c r="P316" s="147">
        <v>5456.0704571799506</v>
      </c>
      <c r="Q316" s="147">
        <v>5048.901020076969</v>
      </c>
      <c r="R316" s="147">
        <v>5456.0704571799506</v>
      </c>
      <c r="S316" s="147">
        <v>5456.0704571799506</v>
      </c>
      <c r="T316" s="147">
        <v>5456.0704571799506</v>
      </c>
      <c r="U316" s="147">
        <v>5456.0704571799506</v>
      </c>
      <c r="V316" s="147">
        <v>5456.0704571799506</v>
      </c>
      <c r="W316" s="147">
        <v>5456.0704571799506</v>
      </c>
      <c r="X316" s="147">
        <v>5456.0704571799506</v>
      </c>
      <c r="Y316" s="147">
        <v>5456.0704571799506</v>
      </c>
      <c r="Z316" s="147">
        <v>5456.0704571799506</v>
      </c>
      <c r="AA316" s="147">
        <v>5456.0704571799506</v>
      </c>
      <c r="AB316" s="147">
        <v>5456.0704571799506</v>
      </c>
      <c r="AC316" s="147">
        <v>5456.0704571799506</v>
      </c>
      <c r="AD316" s="147">
        <v>5456.0704571799506</v>
      </c>
      <c r="AE316" s="147">
        <v>5048.901020076969</v>
      </c>
      <c r="AF316" s="147">
        <v>5048.901020076969</v>
      </c>
      <c r="AG316" s="147">
        <v>5048.901020076969</v>
      </c>
      <c r="AH316" s="147">
        <v>5048.901020076969</v>
      </c>
      <c r="AI316" s="147">
        <v>5048.901020076969</v>
      </c>
      <c r="AJ316" s="147">
        <v>5048.901020076969</v>
      </c>
      <c r="AK316" s="147">
        <v>5048.901020076969</v>
      </c>
      <c r="AL316" s="147">
        <v>5048.901020076969</v>
      </c>
      <c r="AM316" s="147">
        <v>5048.901020076969</v>
      </c>
      <c r="AN316" s="147">
        <v>5048.901020076969</v>
      </c>
      <c r="AO316" s="240">
        <v>5048.901020076969</v>
      </c>
      <c r="AP316" s="147">
        <f t="shared" si="20"/>
        <v>153340.01001298276</v>
      </c>
    </row>
    <row r="317" spans="2:42">
      <c r="B317" s="147" t="str">
        <v>Operação Geral</v>
      </c>
      <c r="C317" s="149" t="str">
        <v>6</v>
      </c>
      <c r="D317" s="149" t="str">
        <v>6.2.2</v>
      </c>
      <c r="E317" s="149">
        <v>0</v>
      </c>
      <c r="F317" s="149">
        <v>1</v>
      </c>
      <c r="G317" s="147" t="str">
        <v>Microsoft Office 365</v>
      </c>
      <c r="H317" s="147" t="b">
        <v>0</v>
      </c>
      <c r="I317" s="147" t="b">
        <f t="shared" si="17"/>
        <v>1</v>
      </c>
      <c r="J317" s="147" t="b">
        <f t="shared" si="18"/>
        <v>1</v>
      </c>
      <c r="K317" s="147" t="b">
        <f t="shared" si="19"/>
        <v>0</v>
      </c>
      <c r="L317" s="147">
        <v>0</v>
      </c>
      <c r="M317" s="147">
        <v>48267.312066768674</v>
      </c>
      <c r="N317" s="147">
        <v>48267.312066768674</v>
      </c>
      <c r="O317" s="147">
        <v>48267.312066768674</v>
      </c>
      <c r="P317" s="147">
        <v>48267.312066768674</v>
      </c>
      <c r="Q317" s="147">
        <v>44665.273852830716</v>
      </c>
      <c r="R317" s="147">
        <v>48267.312066768674</v>
      </c>
      <c r="S317" s="147">
        <v>48267.312066768674</v>
      </c>
      <c r="T317" s="147">
        <v>48267.312066768674</v>
      </c>
      <c r="U317" s="147">
        <v>48267.312066768674</v>
      </c>
      <c r="V317" s="147">
        <v>48267.312066768674</v>
      </c>
      <c r="W317" s="147">
        <v>48267.312066768674</v>
      </c>
      <c r="X317" s="147">
        <v>48267.312066768674</v>
      </c>
      <c r="Y317" s="147">
        <v>48267.312066768674</v>
      </c>
      <c r="Z317" s="147">
        <v>48267.312066768674</v>
      </c>
      <c r="AA317" s="147">
        <v>48267.312066768674</v>
      </c>
      <c r="AB317" s="147">
        <v>48267.312066768674</v>
      </c>
      <c r="AC317" s="147">
        <v>48267.312066768674</v>
      </c>
      <c r="AD317" s="147">
        <v>48267.312066768674</v>
      </c>
      <c r="AE317" s="147">
        <v>44665.273852830716</v>
      </c>
      <c r="AF317" s="147">
        <v>44665.273852830716</v>
      </c>
      <c r="AG317" s="147">
        <v>44665.273852830716</v>
      </c>
      <c r="AH317" s="147">
        <v>44665.273852830716</v>
      </c>
      <c r="AI317" s="147">
        <v>44665.273852830716</v>
      </c>
      <c r="AJ317" s="147">
        <v>44665.273852830716</v>
      </c>
      <c r="AK317" s="147">
        <v>44665.273852830716</v>
      </c>
      <c r="AL317" s="147">
        <v>44665.273852830716</v>
      </c>
      <c r="AM317" s="147">
        <v>44665.273852830716</v>
      </c>
      <c r="AN317" s="147">
        <v>44665.273852830716</v>
      </c>
      <c r="AO317" s="240">
        <v>44665.273852830716</v>
      </c>
      <c r="AP317" s="147">
        <f t="shared" si="20"/>
        <v>1356527.5913690361</v>
      </c>
    </row>
    <row r="318" spans="2:42">
      <c r="B318" s="147" t="str">
        <v>Operação Geral</v>
      </c>
      <c r="C318" s="149" t="str">
        <v>6</v>
      </c>
      <c r="D318" s="149" t="str">
        <v>6.2.2</v>
      </c>
      <c r="E318" s="149">
        <v>0</v>
      </c>
      <c r="F318" s="149">
        <v>1</v>
      </c>
      <c r="G318" s="147" t="str">
        <v>Windows Server</v>
      </c>
      <c r="H318" s="147" t="b">
        <v>0</v>
      </c>
      <c r="I318" s="147" t="b">
        <f t="shared" si="17"/>
        <v>1</v>
      </c>
      <c r="J318" s="147" t="b">
        <f t="shared" si="18"/>
        <v>1</v>
      </c>
      <c r="K318" s="147" t="b">
        <f t="shared" si="19"/>
        <v>0</v>
      </c>
      <c r="L318" s="147">
        <v>0</v>
      </c>
      <c r="M318" s="147">
        <v>0</v>
      </c>
      <c r="N318" s="147">
        <v>0</v>
      </c>
      <c r="O318" s="147">
        <v>0</v>
      </c>
      <c r="P318" s="147">
        <v>0</v>
      </c>
      <c r="Q318" s="147">
        <v>0</v>
      </c>
      <c r="R318" s="147">
        <v>0</v>
      </c>
      <c r="S318" s="147">
        <v>0</v>
      </c>
      <c r="T318" s="147">
        <v>0</v>
      </c>
      <c r="U318" s="147">
        <v>0</v>
      </c>
      <c r="V318" s="147">
        <v>0</v>
      </c>
      <c r="W318" s="147">
        <v>0</v>
      </c>
      <c r="X318" s="147">
        <v>0</v>
      </c>
      <c r="Y318" s="147">
        <v>0</v>
      </c>
      <c r="Z318" s="147">
        <v>0</v>
      </c>
      <c r="AA318" s="147">
        <v>0</v>
      </c>
      <c r="AB318" s="147">
        <v>0</v>
      </c>
      <c r="AC318" s="147">
        <v>0</v>
      </c>
      <c r="AD318" s="147">
        <v>0</v>
      </c>
      <c r="AE318" s="147">
        <v>0</v>
      </c>
      <c r="AF318" s="147">
        <v>0</v>
      </c>
      <c r="AG318" s="147">
        <v>0</v>
      </c>
      <c r="AH318" s="147">
        <v>0</v>
      </c>
      <c r="AI318" s="147">
        <v>0</v>
      </c>
      <c r="AJ318" s="147">
        <v>0</v>
      </c>
      <c r="AK318" s="147">
        <v>0</v>
      </c>
      <c r="AL318" s="147">
        <v>0</v>
      </c>
      <c r="AM318" s="147">
        <v>0</v>
      </c>
      <c r="AN318" s="147">
        <v>0</v>
      </c>
      <c r="AO318" s="240">
        <v>0</v>
      </c>
      <c r="AP318" s="147">
        <f t="shared" si="20"/>
        <v>0</v>
      </c>
    </row>
    <row r="319" spans="2:42">
      <c r="B319" s="147" t="str">
        <v>Operação Geral</v>
      </c>
      <c r="C319" s="149" t="str">
        <v>6</v>
      </c>
      <c r="D319" s="149" t="str">
        <v>6.2.2</v>
      </c>
      <c r="E319" s="149">
        <v>0</v>
      </c>
      <c r="F319" s="149">
        <v>1</v>
      </c>
      <c r="G319" s="147" t="str">
        <v>Banco de Dados</v>
      </c>
      <c r="H319" s="147" t="b">
        <v>0</v>
      </c>
      <c r="I319" s="147" t="b">
        <f t="shared" si="17"/>
        <v>0</v>
      </c>
      <c r="J319" s="147" t="b">
        <f t="shared" si="18"/>
        <v>1</v>
      </c>
      <c r="K319" s="147" t="b">
        <f t="shared" si="19"/>
        <v>0</v>
      </c>
      <c r="L319" s="147">
        <v>0</v>
      </c>
      <c r="M319" s="147">
        <v>0</v>
      </c>
      <c r="N319" s="147">
        <v>0</v>
      </c>
      <c r="O319" s="147">
        <v>0</v>
      </c>
      <c r="P319" s="147">
        <v>0</v>
      </c>
      <c r="Q319" s="147">
        <v>0</v>
      </c>
      <c r="R319" s="147">
        <v>0</v>
      </c>
      <c r="S319" s="147">
        <v>0</v>
      </c>
      <c r="T319" s="147">
        <v>0</v>
      </c>
      <c r="U319" s="147">
        <v>0</v>
      </c>
      <c r="V319" s="147">
        <v>0</v>
      </c>
      <c r="W319" s="147">
        <v>0</v>
      </c>
      <c r="X319" s="147">
        <v>0</v>
      </c>
      <c r="Y319" s="147">
        <v>0</v>
      </c>
      <c r="Z319" s="147">
        <v>0</v>
      </c>
      <c r="AA319" s="147">
        <v>36337.033430704316</v>
      </c>
      <c r="AB319" s="147">
        <v>0</v>
      </c>
      <c r="AC319" s="147">
        <v>0</v>
      </c>
      <c r="AD319" s="147">
        <v>0</v>
      </c>
      <c r="AE319" s="147">
        <v>0</v>
      </c>
      <c r="AF319" s="147">
        <v>0</v>
      </c>
      <c r="AG319" s="147">
        <v>0</v>
      </c>
      <c r="AH319" s="147">
        <v>0</v>
      </c>
      <c r="AI319" s="147">
        <v>0</v>
      </c>
      <c r="AJ319" s="147">
        <v>0</v>
      </c>
      <c r="AK319" s="147">
        <v>0</v>
      </c>
      <c r="AL319" s="147">
        <v>0</v>
      </c>
      <c r="AM319" s="147">
        <v>0</v>
      </c>
      <c r="AN319" s="147">
        <v>0</v>
      </c>
      <c r="AO319" s="240">
        <v>0</v>
      </c>
      <c r="AP319" s="147">
        <f t="shared" si="20"/>
        <v>36337.033430704316</v>
      </c>
    </row>
    <row r="320" spans="2:42">
      <c r="B320" s="147" t="str">
        <v>Operação Geral</v>
      </c>
      <c r="C320" s="149" t="str">
        <v>6</v>
      </c>
      <c r="D320" s="149" t="str">
        <v>6.2.2</v>
      </c>
      <c r="E320" s="149">
        <v>0</v>
      </c>
      <c r="F320" s="149">
        <v>1</v>
      </c>
      <c r="G320" s="147" t="str">
        <v>ERP</v>
      </c>
      <c r="H320" s="147" t="b">
        <v>0</v>
      </c>
      <c r="I320" s="147" t="b">
        <f t="shared" si="17"/>
        <v>0</v>
      </c>
      <c r="J320" s="147" t="b">
        <f t="shared" si="18"/>
        <v>1</v>
      </c>
      <c r="K320" s="147" t="b">
        <f t="shared" si="19"/>
        <v>0</v>
      </c>
      <c r="L320" s="147">
        <v>0</v>
      </c>
      <c r="M320" s="147">
        <v>0</v>
      </c>
      <c r="N320" s="147">
        <v>0</v>
      </c>
      <c r="O320" s="147">
        <v>0</v>
      </c>
      <c r="P320" s="147">
        <v>0</v>
      </c>
      <c r="Q320" s="147">
        <v>0</v>
      </c>
      <c r="R320" s="147">
        <v>0</v>
      </c>
      <c r="S320" s="147">
        <v>0</v>
      </c>
      <c r="T320" s="147">
        <v>0</v>
      </c>
      <c r="U320" s="147">
        <v>0</v>
      </c>
      <c r="V320" s="147">
        <v>0</v>
      </c>
      <c r="W320" s="147">
        <v>0</v>
      </c>
      <c r="X320" s="147">
        <v>0</v>
      </c>
      <c r="Y320" s="147">
        <v>0</v>
      </c>
      <c r="Z320" s="147">
        <v>0</v>
      </c>
      <c r="AA320" s="147">
        <v>0</v>
      </c>
      <c r="AB320" s="147">
        <v>0</v>
      </c>
      <c r="AC320" s="147">
        <v>0</v>
      </c>
      <c r="AD320" s="147">
        <v>0</v>
      </c>
      <c r="AE320" s="147">
        <v>0</v>
      </c>
      <c r="AF320" s="147">
        <v>0</v>
      </c>
      <c r="AG320" s="147">
        <v>0</v>
      </c>
      <c r="AH320" s="147">
        <v>0</v>
      </c>
      <c r="AI320" s="147">
        <v>0</v>
      </c>
      <c r="AJ320" s="147">
        <v>0</v>
      </c>
      <c r="AK320" s="147">
        <v>0</v>
      </c>
      <c r="AL320" s="147">
        <v>0</v>
      </c>
      <c r="AM320" s="147">
        <v>0</v>
      </c>
      <c r="AN320" s="147">
        <v>0</v>
      </c>
      <c r="AO320" s="240">
        <v>0</v>
      </c>
      <c r="AP320" s="147">
        <f t="shared" si="20"/>
        <v>0</v>
      </c>
    </row>
    <row r="321" spans="2:42">
      <c r="B321" s="147" t="str">
        <v>Operação Geral</v>
      </c>
      <c r="C321" s="149" t="str">
        <v>6</v>
      </c>
      <c r="D321" s="149" t="str">
        <v>6.2.2</v>
      </c>
      <c r="E321" s="149">
        <v>0</v>
      </c>
      <c r="F321" s="149">
        <v>1</v>
      </c>
      <c r="G321" s="147" t="str">
        <v>Correio eletrônico</v>
      </c>
      <c r="H321" s="147" t="b">
        <v>0</v>
      </c>
      <c r="I321" s="147" t="b">
        <f t="shared" si="17"/>
        <v>1</v>
      </c>
      <c r="J321" s="147" t="b">
        <f t="shared" si="18"/>
        <v>1</v>
      </c>
      <c r="K321" s="147" t="b">
        <f t="shared" si="19"/>
        <v>0</v>
      </c>
      <c r="L321" s="147">
        <v>0</v>
      </c>
      <c r="M321" s="147">
        <v>49028.988197523991</v>
      </c>
      <c r="N321" s="147">
        <v>49028.988197523991</v>
      </c>
      <c r="O321" s="147">
        <v>49028.988197523991</v>
      </c>
      <c r="P321" s="147">
        <v>49028.988197523991</v>
      </c>
      <c r="Q321" s="147">
        <v>45370.108481290859</v>
      </c>
      <c r="R321" s="147">
        <v>49028.988197523991</v>
      </c>
      <c r="S321" s="147">
        <v>49028.988197523991</v>
      </c>
      <c r="T321" s="147">
        <v>49028.988197523991</v>
      </c>
      <c r="U321" s="147">
        <v>49028.988197523991</v>
      </c>
      <c r="V321" s="147">
        <v>49028.988197523991</v>
      </c>
      <c r="W321" s="147">
        <v>49028.988197523991</v>
      </c>
      <c r="X321" s="147">
        <v>49028.988197523991</v>
      </c>
      <c r="Y321" s="147">
        <v>49028.988197523991</v>
      </c>
      <c r="Z321" s="147">
        <v>49028.988197523991</v>
      </c>
      <c r="AA321" s="147">
        <v>49028.988197523991</v>
      </c>
      <c r="AB321" s="147">
        <v>49028.988197523991</v>
      </c>
      <c r="AC321" s="147">
        <v>49028.988197523991</v>
      </c>
      <c r="AD321" s="147">
        <v>49028.988197523991</v>
      </c>
      <c r="AE321" s="147">
        <v>45370.108481290859</v>
      </c>
      <c r="AF321" s="147">
        <v>45370.108481290859</v>
      </c>
      <c r="AG321" s="147">
        <v>45370.108481290859</v>
      </c>
      <c r="AH321" s="147">
        <v>45370.108481290859</v>
      </c>
      <c r="AI321" s="147">
        <v>45370.108481290859</v>
      </c>
      <c r="AJ321" s="147">
        <v>45370.108481290859</v>
      </c>
      <c r="AK321" s="147">
        <v>45370.108481290859</v>
      </c>
      <c r="AL321" s="147">
        <v>45370.108481290859</v>
      </c>
      <c r="AM321" s="147">
        <v>45370.108481290859</v>
      </c>
      <c r="AN321" s="147">
        <v>45370.108481290859</v>
      </c>
      <c r="AO321" s="240">
        <v>45370.108481290859</v>
      </c>
      <c r="AP321" s="147">
        <f t="shared" si="20"/>
        <v>1377934.1011333973</v>
      </c>
    </row>
    <row r="322" spans="2:42">
      <c r="B322" s="147" t="str">
        <v>Operação Geral</v>
      </c>
      <c r="C322" s="149" t="str">
        <v>6</v>
      </c>
      <c r="D322" s="149" t="str">
        <v>6.2.2</v>
      </c>
      <c r="E322" s="149">
        <v>0</v>
      </c>
      <c r="F322" s="149">
        <v>1</v>
      </c>
      <c r="G322" s="147" t="str">
        <v>Backup</v>
      </c>
      <c r="H322" s="147" t="b">
        <v>0</v>
      </c>
      <c r="I322" s="147" t="b">
        <f t="shared" si="17"/>
        <v>0</v>
      </c>
      <c r="J322" s="147" t="b">
        <f t="shared" si="18"/>
        <v>1</v>
      </c>
      <c r="K322" s="147" t="b">
        <f t="shared" si="19"/>
        <v>0</v>
      </c>
      <c r="L322" s="147">
        <v>0</v>
      </c>
      <c r="M322" s="147">
        <v>19466.267909305883</v>
      </c>
      <c r="N322" s="147">
        <v>19466.267909305883</v>
      </c>
      <c r="O322" s="147">
        <v>19466.267909305883</v>
      </c>
      <c r="P322" s="147">
        <v>19466.267909305883</v>
      </c>
      <c r="Q322" s="147">
        <v>19466.267909305883</v>
      </c>
      <c r="R322" s="147">
        <v>19466.267909305883</v>
      </c>
      <c r="S322" s="147">
        <v>19466.267909305883</v>
      </c>
      <c r="T322" s="147">
        <v>19466.267909305883</v>
      </c>
      <c r="U322" s="147">
        <v>19466.267909305883</v>
      </c>
      <c r="V322" s="147">
        <v>19466.267909305883</v>
      </c>
      <c r="W322" s="147">
        <v>19466.267909305883</v>
      </c>
      <c r="X322" s="147">
        <v>19466.267909305883</v>
      </c>
      <c r="Y322" s="147">
        <v>19466.267909305883</v>
      </c>
      <c r="Z322" s="147">
        <v>19466.267909305883</v>
      </c>
      <c r="AA322" s="147">
        <v>19466.267909305883</v>
      </c>
      <c r="AB322" s="147">
        <v>19466.267909305883</v>
      </c>
      <c r="AC322" s="147">
        <v>19466.267909305883</v>
      </c>
      <c r="AD322" s="147">
        <v>19466.267909305883</v>
      </c>
      <c r="AE322" s="147">
        <v>19466.267909305883</v>
      </c>
      <c r="AF322" s="147">
        <v>19466.267909305883</v>
      </c>
      <c r="AG322" s="147">
        <v>19466.267909305883</v>
      </c>
      <c r="AH322" s="147">
        <v>19466.267909305883</v>
      </c>
      <c r="AI322" s="147">
        <v>19466.267909305883</v>
      </c>
      <c r="AJ322" s="147">
        <v>19466.267909305883</v>
      </c>
      <c r="AK322" s="147">
        <v>19466.267909305883</v>
      </c>
      <c r="AL322" s="147">
        <v>19466.267909305883</v>
      </c>
      <c r="AM322" s="147">
        <v>19466.267909305883</v>
      </c>
      <c r="AN322" s="147">
        <v>19466.267909305883</v>
      </c>
      <c r="AO322" s="240">
        <v>19466.267909305883</v>
      </c>
      <c r="AP322" s="147">
        <f t="shared" si="20"/>
        <v>564521.76936987031</v>
      </c>
    </row>
    <row r="323" spans="2:42">
      <c r="B323" s="147" t="str">
        <v>Operação Geral</v>
      </c>
      <c r="C323" s="149" t="str">
        <v>6</v>
      </c>
      <c r="D323" s="149" t="str">
        <v>6.2.2</v>
      </c>
      <c r="E323" s="149">
        <v>0</v>
      </c>
      <c r="F323" s="149">
        <v>1</v>
      </c>
      <c r="G323" s="147" t="str">
        <v>Implantação Sistema da Qualidade</v>
      </c>
      <c r="H323" s="147" t="b">
        <v>0</v>
      </c>
      <c r="I323" s="147" t="b">
        <f t="shared" si="17"/>
        <v>0</v>
      </c>
      <c r="J323" s="147" t="b">
        <f t="shared" si="18"/>
        <v>1</v>
      </c>
      <c r="K323" s="147" t="b">
        <f t="shared" si="19"/>
        <v>0</v>
      </c>
      <c r="L323" s="147">
        <v>0</v>
      </c>
      <c r="M323" s="147">
        <v>0</v>
      </c>
      <c r="N323" s="147">
        <v>0</v>
      </c>
      <c r="O323" s="147">
        <v>0</v>
      </c>
      <c r="P323" s="147">
        <v>0</v>
      </c>
      <c r="Q323" s="147">
        <v>0</v>
      </c>
      <c r="R323" s="147">
        <v>0</v>
      </c>
      <c r="S323" s="147">
        <v>0</v>
      </c>
      <c r="T323" s="147">
        <v>0</v>
      </c>
      <c r="U323" s="147">
        <v>0</v>
      </c>
      <c r="V323" s="147">
        <v>0</v>
      </c>
      <c r="W323" s="147">
        <v>0</v>
      </c>
      <c r="X323" s="147">
        <v>0</v>
      </c>
      <c r="Y323" s="147">
        <v>0</v>
      </c>
      <c r="Z323" s="147">
        <v>0</v>
      </c>
      <c r="AA323" s="147">
        <v>0</v>
      </c>
      <c r="AB323" s="147">
        <v>0</v>
      </c>
      <c r="AC323" s="147">
        <v>0</v>
      </c>
      <c r="AD323" s="147">
        <v>0</v>
      </c>
      <c r="AE323" s="147">
        <v>0</v>
      </c>
      <c r="AF323" s="147">
        <v>0</v>
      </c>
      <c r="AG323" s="147">
        <v>0</v>
      </c>
      <c r="AH323" s="147">
        <v>0</v>
      </c>
      <c r="AI323" s="147">
        <v>0</v>
      </c>
      <c r="AJ323" s="147">
        <v>0</v>
      </c>
      <c r="AK323" s="147">
        <v>0</v>
      </c>
      <c r="AL323" s="147">
        <v>0</v>
      </c>
      <c r="AM323" s="147">
        <v>0</v>
      </c>
      <c r="AN323" s="147">
        <v>0</v>
      </c>
      <c r="AO323" s="240">
        <v>0</v>
      </c>
      <c r="AP323" s="147">
        <f t="shared" si="20"/>
        <v>0</v>
      </c>
    </row>
    <row r="324" spans="2:42">
      <c r="B324" s="147" t="str">
        <v>Operação Geral</v>
      </c>
      <c r="C324" s="149" t="str">
        <v>6</v>
      </c>
      <c r="D324" s="149" t="str">
        <v>6.2.2</v>
      </c>
      <c r="E324" s="149">
        <v>0</v>
      </c>
      <c r="F324" s="149">
        <v>1</v>
      </c>
      <c r="G324" s="147" t="str">
        <v>Software Gestão Ambiental</v>
      </c>
      <c r="H324" s="147" t="b">
        <v>0</v>
      </c>
      <c r="I324" s="147" t="b">
        <f t="shared" si="17"/>
        <v>1</v>
      </c>
      <c r="J324" s="147" t="b">
        <f t="shared" si="18"/>
        <v>1</v>
      </c>
      <c r="K324" s="147" t="b">
        <f t="shared" si="19"/>
        <v>0</v>
      </c>
      <c r="L324" s="147">
        <v>0</v>
      </c>
      <c r="M324" s="147">
        <v>0</v>
      </c>
      <c r="N324" s="147">
        <v>0</v>
      </c>
      <c r="O324" s="147">
        <v>0</v>
      </c>
      <c r="P324" s="147">
        <v>0</v>
      </c>
      <c r="Q324" s="147">
        <v>0</v>
      </c>
      <c r="R324" s="147">
        <v>0</v>
      </c>
      <c r="S324" s="147">
        <v>0</v>
      </c>
      <c r="T324" s="147">
        <v>0</v>
      </c>
      <c r="U324" s="147">
        <v>0</v>
      </c>
      <c r="V324" s="147">
        <v>0</v>
      </c>
      <c r="W324" s="147">
        <v>0</v>
      </c>
      <c r="X324" s="147">
        <v>0</v>
      </c>
      <c r="Y324" s="147">
        <v>0</v>
      </c>
      <c r="Z324" s="147">
        <v>0</v>
      </c>
      <c r="AA324" s="147">
        <v>0</v>
      </c>
      <c r="AB324" s="147">
        <v>0</v>
      </c>
      <c r="AC324" s="147">
        <v>0</v>
      </c>
      <c r="AD324" s="147">
        <v>0</v>
      </c>
      <c r="AE324" s="147">
        <v>0</v>
      </c>
      <c r="AF324" s="147">
        <v>0</v>
      </c>
      <c r="AG324" s="147">
        <v>0</v>
      </c>
      <c r="AH324" s="147">
        <v>0</v>
      </c>
      <c r="AI324" s="147">
        <v>0</v>
      </c>
      <c r="AJ324" s="147">
        <v>0</v>
      </c>
      <c r="AK324" s="147">
        <v>0</v>
      </c>
      <c r="AL324" s="147">
        <v>0</v>
      </c>
      <c r="AM324" s="147">
        <v>0</v>
      </c>
      <c r="AN324" s="147">
        <v>0</v>
      </c>
      <c r="AO324" s="240">
        <v>0</v>
      </c>
      <c r="AP324" s="147">
        <f t="shared" si="20"/>
        <v>0</v>
      </c>
    </row>
    <row r="325" spans="2:42">
      <c r="B325" s="147" t="str">
        <v>Operação Geral</v>
      </c>
      <c r="C325" s="149" t="str">
        <v>6</v>
      </c>
      <c r="D325" s="149" t="str">
        <v>6.2.2</v>
      </c>
      <c r="E325" s="149">
        <v>0</v>
      </c>
      <c r="F325" s="149">
        <v>1</v>
      </c>
      <c r="G325" s="147" t="str">
        <v>Centro de Controle Operacional</v>
      </c>
      <c r="H325" s="147" t="b">
        <v>0</v>
      </c>
      <c r="I325" s="147" t="b">
        <f t="shared" si="17"/>
        <v>0</v>
      </c>
      <c r="J325" s="147" t="b">
        <f t="shared" si="18"/>
        <v>1</v>
      </c>
      <c r="K325" s="147" t="b">
        <f t="shared" si="19"/>
        <v>0</v>
      </c>
      <c r="L325" s="147">
        <v>0</v>
      </c>
      <c r="M325" s="147">
        <v>0</v>
      </c>
      <c r="N325" s="147">
        <v>0</v>
      </c>
      <c r="O325" s="147">
        <v>0</v>
      </c>
      <c r="P325" s="147">
        <v>0</v>
      </c>
      <c r="Q325" s="147">
        <v>0</v>
      </c>
      <c r="R325" s="147">
        <v>0</v>
      </c>
      <c r="S325" s="147">
        <v>0</v>
      </c>
      <c r="T325" s="147">
        <v>0</v>
      </c>
      <c r="U325" s="147">
        <v>0</v>
      </c>
      <c r="V325" s="147">
        <v>0</v>
      </c>
      <c r="W325" s="147">
        <v>0</v>
      </c>
      <c r="X325" s="147">
        <v>0</v>
      </c>
      <c r="Y325" s="147">
        <v>0</v>
      </c>
      <c r="Z325" s="147">
        <v>0</v>
      </c>
      <c r="AA325" s="147">
        <v>0</v>
      </c>
      <c r="AB325" s="147">
        <v>0</v>
      </c>
      <c r="AC325" s="147">
        <v>0</v>
      </c>
      <c r="AD325" s="147">
        <v>0</v>
      </c>
      <c r="AE325" s="147">
        <v>0</v>
      </c>
      <c r="AF325" s="147">
        <v>0</v>
      </c>
      <c r="AG325" s="147">
        <v>0</v>
      </c>
      <c r="AH325" s="147">
        <v>0</v>
      </c>
      <c r="AI325" s="147">
        <v>0</v>
      </c>
      <c r="AJ325" s="147">
        <v>0</v>
      </c>
      <c r="AK325" s="147">
        <v>0</v>
      </c>
      <c r="AL325" s="147">
        <v>0</v>
      </c>
      <c r="AM325" s="147">
        <v>0</v>
      </c>
      <c r="AN325" s="147">
        <v>0</v>
      </c>
      <c r="AO325" s="240">
        <v>0</v>
      </c>
      <c r="AP325" s="147">
        <f t="shared" si="20"/>
        <v>0</v>
      </c>
    </row>
    <row r="326" spans="2:42">
      <c r="B326" s="147" t="str">
        <v>Operação Geral</v>
      </c>
      <c r="C326" s="149" t="str">
        <v>6</v>
      </c>
      <c r="D326" s="149" t="str">
        <v>6.2.2</v>
      </c>
      <c r="E326" s="149">
        <v>0</v>
      </c>
      <c r="F326" s="149">
        <v>1</v>
      </c>
      <c r="G326" s="147" t="str">
        <v>Tecnologia da Informação</v>
      </c>
      <c r="H326" s="147" t="b">
        <v>0</v>
      </c>
      <c r="I326" s="147" t="b">
        <f t="shared" ref="I326:I389" si="21">OR(ISNUMBER(FIND("Antivirus",G326)),
    ISNUMBER(FIND("ARCGIS",G326)),
    ISNUMBER(FIND("AutoCAD",G326)),
    ISNUMBER(FIND("Correio eletrônico",G326)),
    ISNUMBER(FIND("ISO 9001:2008",G326)),
    ISNUMBER(FIND("Microsoft",G326)),
    ISNUMBER(FIND("Sistema de Informações Georreferenciadas",G326)),
    ISNUMBER(FIND("Sistema 0800 - CCO",G326)),
    ISNUMBER(FIND("Sistema de Comunicação com os Usuários",G326)),
    ISNUMBER(FIND("Software",G326)),
    ISNUMBER(FIND("Storage",G326)),
    ISNUMBER(FIND("Windows Server",G326)))</f>
        <v>0</v>
      </c>
      <c r="J326" s="147" t="b">
        <f t="shared" ref="J326:J389" si="22">OR(F326,I326)</f>
        <v>1</v>
      </c>
      <c r="K326" s="147" t="b">
        <f t="shared" ref="K326:K420" si="23">AND(NOT(H326),NOT(J326))</f>
        <v>0</v>
      </c>
      <c r="L326" s="147">
        <v>0</v>
      </c>
      <c r="M326" s="147">
        <v>0</v>
      </c>
      <c r="N326" s="147">
        <v>0</v>
      </c>
      <c r="O326" s="147">
        <v>0</v>
      </c>
      <c r="P326" s="147">
        <v>0</v>
      </c>
      <c r="Q326" s="147">
        <v>0</v>
      </c>
      <c r="R326" s="147">
        <v>0</v>
      </c>
      <c r="S326" s="147">
        <v>0</v>
      </c>
      <c r="T326" s="147">
        <v>0</v>
      </c>
      <c r="U326" s="147">
        <v>0</v>
      </c>
      <c r="V326" s="147">
        <v>0</v>
      </c>
      <c r="W326" s="147">
        <v>0</v>
      </c>
      <c r="X326" s="147">
        <v>0</v>
      </c>
      <c r="Y326" s="147">
        <v>0</v>
      </c>
      <c r="Z326" s="147">
        <v>0</v>
      </c>
      <c r="AA326" s="147">
        <v>0</v>
      </c>
      <c r="AB326" s="147">
        <v>0</v>
      </c>
      <c r="AC326" s="147">
        <v>0</v>
      </c>
      <c r="AD326" s="147">
        <v>0</v>
      </c>
      <c r="AE326" s="147">
        <v>0</v>
      </c>
      <c r="AF326" s="147">
        <v>0</v>
      </c>
      <c r="AG326" s="147">
        <v>0</v>
      </c>
      <c r="AH326" s="147">
        <v>0</v>
      </c>
      <c r="AI326" s="147">
        <v>0</v>
      </c>
      <c r="AJ326" s="147">
        <v>0</v>
      </c>
      <c r="AK326" s="147">
        <v>0</v>
      </c>
      <c r="AL326" s="147">
        <v>0</v>
      </c>
      <c r="AM326" s="147">
        <v>0</v>
      </c>
      <c r="AN326" s="147">
        <v>0</v>
      </c>
      <c r="AO326" s="240">
        <v>0</v>
      </c>
      <c r="AP326" s="147">
        <f t="shared" ref="AP326:AP389" si="24">SUM(L326:AO326)</f>
        <v>0</v>
      </c>
    </row>
    <row r="327" spans="2:42">
      <c r="B327" s="147" t="str">
        <v>Operação Geral</v>
      </c>
      <c r="C327" s="149" t="str">
        <v>6</v>
      </c>
      <c r="D327" s="149" t="str">
        <v>6.2.2</v>
      </c>
      <c r="E327" s="149">
        <v>1</v>
      </c>
      <c r="F327" s="149">
        <v>1</v>
      </c>
      <c r="G327" s="147" t="str">
        <v>Video Wall 49"</v>
      </c>
      <c r="H327" s="147" t="b">
        <v>0</v>
      </c>
      <c r="I327" s="147" t="b">
        <f t="shared" si="21"/>
        <v>0</v>
      </c>
      <c r="J327" s="147" t="b">
        <f t="shared" si="22"/>
        <v>1</v>
      </c>
      <c r="K327" s="147" t="b">
        <f t="shared" si="23"/>
        <v>0</v>
      </c>
      <c r="L327" s="147">
        <v>0</v>
      </c>
      <c r="M327" s="147">
        <v>0</v>
      </c>
      <c r="N327" s="147">
        <v>0</v>
      </c>
      <c r="O327" s="147">
        <v>0</v>
      </c>
      <c r="P327" s="147">
        <v>0</v>
      </c>
      <c r="Q327" s="147">
        <v>0</v>
      </c>
      <c r="R327" s="147">
        <v>0</v>
      </c>
      <c r="S327" s="147">
        <v>0</v>
      </c>
      <c r="T327" s="147">
        <v>0</v>
      </c>
      <c r="U327" s="147">
        <v>0</v>
      </c>
      <c r="V327" s="147">
        <v>0</v>
      </c>
      <c r="W327" s="147">
        <v>0</v>
      </c>
      <c r="X327" s="147">
        <v>0</v>
      </c>
      <c r="Y327" s="147">
        <v>0</v>
      </c>
      <c r="Z327" s="147">
        <v>0</v>
      </c>
      <c r="AA327" s="147">
        <v>0</v>
      </c>
      <c r="AB327" s="147">
        <v>0</v>
      </c>
      <c r="AC327" s="147">
        <v>0</v>
      </c>
      <c r="AD327" s="147">
        <v>0</v>
      </c>
      <c r="AE327" s="147">
        <v>0</v>
      </c>
      <c r="AF327" s="147">
        <v>0</v>
      </c>
      <c r="AG327" s="147">
        <v>0</v>
      </c>
      <c r="AH327" s="147">
        <v>0</v>
      </c>
      <c r="AI327" s="147">
        <v>0</v>
      </c>
      <c r="AJ327" s="147">
        <v>0</v>
      </c>
      <c r="AK327" s="147">
        <v>0</v>
      </c>
      <c r="AL327" s="147">
        <v>0</v>
      </c>
      <c r="AM327" s="147">
        <v>0</v>
      </c>
      <c r="AN327" s="147">
        <v>0</v>
      </c>
      <c r="AO327" s="240">
        <v>0</v>
      </c>
      <c r="AP327" s="147">
        <f t="shared" si="24"/>
        <v>0</v>
      </c>
    </row>
    <row r="328" spans="2:42">
      <c r="B328" s="147" t="str">
        <v>Operação Geral</v>
      </c>
      <c r="C328" s="149" t="str">
        <v>6</v>
      </c>
      <c r="D328" s="149" t="str">
        <v>6.2.2</v>
      </c>
      <c r="E328" s="149">
        <v>1</v>
      </c>
      <c r="F328" s="149">
        <v>1</v>
      </c>
      <c r="G328" s="147" t="str">
        <v>Servidor de Gerenciamento/Virtualização</v>
      </c>
      <c r="H328" s="147" t="b">
        <v>0</v>
      </c>
      <c r="I328" s="147" t="b">
        <f t="shared" si="21"/>
        <v>0</v>
      </c>
      <c r="J328" s="147" t="b">
        <f t="shared" si="22"/>
        <v>1</v>
      </c>
      <c r="K328" s="147" t="b">
        <f t="shared" si="23"/>
        <v>0</v>
      </c>
      <c r="L328" s="147">
        <v>0</v>
      </c>
      <c r="M328" s="147">
        <v>0</v>
      </c>
      <c r="N328" s="147">
        <v>0</v>
      </c>
      <c r="O328" s="147">
        <v>0</v>
      </c>
      <c r="P328" s="147">
        <v>0</v>
      </c>
      <c r="Q328" s="147">
        <v>0</v>
      </c>
      <c r="R328" s="147">
        <v>0</v>
      </c>
      <c r="S328" s="147">
        <v>0</v>
      </c>
      <c r="T328" s="147">
        <v>0</v>
      </c>
      <c r="U328" s="147">
        <v>0</v>
      </c>
      <c r="V328" s="147">
        <v>0</v>
      </c>
      <c r="W328" s="147">
        <v>0</v>
      </c>
      <c r="X328" s="147">
        <v>0</v>
      </c>
      <c r="Y328" s="147">
        <v>0</v>
      </c>
      <c r="Z328" s="147">
        <v>0</v>
      </c>
      <c r="AA328" s="147">
        <v>0</v>
      </c>
      <c r="AB328" s="147">
        <v>0</v>
      </c>
      <c r="AC328" s="147">
        <v>0</v>
      </c>
      <c r="AD328" s="147">
        <v>0</v>
      </c>
      <c r="AE328" s="147">
        <v>0</v>
      </c>
      <c r="AF328" s="147">
        <v>0</v>
      </c>
      <c r="AG328" s="147">
        <v>0</v>
      </c>
      <c r="AH328" s="147">
        <v>0</v>
      </c>
      <c r="AI328" s="147">
        <v>0</v>
      </c>
      <c r="AJ328" s="147">
        <v>0</v>
      </c>
      <c r="AK328" s="147">
        <v>0</v>
      </c>
      <c r="AL328" s="147">
        <v>0</v>
      </c>
      <c r="AM328" s="147">
        <v>0</v>
      </c>
      <c r="AN328" s="147">
        <v>0</v>
      </c>
      <c r="AO328" s="240">
        <v>0</v>
      </c>
      <c r="AP328" s="147">
        <f t="shared" si="24"/>
        <v>0</v>
      </c>
    </row>
    <row r="329" spans="2:42">
      <c r="B329" s="147" t="str">
        <v>Operação Geral</v>
      </c>
      <c r="C329" s="149" t="str">
        <v>6</v>
      </c>
      <c r="D329" s="149" t="str">
        <v>6.2.2</v>
      </c>
      <c r="E329" s="149">
        <v>1</v>
      </c>
      <c r="F329" s="149">
        <v>1</v>
      </c>
      <c r="G329" s="147" t="str">
        <v>Servidor de Backup</v>
      </c>
      <c r="H329" s="147" t="b">
        <v>0</v>
      </c>
      <c r="I329" s="147" t="b">
        <f t="shared" si="21"/>
        <v>0</v>
      </c>
      <c r="J329" s="147" t="b">
        <f t="shared" si="22"/>
        <v>1</v>
      </c>
      <c r="K329" s="147" t="b">
        <f t="shared" si="23"/>
        <v>0</v>
      </c>
      <c r="L329" s="147">
        <v>0</v>
      </c>
      <c r="M329" s="147">
        <v>0</v>
      </c>
      <c r="N329" s="147">
        <v>0</v>
      </c>
      <c r="O329" s="147">
        <v>0</v>
      </c>
      <c r="P329" s="147">
        <v>0</v>
      </c>
      <c r="Q329" s="147">
        <v>0</v>
      </c>
      <c r="R329" s="147">
        <v>0</v>
      </c>
      <c r="S329" s="147">
        <v>0</v>
      </c>
      <c r="T329" s="147">
        <v>0</v>
      </c>
      <c r="U329" s="147">
        <v>0</v>
      </c>
      <c r="V329" s="147">
        <v>0</v>
      </c>
      <c r="W329" s="147">
        <v>0</v>
      </c>
      <c r="X329" s="147">
        <v>0</v>
      </c>
      <c r="Y329" s="147">
        <v>0</v>
      </c>
      <c r="Z329" s="147">
        <v>0</v>
      </c>
      <c r="AA329" s="147">
        <v>0</v>
      </c>
      <c r="AB329" s="147">
        <v>0</v>
      </c>
      <c r="AC329" s="147">
        <v>0</v>
      </c>
      <c r="AD329" s="147">
        <v>0</v>
      </c>
      <c r="AE329" s="147">
        <v>0</v>
      </c>
      <c r="AF329" s="147">
        <v>0</v>
      </c>
      <c r="AG329" s="147">
        <v>0</v>
      </c>
      <c r="AH329" s="147">
        <v>0</v>
      </c>
      <c r="AI329" s="147">
        <v>0</v>
      </c>
      <c r="AJ329" s="147">
        <v>0</v>
      </c>
      <c r="AK329" s="147">
        <v>0</v>
      </c>
      <c r="AL329" s="147">
        <v>0</v>
      </c>
      <c r="AM329" s="147">
        <v>0</v>
      </c>
      <c r="AN329" s="147">
        <v>0</v>
      </c>
      <c r="AO329" s="240">
        <v>0</v>
      </c>
      <c r="AP329" s="147">
        <f t="shared" si="24"/>
        <v>0</v>
      </c>
    </row>
    <row r="330" spans="2:42">
      <c r="B330" s="147" t="str">
        <v>Operação Geral</v>
      </c>
      <c r="C330" s="149" t="str">
        <v>6</v>
      </c>
      <c r="D330" s="149" t="str">
        <v>6.2.2</v>
      </c>
      <c r="E330" s="149">
        <v>1</v>
      </c>
      <c r="F330" s="149">
        <v>1</v>
      </c>
      <c r="G330" s="147" t="str">
        <v>Unidade de Fita para Backup</v>
      </c>
      <c r="H330" s="147" t="b">
        <v>0</v>
      </c>
      <c r="I330" s="147" t="b">
        <f t="shared" si="21"/>
        <v>0</v>
      </c>
      <c r="J330" s="147" t="b">
        <f t="shared" si="22"/>
        <v>1</v>
      </c>
      <c r="K330" s="147" t="b">
        <f t="shared" si="23"/>
        <v>0</v>
      </c>
      <c r="L330" s="147">
        <v>0</v>
      </c>
      <c r="M330" s="147">
        <v>0</v>
      </c>
      <c r="N330" s="147">
        <v>0</v>
      </c>
      <c r="O330" s="147">
        <v>0</v>
      </c>
      <c r="P330" s="147">
        <v>0</v>
      </c>
      <c r="Q330" s="147">
        <v>0</v>
      </c>
      <c r="R330" s="147">
        <v>0</v>
      </c>
      <c r="S330" s="147">
        <v>0</v>
      </c>
      <c r="T330" s="147">
        <v>0</v>
      </c>
      <c r="U330" s="147">
        <v>0</v>
      </c>
      <c r="V330" s="147">
        <v>0</v>
      </c>
      <c r="W330" s="147">
        <v>0</v>
      </c>
      <c r="X330" s="147">
        <v>0</v>
      </c>
      <c r="Y330" s="147">
        <v>0</v>
      </c>
      <c r="Z330" s="147">
        <v>0</v>
      </c>
      <c r="AA330" s="147">
        <v>0</v>
      </c>
      <c r="AB330" s="147">
        <v>0</v>
      </c>
      <c r="AC330" s="147">
        <v>0</v>
      </c>
      <c r="AD330" s="147">
        <v>0</v>
      </c>
      <c r="AE330" s="147">
        <v>0</v>
      </c>
      <c r="AF330" s="147">
        <v>0</v>
      </c>
      <c r="AG330" s="147">
        <v>0</v>
      </c>
      <c r="AH330" s="147">
        <v>0</v>
      </c>
      <c r="AI330" s="147">
        <v>0</v>
      </c>
      <c r="AJ330" s="147">
        <v>0</v>
      </c>
      <c r="AK330" s="147">
        <v>0</v>
      </c>
      <c r="AL330" s="147">
        <v>0</v>
      </c>
      <c r="AM330" s="147">
        <v>0</v>
      </c>
      <c r="AN330" s="147">
        <v>0</v>
      </c>
      <c r="AO330" s="240">
        <v>0</v>
      </c>
      <c r="AP330" s="147">
        <f t="shared" si="24"/>
        <v>0</v>
      </c>
    </row>
    <row r="331" spans="2:42">
      <c r="B331" s="147" t="str">
        <v>Operação Geral</v>
      </c>
      <c r="C331" s="149" t="str">
        <v>6</v>
      </c>
      <c r="D331" s="149" t="str">
        <v>6.2.2</v>
      </c>
      <c r="E331" s="149">
        <v>1</v>
      </c>
      <c r="F331" s="149">
        <v>1</v>
      </c>
      <c r="G331" s="147" t="str">
        <v>Servidores</v>
      </c>
      <c r="H331" s="147" t="b">
        <v>0</v>
      </c>
      <c r="I331" s="147" t="b">
        <f t="shared" si="21"/>
        <v>0</v>
      </c>
      <c r="J331" s="147" t="b">
        <f t="shared" si="22"/>
        <v>1</v>
      </c>
      <c r="K331" s="147" t="b">
        <f t="shared" si="23"/>
        <v>0</v>
      </c>
      <c r="L331" s="147">
        <v>0</v>
      </c>
      <c r="M331" s="147">
        <v>0</v>
      </c>
      <c r="N331" s="147">
        <v>0</v>
      </c>
      <c r="O331" s="147">
        <v>0</v>
      </c>
      <c r="P331" s="147">
        <v>0</v>
      </c>
      <c r="Q331" s="147">
        <v>0</v>
      </c>
      <c r="R331" s="147">
        <v>0</v>
      </c>
      <c r="S331" s="147">
        <v>0</v>
      </c>
      <c r="T331" s="147">
        <v>0</v>
      </c>
      <c r="U331" s="147">
        <v>0</v>
      </c>
      <c r="V331" s="147">
        <v>0</v>
      </c>
      <c r="W331" s="147">
        <v>0</v>
      </c>
      <c r="X331" s="147">
        <v>0</v>
      </c>
      <c r="Y331" s="147">
        <v>0</v>
      </c>
      <c r="Z331" s="147">
        <v>0</v>
      </c>
      <c r="AA331" s="147">
        <v>0</v>
      </c>
      <c r="AB331" s="147">
        <v>0</v>
      </c>
      <c r="AC331" s="147">
        <v>0</v>
      </c>
      <c r="AD331" s="147">
        <v>0</v>
      </c>
      <c r="AE331" s="147">
        <v>0</v>
      </c>
      <c r="AF331" s="147">
        <v>0</v>
      </c>
      <c r="AG331" s="147">
        <v>0</v>
      </c>
      <c r="AH331" s="147">
        <v>0</v>
      </c>
      <c r="AI331" s="147">
        <v>0</v>
      </c>
      <c r="AJ331" s="147">
        <v>0</v>
      </c>
      <c r="AK331" s="147">
        <v>0</v>
      </c>
      <c r="AL331" s="147">
        <v>0</v>
      </c>
      <c r="AM331" s="147">
        <v>0</v>
      </c>
      <c r="AN331" s="147">
        <v>0</v>
      </c>
      <c r="AO331" s="240">
        <v>0</v>
      </c>
      <c r="AP331" s="147">
        <f t="shared" si="24"/>
        <v>0</v>
      </c>
    </row>
    <row r="332" spans="2:42">
      <c r="B332" s="147" t="str">
        <v>Operação Geral</v>
      </c>
      <c r="C332" s="149" t="str">
        <v>6</v>
      </c>
      <c r="D332" s="149" t="str">
        <v>6.2.2</v>
      </c>
      <c r="E332" s="149">
        <v>0</v>
      </c>
      <c r="F332" s="149">
        <v>1</v>
      </c>
      <c r="G332" s="147" t="str">
        <v>Computador e Periféricos</v>
      </c>
      <c r="H332" s="147" t="b">
        <v>0</v>
      </c>
      <c r="I332" s="147" t="b">
        <f t="shared" si="21"/>
        <v>0</v>
      </c>
      <c r="J332" s="147" t="b">
        <f t="shared" si="22"/>
        <v>1</v>
      </c>
      <c r="K332" s="147" t="b">
        <f t="shared" si="23"/>
        <v>0</v>
      </c>
      <c r="L332" s="147">
        <v>0</v>
      </c>
      <c r="M332" s="147">
        <v>0</v>
      </c>
      <c r="N332" s="147">
        <v>0</v>
      </c>
      <c r="O332" s="147">
        <v>0</v>
      </c>
      <c r="P332" s="147">
        <v>0</v>
      </c>
      <c r="Q332" s="147">
        <v>0</v>
      </c>
      <c r="R332" s="147">
        <v>0</v>
      </c>
      <c r="S332" s="147">
        <v>0</v>
      </c>
      <c r="T332" s="147">
        <v>0</v>
      </c>
      <c r="U332" s="147">
        <v>0</v>
      </c>
      <c r="V332" s="147">
        <v>0</v>
      </c>
      <c r="W332" s="147">
        <v>0</v>
      </c>
      <c r="X332" s="147">
        <v>0</v>
      </c>
      <c r="Y332" s="147">
        <v>0</v>
      </c>
      <c r="Z332" s="147">
        <v>0</v>
      </c>
      <c r="AA332" s="147">
        <v>0</v>
      </c>
      <c r="AB332" s="147">
        <v>0</v>
      </c>
      <c r="AC332" s="147">
        <v>0</v>
      </c>
      <c r="AD332" s="147">
        <v>0</v>
      </c>
      <c r="AE332" s="147">
        <v>0</v>
      </c>
      <c r="AF332" s="147">
        <v>0</v>
      </c>
      <c r="AG332" s="147">
        <v>0</v>
      </c>
      <c r="AH332" s="147">
        <v>0</v>
      </c>
      <c r="AI332" s="147">
        <v>0</v>
      </c>
      <c r="AJ332" s="147">
        <v>0</v>
      </c>
      <c r="AK332" s="147">
        <v>0</v>
      </c>
      <c r="AL332" s="147">
        <v>0</v>
      </c>
      <c r="AM332" s="147">
        <v>0</v>
      </c>
      <c r="AN332" s="147">
        <v>0</v>
      </c>
      <c r="AO332" s="240">
        <v>0</v>
      </c>
      <c r="AP332" s="147">
        <f t="shared" si="24"/>
        <v>0</v>
      </c>
    </row>
    <row r="333" spans="2:42">
      <c r="B333" s="147" t="str">
        <v>Operação Geral</v>
      </c>
      <c r="C333" s="149" t="str">
        <v>6</v>
      </c>
      <c r="D333" s="149" t="str">
        <v>6.2.2</v>
      </c>
      <c r="E333" s="149">
        <v>0</v>
      </c>
      <c r="F333" s="149">
        <v>1</v>
      </c>
      <c r="G333" s="147" t="str">
        <v>Impressora Multifuncional - A4</v>
      </c>
      <c r="H333" s="147" t="b">
        <v>0</v>
      </c>
      <c r="I333" s="147" t="b">
        <f t="shared" si="21"/>
        <v>0</v>
      </c>
      <c r="J333" s="147" t="b">
        <f t="shared" si="22"/>
        <v>1</v>
      </c>
      <c r="K333" s="147" t="b">
        <f t="shared" si="23"/>
        <v>0</v>
      </c>
      <c r="L333" s="147">
        <v>0</v>
      </c>
      <c r="M333" s="147">
        <v>0</v>
      </c>
      <c r="N333" s="147">
        <v>0</v>
      </c>
      <c r="O333" s="147">
        <v>0</v>
      </c>
      <c r="P333" s="147">
        <v>0</v>
      </c>
      <c r="Q333" s="147">
        <v>0</v>
      </c>
      <c r="R333" s="147">
        <v>0</v>
      </c>
      <c r="S333" s="147">
        <v>0</v>
      </c>
      <c r="T333" s="147">
        <v>0</v>
      </c>
      <c r="U333" s="147">
        <v>0</v>
      </c>
      <c r="V333" s="147">
        <v>0</v>
      </c>
      <c r="W333" s="147">
        <v>0</v>
      </c>
      <c r="X333" s="147">
        <v>0</v>
      </c>
      <c r="Y333" s="147">
        <v>0</v>
      </c>
      <c r="Z333" s="147">
        <v>0</v>
      </c>
      <c r="AA333" s="147">
        <v>0</v>
      </c>
      <c r="AB333" s="147">
        <v>0</v>
      </c>
      <c r="AC333" s="147">
        <v>0</v>
      </c>
      <c r="AD333" s="147">
        <v>0</v>
      </c>
      <c r="AE333" s="147">
        <v>0</v>
      </c>
      <c r="AF333" s="147">
        <v>0</v>
      </c>
      <c r="AG333" s="147">
        <v>0</v>
      </c>
      <c r="AH333" s="147">
        <v>0</v>
      </c>
      <c r="AI333" s="147">
        <v>0</v>
      </c>
      <c r="AJ333" s="147">
        <v>0</v>
      </c>
      <c r="AK333" s="147">
        <v>0</v>
      </c>
      <c r="AL333" s="147">
        <v>0</v>
      </c>
      <c r="AM333" s="147">
        <v>0</v>
      </c>
      <c r="AN333" s="147">
        <v>0</v>
      </c>
      <c r="AO333" s="240">
        <v>0</v>
      </c>
      <c r="AP333" s="147">
        <f t="shared" si="24"/>
        <v>0</v>
      </c>
    </row>
    <row r="334" spans="2:42">
      <c r="B334" s="147" t="str">
        <v>Operação Geral</v>
      </c>
      <c r="C334" s="149" t="str">
        <v>6</v>
      </c>
      <c r="D334" s="149" t="str">
        <v>6.2.2</v>
      </c>
      <c r="E334" s="149">
        <v>0</v>
      </c>
      <c r="F334" s="149">
        <v>1</v>
      </c>
      <c r="G334" s="147" t="str">
        <v>Programas e Sistemas Operacionais</v>
      </c>
      <c r="H334" s="147" t="b">
        <v>0</v>
      </c>
      <c r="I334" s="147" t="b">
        <f t="shared" si="21"/>
        <v>0</v>
      </c>
      <c r="J334" s="147" t="b">
        <f t="shared" si="22"/>
        <v>1</v>
      </c>
      <c r="K334" s="147" t="b">
        <f t="shared" si="23"/>
        <v>0</v>
      </c>
      <c r="L334" s="147">
        <v>0</v>
      </c>
      <c r="M334" s="147">
        <v>0</v>
      </c>
      <c r="N334" s="147">
        <v>0</v>
      </c>
      <c r="O334" s="147">
        <v>0</v>
      </c>
      <c r="P334" s="147">
        <v>0</v>
      </c>
      <c r="Q334" s="147">
        <v>0</v>
      </c>
      <c r="R334" s="147">
        <v>0</v>
      </c>
      <c r="S334" s="147">
        <v>0</v>
      </c>
      <c r="T334" s="147">
        <v>0</v>
      </c>
      <c r="U334" s="147">
        <v>0</v>
      </c>
      <c r="V334" s="147">
        <v>0</v>
      </c>
      <c r="W334" s="147">
        <v>0</v>
      </c>
      <c r="X334" s="147">
        <v>0</v>
      </c>
      <c r="Y334" s="147">
        <v>0</v>
      </c>
      <c r="Z334" s="147">
        <v>0</v>
      </c>
      <c r="AA334" s="147">
        <v>0</v>
      </c>
      <c r="AB334" s="147">
        <v>0</v>
      </c>
      <c r="AC334" s="147">
        <v>0</v>
      </c>
      <c r="AD334" s="147">
        <v>0</v>
      </c>
      <c r="AE334" s="147">
        <v>0</v>
      </c>
      <c r="AF334" s="147">
        <v>0</v>
      </c>
      <c r="AG334" s="147">
        <v>0</v>
      </c>
      <c r="AH334" s="147">
        <v>0</v>
      </c>
      <c r="AI334" s="147">
        <v>0</v>
      </c>
      <c r="AJ334" s="147">
        <v>0</v>
      </c>
      <c r="AK334" s="147">
        <v>0</v>
      </c>
      <c r="AL334" s="147">
        <v>0</v>
      </c>
      <c r="AM334" s="147">
        <v>0</v>
      </c>
      <c r="AN334" s="147">
        <v>0</v>
      </c>
      <c r="AO334" s="240">
        <v>0</v>
      </c>
      <c r="AP334" s="147">
        <f t="shared" si="24"/>
        <v>0</v>
      </c>
    </row>
    <row r="335" spans="2:42">
      <c r="B335" s="147" t="str">
        <v>Operação Geral</v>
      </c>
      <c r="C335" s="149" t="str">
        <v>6</v>
      </c>
      <c r="D335" s="149" t="str">
        <v>6.2.2</v>
      </c>
      <c r="E335" s="149">
        <v>0</v>
      </c>
      <c r="F335" s="149">
        <v>1</v>
      </c>
      <c r="G335" s="147" t="str">
        <v>Sistema de Gestão da Operação - KCOR</v>
      </c>
      <c r="H335" s="147" t="b">
        <v>0</v>
      </c>
      <c r="I335" s="147" t="b">
        <f t="shared" si="21"/>
        <v>0</v>
      </c>
      <c r="J335" s="147" t="b">
        <f t="shared" si="22"/>
        <v>1</v>
      </c>
      <c r="K335" s="147" t="b">
        <f t="shared" si="23"/>
        <v>0</v>
      </c>
      <c r="L335" s="147">
        <v>0</v>
      </c>
      <c r="M335" s="147">
        <v>0</v>
      </c>
      <c r="N335" s="147">
        <v>0</v>
      </c>
      <c r="O335" s="147">
        <v>0</v>
      </c>
      <c r="P335" s="147">
        <v>0</v>
      </c>
      <c r="Q335" s="147">
        <v>0</v>
      </c>
      <c r="R335" s="147">
        <v>0</v>
      </c>
      <c r="S335" s="147">
        <v>0</v>
      </c>
      <c r="T335" s="147">
        <v>0</v>
      </c>
      <c r="U335" s="147">
        <v>0</v>
      </c>
      <c r="V335" s="147">
        <v>0</v>
      </c>
      <c r="W335" s="147">
        <v>0</v>
      </c>
      <c r="X335" s="147">
        <v>0</v>
      </c>
      <c r="Y335" s="147">
        <v>0</v>
      </c>
      <c r="Z335" s="147">
        <v>0</v>
      </c>
      <c r="AA335" s="147">
        <v>0</v>
      </c>
      <c r="AB335" s="147">
        <v>0</v>
      </c>
      <c r="AC335" s="147">
        <v>0</v>
      </c>
      <c r="AD335" s="147">
        <v>0</v>
      </c>
      <c r="AE335" s="147">
        <v>0</v>
      </c>
      <c r="AF335" s="147">
        <v>0</v>
      </c>
      <c r="AG335" s="147">
        <v>0</v>
      </c>
      <c r="AH335" s="147">
        <v>0</v>
      </c>
      <c r="AI335" s="147">
        <v>0</v>
      </c>
      <c r="AJ335" s="147">
        <v>0</v>
      </c>
      <c r="AK335" s="147">
        <v>0</v>
      </c>
      <c r="AL335" s="147">
        <v>0</v>
      </c>
      <c r="AM335" s="147">
        <v>0</v>
      </c>
      <c r="AN335" s="147">
        <v>0</v>
      </c>
      <c r="AO335" s="240">
        <v>0</v>
      </c>
      <c r="AP335" s="147">
        <f t="shared" si="24"/>
        <v>0</v>
      </c>
    </row>
    <row r="336" spans="2:42">
      <c r="B336" s="147" t="str">
        <v>Operação Geral</v>
      </c>
      <c r="C336" s="149" t="str">
        <v>6</v>
      </c>
      <c r="D336" s="149" t="str">
        <v>6.2.2</v>
      </c>
      <c r="E336" s="149">
        <v>0</v>
      </c>
      <c r="F336" s="149">
        <v>1</v>
      </c>
      <c r="G336" s="147" t="str">
        <v>SIG - Sistema de Informações Georreferenciadas</v>
      </c>
      <c r="H336" s="147" t="b">
        <v>0</v>
      </c>
      <c r="I336" s="147" t="b">
        <f t="shared" si="21"/>
        <v>1</v>
      </c>
      <c r="J336" s="147" t="b">
        <f t="shared" si="22"/>
        <v>1</v>
      </c>
      <c r="K336" s="147" t="b">
        <f t="shared" si="23"/>
        <v>0</v>
      </c>
      <c r="L336" s="147">
        <v>0</v>
      </c>
      <c r="M336" s="147">
        <v>184275.62411130866</v>
      </c>
      <c r="N336" s="147">
        <v>184275.62411130866</v>
      </c>
      <c r="O336" s="147">
        <v>184275.62411130866</v>
      </c>
      <c r="P336" s="147">
        <v>184275.62411130866</v>
      </c>
      <c r="Q336" s="147">
        <v>184275.62411130866</v>
      </c>
      <c r="R336" s="147">
        <v>184275.62411130866</v>
      </c>
      <c r="S336" s="147">
        <v>184275.62411130866</v>
      </c>
      <c r="T336" s="147">
        <v>184275.62411130866</v>
      </c>
      <c r="U336" s="147">
        <v>184275.62411130866</v>
      </c>
      <c r="V336" s="147">
        <v>184275.62411130866</v>
      </c>
      <c r="W336" s="147">
        <v>184275.62411130866</v>
      </c>
      <c r="X336" s="147">
        <v>184275.62411130866</v>
      </c>
      <c r="Y336" s="147">
        <v>184275.62411130866</v>
      </c>
      <c r="Z336" s="147">
        <v>184275.62411130866</v>
      </c>
      <c r="AA336" s="147">
        <v>184275.62411130866</v>
      </c>
      <c r="AB336" s="147">
        <v>184275.62411130866</v>
      </c>
      <c r="AC336" s="147">
        <v>184275.62411130866</v>
      </c>
      <c r="AD336" s="147">
        <v>184275.62411130866</v>
      </c>
      <c r="AE336" s="147">
        <v>184275.62411130866</v>
      </c>
      <c r="AF336" s="147">
        <v>184275.62411130866</v>
      </c>
      <c r="AG336" s="147">
        <v>184275.62411130866</v>
      </c>
      <c r="AH336" s="147">
        <v>184275.62411130866</v>
      </c>
      <c r="AI336" s="147">
        <v>184275.62411130866</v>
      </c>
      <c r="AJ336" s="147">
        <v>184275.62411130866</v>
      </c>
      <c r="AK336" s="147">
        <v>184275.62411130866</v>
      </c>
      <c r="AL336" s="147">
        <v>184275.62411130866</v>
      </c>
      <c r="AM336" s="147">
        <v>184275.62411130866</v>
      </c>
      <c r="AN336" s="147">
        <v>184275.62411130866</v>
      </c>
      <c r="AO336" s="240">
        <v>184275.62411130866</v>
      </c>
      <c r="AP336" s="147">
        <f t="shared" si="24"/>
        <v>5343993.0992279518</v>
      </c>
    </row>
    <row r="337" spans="2:42">
      <c r="B337" s="147" t="str">
        <v>Operação Geral</v>
      </c>
      <c r="C337" s="149" t="str">
        <v>6</v>
      </c>
      <c r="D337" s="149" t="str">
        <v>6.2.2</v>
      </c>
      <c r="E337" s="149">
        <v>0</v>
      </c>
      <c r="F337" s="149">
        <v>1</v>
      </c>
      <c r="G337" s="147" t="str">
        <v>AutoCAD Civil 3D Autodesk</v>
      </c>
      <c r="H337" s="147" t="b">
        <v>0</v>
      </c>
      <c r="I337" s="147" t="b">
        <f t="shared" si="21"/>
        <v>1</v>
      </c>
      <c r="J337" s="147" t="b">
        <f t="shared" si="22"/>
        <v>1</v>
      </c>
      <c r="K337" s="147" t="b">
        <f t="shared" si="23"/>
        <v>0</v>
      </c>
      <c r="L337" s="147">
        <v>0</v>
      </c>
      <c r="M337" s="147">
        <v>89563.520000000004</v>
      </c>
      <c r="N337" s="147">
        <v>89563.520000000004</v>
      </c>
      <c r="O337" s="147">
        <v>89563.520000000004</v>
      </c>
      <c r="P337" s="147">
        <v>89563.520000000004</v>
      </c>
      <c r="Q337" s="147">
        <v>44781.760000000002</v>
      </c>
      <c r="R337" s="147">
        <v>89563.520000000004</v>
      </c>
      <c r="S337" s="147">
        <v>89563.520000000004</v>
      </c>
      <c r="T337" s="147">
        <v>89563.520000000004</v>
      </c>
      <c r="U337" s="147">
        <v>89563.520000000004</v>
      </c>
      <c r="V337" s="147">
        <v>89563.520000000004</v>
      </c>
      <c r="W337" s="147">
        <v>89563.520000000004</v>
      </c>
      <c r="X337" s="147">
        <v>89563.520000000004</v>
      </c>
      <c r="Y337" s="147">
        <v>89563.520000000004</v>
      </c>
      <c r="Z337" s="147">
        <v>89563.520000000004</v>
      </c>
      <c r="AA337" s="147">
        <v>89563.520000000004</v>
      </c>
      <c r="AB337" s="147">
        <v>89563.520000000004</v>
      </c>
      <c r="AC337" s="147">
        <v>89563.520000000004</v>
      </c>
      <c r="AD337" s="147">
        <v>89563.520000000004</v>
      </c>
      <c r="AE337" s="147">
        <v>44781.760000000002</v>
      </c>
      <c r="AF337" s="147">
        <v>44781.760000000002</v>
      </c>
      <c r="AG337" s="147">
        <v>44781.760000000002</v>
      </c>
      <c r="AH337" s="147">
        <v>44781.760000000002</v>
      </c>
      <c r="AI337" s="147">
        <v>44781.760000000002</v>
      </c>
      <c r="AJ337" s="147">
        <v>44781.760000000002</v>
      </c>
      <c r="AK337" s="147">
        <v>44781.760000000002</v>
      </c>
      <c r="AL337" s="147">
        <v>44781.760000000002</v>
      </c>
      <c r="AM337" s="147">
        <v>44781.760000000002</v>
      </c>
      <c r="AN337" s="147">
        <v>44781.760000000002</v>
      </c>
      <c r="AO337" s="240">
        <v>44781.760000000002</v>
      </c>
      <c r="AP337" s="147">
        <f t="shared" si="24"/>
        <v>2059960.9600000002</v>
      </c>
    </row>
    <row r="338" spans="2:42">
      <c r="B338" s="147" t="str">
        <v>Operação Geral</v>
      </c>
      <c r="C338" s="149" t="str">
        <v>6</v>
      </c>
      <c r="D338" s="149" t="str">
        <v>6.2.2</v>
      </c>
      <c r="E338" s="149">
        <v>0</v>
      </c>
      <c r="F338" s="149">
        <v>1</v>
      </c>
      <c r="G338" s="147" t="str">
        <v>ARCGIS - Sistema de Informações Geográficas</v>
      </c>
      <c r="H338" s="147" t="b">
        <v>0</v>
      </c>
      <c r="I338" s="147" t="b">
        <f t="shared" si="21"/>
        <v>1</v>
      </c>
      <c r="J338" s="147" t="b">
        <f t="shared" si="22"/>
        <v>1</v>
      </c>
      <c r="K338" s="147" t="b">
        <f t="shared" si="23"/>
        <v>0</v>
      </c>
      <c r="L338" s="147">
        <v>0</v>
      </c>
      <c r="M338" s="147">
        <v>23927.936514118792</v>
      </c>
      <c r="N338" s="147">
        <v>23927.936514118792</v>
      </c>
      <c r="O338" s="147">
        <v>23927.936514118792</v>
      </c>
      <c r="P338" s="147">
        <v>23927.936514118792</v>
      </c>
      <c r="Q338" s="147">
        <v>23927.936514118792</v>
      </c>
      <c r="R338" s="147">
        <v>23927.936514118792</v>
      </c>
      <c r="S338" s="147">
        <v>23927.936514118792</v>
      </c>
      <c r="T338" s="147">
        <v>23927.936514118792</v>
      </c>
      <c r="U338" s="147">
        <v>23927.936514118792</v>
      </c>
      <c r="V338" s="147">
        <v>23927.936514118792</v>
      </c>
      <c r="W338" s="147">
        <v>23927.936514118792</v>
      </c>
      <c r="X338" s="147">
        <v>23927.936514118792</v>
      </c>
      <c r="Y338" s="147">
        <v>23927.936514118792</v>
      </c>
      <c r="Z338" s="147">
        <v>23927.936514118792</v>
      </c>
      <c r="AA338" s="147">
        <v>23927.936514118792</v>
      </c>
      <c r="AB338" s="147">
        <v>23927.936514118792</v>
      </c>
      <c r="AC338" s="147">
        <v>23927.936514118792</v>
      </c>
      <c r="AD338" s="147">
        <v>23927.936514118792</v>
      </c>
      <c r="AE338" s="147">
        <v>23927.936514118792</v>
      </c>
      <c r="AF338" s="147">
        <v>23927.936514118792</v>
      </c>
      <c r="AG338" s="147">
        <v>23927.936514118792</v>
      </c>
      <c r="AH338" s="147">
        <v>23927.936514118792</v>
      </c>
      <c r="AI338" s="147">
        <v>23927.936514118792</v>
      </c>
      <c r="AJ338" s="147">
        <v>23927.936514118792</v>
      </c>
      <c r="AK338" s="147">
        <v>23927.936514118792</v>
      </c>
      <c r="AL338" s="147">
        <v>23927.936514118792</v>
      </c>
      <c r="AM338" s="147">
        <v>23927.936514118792</v>
      </c>
      <c r="AN338" s="147">
        <v>23927.936514118792</v>
      </c>
      <c r="AO338" s="240">
        <v>23927.936514118792</v>
      </c>
      <c r="AP338" s="147">
        <f t="shared" si="24"/>
        <v>693910.15890944516</v>
      </c>
    </row>
    <row r="339" spans="2:42">
      <c r="B339" s="147" t="str">
        <v>Operação Geral</v>
      </c>
      <c r="C339" s="149" t="str">
        <v>6</v>
      </c>
      <c r="D339" s="149" t="str">
        <v>6.2.2</v>
      </c>
      <c r="E339" s="149">
        <v>0</v>
      </c>
      <c r="F339" s="149">
        <v>1</v>
      </c>
      <c r="G339" s="147" t="str">
        <v>Sistema de Comunicação com os Usuários</v>
      </c>
      <c r="H339" s="147" t="b">
        <v>0</v>
      </c>
      <c r="I339" s="147" t="b">
        <f t="shared" si="21"/>
        <v>1</v>
      </c>
      <c r="J339" s="147" t="b">
        <f t="shared" si="22"/>
        <v>1</v>
      </c>
      <c r="K339" s="147" t="b">
        <f t="shared" si="23"/>
        <v>0</v>
      </c>
      <c r="L339" s="147">
        <v>0</v>
      </c>
      <c r="M339" s="147">
        <v>0</v>
      </c>
      <c r="N339" s="147">
        <v>0</v>
      </c>
      <c r="O339" s="147">
        <v>0</v>
      </c>
      <c r="P339" s="147">
        <v>0</v>
      </c>
      <c r="Q339" s="147">
        <v>0</v>
      </c>
      <c r="R339" s="147">
        <v>0</v>
      </c>
      <c r="S339" s="147">
        <v>0</v>
      </c>
      <c r="T339" s="147">
        <v>0</v>
      </c>
      <c r="U339" s="147">
        <v>0</v>
      </c>
      <c r="V339" s="147">
        <v>0</v>
      </c>
      <c r="W339" s="147">
        <v>0</v>
      </c>
      <c r="X339" s="147">
        <v>0</v>
      </c>
      <c r="Y339" s="147">
        <v>0</v>
      </c>
      <c r="Z339" s="147">
        <v>0</v>
      </c>
      <c r="AA339" s="147">
        <v>0</v>
      </c>
      <c r="AB339" s="147">
        <v>0</v>
      </c>
      <c r="AC339" s="147">
        <v>0</v>
      </c>
      <c r="AD339" s="147">
        <v>0</v>
      </c>
      <c r="AE339" s="147">
        <v>0</v>
      </c>
      <c r="AF339" s="147">
        <v>0</v>
      </c>
      <c r="AG339" s="147">
        <v>0</v>
      </c>
      <c r="AH339" s="147">
        <v>0</v>
      </c>
      <c r="AI339" s="147">
        <v>0</v>
      </c>
      <c r="AJ339" s="147">
        <v>0</v>
      </c>
      <c r="AK339" s="147">
        <v>0</v>
      </c>
      <c r="AL339" s="147">
        <v>0</v>
      </c>
      <c r="AM339" s="147">
        <v>0</v>
      </c>
      <c r="AN339" s="147">
        <v>0</v>
      </c>
      <c r="AO339" s="240">
        <v>0</v>
      </c>
      <c r="AP339" s="147">
        <f t="shared" si="24"/>
        <v>0</v>
      </c>
    </row>
    <row r="340" spans="2:42">
      <c r="B340" s="147" t="str">
        <v>Operação Geral</v>
      </c>
      <c r="C340" s="149" t="str">
        <v>6</v>
      </c>
      <c r="D340" s="149" t="str">
        <v>6.2.2</v>
      </c>
      <c r="E340" s="149">
        <v>0</v>
      </c>
      <c r="F340" s="149">
        <v>1</v>
      </c>
      <c r="G340" s="147" t="str">
        <v>Sistema 0800 - CCO</v>
      </c>
      <c r="H340" s="147" t="b">
        <v>0</v>
      </c>
      <c r="I340" s="147" t="b">
        <f t="shared" si="21"/>
        <v>1</v>
      </c>
      <c r="J340" s="147" t="b">
        <f t="shared" si="22"/>
        <v>1</v>
      </c>
      <c r="K340" s="147" t="b">
        <f t="shared" si="23"/>
        <v>0</v>
      </c>
      <c r="L340" s="147">
        <v>0</v>
      </c>
      <c r="M340" s="147">
        <v>0</v>
      </c>
      <c r="N340" s="147">
        <v>0</v>
      </c>
      <c r="O340" s="147">
        <v>0</v>
      </c>
      <c r="P340" s="147">
        <v>0</v>
      </c>
      <c r="Q340" s="147">
        <v>0</v>
      </c>
      <c r="R340" s="147">
        <v>0</v>
      </c>
      <c r="S340" s="147">
        <v>0</v>
      </c>
      <c r="T340" s="147">
        <v>0</v>
      </c>
      <c r="U340" s="147">
        <v>0</v>
      </c>
      <c r="V340" s="147">
        <v>0</v>
      </c>
      <c r="W340" s="147">
        <v>0</v>
      </c>
      <c r="X340" s="147">
        <v>0</v>
      </c>
      <c r="Y340" s="147">
        <v>0</v>
      </c>
      <c r="Z340" s="147">
        <v>0</v>
      </c>
      <c r="AA340" s="147">
        <v>0</v>
      </c>
      <c r="AB340" s="147">
        <v>0</v>
      </c>
      <c r="AC340" s="147">
        <v>0</v>
      </c>
      <c r="AD340" s="147">
        <v>0</v>
      </c>
      <c r="AE340" s="147">
        <v>0</v>
      </c>
      <c r="AF340" s="147">
        <v>0</v>
      </c>
      <c r="AG340" s="147">
        <v>0</v>
      </c>
      <c r="AH340" s="147">
        <v>0</v>
      </c>
      <c r="AI340" s="147">
        <v>0</v>
      </c>
      <c r="AJ340" s="147">
        <v>0</v>
      </c>
      <c r="AK340" s="147">
        <v>0</v>
      </c>
      <c r="AL340" s="147">
        <v>0</v>
      </c>
      <c r="AM340" s="147">
        <v>0</v>
      </c>
      <c r="AN340" s="147">
        <v>0</v>
      </c>
      <c r="AO340" s="240">
        <v>0</v>
      </c>
      <c r="AP340" s="147">
        <f t="shared" si="24"/>
        <v>0</v>
      </c>
    </row>
    <row r="341" spans="2:42">
      <c r="B341" s="147" t="str">
        <v>Operação Geral</v>
      </c>
      <c r="C341" s="149" t="str">
        <v>6</v>
      </c>
      <c r="D341" s="149" t="str">
        <v>6.2.2</v>
      </c>
      <c r="E341" s="149">
        <v>0</v>
      </c>
      <c r="F341" s="149">
        <v>1</v>
      </c>
      <c r="G341" s="147" t="str">
        <v>Equipamentos de Pista</v>
      </c>
      <c r="H341" s="147" t="b">
        <v>0</v>
      </c>
      <c r="I341" s="147" t="b">
        <f t="shared" si="21"/>
        <v>0</v>
      </c>
      <c r="J341" s="147" t="b">
        <f t="shared" si="22"/>
        <v>1</v>
      </c>
      <c r="K341" s="147" t="b">
        <f t="shared" si="23"/>
        <v>0</v>
      </c>
      <c r="L341" s="147">
        <v>0</v>
      </c>
      <c r="M341" s="147">
        <v>0</v>
      </c>
      <c r="N341" s="147">
        <v>0</v>
      </c>
      <c r="O341" s="147">
        <v>0</v>
      </c>
      <c r="P341" s="147">
        <v>0</v>
      </c>
      <c r="Q341" s="147">
        <v>0</v>
      </c>
      <c r="R341" s="147">
        <v>0</v>
      </c>
      <c r="S341" s="147">
        <v>0</v>
      </c>
      <c r="T341" s="147">
        <v>0</v>
      </c>
      <c r="U341" s="147">
        <v>0</v>
      </c>
      <c r="V341" s="147">
        <v>0</v>
      </c>
      <c r="W341" s="147">
        <v>0</v>
      </c>
      <c r="X341" s="147">
        <v>0</v>
      </c>
      <c r="Y341" s="147">
        <v>0</v>
      </c>
      <c r="Z341" s="147">
        <v>0</v>
      </c>
      <c r="AA341" s="147">
        <v>0</v>
      </c>
      <c r="AB341" s="147">
        <v>0</v>
      </c>
      <c r="AC341" s="147">
        <v>0</v>
      </c>
      <c r="AD341" s="147">
        <v>0</v>
      </c>
      <c r="AE341" s="147">
        <v>0</v>
      </c>
      <c r="AF341" s="147">
        <v>0</v>
      </c>
      <c r="AG341" s="147">
        <v>0</v>
      </c>
      <c r="AH341" s="147">
        <v>0</v>
      </c>
      <c r="AI341" s="147">
        <v>0</v>
      </c>
      <c r="AJ341" s="147">
        <v>0</v>
      </c>
      <c r="AK341" s="147">
        <v>0</v>
      </c>
      <c r="AL341" s="147">
        <v>0</v>
      </c>
      <c r="AM341" s="147">
        <v>0</v>
      </c>
      <c r="AN341" s="147">
        <v>0</v>
      </c>
      <c r="AO341" s="240">
        <v>0</v>
      </c>
      <c r="AP341" s="147">
        <f t="shared" si="24"/>
        <v>0</v>
      </c>
    </row>
    <row r="342" spans="2:42">
      <c r="B342" s="147" t="str">
        <v>Operação Geral</v>
      </c>
      <c r="C342" s="149" t="str">
        <v>6</v>
      </c>
      <c r="D342" s="149" t="str">
        <v>6.2.2</v>
      </c>
      <c r="E342" s="149">
        <v>0</v>
      </c>
      <c r="F342" s="149">
        <v>1</v>
      </c>
      <c r="G342" s="147" t="str">
        <v>Rede, Sistema, Equipamentos e instalação de Fibra Óptica (72 Fibras)  -</v>
      </c>
      <c r="H342" s="147" t="b">
        <v>0</v>
      </c>
      <c r="I342" s="147" t="b">
        <f t="shared" si="21"/>
        <v>0</v>
      </c>
      <c r="J342" s="147" t="b">
        <f t="shared" si="22"/>
        <v>1</v>
      </c>
      <c r="K342" s="147" t="b">
        <f t="shared" si="23"/>
        <v>0</v>
      </c>
      <c r="L342" s="147">
        <v>0</v>
      </c>
      <c r="M342" s="147">
        <v>0</v>
      </c>
      <c r="N342" s="147">
        <v>0</v>
      </c>
      <c r="O342" s="147">
        <v>0</v>
      </c>
      <c r="P342" s="147">
        <v>0</v>
      </c>
      <c r="Q342" s="147">
        <v>0</v>
      </c>
      <c r="R342" s="147">
        <v>0</v>
      </c>
      <c r="S342" s="147">
        <v>0</v>
      </c>
      <c r="T342" s="147">
        <v>0</v>
      </c>
      <c r="U342" s="147">
        <v>0</v>
      </c>
      <c r="V342" s="147">
        <v>0</v>
      </c>
      <c r="W342" s="147">
        <v>0</v>
      </c>
      <c r="X342" s="147">
        <v>0</v>
      </c>
      <c r="Y342" s="147">
        <v>0</v>
      </c>
      <c r="Z342" s="147">
        <v>0</v>
      </c>
      <c r="AA342" s="147">
        <v>0</v>
      </c>
      <c r="AB342" s="147">
        <v>0</v>
      </c>
      <c r="AC342" s="147">
        <v>0</v>
      </c>
      <c r="AD342" s="147">
        <v>0</v>
      </c>
      <c r="AE342" s="147">
        <v>0</v>
      </c>
      <c r="AF342" s="147">
        <v>0</v>
      </c>
      <c r="AG342" s="147">
        <v>0</v>
      </c>
      <c r="AH342" s="147">
        <v>0</v>
      </c>
      <c r="AI342" s="147">
        <v>0</v>
      </c>
      <c r="AJ342" s="147">
        <v>0</v>
      </c>
      <c r="AK342" s="147">
        <v>0</v>
      </c>
      <c r="AL342" s="147">
        <v>0</v>
      </c>
      <c r="AM342" s="147">
        <v>0</v>
      </c>
      <c r="AN342" s="147">
        <v>0</v>
      </c>
      <c r="AO342" s="240">
        <v>0</v>
      </c>
      <c r="AP342" s="147">
        <f t="shared" si="24"/>
        <v>0</v>
      </c>
    </row>
    <row r="343" spans="2:42">
      <c r="B343" s="147" t="str">
        <v>Operação Geral</v>
      </c>
      <c r="C343" s="149" t="str">
        <v>6</v>
      </c>
      <c r="D343" s="149" t="str">
        <v>6.2.2</v>
      </c>
      <c r="E343" s="149">
        <v>0</v>
      </c>
      <c r="F343" s="149">
        <v>1</v>
      </c>
      <c r="G343" s="147" t="str">
        <v>Wi-Fi</v>
      </c>
      <c r="H343" s="147" t="b">
        <v>0</v>
      </c>
      <c r="I343" s="147" t="b">
        <f t="shared" si="21"/>
        <v>0</v>
      </c>
      <c r="J343" s="147" t="b">
        <f t="shared" si="22"/>
        <v>1</v>
      </c>
      <c r="K343" s="147" t="b">
        <f t="shared" si="23"/>
        <v>0</v>
      </c>
      <c r="L343" s="147">
        <v>0</v>
      </c>
      <c r="M343" s="147">
        <v>0</v>
      </c>
      <c r="N343" s="147">
        <v>0</v>
      </c>
      <c r="O343" s="147">
        <v>0</v>
      </c>
      <c r="P343" s="147">
        <v>0</v>
      </c>
      <c r="Q343" s="147">
        <v>0</v>
      </c>
      <c r="R343" s="147">
        <v>0</v>
      </c>
      <c r="S343" s="147">
        <v>0</v>
      </c>
      <c r="T343" s="147">
        <v>0</v>
      </c>
      <c r="U343" s="147">
        <v>0</v>
      </c>
      <c r="V343" s="147">
        <v>0</v>
      </c>
      <c r="W343" s="147">
        <v>0</v>
      </c>
      <c r="X343" s="147">
        <v>0</v>
      </c>
      <c r="Y343" s="147">
        <v>0</v>
      </c>
      <c r="Z343" s="147">
        <v>0</v>
      </c>
      <c r="AA343" s="147">
        <v>0</v>
      </c>
      <c r="AB343" s="147">
        <v>0</v>
      </c>
      <c r="AC343" s="147">
        <v>0</v>
      </c>
      <c r="AD343" s="147">
        <v>0</v>
      </c>
      <c r="AE343" s="147">
        <v>0</v>
      </c>
      <c r="AF343" s="147">
        <v>0</v>
      </c>
      <c r="AG343" s="147">
        <v>0</v>
      </c>
      <c r="AH343" s="147">
        <v>0</v>
      </c>
      <c r="AI343" s="147">
        <v>0</v>
      </c>
      <c r="AJ343" s="147">
        <v>0</v>
      </c>
      <c r="AK343" s="147">
        <v>0</v>
      </c>
      <c r="AL343" s="147">
        <v>0</v>
      </c>
      <c r="AM343" s="147">
        <v>0</v>
      </c>
      <c r="AN343" s="147">
        <v>0</v>
      </c>
      <c r="AO343" s="240">
        <v>0</v>
      </c>
      <c r="AP343" s="147">
        <f t="shared" si="24"/>
        <v>0</v>
      </c>
    </row>
    <row r="344" spans="2:42">
      <c r="B344" s="147" t="str">
        <v>Operação Geral</v>
      </c>
      <c r="C344" s="149" t="str">
        <v>6</v>
      </c>
      <c r="D344" s="149" t="str">
        <v>6.2.2</v>
      </c>
      <c r="E344" s="149">
        <v>0</v>
      </c>
      <c r="F344" s="149">
        <v>1</v>
      </c>
      <c r="G344" s="147" t="str">
        <v>Call Box</v>
      </c>
      <c r="H344" s="147" t="b">
        <v>0</v>
      </c>
      <c r="I344" s="147" t="b">
        <f t="shared" si="21"/>
        <v>0</v>
      </c>
      <c r="J344" s="147" t="b">
        <f t="shared" si="22"/>
        <v>1</v>
      </c>
      <c r="K344" s="147" t="b">
        <f t="shared" si="23"/>
        <v>0</v>
      </c>
      <c r="L344" s="147">
        <v>0</v>
      </c>
      <c r="M344" s="147">
        <v>0</v>
      </c>
      <c r="N344" s="147">
        <v>0</v>
      </c>
      <c r="O344" s="147">
        <v>0</v>
      </c>
      <c r="P344" s="147">
        <v>0</v>
      </c>
      <c r="Q344" s="147">
        <v>0</v>
      </c>
      <c r="R344" s="147">
        <v>0</v>
      </c>
      <c r="S344" s="147">
        <v>0</v>
      </c>
      <c r="T344" s="147">
        <v>0</v>
      </c>
      <c r="U344" s="147">
        <v>0</v>
      </c>
      <c r="V344" s="147">
        <v>0</v>
      </c>
      <c r="W344" s="147">
        <v>0</v>
      </c>
      <c r="X344" s="147">
        <v>0</v>
      </c>
      <c r="Y344" s="147">
        <v>0</v>
      </c>
      <c r="Z344" s="147">
        <v>0</v>
      </c>
      <c r="AA344" s="147">
        <v>0</v>
      </c>
      <c r="AB344" s="147">
        <v>0</v>
      </c>
      <c r="AC344" s="147">
        <v>0</v>
      </c>
      <c r="AD344" s="147">
        <v>0</v>
      </c>
      <c r="AE344" s="147">
        <v>0</v>
      </c>
      <c r="AF344" s="147">
        <v>0</v>
      </c>
      <c r="AG344" s="147">
        <v>0</v>
      </c>
      <c r="AH344" s="147">
        <v>0</v>
      </c>
      <c r="AI344" s="147">
        <v>0</v>
      </c>
      <c r="AJ344" s="147">
        <v>0</v>
      </c>
      <c r="AK344" s="147">
        <v>0</v>
      </c>
      <c r="AL344" s="147">
        <v>0</v>
      </c>
      <c r="AM344" s="147">
        <v>0</v>
      </c>
      <c r="AN344" s="147">
        <v>0</v>
      </c>
      <c r="AO344" s="240">
        <v>0</v>
      </c>
      <c r="AP344" s="147">
        <f t="shared" si="24"/>
        <v>0</v>
      </c>
    </row>
    <row r="345" spans="2:42">
      <c r="B345" s="147" t="str">
        <v>Operação Geral</v>
      </c>
      <c r="C345" s="149" t="str">
        <v>6</v>
      </c>
      <c r="D345" s="149" t="str">
        <v>6.2.2</v>
      </c>
      <c r="E345" s="149">
        <v>0</v>
      </c>
      <c r="F345" s="149">
        <v>1</v>
      </c>
      <c r="G345" s="147" t="str">
        <v>Sistema de Monitoração de Tráfego</v>
      </c>
      <c r="H345" s="147" t="b">
        <v>0</v>
      </c>
      <c r="I345" s="147" t="b">
        <f t="shared" si="21"/>
        <v>0</v>
      </c>
      <c r="J345" s="147" t="b">
        <f t="shared" si="22"/>
        <v>1</v>
      </c>
      <c r="K345" s="147" t="b">
        <f t="shared" si="23"/>
        <v>0</v>
      </c>
      <c r="L345" s="147">
        <v>0</v>
      </c>
      <c r="M345" s="147">
        <v>0</v>
      </c>
      <c r="N345" s="147">
        <v>0</v>
      </c>
      <c r="O345" s="147">
        <v>0</v>
      </c>
      <c r="P345" s="147">
        <v>0</v>
      </c>
      <c r="Q345" s="147">
        <v>0</v>
      </c>
      <c r="R345" s="147">
        <v>0</v>
      </c>
      <c r="S345" s="147">
        <v>0</v>
      </c>
      <c r="T345" s="147">
        <v>0</v>
      </c>
      <c r="U345" s="147">
        <v>0</v>
      </c>
      <c r="V345" s="147">
        <v>0</v>
      </c>
      <c r="W345" s="147">
        <v>0</v>
      </c>
      <c r="X345" s="147">
        <v>0</v>
      </c>
      <c r="Y345" s="147">
        <v>0</v>
      </c>
      <c r="Z345" s="147">
        <v>0</v>
      </c>
      <c r="AA345" s="147">
        <v>0</v>
      </c>
      <c r="AB345" s="147">
        <v>0</v>
      </c>
      <c r="AC345" s="147">
        <v>0</v>
      </c>
      <c r="AD345" s="147">
        <v>0</v>
      </c>
      <c r="AE345" s="147">
        <v>0</v>
      </c>
      <c r="AF345" s="147">
        <v>0</v>
      </c>
      <c r="AG345" s="147">
        <v>0</v>
      </c>
      <c r="AH345" s="147">
        <v>0</v>
      </c>
      <c r="AI345" s="147">
        <v>0</v>
      </c>
      <c r="AJ345" s="147">
        <v>0</v>
      </c>
      <c r="AK345" s="147">
        <v>0</v>
      </c>
      <c r="AL345" s="147">
        <v>0</v>
      </c>
      <c r="AM345" s="147">
        <v>0</v>
      </c>
      <c r="AN345" s="147">
        <v>0</v>
      </c>
      <c r="AO345" s="240">
        <v>0</v>
      </c>
      <c r="AP345" s="147">
        <f t="shared" si="24"/>
        <v>0</v>
      </c>
    </row>
    <row r="346" spans="2:42">
      <c r="B346" s="147" t="str">
        <v>Operação Geral</v>
      </c>
      <c r="C346" s="149" t="str">
        <v>6</v>
      </c>
      <c r="D346" s="149" t="str">
        <v>6.2.2</v>
      </c>
      <c r="E346" s="149">
        <v>0</v>
      </c>
      <c r="F346" s="149">
        <v>1</v>
      </c>
      <c r="G346" s="147" t="str">
        <v>Equipamentos de Detecção e Sensoriamento de Pista</v>
      </c>
      <c r="H346" s="147" t="b">
        <v>0</v>
      </c>
      <c r="I346" s="147" t="b">
        <f t="shared" si="21"/>
        <v>0</v>
      </c>
      <c r="J346" s="147" t="b">
        <f t="shared" si="22"/>
        <v>1</v>
      </c>
      <c r="K346" s="147" t="b">
        <f t="shared" si="23"/>
        <v>0</v>
      </c>
      <c r="L346" s="147">
        <v>0</v>
      </c>
      <c r="M346" s="147">
        <v>0</v>
      </c>
      <c r="N346" s="147">
        <v>0</v>
      </c>
      <c r="O346" s="147">
        <v>0</v>
      </c>
      <c r="P346" s="147">
        <v>0</v>
      </c>
      <c r="Q346" s="147">
        <v>0</v>
      </c>
      <c r="R346" s="147">
        <v>0</v>
      </c>
      <c r="S346" s="147">
        <v>0</v>
      </c>
      <c r="T346" s="147">
        <v>0</v>
      </c>
      <c r="U346" s="147">
        <v>0</v>
      </c>
      <c r="V346" s="147">
        <v>0</v>
      </c>
      <c r="W346" s="147">
        <v>0</v>
      </c>
      <c r="X346" s="147">
        <v>0</v>
      </c>
      <c r="Y346" s="147">
        <v>0</v>
      </c>
      <c r="Z346" s="147">
        <v>0</v>
      </c>
      <c r="AA346" s="147">
        <v>0</v>
      </c>
      <c r="AB346" s="147">
        <v>0</v>
      </c>
      <c r="AC346" s="147">
        <v>0</v>
      </c>
      <c r="AD346" s="147">
        <v>0</v>
      </c>
      <c r="AE346" s="147">
        <v>0</v>
      </c>
      <c r="AF346" s="147">
        <v>0</v>
      </c>
      <c r="AG346" s="147">
        <v>0</v>
      </c>
      <c r="AH346" s="147">
        <v>0</v>
      </c>
      <c r="AI346" s="147">
        <v>0</v>
      </c>
      <c r="AJ346" s="147">
        <v>0</v>
      </c>
      <c r="AK346" s="147">
        <v>0</v>
      </c>
      <c r="AL346" s="147">
        <v>0</v>
      </c>
      <c r="AM346" s="147">
        <v>0</v>
      </c>
      <c r="AN346" s="147">
        <v>0</v>
      </c>
      <c r="AO346" s="240">
        <v>0</v>
      </c>
      <c r="AP346" s="147">
        <f t="shared" si="24"/>
        <v>0</v>
      </c>
    </row>
    <row r="347" spans="2:42">
      <c r="B347" s="147" t="str">
        <v>Operação Geral</v>
      </c>
      <c r="C347" s="149" t="str">
        <v>6</v>
      </c>
      <c r="D347" s="149" t="str">
        <v>6.2.2</v>
      </c>
      <c r="E347" s="149">
        <v>0</v>
      </c>
      <c r="F347" s="149">
        <v>1</v>
      </c>
      <c r="G347" s="147" t="str">
        <v>Sistema de Sensoriamento de Tráfego</v>
      </c>
      <c r="H347" s="147" t="b">
        <v>0</v>
      </c>
      <c r="I347" s="147" t="b">
        <f t="shared" si="21"/>
        <v>0</v>
      </c>
      <c r="J347" s="147" t="b">
        <f t="shared" si="22"/>
        <v>1</v>
      </c>
      <c r="K347" s="147" t="b">
        <f t="shared" si="23"/>
        <v>0</v>
      </c>
      <c r="L347" s="147">
        <v>0</v>
      </c>
      <c r="M347" s="147">
        <v>0</v>
      </c>
      <c r="N347" s="147">
        <v>0</v>
      </c>
      <c r="O347" s="147">
        <v>0</v>
      </c>
      <c r="P347" s="147">
        <v>0</v>
      </c>
      <c r="Q347" s="147">
        <v>0</v>
      </c>
      <c r="R347" s="147">
        <v>0</v>
      </c>
      <c r="S347" s="147">
        <v>0</v>
      </c>
      <c r="T347" s="147">
        <v>0</v>
      </c>
      <c r="U347" s="147">
        <v>0</v>
      </c>
      <c r="V347" s="147">
        <v>0</v>
      </c>
      <c r="W347" s="147">
        <v>0</v>
      </c>
      <c r="X347" s="147">
        <v>0</v>
      </c>
      <c r="Y347" s="147">
        <v>0</v>
      </c>
      <c r="Z347" s="147">
        <v>0</v>
      </c>
      <c r="AA347" s="147">
        <v>0</v>
      </c>
      <c r="AB347" s="147">
        <v>2968301.5950919311</v>
      </c>
      <c r="AC347" s="147">
        <v>0</v>
      </c>
      <c r="AD347" s="147">
        <v>0</v>
      </c>
      <c r="AE347" s="147">
        <v>0</v>
      </c>
      <c r="AF347" s="147">
        <v>0</v>
      </c>
      <c r="AG347" s="147">
        <v>0</v>
      </c>
      <c r="AH347" s="147">
        <v>0</v>
      </c>
      <c r="AI347" s="147">
        <v>0</v>
      </c>
      <c r="AJ347" s="147">
        <v>0</v>
      </c>
      <c r="AK347" s="147">
        <v>0</v>
      </c>
      <c r="AL347" s="147">
        <v>0</v>
      </c>
      <c r="AM347" s="147">
        <v>0</v>
      </c>
      <c r="AN347" s="147">
        <v>0</v>
      </c>
      <c r="AO347" s="240">
        <v>0</v>
      </c>
      <c r="AP347" s="147">
        <f t="shared" si="24"/>
        <v>2968301.5950919311</v>
      </c>
    </row>
    <row r="348" spans="2:42">
      <c r="B348" s="147" t="str">
        <v>Operação Geral</v>
      </c>
      <c r="C348" s="149" t="str">
        <v>6</v>
      </c>
      <c r="D348" s="149" t="str">
        <v>6.2.2</v>
      </c>
      <c r="E348" s="149">
        <v>0</v>
      </c>
      <c r="F348" s="149">
        <v>1</v>
      </c>
      <c r="G348" s="147" t="str">
        <v>Sensoriamento Automático de Tráfego (c/ pesagem)</v>
      </c>
      <c r="H348" s="147" t="b">
        <v>0</v>
      </c>
      <c r="I348" s="147" t="b">
        <f t="shared" si="21"/>
        <v>0</v>
      </c>
      <c r="J348" s="147" t="b">
        <f t="shared" si="22"/>
        <v>1</v>
      </c>
      <c r="K348" s="147" t="b">
        <f t="shared" si="23"/>
        <v>0</v>
      </c>
      <c r="L348" s="147">
        <v>0</v>
      </c>
      <c r="M348" s="147">
        <v>0</v>
      </c>
      <c r="N348" s="147">
        <v>0</v>
      </c>
      <c r="O348" s="147">
        <v>0</v>
      </c>
      <c r="P348" s="147">
        <v>0</v>
      </c>
      <c r="Q348" s="147">
        <v>0</v>
      </c>
      <c r="R348" s="147">
        <v>0</v>
      </c>
      <c r="S348" s="147">
        <v>0</v>
      </c>
      <c r="T348" s="147">
        <v>0</v>
      </c>
      <c r="U348" s="147">
        <v>0</v>
      </c>
      <c r="V348" s="147">
        <v>0</v>
      </c>
      <c r="W348" s="147">
        <v>0</v>
      </c>
      <c r="X348" s="147">
        <v>0</v>
      </c>
      <c r="Y348" s="147">
        <v>0</v>
      </c>
      <c r="Z348" s="147">
        <v>0</v>
      </c>
      <c r="AA348" s="147">
        <v>0</v>
      </c>
      <c r="AB348" s="147">
        <v>172425.71238466175</v>
      </c>
      <c r="AC348" s="147">
        <v>0</v>
      </c>
      <c r="AD348" s="147">
        <v>0</v>
      </c>
      <c r="AE348" s="147">
        <v>0</v>
      </c>
      <c r="AF348" s="147">
        <v>0</v>
      </c>
      <c r="AG348" s="147">
        <v>0</v>
      </c>
      <c r="AH348" s="147">
        <v>0</v>
      </c>
      <c r="AI348" s="147">
        <v>0</v>
      </c>
      <c r="AJ348" s="147">
        <v>0</v>
      </c>
      <c r="AK348" s="147">
        <v>0</v>
      </c>
      <c r="AL348" s="147">
        <v>0</v>
      </c>
      <c r="AM348" s="147">
        <v>0</v>
      </c>
      <c r="AN348" s="147">
        <v>0</v>
      </c>
      <c r="AO348" s="240">
        <v>0</v>
      </c>
      <c r="AP348" s="147">
        <f t="shared" si="24"/>
        <v>172425.71238466175</v>
      </c>
    </row>
    <row r="349" spans="2:42">
      <c r="B349" s="147" t="str">
        <v>Operação Geral</v>
      </c>
      <c r="C349" s="149" t="str">
        <v>6</v>
      </c>
      <c r="D349" s="149" t="str">
        <v>6.2.2</v>
      </c>
      <c r="E349" s="149">
        <v>0</v>
      </c>
      <c r="F349" s="149">
        <v>1</v>
      </c>
      <c r="G349" s="147" t="str">
        <v>Detecção de Altura</v>
      </c>
      <c r="H349" s="147" t="b">
        <v>0</v>
      </c>
      <c r="I349" s="147" t="b">
        <f t="shared" si="21"/>
        <v>0</v>
      </c>
      <c r="J349" s="147" t="b">
        <f t="shared" si="22"/>
        <v>1</v>
      </c>
      <c r="K349" s="147" t="b">
        <f t="shared" si="23"/>
        <v>0</v>
      </c>
      <c r="L349" s="147">
        <v>0</v>
      </c>
      <c r="M349" s="147">
        <v>0</v>
      </c>
      <c r="N349" s="147">
        <v>0</v>
      </c>
      <c r="O349" s="147">
        <v>0</v>
      </c>
      <c r="P349" s="147">
        <v>0</v>
      </c>
      <c r="Q349" s="147">
        <v>0</v>
      </c>
      <c r="R349" s="147">
        <v>0</v>
      </c>
      <c r="S349" s="147">
        <v>0</v>
      </c>
      <c r="T349" s="147">
        <v>0</v>
      </c>
      <c r="U349" s="147">
        <v>0</v>
      </c>
      <c r="V349" s="147">
        <v>0</v>
      </c>
      <c r="W349" s="147">
        <v>0</v>
      </c>
      <c r="X349" s="147">
        <v>0</v>
      </c>
      <c r="Y349" s="147">
        <v>0</v>
      </c>
      <c r="Z349" s="147">
        <v>0</v>
      </c>
      <c r="AA349" s="147">
        <v>0</v>
      </c>
      <c r="AB349" s="147">
        <v>1213932.3398348638</v>
      </c>
      <c r="AC349" s="147">
        <v>0</v>
      </c>
      <c r="AD349" s="147">
        <v>0</v>
      </c>
      <c r="AE349" s="147">
        <v>0</v>
      </c>
      <c r="AF349" s="147">
        <v>0</v>
      </c>
      <c r="AG349" s="147">
        <v>0</v>
      </c>
      <c r="AH349" s="147">
        <v>0</v>
      </c>
      <c r="AI349" s="147">
        <v>0</v>
      </c>
      <c r="AJ349" s="147">
        <v>0</v>
      </c>
      <c r="AK349" s="147">
        <v>0</v>
      </c>
      <c r="AL349" s="147">
        <v>0</v>
      </c>
      <c r="AM349" s="147">
        <v>0</v>
      </c>
      <c r="AN349" s="147">
        <v>0</v>
      </c>
      <c r="AO349" s="240">
        <v>0</v>
      </c>
      <c r="AP349" s="147">
        <f t="shared" si="24"/>
        <v>1213932.3398348638</v>
      </c>
    </row>
    <row r="350" spans="2:42">
      <c r="B350" s="147" t="str">
        <v>Operação Geral</v>
      </c>
      <c r="C350" s="149" t="str">
        <v>6</v>
      </c>
      <c r="D350" s="149" t="str">
        <v>6.2.2</v>
      </c>
      <c r="E350" s="149">
        <v>0</v>
      </c>
      <c r="F350" s="149">
        <v>1</v>
      </c>
      <c r="G350" s="147" t="str">
        <v>Sistema de Circuito fechado de TV</v>
      </c>
      <c r="H350" s="147" t="b">
        <v>0</v>
      </c>
      <c r="I350" s="147" t="b">
        <f t="shared" si="21"/>
        <v>0</v>
      </c>
      <c r="J350" s="147" t="b">
        <f t="shared" si="22"/>
        <v>1</v>
      </c>
      <c r="K350" s="147" t="b">
        <f t="shared" si="23"/>
        <v>0</v>
      </c>
      <c r="L350" s="147">
        <v>0</v>
      </c>
      <c r="M350" s="147">
        <v>0</v>
      </c>
      <c r="N350" s="147">
        <v>0</v>
      </c>
      <c r="O350" s="147">
        <v>0</v>
      </c>
      <c r="P350" s="147">
        <v>0</v>
      </c>
      <c r="Q350" s="147">
        <v>0</v>
      </c>
      <c r="R350" s="147">
        <v>0</v>
      </c>
      <c r="S350" s="147">
        <v>0</v>
      </c>
      <c r="T350" s="147">
        <v>0</v>
      </c>
      <c r="U350" s="147">
        <v>0</v>
      </c>
      <c r="V350" s="147">
        <v>0</v>
      </c>
      <c r="W350" s="147">
        <v>0</v>
      </c>
      <c r="X350" s="147">
        <v>0</v>
      </c>
      <c r="Y350" s="147">
        <v>0</v>
      </c>
      <c r="Z350" s="147">
        <v>0</v>
      </c>
      <c r="AA350" s="147">
        <v>0</v>
      </c>
      <c r="AB350" s="147">
        <v>0</v>
      </c>
      <c r="AC350" s="147">
        <v>0</v>
      </c>
      <c r="AD350" s="147">
        <v>0</v>
      </c>
      <c r="AE350" s="147">
        <v>0</v>
      </c>
      <c r="AF350" s="147">
        <v>0</v>
      </c>
      <c r="AG350" s="147">
        <v>0</v>
      </c>
      <c r="AH350" s="147">
        <v>0</v>
      </c>
      <c r="AI350" s="147">
        <v>0</v>
      </c>
      <c r="AJ350" s="147">
        <v>0</v>
      </c>
      <c r="AK350" s="147">
        <v>0</v>
      </c>
      <c r="AL350" s="147">
        <v>0</v>
      </c>
      <c r="AM350" s="147">
        <v>0</v>
      </c>
      <c r="AN350" s="147">
        <v>0</v>
      </c>
      <c r="AO350" s="240">
        <v>0</v>
      </c>
      <c r="AP350" s="147">
        <f t="shared" si="24"/>
        <v>0</v>
      </c>
    </row>
    <row r="351" spans="2:42">
      <c r="B351" s="147" t="str">
        <v>Operação Geral</v>
      </c>
      <c r="C351" s="149" t="str">
        <v>6</v>
      </c>
      <c r="D351" s="149" t="str">
        <v>6.2.2</v>
      </c>
      <c r="E351" s="149">
        <v>1</v>
      </c>
      <c r="F351" s="149">
        <v>1</v>
      </c>
      <c r="G351" s="147" t="str">
        <v>Sistema Completo - CFTV (Equipamentos, instalação e monitoramento)</v>
      </c>
      <c r="H351" s="147" t="b">
        <v>0</v>
      </c>
      <c r="I351" s="147" t="b">
        <f t="shared" si="21"/>
        <v>0</v>
      </c>
      <c r="J351" s="147" t="b">
        <f t="shared" si="22"/>
        <v>1</v>
      </c>
      <c r="K351" s="147" t="b">
        <f t="shared" si="23"/>
        <v>0</v>
      </c>
      <c r="L351" s="147">
        <v>0</v>
      </c>
      <c r="M351" s="147">
        <v>0</v>
      </c>
      <c r="N351" s="147">
        <v>0</v>
      </c>
      <c r="O351" s="147">
        <v>0</v>
      </c>
      <c r="P351" s="147">
        <v>0</v>
      </c>
      <c r="Q351" s="147">
        <v>0</v>
      </c>
      <c r="R351" s="147">
        <v>0</v>
      </c>
      <c r="S351" s="147">
        <v>0</v>
      </c>
      <c r="T351" s="147">
        <v>0</v>
      </c>
      <c r="U351" s="147">
        <v>0</v>
      </c>
      <c r="V351" s="147">
        <v>0</v>
      </c>
      <c r="W351" s="147">
        <v>0</v>
      </c>
      <c r="X351" s="147">
        <v>0</v>
      </c>
      <c r="Y351" s="147">
        <v>0</v>
      </c>
      <c r="Z351" s="147">
        <v>0</v>
      </c>
      <c r="AA351" s="147">
        <v>0</v>
      </c>
      <c r="AB351" s="147">
        <v>0</v>
      </c>
      <c r="AC351" s="147">
        <v>0</v>
      </c>
      <c r="AD351" s="147">
        <v>0</v>
      </c>
      <c r="AE351" s="147">
        <v>0</v>
      </c>
      <c r="AF351" s="147">
        <v>0</v>
      </c>
      <c r="AG351" s="147">
        <v>0</v>
      </c>
      <c r="AH351" s="147">
        <v>0</v>
      </c>
      <c r="AI351" s="147">
        <v>0</v>
      </c>
      <c r="AJ351" s="147">
        <v>0</v>
      </c>
      <c r="AK351" s="147">
        <v>0</v>
      </c>
      <c r="AL351" s="147">
        <v>0</v>
      </c>
      <c r="AM351" s="147">
        <v>0</v>
      </c>
      <c r="AN351" s="147">
        <v>0</v>
      </c>
      <c r="AO351" s="240">
        <v>0</v>
      </c>
      <c r="AP351" s="147">
        <f t="shared" si="24"/>
        <v>0</v>
      </c>
    </row>
    <row r="352" spans="2:42">
      <c r="B352" s="147" t="str">
        <v>Operação Geral</v>
      </c>
      <c r="C352" s="149" t="str">
        <v>6</v>
      </c>
      <c r="D352" s="149" t="str">
        <v>6.2.2</v>
      </c>
      <c r="E352" s="149">
        <v>1</v>
      </c>
      <c r="F352" s="149">
        <v>1</v>
      </c>
      <c r="G352" s="147" t="str">
        <v>Câmeras - CFTV (Pista)</v>
      </c>
      <c r="H352" s="147" t="b">
        <v>0</v>
      </c>
      <c r="I352" s="147" t="b">
        <f t="shared" si="21"/>
        <v>0</v>
      </c>
      <c r="J352" s="147" t="b">
        <f t="shared" si="22"/>
        <v>1</v>
      </c>
      <c r="K352" s="147" t="b">
        <f t="shared" si="23"/>
        <v>0</v>
      </c>
      <c r="L352" s="147">
        <v>0</v>
      </c>
      <c r="M352" s="147">
        <v>0</v>
      </c>
      <c r="N352" s="147">
        <v>0</v>
      </c>
      <c r="O352" s="147">
        <v>0</v>
      </c>
      <c r="P352" s="147">
        <v>0</v>
      </c>
      <c r="Q352" s="147">
        <v>0</v>
      </c>
      <c r="R352" s="147">
        <v>0</v>
      </c>
      <c r="S352" s="147">
        <v>0</v>
      </c>
      <c r="T352" s="147">
        <v>0</v>
      </c>
      <c r="U352" s="147">
        <v>0</v>
      </c>
      <c r="V352" s="147">
        <v>0</v>
      </c>
      <c r="W352" s="147">
        <v>0</v>
      </c>
      <c r="X352" s="147">
        <v>0</v>
      </c>
      <c r="Y352" s="147">
        <v>0</v>
      </c>
      <c r="Z352" s="147">
        <v>0</v>
      </c>
      <c r="AA352" s="147">
        <v>0</v>
      </c>
      <c r="AB352" s="147">
        <v>0</v>
      </c>
      <c r="AC352" s="147">
        <v>0</v>
      </c>
      <c r="AD352" s="147">
        <v>0</v>
      </c>
      <c r="AE352" s="147">
        <v>0</v>
      </c>
      <c r="AF352" s="147">
        <v>0</v>
      </c>
      <c r="AG352" s="147">
        <v>0</v>
      </c>
      <c r="AH352" s="147">
        <v>0</v>
      </c>
      <c r="AI352" s="147">
        <v>0</v>
      </c>
      <c r="AJ352" s="147">
        <v>0</v>
      </c>
      <c r="AK352" s="147">
        <v>0</v>
      </c>
      <c r="AL352" s="147">
        <v>0</v>
      </c>
      <c r="AM352" s="147">
        <v>0</v>
      </c>
      <c r="AN352" s="147">
        <v>0</v>
      </c>
      <c r="AO352" s="240">
        <v>0</v>
      </c>
      <c r="AP352" s="147">
        <f t="shared" si="24"/>
        <v>0</v>
      </c>
    </row>
    <row r="353" spans="2:42">
      <c r="B353" s="147" t="str">
        <v>Operação Geral</v>
      </c>
      <c r="C353" s="149" t="str">
        <v>6</v>
      </c>
      <c r="D353" s="149" t="str">
        <v>6.2.2</v>
      </c>
      <c r="E353" s="149">
        <v>1</v>
      </c>
      <c r="F353" s="149">
        <v>1</v>
      </c>
      <c r="G353" s="147" t="str">
        <v>Câmeras - CFTV - Edificações</v>
      </c>
      <c r="H353" s="147" t="b">
        <v>0</v>
      </c>
      <c r="I353" s="147" t="b">
        <f t="shared" si="21"/>
        <v>0</v>
      </c>
      <c r="J353" s="147" t="b">
        <f t="shared" si="22"/>
        <v>1</v>
      </c>
      <c r="K353" s="147" t="b">
        <f t="shared" si="23"/>
        <v>0</v>
      </c>
      <c r="L353" s="147">
        <v>0</v>
      </c>
      <c r="M353" s="147">
        <v>0</v>
      </c>
      <c r="N353" s="147">
        <v>0</v>
      </c>
      <c r="O353" s="147">
        <v>0</v>
      </c>
      <c r="P353" s="147">
        <v>0</v>
      </c>
      <c r="Q353" s="147">
        <v>0</v>
      </c>
      <c r="R353" s="147">
        <v>0</v>
      </c>
      <c r="S353" s="147">
        <v>0</v>
      </c>
      <c r="T353" s="147">
        <v>0</v>
      </c>
      <c r="U353" s="147">
        <v>0</v>
      </c>
      <c r="V353" s="147">
        <v>0</v>
      </c>
      <c r="W353" s="147">
        <v>0</v>
      </c>
      <c r="X353" s="147">
        <v>0</v>
      </c>
      <c r="Y353" s="147">
        <v>0</v>
      </c>
      <c r="Z353" s="147">
        <v>0</v>
      </c>
      <c r="AA353" s="147">
        <v>0</v>
      </c>
      <c r="AB353" s="147">
        <v>0</v>
      </c>
      <c r="AC353" s="147">
        <v>0</v>
      </c>
      <c r="AD353" s="147">
        <v>0</v>
      </c>
      <c r="AE353" s="147">
        <v>0</v>
      </c>
      <c r="AF353" s="147">
        <v>0</v>
      </c>
      <c r="AG353" s="147">
        <v>0</v>
      </c>
      <c r="AH353" s="147">
        <v>0</v>
      </c>
      <c r="AI353" s="147">
        <v>0</v>
      </c>
      <c r="AJ353" s="147">
        <v>0</v>
      </c>
      <c r="AK353" s="147">
        <v>0</v>
      </c>
      <c r="AL353" s="147">
        <v>0</v>
      </c>
      <c r="AM353" s="147">
        <v>0</v>
      </c>
      <c r="AN353" s="147">
        <v>0</v>
      </c>
      <c r="AO353" s="240">
        <v>0</v>
      </c>
      <c r="AP353" s="147">
        <f t="shared" si="24"/>
        <v>0</v>
      </c>
    </row>
    <row r="354" spans="2:42">
      <c r="B354" s="147" t="str">
        <v>Operação Geral</v>
      </c>
      <c r="C354" s="149" t="str">
        <v>6</v>
      </c>
      <c r="D354" s="149" t="str">
        <v>6.2.2</v>
      </c>
      <c r="E354" s="149">
        <v>1</v>
      </c>
      <c r="F354" s="149">
        <v>1</v>
      </c>
      <c r="G354" s="147" t="str">
        <v>Câmeras - CFTV - Pista de pedágio</v>
      </c>
      <c r="H354" s="147" t="b">
        <v>0</v>
      </c>
      <c r="I354" s="147" t="b">
        <f t="shared" si="21"/>
        <v>0</v>
      </c>
      <c r="J354" s="147" t="b">
        <f t="shared" si="22"/>
        <v>1</v>
      </c>
      <c r="K354" s="147" t="b">
        <f t="shared" si="23"/>
        <v>0</v>
      </c>
      <c r="L354" s="147">
        <v>0</v>
      </c>
      <c r="M354" s="147">
        <v>0</v>
      </c>
      <c r="N354" s="147">
        <v>0</v>
      </c>
      <c r="O354" s="147">
        <v>0</v>
      </c>
      <c r="P354" s="147">
        <v>0</v>
      </c>
      <c r="Q354" s="147">
        <v>0</v>
      </c>
      <c r="R354" s="147">
        <v>0</v>
      </c>
      <c r="S354" s="147">
        <v>0</v>
      </c>
      <c r="T354" s="147">
        <v>0</v>
      </c>
      <c r="U354" s="147">
        <v>0</v>
      </c>
      <c r="V354" s="147">
        <v>0</v>
      </c>
      <c r="W354" s="147">
        <v>0</v>
      </c>
      <c r="X354" s="147">
        <v>0</v>
      </c>
      <c r="Y354" s="147">
        <v>0</v>
      </c>
      <c r="Z354" s="147">
        <v>0</v>
      </c>
      <c r="AA354" s="147">
        <v>0</v>
      </c>
      <c r="AB354" s="147">
        <v>0</v>
      </c>
      <c r="AC354" s="147">
        <v>0</v>
      </c>
      <c r="AD354" s="147">
        <v>0</v>
      </c>
      <c r="AE354" s="147">
        <v>0</v>
      </c>
      <c r="AF354" s="147">
        <v>0</v>
      </c>
      <c r="AG354" s="147">
        <v>0</v>
      </c>
      <c r="AH354" s="147">
        <v>0</v>
      </c>
      <c r="AI354" s="147">
        <v>0</v>
      </c>
      <c r="AJ354" s="147">
        <v>0</v>
      </c>
      <c r="AK354" s="147">
        <v>0</v>
      </c>
      <c r="AL354" s="147">
        <v>0</v>
      </c>
      <c r="AM354" s="147">
        <v>0</v>
      </c>
      <c r="AN354" s="147">
        <v>0</v>
      </c>
      <c r="AO354" s="240">
        <v>0</v>
      </c>
      <c r="AP354" s="147">
        <f t="shared" si="24"/>
        <v>0</v>
      </c>
    </row>
    <row r="355" spans="2:42">
      <c r="B355" s="147" t="str">
        <v>Operação Geral</v>
      </c>
      <c r="C355" s="149" t="str">
        <v>6</v>
      </c>
      <c r="D355" s="149" t="str">
        <v>6.2.2</v>
      </c>
      <c r="E355" s="149">
        <v>1</v>
      </c>
      <c r="F355" s="149">
        <v>1</v>
      </c>
      <c r="G355" s="147" t="str">
        <v>Câmeras - Cabines de Pedágio</v>
      </c>
      <c r="H355" s="147" t="b">
        <v>0</v>
      </c>
      <c r="I355" s="147" t="b">
        <f t="shared" si="21"/>
        <v>0</v>
      </c>
      <c r="J355" s="147" t="b">
        <f t="shared" si="22"/>
        <v>1</v>
      </c>
      <c r="K355" s="147" t="b">
        <f t="shared" si="23"/>
        <v>0</v>
      </c>
      <c r="L355" s="147">
        <v>0</v>
      </c>
      <c r="M355" s="147">
        <v>0</v>
      </c>
      <c r="N355" s="147">
        <v>0</v>
      </c>
      <c r="O355" s="147">
        <v>0</v>
      </c>
      <c r="P355" s="147">
        <v>0</v>
      </c>
      <c r="Q355" s="147">
        <v>0</v>
      </c>
      <c r="R355" s="147">
        <v>0</v>
      </c>
      <c r="S355" s="147">
        <v>0</v>
      </c>
      <c r="T355" s="147">
        <v>0</v>
      </c>
      <c r="U355" s="147">
        <v>0</v>
      </c>
      <c r="V355" s="147">
        <v>0</v>
      </c>
      <c r="W355" s="147">
        <v>0</v>
      </c>
      <c r="X355" s="147">
        <v>0</v>
      </c>
      <c r="Y355" s="147">
        <v>0</v>
      </c>
      <c r="Z355" s="147">
        <v>0</v>
      </c>
      <c r="AA355" s="147">
        <v>0</v>
      </c>
      <c r="AB355" s="147">
        <v>0</v>
      </c>
      <c r="AC355" s="147">
        <v>0</v>
      </c>
      <c r="AD355" s="147">
        <v>0</v>
      </c>
      <c r="AE355" s="147">
        <v>0</v>
      </c>
      <c r="AF355" s="147">
        <v>0</v>
      </c>
      <c r="AG355" s="147">
        <v>0</v>
      </c>
      <c r="AH355" s="147">
        <v>0</v>
      </c>
      <c r="AI355" s="147">
        <v>0</v>
      </c>
      <c r="AJ355" s="147">
        <v>0</v>
      </c>
      <c r="AK355" s="147">
        <v>0</v>
      </c>
      <c r="AL355" s="147">
        <v>0</v>
      </c>
      <c r="AM355" s="147">
        <v>0</v>
      </c>
      <c r="AN355" s="147">
        <v>0</v>
      </c>
      <c r="AO355" s="240">
        <v>0</v>
      </c>
      <c r="AP355" s="147">
        <f t="shared" si="24"/>
        <v>0</v>
      </c>
    </row>
    <row r="356" spans="2:42">
      <c r="B356" s="147" t="str">
        <v>Operação Geral</v>
      </c>
      <c r="C356" s="149" t="str">
        <v>6</v>
      </c>
      <c r="D356" s="149" t="str">
        <v>6.2.2</v>
      </c>
      <c r="E356" s="149">
        <v>1</v>
      </c>
      <c r="F356" s="149">
        <v>1</v>
      </c>
      <c r="G356" s="147" t="str">
        <v>NVR – gerenciamento de armazenamento de vídeos</v>
      </c>
      <c r="H356" s="147" t="b">
        <v>0</v>
      </c>
      <c r="I356" s="147" t="b">
        <f t="shared" si="21"/>
        <v>0</v>
      </c>
      <c r="J356" s="147" t="b">
        <f t="shared" si="22"/>
        <v>1</v>
      </c>
      <c r="K356" s="147" t="b">
        <f t="shared" si="23"/>
        <v>0</v>
      </c>
      <c r="L356" s="147">
        <v>0</v>
      </c>
      <c r="M356" s="147">
        <v>0</v>
      </c>
      <c r="N356" s="147">
        <v>0</v>
      </c>
      <c r="O356" s="147">
        <v>0</v>
      </c>
      <c r="P356" s="147">
        <v>0</v>
      </c>
      <c r="Q356" s="147">
        <v>0</v>
      </c>
      <c r="R356" s="147">
        <v>0</v>
      </c>
      <c r="S356" s="147">
        <v>0</v>
      </c>
      <c r="T356" s="147">
        <v>0</v>
      </c>
      <c r="U356" s="147">
        <v>0</v>
      </c>
      <c r="V356" s="147">
        <v>0</v>
      </c>
      <c r="W356" s="147">
        <v>0</v>
      </c>
      <c r="X356" s="147">
        <v>0</v>
      </c>
      <c r="Y356" s="147">
        <v>0</v>
      </c>
      <c r="Z356" s="147">
        <v>0</v>
      </c>
      <c r="AA356" s="147">
        <v>0</v>
      </c>
      <c r="AB356" s="147">
        <v>0</v>
      </c>
      <c r="AC356" s="147">
        <v>0</v>
      </c>
      <c r="AD356" s="147">
        <v>0</v>
      </c>
      <c r="AE356" s="147">
        <v>0</v>
      </c>
      <c r="AF356" s="147">
        <v>0</v>
      </c>
      <c r="AG356" s="147">
        <v>0</v>
      </c>
      <c r="AH356" s="147">
        <v>0</v>
      </c>
      <c r="AI356" s="147">
        <v>0</v>
      </c>
      <c r="AJ356" s="147">
        <v>0</v>
      </c>
      <c r="AK356" s="147">
        <v>0</v>
      </c>
      <c r="AL356" s="147">
        <v>0</v>
      </c>
      <c r="AM356" s="147">
        <v>0</v>
      </c>
      <c r="AN356" s="147">
        <v>0</v>
      </c>
      <c r="AO356" s="240">
        <v>0</v>
      </c>
      <c r="AP356" s="147">
        <f t="shared" si="24"/>
        <v>0</v>
      </c>
    </row>
    <row r="357" spans="2:42">
      <c r="B357" s="147" t="str">
        <v>Operação Geral</v>
      </c>
      <c r="C357" s="149" t="str">
        <v>6</v>
      </c>
      <c r="D357" s="149" t="str">
        <v>6.2.2</v>
      </c>
      <c r="E357" s="149">
        <v>1</v>
      </c>
      <c r="F357" s="149">
        <v>1</v>
      </c>
      <c r="G357" s="147" t="str">
        <v>Câmeras - CFTV - Passarelas</v>
      </c>
      <c r="H357" s="147" t="b">
        <v>0</v>
      </c>
      <c r="I357" s="147" t="b">
        <f t="shared" si="21"/>
        <v>0</v>
      </c>
      <c r="J357" s="147" t="b">
        <f t="shared" si="22"/>
        <v>1</v>
      </c>
      <c r="K357" s="147" t="b">
        <f t="shared" si="23"/>
        <v>0</v>
      </c>
      <c r="L357" s="147">
        <v>0</v>
      </c>
      <c r="M357" s="147">
        <v>0</v>
      </c>
      <c r="N357" s="147">
        <v>0</v>
      </c>
      <c r="O357" s="147">
        <v>0</v>
      </c>
      <c r="P357" s="147">
        <v>0</v>
      </c>
      <c r="Q357" s="147">
        <v>0</v>
      </c>
      <c r="R357" s="147">
        <v>0</v>
      </c>
      <c r="S357" s="147">
        <v>0</v>
      </c>
      <c r="T357" s="147">
        <v>0</v>
      </c>
      <c r="U357" s="147">
        <v>0</v>
      </c>
      <c r="V357" s="147">
        <v>0</v>
      </c>
      <c r="W357" s="147">
        <v>0</v>
      </c>
      <c r="X357" s="147">
        <v>0</v>
      </c>
      <c r="Y357" s="147">
        <v>0</v>
      </c>
      <c r="Z357" s="147">
        <v>0</v>
      </c>
      <c r="AA357" s="147">
        <v>0</v>
      </c>
      <c r="AB357" s="147">
        <v>0</v>
      </c>
      <c r="AC357" s="147">
        <v>0</v>
      </c>
      <c r="AD357" s="147">
        <v>0</v>
      </c>
      <c r="AE357" s="147">
        <v>0</v>
      </c>
      <c r="AF357" s="147">
        <v>0</v>
      </c>
      <c r="AG357" s="147">
        <v>0</v>
      </c>
      <c r="AH357" s="147">
        <v>0</v>
      </c>
      <c r="AI357" s="147">
        <v>0</v>
      </c>
      <c r="AJ357" s="147">
        <v>0</v>
      </c>
      <c r="AK357" s="147">
        <v>0</v>
      </c>
      <c r="AL357" s="147">
        <v>0</v>
      </c>
      <c r="AM357" s="147">
        <v>0</v>
      </c>
      <c r="AN357" s="147">
        <v>0</v>
      </c>
      <c r="AO357" s="240">
        <v>0</v>
      </c>
      <c r="AP357" s="147">
        <f t="shared" si="24"/>
        <v>0</v>
      </c>
    </row>
    <row r="358" spans="2:42">
      <c r="B358" s="147" t="str">
        <v>Operação Geral</v>
      </c>
      <c r="C358" s="149" t="str">
        <v>6</v>
      </c>
      <c r="D358" s="149" t="str">
        <v>6.2.2</v>
      </c>
      <c r="E358" s="149">
        <v>0</v>
      </c>
      <c r="F358" s="149">
        <v>1</v>
      </c>
      <c r="G358" s="147" t="str">
        <v>Sistema de Controle de Velocidade</v>
      </c>
      <c r="H358" s="147" t="b">
        <v>0</v>
      </c>
      <c r="I358" s="147" t="b">
        <f t="shared" si="21"/>
        <v>0</v>
      </c>
      <c r="J358" s="147" t="b">
        <f t="shared" si="22"/>
        <v>1</v>
      </c>
      <c r="K358" s="147" t="b">
        <f t="shared" si="23"/>
        <v>0</v>
      </c>
      <c r="L358" s="147">
        <v>0</v>
      </c>
      <c r="M358" s="147">
        <v>0</v>
      </c>
      <c r="N358" s="147">
        <v>0</v>
      </c>
      <c r="O358" s="147">
        <v>0</v>
      </c>
      <c r="P358" s="147">
        <v>0</v>
      </c>
      <c r="Q358" s="147">
        <v>0</v>
      </c>
      <c r="R358" s="147">
        <v>0</v>
      </c>
      <c r="S358" s="147">
        <v>0</v>
      </c>
      <c r="T358" s="147">
        <v>0</v>
      </c>
      <c r="U358" s="147">
        <v>0</v>
      </c>
      <c r="V358" s="147">
        <v>0</v>
      </c>
      <c r="W358" s="147">
        <v>0</v>
      </c>
      <c r="X358" s="147">
        <v>0</v>
      </c>
      <c r="Y358" s="147">
        <v>0</v>
      </c>
      <c r="Z358" s="147">
        <v>0</v>
      </c>
      <c r="AA358" s="147">
        <v>0</v>
      </c>
      <c r="AB358" s="147">
        <v>0</v>
      </c>
      <c r="AC358" s="147">
        <v>0</v>
      </c>
      <c r="AD358" s="147">
        <v>0</v>
      </c>
      <c r="AE358" s="147">
        <v>0</v>
      </c>
      <c r="AF358" s="147">
        <v>0</v>
      </c>
      <c r="AG358" s="147">
        <v>0</v>
      </c>
      <c r="AH358" s="147">
        <v>0</v>
      </c>
      <c r="AI358" s="147">
        <v>0</v>
      </c>
      <c r="AJ358" s="147">
        <v>0</v>
      </c>
      <c r="AK358" s="147">
        <v>0</v>
      </c>
      <c r="AL358" s="147">
        <v>0</v>
      </c>
      <c r="AM358" s="147">
        <v>0</v>
      </c>
      <c r="AN358" s="147">
        <v>0</v>
      </c>
      <c r="AO358" s="240">
        <v>0</v>
      </c>
      <c r="AP358" s="147">
        <f t="shared" si="24"/>
        <v>0</v>
      </c>
    </row>
    <row r="359" spans="2:42">
      <c r="B359" s="147" t="str">
        <v>Operação Geral</v>
      </c>
      <c r="C359" s="149" t="str">
        <v>6</v>
      </c>
      <c r="D359" s="149" t="str">
        <v>6.2.2</v>
      </c>
      <c r="E359" s="149">
        <v>0</v>
      </c>
      <c r="F359" s="149">
        <v>1</v>
      </c>
      <c r="G359" s="147" t="str">
        <v>Radar Fixo - 2 Pistas</v>
      </c>
      <c r="H359" s="147" t="b">
        <v>0</v>
      </c>
      <c r="I359" s="147" t="b">
        <f t="shared" si="21"/>
        <v>0</v>
      </c>
      <c r="J359" s="147" t="b">
        <f t="shared" si="22"/>
        <v>1</v>
      </c>
      <c r="K359" s="147" t="b">
        <f t="shared" si="23"/>
        <v>0</v>
      </c>
      <c r="L359" s="147">
        <v>0</v>
      </c>
      <c r="M359" s="147">
        <v>0</v>
      </c>
      <c r="N359" s="147">
        <v>0</v>
      </c>
      <c r="O359" s="147">
        <v>0</v>
      </c>
      <c r="P359" s="147">
        <v>0</v>
      </c>
      <c r="Q359" s="147">
        <v>0</v>
      </c>
      <c r="R359" s="147">
        <v>0</v>
      </c>
      <c r="S359" s="147">
        <v>392187.06531251292</v>
      </c>
      <c r="T359" s="147">
        <v>0</v>
      </c>
      <c r="U359" s="147">
        <v>0</v>
      </c>
      <c r="V359" s="147">
        <v>0</v>
      </c>
      <c r="W359" s="147">
        <v>0</v>
      </c>
      <c r="X359" s="147">
        <v>784374.13062502583</v>
      </c>
      <c r="Y359" s="147">
        <v>0</v>
      </c>
      <c r="Z359" s="147">
        <v>0</v>
      </c>
      <c r="AA359" s="147">
        <v>0</v>
      </c>
      <c r="AB359" s="147">
        <v>0</v>
      </c>
      <c r="AC359" s="147">
        <v>1176561.1959375388</v>
      </c>
      <c r="AD359" s="147">
        <v>0</v>
      </c>
      <c r="AE359" s="147">
        <v>0</v>
      </c>
      <c r="AF359" s="147">
        <v>0</v>
      </c>
      <c r="AG359" s="147">
        <v>0</v>
      </c>
      <c r="AH359" s="147">
        <v>1176561.1959375388</v>
      </c>
      <c r="AI359" s="147">
        <v>0</v>
      </c>
      <c r="AJ359" s="147">
        <v>0</v>
      </c>
      <c r="AK359" s="147">
        <v>0</v>
      </c>
      <c r="AL359" s="147">
        <v>0</v>
      </c>
      <c r="AM359" s="147">
        <v>1176561.1959375388</v>
      </c>
      <c r="AN359" s="147">
        <v>0</v>
      </c>
      <c r="AO359" s="240">
        <v>0</v>
      </c>
      <c r="AP359" s="147">
        <f t="shared" si="24"/>
        <v>4706244.783750155</v>
      </c>
    </row>
    <row r="360" spans="2:42">
      <c r="B360" s="147" t="str">
        <v>Operação Geral</v>
      </c>
      <c r="C360" s="149" t="str">
        <v>6</v>
      </c>
      <c r="D360" s="149" t="str">
        <v>6.2.2</v>
      </c>
      <c r="E360" s="149">
        <v>0</v>
      </c>
      <c r="F360" s="149">
        <v>1</v>
      </c>
      <c r="G360" s="147" t="str">
        <v>Radar Fixo - 1 Pistas</v>
      </c>
      <c r="H360" s="147" t="b">
        <v>0</v>
      </c>
      <c r="I360" s="147" t="b">
        <f t="shared" si="21"/>
        <v>0</v>
      </c>
      <c r="J360" s="147" t="b">
        <f t="shared" si="22"/>
        <v>1</v>
      </c>
      <c r="K360" s="147" t="b">
        <f t="shared" si="23"/>
        <v>0</v>
      </c>
      <c r="L360" s="147">
        <v>0</v>
      </c>
      <c r="M360" s="147">
        <v>0</v>
      </c>
      <c r="N360" s="147">
        <v>0</v>
      </c>
      <c r="O360" s="147">
        <v>0</v>
      </c>
      <c r="P360" s="147">
        <v>0</v>
      </c>
      <c r="Q360" s="147">
        <v>1171853.8350439433</v>
      </c>
      <c r="R360" s="147">
        <v>0</v>
      </c>
      <c r="S360" s="147">
        <v>0</v>
      </c>
      <c r="T360" s="147">
        <v>0</v>
      </c>
      <c r="U360" s="147">
        <v>0</v>
      </c>
      <c r="V360" s="147">
        <v>937483.0680351546</v>
      </c>
      <c r="W360" s="147">
        <v>0</v>
      </c>
      <c r="X360" s="147">
        <v>0</v>
      </c>
      <c r="Y360" s="147">
        <v>0</v>
      </c>
      <c r="Z360" s="147">
        <v>0</v>
      </c>
      <c r="AA360" s="147">
        <v>703112.30102636595</v>
      </c>
      <c r="AB360" s="147">
        <v>0</v>
      </c>
      <c r="AC360" s="147">
        <v>0</v>
      </c>
      <c r="AD360" s="147">
        <v>0</v>
      </c>
      <c r="AE360" s="147">
        <v>0</v>
      </c>
      <c r="AF360" s="147">
        <v>703112.30102636595</v>
      </c>
      <c r="AG360" s="147">
        <v>0</v>
      </c>
      <c r="AH360" s="147">
        <v>0</v>
      </c>
      <c r="AI360" s="147">
        <v>0</v>
      </c>
      <c r="AJ360" s="147">
        <v>0</v>
      </c>
      <c r="AK360" s="147">
        <v>703112.30102636595</v>
      </c>
      <c r="AL360" s="147">
        <v>0</v>
      </c>
      <c r="AM360" s="147">
        <v>0</v>
      </c>
      <c r="AN360" s="147">
        <v>0</v>
      </c>
      <c r="AO360" s="240">
        <v>0</v>
      </c>
      <c r="AP360" s="147">
        <f t="shared" si="24"/>
        <v>4218673.8061581952</v>
      </c>
    </row>
    <row r="361" spans="2:42">
      <c r="B361" s="147" t="str">
        <v>Operação Geral</v>
      </c>
      <c r="C361" s="149" t="str">
        <v>6</v>
      </c>
      <c r="D361" s="149" t="str">
        <v>6.2.2</v>
      </c>
      <c r="E361" s="149">
        <v>0</v>
      </c>
      <c r="F361" s="149">
        <v>1</v>
      </c>
      <c r="G361" s="147" t="str">
        <v>Radar Móvel (30 a 200 m)</v>
      </c>
      <c r="H361" s="147" t="b">
        <v>0</v>
      </c>
      <c r="I361" s="147" t="b">
        <f t="shared" si="21"/>
        <v>0</v>
      </c>
      <c r="J361" s="147" t="b">
        <f t="shared" si="22"/>
        <v>1</v>
      </c>
      <c r="K361" s="147" t="b">
        <f t="shared" si="23"/>
        <v>0</v>
      </c>
      <c r="L361" s="147">
        <v>0</v>
      </c>
      <c r="M361" s="147">
        <v>0</v>
      </c>
      <c r="N361" s="147">
        <v>0</v>
      </c>
      <c r="O361" s="147">
        <v>0</v>
      </c>
      <c r="P361" s="147">
        <v>0</v>
      </c>
      <c r="Q361" s="147">
        <v>0</v>
      </c>
      <c r="R361" s="147">
        <v>0</v>
      </c>
      <c r="S361" s="147">
        <v>0</v>
      </c>
      <c r="T361" s="147">
        <v>0</v>
      </c>
      <c r="U361" s="147">
        <v>0</v>
      </c>
      <c r="V361" s="147">
        <v>0</v>
      </c>
      <c r="W361" s="147">
        <v>0</v>
      </c>
      <c r="X361" s="147">
        <v>0</v>
      </c>
      <c r="Y361" s="147">
        <v>0</v>
      </c>
      <c r="Z361" s="147">
        <v>0</v>
      </c>
      <c r="AA361" s="147">
        <v>0</v>
      </c>
      <c r="AB361" s="147">
        <v>0</v>
      </c>
      <c r="AC361" s="147">
        <v>0</v>
      </c>
      <c r="AD361" s="147">
        <v>0</v>
      </c>
      <c r="AE361" s="147">
        <v>0</v>
      </c>
      <c r="AF361" s="147">
        <v>0</v>
      </c>
      <c r="AG361" s="147">
        <v>0</v>
      </c>
      <c r="AH361" s="147">
        <v>0</v>
      </c>
      <c r="AI361" s="147">
        <v>0</v>
      </c>
      <c r="AJ361" s="147">
        <v>0</v>
      </c>
      <c r="AK361" s="147">
        <v>0</v>
      </c>
      <c r="AL361" s="147">
        <v>0</v>
      </c>
      <c r="AM361" s="147">
        <v>0</v>
      </c>
      <c r="AN361" s="147">
        <v>0</v>
      </c>
      <c r="AO361" s="240">
        <v>0</v>
      </c>
      <c r="AP361" s="147">
        <f t="shared" si="24"/>
        <v>0</v>
      </c>
    </row>
    <row r="362" spans="2:42">
      <c r="B362" s="147" t="str">
        <v>Operação Geral</v>
      </c>
      <c r="C362" s="149" t="str">
        <v>6</v>
      </c>
      <c r="D362" s="149" t="str">
        <v>6.2.2</v>
      </c>
      <c r="E362" s="149">
        <v>0</v>
      </c>
      <c r="F362" s="149">
        <v>1</v>
      </c>
      <c r="G362" s="147" t="str">
        <v>Lombada Eletrônica (2 faixas)</v>
      </c>
      <c r="H362" s="147" t="b">
        <v>0</v>
      </c>
      <c r="I362" s="147" t="b">
        <f t="shared" si="21"/>
        <v>0</v>
      </c>
      <c r="J362" s="147" t="b">
        <f t="shared" si="22"/>
        <v>1</v>
      </c>
      <c r="K362" s="147" t="b">
        <f t="shared" si="23"/>
        <v>0</v>
      </c>
      <c r="L362" s="147">
        <v>0</v>
      </c>
      <c r="M362" s="147">
        <v>0</v>
      </c>
      <c r="N362" s="147">
        <v>0</v>
      </c>
      <c r="O362" s="147">
        <v>0</v>
      </c>
      <c r="P362" s="147">
        <v>0</v>
      </c>
      <c r="Q362" s="147">
        <v>0</v>
      </c>
      <c r="R362" s="147">
        <v>0</v>
      </c>
      <c r="S362" s="147">
        <v>0</v>
      </c>
      <c r="T362" s="147">
        <v>0</v>
      </c>
      <c r="U362" s="147">
        <v>0</v>
      </c>
      <c r="V362" s="147">
        <v>0</v>
      </c>
      <c r="W362" s="147">
        <v>0</v>
      </c>
      <c r="X362" s="147">
        <v>0</v>
      </c>
      <c r="Y362" s="147">
        <v>0</v>
      </c>
      <c r="Z362" s="147">
        <v>0</v>
      </c>
      <c r="AA362" s="147">
        <v>0</v>
      </c>
      <c r="AB362" s="147">
        <v>0</v>
      </c>
      <c r="AC362" s="147">
        <v>0</v>
      </c>
      <c r="AD362" s="147">
        <v>0</v>
      </c>
      <c r="AE362" s="147">
        <v>0</v>
      </c>
      <c r="AF362" s="147">
        <v>0</v>
      </c>
      <c r="AG362" s="147">
        <v>0</v>
      </c>
      <c r="AH362" s="147">
        <v>0</v>
      </c>
      <c r="AI362" s="147">
        <v>0</v>
      </c>
      <c r="AJ362" s="147">
        <v>0</v>
      </c>
      <c r="AK362" s="147">
        <v>0</v>
      </c>
      <c r="AL362" s="147">
        <v>0</v>
      </c>
      <c r="AM362" s="147">
        <v>0</v>
      </c>
      <c r="AN362" s="147">
        <v>0</v>
      </c>
      <c r="AO362" s="240">
        <v>0</v>
      </c>
      <c r="AP362" s="147">
        <f t="shared" si="24"/>
        <v>0</v>
      </c>
    </row>
    <row r="363" spans="2:42">
      <c r="B363" s="147" t="str">
        <v>Operação Geral</v>
      </c>
      <c r="C363" s="149" t="str">
        <v>6</v>
      </c>
      <c r="D363" s="149" t="str">
        <v>6.2.2</v>
      </c>
      <c r="E363" s="149">
        <v>0</v>
      </c>
      <c r="F363" s="149">
        <v>1</v>
      </c>
      <c r="G363" s="147" t="str">
        <v>Estação meteorológica</v>
      </c>
      <c r="H363" s="147" t="b">
        <v>0</v>
      </c>
      <c r="I363" s="147" t="b">
        <f t="shared" si="21"/>
        <v>0</v>
      </c>
      <c r="J363" s="147" t="b">
        <f t="shared" si="22"/>
        <v>1</v>
      </c>
      <c r="K363" s="147" t="b">
        <f t="shared" si="23"/>
        <v>0</v>
      </c>
      <c r="L363" s="147">
        <v>0</v>
      </c>
      <c r="M363" s="147">
        <v>0</v>
      </c>
      <c r="N363" s="147">
        <v>0</v>
      </c>
      <c r="O363" s="147">
        <v>0</v>
      </c>
      <c r="P363" s="147">
        <v>0</v>
      </c>
      <c r="Q363" s="147">
        <v>0</v>
      </c>
      <c r="R363" s="147">
        <v>0</v>
      </c>
      <c r="S363" s="147">
        <v>0</v>
      </c>
      <c r="T363" s="147">
        <v>0</v>
      </c>
      <c r="U363" s="147">
        <v>0</v>
      </c>
      <c r="V363" s="147">
        <v>0</v>
      </c>
      <c r="W363" s="147">
        <v>0</v>
      </c>
      <c r="X363" s="147">
        <v>0</v>
      </c>
      <c r="Y363" s="147">
        <v>0</v>
      </c>
      <c r="Z363" s="147">
        <v>0</v>
      </c>
      <c r="AA363" s="147">
        <v>0</v>
      </c>
      <c r="AB363" s="147">
        <v>0</v>
      </c>
      <c r="AC363" s="147">
        <v>0</v>
      </c>
      <c r="AD363" s="147">
        <v>0</v>
      </c>
      <c r="AE363" s="147">
        <v>0</v>
      </c>
      <c r="AF363" s="147">
        <v>0</v>
      </c>
      <c r="AG363" s="147">
        <v>0</v>
      </c>
      <c r="AH363" s="147">
        <v>0</v>
      </c>
      <c r="AI363" s="147">
        <v>0</v>
      </c>
      <c r="AJ363" s="147">
        <v>0</v>
      </c>
      <c r="AK363" s="147">
        <v>0</v>
      </c>
      <c r="AL363" s="147">
        <v>0</v>
      </c>
      <c r="AM363" s="147">
        <v>0</v>
      </c>
      <c r="AN363" s="147">
        <v>0</v>
      </c>
      <c r="AO363" s="240">
        <v>0</v>
      </c>
      <c r="AP363" s="147">
        <f t="shared" si="24"/>
        <v>0</v>
      </c>
    </row>
    <row r="364" spans="2:42">
      <c r="B364" s="147" t="str">
        <v>Operação Geral</v>
      </c>
      <c r="C364" s="149" t="str">
        <v>6</v>
      </c>
      <c r="D364" s="149" t="str">
        <v>6.2.2</v>
      </c>
      <c r="E364" s="149">
        <v>0</v>
      </c>
      <c r="F364" s="149">
        <v>1</v>
      </c>
      <c r="G364" s="147" t="str">
        <v>Base meteorológica</v>
      </c>
      <c r="H364" s="147" t="b">
        <v>0</v>
      </c>
      <c r="I364" s="147" t="b">
        <f t="shared" si="21"/>
        <v>0</v>
      </c>
      <c r="J364" s="147" t="b">
        <f t="shared" si="22"/>
        <v>1</v>
      </c>
      <c r="K364" s="147" t="b">
        <f t="shared" si="23"/>
        <v>0</v>
      </c>
      <c r="L364" s="147">
        <v>0</v>
      </c>
      <c r="M364" s="147">
        <v>0</v>
      </c>
      <c r="N364" s="147">
        <v>0</v>
      </c>
      <c r="O364" s="147">
        <v>0</v>
      </c>
      <c r="P364" s="147">
        <v>0</v>
      </c>
      <c r="Q364" s="147">
        <v>0</v>
      </c>
      <c r="R364" s="147">
        <v>0</v>
      </c>
      <c r="S364" s="147">
        <v>0</v>
      </c>
      <c r="T364" s="147">
        <v>0</v>
      </c>
      <c r="U364" s="147">
        <v>0</v>
      </c>
      <c r="V364" s="147">
        <v>0</v>
      </c>
      <c r="W364" s="147">
        <v>0</v>
      </c>
      <c r="X364" s="147">
        <v>0</v>
      </c>
      <c r="Y364" s="147">
        <v>0</v>
      </c>
      <c r="Z364" s="147">
        <v>0</v>
      </c>
      <c r="AA364" s="147">
        <v>0</v>
      </c>
      <c r="AB364" s="147">
        <v>0</v>
      </c>
      <c r="AC364" s="147">
        <v>0</v>
      </c>
      <c r="AD364" s="147">
        <v>0</v>
      </c>
      <c r="AE364" s="147">
        <v>0</v>
      </c>
      <c r="AF364" s="147">
        <v>0</v>
      </c>
      <c r="AG364" s="147">
        <v>0</v>
      </c>
      <c r="AH364" s="147">
        <v>0</v>
      </c>
      <c r="AI364" s="147">
        <v>0</v>
      </c>
      <c r="AJ364" s="147">
        <v>0</v>
      </c>
      <c r="AK364" s="147">
        <v>0</v>
      </c>
      <c r="AL364" s="147">
        <v>0</v>
      </c>
      <c r="AM364" s="147">
        <v>0</v>
      </c>
      <c r="AN364" s="147">
        <v>0</v>
      </c>
      <c r="AO364" s="240">
        <v>0</v>
      </c>
      <c r="AP364" s="147">
        <f t="shared" si="24"/>
        <v>0</v>
      </c>
    </row>
    <row r="365" spans="2:42">
      <c r="B365" s="147" t="str">
        <v>Operação Geral</v>
      </c>
      <c r="C365" s="149" t="str">
        <v>6</v>
      </c>
      <c r="D365" s="149" t="str">
        <v>6.2.2</v>
      </c>
      <c r="E365" s="149">
        <v>0</v>
      </c>
      <c r="F365" s="149">
        <v>1</v>
      </c>
      <c r="G365" s="147" t="str">
        <v>Sistema de Comunicação com os Usuários</v>
      </c>
      <c r="H365" s="147" t="b">
        <v>0</v>
      </c>
      <c r="I365" s="147" t="b">
        <f t="shared" si="21"/>
        <v>1</v>
      </c>
      <c r="J365" s="147" t="b">
        <f t="shared" si="22"/>
        <v>1</v>
      </c>
      <c r="K365" s="147" t="b">
        <f t="shared" si="23"/>
        <v>0</v>
      </c>
      <c r="L365" s="147">
        <v>0</v>
      </c>
      <c r="M365" s="147">
        <v>0</v>
      </c>
      <c r="N365" s="147">
        <v>0</v>
      </c>
      <c r="O365" s="147">
        <v>0</v>
      </c>
      <c r="P365" s="147">
        <v>0</v>
      </c>
      <c r="Q365" s="147">
        <v>0</v>
      </c>
      <c r="R365" s="147">
        <v>0</v>
      </c>
      <c r="S365" s="147">
        <v>0</v>
      </c>
      <c r="T365" s="147">
        <v>0</v>
      </c>
      <c r="U365" s="147">
        <v>0</v>
      </c>
      <c r="V365" s="147">
        <v>0</v>
      </c>
      <c r="W365" s="147">
        <v>0</v>
      </c>
      <c r="X365" s="147">
        <v>0</v>
      </c>
      <c r="Y365" s="147">
        <v>0</v>
      </c>
      <c r="Z365" s="147">
        <v>0</v>
      </c>
      <c r="AA365" s="147">
        <v>0</v>
      </c>
      <c r="AB365" s="147">
        <v>0</v>
      </c>
      <c r="AC365" s="147">
        <v>0</v>
      </c>
      <c r="AD365" s="147">
        <v>0</v>
      </c>
      <c r="AE365" s="147">
        <v>0</v>
      </c>
      <c r="AF365" s="147">
        <v>0</v>
      </c>
      <c r="AG365" s="147">
        <v>0</v>
      </c>
      <c r="AH365" s="147">
        <v>0</v>
      </c>
      <c r="AI365" s="147">
        <v>0</v>
      </c>
      <c r="AJ365" s="147">
        <v>0</v>
      </c>
      <c r="AK365" s="147">
        <v>0</v>
      </c>
      <c r="AL365" s="147">
        <v>0</v>
      </c>
      <c r="AM365" s="147">
        <v>0</v>
      </c>
      <c r="AN365" s="147">
        <v>0</v>
      </c>
      <c r="AO365" s="240">
        <v>0</v>
      </c>
      <c r="AP365" s="147">
        <f t="shared" si="24"/>
        <v>0</v>
      </c>
    </row>
    <row r="366" spans="2:42">
      <c r="B366" s="147" t="str">
        <v>Operação Geral</v>
      </c>
      <c r="C366" s="149" t="str">
        <v>6</v>
      </c>
      <c r="D366" s="149" t="str">
        <v>6.2.2</v>
      </c>
      <c r="E366" s="149">
        <v>0</v>
      </c>
      <c r="F366" s="149">
        <v>1</v>
      </c>
      <c r="G366" s="147" t="str">
        <v>Painéis de Mensagens</v>
      </c>
      <c r="H366" s="147" t="b">
        <v>0</v>
      </c>
      <c r="I366" s="147" t="b">
        <f t="shared" si="21"/>
        <v>0</v>
      </c>
      <c r="J366" s="185" t="b">
        <f t="shared" si="22"/>
        <v>1</v>
      </c>
      <c r="K366" s="185" t="b">
        <f t="shared" si="23"/>
        <v>0</v>
      </c>
      <c r="L366" s="147">
        <v>0</v>
      </c>
      <c r="M366" s="147">
        <v>0</v>
      </c>
      <c r="N366" s="147">
        <v>0</v>
      </c>
      <c r="O366" s="147">
        <v>0</v>
      </c>
      <c r="P366" s="147">
        <v>0</v>
      </c>
      <c r="Q366" s="147">
        <v>0</v>
      </c>
      <c r="R366" s="147">
        <v>0</v>
      </c>
      <c r="S366" s="147">
        <v>0</v>
      </c>
      <c r="T366" s="147">
        <v>0</v>
      </c>
      <c r="U366" s="147">
        <v>0</v>
      </c>
      <c r="V366" s="147">
        <v>0</v>
      </c>
      <c r="W366" s="147">
        <v>0</v>
      </c>
      <c r="X366" s="147">
        <v>0</v>
      </c>
      <c r="Y366" s="147">
        <v>0</v>
      </c>
      <c r="Z366" s="147">
        <v>0</v>
      </c>
      <c r="AA366" s="147">
        <v>0</v>
      </c>
      <c r="AB366" s="147">
        <v>0</v>
      </c>
      <c r="AC366" s="147">
        <v>0</v>
      </c>
      <c r="AD366" s="147">
        <v>0</v>
      </c>
      <c r="AE366" s="147">
        <v>0</v>
      </c>
      <c r="AF366" s="147">
        <v>0</v>
      </c>
      <c r="AG366" s="147">
        <v>0</v>
      </c>
      <c r="AH366" s="147">
        <v>0</v>
      </c>
      <c r="AI366" s="147">
        <v>0</v>
      </c>
      <c r="AJ366" s="147">
        <v>0</v>
      </c>
      <c r="AK366" s="147">
        <v>0</v>
      </c>
      <c r="AL366" s="147">
        <v>0</v>
      </c>
      <c r="AM366" s="147">
        <v>0</v>
      </c>
      <c r="AN366" s="147">
        <v>0</v>
      </c>
      <c r="AO366" s="240">
        <v>0</v>
      </c>
      <c r="AP366" s="147">
        <f t="shared" si="24"/>
        <v>0</v>
      </c>
    </row>
    <row r="367" spans="2:42">
      <c r="B367" s="147" t="str">
        <v>Operação Geral</v>
      </c>
      <c r="C367" s="149" t="str">
        <v>6</v>
      </c>
      <c r="D367" s="149" t="str">
        <v>6.2.2</v>
      </c>
      <c r="E367" s="149">
        <v>0</v>
      </c>
      <c r="F367" s="149">
        <v>1</v>
      </c>
      <c r="G367" s="147" t="str">
        <v>Painel de Mensagem Variável Fixo</v>
      </c>
      <c r="H367" s="240" t="b">
        <v>0</v>
      </c>
      <c r="I367" s="147" t="b">
        <f t="shared" si="21"/>
        <v>0</v>
      </c>
      <c r="J367" s="185" t="b">
        <f t="shared" si="22"/>
        <v>1</v>
      </c>
      <c r="K367" s="185" t="b">
        <f t="shared" si="23"/>
        <v>0</v>
      </c>
      <c r="L367" s="362">
        <v>0</v>
      </c>
      <c r="M367" s="147">
        <v>0</v>
      </c>
      <c r="N367" s="147">
        <v>0</v>
      </c>
      <c r="O367" s="147">
        <v>0</v>
      </c>
      <c r="P367" s="147">
        <v>0</v>
      </c>
      <c r="Q367" s="147">
        <v>0</v>
      </c>
      <c r="R367" s="147">
        <v>0</v>
      </c>
      <c r="S367" s="147">
        <v>0</v>
      </c>
      <c r="T367" s="147">
        <v>0</v>
      </c>
      <c r="U367" s="147">
        <v>0</v>
      </c>
      <c r="V367" s="147">
        <v>0</v>
      </c>
      <c r="W367" s="147">
        <v>0</v>
      </c>
      <c r="X367" s="147">
        <v>0</v>
      </c>
      <c r="Y367" s="147">
        <v>0</v>
      </c>
      <c r="Z367" s="147">
        <v>0</v>
      </c>
      <c r="AA367" s="147">
        <v>0</v>
      </c>
      <c r="AB367" s="147">
        <v>0</v>
      </c>
      <c r="AC367" s="147">
        <v>0</v>
      </c>
      <c r="AD367" s="147">
        <v>0</v>
      </c>
      <c r="AE367" s="147">
        <v>0</v>
      </c>
      <c r="AF367" s="147">
        <v>0</v>
      </c>
      <c r="AG367" s="147">
        <v>0</v>
      </c>
      <c r="AH367" s="147">
        <v>0</v>
      </c>
      <c r="AI367" s="147">
        <v>0</v>
      </c>
      <c r="AJ367" s="147">
        <v>0</v>
      </c>
      <c r="AK367" s="147">
        <v>0</v>
      </c>
      <c r="AL367" s="147">
        <v>0</v>
      </c>
      <c r="AM367" s="147">
        <v>0</v>
      </c>
      <c r="AN367" s="147">
        <v>0</v>
      </c>
      <c r="AO367" s="240">
        <v>0</v>
      </c>
      <c r="AP367" s="147">
        <f t="shared" si="24"/>
        <v>0</v>
      </c>
    </row>
    <row r="368" spans="2:42">
      <c r="B368" s="147" t="str">
        <v>Operação Geral</v>
      </c>
      <c r="C368" s="149" t="str">
        <v>6</v>
      </c>
      <c r="D368" s="149" t="str">
        <v>6.2.2</v>
      </c>
      <c r="E368" s="149">
        <v>0</v>
      </c>
      <c r="F368" s="149">
        <v>1</v>
      </c>
      <c r="G368" s="147" t="str">
        <v>Painel de Mensagem Variável Móvel</v>
      </c>
      <c r="H368" s="240" t="b">
        <v>0</v>
      </c>
      <c r="I368" s="147" t="b">
        <f t="shared" si="21"/>
        <v>0</v>
      </c>
      <c r="J368" s="185" t="b">
        <f t="shared" si="22"/>
        <v>1</v>
      </c>
      <c r="K368" s="185" t="b">
        <f t="shared" si="23"/>
        <v>0</v>
      </c>
      <c r="L368" s="362">
        <v>0</v>
      </c>
      <c r="M368" s="147">
        <v>0</v>
      </c>
      <c r="N368" s="147">
        <v>0</v>
      </c>
      <c r="O368" s="147">
        <v>0</v>
      </c>
      <c r="P368" s="147">
        <v>0</v>
      </c>
      <c r="Q368" s="147">
        <v>0</v>
      </c>
      <c r="R368" s="147">
        <v>0</v>
      </c>
      <c r="S368" s="147">
        <v>0</v>
      </c>
      <c r="T368" s="147">
        <v>0</v>
      </c>
      <c r="U368" s="147">
        <v>0</v>
      </c>
      <c r="V368" s="147">
        <v>0</v>
      </c>
      <c r="W368" s="147">
        <v>0</v>
      </c>
      <c r="X368" s="147">
        <v>0</v>
      </c>
      <c r="Y368" s="147">
        <v>0</v>
      </c>
      <c r="Z368" s="147">
        <v>0</v>
      </c>
      <c r="AA368" s="147">
        <v>0</v>
      </c>
      <c r="AB368" s="147">
        <v>0</v>
      </c>
      <c r="AC368" s="147">
        <v>0</v>
      </c>
      <c r="AD368" s="147">
        <v>0</v>
      </c>
      <c r="AE368" s="147">
        <v>0</v>
      </c>
      <c r="AF368" s="147">
        <v>0</v>
      </c>
      <c r="AG368" s="147">
        <v>0</v>
      </c>
      <c r="AH368" s="147">
        <v>0</v>
      </c>
      <c r="AI368" s="147">
        <v>0</v>
      </c>
      <c r="AJ368" s="147">
        <v>0</v>
      </c>
      <c r="AK368" s="147">
        <v>0</v>
      </c>
      <c r="AL368" s="147">
        <v>0</v>
      </c>
      <c r="AM368" s="147">
        <v>0</v>
      </c>
      <c r="AN368" s="147">
        <v>0</v>
      </c>
      <c r="AO368" s="240">
        <v>0</v>
      </c>
      <c r="AP368" s="147">
        <f t="shared" si="24"/>
        <v>0</v>
      </c>
    </row>
    <row r="369" spans="2:42">
      <c r="B369" s="147" t="str">
        <v>Operação Geral</v>
      </c>
      <c r="C369" s="149" t="str">
        <v>6</v>
      </c>
      <c r="D369" s="149" t="str">
        <v>6.2.2</v>
      </c>
      <c r="E369" s="149">
        <v>0</v>
      </c>
      <c r="F369" s="149">
        <v>1</v>
      </c>
      <c r="G369" s="147" t="str">
        <v>Serviço de Autoatendimento (SAU)</v>
      </c>
      <c r="H369" s="240" t="b">
        <v>0</v>
      </c>
      <c r="I369" s="147" t="b">
        <f t="shared" si="21"/>
        <v>0</v>
      </c>
      <c r="J369" s="185" t="b">
        <f t="shared" si="22"/>
        <v>1</v>
      </c>
      <c r="K369" s="185" t="b">
        <f t="shared" si="23"/>
        <v>0</v>
      </c>
      <c r="L369" s="362">
        <v>0</v>
      </c>
      <c r="M369" s="147">
        <v>0</v>
      </c>
      <c r="N369" s="147">
        <v>0</v>
      </c>
      <c r="O369" s="147">
        <v>0</v>
      </c>
      <c r="P369" s="147">
        <v>0</v>
      </c>
      <c r="Q369" s="147">
        <v>0</v>
      </c>
      <c r="R369" s="147">
        <v>0</v>
      </c>
      <c r="S369" s="147">
        <v>0</v>
      </c>
      <c r="T369" s="147">
        <v>0</v>
      </c>
      <c r="U369" s="147">
        <v>0</v>
      </c>
      <c r="V369" s="147">
        <v>0</v>
      </c>
      <c r="W369" s="147">
        <v>0</v>
      </c>
      <c r="X369" s="147">
        <v>0</v>
      </c>
      <c r="Y369" s="147">
        <v>0</v>
      </c>
      <c r="Z369" s="147">
        <v>0</v>
      </c>
      <c r="AA369" s="147">
        <v>0</v>
      </c>
      <c r="AB369" s="147">
        <v>0</v>
      </c>
      <c r="AC369" s="147">
        <v>0</v>
      </c>
      <c r="AD369" s="147">
        <v>0</v>
      </c>
      <c r="AE369" s="147">
        <v>0</v>
      </c>
      <c r="AF369" s="147">
        <v>0</v>
      </c>
      <c r="AG369" s="147">
        <v>0</v>
      </c>
      <c r="AH369" s="147">
        <v>0</v>
      </c>
      <c r="AI369" s="147">
        <v>0</v>
      </c>
      <c r="AJ369" s="147">
        <v>0</v>
      </c>
      <c r="AK369" s="147">
        <v>0</v>
      </c>
      <c r="AL369" s="147">
        <v>0</v>
      </c>
      <c r="AM369" s="147">
        <v>0</v>
      </c>
      <c r="AN369" s="147">
        <v>0</v>
      </c>
      <c r="AO369" s="240">
        <v>0</v>
      </c>
      <c r="AP369" s="147">
        <f t="shared" si="24"/>
        <v>0</v>
      </c>
    </row>
    <row r="370" spans="2:42">
      <c r="B370" s="147" t="str">
        <v>Operação Geral</v>
      </c>
      <c r="C370" s="149" t="str">
        <v>6</v>
      </c>
      <c r="D370" s="149" t="str">
        <v>6.2.2</v>
      </c>
      <c r="E370" s="149">
        <v>0</v>
      </c>
      <c r="F370" s="149">
        <v>1</v>
      </c>
      <c r="G370" s="147" t="str">
        <v>Software com interface web + PABX p/ SA</v>
      </c>
      <c r="H370" s="240" t="b">
        <v>0</v>
      </c>
      <c r="I370" s="147" t="b">
        <f t="shared" si="21"/>
        <v>1</v>
      </c>
      <c r="J370" s="185" t="b">
        <f t="shared" si="22"/>
        <v>1</v>
      </c>
      <c r="K370" s="185" t="b">
        <f t="shared" si="23"/>
        <v>0</v>
      </c>
      <c r="L370" s="362">
        <v>0</v>
      </c>
      <c r="M370" s="147">
        <v>0</v>
      </c>
      <c r="N370" s="147">
        <v>0</v>
      </c>
      <c r="O370" s="147">
        <v>0</v>
      </c>
      <c r="P370" s="147">
        <v>0</v>
      </c>
      <c r="Q370" s="147">
        <v>0</v>
      </c>
      <c r="R370" s="147">
        <v>0</v>
      </c>
      <c r="S370" s="147">
        <v>0</v>
      </c>
      <c r="T370" s="147">
        <v>0</v>
      </c>
      <c r="U370" s="147">
        <v>0</v>
      </c>
      <c r="V370" s="147">
        <v>0</v>
      </c>
      <c r="W370" s="147">
        <v>0</v>
      </c>
      <c r="X370" s="147">
        <v>0</v>
      </c>
      <c r="Y370" s="147">
        <v>0</v>
      </c>
      <c r="Z370" s="147">
        <v>0</v>
      </c>
      <c r="AA370" s="147">
        <v>0</v>
      </c>
      <c r="AB370" s="147">
        <v>0</v>
      </c>
      <c r="AC370" s="147">
        <v>0</v>
      </c>
      <c r="AD370" s="147">
        <v>0</v>
      </c>
      <c r="AE370" s="147">
        <v>0</v>
      </c>
      <c r="AF370" s="147">
        <v>0</v>
      </c>
      <c r="AG370" s="147">
        <v>0</v>
      </c>
      <c r="AH370" s="147">
        <v>0</v>
      </c>
      <c r="AI370" s="147">
        <v>0</v>
      </c>
      <c r="AJ370" s="147">
        <v>0</v>
      </c>
      <c r="AK370" s="147">
        <v>0</v>
      </c>
      <c r="AL370" s="147">
        <v>0</v>
      </c>
      <c r="AM370" s="147">
        <v>0</v>
      </c>
      <c r="AN370" s="147">
        <v>0</v>
      </c>
      <c r="AO370" s="240">
        <v>0</v>
      </c>
      <c r="AP370" s="147">
        <f t="shared" si="24"/>
        <v>0</v>
      </c>
    </row>
    <row r="371" spans="2:42">
      <c r="B371" s="147" t="str">
        <v>Operação Geral</v>
      </c>
      <c r="C371" s="149" t="str">
        <v>6</v>
      </c>
      <c r="D371" s="149" t="str">
        <v>6.2.2</v>
      </c>
      <c r="E371" s="149">
        <v>0</v>
      </c>
      <c r="F371" s="149">
        <v>1</v>
      </c>
      <c r="G371" s="147" t="str">
        <v>Totem de Autoatendimento</v>
      </c>
      <c r="H371" s="240" t="b">
        <v>0</v>
      </c>
      <c r="I371" s="147" t="b">
        <f t="shared" si="21"/>
        <v>0</v>
      </c>
      <c r="J371" s="185" t="b">
        <f t="shared" si="22"/>
        <v>1</v>
      </c>
      <c r="K371" s="185" t="b">
        <f t="shared" si="23"/>
        <v>0</v>
      </c>
      <c r="L371" s="362">
        <v>0</v>
      </c>
      <c r="M371" s="147">
        <v>0</v>
      </c>
      <c r="N371" s="147">
        <v>0</v>
      </c>
      <c r="O371" s="147">
        <v>0</v>
      </c>
      <c r="P371" s="147">
        <v>0</v>
      </c>
      <c r="Q371" s="147">
        <v>0</v>
      </c>
      <c r="R371" s="147">
        <v>0</v>
      </c>
      <c r="S371" s="147">
        <v>0</v>
      </c>
      <c r="T371" s="147">
        <v>0</v>
      </c>
      <c r="U371" s="147">
        <v>0</v>
      </c>
      <c r="V371" s="147">
        <v>0</v>
      </c>
      <c r="W371" s="147">
        <v>0</v>
      </c>
      <c r="X371" s="147">
        <v>0</v>
      </c>
      <c r="Y371" s="147">
        <v>0</v>
      </c>
      <c r="Z371" s="147">
        <v>0</v>
      </c>
      <c r="AA371" s="147">
        <v>0</v>
      </c>
      <c r="AB371" s="147">
        <v>0</v>
      </c>
      <c r="AC371" s="147">
        <v>0</v>
      </c>
      <c r="AD371" s="147">
        <v>0</v>
      </c>
      <c r="AE371" s="147">
        <v>0</v>
      </c>
      <c r="AF371" s="147">
        <v>0</v>
      </c>
      <c r="AG371" s="147">
        <v>0</v>
      </c>
      <c r="AH371" s="147">
        <v>0</v>
      </c>
      <c r="AI371" s="147">
        <v>0</v>
      </c>
      <c r="AJ371" s="147">
        <v>0</v>
      </c>
      <c r="AK371" s="147">
        <v>0</v>
      </c>
      <c r="AL371" s="147">
        <v>0</v>
      </c>
      <c r="AM371" s="147">
        <v>0</v>
      </c>
      <c r="AN371" s="147">
        <v>0</v>
      </c>
      <c r="AO371" s="240">
        <v>0</v>
      </c>
      <c r="AP371" s="147">
        <f t="shared" si="24"/>
        <v>0</v>
      </c>
    </row>
    <row r="372" spans="2:42">
      <c r="B372" s="147" t="str">
        <v>Operação Geral</v>
      </c>
      <c r="C372" s="149" t="str">
        <v>6</v>
      </c>
      <c r="D372" s="149" t="str">
        <v>6.2.2</v>
      </c>
      <c r="E372" s="149">
        <v>0</v>
      </c>
      <c r="F372" s="149">
        <v>1</v>
      </c>
      <c r="G372" s="147" t="str">
        <v>Sistema de Radiocomunicação</v>
      </c>
      <c r="H372" s="240" t="b">
        <v>0</v>
      </c>
      <c r="I372" s="147" t="b">
        <f t="shared" si="21"/>
        <v>0</v>
      </c>
      <c r="J372" s="185" t="b">
        <f t="shared" si="22"/>
        <v>1</v>
      </c>
      <c r="K372" s="185" t="b">
        <f t="shared" si="23"/>
        <v>0</v>
      </c>
      <c r="L372" s="362">
        <v>0</v>
      </c>
      <c r="M372" s="147">
        <v>0</v>
      </c>
      <c r="N372" s="147">
        <v>0</v>
      </c>
      <c r="O372" s="147">
        <v>0</v>
      </c>
      <c r="P372" s="147">
        <v>0</v>
      </c>
      <c r="Q372" s="147">
        <v>0</v>
      </c>
      <c r="R372" s="147">
        <v>0</v>
      </c>
      <c r="S372" s="147">
        <v>0</v>
      </c>
      <c r="T372" s="147">
        <v>0</v>
      </c>
      <c r="U372" s="147">
        <v>0</v>
      </c>
      <c r="V372" s="147">
        <v>0</v>
      </c>
      <c r="W372" s="147">
        <v>0</v>
      </c>
      <c r="X372" s="147">
        <v>0</v>
      </c>
      <c r="Y372" s="147">
        <v>0</v>
      </c>
      <c r="Z372" s="147">
        <v>0</v>
      </c>
      <c r="AA372" s="147">
        <v>0</v>
      </c>
      <c r="AB372" s="147">
        <v>0</v>
      </c>
      <c r="AC372" s="147">
        <v>0</v>
      </c>
      <c r="AD372" s="147">
        <v>0</v>
      </c>
      <c r="AE372" s="147">
        <v>0</v>
      </c>
      <c r="AF372" s="147">
        <v>0</v>
      </c>
      <c r="AG372" s="147">
        <v>0</v>
      </c>
      <c r="AH372" s="147">
        <v>0</v>
      </c>
      <c r="AI372" s="147">
        <v>0</v>
      </c>
      <c r="AJ372" s="147">
        <v>0</v>
      </c>
      <c r="AK372" s="147">
        <v>0</v>
      </c>
      <c r="AL372" s="147">
        <v>0</v>
      </c>
      <c r="AM372" s="147">
        <v>0</v>
      </c>
      <c r="AN372" s="147">
        <v>0</v>
      </c>
      <c r="AO372" s="240">
        <v>0</v>
      </c>
      <c r="AP372" s="147">
        <f t="shared" si="24"/>
        <v>0</v>
      </c>
    </row>
    <row r="373" spans="2:42">
      <c r="B373" s="147" t="str">
        <v>Operação Geral</v>
      </c>
      <c r="C373" s="149" t="str">
        <v>6</v>
      </c>
      <c r="D373" s="149" t="str">
        <v>6.2.2</v>
      </c>
      <c r="E373" s="149">
        <v>0</v>
      </c>
      <c r="F373" s="149">
        <v>1</v>
      </c>
      <c r="G373" s="147" t="str">
        <v>Sistema de Voz e Dados</v>
      </c>
      <c r="H373" s="240" t="b">
        <v>0</v>
      </c>
      <c r="I373" s="147" t="b">
        <f t="shared" si="21"/>
        <v>0</v>
      </c>
      <c r="J373" s="185" t="b">
        <f t="shared" si="22"/>
        <v>1</v>
      </c>
      <c r="K373" s="185" t="b">
        <f t="shared" si="23"/>
        <v>0</v>
      </c>
      <c r="L373" s="362">
        <v>0</v>
      </c>
      <c r="M373" s="147">
        <v>0</v>
      </c>
      <c r="N373" s="147">
        <v>0</v>
      </c>
      <c r="O373" s="147">
        <v>0</v>
      </c>
      <c r="P373" s="147">
        <v>0</v>
      </c>
      <c r="Q373" s="147">
        <v>0</v>
      </c>
      <c r="R373" s="147">
        <v>0</v>
      </c>
      <c r="S373" s="147">
        <v>0</v>
      </c>
      <c r="T373" s="147">
        <v>0</v>
      </c>
      <c r="U373" s="147">
        <v>0</v>
      </c>
      <c r="V373" s="147">
        <v>769393.57810508052</v>
      </c>
      <c r="W373" s="147">
        <v>0</v>
      </c>
      <c r="X373" s="147">
        <v>0</v>
      </c>
      <c r="Y373" s="147">
        <v>0</v>
      </c>
      <c r="Z373" s="147">
        <v>0</v>
      </c>
      <c r="AA373" s="147">
        <v>0</v>
      </c>
      <c r="AB373" s="147">
        <v>0</v>
      </c>
      <c r="AC373" s="147">
        <v>0</v>
      </c>
      <c r="AD373" s="147">
        <v>0</v>
      </c>
      <c r="AE373" s="147">
        <v>0</v>
      </c>
      <c r="AF373" s="147">
        <v>769393.57810508052</v>
      </c>
      <c r="AG373" s="147">
        <v>0</v>
      </c>
      <c r="AH373" s="147">
        <v>0</v>
      </c>
      <c r="AI373" s="147">
        <v>0</v>
      </c>
      <c r="AJ373" s="147">
        <v>0</v>
      </c>
      <c r="AK373" s="147">
        <v>0</v>
      </c>
      <c r="AL373" s="147">
        <v>0</v>
      </c>
      <c r="AM373" s="147">
        <v>0</v>
      </c>
      <c r="AN373" s="147">
        <v>0</v>
      </c>
      <c r="AO373" s="240">
        <v>0</v>
      </c>
      <c r="AP373" s="147">
        <f t="shared" si="24"/>
        <v>1538787.156210161</v>
      </c>
    </row>
    <row r="374" spans="2:42">
      <c r="B374" s="147" t="str">
        <v>Operação Geral</v>
      </c>
      <c r="C374" s="149" t="str">
        <v>6</v>
      </c>
      <c r="D374" s="149" t="str">
        <v>6.2.2</v>
      </c>
      <c r="E374" s="149">
        <v>0</v>
      </c>
      <c r="F374" s="149">
        <v>1</v>
      </c>
      <c r="G374" s="147" t="str">
        <v>Estação Portátil</v>
      </c>
      <c r="H374" s="240" t="b">
        <v>0</v>
      </c>
      <c r="I374" s="147" t="b">
        <f t="shared" si="21"/>
        <v>0</v>
      </c>
      <c r="J374" s="185" t="b">
        <f t="shared" si="22"/>
        <v>1</v>
      </c>
      <c r="K374" s="185" t="b">
        <f t="shared" si="23"/>
        <v>0</v>
      </c>
      <c r="L374" s="362">
        <v>0</v>
      </c>
      <c r="M374" s="147">
        <v>0</v>
      </c>
      <c r="N374" s="147">
        <v>0</v>
      </c>
      <c r="O374" s="147">
        <v>0</v>
      </c>
      <c r="P374" s="147">
        <v>215127.81690580779</v>
      </c>
      <c r="Q374" s="147">
        <v>0</v>
      </c>
      <c r="R374" s="147">
        <v>0</v>
      </c>
      <c r="S374" s="147">
        <v>0</v>
      </c>
      <c r="T374" s="147">
        <v>215127.81690580779</v>
      </c>
      <c r="U374" s="147">
        <v>0</v>
      </c>
      <c r="V374" s="147">
        <v>0</v>
      </c>
      <c r="W374" s="147">
        <v>0</v>
      </c>
      <c r="X374" s="147">
        <v>215127.81690580779</v>
      </c>
      <c r="Y374" s="147">
        <v>0</v>
      </c>
      <c r="Z374" s="147">
        <v>0</v>
      </c>
      <c r="AA374" s="147">
        <v>0</v>
      </c>
      <c r="AB374" s="147">
        <v>215127.81690580779</v>
      </c>
      <c r="AC374" s="147">
        <v>0</v>
      </c>
      <c r="AD374" s="147">
        <v>0</v>
      </c>
      <c r="AE374" s="147">
        <v>0</v>
      </c>
      <c r="AF374" s="147">
        <v>193175.99885419477</v>
      </c>
      <c r="AG374" s="147">
        <v>0</v>
      </c>
      <c r="AH374" s="147">
        <v>0</v>
      </c>
      <c r="AI374" s="147">
        <v>0</v>
      </c>
      <c r="AJ374" s="147">
        <v>193175.99885419477</v>
      </c>
      <c r="AK374" s="147">
        <v>0</v>
      </c>
      <c r="AL374" s="147">
        <v>0</v>
      </c>
      <c r="AM374" s="147">
        <v>0</v>
      </c>
      <c r="AN374" s="147">
        <v>193175.99885419477</v>
      </c>
      <c r="AO374" s="240">
        <v>0</v>
      </c>
      <c r="AP374" s="147">
        <f t="shared" si="24"/>
        <v>1440039.2641858156</v>
      </c>
    </row>
    <row r="375" spans="2:42">
      <c r="B375" s="147" t="str">
        <v>Operação Geral</v>
      </c>
      <c r="C375" s="149" t="str">
        <v>6</v>
      </c>
      <c r="D375" s="149" t="str">
        <v>6.2.2</v>
      </c>
      <c r="E375" s="149">
        <v>0</v>
      </c>
      <c r="F375" s="149">
        <v>1</v>
      </c>
      <c r="G375" s="147" t="str">
        <v>Estação Fixa</v>
      </c>
      <c r="H375" s="240" t="b">
        <v>0</v>
      </c>
      <c r="I375" s="147" t="b">
        <f t="shared" si="21"/>
        <v>0</v>
      </c>
      <c r="J375" s="185" t="b">
        <f t="shared" si="22"/>
        <v>1</v>
      </c>
      <c r="K375" s="185" t="b">
        <f t="shared" si="23"/>
        <v>0</v>
      </c>
      <c r="L375" s="362">
        <v>0</v>
      </c>
      <c r="M375" s="147">
        <v>0</v>
      </c>
      <c r="N375" s="147">
        <v>0</v>
      </c>
      <c r="O375" s="147">
        <v>0</v>
      </c>
      <c r="P375" s="147">
        <v>192060.92325923691</v>
      </c>
      <c r="Q375" s="147">
        <v>0</v>
      </c>
      <c r="R375" s="147">
        <v>0</v>
      </c>
      <c r="S375" s="147">
        <v>0</v>
      </c>
      <c r="T375" s="147">
        <v>192060.92325923691</v>
      </c>
      <c r="U375" s="147">
        <v>0</v>
      </c>
      <c r="V375" s="147">
        <v>0</v>
      </c>
      <c r="W375" s="147">
        <v>0</v>
      </c>
      <c r="X375" s="147">
        <v>192060.92325923691</v>
      </c>
      <c r="Y375" s="147">
        <v>0</v>
      </c>
      <c r="Z375" s="147">
        <v>0</v>
      </c>
      <c r="AA375" s="147">
        <v>0</v>
      </c>
      <c r="AB375" s="147">
        <v>192060.92325923691</v>
      </c>
      <c r="AC375" s="147">
        <v>0</v>
      </c>
      <c r="AD375" s="147">
        <v>0</v>
      </c>
      <c r="AE375" s="147">
        <v>0</v>
      </c>
      <c r="AF375" s="147">
        <v>192060.92325923691</v>
      </c>
      <c r="AG375" s="147">
        <v>0</v>
      </c>
      <c r="AH375" s="147">
        <v>0</v>
      </c>
      <c r="AI375" s="147">
        <v>0</v>
      </c>
      <c r="AJ375" s="147">
        <v>192060.92325923691</v>
      </c>
      <c r="AK375" s="147">
        <v>0</v>
      </c>
      <c r="AL375" s="147">
        <v>0</v>
      </c>
      <c r="AM375" s="147">
        <v>0</v>
      </c>
      <c r="AN375" s="147">
        <v>192060.92325923691</v>
      </c>
      <c r="AO375" s="240">
        <v>0</v>
      </c>
      <c r="AP375" s="147">
        <f t="shared" si="24"/>
        <v>1344426.4628146582</v>
      </c>
    </row>
    <row r="376" spans="2:42">
      <c r="B376" s="147" t="str">
        <v>Operação Geral</v>
      </c>
      <c r="C376" s="149" t="str">
        <v>6</v>
      </c>
      <c r="D376" s="149" t="str">
        <v>6.2.2</v>
      </c>
      <c r="E376" s="149">
        <v>0</v>
      </c>
      <c r="F376" s="149">
        <v>1</v>
      </c>
      <c r="G376" s="147" t="str">
        <v>Estação Móvel</v>
      </c>
      <c r="H376" s="240" t="b">
        <v>0</v>
      </c>
      <c r="I376" s="147" t="b">
        <f t="shared" si="21"/>
        <v>0</v>
      </c>
      <c r="J376" s="185" t="b">
        <f t="shared" si="22"/>
        <v>1</v>
      </c>
      <c r="K376" s="185" t="b">
        <f t="shared" si="23"/>
        <v>0</v>
      </c>
      <c r="L376" s="362">
        <v>0</v>
      </c>
      <c r="M376" s="147">
        <v>0</v>
      </c>
      <c r="N376" s="147">
        <v>0</v>
      </c>
      <c r="O376" s="147">
        <v>0</v>
      </c>
      <c r="P376" s="147">
        <v>129216.14122659061</v>
      </c>
      <c r="Q376" s="147">
        <v>0</v>
      </c>
      <c r="R376" s="147">
        <v>0</v>
      </c>
      <c r="S376" s="147">
        <v>0</v>
      </c>
      <c r="T376" s="147">
        <v>129216.14122659061</v>
      </c>
      <c r="U376" s="147">
        <v>0</v>
      </c>
      <c r="V376" s="147">
        <v>0</v>
      </c>
      <c r="W376" s="147">
        <v>0</v>
      </c>
      <c r="X376" s="147">
        <v>129216.14122659061</v>
      </c>
      <c r="Y376" s="147">
        <v>0</v>
      </c>
      <c r="Z376" s="147">
        <v>0</v>
      </c>
      <c r="AA376" s="147">
        <v>0</v>
      </c>
      <c r="AB376" s="147">
        <v>129216.14122659061</v>
      </c>
      <c r="AC376" s="147">
        <v>0</v>
      </c>
      <c r="AD376" s="147">
        <v>0</v>
      </c>
      <c r="AE376" s="147">
        <v>0</v>
      </c>
      <c r="AF376" s="147">
        <v>129216.14122659061</v>
      </c>
      <c r="AG376" s="147">
        <v>0</v>
      </c>
      <c r="AH376" s="147">
        <v>0</v>
      </c>
      <c r="AI376" s="147">
        <v>0</v>
      </c>
      <c r="AJ376" s="147">
        <v>129216.14122659061</v>
      </c>
      <c r="AK376" s="147">
        <v>0</v>
      </c>
      <c r="AL376" s="147">
        <v>0</v>
      </c>
      <c r="AM376" s="147">
        <v>0</v>
      </c>
      <c r="AN376" s="147">
        <v>129216.14122659061</v>
      </c>
      <c r="AO376" s="240">
        <v>0</v>
      </c>
      <c r="AP376" s="147">
        <f t="shared" si="24"/>
        <v>904512.98858613428</v>
      </c>
    </row>
    <row r="377" spans="2:42">
      <c r="B377" s="147" t="str">
        <v>Operação Geral</v>
      </c>
      <c r="C377" s="149" t="str">
        <v>6</v>
      </c>
      <c r="D377" s="149" t="str">
        <v>6.2.2</v>
      </c>
      <c r="E377" s="149">
        <v>0</v>
      </c>
      <c r="F377" s="149">
        <v>1</v>
      </c>
      <c r="G377" s="147" t="str">
        <v>Repetidoras</v>
      </c>
      <c r="H377" s="240" t="b">
        <v>0</v>
      </c>
      <c r="I377" s="147" t="b">
        <f t="shared" si="21"/>
        <v>0</v>
      </c>
      <c r="J377" s="185" t="b">
        <f t="shared" si="22"/>
        <v>1</v>
      </c>
      <c r="K377" s="185" t="b">
        <f t="shared" si="23"/>
        <v>0</v>
      </c>
      <c r="L377" s="362">
        <v>0</v>
      </c>
      <c r="M377" s="147">
        <v>0</v>
      </c>
      <c r="N377" s="147">
        <v>0</v>
      </c>
      <c r="O377" s="147">
        <v>0</v>
      </c>
      <c r="P377" s="147">
        <v>3165304.2468096483</v>
      </c>
      <c r="Q377" s="147">
        <v>0</v>
      </c>
      <c r="R377" s="147">
        <v>0</v>
      </c>
      <c r="S377" s="147">
        <v>0</v>
      </c>
      <c r="T377" s="147">
        <v>3165304.2468096483</v>
      </c>
      <c r="U377" s="147">
        <v>0</v>
      </c>
      <c r="V377" s="147">
        <v>0</v>
      </c>
      <c r="W377" s="147">
        <v>0</v>
      </c>
      <c r="X377" s="147">
        <v>3165304.2468096483</v>
      </c>
      <c r="Y377" s="147">
        <v>0</v>
      </c>
      <c r="Z377" s="147">
        <v>0</v>
      </c>
      <c r="AA377" s="147">
        <v>0</v>
      </c>
      <c r="AB377" s="147">
        <v>3165304.2468096483</v>
      </c>
      <c r="AC377" s="147">
        <v>0</v>
      </c>
      <c r="AD377" s="147">
        <v>0</v>
      </c>
      <c r="AE377" s="147">
        <v>0</v>
      </c>
      <c r="AF377" s="147">
        <v>3165304.2468096483</v>
      </c>
      <c r="AG377" s="147">
        <v>0</v>
      </c>
      <c r="AH377" s="147">
        <v>0</v>
      </c>
      <c r="AI377" s="147">
        <v>0</v>
      </c>
      <c r="AJ377" s="147">
        <v>3165304.2468096483</v>
      </c>
      <c r="AK377" s="147">
        <v>0</v>
      </c>
      <c r="AL377" s="147">
        <v>0</v>
      </c>
      <c r="AM377" s="147">
        <v>0</v>
      </c>
      <c r="AN377" s="147">
        <v>3165304.2468096483</v>
      </c>
      <c r="AO377" s="240">
        <v>0</v>
      </c>
      <c r="AP377" s="147">
        <f t="shared" si="24"/>
        <v>22157129.72766754</v>
      </c>
    </row>
    <row r="378" spans="2:42">
      <c r="B378" s="147" t="str">
        <v>Operação Geral</v>
      </c>
      <c r="C378" s="149" t="str">
        <v>6</v>
      </c>
      <c r="D378" s="149" t="str">
        <v>6.2.2</v>
      </c>
      <c r="E378" s="149">
        <v>0</v>
      </c>
      <c r="F378" s="149">
        <v>1</v>
      </c>
      <c r="G378" s="147" t="str">
        <v xml:space="preserve">Infra </v>
      </c>
      <c r="H378" s="240" t="b">
        <v>0</v>
      </c>
      <c r="I378" s="147" t="b">
        <f t="shared" si="21"/>
        <v>0</v>
      </c>
      <c r="J378" s="185" t="b">
        <f t="shared" si="22"/>
        <v>1</v>
      </c>
      <c r="K378" s="185" t="b">
        <f t="shared" si="23"/>
        <v>0</v>
      </c>
      <c r="L378" s="362">
        <v>0</v>
      </c>
      <c r="M378" s="147">
        <v>0</v>
      </c>
      <c r="N378" s="147">
        <v>0</v>
      </c>
      <c r="O378" s="147">
        <v>0</v>
      </c>
      <c r="P378" s="147">
        <v>0</v>
      </c>
      <c r="Q378" s="147">
        <v>0</v>
      </c>
      <c r="R378" s="147">
        <v>0</v>
      </c>
      <c r="S378" s="147">
        <v>0</v>
      </c>
      <c r="T378" s="147">
        <v>0</v>
      </c>
      <c r="U378" s="147">
        <v>0</v>
      </c>
      <c r="V378" s="147">
        <v>0</v>
      </c>
      <c r="W378" s="147">
        <v>0</v>
      </c>
      <c r="X378" s="147">
        <v>0</v>
      </c>
      <c r="Y378" s="147">
        <v>0</v>
      </c>
      <c r="Z378" s="147">
        <v>0</v>
      </c>
      <c r="AA378" s="147">
        <v>0</v>
      </c>
      <c r="AB378" s="147">
        <v>0</v>
      </c>
      <c r="AC378" s="147">
        <v>0</v>
      </c>
      <c r="AD378" s="147">
        <v>0</v>
      </c>
      <c r="AE378" s="147">
        <v>0</v>
      </c>
      <c r="AF378" s="147">
        <v>0</v>
      </c>
      <c r="AG378" s="147">
        <v>0</v>
      </c>
      <c r="AH378" s="147">
        <v>0</v>
      </c>
      <c r="AI378" s="147">
        <v>0</v>
      </c>
      <c r="AJ378" s="147">
        <v>0</v>
      </c>
      <c r="AK378" s="147">
        <v>0</v>
      </c>
      <c r="AL378" s="147">
        <v>0</v>
      </c>
      <c r="AM378" s="147">
        <v>0</v>
      </c>
      <c r="AN378" s="147">
        <v>0</v>
      </c>
      <c r="AO378" s="240">
        <v>0</v>
      </c>
      <c r="AP378" s="147">
        <f t="shared" si="24"/>
        <v>0</v>
      </c>
    </row>
    <row r="379" spans="2:42">
      <c r="B379" s="147" t="str">
        <v>Operação Geral</v>
      </c>
      <c r="C379" s="149" t="str">
        <v>6</v>
      </c>
      <c r="D379" s="149" t="str">
        <v>6.2.2</v>
      </c>
      <c r="E379" s="149">
        <v>0</v>
      </c>
      <c r="F379" s="149">
        <v>1</v>
      </c>
      <c r="G379" s="147" t="str">
        <v>Sistema de Telefonia Convencional</v>
      </c>
      <c r="H379" s="240" t="b">
        <v>0</v>
      </c>
      <c r="I379" s="147" t="b">
        <f t="shared" si="21"/>
        <v>0</v>
      </c>
      <c r="J379" s="185" t="b">
        <f t="shared" si="22"/>
        <v>1</v>
      </c>
      <c r="K379" s="185" t="b">
        <f t="shared" si="23"/>
        <v>0</v>
      </c>
      <c r="L379" s="362">
        <v>0</v>
      </c>
      <c r="M379" s="147">
        <v>0</v>
      </c>
      <c r="N379" s="147">
        <v>0</v>
      </c>
      <c r="O379" s="147">
        <v>0</v>
      </c>
      <c r="P379" s="147">
        <v>0</v>
      </c>
      <c r="Q379" s="147">
        <v>0</v>
      </c>
      <c r="R379" s="147">
        <v>0</v>
      </c>
      <c r="S379" s="147">
        <v>0</v>
      </c>
      <c r="T379" s="147">
        <v>0</v>
      </c>
      <c r="U379" s="147">
        <v>0</v>
      </c>
      <c r="V379" s="147">
        <v>0</v>
      </c>
      <c r="W379" s="147">
        <v>0</v>
      </c>
      <c r="X379" s="147">
        <v>0</v>
      </c>
      <c r="Y379" s="147">
        <v>0</v>
      </c>
      <c r="Z379" s="147">
        <v>0</v>
      </c>
      <c r="AA379" s="147">
        <v>0</v>
      </c>
      <c r="AB379" s="147">
        <v>0</v>
      </c>
      <c r="AC379" s="147">
        <v>0</v>
      </c>
      <c r="AD379" s="147">
        <v>0</v>
      </c>
      <c r="AE379" s="147">
        <v>0</v>
      </c>
      <c r="AF379" s="147">
        <v>0</v>
      </c>
      <c r="AG379" s="147">
        <v>0</v>
      </c>
      <c r="AH379" s="147">
        <v>0</v>
      </c>
      <c r="AI379" s="147">
        <v>0</v>
      </c>
      <c r="AJ379" s="147">
        <v>0</v>
      </c>
      <c r="AK379" s="147">
        <v>0</v>
      </c>
      <c r="AL379" s="147">
        <v>0</v>
      </c>
      <c r="AM379" s="147">
        <v>0</v>
      </c>
      <c r="AN379" s="147">
        <v>0</v>
      </c>
      <c r="AO379" s="240">
        <v>0</v>
      </c>
      <c r="AP379" s="147">
        <f t="shared" si="24"/>
        <v>0</v>
      </c>
    </row>
    <row r="380" spans="2:42">
      <c r="B380" s="147" t="str">
        <v>Operação Geral</v>
      </c>
      <c r="C380" s="149" t="str">
        <v>6</v>
      </c>
      <c r="D380" s="149" t="str">
        <v>6.2.2</v>
      </c>
      <c r="E380" s="149">
        <v>1</v>
      </c>
      <c r="F380" s="149">
        <v>1</v>
      </c>
      <c r="G380" s="147" t="str">
        <v>Central Telefônica - Comunicação - Switch / Firewall</v>
      </c>
      <c r="H380" s="240" t="b">
        <v>0</v>
      </c>
      <c r="I380" s="147" t="b">
        <f t="shared" si="21"/>
        <v>0</v>
      </c>
      <c r="J380" s="185" t="b">
        <f t="shared" si="22"/>
        <v>1</v>
      </c>
      <c r="K380" s="185" t="b">
        <f t="shared" si="23"/>
        <v>0</v>
      </c>
      <c r="L380" s="362">
        <v>0</v>
      </c>
      <c r="M380" s="147">
        <v>0</v>
      </c>
      <c r="N380" s="147">
        <v>0</v>
      </c>
      <c r="O380" s="147">
        <v>0</v>
      </c>
      <c r="P380" s="147">
        <v>0</v>
      </c>
      <c r="Q380" s="147">
        <v>0</v>
      </c>
      <c r="R380" s="147">
        <v>0</v>
      </c>
      <c r="S380" s="147">
        <v>0</v>
      </c>
      <c r="T380" s="147">
        <v>0</v>
      </c>
      <c r="U380" s="147">
        <v>0</v>
      </c>
      <c r="V380" s="147">
        <v>0</v>
      </c>
      <c r="W380" s="147">
        <v>0</v>
      </c>
      <c r="X380" s="147">
        <v>0</v>
      </c>
      <c r="Y380" s="147">
        <v>0</v>
      </c>
      <c r="Z380" s="147">
        <v>0</v>
      </c>
      <c r="AA380" s="147">
        <v>0</v>
      </c>
      <c r="AB380" s="147">
        <v>0</v>
      </c>
      <c r="AC380" s="147">
        <v>0</v>
      </c>
      <c r="AD380" s="147">
        <v>0</v>
      </c>
      <c r="AE380" s="147">
        <v>0</v>
      </c>
      <c r="AF380" s="147">
        <v>0</v>
      </c>
      <c r="AG380" s="147">
        <v>0</v>
      </c>
      <c r="AH380" s="147">
        <v>0</v>
      </c>
      <c r="AI380" s="147">
        <v>0</v>
      </c>
      <c r="AJ380" s="147">
        <v>0</v>
      </c>
      <c r="AK380" s="147">
        <v>0</v>
      </c>
      <c r="AL380" s="147">
        <v>0</v>
      </c>
      <c r="AM380" s="147">
        <v>0</v>
      </c>
      <c r="AN380" s="147">
        <v>0</v>
      </c>
      <c r="AO380" s="240">
        <v>0</v>
      </c>
      <c r="AP380" s="147">
        <f t="shared" si="24"/>
        <v>0</v>
      </c>
    </row>
    <row r="381" spans="2:42">
      <c r="B381" s="147" t="str">
        <v>Operação Geral</v>
      </c>
      <c r="C381" s="149" t="str">
        <v>6</v>
      </c>
      <c r="D381" s="149" t="str">
        <v>6.2.2</v>
      </c>
      <c r="E381" s="149">
        <v>0</v>
      </c>
      <c r="F381" s="149">
        <v>1</v>
      </c>
      <c r="G381" s="147" t="str">
        <v>Sistema de Telefonia Celular</v>
      </c>
      <c r="H381" s="240" t="b">
        <v>0</v>
      </c>
      <c r="I381" s="147" t="b">
        <f t="shared" si="21"/>
        <v>0</v>
      </c>
      <c r="J381" s="185" t="b">
        <f t="shared" si="22"/>
        <v>1</v>
      </c>
      <c r="K381" s="185" t="b">
        <f t="shared" si="23"/>
        <v>0</v>
      </c>
      <c r="L381" s="362">
        <v>0</v>
      </c>
      <c r="M381" s="147">
        <v>0</v>
      </c>
      <c r="N381" s="147">
        <v>0</v>
      </c>
      <c r="O381" s="147">
        <v>0</v>
      </c>
      <c r="P381" s="147">
        <v>0</v>
      </c>
      <c r="Q381" s="147">
        <v>0</v>
      </c>
      <c r="R381" s="147">
        <v>0</v>
      </c>
      <c r="S381" s="147">
        <v>0</v>
      </c>
      <c r="T381" s="147">
        <v>0</v>
      </c>
      <c r="U381" s="147">
        <v>0</v>
      </c>
      <c r="V381" s="147">
        <v>0</v>
      </c>
      <c r="W381" s="147">
        <v>0</v>
      </c>
      <c r="X381" s="147">
        <v>0</v>
      </c>
      <c r="Y381" s="147">
        <v>0</v>
      </c>
      <c r="Z381" s="147">
        <v>0</v>
      </c>
      <c r="AA381" s="147">
        <v>0</v>
      </c>
      <c r="AB381" s="147">
        <v>0</v>
      </c>
      <c r="AC381" s="147">
        <v>0</v>
      </c>
      <c r="AD381" s="147">
        <v>0</v>
      </c>
      <c r="AE381" s="147">
        <v>0</v>
      </c>
      <c r="AF381" s="147">
        <v>0</v>
      </c>
      <c r="AG381" s="147">
        <v>0</v>
      </c>
      <c r="AH381" s="147">
        <v>0</v>
      </c>
      <c r="AI381" s="147">
        <v>0</v>
      </c>
      <c r="AJ381" s="147">
        <v>0</v>
      </c>
      <c r="AK381" s="147">
        <v>0</v>
      </c>
      <c r="AL381" s="147">
        <v>0</v>
      </c>
      <c r="AM381" s="147">
        <v>0</v>
      </c>
      <c r="AN381" s="147">
        <v>0</v>
      </c>
      <c r="AO381" s="240">
        <v>0</v>
      </c>
      <c r="AP381" s="147">
        <f t="shared" si="24"/>
        <v>0</v>
      </c>
    </row>
    <row r="382" spans="2:42">
      <c r="B382" s="147" t="str">
        <v>Operação Geral</v>
      </c>
      <c r="C382" s="149" t="str">
        <v>6</v>
      </c>
      <c r="D382" s="149" t="str">
        <v>6.2.2</v>
      </c>
      <c r="E382" s="149">
        <v>0</v>
      </c>
      <c r="F382" s="149">
        <v>1</v>
      </c>
      <c r="G382" s="147" t="str">
        <v>Aparelhos celulares</v>
      </c>
      <c r="H382" s="240" t="b">
        <v>0</v>
      </c>
      <c r="I382" s="147" t="b">
        <f t="shared" si="21"/>
        <v>0</v>
      </c>
      <c r="J382" s="185" t="b">
        <f t="shared" si="22"/>
        <v>1</v>
      </c>
      <c r="K382" s="185" t="b">
        <f t="shared" si="23"/>
        <v>0</v>
      </c>
      <c r="L382" s="362">
        <v>0</v>
      </c>
      <c r="M382" s="147">
        <v>0</v>
      </c>
      <c r="N382" s="147">
        <v>280396.79999999999</v>
      </c>
      <c r="O382" s="147">
        <v>0</v>
      </c>
      <c r="P382" s="147">
        <v>280396.79999999999</v>
      </c>
      <c r="Q382" s="147">
        <v>0</v>
      </c>
      <c r="R382" s="147">
        <v>280396.79999999999</v>
      </c>
      <c r="S382" s="147">
        <v>0</v>
      </c>
      <c r="T382" s="147">
        <v>280396.79999999999</v>
      </c>
      <c r="U382" s="147">
        <v>0</v>
      </c>
      <c r="V382" s="147">
        <v>280396.79999999999</v>
      </c>
      <c r="W382" s="147">
        <v>0</v>
      </c>
      <c r="X382" s="147">
        <v>280396.79999999999</v>
      </c>
      <c r="Y382" s="147">
        <v>0</v>
      </c>
      <c r="Z382" s="147">
        <v>280396.79999999999</v>
      </c>
      <c r="AA382" s="147">
        <v>0</v>
      </c>
      <c r="AB382" s="147">
        <v>280396.79999999999</v>
      </c>
      <c r="AC382" s="147">
        <v>0</v>
      </c>
      <c r="AD382" s="147">
        <v>280396.79999999999</v>
      </c>
      <c r="AE382" s="147">
        <v>0</v>
      </c>
      <c r="AF382" s="147">
        <v>249728.4</v>
      </c>
      <c r="AG382" s="147">
        <v>0</v>
      </c>
      <c r="AH382" s="147">
        <v>249728.4</v>
      </c>
      <c r="AI382" s="147">
        <v>0</v>
      </c>
      <c r="AJ382" s="147">
        <v>249728.4</v>
      </c>
      <c r="AK382" s="147">
        <v>0</v>
      </c>
      <c r="AL382" s="147">
        <v>249728.4</v>
      </c>
      <c r="AM382" s="147">
        <v>0</v>
      </c>
      <c r="AN382" s="147">
        <v>249728.4</v>
      </c>
      <c r="AO382" s="240">
        <v>0</v>
      </c>
      <c r="AP382" s="147">
        <f t="shared" si="24"/>
        <v>3772213.1999999993</v>
      </c>
    </row>
    <row r="383" spans="2:42">
      <c r="B383" s="147" t="str">
        <v>Operação Geral</v>
      </c>
      <c r="C383" s="149" t="str">
        <v>6</v>
      </c>
      <c r="D383" s="149" t="str">
        <v>6.2.2</v>
      </c>
      <c r="E383" s="149">
        <v>0</v>
      </c>
      <c r="F383" s="149">
        <v>1</v>
      </c>
      <c r="G383" s="147" t="str">
        <v>Sistema de Controle e Arrecadação</v>
      </c>
      <c r="H383" s="240" t="b">
        <v>0</v>
      </c>
      <c r="I383" s="147" t="b">
        <f t="shared" si="21"/>
        <v>0</v>
      </c>
      <c r="J383" s="185" t="b">
        <f t="shared" si="22"/>
        <v>1</v>
      </c>
      <c r="K383" s="185" t="b">
        <f t="shared" si="23"/>
        <v>0</v>
      </c>
      <c r="L383" s="362">
        <v>0</v>
      </c>
      <c r="M383" s="147">
        <v>0</v>
      </c>
      <c r="N383" s="147">
        <v>0</v>
      </c>
      <c r="O383" s="147">
        <v>0</v>
      </c>
      <c r="P383" s="147">
        <v>0</v>
      </c>
      <c r="Q383" s="147">
        <v>0</v>
      </c>
      <c r="R383" s="147">
        <v>0</v>
      </c>
      <c r="S383" s="147">
        <v>0</v>
      </c>
      <c r="T383" s="147">
        <v>0</v>
      </c>
      <c r="U383" s="147">
        <v>0</v>
      </c>
      <c r="V383" s="147">
        <v>0</v>
      </c>
      <c r="W383" s="147">
        <v>0</v>
      </c>
      <c r="X383" s="147">
        <v>0</v>
      </c>
      <c r="Y383" s="147">
        <v>0</v>
      </c>
      <c r="Z383" s="147">
        <v>0</v>
      </c>
      <c r="AA383" s="147">
        <v>0</v>
      </c>
      <c r="AB383" s="147">
        <v>0</v>
      </c>
      <c r="AC383" s="147">
        <v>0</v>
      </c>
      <c r="AD383" s="147">
        <v>0</v>
      </c>
      <c r="AE383" s="147">
        <v>0</v>
      </c>
      <c r="AF383" s="147">
        <v>0</v>
      </c>
      <c r="AG383" s="147">
        <v>0</v>
      </c>
      <c r="AH383" s="147">
        <v>0</v>
      </c>
      <c r="AI383" s="147">
        <v>0</v>
      </c>
      <c r="AJ383" s="147">
        <v>0</v>
      </c>
      <c r="AK383" s="147">
        <v>0</v>
      </c>
      <c r="AL383" s="147">
        <v>0</v>
      </c>
      <c r="AM383" s="147">
        <v>0</v>
      </c>
      <c r="AN383" s="147">
        <v>0</v>
      </c>
      <c r="AO383" s="240">
        <v>0</v>
      </c>
      <c r="AP383" s="147">
        <f t="shared" si="24"/>
        <v>0</v>
      </c>
    </row>
    <row r="384" spans="2:42">
      <c r="B384" s="147" t="str">
        <v>Operação Geral</v>
      </c>
      <c r="C384" s="149" t="str">
        <v>6</v>
      </c>
      <c r="D384" s="149" t="str">
        <v>6.2.2</v>
      </c>
      <c r="E384" s="149">
        <v>0</v>
      </c>
      <c r="F384" s="149">
        <v>1</v>
      </c>
      <c r="G384" s="147" t="str">
        <v>Sistema Free Flow</v>
      </c>
      <c r="H384" s="240" t="b">
        <v>0</v>
      </c>
      <c r="I384" s="147" t="b">
        <f t="shared" si="21"/>
        <v>0</v>
      </c>
      <c r="J384" s="185" t="b">
        <f t="shared" si="22"/>
        <v>1</v>
      </c>
      <c r="K384" s="185" t="b">
        <f t="shared" si="23"/>
        <v>0</v>
      </c>
      <c r="L384" s="362">
        <v>0</v>
      </c>
      <c r="M384" s="147">
        <v>0</v>
      </c>
      <c r="N384" s="147">
        <v>0</v>
      </c>
      <c r="O384" s="147">
        <v>0</v>
      </c>
      <c r="P384" s="147">
        <v>0</v>
      </c>
      <c r="Q384" s="147">
        <v>0</v>
      </c>
      <c r="R384" s="147">
        <v>0</v>
      </c>
      <c r="S384" s="147">
        <v>0</v>
      </c>
      <c r="T384" s="147">
        <v>0</v>
      </c>
      <c r="U384" s="147">
        <v>0</v>
      </c>
      <c r="V384" s="147">
        <v>0</v>
      </c>
      <c r="W384" s="147">
        <v>0</v>
      </c>
      <c r="X384" s="147">
        <v>0</v>
      </c>
      <c r="Y384" s="147">
        <v>0</v>
      </c>
      <c r="Z384" s="147">
        <v>0</v>
      </c>
      <c r="AA384" s="147">
        <v>0</v>
      </c>
      <c r="AB384" s="147">
        <v>0</v>
      </c>
      <c r="AC384" s="147">
        <v>0</v>
      </c>
      <c r="AD384" s="147">
        <v>0</v>
      </c>
      <c r="AE384" s="147">
        <v>0</v>
      </c>
      <c r="AF384" s="147">
        <v>0</v>
      </c>
      <c r="AG384" s="147">
        <v>0</v>
      </c>
      <c r="AH384" s="147">
        <v>0</v>
      </c>
      <c r="AI384" s="147">
        <v>0</v>
      </c>
      <c r="AJ384" s="147">
        <v>0</v>
      </c>
      <c r="AK384" s="147">
        <v>0</v>
      </c>
      <c r="AL384" s="147">
        <v>0</v>
      </c>
      <c r="AM384" s="147">
        <v>0</v>
      </c>
      <c r="AN384" s="147">
        <v>0</v>
      </c>
      <c r="AO384" s="240">
        <v>0</v>
      </c>
      <c r="AP384" s="147">
        <f t="shared" si="24"/>
        <v>0</v>
      </c>
    </row>
    <row r="385" spans="2:42">
      <c r="B385" s="147" t="str">
        <v>Operação Geral</v>
      </c>
      <c r="C385" s="149" t="str">
        <v>6</v>
      </c>
      <c r="D385" s="149" t="str">
        <v>6.2.2</v>
      </c>
      <c r="E385" s="149">
        <v>0</v>
      </c>
      <c r="F385" s="149">
        <v>1</v>
      </c>
      <c r="G385" s="147" t="str">
        <v>Sistema (Câmeras, sensores, gerador, etc)</v>
      </c>
      <c r="H385" s="240" t="b">
        <v>0</v>
      </c>
      <c r="I385" s="147" t="b">
        <f t="shared" si="21"/>
        <v>0</v>
      </c>
      <c r="J385" s="185" t="b">
        <f t="shared" si="22"/>
        <v>1</v>
      </c>
      <c r="K385" s="185" t="b">
        <f t="shared" si="23"/>
        <v>0</v>
      </c>
      <c r="L385" s="362">
        <v>0</v>
      </c>
      <c r="M385" s="147">
        <v>0</v>
      </c>
      <c r="N385" s="147">
        <v>0</v>
      </c>
      <c r="O385" s="147">
        <v>0</v>
      </c>
      <c r="P385" s="147">
        <v>0</v>
      </c>
      <c r="Q385" s="147">
        <v>0</v>
      </c>
      <c r="R385" s="147">
        <v>0</v>
      </c>
      <c r="S385" s="147">
        <v>0</v>
      </c>
      <c r="T385" s="147">
        <v>0</v>
      </c>
      <c r="U385" s="147">
        <v>0</v>
      </c>
      <c r="V385" s="147">
        <v>6369419.7385831876</v>
      </c>
      <c r="W385" s="147">
        <v>0</v>
      </c>
      <c r="X385" s="147">
        <v>0</v>
      </c>
      <c r="Y385" s="147">
        <v>0</v>
      </c>
      <c r="Z385" s="147">
        <v>0</v>
      </c>
      <c r="AA385" s="147">
        <v>0</v>
      </c>
      <c r="AB385" s="147">
        <v>0</v>
      </c>
      <c r="AC385" s="147">
        <v>0</v>
      </c>
      <c r="AD385" s="147">
        <v>0</v>
      </c>
      <c r="AE385" s="147">
        <v>0</v>
      </c>
      <c r="AF385" s="147">
        <v>6369419.7385831876</v>
      </c>
      <c r="AG385" s="147">
        <v>0</v>
      </c>
      <c r="AH385" s="147">
        <v>0</v>
      </c>
      <c r="AI385" s="147">
        <v>0</v>
      </c>
      <c r="AJ385" s="147">
        <v>0</v>
      </c>
      <c r="AK385" s="147">
        <v>0</v>
      </c>
      <c r="AL385" s="147">
        <v>0</v>
      </c>
      <c r="AM385" s="147">
        <v>0</v>
      </c>
      <c r="AN385" s="147">
        <v>0</v>
      </c>
      <c r="AO385" s="240">
        <v>0</v>
      </c>
      <c r="AP385" s="147">
        <f t="shared" si="24"/>
        <v>12738839.477166375</v>
      </c>
    </row>
    <row r="386" spans="2:42">
      <c r="B386" s="147" t="str">
        <v>Operação Geral</v>
      </c>
      <c r="C386" s="149" t="str">
        <v>6</v>
      </c>
      <c r="D386" s="149" t="str">
        <v>6.2.2</v>
      </c>
      <c r="E386" s="149">
        <v>0</v>
      </c>
      <c r="F386" s="149">
        <v>1</v>
      </c>
      <c r="G386" s="147" t="str">
        <v>Pórtico Free-flow (2 ou mais faixas)</v>
      </c>
      <c r="H386" s="240" t="b">
        <v>0</v>
      </c>
      <c r="I386" s="147" t="b">
        <f t="shared" si="21"/>
        <v>0</v>
      </c>
      <c r="J386" s="185" t="b">
        <f t="shared" si="22"/>
        <v>1</v>
      </c>
      <c r="K386" s="185" t="b">
        <f t="shared" si="23"/>
        <v>0</v>
      </c>
      <c r="L386" s="362">
        <v>0</v>
      </c>
      <c r="M386" s="147">
        <v>0</v>
      </c>
      <c r="N386" s="147">
        <v>0</v>
      </c>
      <c r="O386" s="147">
        <v>0</v>
      </c>
      <c r="P386" s="147">
        <v>0</v>
      </c>
      <c r="Q386" s="147">
        <v>0</v>
      </c>
      <c r="R386" s="147">
        <v>0</v>
      </c>
      <c r="S386" s="147">
        <v>0</v>
      </c>
      <c r="T386" s="147">
        <v>0</v>
      </c>
      <c r="U386" s="147">
        <v>0</v>
      </c>
      <c r="V386" s="147">
        <v>-311990.52717173664</v>
      </c>
      <c r="W386" s="147">
        <v>0</v>
      </c>
      <c r="X386" s="147">
        <v>0</v>
      </c>
      <c r="Y386" s="147">
        <v>0</v>
      </c>
      <c r="Z386" s="147">
        <v>445700.75310248096</v>
      </c>
      <c r="AA386" s="147">
        <v>0</v>
      </c>
      <c r="AB386" s="147">
        <v>0</v>
      </c>
      <c r="AC386" s="147">
        <v>0</v>
      </c>
      <c r="AD386" s="147">
        <v>0</v>
      </c>
      <c r="AE386" s="147">
        <v>0</v>
      </c>
      <c r="AF386" s="147">
        <v>0</v>
      </c>
      <c r="AG386" s="147">
        <v>0</v>
      </c>
      <c r="AH386" s="147">
        <v>0</v>
      </c>
      <c r="AI386" s="147">
        <v>0</v>
      </c>
      <c r="AJ386" s="147">
        <v>445700.75310248096</v>
      </c>
      <c r="AK386" s="147">
        <v>0</v>
      </c>
      <c r="AL386" s="147">
        <v>0</v>
      </c>
      <c r="AM386" s="147">
        <v>0</v>
      </c>
      <c r="AN386" s="147">
        <v>0</v>
      </c>
      <c r="AO386" s="240">
        <v>0</v>
      </c>
      <c r="AP386" s="147">
        <f t="shared" si="24"/>
        <v>579410.97903322522</v>
      </c>
    </row>
    <row r="387" spans="2:42">
      <c r="B387" s="147" t="str">
        <v>Operação Geral</v>
      </c>
      <c r="C387" s="149" t="str">
        <v>6</v>
      </c>
      <c r="D387" s="149" t="str">
        <v>6.2.2</v>
      </c>
      <c r="E387" s="149">
        <v>0</v>
      </c>
      <c r="F387" s="149">
        <v>1</v>
      </c>
      <c r="G387" s="147" t="str">
        <v>Sensores de Tráfego (SAT) por localidade</v>
      </c>
      <c r="H387" s="240" t="b">
        <v>0</v>
      </c>
      <c r="I387" s="147" t="b">
        <f t="shared" si="21"/>
        <v>0</v>
      </c>
      <c r="J387" s="185" t="b">
        <f t="shared" si="22"/>
        <v>1</v>
      </c>
      <c r="K387" s="185" t="b">
        <f t="shared" si="23"/>
        <v>0</v>
      </c>
      <c r="L387" s="362">
        <v>0</v>
      </c>
      <c r="M387" s="147">
        <v>0</v>
      </c>
      <c r="N387" s="147">
        <v>0</v>
      </c>
      <c r="O387" s="147">
        <v>0</v>
      </c>
      <c r="P387" s="147">
        <v>0</v>
      </c>
      <c r="Q387" s="147">
        <v>0</v>
      </c>
      <c r="R387" s="147">
        <v>0</v>
      </c>
      <c r="S387" s="147">
        <v>0</v>
      </c>
      <c r="T387" s="147">
        <v>0</v>
      </c>
      <c r="U387" s="147">
        <v>0</v>
      </c>
      <c r="V387" s="147">
        <v>242069.00270777955</v>
      </c>
      <c r="W387" s="147">
        <v>0</v>
      </c>
      <c r="X387" s="147">
        <v>0</v>
      </c>
      <c r="Y387" s="147">
        <v>0</v>
      </c>
      <c r="Z387" s="147">
        <v>0</v>
      </c>
      <c r="AA387" s="147">
        <v>0</v>
      </c>
      <c r="AB387" s="147">
        <v>0</v>
      </c>
      <c r="AC387" s="147">
        <v>0</v>
      </c>
      <c r="AD387" s="147">
        <v>0</v>
      </c>
      <c r="AE387" s="147">
        <v>0</v>
      </c>
      <c r="AF387" s="147">
        <v>242069.00270777955</v>
      </c>
      <c r="AG387" s="147">
        <v>0</v>
      </c>
      <c r="AH387" s="147">
        <v>0</v>
      </c>
      <c r="AI387" s="147">
        <v>0</v>
      </c>
      <c r="AJ387" s="147">
        <v>0</v>
      </c>
      <c r="AK387" s="147">
        <v>0</v>
      </c>
      <c r="AL387" s="147">
        <v>0</v>
      </c>
      <c r="AM387" s="147">
        <v>0</v>
      </c>
      <c r="AN387" s="147">
        <v>0</v>
      </c>
      <c r="AO387" s="240">
        <v>0</v>
      </c>
      <c r="AP387" s="147">
        <f t="shared" si="24"/>
        <v>484138.00541555911</v>
      </c>
    </row>
    <row r="388" spans="2:42">
      <c r="B388" s="147" t="str">
        <v>Operação Geral</v>
      </c>
      <c r="C388" s="149" t="str">
        <v>6</v>
      </c>
      <c r="D388" s="149" t="str">
        <v>6.2.2</v>
      </c>
      <c r="E388" s="149">
        <v>0</v>
      </c>
      <c r="F388" s="149">
        <v>1</v>
      </c>
      <c r="G388" s="147" t="str">
        <v>PMV + Pórtico</v>
      </c>
      <c r="H388" s="240" t="b">
        <v>0</v>
      </c>
      <c r="I388" s="147" t="b">
        <f t="shared" si="21"/>
        <v>0</v>
      </c>
      <c r="J388" s="185" t="b">
        <f t="shared" si="22"/>
        <v>1</v>
      </c>
      <c r="K388" s="185" t="b">
        <f t="shared" si="23"/>
        <v>0</v>
      </c>
      <c r="L388" s="362">
        <v>0</v>
      </c>
      <c r="M388" s="147">
        <v>0</v>
      </c>
      <c r="N388" s="147">
        <v>0</v>
      </c>
      <c r="O388" s="147">
        <v>0</v>
      </c>
      <c r="P388" s="147">
        <v>0</v>
      </c>
      <c r="Q388" s="147">
        <v>0</v>
      </c>
      <c r="R388" s="147">
        <v>0</v>
      </c>
      <c r="S388" s="147">
        <v>0</v>
      </c>
      <c r="T388" s="147">
        <v>0</v>
      </c>
      <c r="U388" s="147">
        <v>0</v>
      </c>
      <c r="V388" s="147">
        <v>4091533.077142098</v>
      </c>
      <c r="W388" s="147">
        <v>0</v>
      </c>
      <c r="X388" s="147">
        <v>0</v>
      </c>
      <c r="Y388" s="147">
        <v>0</v>
      </c>
      <c r="Z388" s="147">
        <v>0</v>
      </c>
      <c r="AA388" s="147">
        <v>0</v>
      </c>
      <c r="AB388" s="147">
        <v>0</v>
      </c>
      <c r="AC388" s="147">
        <v>0</v>
      </c>
      <c r="AD388" s="147">
        <v>0</v>
      </c>
      <c r="AE388" s="147">
        <v>0</v>
      </c>
      <c r="AF388" s="147">
        <v>4091533.077142098</v>
      </c>
      <c r="AG388" s="147">
        <v>0</v>
      </c>
      <c r="AH388" s="147">
        <v>0</v>
      </c>
      <c r="AI388" s="147">
        <v>0</v>
      </c>
      <c r="AJ388" s="147">
        <v>0</v>
      </c>
      <c r="AK388" s="147">
        <v>0</v>
      </c>
      <c r="AL388" s="147">
        <v>0</v>
      </c>
      <c r="AM388" s="147">
        <v>0</v>
      </c>
      <c r="AN388" s="147">
        <v>0</v>
      </c>
      <c r="AO388" s="240">
        <v>0</v>
      </c>
      <c r="AP388" s="147">
        <f t="shared" si="24"/>
        <v>8183066.154284196</v>
      </c>
    </row>
    <row r="389" spans="2:42">
      <c r="B389" s="147" t="str">
        <v>Operação Geral</v>
      </c>
      <c r="C389" s="149" t="str">
        <v>6</v>
      </c>
      <c r="D389" s="149" t="str">
        <v>6.2.2</v>
      </c>
      <c r="E389" s="149">
        <v>0</v>
      </c>
      <c r="F389" s="149">
        <v>1</v>
      </c>
      <c r="G389" s="147" t="str">
        <v>Sistema HS-WIM</v>
      </c>
      <c r="H389" s="240" t="b">
        <v>0</v>
      </c>
      <c r="I389" s="147" t="b">
        <f t="shared" si="21"/>
        <v>0</v>
      </c>
      <c r="J389" s="185" t="b">
        <f t="shared" si="22"/>
        <v>1</v>
      </c>
      <c r="K389" s="185" t="b">
        <f t="shared" si="23"/>
        <v>0</v>
      </c>
      <c r="L389" s="362">
        <v>0</v>
      </c>
      <c r="M389" s="147">
        <v>0</v>
      </c>
      <c r="N389" s="147">
        <v>0</v>
      </c>
      <c r="O389" s="147">
        <v>0</v>
      </c>
      <c r="P389" s="147">
        <v>0</v>
      </c>
      <c r="Q389" s="147">
        <v>0</v>
      </c>
      <c r="R389" s="147">
        <v>0</v>
      </c>
      <c r="S389" s="147">
        <v>0</v>
      </c>
      <c r="T389" s="147">
        <v>0</v>
      </c>
      <c r="U389" s="147">
        <v>0</v>
      </c>
      <c r="V389" s="147">
        <v>0</v>
      </c>
      <c r="W389" s="147">
        <v>0</v>
      </c>
      <c r="X389" s="147">
        <v>0</v>
      </c>
      <c r="Y389" s="147">
        <v>0</v>
      </c>
      <c r="Z389" s="147">
        <v>0</v>
      </c>
      <c r="AA389" s="147">
        <v>0</v>
      </c>
      <c r="AB389" s="147">
        <v>0</v>
      </c>
      <c r="AC389" s="147">
        <v>0</v>
      </c>
      <c r="AD389" s="147">
        <v>0</v>
      </c>
      <c r="AE389" s="147">
        <v>0</v>
      </c>
      <c r="AF389" s="147">
        <v>0</v>
      </c>
      <c r="AG389" s="147">
        <v>0</v>
      </c>
      <c r="AH389" s="147">
        <v>0</v>
      </c>
      <c r="AI389" s="147">
        <v>0</v>
      </c>
      <c r="AJ389" s="147">
        <v>0</v>
      </c>
      <c r="AK389" s="147">
        <v>0</v>
      </c>
      <c r="AL389" s="147">
        <v>0</v>
      </c>
      <c r="AM389" s="147">
        <v>0</v>
      </c>
      <c r="AN389" s="147">
        <v>0</v>
      </c>
      <c r="AO389" s="240">
        <v>0</v>
      </c>
      <c r="AP389" s="147">
        <f t="shared" si="24"/>
        <v>0</v>
      </c>
    </row>
    <row r="390" spans="2:42">
      <c r="B390" s="147" t="str">
        <v>Operação Geral</v>
      </c>
      <c r="C390" s="149" t="str">
        <v>6</v>
      </c>
      <c r="D390" s="149" t="str">
        <v>6.2.2</v>
      </c>
      <c r="E390" s="149">
        <v>0</v>
      </c>
      <c r="F390" s="149">
        <v>1</v>
      </c>
      <c r="G390" s="147" t="str">
        <v>Sistema (Software, sensores, gerador etc.)</v>
      </c>
      <c r="H390" s="240" t="b">
        <v>0</v>
      </c>
      <c r="I390" s="147" t="b">
        <f t="shared" ref="I390:I420" si="25">OR(ISNUMBER(FIND("Antivirus",G390)),
    ISNUMBER(FIND("ARCGIS",G390)),
    ISNUMBER(FIND("AutoCAD",G390)),
    ISNUMBER(FIND("Correio eletrônico",G390)),
    ISNUMBER(FIND("ISO 9001:2008",G390)),
    ISNUMBER(FIND("Microsoft",G390)),
    ISNUMBER(FIND("Sistema de Informações Georreferenciadas",G390)),
    ISNUMBER(FIND("Sistema 0800 - CCO",G390)),
    ISNUMBER(FIND("Sistema de Comunicação com os Usuários",G390)),
    ISNUMBER(FIND("Software",G390)),
    ISNUMBER(FIND("Storage",G390)),
    ISNUMBER(FIND("Windows Server",G390)))</f>
        <v>1</v>
      </c>
      <c r="J390" s="185" t="b">
        <f t="shared" ref="J390:J420" si="26">OR(F390,I390)</f>
        <v>1</v>
      </c>
      <c r="K390" s="185" t="b">
        <f t="shared" si="23"/>
        <v>0</v>
      </c>
      <c r="L390" s="362">
        <v>0</v>
      </c>
      <c r="M390" s="147">
        <v>0</v>
      </c>
      <c r="N390" s="147">
        <v>0</v>
      </c>
      <c r="O390" s="147">
        <v>0</v>
      </c>
      <c r="P390" s="147">
        <v>0</v>
      </c>
      <c r="Q390" s="147">
        <v>0</v>
      </c>
      <c r="R390" s="147">
        <v>0</v>
      </c>
      <c r="S390" s="147">
        <v>0</v>
      </c>
      <c r="T390" s="147">
        <v>0</v>
      </c>
      <c r="U390" s="147">
        <v>0</v>
      </c>
      <c r="V390" s="147">
        <v>0</v>
      </c>
      <c r="W390" s="147">
        <v>0</v>
      </c>
      <c r="X390" s="147">
        <v>0</v>
      </c>
      <c r="Y390" s="147">
        <v>0</v>
      </c>
      <c r="Z390" s="147">
        <v>0</v>
      </c>
      <c r="AA390" s="147">
        <v>3000000</v>
      </c>
      <c r="AB390" s="147">
        <v>0</v>
      </c>
      <c r="AC390" s="147">
        <v>0</v>
      </c>
      <c r="AD390" s="147">
        <v>0</v>
      </c>
      <c r="AE390" s="147">
        <v>0</v>
      </c>
      <c r="AF390" s="147">
        <v>0</v>
      </c>
      <c r="AG390" s="147">
        <v>0</v>
      </c>
      <c r="AH390" s="147">
        <v>0</v>
      </c>
      <c r="AI390" s="147">
        <v>0</v>
      </c>
      <c r="AJ390" s="147">
        <v>0</v>
      </c>
      <c r="AK390" s="147">
        <v>3000000</v>
      </c>
      <c r="AL390" s="147">
        <v>0</v>
      </c>
      <c r="AM390" s="147">
        <v>0</v>
      </c>
      <c r="AN390" s="147">
        <v>0</v>
      </c>
      <c r="AO390" s="240">
        <v>0</v>
      </c>
      <c r="AP390" s="147">
        <f t="shared" ref="AP390:AP420" si="27">SUM(L390:AO390)</f>
        <v>6000000</v>
      </c>
    </row>
    <row r="391" spans="2:42">
      <c r="B391" s="147" t="str">
        <v>Operação Geral</v>
      </c>
      <c r="C391" s="149" t="str">
        <v>6</v>
      </c>
      <c r="D391" s="149" t="str">
        <v>6.2.2</v>
      </c>
      <c r="E391" s="149">
        <v>0</v>
      </c>
      <c r="F391" s="149">
        <v>1</v>
      </c>
      <c r="G391" s="147" t="str">
        <v>Câmeras</v>
      </c>
      <c r="H391" s="240" t="b">
        <v>0</v>
      </c>
      <c r="I391" s="147" t="b">
        <f t="shared" si="25"/>
        <v>0</v>
      </c>
      <c r="J391" s="185" t="b">
        <f t="shared" si="26"/>
        <v>1</v>
      </c>
      <c r="K391" s="185" t="b">
        <f t="shared" si="23"/>
        <v>0</v>
      </c>
      <c r="L391" s="362">
        <v>0</v>
      </c>
      <c r="M391" s="147">
        <v>0</v>
      </c>
      <c r="N391" s="147">
        <v>0</v>
      </c>
      <c r="O391" s="147">
        <v>0</v>
      </c>
      <c r="P391" s="147">
        <v>0</v>
      </c>
      <c r="Q391" s="147">
        <v>0</v>
      </c>
      <c r="R391" s="147">
        <v>0</v>
      </c>
      <c r="S391" s="147">
        <v>0</v>
      </c>
      <c r="T391" s="147">
        <v>0</v>
      </c>
      <c r="U391" s="147">
        <v>0</v>
      </c>
      <c r="V391" s="147">
        <v>0</v>
      </c>
      <c r="W391" s="147">
        <v>0</v>
      </c>
      <c r="X391" s="147">
        <v>0</v>
      </c>
      <c r="Y391" s="147">
        <v>0</v>
      </c>
      <c r="Z391" s="147">
        <v>0</v>
      </c>
      <c r="AA391" s="147">
        <v>286246.88844123256</v>
      </c>
      <c r="AB391" s="147">
        <v>0</v>
      </c>
      <c r="AC391" s="147">
        <v>0</v>
      </c>
      <c r="AD391" s="147">
        <v>0</v>
      </c>
      <c r="AE391" s="147">
        <v>0</v>
      </c>
      <c r="AF391" s="147">
        <v>0</v>
      </c>
      <c r="AG391" s="147">
        <v>0</v>
      </c>
      <c r="AH391" s="147">
        <v>0</v>
      </c>
      <c r="AI391" s="147">
        <v>0</v>
      </c>
      <c r="AJ391" s="147">
        <v>0</v>
      </c>
      <c r="AK391" s="147">
        <v>286246.88844123256</v>
      </c>
      <c r="AL391" s="147">
        <v>0</v>
      </c>
      <c r="AM391" s="147">
        <v>0</v>
      </c>
      <c r="AN391" s="147">
        <v>0</v>
      </c>
      <c r="AO391" s="240">
        <v>0</v>
      </c>
      <c r="AP391" s="147">
        <f t="shared" si="27"/>
        <v>572493.77688246511</v>
      </c>
    </row>
    <row r="392" spans="2:42">
      <c r="B392" s="147" t="str">
        <v>Operação Geral</v>
      </c>
      <c r="C392" s="149" t="str">
        <v>6</v>
      </c>
      <c r="D392" s="149" t="str">
        <v>6.2.2</v>
      </c>
      <c r="E392" s="149">
        <v>0</v>
      </c>
      <c r="F392" s="149">
        <v>1</v>
      </c>
      <c r="G392" s="147" t="str">
        <v>Sensores de Tráfego (SAT) por localidade</v>
      </c>
      <c r="H392" s="240" t="b">
        <v>0</v>
      </c>
      <c r="I392" s="147" t="b">
        <f t="shared" si="25"/>
        <v>0</v>
      </c>
      <c r="J392" s="185" t="b">
        <f t="shared" si="26"/>
        <v>1</v>
      </c>
      <c r="K392" s="185" t="b">
        <f t="shared" si="23"/>
        <v>0</v>
      </c>
      <c r="L392" s="362">
        <v>0</v>
      </c>
      <c r="M392" s="147">
        <v>0</v>
      </c>
      <c r="N392" s="147">
        <v>0</v>
      </c>
      <c r="O392" s="147">
        <v>0</v>
      </c>
      <c r="P392" s="147">
        <v>0</v>
      </c>
      <c r="Q392" s="147">
        <v>0</v>
      </c>
      <c r="R392" s="147">
        <v>0</v>
      </c>
      <c r="S392" s="147">
        <v>0</v>
      </c>
      <c r="T392" s="147">
        <v>0</v>
      </c>
      <c r="U392" s="147">
        <v>0</v>
      </c>
      <c r="V392" s="147">
        <v>0</v>
      </c>
      <c r="W392" s="147">
        <v>0</v>
      </c>
      <c r="X392" s="147">
        <v>0</v>
      </c>
      <c r="Y392" s="147">
        <v>0</v>
      </c>
      <c r="Z392" s="147">
        <v>0</v>
      </c>
      <c r="AA392" s="147">
        <v>228330.89193014853</v>
      </c>
      <c r="AB392" s="147">
        <v>0</v>
      </c>
      <c r="AC392" s="147">
        <v>0</v>
      </c>
      <c r="AD392" s="147">
        <v>0</v>
      </c>
      <c r="AE392" s="147">
        <v>0</v>
      </c>
      <c r="AF392" s="147">
        <v>0</v>
      </c>
      <c r="AG392" s="147">
        <v>0</v>
      </c>
      <c r="AH392" s="147">
        <v>0</v>
      </c>
      <c r="AI392" s="147">
        <v>0</v>
      </c>
      <c r="AJ392" s="147">
        <v>0</v>
      </c>
      <c r="AK392" s="147">
        <v>228330.89193014853</v>
      </c>
      <c r="AL392" s="147">
        <v>0</v>
      </c>
      <c r="AM392" s="147">
        <v>0</v>
      </c>
      <c r="AN392" s="147">
        <v>0</v>
      </c>
      <c r="AO392" s="240">
        <v>0</v>
      </c>
      <c r="AP392" s="147">
        <f t="shared" si="27"/>
        <v>456661.78386029706</v>
      </c>
    </row>
    <row r="393" spans="2:42">
      <c r="B393" s="147" t="str">
        <v>Operação Geral</v>
      </c>
      <c r="C393" s="149" t="str">
        <v>6</v>
      </c>
      <c r="D393" s="149" t="str">
        <v>6.2.2</v>
      </c>
      <c r="E393" s="149">
        <v>0</v>
      </c>
      <c r="F393" s="149">
        <v>1</v>
      </c>
      <c r="G393" s="147" t="str">
        <v>Pórtico HS-WIM (2 ou mais faixas)</v>
      </c>
      <c r="H393" s="240" t="b">
        <v>0</v>
      </c>
      <c r="I393" s="147" t="b">
        <f t="shared" si="25"/>
        <v>0</v>
      </c>
      <c r="J393" s="185" t="b">
        <f t="shared" si="26"/>
        <v>1</v>
      </c>
      <c r="K393" s="185" t="b">
        <f t="shared" si="23"/>
        <v>0</v>
      </c>
      <c r="L393" s="362">
        <v>0</v>
      </c>
      <c r="M393" s="147">
        <v>0</v>
      </c>
      <c r="N393" s="147">
        <v>0</v>
      </c>
      <c r="O393" s="147">
        <v>0</v>
      </c>
      <c r="P393" s="147">
        <v>0</v>
      </c>
      <c r="Q393" s="147">
        <v>0</v>
      </c>
      <c r="R393" s="147">
        <v>0</v>
      </c>
      <c r="S393" s="147">
        <v>0</v>
      </c>
      <c r="T393" s="147">
        <v>0</v>
      </c>
      <c r="U393" s="147">
        <v>0</v>
      </c>
      <c r="V393" s="147">
        <v>0</v>
      </c>
      <c r="W393" s="147">
        <v>0</v>
      </c>
      <c r="X393" s="147">
        <v>0</v>
      </c>
      <c r="Y393" s="147">
        <v>0</v>
      </c>
      <c r="Z393" s="147">
        <v>0</v>
      </c>
      <c r="AA393" s="147">
        <v>222850.37655124048</v>
      </c>
      <c r="AB393" s="147">
        <v>0</v>
      </c>
      <c r="AC393" s="147">
        <v>0</v>
      </c>
      <c r="AD393" s="147">
        <v>0</v>
      </c>
      <c r="AE393" s="147">
        <v>0</v>
      </c>
      <c r="AF393" s="147">
        <v>0</v>
      </c>
      <c r="AG393" s="147">
        <v>0</v>
      </c>
      <c r="AH393" s="147">
        <v>0</v>
      </c>
      <c r="AI393" s="147">
        <v>0</v>
      </c>
      <c r="AJ393" s="147">
        <v>0</v>
      </c>
      <c r="AK393" s="147">
        <v>222850.37655124048</v>
      </c>
      <c r="AL393" s="147">
        <v>0</v>
      </c>
      <c r="AM393" s="147">
        <v>0</v>
      </c>
      <c r="AN393" s="147">
        <v>0</v>
      </c>
      <c r="AO393" s="240">
        <v>0</v>
      </c>
      <c r="AP393" s="147">
        <f t="shared" si="27"/>
        <v>445700.75310248096</v>
      </c>
    </row>
    <row r="394" spans="2:42">
      <c r="B394" s="147" t="str">
        <v>Operação Geral</v>
      </c>
      <c r="C394" s="149" t="str">
        <v>6</v>
      </c>
      <c r="D394" s="149" t="str">
        <v>6.2.2</v>
      </c>
      <c r="E394" s="149">
        <v>0</v>
      </c>
      <c r="F394" s="149">
        <v>1</v>
      </c>
      <c r="G394" s="147" t="str">
        <v>PMV + Pórtico</v>
      </c>
      <c r="H394" s="240" t="b">
        <v>0</v>
      </c>
      <c r="I394" s="147" t="b">
        <f t="shared" si="25"/>
        <v>0</v>
      </c>
      <c r="J394" s="185" t="b">
        <f t="shared" si="26"/>
        <v>1</v>
      </c>
      <c r="K394" s="185" t="b">
        <f t="shared" si="23"/>
        <v>0</v>
      </c>
      <c r="L394" s="362">
        <v>0</v>
      </c>
      <c r="M394" s="147">
        <v>0</v>
      </c>
      <c r="N394" s="147">
        <v>0</v>
      </c>
      <c r="O394" s="147">
        <v>0</v>
      </c>
      <c r="P394" s="147">
        <v>0</v>
      </c>
      <c r="Q394" s="147">
        <v>0</v>
      </c>
      <c r="R394" s="147">
        <v>0</v>
      </c>
      <c r="S394" s="147">
        <v>0</v>
      </c>
      <c r="T394" s="147">
        <v>0</v>
      </c>
      <c r="U394" s="147">
        <v>0</v>
      </c>
      <c r="V394" s="147">
        <v>0</v>
      </c>
      <c r="W394" s="147">
        <v>0</v>
      </c>
      <c r="X394" s="147">
        <v>0</v>
      </c>
      <c r="Y394" s="147">
        <v>0</v>
      </c>
      <c r="Z394" s="147">
        <v>0</v>
      </c>
      <c r="AA394" s="147">
        <v>1082952.8374784226</v>
      </c>
      <c r="AB394" s="147">
        <v>0</v>
      </c>
      <c r="AC394" s="147">
        <v>0</v>
      </c>
      <c r="AD394" s="147">
        <v>0</v>
      </c>
      <c r="AE394" s="147">
        <v>0</v>
      </c>
      <c r="AF394" s="147">
        <v>0</v>
      </c>
      <c r="AG394" s="147">
        <v>0</v>
      </c>
      <c r="AH394" s="147">
        <v>0</v>
      </c>
      <c r="AI394" s="147">
        <v>0</v>
      </c>
      <c r="AJ394" s="147">
        <v>0</v>
      </c>
      <c r="AK394" s="147">
        <v>1082952.8374784226</v>
      </c>
      <c r="AL394" s="147">
        <v>0</v>
      </c>
      <c r="AM394" s="147">
        <v>0</v>
      </c>
      <c r="AN394" s="147">
        <v>0</v>
      </c>
      <c r="AO394" s="240">
        <v>0</v>
      </c>
      <c r="AP394" s="147">
        <f t="shared" si="27"/>
        <v>2165905.6749568451</v>
      </c>
    </row>
    <row r="395" spans="2:42">
      <c r="B395" s="147" t="str">
        <v>Operação Geral</v>
      </c>
      <c r="C395" s="149" t="str">
        <v>6</v>
      </c>
      <c r="D395" s="149" t="str">
        <v>6.2.2</v>
      </c>
      <c r="E395" s="149">
        <v>0</v>
      </c>
      <c r="F395" s="149">
        <v>1</v>
      </c>
      <c r="G395" s="147" t="str">
        <v>Autoatendimento - Pagamento de pedágio</v>
      </c>
      <c r="H395" s="240" t="b">
        <v>0</v>
      </c>
      <c r="I395" s="147" t="b">
        <f t="shared" si="25"/>
        <v>0</v>
      </c>
      <c r="J395" s="185" t="b">
        <f t="shared" si="26"/>
        <v>1</v>
      </c>
      <c r="K395" s="185" t="b">
        <f t="shared" si="23"/>
        <v>0</v>
      </c>
      <c r="L395" s="362">
        <v>0</v>
      </c>
      <c r="M395" s="147">
        <v>0</v>
      </c>
      <c r="N395" s="147">
        <v>0</v>
      </c>
      <c r="O395" s="147">
        <v>0</v>
      </c>
      <c r="P395" s="147">
        <v>0</v>
      </c>
      <c r="Q395" s="147">
        <v>0</v>
      </c>
      <c r="R395" s="147">
        <v>0</v>
      </c>
      <c r="S395" s="147">
        <v>0</v>
      </c>
      <c r="T395" s="147">
        <v>0</v>
      </c>
      <c r="U395" s="147">
        <v>0</v>
      </c>
      <c r="V395" s="147">
        <v>0</v>
      </c>
      <c r="W395" s="147">
        <v>0</v>
      </c>
      <c r="X395" s="147">
        <v>0</v>
      </c>
      <c r="Y395" s="147">
        <v>0</v>
      </c>
      <c r="Z395" s="147">
        <v>0</v>
      </c>
      <c r="AA395" s="147">
        <v>0</v>
      </c>
      <c r="AB395" s="147">
        <v>0</v>
      </c>
      <c r="AC395" s="147">
        <v>0</v>
      </c>
      <c r="AD395" s="147">
        <v>0</v>
      </c>
      <c r="AE395" s="147">
        <v>0</v>
      </c>
      <c r="AF395" s="147">
        <v>0</v>
      </c>
      <c r="AG395" s="147">
        <v>0</v>
      </c>
      <c r="AH395" s="147">
        <v>0</v>
      </c>
      <c r="AI395" s="147">
        <v>0</v>
      </c>
      <c r="AJ395" s="147">
        <v>0</v>
      </c>
      <c r="AK395" s="147">
        <v>0</v>
      </c>
      <c r="AL395" s="147">
        <v>0</v>
      </c>
      <c r="AM395" s="147">
        <v>0</v>
      </c>
      <c r="AN395" s="147">
        <v>0</v>
      </c>
      <c r="AO395" s="240">
        <v>0</v>
      </c>
      <c r="AP395" s="147">
        <f t="shared" si="27"/>
        <v>0</v>
      </c>
    </row>
    <row r="396" spans="2:42">
      <c r="B396" s="147" t="str">
        <v>Operação Geral</v>
      </c>
      <c r="C396" s="149" t="str">
        <v>6</v>
      </c>
      <c r="D396" s="149" t="str">
        <v>6.2.2</v>
      </c>
      <c r="E396" s="149">
        <v>0</v>
      </c>
      <c r="F396" s="149">
        <v>1</v>
      </c>
      <c r="G396" s="147" t="str">
        <v>Totem de Autoatendimento</v>
      </c>
      <c r="H396" s="240" t="b">
        <v>0</v>
      </c>
      <c r="I396" s="147" t="b">
        <f t="shared" si="25"/>
        <v>0</v>
      </c>
      <c r="J396" s="185" t="b">
        <f t="shared" si="26"/>
        <v>1</v>
      </c>
      <c r="K396" s="185" t="b">
        <f t="shared" si="23"/>
        <v>0</v>
      </c>
      <c r="L396" s="362">
        <v>0</v>
      </c>
      <c r="M396" s="147">
        <v>0</v>
      </c>
      <c r="N396" s="147">
        <v>0</v>
      </c>
      <c r="O396" s="147">
        <v>0</v>
      </c>
      <c r="P396" s="147">
        <v>0</v>
      </c>
      <c r="Q396" s="147">
        <v>0</v>
      </c>
      <c r="R396" s="147">
        <v>0</v>
      </c>
      <c r="S396" s="147">
        <v>0</v>
      </c>
      <c r="T396" s="147">
        <v>0</v>
      </c>
      <c r="U396" s="147">
        <v>0</v>
      </c>
      <c r="V396" s="147">
        <v>602603.52594136586</v>
      </c>
      <c r="W396" s="147">
        <v>0</v>
      </c>
      <c r="X396" s="147">
        <v>0</v>
      </c>
      <c r="Y396" s="147">
        <v>0</v>
      </c>
      <c r="Z396" s="147">
        <v>0</v>
      </c>
      <c r="AA396" s="147">
        <v>0</v>
      </c>
      <c r="AB396" s="147">
        <v>0</v>
      </c>
      <c r="AC396" s="147">
        <v>0</v>
      </c>
      <c r="AD396" s="147">
        <v>0</v>
      </c>
      <c r="AE396" s="147">
        <v>0</v>
      </c>
      <c r="AF396" s="147">
        <v>602603.52594136586</v>
      </c>
      <c r="AG396" s="147">
        <v>0</v>
      </c>
      <c r="AH396" s="147">
        <v>0</v>
      </c>
      <c r="AI396" s="147">
        <v>0</v>
      </c>
      <c r="AJ396" s="147">
        <v>0</v>
      </c>
      <c r="AK396" s="147">
        <v>0</v>
      </c>
      <c r="AL396" s="147">
        <v>0</v>
      </c>
      <c r="AM396" s="147">
        <v>0</v>
      </c>
      <c r="AN396" s="147">
        <v>0</v>
      </c>
      <c r="AO396" s="240">
        <v>0</v>
      </c>
      <c r="AP396" s="147">
        <f t="shared" si="27"/>
        <v>1205207.0518827317</v>
      </c>
    </row>
    <row r="397" spans="2:42">
      <c r="B397" s="147">
        <v>0</v>
      </c>
      <c r="C397" s="149" t="str">
        <v>0</v>
      </c>
      <c r="D397" s="149">
        <v>0</v>
      </c>
      <c r="E397" s="149">
        <v>0</v>
      </c>
      <c r="F397" s="149">
        <v>1</v>
      </c>
      <c r="G397" s="147">
        <v>0</v>
      </c>
      <c r="H397" s="240" t="b">
        <v>0</v>
      </c>
      <c r="I397" s="147" t="b">
        <f t="shared" si="25"/>
        <v>0</v>
      </c>
      <c r="J397" s="185" t="b">
        <f t="shared" si="26"/>
        <v>1</v>
      </c>
      <c r="K397" s="185" t="b">
        <f t="shared" si="23"/>
        <v>0</v>
      </c>
      <c r="L397" s="362">
        <v>0</v>
      </c>
      <c r="M397" s="147">
        <v>0</v>
      </c>
      <c r="N397" s="147">
        <v>0</v>
      </c>
      <c r="O397" s="147">
        <v>0</v>
      </c>
      <c r="P397" s="147">
        <v>0</v>
      </c>
      <c r="Q397" s="147">
        <v>0</v>
      </c>
      <c r="R397" s="147">
        <v>0</v>
      </c>
      <c r="S397" s="147">
        <v>0</v>
      </c>
      <c r="T397" s="147">
        <v>0</v>
      </c>
      <c r="U397" s="147">
        <v>0</v>
      </c>
      <c r="V397" s="147">
        <v>0</v>
      </c>
      <c r="W397" s="147">
        <v>0</v>
      </c>
      <c r="X397" s="147">
        <v>0</v>
      </c>
      <c r="Y397" s="147">
        <v>0</v>
      </c>
      <c r="Z397" s="147">
        <v>0</v>
      </c>
      <c r="AA397" s="147">
        <v>0</v>
      </c>
      <c r="AB397" s="147">
        <v>0</v>
      </c>
      <c r="AC397" s="147">
        <v>0</v>
      </c>
      <c r="AD397" s="147">
        <v>0</v>
      </c>
      <c r="AE397" s="147">
        <v>0</v>
      </c>
      <c r="AF397" s="147">
        <v>0</v>
      </c>
      <c r="AG397" s="147">
        <v>0</v>
      </c>
      <c r="AH397" s="147">
        <v>0</v>
      </c>
      <c r="AI397" s="147">
        <v>0</v>
      </c>
      <c r="AJ397" s="147">
        <v>0</v>
      </c>
      <c r="AK397" s="147">
        <v>0</v>
      </c>
      <c r="AL397" s="147">
        <v>0</v>
      </c>
      <c r="AM397" s="147">
        <v>0</v>
      </c>
      <c r="AN397" s="147">
        <v>0</v>
      </c>
      <c r="AO397" s="240">
        <v>0</v>
      </c>
      <c r="AP397" s="147">
        <f t="shared" si="27"/>
        <v>0</v>
      </c>
    </row>
    <row r="398" spans="2:42">
      <c r="B398" s="147">
        <v>0</v>
      </c>
      <c r="C398" s="149" t="str">
        <v>0</v>
      </c>
      <c r="D398" s="149">
        <v>0</v>
      </c>
      <c r="E398" s="149">
        <v>0</v>
      </c>
      <c r="F398" s="149">
        <v>1</v>
      </c>
      <c r="G398" s="147">
        <v>0</v>
      </c>
      <c r="H398" s="240" t="b">
        <v>0</v>
      </c>
      <c r="I398" s="147" t="b">
        <f t="shared" si="25"/>
        <v>0</v>
      </c>
      <c r="J398" s="185" t="b">
        <f t="shared" si="26"/>
        <v>1</v>
      </c>
      <c r="K398" s="185" t="b">
        <f t="shared" si="23"/>
        <v>0</v>
      </c>
      <c r="L398" s="362">
        <v>0</v>
      </c>
      <c r="M398" s="147">
        <v>0</v>
      </c>
      <c r="N398" s="147">
        <v>0</v>
      </c>
      <c r="O398" s="147">
        <v>0</v>
      </c>
      <c r="P398" s="147">
        <v>0</v>
      </c>
      <c r="Q398" s="147">
        <v>0</v>
      </c>
      <c r="R398" s="147">
        <v>0</v>
      </c>
      <c r="S398" s="147">
        <v>0</v>
      </c>
      <c r="T398" s="147">
        <v>0</v>
      </c>
      <c r="U398" s="147">
        <v>0</v>
      </c>
      <c r="V398" s="147">
        <v>0</v>
      </c>
      <c r="W398" s="147">
        <v>0</v>
      </c>
      <c r="X398" s="147">
        <v>0</v>
      </c>
      <c r="Y398" s="147">
        <v>0</v>
      </c>
      <c r="Z398" s="147">
        <v>0</v>
      </c>
      <c r="AA398" s="147">
        <v>0</v>
      </c>
      <c r="AB398" s="147">
        <v>0</v>
      </c>
      <c r="AC398" s="147">
        <v>0</v>
      </c>
      <c r="AD398" s="147">
        <v>0</v>
      </c>
      <c r="AE398" s="147">
        <v>0</v>
      </c>
      <c r="AF398" s="147">
        <v>0</v>
      </c>
      <c r="AG398" s="147">
        <v>0</v>
      </c>
      <c r="AH398" s="147">
        <v>0</v>
      </c>
      <c r="AI398" s="147">
        <v>0</v>
      </c>
      <c r="AJ398" s="147">
        <v>0</v>
      </c>
      <c r="AK398" s="147">
        <v>0</v>
      </c>
      <c r="AL398" s="147">
        <v>0</v>
      </c>
      <c r="AM398" s="147">
        <v>0</v>
      </c>
      <c r="AN398" s="147">
        <v>0</v>
      </c>
      <c r="AO398" s="240">
        <v>0</v>
      </c>
      <c r="AP398" s="147">
        <f t="shared" si="27"/>
        <v>0</v>
      </c>
    </row>
    <row r="399" spans="2:42">
      <c r="B399" s="147">
        <v>0</v>
      </c>
      <c r="C399" s="149" t="str">
        <v>0</v>
      </c>
      <c r="D399" s="149">
        <v>0</v>
      </c>
      <c r="E399" s="149">
        <v>0</v>
      </c>
      <c r="F399" s="149">
        <v>1</v>
      </c>
      <c r="G399" s="147">
        <v>0</v>
      </c>
      <c r="H399" s="240" t="b">
        <v>0</v>
      </c>
      <c r="I399" s="147" t="b">
        <f t="shared" si="25"/>
        <v>0</v>
      </c>
      <c r="J399" s="185" t="b">
        <f t="shared" si="26"/>
        <v>1</v>
      </c>
      <c r="K399" s="185" t="b">
        <f t="shared" si="23"/>
        <v>0</v>
      </c>
      <c r="L399" s="362">
        <v>0</v>
      </c>
      <c r="M399" s="147">
        <v>0</v>
      </c>
      <c r="N399" s="147">
        <v>0</v>
      </c>
      <c r="O399" s="147">
        <v>0</v>
      </c>
      <c r="P399" s="147">
        <v>0</v>
      </c>
      <c r="Q399" s="147">
        <v>0</v>
      </c>
      <c r="R399" s="147">
        <v>0</v>
      </c>
      <c r="S399" s="147">
        <v>0</v>
      </c>
      <c r="T399" s="147">
        <v>0</v>
      </c>
      <c r="U399" s="147">
        <v>0</v>
      </c>
      <c r="V399" s="147">
        <v>0</v>
      </c>
      <c r="W399" s="147">
        <v>0</v>
      </c>
      <c r="X399" s="147">
        <v>0</v>
      </c>
      <c r="Y399" s="147">
        <v>0</v>
      </c>
      <c r="Z399" s="147">
        <v>0</v>
      </c>
      <c r="AA399" s="147">
        <v>0</v>
      </c>
      <c r="AB399" s="147">
        <v>0</v>
      </c>
      <c r="AC399" s="147">
        <v>0</v>
      </c>
      <c r="AD399" s="147">
        <v>0</v>
      </c>
      <c r="AE399" s="147">
        <v>0</v>
      </c>
      <c r="AF399" s="147">
        <v>0</v>
      </c>
      <c r="AG399" s="147">
        <v>0</v>
      </c>
      <c r="AH399" s="147">
        <v>0</v>
      </c>
      <c r="AI399" s="147">
        <v>0</v>
      </c>
      <c r="AJ399" s="147">
        <v>0</v>
      </c>
      <c r="AK399" s="147">
        <v>0</v>
      </c>
      <c r="AL399" s="147">
        <v>0</v>
      </c>
      <c r="AM399" s="147">
        <v>0</v>
      </c>
      <c r="AN399" s="147">
        <v>0</v>
      </c>
      <c r="AO399" s="240">
        <v>0</v>
      </c>
      <c r="AP399" s="147">
        <f t="shared" si="27"/>
        <v>0</v>
      </c>
    </row>
    <row r="400" spans="2:42">
      <c r="B400" s="147">
        <v>0</v>
      </c>
      <c r="C400" s="149" t="str">
        <v>0</v>
      </c>
      <c r="D400" s="149">
        <v>0</v>
      </c>
      <c r="E400" s="149">
        <v>0</v>
      </c>
      <c r="F400" s="149">
        <v>1</v>
      </c>
      <c r="G400" s="147">
        <v>0</v>
      </c>
      <c r="H400" s="240" t="b">
        <v>0</v>
      </c>
      <c r="I400" s="147" t="b">
        <f t="shared" si="25"/>
        <v>0</v>
      </c>
      <c r="J400" s="185" t="b">
        <f t="shared" si="26"/>
        <v>1</v>
      </c>
      <c r="K400" s="185" t="b">
        <f t="shared" si="23"/>
        <v>0</v>
      </c>
      <c r="L400" s="362">
        <v>0</v>
      </c>
      <c r="M400" s="147">
        <v>0</v>
      </c>
      <c r="N400" s="147">
        <v>0</v>
      </c>
      <c r="O400" s="147">
        <v>0</v>
      </c>
      <c r="P400" s="147">
        <v>0</v>
      </c>
      <c r="Q400" s="147">
        <v>0</v>
      </c>
      <c r="R400" s="147">
        <v>0</v>
      </c>
      <c r="S400" s="147">
        <v>0</v>
      </c>
      <c r="T400" s="147">
        <v>0</v>
      </c>
      <c r="U400" s="147">
        <v>0</v>
      </c>
      <c r="V400" s="147">
        <v>0</v>
      </c>
      <c r="W400" s="147">
        <v>0</v>
      </c>
      <c r="X400" s="147">
        <v>0</v>
      </c>
      <c r="Y400" s="147">
        <v>0</v>
      </c>
      <c r="Z400" s="147">
        <v>0</v>
      </c>
      <c r="AA400" s="147">
        <v>0</v>
      </c>
      <c r="AB400" s="147">
        <v>0</v>
      </c>
      <c r="AC400" s="147">
        <v>0</v>
      </c>
      <c r="AD400" s="147">
        <v>0</v>
      </c>
      <c r="AE400" s="147">
        <v>0</v>
      </c>
      <c r="AF400" s="147">
        <v>0</v>
      </c>
      <c r="AG400" s="147">
        <v>0</v>
      </c>
      <c r="AH400" s="147">
        <v>0</v>
      </c>
      <c r="AI400" s="147">
        <v>0</v>
      </c>
      <c r="AJ400" s="147">
        <v>0</v>
      </c>
      <c r="AK400" s="147">
        <v>0</v>
      </c>
      <c r="AL400" s="147">
        <v>0</v>
      </c>
      <c r="AM400" s="147">
        <v>0</v>
      </c>
      <c r="AN400" s="147">
        <v>0</v>
      </c>
      <c r="AO400" s="240">
        <v>0</v>
      </c>
      <c r="AP400" s="147">
        <f t="shared" si="27"/>
        <v>0</v>
      </c>
    </row>
    <row r="401" spans="2:42">
      <c r="B401" s="147">
        <v>0</v>
      </c>
      <c r="C401" s="149" t="str">
        <v>0</v>
      </c>
      <c r="D401" s="149">
        <v>0</v>
      </c>
      <c r="E401" s="149">
        <v>0</v>
      </c>
      <c r="F401" s="149">
        <v>1</v>
      </c>
      <c r="G401" s="147">
        <v>0</v>
      </c>
      <c r="H401" s="240" t="b">
        <v>0</v>
      </c>
      <c r="I401" s="147" t="b">
        <f t="shared" si="25"/>
        <v>0</v>
      </c>
      <c r="J401" s="185" t="b">
        <f t="shared" si="26"/>
        <v>1</v>
      </c>
      <c r="K401" s="185" t="b">
        <f t="shared" si="23"/>
        <v>0</v>
      </c>
      <c r="L401" s="362">
        <v>0</v>
      </c>
      <c r="M401" s="147">
        <v>0</v>
      </c>
      <c r="N401" s="147">
        <v>0</v>
      </c>
      <c r="O401" s="147">
        <v>0</v>
      </c>
      <c r="P401" s="147">
        <v>0</v>
      </c>
      <c r="Q401" s="147">
        <v>0</v>
      </c>
      <c r="R401" s="147">
        <v>0</v>
      </c>
      <c r="S401" s="147">
        <v>0</v>
      </c>
      <c r="T401" s="147">
        <v>0</v>
      </c>
      <c r="U401" s="147">
        <v>0</v>
      </c>
      <c r="V401" s="147">
        <v>0</v>
      </c>
      <c r="W401" s="147">
        <v>0</v>
      </c>
      <c r="X401" s="147">
        <v>0</v>
      </c>
      <c r="Y401" s="147">
        <v>0</v>
      </c>
      <c r="Z401" s="147">
        <v>0</v>
      </c>
      <c r="AA401" s="147">
        <v>0</v>
      </c>
      <c r="AB401" s="147">
        <v>0</v>
      </c>
      <c r="AC401" s="147">
        <v>0</v>
      </c>
      <c r="AD401" s="147">
        <v>0</v>
      </c>
      <c r="AE401" s="147">
        <v>0</v>
      </c>
      <c r="AF401" s="147">
        <v>0</v>
      </c>
      <c r="AG401" s="147">
        <v>0</v>
      </c>
      <c r="AH401" s="147">
        <v>0</v>
      </c>
      <c r="AI401" s="147">
        <v>0</v>
      </c>
      <c r="AJ401" s="147">
        <v>0</v>
      </c>
      <c r="AK401" s="147">
        <v>0</v>
      </c>
      <c r="AL401" s="147">
        <v>0</v>
      </c>
      <c r="AM401" s="147">
        <v>0</v>
      </c>
      <c r="AN401" s="147">
        <v>0</v>
      </c>
      <c r="AO401" s="240">
        <v>0</v>
      </c>
      <c r="AP401" s="147">
        <f t="shared" si="27"/>
        <v>0</v>
      </c>
    </row>
    <row r="402" spans="2:42">
      <c r="B402" s="147">
        <v>0</v>
      </c>
      <c r="C402" s="149" t="str">
        <v>0</v>
      </c>
      <c r="D402" s="149">
        <v>0</v>
      </c>
      <c r="E402" s="149">
        <v>0</v>
      </c>
      <c r="F402" s="149">
        <v>1</v>
      </c>
      <c r="G402" s="147">
        <v>0</v>
      </c>
      <c r="H402" s="240" t="b">
        <v>0</v>
      </c>
      <c r="I402" s="147" t="b">
        <f t="shared" si="25"/>
        <v>0</v>
      </c>
      <c r="J402" s="185" t="b">
        <f t="shared" si="26"/>
        <v>1</v>
      </c>
      <c r="K402" s="185" t="b">
        <f t="shared" si="23"/>
        <v>0</v>
      </c>
      <c r="L402" s="362">
        <v>0</v>
      </c>
      <c r="M402" s="147">
        <v>0</v>
      </c>
      <c r="N402" s="147">
        <v>0</v>
      </c>
      <c r="O402" s="147">
        <v>0</v>
      </c>
      <c r="P402" s="147">
        <v>0</v>
      </c>
      <c r="Q402" s="147">
        <v>0</v>
      </c>
      <c r="R402" s="147">
        <v>0</v>
      </c>
      <c r="S402" s="147">
        <v>0</v>
      </c>
      <c r="T402" s="147">
        <v>0</v>
      </c>
      <c r="U402" s="147">
        <v>0</v>
      </c>
      <c r="V402" s="147">
        <v>0</v>
      </c>
      <c r="W402" s="147">
        <v>0</v>
      </c>
      <c r="X402" s="147">
        <v>0</v>
      </c>
      <c r="Y402" s="147">
        <v>0</v>
      </c>
      <c r="Z402" s="147">
        <v>0</v>
      </c>
      <c r="AA402" s="147">
        <v>0</v>
      </c>
      <c r="AB402" s="147">
        <v>0</v>
      </c>
      <c r="AC402" s="147">
        <v>0</v>
      </c>
      <c r="AD402" s="147">
        <v>0</v>
      </c>
      <c r="AE402" s="147">
        <v>0</v>
      </c>
      <c r="AF402" s="147">
        <v>0</v>
      </c>
      <c r="AG402" s="147">
        <v>0</v>
      </c>
      <c r="AH402" s="147">
        <v>0</v>
      </c>
      <c r="AI402" s="147">
        <v>0</v>
      </c>
      <c r="AJ402" s="147">
        <v>0</v>
      </c>
      <c r="AK402" s="147">
        <v>0</v>
      </c>
      <c r="AL402" s="147">
        <v>0</v>
      </c>
      <c r="AM402" s="147">
        <v>0</v>
      </c>
      <c r="AN402" s="147">
        <v>0</v>
      </c>
      <c r="AO402" s="240">
        <v>0</v>
      </c>
      <c r="AP402" s="147">
        <f t="shared" si="27"/>
        <v>0</v>
      </c>
    </row>
    <row r="403" spans="2:42">
      <c r="B403" s="147">
        <v>0</v>
      </c>
      <c r="C403" s="149" t="str">
        <v>0</v>
      </c>
      <c r="D403" s="149">
        <v>0</v>
      </c>
      <c r="E403" s="149">
        <v>0</v>
      </c>
      <c r="F403" s="149">
        <v>1</v>
      </c>
      <c r="G403" s="147">
        <v>0</v>
      </c>
      <c r="H403" s="240" t="b">
        <v>0</v>
      </c>
      <c r="I403" s="147" t="b">
        <f t="shared" si="25"/>
        <v>0</v>
      </c>
      <c r="J403" s="185" t="b">
        <f t="shared" si="26"/>
        <v>1</v>
      </c>
      <c r="K403" s="185" t="b">
        <f t="shared" si="23"/>
        <v>0</v>
      </c>
      <c r="L403" s="362">
        <v>0</v>
      </c>
      <c r="M403" s="147">
        <v>0</v>
      </c>
      <c r="N403" s="147">
        <v>0</v>
      </c>
      <c r="O403" s="147">
        <v>0</v>
      </c>
      <c r="P403" s="147">
        <v>0</v>
      </c>
      <c r="Q403" s="147">
        <v>0</v>
      </c>
      <c r="R403" s="147">
        <v>0</v>
      </c>
      <c r="S403" s="147">
        <v>0</v>
      </c>
      <c r="T403" s="147">
        <v>0</v>
      </c>
      <c r="U403" s="147">
        <v>0</v>
      </c>
      <c r="V403" s="147">
        <v>0</v>
      </c>
      <c r="W403" s="147">
        <v>0</v>
      </c>
      <c r="X403" s="147">
        <v>0</v>
      </c>
      <c r="Y403" s="147">
        <v>0</v>
      </c>
      <c r="Z403" s="147">
        <v>0</v>
      </c>
      <c r="AA403" s="147">
        <v>0</v>
      </c>
      <c r="AB403" s="147">
        <v>0</v>
      </c>
      <c r="AC403" s="147">
        <v>0</v>
      </c>
      <c r="AD403" s="147">
        <v>0</v>
      </c>
      <c r="AE403" s="147">
        <v>0</v>
      </c>
      <c r="AF403" s="147">
        <v>0</v>
      </c>
      <c r="AG403" s="147">
        <v>0</v>
      </c>
      <c r="AH403" s="147">
        <v>0</v>
      </c>
      <c r="AI403" s="147">
        <v>0</v>
      </c>
      <c r="AJ403" s="147">
        <v>0</v>
      </c>
      <c r="AK403" s="147">
        <v>0</v>
      </c>
      <c r="AL403" s="147">
        <v>0</v>
      </c>
      <c r="AM403" s="147">
        <v>0</v>
      </c>
      <c r="AN403" s="147">
        <v>0</v>
      </c>
      <c r="AO403" s="240">
        <v>0</v>
      </c>
      <c r="AP403" s="147">
        <f t="shared" si="27"/>
        <v>0</v>
      </c>
    </row>
    <row r="404" spans="2:42">
      <c r="B404" s="147">
        <v>0</v>
      </c>
      <c r="C404" s="149" t="str">
        <v>0</v>
      </c>
      <c r="D404" s="149">
        <v>0</v>
      </c>
      <c r="E404" s="149">
        <v>0</v>
      </c>
      <c r="F404" s="149">
        <v>1</v>
      </c>
      <c r="G404" s="147">
        <v>0</v>
      </c>
      <c r="H404" s="240" t="b">
        <v>0</v>
      </c>
      <c r="I404" s="147" t="b">
        <f t="shared" si="25"/>
        <v>0</v>
      </c>
      <c r="J404" s="185" t="b">
        <f t="shared" si="26"/>
        <v>1</v>
      </c>
      <c r="K404" s="185" t="b">
        <f t="shared" si="23"/>
        <v>0</v>
      </c>
      <c r="L404" s="362">
        <v>0</v>
      </c>
      <c r="M404" s="147">
        <v>0</v>
      </c>
      <c r="N404" s="147">
        <v>0</v>
      </c>
      <c r="O404" s="147">
        <v>0</v>
      </c>
      <c r="P404" s="147">
        <v>0</v>
      </c>
      <c r="Q404" s="147">
        <v>0</v>
      </c>
      <c r="R404" s="147">
        <v>0</v>
      </c>
      <c r="S404" s="147">
        <v>0</v>
      </c>
      <c r="T404" s="147">
        <v>0</v>
      </c>
      <c r="U404" s="147">
        <v>0</v>
      </c>
      <c r="V404" s="147">
        <v>0</v>
      </c>
      <c r="W404" s="147">
        <v>0</v>
      </c>
      <c r="X404" s="147">
        <v>0</v>
      </c>
      <c r="Y404" s="147">
        <v>0</v>
      </c>
      <c r="Z404" s="147">
        <v>0</v>
      </c>
      <c r="AA404" s="147">
        <v>0</v>
      </c>
      <c r="AB404" s="147">
        <v>0</v>
      </c>
      <c r="AC404" s="147">
        <v>0</v>
      </c>
      <c r="AD404" s="147">
        <v>0</v>
      </c>
      <c r="AE404" s="147">
        <v>0</v>
      </c>
      <c r="AF404" s="147">
        <v>0</v>
      </c>
      <c r="AG404" s="147">
        <v>0</v>
      </c>
      <c r="AH404" s="147">
        <v>0</v>
      </c>
      <c r="AI404" s="147">
        <v>0</v>
      </c>
      <c r="AJ404" s="147">
        <v>0</v>
      </c>
      <c r="AK404" s="147">
        <v>0</v>
      </c>
      <c r="AL404" s="147">
        <v>0</v>
      </c>
      <c r="AM404" s="147">
        <v>0</v>
      </c>
      <c r="AN404" s="147">
        <v>0</v>
      </c>
      <c r="AO404" s="240">
        <v>0</v>
      </c>
      <c r="AP404" s="147">
        <f t="shared" si="27"/>
        <v>0</v>
      </c>
    </row>
    <row r="405" spans="2:42">
      <c r="B405" s="147">
        <v>0</v>
      </c>
      <c r="C405" s="149" t="str">
        <v>0</v>
      </c>
      <c r="D405" s="149">
        <v>0</v>
      </c>
      <c r="E405" s="149">
        <v>0</v>
      </c>
      <c r="F405" s="149">
        <v>1</v>
      </c>
      <c r="G405" s="147">
        <v>0</v>
      </c>
      <c r="H405" s="240" t="b">
        <v>0</v>
      </c>
      <c r="I405" s="147" t="b">
        <f t="shared" si="25"/>
        <v>0</v>
      </c>
      <c r="J405" s="185" t="b">
        <f t="shared" si="26"/>
        <v>1</v>
      </c>
      <c r="K405" s="185" t="b">
        <f t="shared" si="23"/>
        <v>0</v>
      </c>
      <c r="L405" s="362">
        <v>0</v>
      </c>
      <c r="M405" s="147">
        <v>0</v>
      </c>
      <c r="N405" s="147">
        <v>0</v>
      </c>
      <c r="O405" s="147">
        <v>0</v>
      </c>
      <c r="P405" s="147">
        <v>0</v>
      </c>
      <c r="Q405" s="147">
        <v>0</v>
      </c>
      <c r="R405" s="147">
        <v>0</v>
      </c>
      <c r="S405" s="147">
        <v>0</v>
      </c>
      <c r="T405" s="147">
        <v>0</v>
      </c>
      <c r="U405" s="147">
        <v>0</v>
      </c>
      <c r="V405" s="147">
        <v>0</v>
      </c>
      <c r="W405" s="147">
        <v>0</v>
      </c>
      <c r="X405" s="147">
        <v>0</v>
      </c>
      <c r="Y405" s="147">
        <v>0</v>
      </c>
      <c r="Z405" s="147">
        <v>0</v>
      </c>
      <c r="AA405" s="147">
        <v>0</v>
      </c>
      <c r="AB405" s="147">
        <v>0</v>
      </c>
      <c r="AC405" s="147">
        <v>0</v>
      </c>
      <c r="AD405" s="147">
        <v>0</v>
      </c>
      <c r="AE405" s="147">
        <v>0</v>
      </c>
      <c r="AF405" s="147">
        <v>0</v>
      </c>
      <c r="AG405" s="147">
        <v>0</v>
      </c>
      <c r="AH405" s="147">
        <v>0</v>
      </c>
      <c r="AI405" s="147">
        <v>0</v>
      </c>
      <c r="AJ405" s="147">
        <v>0</v>
      </c>
      <c r="AK405" s="147">
        <v>0</v>
      </c>
      <c r="AL405" s="147">
        <v>0</v>
      </c>
      <c r="AM405" s="147">
        <v>0</v>
      </c>
      <c r="AN405" s="147">
        <v>0</v>
      </c>
      <c r="AO405" s="240">
        <v>0</v>
      </c>
      <c r="AP405" s="147">
        <f t="shared" si="27"/>
        <v>0</v>
      </c>
    </row>
    <row r="406" spans="2:42">
      <c r="B406" s="147">
        <v>0</v>
      </c>
      <c r="C406" s="149" t="str">
        <v>0</v>
      </c>
      <c r="D406" s="149">
        <v>0</v>
      </c>
      <c r="E406" s="149">
        <v>0</v>
      </c>
      <c r="F406" s="149">
        <v>1</v>
      </c>
      <c r="G406" s="147">
        <v>0</v>
      </c>
      <c r="H406" s="240" t="b">
        <v>0</v>
      </c>
      <c r="I406" s="147" t="b">
        <f t="shared" si="25"/>
        <v>0</v>
      </c>
      <c r="J406" s="185" t="b">
        <f t="shared" si="26"/>
        <v>1</v>
      </c>
      <c r="K406" s="185" t="b">
        <f t="shared" si="23"/>
        <v>0</v>
      </c>
      <c r="L406" s="362">
        <v>0</v>
      </c>
      <c r="M406" s="147">
        <v>0</v>
      </c>
      <c r="N406" s="147">
        <v>0</v>
      </c>
      <c r="O406" s="147">
        <v>0</v>
      </c>
      <c r="P406" s="147">
        <v>0</v>
      </c>
      <c r="Q406" s="147">
        <v>0</v>
      </c>
      <c r="R406" s="147">
        <v>0</v>
      </c>
      <c r="S406" s="147">
        <v>0</v>
      </c>
      <c r="T406" s="147">
        <v>0</v>
      </c>
      <c r="U406" s="147">
        <v>0</v>
      </c>
      <c r="V406" s="147">
        <v>0</v>
      </c>
      <c r="W406" s="147">
        <v>0</v>
      </c>
      <c r="X406" s="147">
        <v>0</v>
      </c>
      <c r="Y406" s="147">
        <v>0</v>
      </c>
      <c r="Z406" s="147">
        <v>0</v>
      </c>
      <c r="AA406" s="147">
        <v>0</v>
      </c>
      <c r="AB406" s="147">
        <v>0</v>
      </c>
      <c r="AC406" s="147">
        <v>0</v>
      </c>
      <c r="AD406" s="147">
        <v>0</v>
      </c>
      <c r="AE406" s="147">
        <v>0</v>
      </c>
      <c r="AF406" s="147">
        <v>0</v>
      </c>
      <c r="AG406" s="147">
        <v>0</v>
      </c>
      <c r="AH406" s="147">
        <v>0</v>
      </c>
      <c r="AI406" s="147">
        <v>0</v>
      </c>
      <c r="AJ406" s="147">
        <v>0</v>
      </c>
      <c r="AK406" s="147">
        <v>0</v>
      </c>
      <c r="AL406" s="147">
        <v>0</v>
      </c>
      <c r="AM406" s="147">
        <v>0</v>
      </c>
      <c r="AN406" s="147">
        <v>0</v>
      </c>
      <c r="AO406" s="240">
        <v>0</v>
      </c>
      <c r="AP406" s="147">
        <f t="shared" si="27"/>
        <v>0</v>
      </c>
    </row>
    <row r="407" spans="2:42">
      <c r="B407" s="147" t="str">
        <v>Operação Geral</v>
      </c>
      <c r="C407" s="149" t="str">
        <v>6</v>
      </c>
      <c r="D407" s="149" t="str">
        <v>6.3</v>
      </c>
      <c r="E407" s="149">
        <v>0</v>
      </c>
      <c r="F407" s="149">
        <v>1</v>
      </c>
      <c r="G407" s="147" t="str">
        <v>Edificações e instalações operacionais (28 ud)</v>
      </c>
      <c r="H407" s="240" t="b">
        <v>0</v>
      </c>
      <c r="I407" s="147" t="b">
        <f t="shared" si="25"/>
        <v>0</v>
      </c>
      <c r="J407" s="185" t="b">
        <f t="shared" si="26"/>
        <v>1</v>
      </c>
      <c r="K407" s="185" t="b">
        <f t="shared" si="23"/>
        <v>0</v>
      </c>
      <c r="L407" s="362">
        <v>4480078.1475818893</v>
      </c>
      <c r="M407" s="147">
        <v>0</v>
      </c>
      <c r="N407" s="147">
        <v>18111682.424018439</v>
      </c>
      <c r="O407" s="147">
        <v>0</v>
      </c>
      <c r="P407" s="147">
        <v>0</v>
      </c>
      <c r="Q407" s="147">
        <v>0</v>
      </c>
      <c r="R407" s="147">
        <v>0</v>
      </c>
      <c r="S407" s="147">
        <v>0</v>
      </c>
      <c r="T407" s="147">
        <v>0</v>
      </c>
      <c r="U407" s="147">
        <v>0</v>
      </c>
      <c r="V407" s="147">
        <v>0</v>
      </c>
      <c r="W407" s="147">
        <v>0</v>
      </c>
      <c r="X407" s="147">
        <v>0</v>
      </c>
      <c r="Y407" s="147">
        <v>0</v>
      </c>
      <c r="Z407" s="147">
        <v>0</v>
      </c>
      <c r="AA407" s="147">
        <v>0</v>
      </c>
      <c r="AB407" s="147">
        <v>0</v>
      </c>
      <c r="AC407" s="147">
        <v>0</v>
      </c>
      <c r="AD407" s="147">
        <v>0</v>
      </c>
      <c r="AE407" s="147">
        <v>0</v>
      </c>
      <c r="AF407" s="147">
        <v>0</v>
      </c>
      <c r="AG407" s="147">
        <v>0</v>
      </c>
      <c r="AH407" s="147">
        <v>0</v>
      </c>
      <c r="AI407" s="147">
        <v>0</v>
      </c>
      <c r="AJ407" s="147">
        <v>0</v>
      </c>
      <c r="AK407" s="147">
        <v>0</v>
      </c>
      <c r="AL407" s="147">
        <v>0</v>
      </c>
      <c r="AM407" s="147">
        <v>0</v>
      </c>
      <c r="AN407" s="147">
        <v>0</v>
      </c>
      <c r="AO407" s="240">
        <v>0</v>
      </c>
      <c r="AP407" s="147">
        <f t="shared" si="27"/>
        <v>22591760.571600329</v>
      </c>
    </row>
    <row r="408" spans="2:42">
      <c r="B408" s="147" t="str">
        <v>Operação Geral</v>
      </c>
      <c r="C408" s="149" t="str">
        <v>6</v>
      </c>
      <c r="D408" s="149" t="str">
        <v>6.4</v>
      </c>
      <c r="E408" s="149">
        <v>0</v>
      </c>
      <c r="F408" s="149">
        <v>0</v>
      </c>
      <c r="G408" s="147" t="str">
        <v>Administração local (%)</v>
      </c>
      <c r="H408" s="240" t="b">
        <v>0</v>
      </c>
      <c r="I408" s="147" t="b">
        <f t="shared" si="25"/>
        <v>0</v>
      </c>
      <c r="J408" s="185" t="b">
        <f t="shared" si="26"/>
        <v>0</v>
      </c>
      <c r="K408" s="185" t="b">
        <f t="shared" si="23"/>
        <v>1</v>
      </c>
      <c r="L408" s="362">
        <v>55263.625494281783</v>
      </c>
      <c r="M408" s="147">
        <v>0</v>
      </c>
      <c r="N408" s="147">
        <v>223415.12839291949</v>
      </c>
      <c r="O408" s="147">
        <v>0</v>
      </c>
      <c r="P408" s="147">
        <v>0</v>
      </c>
      <c r="Q408" s="147">
        <v>0</v>
      </c>
      <c r="R408" s="147">
        <v>0</v>
      </c>
      <c r="S408" s="147">
        <v>0</v>
      </c>
      <c r="T408" s="147">
        <v>0</v>
      </c>
      <c r="U408" s="147">
        <v>0</v>
      </c>
      <c r="V408" s="147">
        <v>0</v>
      </c>
      <c r="W408" s="147">
        <v>0</v>
      </c>
      <c r="X408" s="147">
        <v>0</v>
      </c>
      <c r="Y408" s="147">
        <v>0</v>
      </c>
      <c r="Z408" s="147">
        <v>0</v>
      </c>
      <c r="AA408" s="147">
        <v>0</v>
      </c>
      <c r="AB408" s="147">
        <v>0</v>
      </c>
      <c r="AC408" s="147">
        <v>0</v>
      </c>
      <c r="AD408" s="147">
        <v>0</v>
      </c>
      <c r="AE408" s="147">
        <v>0</v>
      </c>
      <c r="AF408" s="147">
        <v>0</v>
      </c>
      <c r="AG408" s="147">
        <v>0</v>
      </c>
      <c r="AH408" s="147">
        <v>0</v>
      </c>
      <c r="AI408" s="147">
        <v>0</v>
      </c>
      <c r="AJ408" s="147">
        <v>0</v>
      </c>
      <c r="AK408" s="147">
        <v>0</v>
      </c>
      <c r="AL408" s="147">
        <v>0</v>
      </c>
      <c r="AM408" s="147">
        <v>0</v>
      </c>
      <c r="AN408" s="147">
        <v>0</v>
      </c>
      <c r="AO408" s="240">
        <v>0</v>
      </c>
      <c r="AP408" s="147">
        <f t="shared" si="27"/>
        <v>278678.75388720125</v>
      </c>
    </row>
    <row r="409" spans="2:42">
      <c r="B409" s="147" t="str">
        <v>Operação Geral</v>
      </c>
      <c r="C409" s="149" t="str">
        <v>6</v>
      </c>
      <c r="D409" s="149" t="str">
        <v>6.5</v>
      </c>
      <c r="E409" s="149">
        <v>0</v>
      </c>
      <c r="F409" s="149">
        <v>0</v>
      </c>
      <c r="G409" s="147" t="str">
        <v>Canteiro de obras (%)</v>
      </c>
      <c r="H409" s="240" t="b">
        <v>0</v>
      </c>
      <c r="I409" s="147" t="b">
        <f t="shared" si="25"/>
        <v>0</v>
      </c>
      <c r="J409" s="185" t="b">
        <f t="shared" si="26"/>
        <v>0</v>
      </c>
      <c r="K409" s="185" t="b">
        <f t="shared" si="23"/>
        <v>1</v>
      </c>
      <c r="L409" s="362">
        <v>13913.680809453761</v>
      </c>
      <c r="M409" s="147">
        <v>0</v>
      </c>
      <c r="N409" s="147">
        <v>56249.056348716316</v>
      </c>
      <c r="O409" s="147">
        <v>0</v>
      </c>
      <c r="P409" s="147">
        <v>0</v>
      </c>
      <c r="Q409" s="147">
        <v>0</v>
      </c>
      <c r="R409" s="147">
        <v>0</v>
      </c>
      <c r="S409" s="147">
        <v>0</v>
      </c>
      <c r="T409" s="147">
        <v>0</v>
      </c>
      <c r="U409" s="147">
        <v>0</v>
      </c>
      <c r="V409" s="147">
        <v>0</v>
      </c>
      <c r="W409" s="147">
        <v>0</v>
      </c>
      <c r="X409" s="147">
        <v>0</v>
      </c>
      <c r="Y409" s="147">
        <v>0</v>
      </c>
      <c r="Z409" s="147">
        <v>0</v>
      </c>
      <c r="AA409" s="147">
        <v>0</v>
      </c>
      <c r="AB409" s="147">
        <v>0</v>
      </c>
      <c r="AC409" s="147">
        <v>0</v>
      </c>
      <c r="AD409" s="147">
        <v>0</v>
      </c>
      <c r="AE409" s="147">
        <v>0</v>
      </c>
      <c r="AF409" s="147">
        <v>0</v>
      </c>
      <c r="AG409" s="147">
        <v>0</v>
      </c>
      <c r="AH409" s="147">
        <v>0</v>
      </c>
      <c r="AI409" s="147">
        <v>0</v>
      </c>
      <c r="AJ409" s="147">
        <v>0</v>
      </c>
      <c r="AK409" s="147">
        <v>0</v>
      </c>
      <c r="AL409" s="147">
        <v>0</v>
      </c>
      <c r="AM409" s="147">
        <v>0</v>
      </c>
      <c r="AN409" s="147">
        <v>0</v>
      </c>
      <c r="AO409" s="240">
        <v>0</v>
      </c>
      <c r="AP409" s="147">
        <f t="shared" si="27"/>
        <v>70162.737158170072</v>
      </c>
    </row>
    <row r="410" spans="2:42">
      <c r="B410" s="147" t="str">
        <v>Operação Geral</v>
      </c>
      <c r="C410" s="149" t="str">
        <v>6</v>
      </c>
      <c r="D410" s="149" t="str">
        <v>6.6</v>
      </c>
      <c r="E410" s="149">
        <v>0</v>
      </c>
      <c r="F410" s="149">
        <v>0</v>
      </c>
      <c r="G410" s="147" t="str">
        <v>Mobilização e desmobilização (%)</v>
      </c>
      <c r="H410" s="240" t="b">
        <v>0</v>
      </c>
      <c r="I410" s="147" t="b">
        <f t="shared" si="25"/>
        <v>0</v>
      </c>
      <c r="J410" s="185" t="b">
        <f t="shared" si="26"/>
        <v>0</v>
      </c>
      <c r="K410" s="185" t="b">
        <f t="shared" si="23"/>
        <v>1</v>
      </c>
      <c r="L410" s="362">
        <v>259.00271729540873</v>
      </c>
      <c r="M410" s="147">
        <v>0</v>
      </c>
      <c r="N410" s="147">
        <v>1047.0743607774368</v>
      </c>
      <c r="O410" s="147">
        <v>0</v>
      </c>
      <c r="P410" s="147">
        <v>0</v>
      </c>
      <c r="Q410" s="147">
        <v>0</v>
      </c>
      <c r="R410" s="147">
        <v>0</v>
      </c>
      <c r="S410" s="147">
        <v>0</v>
      </c>
      <c r="T410" s="147">
        <v>0</v>
      </c>
      <c r="U410" s="147">
        <v>0</v>
      </c>
      <c r="V410" s="147">
        <v>0</v>
      </c>
      <c r="W410" s="147">
        <v>0</v>
      </c>
      <c r="X410" s="147">
        <v>0</v>
      </c>
      <c r="Y410" s="147">
        <v>0</v>
      </c>
      <c r="Z410" s="147">
        <v>0</v>
      </c>
      <c r="AA410" s="147">
        <v>0</v>
      </c>
      <c r="AB410" s="147">
        <v>0</v>
      </c>
      <c r="AC410" s="147">
        <v>0</v>
      </c>
      <c r="AD410" s="147">
        <v>0</v>
      </c>
      <c r="AE410" s="147">
        <v>0</v>
      </c>
      <c r="AF410" s="147">
        <v>0</v>
      </c>
      <c r="AG410" s="147">
        <v>0</v>
      </c>
      <c r="AH410" s="147">
        <v>0</v>
      </c>
      <c r="AI410" s="147">
        <v>0</v>
      </c>
      <c r="AJ410" s="147">
        <v>0</v>
      </c>
      <c r="AK410" s="147">
        <v>0</v>
      </c>
      <c r="AL410" s="147">
        <v>0</v>
      </c>
      <c r="AM410" s="147">
        <v>0</v>
      </c>
      <c r="AN410" s="147">
        <v>0</v>
      </c>
      <c r="AO410" s="240">
        <v>0</v>
      </c>
      <c r="AP410" s="147">
        <f t="shared" si="27"/>
        <v>1306.0770780728456</v>
      </c>
    </row>
    <row r="411" spans="2:42">
      <c r="B411" s="147" t="str">
        <v>Operação Geral</v>
      </c>
      <c r="C411" s="149" t="str">
        <v>6</v>
      </c>
      <c r="D411" s="149" t="str">
        <v>6.7</v>
      </c>
      <c r="E411" s="149">
        <v>0</v>
      </c>
      <c r="F411" s="149">
        <v>0</v>
      </c>
      <c r="G411" s="147" t="str">
        <v>Projetos (%)</v>
      </c>
      <c r="H411" s="240" t="b">
        <v>0</v>
      </c>
      <c r="I411" s="147" t="b">
        <f t="shared" si="25"/>
        <v>0</v>
      </c>
      <c r="J411" s="185" t="b">
        <f t="shared" si="26"/>
        <v>0</v>
      </c>
      <c r="K411" s="185" t="b">
        <f t="shared" si="23"/>
        <v>1</v>
      </c>
      <c r="L411" s="362">
        <v>112897.96931906362</v>
      </c>
      <c r="M411" s="147">
        <v>0</v>
      </c>
      <c r="N411" s="147">
        <v>456414.39708526467</v>
      </c>
      <c r="O411" s="147">
        <v>0</v>
      </c>
      <c r="P411" s="147">
        <v>0</v>
      </c>
      <c r="Q411" s="147">
        <v>0</v>
      </c>
      <c r="R411" s="147">
        <v>0</v>
      </c>
      <c r="S411" s="147">
        <v>0</v>
      </c>
      <c r="T411" s="147">
        <v>0</v>
      </c>
      <c r="U411" s="147">
        <v>0</v>
      </c>
      <c r="V411" s="147">
        <v>0</v>
      </c>
      <c r="W411" s="147">
        <v>0</v>
      </c>
      <c r="X411" s="147">
        <v>0</v>
      </c>
      <c r="Y411" s="147">
        <v>0</v>
      </c>
      <c r="Z411" s="147">
        <v>0</v>
      </c>
      <c r="AA411" s="147">
        <v>0</v>
      </c>
      <c r="AB411" s="147">
        <v>0</v>
      </c>
      <c r="AC411" s="147">
        <v>0</v>
      </c>
      <c r="AD411" s="147">
        <v>0</v>
      </c>
      <c r="AE411" s="147">
        <v>0</v>
      </c>
      <c r="AF411" s="147">
        <v>0</v>
      </c>
      <c r="AG411" s="147">
        <v>0</v>
      </c>
      <c r="AH411" s="147">
        <v>0</v>
      </c>
      <c r="AI411" s="147">
        <v>0</v>
      </c>
      <c r="AJ411" s="147">
        <v>0</v>
      </c>
      <c r="AK411" s="147">
        <v>0</v>
      </c>
      <c r="AL411" s="147">
        <v>0</v>
      </c>
      <c r="AM411" s="147">
        <v>0</v>
      </c>
      <c r="AN411" s="147">
        <v>0</v>
      </c>
      <c r="AO411" s="240">
        <v>0</v>
      </c>
      <c r="AP411" s="147">
        <f t="shared" si="27"/>
        <v>569312.36640432826</v>
      </c>
    </row>
    <row r="412" spans="2:42">
      <c r="B412" s="147" t="str">
        <v>Socioambiental</v>
      </c>
      <c r="C412" s="149" t="str">
        <v>7</v>
      </c>
      <c r="D412" s="149">
        <v>7</v>
      </c>
      <c r="E412" s="149">
        <v>0</v>
      </c>
      <c r="F412" s="149">
        <v>0</v>
      </c>
      <c r="G412" s="147" t="str">
        <v xml:space="preserve">Gestão Ambiental Do Sistema Rodoviário </v>
      </c>
      <c r="H412" s="240" t="b">
        <v>0</v>
      </c>
      <c r="I412" s="147" t="b">
        <f t="shared" si="25"/>
        <v>0</v>
      </c>
      <c r="J412" s="185" t="b">
        <f t="shared" si="26"/>
        <v>0</v>
      </c>
      <c r="K412" s="185" t="b">
        <f t="shared" si="23"/>
        <v>1</v>
      </c>
      <c r="L412" s="362">
        <v>0</v>
      </c>
      <c r="M412" s="147">
        <v>0</v>
      </c>
      <c r="N412" s="147">
        <v>0</v>
      </c>
      <c r="O412" s="147">
        <v>0</v>
      </c>
      <c r="P412" s="147">
        <v>0</v>
      </c>
      <c r="Q412" s="147">
        <v>0</v>
      </c>
      <c r="R412" s="147">
        <v>0</v>
      </c>
      <c r="S412" s="147">
        <v>0</v>
      </c>
      <c r="T412" s="147">
        <v>0</v>
      </c>
      <c r="U412" s="147">
        <v>0</v>
      </c>
      <c r="V412" s="147">
        <v>0</v>
      </c>
      <c r="W412" s="147">
        <v>0</v>
      </c>
      <c r="X412" s="147">
        <v>0</v>
      </c>
      <c r="Y412" s="147">
        <v>0</v>
      </c>
      <c r="Z412" s="147">
        <v>0</v>
      </c>
      <c r="AA412" s="147">
        <v>0</v>
      </c>
      <c r="AB412" s="147">
        <v>0</v>
      </c>
      <c r="AC412" s="147">
        <v>0</v>
      </c>
      <c r="AD412" s="147">
        <v>0</v>
      </c>
      <c r="AE412" s="147">
        <v>0</v>
      </c>
      <c r="AF412" s="147">
        <v>0</v>
      </c>
      <c r="AG412" s="147">
        <v>0</v>
      </c>
      <c r="AH412" s="147">
        <v>0</v>
      </c>
      <c r="AI412" s="147">
        <v>0</v>
      </c>
      <c r="AJ412" s="147">
        <v>0</v>
      </c>
      <c r="AK412" s="147">
        <v>0</v>
      </c>
      <c r="AL412" s="147">
        <v>0</v>
      </c>
      <c r="AM412" s="147">
        <v>0</v>
      </c>
      <c r="AN412" s="147">
        <v>0</v>
      </c>
      <c r="AO412" s="240">
        <v>0</v>
      </c>
      <c r="AP412" s="147">
        <f t="shared" si="27"/>
        <v>0</v>
      </c>
    </row>
    <row r="413" spans="2:42">
      <c r="B413" s="147" t="str">
        <v>Socioambiental</v>
      </c>
      <c r="C413" s="149" t="str">
        <v>7</v>
      </c>
      <c r="D413" s="149" t="str">
        <v>7.1</v>
      </c>
      <c r="E413" s="149">
        <v>0</v>
      </c>
      <c r="F413" s="149">
        <v>0</v>
      </c>
      <c r="G413" s="147" t="str">
        <v>Licenciamento Ambiental</v>
      </c>
      <c r="H413" s="240" t="b">
        <v>0</v>
      </c>
      <c r="I413" s="147" t="b">
        <f t="shared" si="25"/>
        <v>0</v>
      </c>
      <c r="J413" s="185" t="b">
        <f t="shared" si="26"/>
        <v>0</v>
      </c>
      <c r="K413" s="185" t="b">
        <f t="shared" si="23"/>
        <v>1</v>
      </c>
      <c r="L413" s="362">
        <v>1807248.8242809335</v>
      </c>
      <c r="M413" s="147">
        <v>3752940.8487210707</v>
      </c>
      <c r="N413" s="147">
        <v>299150.96742810262</v>
      </c>
      <c r="O413" s="147">
        <v>139141.87359265395</v>
      </c>
      <c r="P413" s="147">
        <v>139141.87359265395</v>
      </c>
      <c r="Q413" s="147">
        <v>139141.87359265395</v>
      </c>
      <c r="R413" s="147">
        <v>139141.87359265395</v>
      </c>
      <c r="S413" s="147">
        <v>139141.87359265395</v>
      </c>
      <c r="T413" s="147">
        <v>0</v>
      </c>
      <c r="U413" s="147">
        <v>0</v>
      </c>
      <c r="V413" s="147">
        <v>0</v>
      </c>
      <c r="W413" s="147">
        <v>0</v>
      </c>
      <c r="X413" s="147">
        <v>1440505.795738827</v>
      </c>
      <c r="Y413" s="147">
        <v>0</v>
      </c>
      <c r="Z413" s="147">
        <v>0</v>
      </c>
      <c r="AA413" s="147">
        <v>0</v>
      </c>
      <c r="AB413" s="147">
        <v>0</v>
      </c>
      <c r="AC413" s="147">
        <v>0</v>
      </c>
      <c r="AD413" s="147">
        <v>0</v>
      </c>
      <c r="AE413" s="147">
        <v>0</v>
      </c>
      <c r="AF413" s="147">
        <v>0</v>
      </c>
      <c r="AG413" s="147">
        <v>0</v>
      </c>
      <c r="AH413" s="147">
        <v>0</v>
      </c>
      <c r="AI413" s="147">
        <v>0</v>
      </c>
      <c r="AJ413" s="147">
        <v>0</v>
      </c>
      <c r="AK413" s="147">
        <v>0</v>
      </c>
      <c r="AL413" s="147">
        <v>0</v>
      </c>
      <c r="AM413" s="147">
        <v>0</v>
      </c>
      <c r="AN413" s="147">
        <v>0</v>
      </c>
      <c r="AO413" s="240">
        <v>0</v>
      </c>
      <c r="AP413" s="147">
        <f t="shared" si="27"/>
        <v>7995555.8041322064</v>
      </c>
    </row>
    <row r="414" spans="2:42">
      <c r="B414" s="147" t="str">
        <v>Socioambiental</v>
      </c>
      <c r="C414" s="149" t="str">
        <v>7</v>
      </c>
      <c r="D414" s="149" t="str">
        <v>7.2</v>
      </c>
      <c r="E414" s="149">
        <v>0</v>
      </c>
      <c r="F414" s="149">
        <v>0</v>
      </c>
      <c r="G414" s="147" t="str">
        <v xml:space="preserve">Compensação Ambiental </v>
      </c>
      <c r="H414" s="240" t="b">
        <v>0</v>
      </c>
      <c r="I414" s="147" t="b">
        <f t="shared" si="25"/>
        <v>0</v>
      </c>
      <c r="J414" s="185" t="b">
        <f t="shared" si="26"/>
        <v>0</v>
      </c>
      <c r="K414" s="185" t="b">
        <f t="shared" si="23"/>
        <v>1</v>
      </c>
      <c r="L414" s="362">
        <v>0</v>
      </c>
      <c r="M414" s="147">
        <v>0</v>
      </c>
      <c r="N414" s="147">
        <v>0</v>
      </c>
      <c r="O414" s="147">
        <v>18153919.296099998</v>
      </c>
      <c r="P414" s="147">
        <v>0</v>
      </c>
      <c r="Q414" s="147">
        <v>0</v>
      </c>
      <c r="R414" s="147">
        <v>0</v>
      </c>
      <c r="S414" s="147">
        <v>0</v>
      </c>
      <c r="T414" s="147">
        <v>0</v>
      </c>
      <c r="U414" s="147">
        <v>0</v>
      </c>
      <c r="V414" s="147">
        <v>0</v>
      </c>
      <c r="W414" s="147">
        <v>0</v>
      </c>
      <c r="X414" s="147">
        <v>0</v>
      </c>
      <c r="Y414" s="147">
        <v>0</v>
      </c>
      <c r="Z414" s="147">
        <v>0</v>
      </c>
      <c r="AA414" s="147">
        <v>0</v>
      </c>
      <c r="AB414" s="147">
        <v>0</v>
      </c>
      <c r="AC414" s="147">
        <v>0</v>
      </c>
      <c r="AD414" s="147">
        <v>0</v>
      </c>
      <c r="AE414" s="147">
        <v>0</v>
      </c>
      <c r="AF414" s="147">
        <v>0</v>
      </c>
      <c r="AG414" s="147">
        <v>0</v>
      </c>
      <c r="AH414" s="147">
        <v>0</v>
      </c>
      <c r="AI414" s="147">
        <v>0</v>
      </c>
      <c r="AJ414" s="147">
        <v>0</v>
      </c>
      <c r="AK414" s="147">
        <v>0</v>
      </c>
      <c r="AL414" s="147">
        <v>0</v>
      </c>
      <c r="AM414" s="147">
        <v>0</v>
      </c>
      <c r="AN414" s="147">
        <v>0</v>
      </c>
      <c r="AO414" s="240">
        <v>0</v>
      </c>
      <c r="AP414" s="147">
        <f t="shared" si="27"/>
        <v>18153919.296099998</v>
      </c>
    </row>
    <row r="415" spans="2:42">
      <c r="B415" s="147" t="str">
        <v>Socioambiental</v>
      </c>
      <c r="C415" s="149" t="str">
        <v>7</v>
      </c>
      <c r="D415" s="149" t="str">
        <v>7.3</v>
      </c>
      <c r="E415" s="149">
        <v>0</v>
      </c>
      <c r="F415" s="149">
        <v>0</v>
      </c>
      <c r="G415" s="147" t="str">
        <v>Sistema De Gestão Ambiental - Iso-14001</v>
      </c>
      <c r="H415" s="240" t="b">
        <v>0</v>
      </c>
      <c r="I415" s="147" t="b">
        <f t="shared" si="25"/>
        <v>0</v>
      </c>
      <c r="J415" s="185" t="b">
        <f t="shared" si="26"/>
        <v>0</v>
      </c>
      <c r="K415" s="185" t="b">
        <f t="shared" si="23"/>
        <v>1</v>
      </c>
      <c r="L415" s="362">
        <v>63390.209007250945</v>
      </c>
      <c r="M415" s="147">
        <v>82000</v>
      </c>
      <c r="N415" s="147">
        <v>87996.937502117653</v>
      </c>
      <c r="O415" s="147">
        <v>87996.937502117653</v>
      </c>
      <c r="P415" s="147">
        <v>147996.93750211765</v>
      </c>
      <c r="Q415" s="147">
        <v>87996.937502117653</v>
      </c>
      <c r="R415" s="147">
        <v>87996.937502117653</v>
      </c>
      <c r="S415" s="147">
        <v>147996.93750211765</v>
      </c>
      <c r="T415" s="147">
        <v>87996.937502117653</v>
      </c>
      <c r="U415" s="147">
        <v>87996.937502117653</v>
      </c>
      <c r="V415" s="147">
        <v>147996.93750211765</v>
      </c>
      <c r="W415" s="147">
        <v>87996.937502117653</v>
      </c>
      <c r="X415" s="147">
        <v>87996.937502117653</v>
      </c>
      <c r="Y415" s="147">
        <v>147996.93750211765</v>
      </c>
      <c r="Z415" s="147">
        <v>87996.937502117653</v>
      </c>
      <c r="AA415" s="147">
        <v>87996.937502117653</v>
      </c>
      <c r="AB415" s="147">
        <v>147996.93750211765</v>
      </c>
      <c r="AC415" s="147">
        <v>87996.937502117653</v>
      </c>
      <c r="AD415" s="147">
        <v>87996.937502117653</v>
      </c>
      <c r="AE415" s="147">
        <v>147996.93750211765</v>
      </c>
      <c r="AF415" s="147">
        <v>87996.937502117653</v>
      </c>
      <c r="AG415" s="147">
        <v>87996.937502117653</v>
      </c>
      <c r="AH415" s="147">
        <v>147996.93750211765</v>
      </c>
      <c r="AI415" s="147">
        <v>87996.937502117653</v>
      </c>
      <c r="AJ415" s="147">
        <v>87996.937502117653</v>
      </c>
      <c r="AK415" s="147">
        <v>147996.93750211765</v>
      </c>
      <c r="AL415" s="147">
        <v>87996.937502117653</v>
      </c>
      <c r="AM415" s="147">
        <v>87996.937502117653</v>
      </c>
      <c r="AN415" s="147">
        <v>147996.93750211765</v>
      </c>
      <c r="AO415" s="240">
        <v>87996.937502117653</v>
      </c>
      <c r="AP415" s="147">
        <f t="shared" si="27"/>
        <v>3149304.4590665461</v>
      </c>
    </row>
    <row r="416" spans="2:42">
      <c r="B416" s="147" t="str">
        <v>Socioambiental</v>
      </c>
      <c r="C416" s="149" t="str">
        <v>7</v>
      </c>
      <c r="D416" s="149" t="str">
        <v>7.4</v>
      </c>
      <c r="E416" s="149">
        <v>1</v>
      </c>
      <c r="F416" s="149">
        <v>0</v>
      </c>
      <c r="G416" s="147" t="str">
        <v>Passivos Ambientais</v>
      </c>
      <c r="H416" s="240" t="b">
        <v>0</v>
      </c>
      <c r="I416" s="147" t="b">
        <f t="shared" si="25"/>
        <v>0</v>
      </c>
      <c r="J416" s="185" t="b">
        <f t="shared" si="26"/>
        <v>0</v>
      </c>
      <c r="K416" s="185" t="b">
        <f t="shared" si="23"/>
        <v>1</v>
      </c>
      <c r="L416" s="362">
        <v>18917833.291986074</v>
      </c>
      <c r="M416" s="147">
        <v>18917833.291986074</v>
      </c>
      <c r="N416" s="147">
        <v>18917833.291986074</v>
      </c>
      <c r="O416" s="147">
        <v>18917833.291986074</v>
      </c>
      <c r="P416" s="147">
        <v>18917833.291986074</v>
      </c>
      <c r="Q416" s="147">
        <v>0</v>
      </c>
      <c r="R416" s="147">
        <v>0</v>
      </c>
      <c r="S416" s="147">
        <v>0</v>
      </c>
      <c r="T416" s="147">
        <v>0</v>
      </c>
      <c r="U416" s="147">
        <v>0</v>
      </c>
      <c r="V416" s="147">
        <v>0</v>
      </c>
      <c r="W416" s="147">
        <v>0</v>
      </c>
      <c r="X416" s="147">
        <v>0</v>
      </c>
      <c r="Y416" s="147">
        <v>0</v>
      </c>
      <c r="Z416" s="147">
        <v>0</v>
      </c>
      <c r="AA416" s="147">
        <v>0</v>
      </c>
      <c r="AB416" s="147">
        <v>0</v>
      </c>
      <c r="AC416" s="147">
        <v>0</v>
      </c>
      <c r="AD416" s="147">
        <v>0</v>
      </c>
      <c r="AE416" s="147">
        <v>0</v>
      </c>
      <c r="AF416" s="147">
        <v>0</v>
      </c>
      <c r="AG416" s="147">
        <v>0</v>
      </c>
      <c r="AH416" s="147">
        <v>0</v>
      </c>
      <c r="AI416" s="147">
        <v>0</v>
      </c>
      <c r="AJ416" s="147">
        <v>0</v>
      </c>
      <c r="AK416" s="147">
        <v>0</v>
      </c>
      <c r="AL416" s="147">
        <v>0</v>
      </c>
      <c r="AM416" s="147">
        <v>0</v>
      </c>
      <c r="AN416" s="147">
        <v>0</v>
      </c>
      <c r="AO416" s="240">
        <v>0</v>
      </c>
      <c r="AP416" s="147">
        <f t="shared" si="27"/>
        <v>94589166.459930375</v>
      </c>
    </row>
    <row r="417" spans="2:42">
      <c r="B417" s="147" t="str">
        <v>Socioambiental</v>
      </c>
      <c r="C417" s="149" t="str">
        <v>7</v>
      </c>
      <c r="D417" s="149" t="str">
        <v>7.5</v>
      </c>
      <c r="E417" s="149">
        <v>1</v>
      </c>
      <c r="F417" s="149">
        <v>0</v>
      </c>
      <c r="G417" s="147" t="str">
        <v>Obras De Engenharia Para Mitigação Ambiental</v>
      </c>
      <c r="H417" s="240" t="b">
        <v>0</v>
      </c>
      <c r="I417" s="147" t="b">
        <f t="shared" si="25"/>
        <v>0</v>
      </c>
      <c r="J417" s="185" t="b">
        <f t="shared" si="26"/>
        <v>0</v>
      </c>
      <c r="K417" s="185" t="b">
        <f t="shared" si="23"/>
        <v>1</v>
      </c>
      <c r="L417" s="362">
        <v>0</v>
      </c>
      <c r="M417" s="147">
        <v>0</v>
      </c>
      <c r="N417" s="147">
        <v>2366135.543892744</v>
      </c>
      <c r="O417" s="147">
        <v>0</v>
      </c>
      <c r="P417" s="147">
        <v>1156200</v>
      </c>
      <c r="Q417" s="147">
        <v>0</v>
      </c>
      <c r="R417" s="147">
        <v>0</v>
      </c>
      <c r="S417" s="147">
        <v>0</v>
      </c>
      <c r="T417" s="147">
        <v>0</v>
      </c>
      <c r="U417" s="147">
        <v>0</v>
      </c>
      <c r="V417" s="147">
        <v>0</v>
      </c>
      <c r="W417" s="147">
        <v>0</v>
      </c>
      <c r="X417" s="147">
        <v>0</v>
      </c>
      <c r="Y417" s="147">
        <v>0</v>
      </c>
      <c r="Z417" s="147">
        <v>0</v>
      </c>
      <c r="AA417" s="147">
        <v>0</v>
      </c>
      <c r="AB417" s="147">
        <v>0</v>
      </c>
      <c r="AC417" s="147">
        <v>0</v>
      </c>
      <c r="AD417" s="147">
        <v>0</v>
      </c>
      <c r="AE417" s="147">
        <v>0</v>
      </c>
      <c r="AF417" s="147">
        <v>0</v>
      </c>
      <c r="AG417" s="147">
        <v>0</v>
      </c>
      <c r="AH417" s="147">
        <v>0</v>
      </c>
      <c r="AI417" s="147">
        <v>0</v>
      </c>
      <c r="AJ417" s="147">
        <v>0</v>
      </c>
      <c r="AK417" s="147">
        <v>0</v>
      </c>
      <c r="AL417" s="147">
        <v>0</v>
      </c>
      <c r="AM417" s="147">
        <v>0</v>
      </c>
      <c r="AN417" s="147">
        <v>0</v>
      </c>
      <c r="AO417" s="240">
        <v>0</v>
      </c>
      <c r="AP417" s="147">
        <f t="shared" si="27"/>
        <v>3522335.543892744</v>
      </c>
    </row>
    <row r="418" spans="2:42">
      <c r="B418" s="147" t="str">
        <v>Socioambiental</v>
      </c>
      <c r="C418" s="149" t="str">
        <v>7</v>
      </c>
      <c r="D418" s="149" t="str">
        <v>7.6</v>
      </c>
      <c r="E418" s="149">
        <v>0</v>
      </c>
      <c r="F418" s="149">
        <v>0</v>
      </c>
      <c r="G418" s="147" t="str">
        <v>Plantio Compensatório</v>
      </c>
      <c r="H418" s="240" t="b">
        <v>0</v>
      </c>
      <c r="I418" s="147" t="b">
        <f t="shared" si="25"/>
        <v>0</v>
      </c>
      <c r="J418" s="185" t="b">
        <f t="shared" si="26"/>
        <v>0</v>
      </c>
      <c r="K418" s="185" t="b">
        <f t="shared" si="23"/>
        <v>1</v>
      </c>
      <c r="L418" s="362">
        <v>0</v>
      </c>
      <c r="M418" s="147">
        <v>0</v>
      </c>
      <c r="N418" s="147">
        <v>1830227.9370406021</v>
      </c>
      <c r="O418" s="147">
        <v>2803654.7250245307</v>
      </c>
      <c r="P418" s="147">
        <v>2803654.7250245307</v>
      </c>
      <c r="Q418" s="147">
        <v>2803654.7250245307</v>
      </c>
      <c r="R418" s="147">
        <v>2803654.7250245307</v>
      </c>
      <c r="S418" s="147">
        <v>973426.78798392857</v>
      </c>
      <c r="T418" s="147">
        <v>973426.78798392857</v>
      </c>
      <c r="U418" s="147">
        <v>973426.78798392857</v>
      </c>
      <c r="V418" s="147">
        <v>0</v>
      </c>
      <c r="W418" s="147">
        <v>0</v>
      </c>
      <c r="X418" s="147">
        <v>0</v>
      </c>
      <c r="Y418" s="147">
        <v>0</v>
      </c>
      <c r="Z418" s="147">
        <v>0</v>
      </c>
      <c r="AA418" s="147">
        <v>0</v>
      </c>
      <c r="AB418" s="147">
        <v>0</v>
      </c>
      <c r="AC418" s="147">
        <v>0</v>
      </c>
      <c r="AD418" s="147">
        <v>0</v>
      </c>
      <c r="AE418" s="147">
        <v>0</v>
      </c>
      <c r="AF418" s="147">
        <v>0</v>
      </c>
      <c r="AG418" s="147">
        <v>0</v>
      </c>
      <c r="AH418" s="147">
        <v>0</v>
      </c>
      <c r="AI418" s="147">
        <v>0</v>
      </c>
      <c r="AJ418" s="147">
        <v>0</v>
      </c>
      <c r="AK418" s="147">
        <v>0</v>
      </c>
      <c r="AL418" s="147">
        <v>0</v>
      </c>
      <c r="AM418" s="147">
        <v>0</v>
      </c>
      <c r="AN418" s="147">
        <v>0</v>
      </c>
      <c r="AO418" s="240">
        <v>0</v>
      </c>
      <c r="AP418" s="147">
        <f t="shared" si="27"/>
        <v>15965127.201090509</v>
      </c>
    </row>
    <row r="419" spans="2:42">
      <c r="B419" s="147" t="str">
        <v>Socioambiental</v>
      </c>
      <c r="C419" s="149" t="str">
        <v>7</v>
      </c>
      <c r="D419" s="149" t="str">
        <v>7.7</v>
      </c>
      <c r="E419" s="149">
        <v>0</v>
      </c>
      <c r="F419" s="149">
        <v>0</v>
      </c>
      <c r="G419" s="147" t="str">
        <v>Desocupação</v>
      </c>
      <c r="H419" s="240" t="b">
        <v>0</v>
      </c>
      <c r="I419" s="147" t="b">
        <f t="shared" si="25"/>
        <v>0</v>
      </c>
      <c r="J419" s="185" t="b">
        <f t="shared" si="26"/>
        <v>0</v>
      </c>
      <c r="K419" s="185" t="b">
        <f t="shared" si="23"/>
        <v>1</v>
      </c>
      <c r="L419" s="362">
        <v>0</v>
      </c>
      <c r="M419" s="147">
        <v>3580238.9889180008</v>
      </c>
      <c r="N419" s="147">
        <v>7330339.7439360013</v>
      </c>
      <c r="O419" s="147">
        <v>29521015.383696001</v>
      </c>
      <c r="P419" s="147">
        <v>0</v>
      </c>
      <c r="Q419" s="147">
        <v>0</v>
      </c>
      <c r="R419" s="147">
        <v>0</v>
      </c>
      <c r="S419" s="147">
        <v>0</v>
      </c>
      <c r="T419" s="147">
        <v>0</v>
      </c>
      <c r="U419" s="147">
        <v>0</v>
      </c>
      <c r="V419" s="147">
        <v>0</v>
      </c>
      <c r="W419" s="147">
        <v>0</v>
      </c>
      <c r="X419" s="147">
        <v>0</v>
      </c>
      <c r="Y419" s="147">
        <v>0</v>
      </c>
      <c r="Z419" s="147">
        <v>0</v>
      </c>
      <c r="AA419" s="147">
        <v>0</v>
      </c>
      <c r="AB419" s="147">
        <v>0</v>
      </c>
      <c r="AC419" s="147">
        <v>0</v>
      </c>
      <c r="AD419" s="147">
        <v>0</v>
      </c>
      <c r="AE419" s="147">
        <v>0</v>
      </c>
      <c r="AF419" s="147">
        <v>0</v>
      </c>
      <c r="AG419" s="147">
        <v>0</v>
      </c>
      <c r="AH419" s="147">
        <v>0</v>
      </c>
      <c r="AI419" s="147">
        <v>0</v>
      </c>
      <c r="AJ419" s="147">
        <v>0</v>
      </c>
      <c r="AK419" s="147">
        <v>0</v>
      </c>
      <c r="AL419" s="147">
        <v>0</v>
      </c>
      <c r="AM419" s="147">
        <v>0</v>
      </c>
      <c r="AN419" s="147">
        <v>0</v>
      </c>
      <c r="AO419" s="240">
        <v>0</v>
      </c>
      <c r="AP419" s="147">
        <f t="shared" si="27"/>
        <v>40431594.116549999</v>
      </c>
    </row>
    <row r="420" spans="2:42">
      <c r="B420" s="147" t="str">
        <v>Socioambiental</v>
      </c>
      <c r="C420" s="149" t="str">
        <v>7</v>
      </c>
      <c r="D420" s="149" t="str">
        <v>7.8</v>
      </c>
      <c r="E420" s="149">
        <v>0</v>
      </c>
      <c r="F420" s="149">
        <v>1</v>
      </c>
      <c r="G420" s="147" t="str">
        <v>Padrão IFC</v>
      </c>
      <c r="H420" s="240" t="b">
        <v>0</v>
      </c>
      <c r="I420" s="147" t="b">
        <f t="shared" si="25"/>
        <v>0</v>
      </c>
      <c r="J420" s="185" t="b">
        <f t="shared" si="26"/>
        <v>1</v>
      </c>
      <c r="K420" s="185" t="b">
        <f t="shared" si="23"/>
        <v>0</v>
      </c>
      <c r="L420" s="362">
        <v>1834628.9860248594</v>
      </c>
      <c r="M420" s="147">
        <v>133460.67002756009</v>
      </c>
      <c r="N420" s="147">
        <v>133460.67002756009</v>
      </c>
      <c r="O420" s="147">
        <v>133460.67002756009</v>
      </c>
      <c r="P420" s="147">
        <v>263304.37115523207</v>
      </c>
      <c r="Q420" s="147">
        <v>610083.61757301819</v>
      </c>
      <c r="R420" s="147">
        <v>133460.67002756009</v>
      </c>
      <c r="S420" s="147">
        <v>83531.347467730637</v>
      </c>
      <c r="T420" s="147">
        <v>213375.04859540262</v>
      </c>
      <c r="U420" s="147">
        <v>83531.347467730637</v>
      </c>
      <c r="V420" s="147">
        <v>560154.29501318873</v>
      </c>
      <c r="W420" s="147">
        <v>83531.347467730637</v>
      </c>
      <c r="X420" s="147">
        <v>213375.04859540262</v>
      </c>
      <c r="Y420" s="147">
        <v>83531.347467730637</v>
      </c>
      <c r="Z420" s="147">
        <v>83531.347467730637</v>
      </c>
      <c r="AA420" s="147">
        <v>560154.29501318873</v>
      </c>
      <c r="AB420" s="147">
        <v>213375.04859540262</v>
      </c>
      <c r="AC420" s="147">
        <v>83531.347467730637</v>
      </c>
      <c r="AD420" s="147">
        <v>83531.347467730637</v>
      </c>
      <c r="AE420" s="147">
        <v>83531.347467730637</v>
      </c>
      <c r="AF420" s="147">
        <v>689997.99614086084</v>
      </c>
      <c r="AG420" s="147">
        <v>83531.347467730637</v>
      </c>
      <c r="AH420" s="147">
        <v>83531.347467730637</v>
      </c>
      <c r="AI420" s="147">
        <v>83531.347467730637</v>
      </c>
      <c r="AJ420" s="147">
        <v>213375.04859540262</v>
      </c>
      <c r="AK420" s="147">
        <v>560154.29501318873</v>
      </c>
      <c r="AL420" s="147">
        <v>83531.347467730637</v>
      </c>
      <c r="AM420" s="147">
        <v>83531.347467730637</v>
      </c>
      <c r="AN420" s="147">
        <v>213375.04859540262</v>
      </c>
      <c r="AO420" s="240">
        <v>83531.347467730637</v>
      </c>
      <c r="AP420" s="147">
        <f t="shared" si="27"/>
        <v>7848634.6435690187</v>
      </c>
    </row>
    <row r="421" spans="2:42">
      <c r="B421" s="385" t="s">
        <v>106</v>
      </c>
      <c r="C421" s="122"/>
      <c r="D421" s="122"/>
      <c r="E421" s="122"/>
      <c r="F421" s="122"/>
      <c r="G421" s="122"/>
      <c r="H421" s="250"/>
      <c r="I421" s="240"/>
      <c r="J421" s="240"/>
      <c r="K421" s="147"/>
      <c r="L421" s="381">
        <f>SUM(L5:L420)</f>
        <v>178599736.04676378</v>
      </c>
      <c r="M421" s="381">
        <f t="shared" ref="M421:AP421" si="28">SUM(M5:M420)</f>
        <v>116521385.76469104</v>
      </c>
      <c r="N421" s="381">
        <f t="shared" si="28"/>
        <v>351556578.7818054</v>
      </c>
      <c r="O421" s="381">
        <f t="shared" si="28"/>
        <v>837400264.57339108</v>
      </c>
      <c r="P421" s="381">
        <f t="shared" si="28"/>
        <v>505318568.26877183</v>
      </c>
      <c r="Q421" s="381">
        <f t="shared" si="28"/>
        <v>496236352.91614836</v>
      </c>
      <c r="R421" s="381">
        <f t="shared" si="28"/>
        <v>5187536.297820067</v>
      </c>
      <c r="S421" s="381">
        <f t="shared" si="28"/>
        <v>61939863.914150342</v>
      </c>
      <c r="T421" s="381">
        <f t="shared" si="28"/>
        <v>68711049.279476479</v>
      </c>
      <c r="U421" s="381">
        <f t="shared" si="28"/>
        <v>37408190.679644719</v>
      </c>
      <c r="V421" s="381">
        <f t="shared" si="28"/>
        <v>35701142.339237891</v>
      </c>
      <c r="W421" s="381">
        <f t="shared" si="28"/>
        <v>10308905.579130599</v>
      </c>
      <c r="X421" s="381">
        <f t="shared" si="28"/>
        <v>11370329.22712113</v>
      </c>
      <c r="Y421" s="381">
        <f t="shared" si="28"/>
        <v>651514.00422605418</v>
      </c>
      <c r="Z421" s="381">
        <f t="shared" si="28"/>
        <v>288160645.45553917</v>
      </c>
      <c r="AA421" s="381">
        <f t="shared" si="28"/>
        <v>54456059.627743311</v>
      </c>
      <c r="AB421" s="381">
        <f t="shared" si="28"/>
        <v>123744063.90159652</v>
      </c>
      <c r="AC421" s="381">
        <f t="shared" si="28"/>
        <v>113985356.76427202</v>
      </c>
      <c r="AD421" s="381">
        <f t="shared" si="28"/>
        <v>69147531.694192544</v>
      </c>
      <c r="AE421" s="381">
        <f t="shared" si="28"/>
        <v>23443519.900715314</v>
      </c>
      <c r="AF421" s="381">
        <f t="shared" si="28"/>
        <v>29796576.737236101</v>
      </c>
      <c r="AG421" s="381">
        <f t="shared" si="28"/>
        <v>3043823.9097820926</v>
      </c>
      <c r="AH421" s="381">
        <f t="shared" si="28"/>
        <v>23198168.890982345</v>
      </c>
      <c r="AI421" s="381">
        <f t="shared" si="28"/>
        <v>30247675.943929676</v>
      </c>
      <c r="AJ421" s="381">
        <f t="shared" si="28"/>
        <v>56105385.567156322</v>
      </c>
      <c r="AK421" s="381">
        <f t="shared" si="28"/>
        <v>58057438.006721489</v>
      </c>
      <c r="AL421" s="381">
        <f t="shared" si="28"/>
        <v>26753060.130895667</v>
      </c>
      <c r="AM421" s="381">
        <f t="shared" si="28"/>
        <v>13878395.354899159</v>
      </c>
      <c r="AN421" s="381">
        <f t="shared" si="28"/>
        <v>24909861.391688135</v>
      </c>
      <c r="AO421" s="381">
        <f>SUM(AO5:AO420)</f>
        <v>34317597.273617856</v>
      </c>
      <c r="AP421" s="381">
        <f t="shared" si="28"/>
        <v>3690156578.2233434</v>
      </c>
    </row>
    <row r="422" spans="2:42">
      <c r="B422" t="s">
        <v>777</v>
      </c>
      <c r="I422" s="241"/>
      <c r="J422" s="241"/>
      <c r="K422" s="384"/>
      <c r="L422" s="241"/>
    </row>
    <row r="423" spans="2:42">
      <c r="F423" s="155"/>
      <c r="G423" s="155"/>
      <c r="H423" s="155"/>
      <c r="I423" s="155"/>
      <c r="J423" s="155"/>
      <c r="K423" s="155"/>
      <c r="L423" s="155"/>
    </row>
    <row r="424" spans="2:42">
      <c r="B424" s="2" t="s">
        <v>778</v>
      </c>
    </row>
    <row r="425" spans="2:42">
      <c r="B425" s="169" t="s">
        <v>105</v>
      </c>
      <c r="C425" s="237" t="s">
        <v>308</v>
      </c>
      <c r="D425" s="237" t="s">
        <v>779</v>
      </c>
    </row>
    <row r="426" spans="2:42">
      <c r="B426" s="308" t="s">
        <v>295</v>
      </c>
      <c r="C426" s="147">
        <f>SUMIF(B$5:B$366,B426,AP$5:AP$366)</f>
        <v>1822805415.6814945</v>
      </c>
      <c r="D426" s="110">
        <f>C426/(SUM(C$426:C$428))</f>
        <v>0.55126592015829867</v>
      </c>
      <c r="E426" s="155"/>
      <c r="F426" s="225"/>
      <c r="G426" s="225"/>
      <c r="H426" s="225"/>
      <c r="I426" s="225"/>
      <c r="J426" s="225"/>
      <c r="K426" s="225"/>
      <c r="L426" s="225"/>
    </row>
    <row r="427" spans="2:42">
      <c r="B427" s="309" t="s">
        <v>296</v>
      </c>
      <c r="C427" s="147">
        <f>SUMIF(B$5:B$366,B427,AP$5:AP$366)</f>
        <v>836509605.3449409</v>
      </c>
      <c r="D427" s="110">
        <f>C427/(SUM(C$426:C$428))</f>
        <v>0.25298324952547246</v>
      </c>
      <c r="E427" s="155"/>
    </row>
    <row r="428" spans="2:42">
      <c r="B428" s="308" t="s">
        <v>297</v>
      </c>
      <c r="C428" s="147">
        <f>SUMIF(B$5:B$366,B428,AP$5:AP$366)</f>
        <v>647265975.59687698</v>
      </c>
      <c r="D428" s="110">
        <f>C428/(SUM(C$426:C$428))</f>
        <v>0.19575083031622886</v>
      </c>
    </row>
    <row r="429" spans="2:42">
      <c r="B429" s="382" t="s">
        <v>298</v>
      </c>
      <c r="C429" s="241"/>
      <c r="D429" s="156"/>
    </row>
    <row r="430" spans="2:42">
      <c r="D430" s="5"/>
    </row>
    <row r="431" spans="2:42" ht="12.75" customHeight="1">
      <c r="B431" s="2" t="s">
        <v>780</v>
      </c>
    </row>
    <row r="432" spans="2:42" ht="12.75" customHeight="1">
      <c r="B432" s="46" t="str" cm="1">
        <f t="array" ref="B432:AP432">B4:AP4</f>
        <v>Pórticos</v>
      </c>
      <c r="C432" s="46" t="str">
        <v>Item</v>
      </c>
      <c r="D432" s="46" t="str">
        <v>Subitem</v>
      </c>
      <c r="E432" s="46" t="str">
        <v>Possibilidade de se beneficiar do REIDI (0 = Não; 1 = Sim)</v>
      </c>
      <c r="F432" s="46" t="str">
        <v>Item de Repex (Replacement Expenditure) (0 = Não; 1 = Sim)</v>
      </c>
      <c r="G432" s="46" t="str">
        <v>Descrição</v>
      </c>
      <c r="H432" s="46" t="str">
        <v>Trata-se de Desapropriações</v>
      </c>
      <c r="I432" s="46" t="str">
        <v>Trata-se de bens não reversíveis</v>
      </c>
      <c r="J432" s="46" t="str">
        <v>Trata-se de Repex lançado no Capex e/ou Bens não reversíveis</v>
      </c>
      <c r="K432" s="46" t="str">
        <v>Trata-se de ítem que pode ser adquirido com Aporte</v>
      </c>
      <c r="L432" s="46" t="str">
        <v>Ano 1</v>
      </c>
      <c r="M432" s="46" t="str">
        <v>Ano 2</v>
      </c>
      <c r="N432" s="46" t="str">
        <v>Ano 3</v>
      </c>
      <c r="O432" s="46" t="str">
        <v>Ano 4</v>
      </c>
      <c r="P432" s="46" t="str">
        <v>Ano 5</v>
      </c>
      <c r="Q432" s="46" t="str">
        <v>Ano 6</v>
      </c>
      <c r="R432" s="46" t="str">
        <v>Ano 7</v>
      </c>
      <c r="S432" s="46" t="str">
        <v>Ano 8</v>
      </c>
      <c r="T432" s="46" t="str">
        <v>Ano 9</v>
      </c>
      <c r="U432" s="46" t="str">
        <v>Ano 10</v>
      </c>
      <c r="V432" s="46" t="str">
        <v>Ano 11</v>
      </c>
      <c r="W432" s="46" t="str">
        <v>Ano 12</v>
      </c>
      <c r="X432" s="46" t="str">
        <v>Ano 13</v>
      </c>
      <c r="Y432" s="46" t="str">
        <v>Ano 14</v>
      </c>
      <c r="Z432" s="46" t="str">
        <v>Ano 15</v>
      </c>
      <c r="AA432" s="46" t="str">
        <v>Ano 16</v>
      </c>
      <c r="AB432" s="46" t="str">
        <v>Ano 17</v>
      </c>
      <c r="AC432" s="46" t="str">
        <v>Ano 18</v>
      </c>
      <c r="AD432" s="46" t="str">
        <v>Ano 19</v>
      </c>
      <c r="AE432" s="46" t="str">
        <v>Ano 20</v>
      </c>
      <c r="AF432" s="46" t="str">
        <v>Ano 21</v>
      </c>
      <c r="AG432" s="46" t="str">
        <v>Ano 22</v>
      </c>
      <c r="AH432" s="46" t="str">
        <v>Ano 23</v>
      </c>
      <c r="AI432" s="46" t="str">
        <v>Ano 24</v>
      </c>
      <c r="AJ432" s="46" t="str">
        <v>Ano 25</v>
      </c>
      <c r="AK432" s="46" t="str">
        <v>Ano 26</v>
      </c>
      <c r="AL432" s="46" t="str">
        <v>Ano 27</v>
      </c>
      <c r="AM432" s="46" t="str">
        <v>Ano 28</v>
      </c>
      <c r="AN432" s="46" t="str">
        <v>Ano 29</v>
      </c>
      <c r="AO432" s="46" t="str">
        <v>Ano 30</v>
      </c>
      <c r="AP432" s="46" t="str">
        <v>Total da Concessão</v>
      </c>
    </row>
    <row r="433" spans="2:42" ht="12.75" customHeight="1">
      <c r="B433" s="122" t="str" cm="1">
        <f t="array" ref="B433:AP721">_xlfn._xlws.FILTER(B5:AP420,K5:K420)</f>
        <v>Pórticos 1 e 2 (BR-356)</v>
      </c>
      <c r="C433" s="329" t="str">
        <v>1</v>
      </c>
      <c r="D433" s="329">
        <v>1</v>
      </c>
      <c r="E433" s="329">
        <v>0</v>
      </c>
      <c r="F433" s="329">
        <v>0</v>
      </c>
      <c r="G433" s="122" t="str">
        <v>Trabalhos iniciais</v>
      </c>
      <c r="H433" s="122" t="b">
        <v>0</v>
      </c>
      <c r="I433" s="122" t="b">
        <v>0</v>
      </c>
      <c r="J433" s="122" t="b">
        <v>0</v>
      </c>
      <c r="K433" s="122" t="b">
        <v>1</v>
      </c>
      <c r="L433" s="147">
        <v>0</v>
      </c>
      <c r="M433" s="147">
        <v>0</v>
      </c>
      <c r="N433" s="147">
        <v>0</v>
      </c>
      <c r="O433" s="147">
        <v>0</v>
      </c>
      <c r="P433" s="147">
        <v>0</v>
      </c>
      <c r="Q433" s="147">
        <v>0</v>
      </c>
      <c r="R433" s="147">
        <v>0</v>
      </c>
      <c r="S433" s="147">
        <v>0</v>
      </c>
      <c r="T433" s="147">
        <v>0</v>
      </c>
      <c r="U433" s="147">
        <v>0</v>
      </c>
      <c r="V433" s="147">
        <v>0</v>
      </c>
      <c r="W433" s="147">
        <v>0</v>
      </c>
      <c r="X433" s="147">
        <v>0</v>
      </c>
      <c r="Y433" s="147">
        <v>0</v>
      </c>
      <c r="Z433" s="147">
        <v>0</v>
      </c>
      <c r="AA433" s="147">
        <v>0</v>
      </c>
      <c r="AB433" s="147">
        <v>0</v>
      </c>
      <c r="AC433" s="147">
        <v>0</v>
      </c>
      <c r="AD433" s="147">
        <v>0</v>
      </c>
      <c r="AE433" s="147">
        <v>0</v>
      </c>
      <c r="AF433" s="147">
        <v>0</v>
      </c>
      <c r="AG433" s="147">
        <v>0</v>
      </c>
      <c r="AH433" s="147">
        <v>0</v>
      </c>
      <c r="AI433" s="147">
        <v>0</v>
      </c>
      <c r="AJ433" s="147">
        <v>0</v>
      </c>
      <c r="AK433" s="147">
        <v>0</v>
      </c>
      <c r="AL433" s="147">
        <v>0</v>
      </c>
      <c r="AM433" s="147">
        <v>0</v>
      </c>
      <c r="AN433" s="147">
        <v>0</v>
      </c>
      <c r="AO433" s="147">
        <v>0</v>
      </c>
      <c r="AP433" s="147">
        <v>0</v>
      </c>
    </row>
    <row r="434" spans="2:42" ht="12.75" customHeight="1">
      <c r="B434" s="122" t="str">
        <v>Pórticos 1 e 2 (BR-356)</v>
      </c>
      <c r="C434" s="329" t="str">
        <v>1</v>
      </c>
      <c r="D434" s="329" t="str">
        <v>1.1</v>
      </c>
      <c r="E434" s="329">
        <v>1</v>
      </c>
      <c r="F434" s="329">
        <v>0</v>
      </c>
      <c r="G434" s="122" t="str">
        <v>Pavimento</v>
      </c>
      <c r="H434" s="122" t="b">
        <v>0</v>
      </c>
      <c r="I434" s="122" t="b">
        <v>0</v>
      </c>
      <c r="J434" s="122" t="b">
        <v>0</v>
      </c>
      <c r="K434" s="122" t="b">
        <v>1</v>
      </c>
      <c r="L434" s="147">
        <v>15454081.310950384</v>
      </c>
      <c r="M434" s="147">
        <v>0</v>
      </c>
      <c r="N434" s="147">
        <v>0</v>
      </c>
      <c r="O434" s="147">
        <v>0</v>
      </c>
      <c r="P434" s="147">
        <v>0</v>
      </c>
      <c r="Q434" s="147">
        <v>0</v>
      </c>
      <c r="R434" s="147">
        <v>0</v>
      </c>
      <c r="S434" s="147">
        <v>0</v>
      </c>
      <c r="T434" s="147">
        <v>0</v>
      </c>
      <c r="U434" s="147">
        <v>0</v>
      </c>
      <c r="V434" s="147">
        <v>0</v>
      </c>
      <c r="W434" s="147">
        <v>0</v>
      </c>
      <c r="X434" s="147">
        <v>0</v>
      </c>
      <c r="Y434" s="147">
        <v>0</v>
      </c>
      <c r="Z434" s="147">
        <v>0</v>
      </c>
      <c r="AA434" s="147">
        <v>0</v>
      </c>
      <c r="AB434" s="147">
        <v>0</v>
      </c>
      <c r="AC434" s="147">
        <v>0</v>
      </c>
      <c r="AD434" s="147">
        <v>0</v>
      </c>
      <c r="AE434" s="147">
        <v>0</v>
      </c>
      <c r="AF434" s="147">
        <v>0</v>
      </c>
      <c r="AG434" s="147">
        <v>0</v>
      </c>
      <c r="AH434" s="147">
        <v>0</v>
      </c>
      <c r="AI434" s="147">
        <v>0</v>
      </c>
      <c r="AJ434" s="147">
        <v>0</v>
      </c>
      <c r="AK434" s="147">
        <v>0</v>
      </c>
      <c r="AL434" s="147">
        <v>0</v>
      </c>
      <c r="AM434" s="147">
        <v>0</v>
      </c>
      <c r="AN434" s="147">
        <v>0</v>
      </c>
      <c r="AO434" s="147">
        <v>0</v>
      </c>
      <c r="AP434" s="147">
        <v>15454081.310950384</v>
      </c>
    </row>
    <row r="435" spans="2:42" ht="12.75" customHeight="1">
      <c r="B435" s="122" t="str">
        <v>Pórticos 1 e 2 (BR-356)</v>
      </c>
      <c r="C435" s="329" t="str">
        <v>1</v>
      </c>
      <c r="D435" s="329" t="str">
        <v>1.2</v>
      </c>
      <c r="E435" s="329">
        <v>1</v>
      </c>
      <c r="F435" s="329">
        <v>0</v>
      </c>
      <c r="G435" s="122" t="str">
        <v>Obras de arte especiais</v>
      </c>
      <c r="H435" s="122" t="b">
        <v>0</v>
      </c>
      <c r="I435" s="122" t="b">
        <v>0</v>
      </c>
      <c r="J435" s="122" t="b">
        <v>0</v>
      </c>
      <c r="K435" s="122" t="b">
        <v>1</v>
      </c>
      <c r="L435" s="147">
        <v>0</v>
      </c>
      <c r="M435" s="147">
        <v>0</v>
      </c>
      <c r="N435" s="147">
        <v>0</v>
      </c>
      <c r="O435" s="147">
        <v>0</v>
      </c>
      <c r="P435" s="147">
        <v>0</v>
      </c>
      <c r="Q435" s="147">
        <v>0</v>
      </c>
      <c r="R435" s="147">
        <v>0</v>
      </c>
      <c r="S435" s="147">
        <v>0</v>
      </c>
      <c r="T435" s="147">
        <v>0</v>
      </c>
      <c r="U435" s="147">
        <v>0</v>
      </c>
      <c r="V435" s="147">
        <v>0</v>
      </c>
      <c r="W435" s="147">
        <v>0</v>
      </c>
      <c r="X435" s="147">
        <v>0</v>
      </c>
      <c r="Y435" s="147">
        <v>0</v>
      </c>
      <c r="Z435" s="147">
        <v>0</v>
      </c>
      <c r="AA435" s="147">
        <v>0</v>
      </c>
      <c r="AB435" s="147">
        <v>0</v>
      </c>
      <c r="AC435" s="147">
        <v>0</v>
      </c>
      <c r="AD435" s="147">
        <v>0</v>
      </c>
      <c r="AE435" s="147">
        <v>0</v>
      </c>
      <c r="AF435" s="147">
        <v>0</v>
      </c>
      <c r="AG435" s="147">
        <v>0</v>
      </c>
      <c r="AH435" s="147">
        <v>0</v>
      </c>
      <c r="AI435" s="147">
        <v>0</v>
      </c>
      <c r="AJ435" s="147">
        <v>0</v>
      </c>
      <c r="AK435" s="147">
        <v>0</v>
      </c>
      <c r="AL435" s="147">
        <v>0</v>
      </c>
      <c r="AM435" s="147">
        <v>0</v>
      </c>
      <c r="AN435" s="147">
        <v>0</v>
      </c>
      <c r="AO435" s="147">
        <v>0</v>
      </c>
      <c r="AP435" s="147">
        <v>0</v>
      </c>
    </row>
    <row r="436" spans="2:42" ht="12.75" customHeight="1">
      <c r="B436" s="122" t="str">
        <v>Pórticos 1 e 2 (BR-356)</v>
      </c>
      <c r="C436" s="329" t="str">
        <v>1</v>
      </c>
      <c r="D436" s="329" t="str">
        <v>1.3</v>
      </c>
      <c r="E436" s="329">
        <v>1</v>
      </c>
      <c r="F436" s="329">
        <v>0</v>
      </c>
      <c r="G436" s="122" t="str">
        <v>Drenagem e obras de arte correntes</v>
      </c>
      <c r="H436" s="122" t="b">
        <v>0</v>
      </c>
      <c r="I436" s="122" t="b">
        <v>0</v>
      </c>
      <c r="J436" s="122" t="b">
        <v>0</v>
      </c>
      <c r="K436" s="122" t="b">
        <v>1</v>
      </c>
      <c r="L436" s="147">
        <v>928414.14869210916</v>
      </c>
      <c r="M436" s="147">
        <v>0</v>
      </c>
      <c r="N436" s="147">
        <v>0</v>
      </c>
      <c r="O436" s="147">
        <v>0</v>
      </c>
      <c r="P436" s="147">
        <v>0</v>
      </c>
      <c r="Q436" s="147">
        <v>0</v>
      </c>
      <c r="R436" s="147">
        <v>0</v>
      </c>
      <c r="S436" s="147">
        <v>0</v>
      </c>
      <c r="T436" s="147">
        <v>0</v>
      </c>
      <c r="U436" s="147">
        <v>0</v>
      </c>
      <c r="V436" s="147">
        <v>0</v>
      </c>
      <c r="W436" s="147">
        <v>0</v>
      </c>
      <c r="X436" s="147">
        <v>0</v>
      </c>
      <c r="Y436" s="147">
        <v>0</v>
      </c>
      <c r="Z436" s="147">
        <v>0</v>
      </c>
      <c r="AA436" s="147">
        <v>0</v>
      </c>
      <c r="AB436" s="147">
        <v>0</v>
      </c>
      <c r="AC436" s="147">
        <v>0</v>
      </c>
      <c r="AD436" s="147">
        <v>0</v>
      </c>
      <c r="AE436" s="147">
        <v>0</v>
      </c>
      <c r="AF436" s="147">
        <v>0</v>
      </c>
      <c r="AG436" s="147">
        <v>0</v>
      </c>
      <c r="AH436" s="147">
        <v>0</v>
      </c>
      <c r="AI436" s="147">
        <v>0</v>
      </c>
      <c r="AJ436" s="147">
        <v>0</v>
      </c>
      <c r="AK436" s="147">
        <v>0</v>
      </c>
      <c r="AL436" s="147">
        <v>0</v>
      </c>
      <c r="AM436" s="147">
        <v>0</v>
      </c>
      <c r="AN436" s="147">
        <v>0</v>
      </c>
      <c r="AO436" s="147">
        <v>0</v>
      </c>
      <c r="AP436" s="147">
        <v>928414.14869210916</v>
      </c>
    </row>
    <row r="437" spans="2:42" ht="12.75" customHeight="1">
      <c r="B437" s="122" t="str">
        <v>Pórticos 1 e 2 (BR-356)</v>
      </c>
      <c r="C437" s="329" t="str">
        <v>1</v>
      </c>
      <c r="D437" s="329" t="str">
        <v>1.4</v>
      </c>
      <c r="E437" s="329">
        <v>1</v>
      </c>
      <c r="F437" s="329">
        <v>0</v>
      </c>
      <c r="G437" s="122" t="str">
        <v xml:space="preserve">Sinalização e dispositivos de proteção e segurança </v>
      </c>
      <c r="H437" s="122" t="b">
        <v>0</v>
      </c>
      <c r="I437" s="122" t="b">
        <v>0</v>
      </c>
      <c r="J437" s="122" t="b">
        <v>0</v>
      </c>
      <c r="K437" s="122" t="b">
        <v>1</v>
      </c>
      <c r="L437" s="147">
        <v>6349878.3124329373</v>
      </c>
      <c r="M437" s="147">
        <v>0</v>
      </c>
      <c r="N437" s="147">
        <v>0</v>
      </c>
      <c r="O437" s="147">
        <v>0</v>
      </c>
      <c r="P437" s="147">
        <v>0</v>
      </c>
      <c r="Q437" s="147">
        <v>0</v>
      </c>
      <c r="R437" s="147">
        <v>0</v>
      </c>
      <c r="S437" s="147">
        <v>0</v>
      </c>
      <c r="T437" s="147">
        <v>0</v>
      </c>
      <c r="U437" s="147">
        <v>0</v>
      </c>
      <c r="V437" s="147">
        <v>0</v>
      </c>
      <c r="W437" s="147">
        <v>0</v>
      </c>
      <c r="X437" s="147">
        <v>0</v>
      </c>
      <c r="Y437" s="147">
        <v>0</v>
      </c>
      <c r="Z437" s="147">
        <v>0</v>
      </c>
      <c r="AA437" s="147">
        <v>0</v>
      </c>
      <c r="AB437" s="147">
        <v>0</v>
      </c>
      <c r="AC437" s="147">
        <v>0</v>
      </c>
      <c r="AD437" s="147">
        <v>0</v>
      </c>
      <c r="AE437" s="147">
        <v>0</v>
      </c>
      <c r="AF437" s="147">
        <v>0</v>
      </c>
      <c r="AG437" s="147">
        <v>0</v>
      </c>
      <c r="AH437" s="147">
        <v>0</v>
      </c>
      <c r="AI437" s="147">
        <v>0</v>
      </c>
      <c r="AJ437" s="147">
        <v>0</v>
      </c>
      <c r="AK437" s="147">
        <v>0</v>
      </c>
      <c r="AL437" s="147">
        <v>0</v>
      </c>
      <c r="AM437" s="147">
        <v>0</v>
      </c>
      <c r="AN437" s="147">
        <v>0</v>
      </c>
      <c r="AO437" s="147">
        <v>0</v>
      </c>
      <c r="AP437" s="147">
        <v>6349878.3124329373</v>
      </c>
    </row>
    <row r="438" spans="2:42" ht="12.75" customHeight="1">
      <c r="B438" s="122" t="str">
        <v>Pórticos 1 e 2 (BR-356)</v>
      </c>
      <c r="C438" s="329" t="str">
        <v>1</v>
      </c>
      <c r="D438" s="329" t="str">
        <v>1.5</v>
      </c>
      <c r="E438" s="329">
        <v>1</v>
      </c>
      <c r="F438" s="329">
        <v>0</v>
      </c>
      <c r="G438" s="122" t="str">
        <v>Terraplenos e estrutura de contenção</v>
      </c>
      <c r="H438" s="122" t="b">
        <v>0</v>
      </c>
      <c r="I438" s="122" t="b">
        <v>0</v>
      </c>
      <c r="J438" s="122" t="b">
        <v>0</v>
      </c>
      <c r="K438" s="122" t="b">
        <v>1</v>
      </c>
      <c r="L438" s="147">
        <v>0</v>
      </c>
      <c r="M438" s="147">
        <v>0</v>
      </c>
      <c r="N438" s="147">
        <v>0</v>
      </c>
      <c r="O438" s="147">
        <v>0</v>
      </c>
      <c r="P438" s="147">
        <v>0</v>
      </c>
      <c r="Q438" s="147">
        <v>0</v>
      </c>
      <c r="R438" s="147">
        <v>0</v>
      </c>
      <c r="S438" s="147">
        <v>0</v>
      </c>
      <c r="T438" s="147">
        <v>0</v>
      </c>
      <c r="U438" s="147">
        <v>0</v>
      </c>
      <c r="V438" s="147">
        <v>0</v>
      </c>
      <c r="W438" s="147">
        <v>0</v>
      </c>
      <c r="X438" s="147">
        <v>0</v>
      </c>
      <c r="Y438" s="147">
        <v>0</v>
      </c>
      <c r="Z438" s="147">
        <v>0</v>
      </c>
      <c r="AA438" s="147">
        <v>0</v>
      </c>
      <c r="AB438" s="147">
        <v>0</v>
      </c>
      <c r="AC438" s="147">
        <v>0</v>
      </c>
      <c r="AD438" s="147">
        <v>0</v>
      </c>
      <c r="AE438" s="147">
        <v>0</v>
      </c>
      <c r="AF438" s="147">
        <v>0</v>
      </c>
      <c r="AG438" s="147">
        <v>0</v>
      </c>
      <c r="AH438" s="147">
        <v>0</v>
      </c>
      <c r="AI438" s="147">
        <v>0</v>
      </c>
      <c r="AJ438" s="147">
        <v>0</v>
      </c>
      <c r="AK438" s="147">
        <v>0</v>
      </c>
      <c r="AL438" s="147">
        <v>0</v>
      </c>
      <c r="AM438" s="147">
        <v>0</v>
      </c>
      <c r="AN438" s="147">
        <v>0</v>
      </c>
      <c r="AO438" s="147">
        <v>0</v>
      </c>
      <c r="AP438" s="147">
        <v>0</v>
      </c>
    </row>
    <row r="439" spans="2:42" ht="12.75" customHeight="1">
      <c r="B439" s="122" t="str">
        <v>Pórticos 1 e 2 (BR-356)</v>
      </c>
      <c r="C439" s="329" t="str">
        <v>1</v>
      </c>
      <c r="D439" s="329" t="str">
        <v>1.6</v>
      </c>
      <c r="E439" s="329">
        <v>1</v>
      </c>
      <c r="F439" s="329">
        <v>0</v>
      </c>
      <c r="G439" s="122" t="str">
        <v>Sistemas elétricos e de iluminação</v>
      </c>
      <c r="H439" s="122" t="b">
        <v>0</v>
      </c>
      <c r="I439" s="122" t="b">
        <v>0</v>
      </c>
      <c r="J439" s="122" t="b">
        <v>0</v>
      </c>
      <c r="K439" s="122" t="b">
        <v>1</v>
      </c>
      <c r="L439" s="147">
        <v>194882.29224282069</v>
      </c>
      <c r="M439" s="147">
        <v>0</v>
      </c>
      <c r="N439" s="147">
        <v>0</v>
      </c>
      <c r="O439" s="147">
        <v>0</v>
      </c>
      <c r="P439" s="147">
        <v>0</v>
      </c>
      <c r="Q439" s="147">
        <v>0</v>
      </c>
      <c r="R439" s="147">
        <v>0</v>
      </c>
      <c r="S439" s="147">
        <v>0</v>
      </c>
      <c r="T439" s="147">
        <v>0</v>
      </c>
      <c r="U439" s="147">
        <v>0</v>
      </c>
      <c r="V439" s="147">
        <v>0</v>
      </c>
      <c r="W439" s="147">
        <v>0</v>
      </c>
      <c r="X439" s="147">
        <v>0</v>
      </c>
      <c r="Y439" s="147">
        <v>0</v>
      </c>
      <c r="Z439" s="147">
        <v>0</v>
      </c>
      <c r="AA439" s="147">
        <v>0</v>
      </c>
      <c r="AB439" s="147">
        <v>0</v>
      </c>
      <c r="AC439" s="147">
        <v>0</v>
      </c>
      <c r="AD439" s="147">
        <v>0</v>
      </c>
      <c r="AE439" s="147">
        <v>0</v>
      </c>
      <c r="AF439" s="147">
        <v>0</v>
      </c>
      <c r="AG439" s="147">
        <v>0</v>
      </c>
      <c r="AH439" s="147">
        <v>0</v>
      </c>
      <c r="AI439" s="147">
        <v>0</v>
      </c>
      <c r="AJ439" s="147">
        <v>0</v>
      </c>
      <c r="AK439" s="147">
        <v>0</v>
      </c>
      <c r="AL439" s="147">
        <v>0</v>
      </c>
      <c r="AM439" s="147">
        <v>0</v>
      </c>
      <c r="AN439" s="147">
        <v>0</v>
      </c>
      <c r="AO439" s="147">
        <v>0</v>
      </c>
      <c r="AP439" s="147">
        <v>194882.29224282069</v>
      </c>
    </row>
    <row r="440" spans="2:42" ht="12.75" customHeight="1">
      <c r="B440" s="122" t="str">
        <v>Pórticos 1 e 2 (BR-356)</v>
      </c>
      <c r="C440" s="329" t="str">
        <v>1</v>
      </c>
      <c r="D440" s="329" t="str">
        <v>1.7</v>
      </c>
      <c r="E440" s="329">
        <v>1</v>
      </c>
      <c r="F440" s="329">
        <v>0</v>
      </c>
      <c r="G440" s="122" t="str">
        <v>Canteiro central e faixa de domínio</v>
      </c>
      <c r="H440" s="122" t="b">
        <v>0</v>
      </c>
      <c r="I440" s="122" t="b">
        <v>0</v>
      </c>
      <c r="J440" s="122" t="b">
        <v>0</v>
      </c>
      <c r="K440" s="122" t="b">
        <v>1</v>
      </c>
      <c r="L440" s="147">
        <v>209720.86542699733</v>
      </c>
      <c r="M440" s="147">
        <v>0</v>
      </c>
      <c r="N440" s="147">
        <v>0</v>
      </c>
      <c r="O440" s="147">
        <v>0</v>
      </c>
      <c r="P440" s="147">
        <v>0</v>
      </c>
      <c r="Q440" s="147">
        <v>0</v>
      </c>
      <c r="R440" s="147">
        <v>0</v>
      </c>
      <c r="S440" s="147">
        <v>0</v>
      </c>
      <c r="T440" s="147">
        <v>0</v>
      </c>
      <c r="U440" s="147">
        <v>0</v>
      </c>
      <c r="V440" s="147">
        <v>0</v>
      </c>
      <c r="W440" s="147">
        <v>0</v>
      </c>
      <c r="X440" s="147">
        <v>0</v>
      </c>
      <c r="Y440" s="147">
        <v>0</v>
      </c>
      <c r="Z440" s="147">
        <v>0</v>
      </c>
      <c r="AA440" s="147">
        <v>0</v>
      </c>
      <c r="AB440" s="147">
        <v>0</v>
      </c>
      <c r="AC440" s="147">
        <v>0</v>
      </c>
      <c r="AD440" s="147">
        <v>0</v>
      </c>
      <c r="AE440" s="147">
        <v>0</v>
      </c>
      <c r="AF440" s="147">
        <v>0</v>
      </c>
      <c r="AG440" s="147">
        <v>0</v>
      </c>
      <c r="AH440" s="147">
        <v>0</v>
      </c>
      <c r="AI440" s="147">
        <v>0</v>
      </c>
      <c r="AJ440" s="147">
        <v>0</v>
      </c>
      <c r="AK440" s="147">
        <v>0</v>
      </c>
      <c r="AL440" s="147">
        <v>0</v>
      </c>
      <c r="AM440" s="147">
        <v>0</v>
      </c>
      <c r="AN440" s="147">
        <v>0</v>
      </c>
      <c r="AO440" s="147">
        <v>0</v>
      </c>
      <c r="AP440" s="147">
        <v>209720.86542699733</v>
      </c>
    </row>
    <row r="441" spans="2:42" ht="12.75" customHeight="1">
      <c r="B441" s="122" t="str">
        <v>Pórticos 1 e 2 (BR-356)</v>
      </c>
      <c r="C441" s="329" t="str">
        <v>1</v>
      </c>
      <c r="D441" s="329" t="str">
        <v>1.8</v>
      </c>
      <c r="E441" s="329">
        <v>1</v>
      </c>
      <c r="F441" s="329">
        <v>0</v>
      </c>
      <c r="G441" s="122" t="str">
        <v>Administração local (%)</v>
      </c>
      <c r="H441" s="122" t="b">
        <v>0</v>
      </c>
      <c r="I441" s="122" t="b">
        <v>0</v>
      </c>
      <c r="J441" s="122" t="b">
        <v>0</v>
      </c>
      <c r="K441" s="122" t="b">
        <v>1</v>
      </c>
      <c r="L441" s="147">
        <v>284584.81623586657</v>
      </c>
      <c r="M441" s="147">
        <v>0</v>
      </c>
      <c r="N441" s="147">
        <v>0</v>
      </c>
      <c r="O441" s="147">
        <v>0</v>
      </c>
      <c r="P441" s="147">
        <v>0</v>
      </c>
      <c r="Q441" s="147">
        <v>0</v>
      </c>
      <c r="R441" s="147">
        <v>0</v>
      </c>
      <c r="S441" s="147">
        <v>0</v>
      </c>
      <c r="T441" s="147">
        <v>0</v>
      </c>
      <c r="U441" s="147">
        <v>0</v>
      </c>
      <c r="V441" s="147">
        <v>0</v>
      </c>
      <c r="W441" s="147">
        <v>0</v>
      </c>
      <c r="X441" s="147">
        <v>0</v>
      </c>
      <c r="Y441" s="147">
        <v>0</v>
      </c>
      <c r="Z441" s="147">
        <v>0</v>
      </c>
      <c r="AA441" s="147">
        <v>0</v>
      </c>
      <c r="AB441" s="147">
        <v>0</v>
      </c>
      <c r="AC441" s="147">
        <v>0</v>
      </c>
      <c r="AD441" s="147">
        <v>0</v>
      </c>
      <c r="AE441" s="147">
        <v>0</v>
      </c>
      <c r="AF441" s="147">
        <v>0</v>
      </c>
      <c r="AG441" s="147">
        <v>0</v>
      </c>
      <c r="AH441" s="147">
        <v>0</v>
      </c>
      <c r="AI441" s="147">
        <v>0</v>
      </c>
      <c r="AJ441" s="147">
        <v>0</v>
      </c>
      <c r="AK441" s="147">
        <v>0</v>
      </c>
      <c r="AL441" s="147">
        <v>0</v>
      </c>
      <c r="AM441" s="147">
        <v>0</v>
      </c>
      <c r="AN441" s="147">
        <v>0</v>
      </c>
      <c r="AO441" s="147">
        <v>0</v>
      </c>
      <c r="AP441" s="147">
        <v>284584.81623586657</v>
      </c>
    </row>
    <row r="442" spans="2:42" ht="12.75" customHeight="1">
      <c r="B442" s="122" t="str">
        <v>Pórticos 1 e 2 (BR-356)</v>
      </c>
      <c r="C442" s="329" t="str">
        <v>1</v>
      </c>
      <c r="D442" s="329" t="str">
        <v>1.9</v>
      </c>
      <c r="E442" s="329">
        <v>1</v>
      </c>
      <c r="F442" s="329">
        <v>0</v>
      </c>
      <c r="G442" s="122" t="str">
        <v>Canteiro de obras (%)</v>
      </c>
      <c r="H442" s="122" t="b">
        <v>0</v>
      </c>
      <c r="I442" s="122" t="b">
        <v>0</v>
      </c>
      <c r="J442" s="122" t="b">
        <v>0</v>
      </c>
      <c r="K442" s="122" t="b">
        <v>1</v>
      </c>
      <c r="L442" s="147">
        <v>71724.628482210261</v>
      </c>
      <c r="M442" s="147">
        <v>0</v>
      </c>
      <c r="N442" s="147">
        <v>0</v>
      </c>
      <c r="O442" s="147">
        <v>0</v>
      </c>
      <c r="P442" s="147">
        <v>0</v>
      </c>
      <c r="Q442" s="147">
        <v>0</v>
      </c>
      <c r="R442" s="147">
        <v>0</v>
      </c>
      <c r="S442" s="147">
        <v>0</v>
      </c>
      <c r="T442" s="147">
        <v>0</v>
      </c>
      <c r="U442" s="147">
        <v>0</v>
      </c>
      <c r="V442" s="147">
        <v>0</v>
      </c>
      <c r="W442" s="147">
        <v>0</v>
      </c>
      <c r="X442" s="147">
        <v>0</v>
      </c>
      <c r="Y442" s="147">
        <v>0</v>
      </c>
      <c r="Z442" s="147">
        <v>0</v>
      </c>
      <c r="AA442" s="147">
        <v>0</v>
      </c>
      <c r="AB442" s="147">
        <v>0</v>
      </c>
      <c r="AC442" s="147">
        <v>0</v>
      </c>
      <c r="AD442" s="147">
        <v>0</v>
      </c>
      <c r="AE442" s="147">
        <v>0</v>
      </c>
      <c r="AF442" s="147">
        <v>0</v>
      </c>
      <c r="AG442" s="147">
        <v>0</v>
      </c>
      <c r="AH442" s="147">
        <v>0</v>
      </c>
      <c r="AI442" s="147">
        <v>0</v>
      </c>
      <c r="AJ442" s="147">
        <v>0</v>
      </c>
      <c r="AK442" s="147">
        <v>0</v>
      </c>
      <c r="AL442" s="147">
        <v>0</v>
      </c>
      <c r="AM442" s="147">
        <v>0</v>
      </c>
      <c r="AN442" s="147">
        <v>0</v>
      </c>
      <c r="AO442" s="147">
        <v>0</v>
      </c>
      <c r="AP442" s="147">
        <v>71724.628482210261</v>
      </c>
    </row>
    <row r="443" spans="2:42" ht="12.75" customHeight="1">
      <c r="B443" s="122" t="str">
        <v>Pórticos 1 e 2 (BR-356)</v>
      </c>
      <c r="C443" s="329" t="str">
        <v>1</v>
      </c>
      <c r="D443" s="329" t="str">
        <v>1.10</v>
      </c>
      <c r="E443" s="329">
        <v>1</v>
      </c>
      <c r="F443" s="329">
        <v>0</v>
      </c>
      <c r="G443" s="122" t="str">
        <v>Mobilização e desmobilização (%)</v>
      </c>
      <c r="H443" s="122" t="b">
        <v>0</v>
      </c>
      <c r="I443" s="122" t="b">
        <v>0</v>
      </c>
      <c r="J443" s="122" t="b">
        <v>0</v>
      </c>
      <c r="K443" s="122" t="b">
        <v>1</v>
      </c>
      <c r="L443" s="147">
        <v>1341.9446619252242</v>
      </c>
      <c r="M443" s="147">
        <v>0</v>
      </c>
      <c r="N443" s="147">
        <v>0</v>
      </c>
      <c r="O443" s="147">
        <v>0</v>
      </c>
      <c r="P443" s="147">
        <v>0</v>
      </c>
      <c r="Q443" s="147">
        <v>0</v>
      </c>
      <c r="R443" s="147">
        <v>0</v>
      </c>
      <c r="S443" s="147">
        <v>0</v>
      </c>
      <c r="T443" s="147">
        <v>0</v>
      </c>
      <c r="U443" s="147">
        <v>0</v>
      </c>
      <c r="V443" s="147">
        <v>0</v>
      </c>
      <c r="W443" s="147">
        <v>0</v>
      </c>
      <c r="X443" s="147">
        <v>0</v>
      </c>
      <c r="Y443" s="147">
        <v>0</v>
      </c>
      <c r="Z443" s="147">
        <v>0</v>
      </c>
      <c r="AA443" s="147">
        <v>0</v>
      </c>
      <c r="AB443" s="147">
        <v>0</v>
      </c>
      <c r="AC443" s="147">
        <v>0</v>
      </c>
      <c r="AD443" s="147">
        <v>0</v>
      </c>
      <c r="AE443" s="147">
        <v>0</v>
      </c>
      <c r="AF443" s="147">
        <v>0</v>
      </c>
      <c r="AG443" s="147">
        <v>0</v>
      </c>
      <c r="AH443" s="147">
        <v>0</v>
      </c>
      <c r="AI443" s="147">
        <v>0</v>
      </c>
      <c r="AJ443" s="147">
        <v>0</v>
      </c>
      <c r="AK443" s="147">
        <v>0</v>
      </c>
      <c r="AL443" s="147">
        <v>0</v>
      </c>
      <c r="AM443" s="147">
        <v>0</v>
      </c>
      <c r="AN443" s="147">
        <v>0</v>
      </c>
      <c r="AO443" s="147">
        <v>0</v>
      </c>
      <c r="AP443" s="147">
        <v>1341.9446619252242</v>
      </c>
    </row>
    <row r="444" spans="2:42" ht="12.75" customHeight="1">
      <c r="B444" s="122" t="str">
        <v>Pórticos 1 e 2 (BR-356)</v>
      </c>
      <c r="C444" s="329" t="str">
        <v>1</v>
      </c>
      <c r="D444" s="329" t="str">
        <v>1.11</v>
      </c>
      <c r="E444" s="329">
        <v>1</v>
      </c>
      <c r="F444" s="329">
        <v>0</v>
      </c>
      <c r="G444" s="122" t="str">
        <v>Projetos (%)</v>
      </c>
      <c r="H444" s="122" t="b">
        <v>0</v>
      </c>
      <c r="I444" s="122" t="b">
        <v>0</v>
      </c>
      <c r="J444" s="122" t="b">
        <v>0</v>
      </c>
      <c r="K444" s="122" t="b">
        <v>1</v>
      </c>
      <c r="L444" s="147">
        <v>578424.42324363114</v>
      </c>
      <c r="M444" s="147">
        <v>0</v>
      </c>
      <c r="N444" s="147">
        <v>0</v>
      </c>
      <c r="O444" s="147">
        <v>0</v>
      </c>
      <c r="P444" s="147">
        <v>0</v>
      </c>
      <c r="Q444" s="147">
        <v>0</v>
      </c>
      <c r="R444" s="147">
        <v>0</v>
      </c>
      <c r="S444" s="147">
        <v>0</v>
      </c>
      <c r="T444" s="147">
        <v>0</v>
      </c>
      <c r="U444" s="147">
        <v>0</v>
      </c>
      <c r="V444" s="147">
        <v>0</v>
      </c>
      <c r="W444" s="147">
        <v>0</v>
      </c>
      <c r="X444" s="147">
        <v>0</v>
      </c>
      <c r="Y444" s="147">
        <v>0</v>
      </c>
      <c r="Z444" s="147">
        <v>0</v>
      </c>
      <c r="AA444" s="147">
        <v>0</v>
      </c>
      <c r="AB444" s="147">
        <v>0</v>
      </c>
      <c r="AC444" s="147">
        <v>0</v>
      </c>
      <c r="AD444" s="147">
        <v>0</v>
      </c>
      <c r="AE444" s="147">
        <v>0</v>
      </c>
      <c r="AF444" s="147">
        <v>0</v>
      </c>
      <c r="AG444" s="147">
        <v>0</v>
      </c>
      <c r="AH444" s="147">
        <v>0</v>
      </c>
      <c r="AI444" s="147">
        <v>0</v>
      </c>
      <c r="AJ444" s="147">
        <v>0</v>
      </c>
      <c r="AK444" s="147">
        <v>0</v>
      </c>
      <c r="AL444" s="147">
        <v>0</v>
      </c>
      <c r="AM444" s="147">
        <v>0</v>
      </c>
      <c r="AN444" s="147">
        <v>0</v>
      </c>
      <c r="AO444" s="147">
        <v>0</v>
      </c>
      <c r="AP444" s="147">
        <v>578424.42324363114</v>
      </c>
    </row>
    <row r="445" spans="2:42" ht="12.75" customHeight="1">
      <c r="B445" s="122" t="str">
        <v>Pórticos 1 e 2 (BR-356)</v>
      </c>
      <c r="C445" s="329" t="str">
        <v>2</v>
      </c>
      <c r="D445" s="329">
        <v>2</v>
      </c>
      <c r="E445" s="329">
        <v>0</v>
      </c>
      <c r="F445" s="329">
        <v>0</v>
      </c>
      <c r="G445" s="122" t="str">
        <v>Recuperação do sistema rodoviário</v>
      </c>
      <c r="H445" s="122" t="b">
        <v>0</v>
      </c>
      <c r="I445" s="122" t="b">
        <v>0</v>
      </c>
      <c r="J445" s="122" t="b">
        <v>0</v>
      </c>
      <c r="K445" s="122" t="b">
        <v>1</v>
      </c>
      <c r="L445" s="147">
        <v>0</v>
      </c>
      <c r="M445" s="147">
        <v>0</v>
      </c>
      <c r="N445" s="147">
        <v>0</v>
      </c>
      <c r="O445" s="147">
        <v>0</v>
      </c>
      <c r="P445" s="147">
        <v>0</v>
      </c>
      <c r="Q445" s="147">
        <v>0</v>
      </c>
      <c r="R445" s="147">
        <v>0</v>
      </c>
      <c r="S445" s="147">
        <v>0</v>
      </c>
      <c r="T445" s="147">
        <v>0</v>
      </c>
      <c r="U445" s="147">
        <v>0</v>
      </c>
      <c r="V445" s="147">
        <v>0</v>
      </c>
      <c r="W445" s="147">
        <v>0</v>
      </c>
      <c r="X445" s="147">
        <v>0</v>
      </c>
      <c r="Y445" s="147">
        <v>0</v>
      </c>
      <c r="Z445" s="147">
        <v>0</v>
      </c>
      <c r="AA445" s="147">
        <v>0</v>
      </c>
      <c r="AB445" s="147">
        <v>0</v>
      </c>
      <c r="AC445" s="147">
        <v>0</v>
      </c>
      <c r="AD445" s="147">
        <v>0</v>
      </c>
      <c r="AE445" s="147">
        <v>0</v>
      </c>
      <c r="AF445" s="147">
        <v>0</v>
      </c>
      <c r="AG445" s="147">
        <v>0</v>
      </c>
      <c r="AH445" s="147">
        <v>0</v>
      </c>
      <c r="AI445" s="147">
        <v>0</v>
      </c>
      <c r="AJ445" s="147">
        <v>0</v>
      </c>
      <c r="AK445" s="147">
        <v>0</v>
      </c>
      <c r="AL445" s="147">
        <v>0</v>
      </c>
      <c r="AM445" s="147">
        <v>0</v>
      </c>
      <c r="AN445" s="147">
        <v>0</v>
      </c>
      <c r="AO445" s="147">
        <v>0</v>
      </c>
      <c r="AP445" s="147">
        <v>0</v>
      </c>
    </row>
    <row r="446" spans="2:42" ht="12.75" customHeight="1">
      <c r="B446" s="122" t="str">
        <v>Pórticos 1 e 2 (BR-356)</v>
      </c>
      <c r="C446" s="329" t="str">
        <v>2</v>
      </c>
      <c r="D446" s="329" t="str">
        <v>2.1</v>
      </c>
      <c r="E446" s="329">
        <v>1</v>
      </c>
      <c r="F446" s="329">
        <v>0</v>
      </c>
      <c r="G446" s="122" t="str">
        <v>Pavimento</v>
      </c>
      <c r="H446" s="122" t="b">
        <v>0</v>
      </c>
      <c r="I446" s="122" t="b">
        <v>0</v>
      </c>
      <c r="J446" s="122" t="b">
        <v>0</v>
      </c>
      <c r="K446" s="122" t="b">
        <v>1</v>
      </c>
      <c r="L446" s="147">
        <v>0</v>
      </c>
      <c r="M446" s="147">
        <v>16354536.77415935</v>
      </c>
      <c r="N446" s="147">
        <v>17884060.669903781</v>
      </c>
      <c r="O446" s="147">
        <v>22576700.26483107</v>
      </c>
      <c r="P446" s="147">
        <v>14244725.507123912</v>
      </c>
      <c r="Q446" s="147">
        <v>0</v>
      </c>
      <c r="R446" s="147">
        <v>0</v>
      </c>
      <c r="S446" s="147">
        <v>0</v>
      </c>
      <c r="T446" s="147">
        <v>0</v>
      </c>
      <c r="U446" s="147">
        <v>0</v>
      </c>
      <c r="V446" s="147">
        <v>0</v>
      </c>
      <c r="W446" s="147">
        <v>0</v>
      </c>
      <c r="X446" s="147">
        <v>0</v>
      </c>
      <c r="Y446" s="147">
        <v>0</v>
      </c>
      <c r="Z446" s="147">
        <v>0</v>
      </c>
      <c r="AA446" s="147">
        <v>0</v>
      </c>
      <c r="AB446" s="147">
        <v>0</v>
      </c>
      <c r="AC446" s="147">
        <v>0</v>
      </c>
      <c r="AD446" s="147">
        <v>0</v>
      </c>
      <c r="AE446" s="147">
        <v>0</v>
      </c>
      <c r="AF446" s="147">
        <v>0</v>
      </c>
      <c r="AG446" s="147">
        <v>0</v>
      </c>
      <c r="AH446" s="147">
        <v>0</v>
      </c>
      <c r="AI446" s="147">
        <v>0</v>
      </c>
      <c r="AJ446" s="147">
        <v>0</v>
      </c>
      <c r="AK446" s="147">
        <v>0</v>
      </c>
      <c r="AL446" s="147">
        <v>0</v>
      </c>
      <c r="AM446" s="147">
        <v>0</v>
      </c>
      <c r="AN446" s="147">
        <v>0</v>
      </c>
      <c r="AO446" s="147">
        <v>0</v>
      </c>
      <c r="AP446" s="147">
        <v>71060023.216018111</v>
      </c>
    </row>
    <row r="447" spans="2:42" ht="12.75" customHeight="1">
      <c r="B447" s="122" t="str">
        <v>Pórticos 1 e 2 (BR-356)</v>
      </c>
      <c r="C447" s="329" t="str">
        <v>2</v>
      </c>
      <c r="D447" s="329" t="str">
        <v>2.2</v>
      </c>
      <c r="E447" s="329">
        <v>1</v>
      </c>
      <c r="F447" s="329">
        <v>0</v>
      </c>
      <c r="G447" s="122" t="str">
        <v>Obras de arte especiais</v>
      </c>
      <c r="H447" s="122" t="b">
        <v>0</v>
      </c>
      <c r="I447" s="122" t="b">
        <v>0</v>
      </c>
      <c r="J447" s="122" t="b">
        <v>0</v>
      </c>
      <c r="K447" s="122" t="b">
        <v>1</v>
      </c>
      <c r="L447" s="147">
        <v>0</v>
      </c>
      <c r="M447" s="147">
        <v>16331304.488212068</v>
      </c>
      <c r="N447" s="147">
        <v>2051589.5000823664</v>
      </c>
      <c r="O447" s="147">
        <v>55623.380383060998</v>
      </c>
      <c r="P447" s="147">
        <v>0</v>
      </c>
      <c r="Q447" s="147">
        <v>0</v>
      </c>
      <c r="R447" s="147">
        <v>0</v>
      </c>
      <c r="S447" s="147">
        <v>0</v>
      </c>
      <c r="T447" s="147">
        <v>0</v>
      </c>
      <c r="U447" s="147">
        <v>0</v>
      </c>
      <c r="V447" s="147">
        <v>0</v>
      </c>
      <c r="W447" s="147">
        <v>0</v>
      </c>
      <c r="X447" s="147">
        <v>0</v>
      </c>
      <c r="Y447" s="147">
        <v>0</v>
      </c>
      <c r="Z447" s="147">
        <v>0</v>
      </c>
      <c r="AA447" s="147">
        <v>0</v>
      </c>
      <c r="AB447" s="147">
        <v>0</v>
      </c>
      <c r="AC447" s="147">
        <v>0</v>
      </c>
      <c r="AD447" s="147">
        <v>0</v>
      </c>
      <c r="AE447" s="147">
        <v>0</v>
      </c>
      <c r="AF447" s="147">
        <v>0</v>
      </c>
      <c r="AG447" s="147">
        <v>0</v>
      </c>
      <c r="AH447" s="147">
        <v>0</v>
      </c>
      <c r="AI447" s="147">
        <v>0</v>
      </c>
      <c r="AJ447" s="147">
        <v>0</v>
      </c>
      <c r="AK447" s="147">
        <v>0</v>
      </c>
      <c r="AL447" s="147">
        <v>0</v>
      </c>
      <c r="AM447" s="147">
        <v>0</v>
      </c>
      <c r="AN447" s="147">
        <v>0</v>
      </c>
      <c r="AO447" s="147">
        <v>0</v>
      </c>
      <c r="AP447" s="147">
        <v>18438517.368677493</v>
      </c>
    </row>
    <row r="448" spans="2:42" ht="12.75" customHeight="1">
      <c r="B448" s="122" t="str">
        <v>Pórticos 1 e 2 (BR-356)</v>
      </c>
      <c r="C448" s="329" t="str">
        <v>2</v>
      </c>
      <c r="D448" s="329" t="str">
        <v>2.3</v>
      </c>
      <c r="E448" s="329">
        <v>1</v>
      </c>
      <c r="F448" s="329">
        <v>0</v>
      </c>
      <c r="G448" s="122" t="str">
        <v>Drenagem e obras de arte correntes</v>
      </c>
      <c r="H448" s="122" t="b">
        <v>0</v>
      </c>
      <c r="I448" s="122" t="b">
        <v>0</v>
      </c>
      <c r="J448" s="122" t="b">
        <v>0</v>
      </c>
      <c r="K448" s="122" t="b">
        <v>1</v>
      </c>
      <c r="L448" s="147">
        <v>0</v>
      </c>
      <c r="M448" s="147">
        <v>573464.09050854878</v>
      </c>
      <c r="N448" s="147">
        <v>573464.09050854878</v>
      </c>
      <c r="O448" s="147">
        <v>573464.09050854878</v>
      </c>
      <c r="P448" s="147">
        <v>573464.09050854878</v>
      </c>
      <c r="Q448" s="147">
        <v>0</v>
      </c>
      <c r="R448" s="147">
        <v>0</v>
      </c>
      <c r="S448" s="147">
        <v>0</v>
      </c>
      <c r="T448" s="147">
        <v>0</v>
      </c>
      <c r="U448" s="147">
        <v>0</v>
      </c>
      <c r="V448" s="147">
        <v>0</v>
      </c>
      <c r="W448" s="147">
        <v>0</v>
      </c>
      <c r="X448" s="147">
        <v>0</v>
      </c>
      <c r="Y448" s="147">
        <v>0</v>
      </c>
      <c r="Z448" s="147">
        <v>0</v>
      </c>
      <c r="AA448" s="147">
        <v>0</v>
      </c>
      <c r="AB448" s="147">
        <v>0</v>
      </c>
      <c r="AC448" s="147">
        <v>0</v>
      </c>
      <c r="AD448" s="147">
        <v>0</v>
      </c>
      <c r="AE448" s="147">
        <v>0</v>
      </c>
      <c r="AF448" s="147">
        <v>0</v>
      </c>
      <c r="AG448" s="147">
        <v>0</v>
      </c>
      <c r="AH448" s="147">
        <v>0</v>
      </c>
      <c r="AI448" s="147">
        <v>0</v>
      </c>
      <c r="AJ448" s="147">
        <v>0</v>
      </c>
      <c r="AK448" s="147">
        <v>0</v>
      </c>
      <c r="AL448" s="147">
        <v>0</v>
      </c>
      <c r="AM448" s="147">
        <v>0</v>
      </c>
      <c r="AN448" s="147">
        <v>0</v>
      </c>
      <c r="AO448" s="147">
        <v>0</v>
      </c>
      <c r="AP448" s="147">
        <v>2293856.3620341951</v>
      </c>
    </row>
    <row r="449" spans="2:42" ht="12.75" customHeight="1">
      <c r="B449" s="122" t="str">
        <v>Pórticos 1 e 2 (BR-356)</v>
      </c>
      <c r="C449" s="329" t="str">
        <v>2</v>
      </c>
      <c r="D449" s="329" t="str">
        <v>2.4</v>
      </c>
      <c r="E449" s="329">
        <v>1</v>
      </c>
      <c r="F449" s="329">
        <v>0</v>
      </c>
      <c r="G449" s="122" t="str">
        <v xml:space="preserve">Sinalização e dispositivos de proteção e segurança </v>
      </c>
      <c r="H449" s="122" t="b">
        <v>0</v>
      </c>
      <c r="I449" s="122" t="b">
        <v>0</v>
      </c>
      <c r="J449" s="122" t="b">
        <v>0</v>
      </c>
      <c r="K449" s="122" t="b">
        <v>1</v>
      </c>
      <c r="L449" s="147">
        <v>0</v>
      </c>
      <c r="M449" s="147">
        <v>3516884.9500369704</v>
      </c>
      <c r="N449" s="147">
        <v>3516884.9500369704</v>
      </c>
      <c r="O449" s="147">
        <v>3516884.9500369704</v>
      </c>
      <c r="P449" s="147">
        <v>3460556.4758119704</v>
      </c>
      <c r="Q449" s="147">
        <v>0</v>
      </c>
      <c r="R449" s="147">
        <v>0</v>
      </c>
      <c r="S449" s="147">
        <v>0</v>
      </c>
      <c r="T449" s="147">
        <v>0</v>
      </c>
      <c r="U449" s="147">
        <v>0</v>
      </c>
      <c r="V449" s="147">
        <v>0</v>
      </c>
      <c r="W449" s="147">
        <v>0</v>
      </c>
      <c r="X449" s="147">
        <v>0</v>
      </c>
      <c r="Y449" s="147">
        <v>0</v>
      </c>
      <c r="Z449" s="147">
        <v>0</v>
      </c>
      <c r="AA449" s="147">
        <v>0</v>
      </c>
      <c r="AB449" s="147">
        <v>0</v>
      </c>
      <c r="AC449" s="147">
        <v>0</v>
      </c>
      <c r="AD449" s="147">
        <v>0</v>
      </c>
      <c r="AE449" s="147">
        <v>0</v>
      </c>
      <c r="AF449" s="147">
        <v>0</v>
      </c>
      <c r="AG449" s="147">
        <v>0</v>
      </c>
      <c r="AH449" s="147">
        <v>0</v>
      </c>
      <c r="AI449" s="147">
        <v>0</v>
      </c>
      <c r="AJ449" s="147">
        <v>0</v>
      </c>
      <c r="AK449" s="147">
        <v>0</v>
      </c>
      <c r="AL449" s="147">
        <v>0</v>
      </c>
      <c r="AM449" s="147">
        <v>0</v>
      </c>
      <c r="AN449" s="147">
        <v>0</v>
      </c>
      <c r="AO449" s="147">
        <v>0</v>
      </c>
      <c r="AP449" s="147">
        <v>14011211.32592288</v>
      </c>
    </row>
    <row r="450" spans="2:42" ht="12.75" customHeight="1">
      <c r="B450" s="122" t="str">
        <v>Pórticos 1 e 2 (BR-356)</v>
      </c>
      <c r="C450" s="329" t="str">
        <v>2</v>
      </c>
      <c r="D450" s="329" t="str">
        <v>2.6</v>
      </c>
      <c r="E450" s="329">
        <v>1</v>
      </c>
      <c r="F450" s="329">
        <v>0</v>
      </c>
      <c r="G450" s="122" t="str">
        <v>Terraplenos e estrutura de contenção</v>
      </c>
      <c r="H450" s="122" t="b">
        <v>0</v>
      </c>
      <c r="I450" s="122" t="b">
        <v>0</v>
      </c>
      <c r="J450" s="122" t="b">
        <v>0</v>
      </c>
      <c r="K450" s="122" t="b">
        <v>1</v>
      </c>
      <c r="L450" s="147">
        <v>0</v>
      </c>
      <c r="M450" s="147">
        <v>0</v>
      </c>
      <c r="N450" s="147">
        <v>0</v>
      </c>
      <c r="O450" s="147">
        <v>0</v>
      </c>
      <c r="P450" s="147">
        <v>0</v>
      </c>
      <c r="Q450" s="147">
        <v>0</v>
      </c>
      <c r="R450" s="147">
        <v>0</v>
      </c>
      <c r="S450" s="147">
        <v>0</v>
      </c>
      <c r="T450" s="147">
        <v>0</v>
      </c>
      <c r="U450" s="147">
        <v>0</v>
      </c>
      <c r="V450" s="147">
        <v>0</v>
      </c>
      <c r="W450" s="147">
        <v>0</v>
      </c>
      <c r="X450" s="147">
        <v>0</v>
      </c>
      <c r="Y450" s="147">
        <v>0</v>
      </c>
      <c r="Z450" s="147">
        <v>0</v>
      </c>
      <c r="AA450" s="147">
        <v>0</v>
      </c>
      <c r="AB450" s="147">
        <v>0</v>
      </c>
      <c r="AC450" s="147">
        <v>0</v>
      </c>
      <c r="AD450" s="147">
        <v>0</v>
      </c>
      <c r="AE450" s="147">
        <v>0</v>
      </c>
      <c r="AF450" s="147">
        <v>0</v>
      </c>
      <c r="AG450" s="147">
        <v>0</v>
      </c>
      <c r="AH450" s="147">
        <v>0</v>
      </c>
      <c r="AI450" s="147">
        <v>0</v>
      </c>
      <c r="AJ450" s="147">
        <v>0</v>
      </c>
      <c r="AK450" s="147">
        <v>0</v>
      </c>
      <c r="AL450" s="147">
        <v>0</v>
      </c>
      <c r="AM450" s="147">
        <v>0</v>
      </c>
      <c r="AN450" s="147">
        <v>0</v>
      </c>
      <c r="AO450" s="147">
        <v>0</v>
      </c>
      <c r="AP450" s="147">
        <v>0</v>
      </c>
    </row>
    <row r="451" spans="2:42" ht="12.75" customHeight="1">
      <c r="B451" s="122" t="str">
        <v>Pórticos 1 e 2 (BR-356)</v>
      </c>
      <c r="C451" s="329" t="str">
        <v>2</v>
      </c>
      <c r="D451" s="329" t="str">
        <v>2.7</v>
      </c>
      <c r="E451" s="329">
        <v>1</v>
      </c>
      <c r="F451" s="329">
        <v>0</v>
      </c>
      <c r="G451" s="122" t="str">
        <v>Sistemas elétricos e de iluminação</v>
      </c>
      <c r="H451" s="122" t="b">
        <v>0</v>
      </c>
      <c r="I451" s="122" t="b">
        <v>0</v>
      </c>
      <c r="J451" s="122" t="b">
        <v>0</v>
      </c>
      <c r="K451" s="122" t="b">
        <v>1</v>
      </c>
      <c r="L451" s="147">
        <v>0</v>
      </c>
      <c r="M451" s="147">
        <v>162223.70493000001</v>
      </c>
      <c r="N451" s="147">
        <v>162223.70493000001</v>
      </c>
      <c r="O451" s="147">
        <v>28486.966254999999</v>
      </c>
      <c r="P451" s="147">
        <v>20352.217459799998</v>
      </c>
      <c r="Q451" s="147">
        <v>0</v>
      </c>
      <c r="R451" s="147">
        <v>0</v>
      </c>
      <c r="S451" s="147">
        <v>0</v>
      </c>
      <c r="T451" s="147">
        <v>0</v>
      </c>
      <c r="U451" s="147">
        <v>0</v>
      </c>
      <c r="V451" s="147">
        <v>0</v>
      </c>
      <c r="W451" s="147">
        <v>0</v>
      </c>
      <c r="X451" s="147">
        <v>0</v>
      </c>
      <c r="Y451" s="147">
        <v>0</v>
      </c>
      <c r="Z451" s="147">
        <v>0</v>
      </c>
      <c r="AA451" s="147">
        <v>0</v>
      </c>
      <c r="AB451" s="147">
        <v>0</v>
      </c>
      <c r="AC451" s="147">
        <v>0</v>
      </c>
      <c r="AD451" s="147">
        <v>0</v>
      </c>
      <c r="AE451" s="147">
        <v>0</v>
      </c>
      <c r="AF451" s="147">
        <v>0</v>
      </c>
      <c r="AG451" s="147">
        <v>0</v>
      </c>
      <c r="AH451" s="147">
        <v>0</v>
      </c>
      <c r="AI451" s="147">
        <v>0</v>
      </c>
      <c r="AJ451" s="147">
        <v>0</v>
      </c>
      <c r="AK451" s="147">
        <v>0</v>
      </c>
      <c r="AL451" s="147">
        <v>0</v>
      </c>
      <c r="AM451" s="147">
        <v>0</v>
      </c>
      <c r="AN451" s="147">
        <v>0</v>
      </c>
      <c r="AO451" s="147">
        <v>0</v>
      </c>
      <c r="AP451" s="147">
        <v>373286.5935748</v>
      </c>
    </row>
    <row r="452" spans="2:42" ht="12.75" customHeight="1">
      <c r="B452" s="122" t="str">
        <v>Pórticos 1 e 2 (BR-356)</v>
      </c>
      <c r="C452" s="329" t="str">
        <v>2</v>
      </c>
      <c r="D452" s="329" t="str">
        <v>2.8</v>
      </c>
      <c r="E452" s="329">
        <v>1</v>
      </c>
      <c r="F452" s="329">
        <v>0</v>
      </c>
      <c r="G452" s="122" t="str">
        <v>Canteiro central e faixa de domínio</v>
      </c>
      <c r="H452" s="122" t="b">
        <v>0</v>
      </c>
      <c r="I452" s="122" t="b">
        <v>0</v>
      </c>
      <c r="J452" s="122" t="b">
        <v>0</v>
      </c>
      <c r="K452" s="122" t="b">
        <v>1</v>
      </c>
      <c r="L452" s="147">
        <v>0</v>
      </c>
      <c r="M452" s="147">
        <v>779808.82783336693</v>
      </c>
      <c r="N452" s="147">
        <v>779808.82783336693</v>
      </c>
      <c r="O452" s="147">
        <v>779808.82783336693</v>
      </c>
      <c r="P452" s="147">
        <v>779808.82783336693</v>
      </c>
      <c r="Q452" s="147">
        <v>2.749761787162357E-2</v>
      </c>
      <c r="R452" s="147">
        <v>0</v>
      </c>
      <c r="S452" s="147">
        <v>0</v>
      </c>
      <c r="T452" s="147">
        <v>0</v>
      </c>
      <c r="U452" s="147">
        <v>0</v>
      </c>
      <c r="V452" s="147">
        <v>0</v>
      </c>
      <c r="W452" s="147">
        <v>0</v>
      </c>
      <c r="X452" s="147">
        <v>0</v>
      </c>
      <c r="Y452" s="147">
        <v>0</v>
      </c>
      <c r="Z452" s="147">
        <v>0</v>
      </c>
      <c r="AA452" s="147">
        <v>0</v>
      </c>
      <c r="AB452" s="147">
        <v>0</v>
      </c>
      <c r="AC452" s="147">
        <v>0</v>
      </c>
      <c r="AD452" s="147">
        <v>0</v>
      </c>
      <c r="AE452" s="147">
        <v>0</v>
      </c>
      <c r="AF452" s="147">
        <v>0</v>
      </c>
      <c r="AG452" s="147">
        <v>0</v>
      </c>
      <c r="AH452" s="147">
        <v>0</v>
      </c>
      <c r="AI452" s="147">
        <v>0</v>
      </c>
      <c r="AJ452" s="147">
        <v>0</v>
      </c>
      <c r="AK452" s="147">
        <v>0</v>
      </c>
      <c r="AL452" s="147">
        <v>0</v>
      </c>
      <c r="AM452" s="147">
        <v>0</v>
      </c>
      <c r="AN452" s="147">
        <v>0</v>
      </c>
      <c r="AO452" s="147">
        <v>0</v>
      </c>
      <c r="AP452" s="147">
        <v>3119235.3388310857</v>
      </c>
    </row>
    <row r="453" spans="2:42" ht="12.75" customHeight="1">
      <c r="B453" s="122" t="str">
        <v>Pórticos 1 e 2 (BR-356)</v>
      </c>
      <c r="C453" s="329" t="str">
        <v>2</v>
      </c>
      <c r="D453" s="329" t="str">
        <v>2.9</v>
      </c>
      <c r="E453" s="329">
        <v>1</v>
      </c>
      <c r="F453" s="329">
        <v>0</v>
      </c>
      <c r="G453" s="122" t="str">
        <v>Administração local (%)</v>
      </c>
      <c r="H453" s="122" t="b">
        <v>0</v>
      </c>
      <c r="I453" s="122" t="b">
        <v>0</v>
      </c>
      <c r="J453" s="122" t="b">
        <v>0</v>
      </c>
      <c r="K453" s="122" t="b">
        <v>1</v>
      </c>
      <c r="L453" s="147">
        <v>0</v>
      </c>
      <c r="M453" s="147">
        <v>463934.14087886777</v>
      </c>
      <c r="N453" s="147">
        <v>307106.79044252896</v>
      </c>
      <c r="O453" s="147">
        <v>338630.9123021306</v>
      </c>
      <c r="P453" s="147">
        <v>234670.55756047246</v>
      </c>
      <c r="Q453" s="147">
        <v>0</v>
      </c>
      <c r="R453" s="147">
        <v>0</v>
      </c>
      <c r="S453" s="147">
        <v>0</v>
      </c>
      <c r="T453" s="147">
        <v>0</v>
      </c>
      <c r="U453" s="147">
        <v>0</v>
      </c>
      <c r="V453" s="147">
        <v>0</v>
      </c>
      <c r="W453" s="147">
        <v>0</v>
      </c>
      <c r="X453" s="147">
        <v>0</v>
      </c>
      <c r="Y453" s="147">
        <v>0</v>
      </c>
      <c r="Z453" s="147">
        <v>0</v>
      </c>
      <c r="AA453" s="147">
        <v>0</v>
      </c>
      <c r="AB453" s="147">
        <v>0</v>
      </c>
      <c r="AC453" s="147">
        <v>0</v>
      </c>
      <c r="AD453" s="147">
        <v>0</v>
      </c>
      <c r="AE453" s="147">
        <v>0</v>
      </c>
      <c r="AF453" s="147">
        <v>0</v>
      </c>
      <c r="AG453" s="147">
        <v>0</v>
      </c>
      <c r="AH453" s="147">
        <v>0</v>
      </c>
      <c r="AI453" s="147">
        <v>0</v>
      </c>
      <c r="AJ453" s="147">
        <v>0</v>
      </c>
      <c r="AK453" s="147">
        <v>0</v>
      </c>
      <c r="AL453" s="147">
        <v>0</v>
      </c>
      <c r="AM453" s="147">
        <v>0</v>
      </c>
      <c r="AN453" s="147">
        <v>0</v>
      </c>
      <c r="AO453" s="147">
        <v>0</v>
      </c>
      <c r="AP453" s="147">
        <v>1344342.4011839998</v>
      </c>
    </row>
    <row r="454" spans="2:42" ht="12.75" customHeight="1">
      <c r="B454" s="122" t="str">
        <v>Pórticos 1 e 2 (BR-356)</v>
      </c>
      <c r="C454" s="329" t="str">
        <v>2</v>
      </c>
      <c r="D454" s="329" t="str">
        <v>2.10</v>
      </c>
      <c r="E454" s="329">
        <v>1</v>
      </c>
      <c r="F454" s="329">
        <v>0</v>
      </c>
      <c r="G454" s="122" t="str">
        <v>Canteiro de obras (%)</v>
      </c>
      <c r="H454" s="122" t="b">
        <v>0</v>
      </c>
      <c r="I454" s="122" t="b">
        <v>0</v>
      </c>
      <c r="J454" s="122" t="b">
        <v>0</v>
      </c>
      <c r="K454" s="122" t="b">
        <v>1</v>
      </c>
      <c r="L454" s="147">
        <v>0</v>
      </c>
      <c r="M454" s="147">
        <v>116926.49079060895</v>
      </c>
      <c r="N454" s="147">
        <v>77400.898404214604</v>
      </c>
      <c r="O454" s="147">
        <v>85346.002287528841</v>
      </c>
      <c r="P454" s="147">
        <v>59144.61206808655</v>
      </c>
      <c r="Q454" s="147">
        <v>0</v>
      </c>
      <c r="R454" s="147">
        <v>0</v>
      </c>
      <c r="S454" s="147">
        <v>0</v>
      </c>
      <c r="T454" s="147">
        <v>0</v>
      </c>
      <c r="U454" s="147">
        <v>0</v>
      </c>
      <c r="V454" s="147">
        <v>0</v>
      </c>
      <c r="W454" s="147">
        <v>0</v>
      </c>
      <c r="X454" s="147">
        <v>0</v>
      </c>
      <c r="Y454" s="147">
        <v>0</v>
      </c>
      <c r="Z454" s="147">
        <v>0</v>
      </c>
      <c r="AA454" s="147">
        <v>0</v>
      </c>
      <c r="AB454" s="147">
        <v>0</v>
      </c>
      <c r="AC454" s="147">
        <v>0</v>
      </c>
      <c r="AD454" s="147">
        <v>0</v>
      </c>
      <c r="AE454" s="147">
        <v>0</v>
      </c>
      <c r="AF454" s="147">
        <v>0</v>
      </c>
      <c r="AG454" s="147">
        <v>0</v>
      </c>
      <c r="AH454" s="147">
        <v>0</v>
      </c>
      <c r="AI454" s="147">
        <v>0</v>
      </c>
      <c r="AJ454" s="147">
        <v>0</v>
      </c>
      <c r="AK454" s="147">
        <v>0</v>
      </c>
      <c r="AL454" s="147">
        <v>0</v>
      </c>
      <c r="AM454" s="147">
        <v>0</v>
      </c>
      <c r="AN454" s="147">
        <v>0</v>
      </c>
      <c r="AO454" s="147">
        <v>0</v>
      </c>
      <c r="AP454" s="147">
        <v>338818.00355043897</v>
      </c>
    </row>
    <row r="455" spans="2:42" ht="12.75" customHeight="1">
      <c r="B455" s="122" t="str">
        <v>Pórticos 1 e 2 (BR-356)</v>
      </c>
      <c r="C455" s="329" t="str">
        <v>2</v>
      </c>
      <c r="D455" s="329" t="str">
        <v>2.11</v>
      </c>
      <c r="E455" s="329">
        <v>1</v>
      </c>
      <c r="F455" s="329">
        <v>0</v>
      </c>
      <c r="G455" s="122" t="str">
        <v>Mobilização e desmobilização (%)</v>
      </c>
      <c r="H455" s="122" t="b">
        <v>0</v>
      </c>
      <c r="I455" s="122" t="b">
        <v>0</v>
      </c>
      <c r="J455" s="122" t="b">
        <v>0</v>
      </c>
      <c r="K455" s="122" t="b">
        <v>1</v>
      </c>
      <c r="L455" s="147">
        <v>0</v>
      </c>
      <c r="M455" s="147">
        <v>2187.6569244694579</v>
      </c>
      <c r="N455" s="147">
        <v>1448.1458411111121</v>
      </c>
      <c r="O455" s="147">
        <v>1596.7961718311849</v>
      </c>
      <c r="P455" s="147">
        <v>1106.5766128867808</v>
      </c>
      <c r="Q455" s="147">
        <v>0</v>
      </c>
      <c r="R455" s="147">
        <v>0</v>
      </c>
      <c r="S455" s="147">
        <v>0</v>
      </c>
      <c r="T455" s="147">
        <v>0</v>
      </c>
      <c r="U455" s="147">
        <v>0</v>
      </c>
      <c r="V455" s="147">
        <v>0</v>
      </c>
      <c r="W455" s="147">
        <v>0</v>
      </c>
      <c r="X455" s="147">
        <v>0</v>
      </c>
      <c r="Y455" s="147">
        <v>0</v>
      </c>
      <c r="Z455" s="147">
        <v>0</v>
      </c>
      <c r="AA455" s="147">
        <v>0</v>
      </c>
      <c r="AB455" s="147">
        <v>0</v>
      </c>
      <c r="AC455" s="147">
        <v>0</v>
      </c>
      <c r="AD455" s="147">
        <v>0</v>
      </c>
      <c r="AE455" s="147">
        <v>0</v>
      </c>
      <c r="AF455" s="147">
        <v>0</v>
      </c>
      <c r="AG455" s="147">
        <v>0</v>
      </c>
      <c r="AH455" s="147">
        <v>0</v>
      </c>
      <c r="AI455" s="147">
        <v>0</v>
      </c>
      <c r="AJ455" s="147">
        <v>0</v>
      </c>
      <c r="AK455" s="147">
        <v>0</v>
      </c>
      <c r="AL455" s="147">
        <v>0</v>
      </c>
      <c r="AM455" s="147">
        <v>0</v>
      </c>
      <c r="AN455" s="147">
        <v>0</v>
      </c>
      <c r="AO455" s="147">
        <v>0</v>
      </c>
      <c r="AP455" s="147">
        <v>6339.1755502985352</v>
      </c>
    </row>
    <row r="456" spans="2:42" ht="12.75" customHeight="1">
      <c r="B456" s="122" t="str">
        <v>Pórticos 1 e 2 (BR-356)</v>
      </c>
      <c r="C456" s="329" t="str">
        <v>2</v>
      </c>
      <c r="D456" s="329" t="str">
        <v>2.12</v>
      </c>
      <c r="E456" s="329">
        <v>1</v>
      </c>
      <c r="F456" s="329">
        <v>0</v>
      </c>
      <c r="G456" s="122" t="str">
        <v>Projetos (%)</v>
      </c>
      <c r="H456" s="122" t="b">
        <v>0</v>
      </c>
      <c r="I456" s="122" t="b">
        <v>0</v>
      </c>
      <c r="J456" s="122" t="b">
        <v>0</v>
      </c>
      <c r="K456" s="122" t="b">
        <v>1</v>
      </c>
      <c r="L456" s="147">
        <v>0</v>
      </c>
      <c r="M456" s="147">
        <v>942955.57089200767</v>
      </c>
      <c r="N456" s="147">
        <v>624200.79358237586</v>
      </c>
      <c r="O456" s="147">
        <v>688274.21199620049</v>
      </c>
      <c r="P456" s="147">
        <v>476972.67796844</v>
      </c>
      <c r="Q456" s="147">
        <v>0</v>
      </c>
      <c r="R456" s="147">
        <v>0</v>
      </c>
      <c r="S456" s="147">
        <v>0</v>
      </c>
      <c r="T456" s="147">
        <v>0</v>
      </c>
      <c r="U456" s="147">
        <v>0</v>
      </c>
      <c r="V456" s="147">
        <v>0</v>
      </c>
      <c r="W456" s="147">
        <v>0</v>
      </c>
      <c r="X456" s="147">
        <v>0</v>
      </c>
      <c r="Y456" s="147">
        <v>0</v>
      </c>
      <c r="Z456" s="147">
        <v>0</v>
      </c>
      <c r="AA456" s="147">
        <v>0</v>
      </c>
      <c r="AB456" s="147">
        <v>0</v>
      </c>
      <c r="AC456" s="147">
        <v>0</v>
      </c>
      <c r="AD456" s="147">
        <v>0</v>
      </c>
      <c r="AE456" s="147">
        <v>0</v>
      </c>
      <c r="AF456" s="147">
        <v>0</v>
      </c>
      <c r="AG456" s="147">
        <v>0</v>
      </c>
      <c r="AH456" s="147">
        <v>0</v>
      </c>
      <c r="AI456" s="147">
        <v>0</v>
      </c>
      <c r="AJ456" s="147">
        <v>0</v>
      </c>
      <c r="AK456" s="147">
        <v>0</v>
      </c>
      <c r="AL456" s="147">
        <v>0</v>
      </c>
      <c r="AM456" s="147">
        <v>0</v>
      </c>
      <c r="AN456" s="147">
        <v>0</v>
      </c>
      <c r="AO456" s="147">
        <v>0</v>
      </c>
      <c r="AP456" s="147">
        <v>2732403.2544390243</v>
      </c>
    </row>
    <row r="457" spans="2:42" ht="12.75" customHeight="1">
      <c r="B457" s="122" t="str">
        <v>Pórticos 1 e 2 (BR-356)</v>
      </c>
      <c r="C457" s="329" t="str">
        <v>4</v>
      </c>
      <c r="D457" s="329">
        <v>4</v>
      </c>
      <c r="E457" s="329">
        <v>0</v>
      </c>
      <c r="F457" s="329">
        <v>0</v>
      </c>
      <c r="G457" s="122" t="str">
        <v>Obras de ampliação da capacidade e outras melhorias</v>
      </c>
      <c r="H457" s="122" t="b">
        <v>0</v>
      </c>
      <c r="I457" s="122" t="b">
        <v>0</v>
      </c>
      <c r="J457" s="122" t="b">
        <v>0</v>
      </c>
      <c r="K457" s="122" t="b">
        <v>1</v>
      </c>
      <c r="L457" s="147">
        <v>0</v>
      </c>
      <c r="M457" s="147">
        <v>0</v>
      </c>
      <c r="N457" s="147">
        <v>0</v>
      </c>
      <c r="O457" s="147">
        <v>0</v>
      </c>
      <c r="P457" s="147">
        <v>0</v>
      </c>
      <c r="Q457" s="147">
        <v>0</v>
      </c>
      <c r="R457" s="147">
        <v>0</v>
      </c>
      <c r="S457" s="147">
        <v>0</v>
      </c>
      <c r="T457" s="147">
        <v>0</v>
      </c>
      <c r="U457" s="147">
        <v>0</v>
      </c>
      <c r="V457" s="147">
        <v>0</v>
      </c>
      <c r="W457" s="147">
        <v>0</v>
      </c>
      <c r="X457" s="147">
        <v>0</v>
      </c>
      <c r="Y457" s="147">
        <v>0</v>
      </c>
      <c r="Z457" s="147">
        <v>0</v>
      </c>
      <c r="AA457" s="147">
        <v>0</v>
      </c>
      <c r="AB457" s="147">
        <v>0</v>
      </c>
      <c r="AC457" s="147">
        <v>0</v>
      </c>
      <c r="AD457" s="147">
        <v>0</v>
      </c>
      <c r="AE457" s="147">
        <v>0</v>
      </c>
      <c r="AF457" s="147">
        <v>0</v>
      </c>
      <c r="AG457" s="147">
        <v>0</v>
      </c>
      <c r="AH457" s="147">
        <v>0</v>
      </c>
      <c r="AI457" s="147">
        <v>0</v>
      </c>
      <c r="AJ457" s="147">
        <v>0</v>
      </c>
      <c r="AK457" s="147">
        <v>0</v>
      </c>
      <c r="AL457" s="147">
        <v>0</v>
      </c>
      <c r="AM457" s="147">
        <v>0</v>
      </c>
      <c r="AN457" s="147">
        <v>0</v>
      </c>
      <c r="AO457" s="147">
        <v>0</v>
      </c>
      <c r="AP457" s="147">
        <v>0</v>
      </c>
    </row>
    <row r="458" spans="2:42" ht="12.75" customHeight="1">
      <c r="B458" s="122" t="str">
        <v>Pórticos 1 e 2 (BR-356)</v>
      </c>
      <c r="C458" s="329" t="str">
        <v>4</v>
      </c>
      <c r="D458" s="329" t="str">
        <v>4.1</v>
      </c>
      <c r="E458" s="329">
        <v>1</v>
      </c>
      <c r="F458" s="329">
        <v>0</v>
      </c>
      <c r="G458" s="122" t="str">
        <v xml:space="preserve">Duplicação </v>
      </c>
      <c r="H458" s="122" t="b">
        <v>0</v>
      </c>
      <c r="I458" s="122" t="b">
        <v>0</v>
      </c>
      <c r="J458" s="122" t="b">
        <v>0</v>
      </c>
      <c r="K458" s="122" t="b">
        <v>1</v>
      </c>
      <c r="L458" s="147">
        <v>0</v>
      </c>
      <c r="M458" s="147">
        <v>0</v>
      </c>
      <c r="N458" s="147">
        <v>104625220.26476949</v>
      </c>
      <c r="O458" s="147">
        <v>133306364.14870951</v>
      </c>
      <c r="P458" s="147">
        <v>124124319.03541543</v>
      </c>
      <c r="Q458" s="147">
        <v>145931203.3859255</v>
      </c>
      <c r="R458" s="147">
        <v>0</v>
      </c>
      <c r="S458" s="147">
        <v>0</v>
      </c>
      <c r="T458" s="147">
        <v>0</v>
      </c>
      <c r="U458" s="147">
        <v>0</v>
      </c>
      <c r="V458" s="147">
        <v>0</v>
      </c>
      <c r="W458" s="147">
        <v>0</v>
      </c>
      <c r="X458" s="147">
        <v>0</v>
      </c>
      <c r="Y458" s="147">
        <v>0</v>
      </c>
      <c r="Z458" s="147">
        <v>0</v>
      </c>
      <c r="AA458" s="147">
        <v>0</v>
      </c>
      <c r="AB458" s="147">
        <v>0</v>
      </c>
      <c r="AC458" s="147">
        <v>0</v>
      </c>
      <c r="AD458" s="147">
        <v>0</v>
      </c>
      <c r="AE458" s="147">
        <v>0</v>
      </c>
      <c r="AF458" s="147">
        <v>0</v>
      </c>
      <c r="AG458" s="147">
        <v>0</v>
      </c>
      <c r="AH458" s="147">
        <v>0</v>
      </c>
      <c r="AI458" s="147">
        <v>0</v>
      </c>
      <c r="AJ458" s="147">
        <v>0</v>
      </c>
      <c r="AK458" s="147">
        <v>0</v>
      </c>
      <c r="AL458" s="147">
        <v>0</v>
      </c>
      <c r="AM458" s="147">
        <v>0</v>
      </c>
      <c r="AN458" s="147">
        <v>0</v>
      </c>
      <c r="AO458" s="147">
        <v>0</v>
      </c>
      <c r="AP458" s="147">
        <v>507987106.83481991</v>
      </c>
    </row>
    <row r="459" spans="2:42" ht="12.75" customHeight="1">
      <c r="B459" s="122" t="str">
        <v>Pórticos 1 e 2 (BR-356)</v>
      </c>
      <c r="C459" s="329" t="str">
        <v>4</v>
      </c>
      <c r="D459" s="329" t="str">
        <v>4.2</v>
      </c>
      <c r="E459" s="329">
        <v>1</v>
      </c>
      <c r="F459" s="329">
        <v>0</v>
      </c>
      <c r="G459" s="122" t="str">
        <v xml:space="preserve">Vias marginais </v>
      </c>
      <c r="H459" s="122" t="b">
        <v>0</v>
      </c>
      <c r="I459" s="122" t="b">
        <v>0</v>
      </c>
      <c r="J459" s="122" t="b">
        <v>0</v>
      </c>
      <c r="K459" s="122" t="b">
        <v>1</v>
      </c>
      <c r="L459" s="147">
        <v>0</v>
      </c>
      <c r="M459" s="147">
        <v>0</v>
      </c>
      <c r="N459" s="147">
        <v>0</v>
      </c>
      <c r="O459" s="147">
        <v>0</v>
      </c>
      <c r="P459" s="147">
        <v>0</v>
      </c>
      <c r="Q459" s="147">
        <v>0</v>
      </c>
      <c r="R459" s="147">
        <v>0</v>
      </c>
      <c r="S459" s="147">
        <v>0</v>
      </c>
      <c r="T459" s="147">
        <v>0</v>
      </c>
      <c r="U459" s="147">
        <v>0</v>
      </c>
      <c r="V459" s="147">
        <v>0</v>
      </c>
      <c r="W459" s="147">
        <v>0</v>
      </c>
      <c r="X459" s="147">
        <v>0</v>
      </c>
      <c r="Y459" s="147">
        <v>0</v>
      </c>
      <c r="Z459" s="147">
        <v>0</v>
      </c>
      <c r="AA459" s="147">
        <v>0</v>
      </c>
      <c r="AB459" s="147">
        <v>0</v>
      </c>
      <c r="AC459" s="147">
        <v>0</v>
      </c>
      <c r="AD459" s="147">
        <v>0</v>
      </c>
      <c r="AE459" s="147">
        <v>0</v>
      </c>
      <c r="AF459" s="147">
        <v>0</v>
      </c>
      <c r="AG459" s="147">
        <v>0</v>
      </c>
      <c r="AH459" s="147">
        <v>0</v>
      </c>
      <c r="AI459" s="147">
        <v>0</v>
      </c>
      <c r="AJ459" s="147">
        <v>0</v>
      </c>
      <c r="AK459" s="147">
        <v>0</v>
      </c>
      <c r="AL459" s="147">
        <v>0</v>
      </c>
      <c r="AM459" s="147">
        <v>0</v>
      </c>
      <c r="AN459" s="147">
        <v>0</v>
      </c>
      <c r="AO459" s="147">
        <v>0</v>
      </c>
      <c r="AP459" s="147">
        <v>0</v>
      </c>
    </row>
    <row r="460" spans="2:42" ht="12.75" customHeight="1">
      <c r="B460" s="122" t="str">
        <v>Pórticos 1 e 2 (BR-356)</v>
      </c>
      <c r="C460" s="329" t="str">
        <v>4</v>
      </c>
      <c r="D460" s="329" t="str">
        <v>4.3</v>
      </c>
      <c r="E460" s="329">
        <v>1</v>
      </c>
      <c r="F460" s="329">
        <v>0</v>
      </c>
      <c r="G460" s="122" t="str">
        <v xml:space="preserve">Contornos urbanos e travessias urbanas </v>
      </c>
      <c r="H460" s="122" t="b">
        <v>0</v>
      </c>
      <c r="I460" s="122" t="b">
        <v>0</v>
      </c>
      <c r="J460" s="122" t="b">
        <v>0</v>
      </c>
      <c r="K460" s="122" t="b">
        <v>1</v>
      </c>
      <c r="L460" s="147">
        <v>0</v>
      </c>
      <c r="M460" s="147">
        <v>0</v>
      </c>
      <c r="N460" s="147">
        <v>2814605.141855719</v>
      </c>
      <c r="O460" s="147">
        <v>185901164.35170436</v>
      </c>
      <c r="P460" s="147">
        <v>36465511.409004495</v>
      </c>
      <c r="Q460" s="147">
        <v>148241857.24632871</v>
      </c>
      <c r="R460" s="147">
        <v>0</v>
      </c>
      <c r="S460" s="147">
        <v>0</v>
      </c>
      <c r="T460" s="147">
        <v>0</v>
      </c>
      <c r="U460" s="147">
        <v>0</v>
      </c>
      <c r="V460" s="147">
        <v>0</v>
      </c>
      <c r="W460" s="147">
        <v>0</v>
      </c>
      <c r="X460" s="147">
        <v>0</v>
      </c>
      <c r="Y460" s="147">
        <v>0</v>
      </c>
      <c r="Z460" s="147">
        <v>0</v>
      </c>
      <c r="AA460" s="147">
        <v>0</v>
      </c>
      <c r="AB460" s="147">
        <v>0</v>
      </c>
      <c r="AC460" s="147">
        <v>0</v>
      </c>
      <c r="AD460" s="147">
        <v>0</v>
      </c>
      <c r="AE460" s="147">
        <v>0</v>
      </c>
      <c r="AF460" s="147">
        <v>0</v>
      </c>
      <c r="AG460" s="147">
        <v>0</v>
      </c>
      <c r="AH460" s="147">
        <v>0</v>
      </c>
      <c r="AI460" s="147">
        <v>0</v>
      </c>
      <c r="AJ460" s="147">
        <v>0</v>
      </c>
      <c r="AK460" s="147">
        <v>0</v>
      </c>
      <c r="AL460" s="147">
        <v>0</v>
      </c>
      <c r="AM460" s="147">
        <v>0</v>
      </c>
      <c r="AN460" s="147">
        <v>0</v>
      </c>
      <c r="AO460" s="147">
        <v>0</v>
      </c>
      <c r="AP460" s="147">
        <v>373423138.1488933</v>
      </c>
    </row>
    <row r="461" spans="2:42" ht="12.75" customHeight="1">
      <c r="B461" s="122" t="str">
        <v>Pórticos 1 e 2 (BR-356)</v>
      </c>
      <c r="C461" s="329" t="str">
        <v>4</v>
      </c>
      <c r="D461" s="329" t="str">
        <v>4.4</v>
      </c>
      <c r="E461" s="329">
        <v>1</v>
      </c>
      <c r="F461" s="329">
        <v>0</v>
      </c>
      <c r="G461" s="122" t="str">
        <v xml:space="preserve">Faixas adicionais </v>
      </c>
      <c r="H461" s="122" t="b">
        <v>0</v>
      </c>
      <c r="I461" s="122" t="b">
        <v>0</v>
      </c>
      <c r="J461" s="122" t="b">
        <v>0</v>
      </c>
      <c r="K461" s="122" t="b">
        <v>1</v>
      </c>
      <c r="L461" s="147">
        <v>0</v>
      </c>
      <c r="M461" s="147">
        <v>0</v>
      </c>
      <c r="N461" s="147">
        <v>0</v>
      </c>
      <c r="O461" s="147">
        <v>0</v>
      </c>
      <c r="P461" s="147">
        <v>0</v>
      </c>
      <c r="Q461" s="147">
        <v>0</v>
      </c>
      <c r="R461" s="147">
        <v>0</v>
      </c>
      <c r="S461" s="147">
        <v>0</v>
      </c>
      <c r="T461" s="147">
        <v>0</v>
      </c>
      <c r="U461" s="147">
        <v>0</v>
      </c>
      <c r="V461" s="147">
        <v>0</v>
      </c>
      <c r="W461" s="147">
        <v>0</v>
      </c>
      <c r="X461" s="147">
        <v>0</v>
      </c>
      <c r="Y461" s="147">
        <v>0</v>
      </c>
      <c r="Z461" s="147">
        <v>0</v>
      </c>
      <c r="AA461" s="147">
        <v>0</v>
      </c>
      <c r="AB461" s="147">
        <v>0</v>
      </c>
      <c r="AC461" s="147">
        <v>0</v>
      </c>
      <c r="AD461" s="147">
        <v>0</v>
      </c>
      <c r="AE461" s="147">
        <v>0</v>
      </c>
      <c r="AF461" s="147">
        <v>0</v>
      </c>
      <c r="AG461" s="147">
        <v>0</v>
      </c>
      <c r="AH461" s="147">
        <v>0</v>
      </c>
      <c r="AI461" s="147">
        <v>0</v>
      </c>
      <c r="AJ461" s="147">
        <v>0</v>
      </c>
      <c r="AK461" s="147">
        <v>0</v>
      </c>
      <c r="AL461" s="147">
        <v>0</v>
      </c>
      <c r="AM461" s="147">
        <v>0</v>
      </c>
      <c r="AN461" s="147">
        <v>0</v>
      </c>
      <c r="AO461" s="147">
        <v>0</v>
      </c>
      <c r="AP461" s="147">
        <v>0</v>
      </c>
    </row>
    <row r="462" spans="2:42" ht="12.75" customHeight="1">
      <c r="B462" s="122" t="str">
        <v>Pórticos 1 e 2 (BR-356)</v>
      </c>
      <c r="C462" s="329" t="str">
        <v>4</v>
      </c>
      <c r="D462" s="329" t="str">
        <v>4.5</v>
      </c>
      <c r="E462" s="329">
        <v>1</v>
      </c>
      <c r="F462" s="329">
        <v>0</v>
      </c>
      <c r="G462" s="122" t="str">
        <v xml:space="preserve">Acostamentos e adequação de plataforma </v>
      </c>
      <c r="H462" s="122" t="b">
        <v>0</v>
      </c>
      <c r="I462" s="122" t="b">
        <v>0</v>
      </c>
      <c r="J462" s="122" t="b">
        <v>0</v>
      </c>
      <c r="K462" s="122" t="b">
        <v>1</v>
      </c>
      <c r="L462" s="147">
        <v>0</v>
      </c>
      <c r="M462" s="147">
        <v>0</v>
      </c>
      <c r="N462" s="147">
        <v>0</v>
      </c>
      <c r="O462" s="147">
        <v>0</v>
      </c>
      <c r="P462" s="147">
        <v>0</v>
      </c>
      <c r="Q462" s="147">
        <v>0</v>
      </c>
      <c r="R462" s="147">
        <v>0</v>
      </c>
      <c r="S462" s="147">
        <v>0</v>
      </c>
      <c r="T462" s="147">
        <v>0</v>
      </c>
      <c r="U462" s="147">
        <v>0</v>
      </c>
      <c r="V462" s="147">
        <v>0</v>
      </c>
      <c r="W462" s="147">
        <v>0</v>
      </c>
      <c r="X462" s="147">
        <v>0</v>
      </c>
      <c r="Y462" s="147">
        <v>0</v>
      </c>
      <c r="Z462" s="147">
        <v>0</v>
      </c>
      <c r="AA462" s="147">
        <v>0</v>
      </c>
      <c r="AB462" s="147">
        <v>0</v>
      </c>
      <c r="AC462" s="147">
        <v>0</v>
      </c>
      <c r="AD462" s="147">
        <v>0</v>
      </c>
      <c r="AE462" s="147">
        <v>0</v>
      </c>
      <c r="AF462" s="147">
        <v>0</v>
      </c>
      <c r="AG462" s="147">
        <v>0</v>
      </c>
      <c r="AH462" s="147">
        <v>0</v>
      </c>
      <c r="AI462" s="147">
        <v>0</v>
      </c>
      <c r="AJ462" s="147">
        <v>0</v>
      </c>
      <c r="AK462" s="147">
        <v>0</v>
      </c>
      <c r="AL462" s="147">
        <v>0</v>
      </c>
      <c r="AM462" s="147">
        <v>0</v>
      </c>
      <c r="AN462" s="147">
        <v>0</v>
      </c>
      <c r="AO462" s="147">
        <v>0</v>
      </c>
      <c r="AP462" s="147">
        <v>0</v>
      </c>
    </row>
    <row r="463" spans="2:42" ht="12.75" customHeight="1">
      <c r="B463" s="122" t="str">
        <v>Pórticos 1 e 2 (BR-356)</v>
      </c>
      <c r="C463" s="329" t="str">
        <v>4</v>
      </c>
      <c r="D463" s="329" t="str">
        <v>4.6</v>
      </c>
      <c r="E463" s="329">
        <v>1</v>
      </c>
      <c r="F463" s="329">
        <v>0</v>
      </c>
      <c r="G463" s="122" t="str">
        <v>Implantação de oae</v>
      </c>
      <c r="H463" s="122" t="b">
        <v>0</v>
      </c>
      <c r="I463" s="122" t="b">
        <v>0</v>
      </c>
      <c r="J463" s="122" t="b">
        <v>0</v>
      </c>
      <c r="K463" s="122" t="b">
        <v>1</v>
      </c>
      <c r="L463" s="147">
        <v>0</v>
      </c>
      <c r="M463" s="147">
        <v>0</v>
      </c>
      <c r="N463" s="147">
        <v>3485726.8465801976</v>
      </c>
      <c r="O463" s="147">
        <v>22659431.408492737</v>
      </c>
      <c r="P463" s="147">
        <v>5407241.9793702764</v>
      </c>
      <c r="Q463" s="147">
        <v>6944109.5930019142</v>
      </c>
      <c r="R463" s="147">
        <v>0</v>
      </c>
      <c r="S463" s="147">
        <v>0</v>
      </c>
      <c r="T463" s="147">
        <v>0</v>
      </c>
      <c r="U463" s="147">
        <v>0</v>
      </c>
      <c r="V463" s="147">
        <v>0</v>
      </c>
      <c r="W463" s="147">
        <v>0</v>
      </c>
      <c r="X463" s="147">
        <v>0</v>
      </c>
      <c r="Y463" s="147">
        <v>0</v>
      </c>
      <c r="Z463" s="147">
        <v>0</v>
      </c>
      <c r="AA463" s="147">
        <v>0</v>
      </c>
      <c r="AB463" s="147">
        <v>0</v>
      </c>
      <c r="AC463" s="147">
        <v>0</v>
      </c>
      <c r="AD463" s="147">
        <v>0</v>
      </c>
      <c r="AE463" s="147">
        <v>0</v>
      </c>
      <c r="AF463" s="147">
        <v>0</v>
      </c>
      <c r="AG463" s="147">
        <v>0</v>
      </c>
      <c r="AH463" s="147">
        <v>0</v>
      </c>
      <c r="AI463" s="147">
        <v>0</v>
      </c>
      <c r="AJ463" s="147">
        <v>0</v>
      </c>
      <c r="AK463" s="147">
        <v>0</v>
      </c>
      <c r="AL463" s="147">
        <v>0</v>
      </c>
      <c r="AM463" s="147">
        <v>0</v>
      </c>
      <c r="AN463" s="147">
        <v>0</v>
      </c>
      <c r="AO463" s="147">
        <v>0</v>
      </c>
      <c r="AP463" s="147">
        <v>38496509.827445127</v>
      </c>
    </row>
    <row r="464" spans="2:42" ht="12.75" customHeight="1">
      <c r="B464" s="122" t="str">
        <v>Pórticos 1 e 2 (BR-356)</v>
      </c>
      <c r="C464" s="329" t="str">
        <v>4</v>
      </c>
      <c r="D464" s="329" t="str">
        <v>4.7</v>
      </c>
      <c r="E464" s="329">
        <v>1</v>
      </c>
      <c r="F464" s="329">
        <v>0</v>
      </c>
      <c r="G464" s="122" t="str">
        <v xml:space="preserve">Implantação de dispositivo em nível </v>
      </c>
      <c r="H464" s="122" t="b">
        <v>0</v>
      </c>
      <c r="I464" s="122" t="b">
        <v>0</v>
      </c>
      <c r="J464" s="122" t="b">
        <v>0</v>
      </c>
      <c r="K464" s="122" t="b">
        <v>1</v>
      </c>
      <c r="L464" s="147">
        <v>0</v>
      </c>
      <c r="M464" s="147">
        <v>0</v>
      </c>
      <c r="N464" s="147">
        <v>12762409.301967001</v>
      </c>
      <c r="O464" s="147">
        <v>31906023.25491751</v>
      </c>
      <c r="P464" s="147">
        <v>44668432.556884505</v>
      </c>
      <c r="Q464" s="147">
        <v>21545286.689209055</v>
      </c>
      <c r="R464" s="147">
        <v>0</v>
      </c>
      <c r="S464" s="147">
        <v>0</v>
      </c>
      <c r="T464" s="147">
        <v>0</v>
      </c>
      <c r="U464" s="147">
        <v>0</v>
      </c>
      <c r="V464" s="147">
        <v>0</v>
      </c>
      <c r="W464" s="147">
        <v>0</v>
      </c>
      <c r="X464" s="147">
        <v>0</v>
      </c>
      <c r="Y464" s="147">
        <v>0</v>
      </c>
      <c r="Z464" s="147">
        <v>0</v>
      </c>
      <c r="AA464" s="147">
        <v>0</v>
      </c>
      <c r="AB464" s="147">
        <v>0</v>
      </c>
      <c r="AC464" s="147">
        <v>0</v>
      </c>
      <c r="AD464" s="147">
        <v>0</v>
      </c>
      <c r="AE464" s="147">
        <v>0</v>
      </c>
      <c r="AF464" s="147">
        <v>0</v>
      </c>
      <c r="AG464" s="147">
        <v>0</v>
      </c>
      <c r="AH464" s="147">
        <v>0</v>
      </c>
      <c r="AI464" s="147">
        <v>0</v>
      </c>
      <c r="AJ464" s="147">
        <v>0</v>
      </c>
      <c r="AK464" s="147">
        <v>0</v>
      </c>
      <c r="AL464" s="147">
        <v>0</v>
      </c>
      <c r="AM464" s="147">
        <v>0</v>
      </c>
      <c r="AN464" s="147">
        <v>0</v>
      </c>
      <c r="AO464" s="147">
        <v>0</v>
      </c>
      <c r="AP464" s="147">
        <v>110882151.80297808</v>
      </c>
    </row>
    <row r="465" spans="2:42" ht="12.75" customHeight="1">
      <c r="B465" s="122" t="str">
        <v>Pórticos 1 e 2 (BR-356)</v>
      </c>
      <c r="C465" s="329" t="str">
        <v>4</v>
      </c>
      <c r="D465" s="329" t="str">
        <v>4.8</v>
      </c>
      <c r="E465" s="329">
        <v>1</v>
      </c>
      <c r="F465" s="329">
        <v>0</v>
      </c>
      <c r="G465" s="122" t="str">
        <v>Adequação oae - alargamento e trem tipo</v>
      </c>
      <c r="H465" s="122" t="b">
        <v>0</v>
      </c>
      <c r="I465" s="122" t="b">
        <v>0</v>
      </c>
      <c r="J465" s="122" t="b">
        <v>0</v>
      </c>
      <c r="K465" s="122" t="b">
        <v>1</v>
      </c>
      <c r="L465" s="147">
        <v>0</v>
      </c>
      <c r="M465" s="147">
        <v>0</v>
      </c>
      <c r="N465" s="147">
        <v>2432116.4062793897</v>
      </c>
      <c r="O465" s="147">
        <v>2941509.6758167949</v>
      </c>
      <c r="P465" s="147">
        <v>4729115.2344321497</v>
      </c>
      <c r="Q465" s="147">
        <v>0</v>
      </c>
      <c r="R465" s="147">
        <v>0</v>
      </c>
      <c r="S465" s="147">
        <v>0</v>
      </c>
      <c r="T465" s="147">
        <v>0</v>
      </c>
      <c r="U465" s="147">
        <v>0</v>
      </c>
      <c r="V465" s="147">
        <v>0</v>
      </c>
      <c r="W465" s="147">
        <v>0</v>
      </c>
      <c r="X465" s="147">
        <v>0</v>
      </c>
      <c r="Y465" s="147">
        <v>0</v>
      </c>
      <c r="Z465" s="147">
        <v>0</v>
      </c>
      <c r="AA465" s="147">
        <v>0</v>
      </c>
      <c r="AB465" s="147">
        <v>0</v>
      </c>
      <c r="AC465" s="147">
        <v>0</v>
      </c>
      <c r="AD465" s="147">
        <v>0</v>
      </c>
      <c r="AE465" s="147">
        <v>0</v>
      </c>
      <c r="AF465" s="147">
        <v>0</v>
      </c>
      <c r="AG465" s="147">
        <v>0</v>
      </c>
      <c r="AH465" s="147">
        <v>0</v>
      </c>
      <c r="AI465" s="147">
        <v>0</v>
      </c>
      <c r="AJ465" s="147">
        <v>0</v>
      </c>
      <c r="AK465" s="147">
        <v>0</v>
      </c>
      <c r="AL465" s="147">
        <v>0</v>
      </c>
      <c r="AM465" s="147">
        <v>0</v>
      </c>
      <c r="AN465" s="147">
        <v>0</v>
      </c>
      <c r="AO465" s="147">
        <v>0</v>
      </c>
      <c r="AP465" s="147">
        <v>10102741.316528335</v>
      </c>
    </row>
    <row r="466" spans="2:42" ht="12.75" customHeight="1">
      <c r="B466" s="122" t="str">
        <v>Pórticos 1 e 2 (BR-356)</v>
      </c>
      <c r="C466" s="329" t="str">
        <v>4</v>
      </c>
      <c r="D466" s="329" t="str">
        <v>4.9</v>
      </c>
      <c r="E466" s="329">
        <v>1</v>
      </c>
      <c r="F466" s="329">
        <v>0</v>
      </c>
      <c r="G466" s="122" t="str">
        <v xml:space="preserve">Adequação de acessos existentes simples </v>
      </c>
      <c r="H466" s="122" t="b">
        <v>0</v>
      </c>
      <c r="I466" s="122" t="b">
        <v>0</v>
      </c>
      <c r="J466" s="122" t="b">
        <v>0</v>
      </c>
      <c r="K466" s="122" t="b">
        <v>1</v>
      </c>
      <c r="L466" s="147">
        <v>0</v>
      </c>
      <c r="M466" s="147">
        <v>0</v>
      </c>
      <c r="N466" s="147">
        <v>381888.65440847905</v>
      </c>
      <c r="O466" s="147">
        <v>1336610.2904296764</v>
      </c>
      <c r="P466" s="147">
        <v>668305.14521483833</v>
      </c>
      <c r="Q466" s="147">
        <v>286416.49080635922</v>
      </c>
      <c r="R466" s="147">
        <v>0</v>
      </c>
      <c r="S466" s="147">
        <v>0</v>
      </c>
      <c r="T466" s="147">
        <v>0</v>
      </c>
      <c r="U466" s="147">
        <v>0</v>
      </c>
      <c r="V466" s="147">
        <v>0</v>
      </c>
      <c r="W466" s="147">
        <v>0</v>
      </c>
      <c r="X466" s="147">
        <v>0</v>
      </c>
      <c r="Y466" s="147">
        <v>0</v>
      </c>
      <c r="Z466" s="147">
        <v>0</v>
      </c>
      <c r="AA466" s="147">
        <v>0</v>
      </c>
      <c r="AB466" s="147">
        <v>0</v>
      </c>
      <c r="AC466" s="147">
        <v>0</v>
      </c>
      <c r="AD466" s="147">
        <v>0</v>
      </c>
      <c r="AE466" s="147">
        <v>0</v>
      </c>
      <c r="AF466" s="147">
        <v>0</v>
      </c>
      <c r="AG466" s="147">
        <v>0</v>
      </c>
      <c r="AH466" s="147">
        <v>0</v>
      </c>
      <c r="AI466" s="147">
        <v>0</v>
      </c>
      <c r="AJ466" s="147">
        <v>0</v>
      </c>
      <c r="AK466" s="147">
        <v>0</v>
      </c>
      <c r="AL466" s="147">
        <v>0</v>
      </c>
      <c r="AM466" s="147">
        <v>0</v>
      </c>
      <c r="AN466" s="147">
        <v>0</v>
      </c>
      <c r="AO466" s="147">
        <v>0</v>
      </c>
      <c r="AP466" s="147">
        <v>2673220.5808593533</v>
      </c>
    </row>
    <row r="467" spans="2:42" ht="12.75" customHeight="1">
      <c r="B467" s="122" t="str">
        <v>Pórticos 1 e 2 (BR-356)</v>
      </c>
      <c r="C467" s="329" t="str">
        <v>4</v>
      </c>
      <c r="D467" s="329" t="str">
        <v>4.10</v>
      </c>
      <c r="E467" s="329">
        <v>1</v>
      </c>
      <c r="F467" s="329">
        <v>0</v>
      </c>
      <c r="G467" s="122" t="str">
        <v xml:space="preserve">Adequação de acessos existentes com faixa de aceleração </v>
      </c>
      <c r="H467" s="122" t="b">
        <v>0</v>
      </c>
      <c r="I467" s="122" t="b">
        <v>0</v>
      </c>
      <c r="J467" s="122" t="b">
        <v>0</v>
      </c>
      <c r="K467" s="122" t="b">
        <v>1</v>
      </c>
      <c r="L467" s="147">
        <v>0</v>
      </c>
      <c r="M467" s="147">
        <v>0</v>
      </c>
      <c r="N467" s="147">
        <v>636638.39235865301</v>
      </c>
      <c r="O467" s="147">
        <v>0</v>
      </c>
      <c r="P467" s="147">
        <v>7003022.3159451829</v>
      </c>
      <c r="Q467" s="147">
        <v>636638.39235865301</v>
      </c>
      <c r="R467" s="147">
        <v>0</v>
      </c>
      <c r="S467" s="147">
        <v>0</v>
      </c>
      <c r="T467" s="147">
        <v>0</v>
      </c>
      <c r="U467" s="147">
        <v>0</v>
      </c>
      <c r="V467" s="147">
        <v>0</v>
      </c>
      <c r="W467" s="147">
        <v>0</v>
      </c>
      <c r="X467" s="147">
        <v>0</v>
      </c>
      <c r="Y467" s="147">
        <v>0</v>
      </c>
      <c r="Z467" s="147">
        <v>0</v>
      </c>
      <c r="AA467" s="147">
        <v>0</v>
      </c>
      <c r="AB467" s="147">
        <v>0</v>
      </c>
      <c r="AC467" s="147">
        <v>0</v>
      </c>
      <c r="AD467" s="147">
        <v>0</v>
      </c>
      <c r="AE467" s="147">
        <v>0</v>
      </c>
      <c r="AF467" s="147">
        <v>0</v>
      </c>
      <c r="AG467" s="147">
        <v>0</v>
      </c>
      <c r="AH467" s="147">
        <v>0</v>
      </c>
      <c r="AI467" s="147">
        <v>0</v>
      </c>
      <c r="AJ467" s="147">
        <v>0</v>
      </c>
      <c r="AK467" s="147">
        <v>0</v>
      </c>
      <c r="AL467" s="147">
        <v>0</v>
      </c>
      <c r="AM467" s="147">
        <v>0</v>
      </c>
      <c r="AN467" s="147">
        <v>0</v>
      </c>
      <c r="AO467" s="147">
        <v>0</v>
      </c>
      <c r="AP467" s="147">
        <v>8276299.1006624894</v>
      </c>
    </row>
    <row r="468" spans="2:42" ht="12.75" customHeight="1">
      <c r="B468" s="122" t="str">
        <v>Pórticos 1 e 2 (BR-356)</v>
      </c>
      <c r="C468" s="329" t="str">
        <v>4</v>
      </c>
      <c r="D468" s="329" t="str">
        <v>4.12</v>
      </c>
      <c r="E468" s="329">
        <v>1</v>
      </c>
      <c r="F468" s="329">
        <v>0</v>
      </c>
      <c r="G468" s="122" t="str">
        <v>Correções de curvas</v>
      </c>
      <c r="H468" s="122" t="b">
        <v>0</v>
      </c>
      <c r="I468" s="122" t="b">
        <v>0</v>
      </c>
      <c r="J468" s="122" t="b">
        <v>0</v>
      </c>
      <c r="K468" s="122" t="b">
        <v>1</v>
      </c>
      <c r="L468" s="147">
        <v>0</v>
      </c>
      <c r="M468" s="147">
        <v>0</v>
      </c>
      <c r="N468" s="147">
        <v>5325462.6098762294</v>
      </c>
      <c r="O468" s="147">
        <v>46151448.978832044</v>
      </c>
      <c r="P468" s="147">
        <v>13887689.620324221</v>
      </c>
      <c r="Q468" s="147">
        <v>29466767.63601768</v>
      </c>
      <c r="R468" s="147">
        <v>0</v>
      </c>
      <c r="S468" s="147">
        <v>0</v>
      </c>
      <c r="T468" s="147">
        <v>0</v>
      </c>
      <c r="U468" s="147">
        <v>0</v>
      </c>
      <c r="V468" s="147">
        <v>0</v>
      </c>
      <c r="W468" s="147">
        <v>0</v>
      </c>
      <c r="X468" s="147">
        <v>0</v>
      </c>
      <c r="Y468" s="147">
        <v>0</v>
      </c>
      <c r="Z468" s="147">
        <v>0</v>
      </c>
      <c r="AA468" s="147">
        <v>0</v>
      </c>
      <c r="AB468" s="147">
        <v>0</v>
      </c>
      <c r="AC468" s="147">
        <v>0</v>
      </c>
      <c r="AD468" s="147">
        <v>0</v>
      </c>
      <c r="AE468" s="147">
        <v>0</v>
      </c>
      <c r="AF468" s="147">
        <v>0</v>
      </c>
      <c r="AG468" s="147">
        <v>0</v>
      </c>
      <c r="AH468" s="147">
        <v>0</v>
      </c>
      <c r="AI468" s="147">
        <v>0</v>
      </c>
      <c r="AJ468" s="147">
        <v>0</v>
      </c>
      <c r="AK468" s="147">
        <v>0</v>
      </c>
      <c r="AL468" s="147">
        <v>0</v>
      </c>
      <c r="AM468" s="147">
        <v>0</v>
      </c>
      <c r="AN468" s="147">
        <v>0</v>
      </c>
      <c r="AO468" s="147">
        <v>0</v>
      </c>
      <c r="AP468" s="147">
        <v>94831368.845050171</v>
      </c>
    </row>
    <row r="469" spans="2:42" ht="12.75" customHeight="1">
      <c r="B469" s="122" t="str">
        <v>Pórticos 1 e 2 (BR-356)</v>
      </c>
      <c r="C469" s="329" t="str">
        <v>4</v>
      </c>
      <c r="D469" s="329" t="str">
        <v>4.13</v>
      </c>
      <c r="E469" s="329">
        <v>1</v>
      </c>
      <c r="F469" s="329">
        <v>0</v>
      </c>
      <c r="G469" s="122" t="str">
        <v>Passarelas</v>
      </c>
      <c r="H469" s="122" t="b">
        <v>0</v>
      </c>
      <c r="I469" s="122" t="b">
        <v>0</v>
      </c>
      <c r="J469" s="122" t="b">
        <v>0</v>
      </c>
      <c r="K469" s="122" t="b">
        <v>1</v>
      </c>
      <c r="L469" s="147">
        <v>0</v>
      </c>
      <c r="M469" s="147">
        <v>0</v>
      </c>
      <c r="N469" s="147">
        <v>2110954.4742950005</v>
      </c>
      <c r="O469" s="147">
        <v>6332863.4228850016</v>
      </c>
      <c r="P469" s="147">
        <v>2110954.4742950005</v>
      </c>
      <c r="Q469" s="147">
        <v>10554772.371475002</v>
      </c>
      <c r="R469" s="147">
        <v>0</v>
      </c>
      <c r="S469" s="147">
        <v>0</v>
      </c>
      <c r="T469" s="147">
        <v>0</v>
      </c>
      <c r="U469" s="147">
        <v>0</v>
      </c>
      <c r="V469" s="147">
        <v>0</v>
      </c>
      <c r="W469" s="147">
        <v>0</v>
      </c>
      <c r="X469" s="147">
        <v>0</v>
      </c>
      <c r="Y469" s="147">
        <v>0</v>
      </c>
      <c r="Z469" s="147">
        <v>0</v>
      </c>
      <c r="AA469" s="147">
        <v>0</v>
      </c>
      <c r="AB469" s="147">
        <v>0</v>
      </c>
      <c r="AC469" s="147">
        <v>0</v>
      </c>
      <c r="AD469" s="147">
        <v>0</v>
      </c>
      <c r="AE469" s="147">
        <v>0</v>
      </c>
      <c r="AF469" s="147">
        <v>0</v>
      </c>
      <c r="AG469" s="147">
        <v>0</v>
      </c>
      <c r="AH469" s="147">
        <v>0</v>
      </c>
      <c r="AI469" s="147">
        <v>0</v>
      </c>
      <c r="AJ469" s="147">
        <v>0</v>
      </c>
      <c r="AK469" s="147">
        <v>0</v>
      </c>
      <c r="AL469" s="147">
        <v>0</v>
      </c>
      <c r="AM469" s="147">
        <v>0</v>
      </c>
      <c r="AN469" s="147">
        <v>0</v>
      </c>
      <c r="AO469" s="147">
        <v>0</v>
      </c>
      <c r="AP469" s="147">
        <v>21109544.742950007</v>
      </c>
    </row>
    <row r="470" spans="2:42" ht="12.75" customHeight="1">
      <c r="B470" s="122" t="str">
        <v>Pórticos 1 e 2 (BR-356)</v>
      </c>
      <c r="C470" s="329" t="str">
        <v>4</v>
      </c>
      <c r="D470" s="329" t="str">
        <v>4.14</v>
      </c>
      <c r="E470" s="329">
        <v>1</v>
      </c>
      <c r="F470" s="329">
        <v>0</v>
      </c>
      <c r="G470" s="122" t="str">
        <v>Área de Escape</v>
      </c>
      <c r="H470" s="122" t="b">
        <v>0</v>
      </c>
      <c r="I470" s="122" t="b">
        <v>0</v>
      </c>
      <c r="J470" s="122" t="b">
        <v>0</v>
      </c>
      <c r="K470" s="122" t="b">
        <v>1</v>
      </c>
      <c r="L470" s="147">
        <v>0</v>
      </c>
      <c r="M470" s="147">
        <v>0</v>
      </c>
      <c r="N470" s="147">
        <v>2334710.8059999999</v>
      </c>
      <c r="O470" s="147">
        <v>0</v>
      </c>
      <c r="P470" s="147">
        <v>0</v>
      </c>
      <c r="Q470" s="147">
        <v>0</v>
      </c>
      <c r="R470" s="147">
        <v>0</v>
      </c>
      <c r="S470" s="147">
        <v>0</v>
      </c>
      <c r="T470" s="147">
        <v>0</v>
      </c>
      <c r="U470" s="147">
        <v>0</v>
      </c>
      <c r="V470" s="147">
        <v>0</v>
      </c>
      <c r="W470" s="147">
        <v>0</v>
      </c>
      <c r="X470" s="147">
        <v>0</v>
      </c>
      <c r="Y470" s="147">
        <v>0</v>
      </c>
      <c r="Z470" s="147">
        <v>0</v>
      </c>
      <c r="AA470" s="147">
        <v>0</v>
      </c>
      <c r="AB470" s="147">
        <v>0</v>
      </c>
      <c r="AC470" s="147">
        <v>0</v>
      </c>
      <c r="AD470" s="147">
        <v>0</v>
      </c>
      <c r="AE470" s="147">
        <v>0</v>
      </c>
      <c r="AF470" s="147">
        <v>0</v>
      </c>
      <c r="AG470" s="147">
        <v>0</v>
      </c>
      <c r="AH470" s="147">
        <v>0</v>
      </c>
      <c r="AI470" s="147">
        <v>0</v>
      </c>
      <c r="AJ470" s="147">
        <v>0</v>
      </c>
      <c r="AK470" s="147">
        <v>0</v>
      </c>
      <c r="AL470" s="147">
        <v>0</v>
      </c>
      <c r="AM470" s="147">
        <v>0</v>
      </c>
      <c r="AN470" s="147">
        <v>0</v>
      </c>
      <c r="AO470" s="147">
        <v>0</v>
      </c>
      <c r="AP470" s="147">
        <v>2334710.8059999999</v>
      </c>
    </row>
    <row r="471" spans="2:42" ht="12.75" customHeight="1">
      <c r="B471" s="122" t="str">
        <v>Pórticos 1 e 2 (BR-356)</v>
      </c>
      <c r="C471" s="329" t="str">
        <v>4</v>
      </c>
      <c r="D471" s="329" t="str">
        <v>4.15</v>
      </c>
      <c r="E471" s="329">
        <v>1</v>
      </c>
      <c r="F471" s="329">
        <v>0</v>
      </c>
      <c r="G471" s="122" t="str">
        <v xml:space="preserve">Paradas de ônibus com baia </v>
      </c>
      <c r="H471" s="122" t="b">
        <v>0</v>
      </c>
      <c r="I471" s="122" t="b">
        <v>0</v>
      </c>
      <c r="J471" s="122" t="b">
        <v>0</v>
      </c>
      <c r="K471" s="122" t="b">
        <v>1</v>
      </c>
      <c r="L471" s="147">
        <v>0</v>
      </c>
      <c r="M471" s="147">
        <v>0</v>
      </c>
      <c r="N471" s="147">
        <v>2833108.4349171324</v>
      </c>
      <c r="O471" s="147">
        <v>3237838.2113338662</v>
      </c>
      <c r="P471" s="147">
        <v>4447653.6645055162</v>
      </c>
      <c r="Q471" s="147">
        <v>6070946.6462509986</v>
      </c>
      <c r="R471" s="147">
        <v>0</v>
      </c>
      <c r="S471" s="147">
        <v>0</v>
      </c>
      <c r="T471" s="147">
        <v>0</v>
      </c>
      <c r="U471" s="147">
        <v>0</v>
      </c>
      <c r="V471" s="147">
        <v>0</v>
      </c>
      <c r="W471" s="147">
        <v>0</v>
      </c>
      <c r="X471" s="147">
        <v>0</v>
      </c>
      <c r="Y471" s="147">
        <v>0</v>
      </c>
      <c r="Z471" s="147">
        <v>0</v>
      </c>
      <c r="AA471" s="147">
        <v>0</v>
      </c>
      <c r="AB471" s="147">
        <v>0</v>
      </c>
      <c r="AC471" s="147">
        <v>0</v>
      </c>
      <c r="AD471" s="147">
        <v>0</v>
      </c>
      <c r="AE471" s="147">
        <v>0</v>
      </c>
      <c r="AF471" s="147">
        <v>0</v>
      </c>
      <c r="AG471" s="147">
        <v>0</v>
      </c>
      <c r="AH471" s="147">
        <v>0</v>
      </c>
      <c r="AI471" s="147">
        <v>0</v>
      </c>
      <c r="AJ471" s="147">
        <v>0</v>
      </c>
      <c r="AK471" s="147">
        <v>0</v>
      </c>
      <c r="AL471" s="147">
        <v>0</v>
      </c>
      <c r="AM471" s="147">
        <v>0</v>
      </c>
      <c r="AN471" s="147">
        <v>0</v>
      </c>
      <c r="AO471" s="147">
        <v>0</v>
      </c>
      <c r="AP471" s="147">
        <v>16589546.957007514</v>
      </c>
    </row>
    <row r="472" spans="2:42" ht="12.75" customHeight="1">
      <c r="B472" s="122" t="str">
        <v>Pórticos 1 e 2 (BR-356)</v>
      </c>
      <c r="C472" s="329" t="str">
        <v>4</v>
      </c>
      <c r="D472" s="329" t="str">
        <v>4.17</v>
      </c>
      <c r="E472" s="329">
        <v>1</v>
      </c>
      <c r="F472" s="329">
        <v>0</v>
      </c>
      <c r="G472" s="122" t="str">
        <v>Administração local (%)</v>
      </c>
      <c r="H472" s="122" t="b">
        <v>0</v>
      </c>
      <c r="I472" s="122" t="b">
        <v>0</v>
      </c>
      <c r="J472" s="122" t="b">
        <v>0</v>
      </c>
      <c r="K472" s="122" t="b">
        <v>1</v>
      </c>
      <c r="L472" s="147">
        <v>0</v>
      </c>
      <c r="M472" s="147">
        <v>2915.3107235933217</v>
      </c>
      <c r="N472" s="147">
        <v>2032435.4681431567</v>
      </c>
      <c r="O472" s="147">
        <v>5371824.1704581939</v>
      </c>
      <c r="P472" s="147">
        <v>3935231.3838639148</v>
      </c>
      <c r="Q472" s="147">
        <v>4547039.3809518991</v>
      </c>
      <c r="R472" s="147">
        <v>0</v>
      </c>
      <c r="S472" s="147">
        <v>0</v>
      </c>
      <c r="T472" s="147">
        <v>0</v>
      </c>
      <c r="U472" s="147">
        <v>0</v>
      </c>
      <c r="V472" s="147">
        <v>0</v>
      </c>
      <c r="W472" s="147">
        <v>0</v>
      </c>
      <c r="X472" s="147">
        <v>0</v>
      </c>
      <c r="Y472" s="147">
        <v>0</v>
      </c>
      <c r="Z472" s="147">
        <v>0</v>
      </c>
      <c r="AA472" s="147">
        <v>0</v>
      </c>
      <c r="AB472" s="147">
        <v>0</v>
      </c>
      <c r="AC472" s="147">
        <v>0</v>
      </c>
      <c r="AD472" s="147">
        <v>0</v>
      </c>
      <c r="AE472" s="147">
        <v>0</v>
      </c>
      <c r="AF472" s="147">
        <v>0</v>
      </c>
      <c r="AG472" s="147">
        <v>0</v>
      </c>
      <c r="AH472" s="147">
        <v>0</v>
      </c>
      <c r="AI472" s="147">
        <v>0</v>
      </c>
      <c r="AJ472" s="147">
        <v>0</v>
      </c>
      <c r="AK472" s="147">
        <v>0</v>
      </c>
      <c r="AL472" s="147">
        <v>0</v>
      </c>
      <c r="AM472" s="147">
        <v>0</v>
      </c>
      <c r="AN472" s="147">
        <v>0</v>
      </c>
      <c r="AO472" s="147">
        <v>0</v>
      </c>
      <c r="AP472" s="147">
        <v>15889445.714140758</v>
      </c>
    </row>
    <row r="473" spans="2:42" ht="12.75" customHeight="1">
      <c r="B473" s="122" t="str">
        <v>Pórticos 1 e 2 (BR-356)</v>
      </c>
      <c r="C473" s="329" t="str">
        <v>4</v>
      </c>
      <c r="D473" s="329" t="str">
        <v>4.18</v>
      </c>
      <c r="E473" s="329">
        <v>1</v>
      </c>
      <c r="F473" s="329">
        <v>0</v>
      </c>
      <c r="G473" s="122" t="str">
        <v>Canteiro de obras (%)</v>
      </c>
      <c r="H473" s="122" t="b">
        <v>0</v>
      </c>
      <c r="I473" s="122" t="b">
        <v>0</v>
      </c>
      <c r="J473" s="122" t="b">
        <v>0</v>
      </c>
      <c r="K473" s="122" t="b">
        <v>1</v>
      </c>
      <c r="L473" s="147">
        <v>0</v>
      </c>
      <c r="M473" s="147">
        <v>734.75310919831679</v>
      </c>
      <c r="N473" s="147">
        <v>512239.83343445405</v>
      </c>
      <c r="O473" s="147">
        <v>1353874.3844244226</v>
      </c>
      <c r="P473" s="147">
        <v>991806.28373805969</v>
      </c>
      <c r="Q473" s="147">
        <v>1146001.795199259</v>
      </c>
      <c r="R473" s="147">
        <v>0</v>
      </c>
      <c r="S473" s="147">
        <v>0</v>
      </c>
      <c r="T473" s="147">
        <v>0</v>
      </c>
      <c r="U473" s="147">
        <v>0</v>
      </c>
      <c r="V473" s="147">
        <v>0</v>
      </c>
      <c r="W473" s="147">
        <v>0</v>
      </c>
      <c r="X473" s="147">
        <v>0</v>
      </c>
      <c r="Y473" s="147">
        <v>0</v>
      </c>
      <c r="Z473" s="147">
        <v>0</v>
      </c>
      <c r="AA473" s="147">
        <v>0</v>
      </c>
      <c r="AB473" s="147">
        <v>0</v>
      </c>
      <c r="AC473" s="147">
        <v>0</v>
      </c>
      <c r="AD473" s="147">
        <v>0</v>
      </c>
      <c r="AE473" s="147">
        <v>0</v>
      </c>
      <c r="AF473" s="147">
        <v>0</v>
      </c>
      <c r="AG473" s="147">
        <v>0</v>
      </c>
      <c r="AH473" s="147">
        <v>0</v>
      </c>
      <c r="AI473" s="147">
        <v>0</v>
      </c>
      <c r="AJ473" s="147">
        <v>0</v>
      </c>
      <c r="AK473" s="147">
        <v>0</v>
      </c>
      <c r="AL473" s="147">
        <v>0</v>
      </c>
      <c r="AM473" s="147">
        <v>0</v>
      </c>
      <c r="AN473" s="147">
        <v>0</v>
      </c>
      <c r="AO473" s="147">
        <v>0</v>
      </c>
      <c r="AP473" s="147">
        <v>4004657.0499053942</v>
      </c>
    </row>
    <row r="474" spans="2:42" ht="12.75" customHeight="1">
      <c r="B474" s="122" t="str">
        <v>Pórticos 1 e 2 (BR-356)</v>
      </c>
      <c r="C474" s="329" t="str">
        <v>4</v>
      </c>
      <c r="D474" s="329" t="str">
        <v>4.19</v>
      </c>
      <c r="E474" s="329">
        <v>1</v>
      </c>
      <c r="F474" s="329">
        <v>0</v>
      </c>
      <c r="G474" s="122" t="str">
        <v>Mobilização e desmobilização (%)</v>
      </c>
      <c r="H474" s="122" t="b">
        <v>0</v>
      </c>
      <c r="I474" s="122" t="b">
        <v>0</v>
      </c>
      <c r="J474" s="122" t="b">
        <v>0</v>
      </c>
      <c r="K474" s="122" t="b">
        <v>1</v>
      </c>
      <c r="L474" s="147">
        <v>0</v>
      </c>
      <c r="M474" s="147">
        <v>13.74699365596851</v>
      </c>
      <c r="N474" s="147">
        <v>9583.8420449026908</v>
      </c>
      <c r="O474" s="147">
        <v>25330.552998908555</v>
      </c>
      <c r="P474" s="147">
        <v>18556.375631228217</v>
      </c>
      <c r="Q474" s="147">
        <v>21441.323910179686</v>
      </c>
      <c r="R474" s="147">
        <v>0</v>
      </c>
      <c r="S474" s="147">
        <v>0</v>
      </c>
      <c r="T474" s="147">
        <v>0</v>
      </c>
      <c r="U474" s="147">
        <v>0</v>
      </c>
      <c r="V474" s="147">
        <v>0</v>
      </c>
      <c r="W474" s="147">
        <v>0</v>
      </c>
      <c r="X474" s="147">
        <v>0</v>
      </c>
      <c r="Y474" s="147">
        <v>0</v>
      </c>
      <c r="Z474" s="147">
        <v>0</v>
      </c>
      <c r="AA474" s="147">
        <v>0</v>
      </c>
      <c r="AB474" s="147">
        <v>0</v>
      </c>
      <c r="AC474" s="147">
        <v>0</v>
      </c>
      <c r="AD474" s="147">
        <v>0</v>
      </c>
      <c r="AE474" s="147">
        <v>0</v>
      </c>
      <c r="AF474" s="147">
        <v>0</v>
      </c>
      <c r="AG474" s="147">
        <v>0</v>
      </c>
      <c r="AH474" s="147">
        <v>0</v>
      </c>
      <c r="AI474" s="147">
        <v>0</v>
      </c>
      <c r="AJ474" s="147">
        <v>0</v>
      </c>
      <c r="AK474" s="147">
        <v>0</v>
      </c>
      <c r="AL474" s="147">
        <v>0</v>
      </c>
      <c r="AM474" s="147">
        <v>0</v>
      </c>
      <c r="AN474" s="147">
        <v>0</v>
      </c>
      <c r="AO474" s="147">
        <v>0</v>
      </c>
      <c r="AP474" s="147">
        <v>74925.841578875115</v>
      </c>
    </row>
    <row r="475" spans="2:42" ht="12.75" customHeight="1">
      <c r="B475" s="122" t="str">
        <v>Pórticos 1 e 2 (BR-356)</v>
      </c>
      <c r="C475" s="329" t="str">
        <v>4</v>
      </c>
      <c r="D475" s="329" t="str">
        <v>4.20</v>
      </c>
      <c r="E475" s="329">
        <v>1</v>
      </c>
      <c r="F475" s="329">
        <v>0</v>
      </c>
      <c r="G475" s="122" t="str">
        <v>Projetos (%)</v>
      </c>
      <c r="H475" s="122" t="b">
        <v>0</v>
      </c>
      <c r="I475" s="122" t="b">
        <v>0</v>
      </c>
      <c r="J475" s="122" t="b">
        <v>0</v>
      </c>
      <c r="K475" s="122" t="b">
        <v>1</v>
      </c>
      <c r="L475" s="147">
        <v>0</v>
      </c>
      <c r="M475" s="147">
        <v>5925.4282999864272</v>
      </c>
      <c r="N475" s="147">
        <v>4130966.3986649527</v>
      </c>
      <c r="O475" s="147">
        <v>10918341.809874378</v>
      </c>
      <c r="P475" s="147">
        <v>7998437.7720811265</v>
      </c>
      <c r="Q475" s="147">
        <v>9241949.9612843487</v>
      </c>
      <c r="R475" s="147">
        <v>0</v>
      </c>
      <c r="S475" s="147">
        <v>0</v>
      </c>
      <c r="T475" s="147">
        <v>0</v>
      </c>
      <c r="U475" s="147">
        <v>0</v>
      </c>
      <c r="V475" s="147">
        <v>0</v>
      </c>
      <c r="W475" s="147">
        <v>0</v>
      </c>
      <c r="X475" s="147">
        <v>0</v>
      </c>
      <c r="Y475" s="147">
        <v>0</v>
      </c>
      <c r="Z475" s="147">
        <v>0</v>
      </c>
      <c r="AA475" s="147">
        <v>0</v>
      </c>
      <c r="AB475" s="147">
        <v>0</v>
      </c>
      <c r="AC475" s="147">
        <v>0</v>
      </c>
      <c r="AD475" s="147">
        <v>0</v>
      </c>
      <c r="AE475" s="147">
        <v>0</v>
      </c>
      <c r="AF475" s="147">
        <v>0</v>
      </c>
      <c r="AG475" s="147">
        <v>0</v>
      </c>
      <c r="AH475" s="147">
        <v>0</v>
      </c>
      <c r="AI475" s="147">
        <v>0</v>
      </c>
      <c r="AJ475" s="147">
        <v>0</v>
      </c>
      <c r="AK475" s="147">
        <v>0</v>
      </c>
      <c r="AL475" s="147">
        <v>0</v>
      </c>
      <c r="AM475" s="147">
        <v>0</v>
      </c>
      <c r="AN475" s="147">
        <v>0</v>
      </c>
      <c r="AO475" s="147">
        <v>0</v>
      </c>
      <c r="AP475" s="147">
        <v>32295621.370204791</v>
      </c>
    </row>
    <row r="476" spans="2:42" ht="12.75" customHeight="1">
      <c r="B476" s="122" t="str">
        <v>Pórticos 1 e 2 (BR-356)</v>
      </c>
      <c r="C476" s="329" t="str">
        <v>3</v>
      </c>
      <c r="D476" s="329">
        <v>3</v>
      </c>
      <c r="E476" s="329">
        <v>0</v>
      </c>
      <c r="F476" s="329">
        <v>0</v>
      </c>
      <c r="G476" s="122" t="str">
        <v>Manutenção do sistema rodoviário</v>
      </c>
      <c r="H476" s="122" t="b">
        <v>0</v>
      </c>
      <c r="I476" s="122" t="b">
        <v>0</v>
      </c>
      <c r="J476" s="122" t="b">
        <v>0</v>
      </c>
      <c r="K476" s="122" t="b">
        <v>1</v>
      </c>
      <c r="L476" s="147">
        <v>0</v>
      </c>
      <c r="M476" s="147">
        <v>0</v>
      </c>
      <c r="N476" s="147">
        <v>0</v>
      </c>
      <c r="O476" s="147">
        <v>0</v>
      </c>
      <c r="P476" s="147">
        <v>0</v>
      </c>
      <c r="Q476" s="147">
        <v>0</v>
      </c>
      <c r="R476" s="147">
        <v>0</v>
      </c>
      <c r="S476" s="147">
        <v>0</v>
      </c>
      <c r="T476" s="147">
        <v>0</v>
      </c>
      <c r="U476" s="147">
        <v>0</v>
      </c>
      <c r="V476" s="147">
        <v>0</v>
      </c>
      <c r="W476" s="147">
        <v>0</v>
      </c>
      <c r="X476" s="147">
        <v>0</v>
      </c>
      <c r="Y476" s="147">
        <v>0</v>
      </c>
      <c r="Z476" s="147">
        <v>0</v>
      </c>
      <c r="AA476" s="147">
        <v>0</v>
      </c>
      <c r="AB476" s="147">
        <v>0</v>
      </c>
      <c r="AC476" s="147">
        <v>0</v>
      </c>
      <c r="AD476" s="147">
        <v>0</v>
      </c>
      <c r="AE476" s="147">
        <v>0</v>
      </c>
      <c r="AF476" s="147">
        <v>0</v>
      </c>
      <c r="AG476" s="147">
        <v>0</v>
      </c>
      <c r="AH476" s="147">
        <v>0</v>
      </c>
      <c r="AI476" s="147">
        <v>0</v>
      </c>
      <c r="AJ476" s="147">
        <v>0</v>
      </c>
      <c r="AK476" s="147">
        <v>0</v>
      </c>
      <c r="AL476" s="147">
        <v>0</v>
      </c>
      <c r="AM476" s="147">
        <v>0</v>
      </c>
      <c r="AN476" s="147">
        <v>0</v>
      </c>
      <c r="AO476" s="147">
        <v>0</v>
      </c>
      <c r="AP476" s="147">
        <v>0</v>
      </c>
    </row>
    <row r="477" spans="2:42" ht="12.75" customHeight="1">
      <c r="B477" s="122" t="str">
        <v>Pórticos 1 e 2 (BR-356)</v>
      </c>
      <c r="C477" s="329" t="str">
        <v>3</v>
      </c>
      <c r="D477" s="329" t="str">
        <v>3.1</v>
      </c>
      <c r="E477" s="329">
        <v>1</v>
      </c>
      <c r="F477" s="329">
        <v>0</v>
      </c>
      <c r="G477" s="122" t="str">
        <v>Pavimento</v>
      </c>
      <c r="H477" s="122" t="b">
        <v>0</v>
      </c>
      <c r="I477" s="122" t="b">
        <v>0</v>
      </c>
      <c r="J477" s="122" t="b">
        <v>0</v>
      </c>
      <c r="K477" s="122" t="b">
        <v>1</v>
      </c>
      <c r="L477" s="147">
        <v>0</v>
      </c>
      <c r="M477" s="147">
        <v>0</v>
      </c>
      <c r="N477" s="147">
        <v>0</v>
      </c>
      <c r="O477" s="147">
        <v>0</v>
      </c>
      <c r="P477" s="147">
        <v>0</v>
      </c>
      <c r="Q477" s="147">
        <v>0</v>
      </c>
      <c r="R477" s="147">
        <v>0</v>
      </c>
      <c r="S477" s="147">
        <v>14189970.939246915</v>
      </c>
      <c r="T477" s="147">
        <v>5564508.738691383</v>
      </c>
      <c r="U477" s="147">
        <v>21950069.746345323</v>
      </c>
      <c r="V477" s="147">
        <v>15907233.652120432</v>
      </c>
      <c r="W477" s="147">
        <v>7615952.1552998731</v>
      </c>
      <c r="X477" s="147">
        <v>0</v>
      </c>
      <c r="Y477" s="147">
        <v>0</v>
      </c>
      <c r="Z477" s="147">
        <v>0</v>
      </c>
      <c r="AA477" s="147">
        <v>43283682.778383784</v>
      </c>
      <c r="AB477" s="147">
        <v>42615554.373466201</v>
      </c>
      <c r="AC477" s="147">
        <v>35012344.742803186</v>
      </c>
      <c r="AD477" s="147">
        <v>23198672.676878441</v>
      </c>
      <c r="AE477" s="147">
        <v>0</v>
      </c>
      <c r="AF477" s="147">
        <v>0</v>
      </c>
      <c r="AG477" s="147">
        <v>0</v>
      </c>
      <c r="AH477" s="147">
        <v>18464199.393959198</v>
      </c>
      <c r="AI477" s="147">
        <v>20660586.272340089</v>
      </c>
      <c r="AJ477" s="147">
        <v>13726715.95032784</v>
      </c>
      <c r="AK477" s="147">
        <v>12376233.615076795</v>
      </c>
      <c r="AL477" s="147">
        <v>0</v>
      </c>
      <c r="AM477" s="147">
        <v>0</v>
      </c>
      <c r="AN477" s="147">
        <v>17151564.92545484</v>
      </c>
      <c r="AO477" s="147">
        <v>14912089.134003811</v>
      </c>
      <c r="AP477" s="147">
        <v>306629379.09439814</v>
      </c>
    </row>
    <row r="478" spans="2:42" ht="12.75" customHeight="1">
      <c r="B478" s="122" t="str">
        <v>Pórticos 1 e 2 (BR-356)</v>
      </c>
      <c r="C478" s="329" t="str">
        <v>3</v>
      </c>
      <c r="D478" s="329" t="str">
        <v>3.2</v>
      </c>
      <c r="E478" s="329">
        <v>1</v>
      </c>
      <c r="F478" s="329">
        <v>0</v>
      </c>
      <c r="G478" s="122" t="str">
        <v>Obras de arte especiais</v>
      </c>
      <c r="H478" s="122" t="b">
        <v>0</v>
      </c>
      <c r="I478" s="122" t="b">
        <v>0</v>
      </c>
      <c r="J478" s="122" t="b">
        <v>0</v>
      </c>
      <c r="K478" s="122" t="b">
        <v>1</v>
      </c>
      <c r="L478" s="147">
        <v>0</v>
      </c>
      <c r="M478" s="147">
        <v>0</v>
      </c>
      <c r="N478" s="147">
        <v>0</v>
      </c>
      <c r="O478" s="147">
        <v>0</v>
      </c>
      <c r="P478" s="147">
        <v>0</v>
      </c>
      <c r="Q478" s="147">
        <v>0</v>
      </c>
      <c r="R478" s="147">
        <v>0</v>
      </c>
      <c r="S478" s="147">
        <v>0</v>
      </c>
      <c r="T478" s="147">
        <v>0</v>
      </c>
      <c r="U478" s="147">
        <v>0</v>
      </c>
      <c r="V478" s="147">
        <v>0</v>
      </c>
      <c r="W478" s="147">
        <v>0</v>
      </c>
      <c r="X478" s="147">
        <v>0</v>
      </c>
      <c r="Y478" s="147">
        <v>0</v>
      </c>
      <c r="Z478" s="147">
        <v>0</v>
      </c>
      <c r="AA478" s="147">
        <v>0</v>
      </c>
      <c r="AB478" s="147">
        <v>0</v>
      </c>
      <c r="AC478" s="147">
        <v>0</v>
      </c>
      <c r="AD478" s="147">
        <v>0</v>
      </c>
      <c r="AE478" s="147">
        <v>0</v>
      </c>
      <c r="AF478" s="147">
        <v>0</v>
      </c>
      <c r="AG478" s="147">
        <v>0</v>
      </c>
      <c r="AH478" s="147">
        <v>0</v>
      </c>
      <c r="AI478" s="147">
        <v>0</v>
      </c>
      <c r="AJ478" s="147">
        <v>0</v>
      </c>
      <c r="AK478" s="147">
        <v>0</v>
      </c>
      <c r="AL478" s="147">
        <v>0</v>
      </c>
      <c r="AM478" s="147">
        <v>0</v>
      </c>
      <c r="AN478" s="147">
        <v>0</v>
      </c>
      <c r="AO478" s="147">
        <v>0</v>
      </c>
      <c r="AP478" s="147">
        <v>0</v>
      </c>
    </row>
    <row r="479" spans="2:42" ht="12.75" customHeight="1">
      <c r="B479" s="122" t="str">
        <v>Pórticos 1 e 2 (BR-356)</v>
      </c>
      <c r="C479" s="329" t="str">
        <v>3</v>
      </c>
      <c r="D479" s="329" t="str">
        <v>3.3</v>
      </c>
      <c r="E479" s="329">
        <v>1</v>
      </c>
      <c r="F479" s="329">
        <v>0</v>
      </c>
      <c r="G479" s="122" t="str">
        <v>Drenagem e obras de arte correntes</v>
      </c>
      <c r="H479" s="122" t="b">
        <v>0</v>
      </c>
      <c r="I479" s="122" t="b">
        <v>0</v>
      </c>
      <c r="J479" s="122" t="b">
        <v>0</v>
      </c>
      <c r="K479" s="122" t="b">
        <v>1</v>
      </c>
      <c r="L479" s="147">
        <v>0</v>
      </c>
      <c r="M479" s="147">
        <v>0</v>
      </c>
      <c r="N479" s="147">
        <v>0</v>
      </c>
      <c r="O479" s="147">
        <v>0</v>
      </c>
      <c r="P479" s="147">
        <v>0</v>
      </c>
      <c r="Q479" s="147">
        <v>0</v>
      </c>
      <c r="R479" s="147">
        <v>0</v>
      </c>
      <c r="S479" s="147">
        <v>0</v>
      </c>
      <c r="T479" s="147">
        <v>0</v>
      </c>
      <c r="U479" s="147">
        <v>0</v>
      </c>
      <c r="V479" s="147">
        <v>0</v>
      </c>
      <c r="W479" s="147">
        <v>0</v>
      </c>
      <c r="X479" s="147">
        <v>0</v>
      </c>
      <c r="Y479" s="147">
        <v>0</v>
      </c>
      <c r="Z479" s="147">
        <v>0</v>
      </c>
      <c r="AA479" s="147">
        <v>0</v>
      </c>
      <c r="AB479" s="147">
        <v>0</v>
      </c>
      <c r="AC479" s="147">
        <v>0</v>
      </c>
      <c r="AD479" s="147">
        <v>0</v>
      </c>
      <c r="AE479" s="147">
        <v>0</v>
      </c>
      <c r="AF479" s="147">
        <v>0</v>
      </c>
      <c r="AG479" s="147">
        <v>0</v>
      </c>
      <c r="AH479" s="147">
        <v>0</v>
      </c>
      <c r="AI479" s="147">
        <v>0</v>
      </c>
      <c r="AJ479" s="147">
        <v>0</v>
      </c>
      <c r="AK479" s="147">
        <v>0</v>
      </c>
      <c r="AL479" s="147">
        <v>0</v>
      </c>
      <c r="AM479" s="147">
        <v>0</v>
      </c>
      <c r="AN479" s="147">
        <v>0</v>
      </c>
      <c r="AO479" s="147">
        <v>0</v>
      </c>
      <c r="AP479" s="147">
        <v>0</v>
      </c>
    </row>
    <row r="480" spans="2:42" ht="12.75" customHeight="1">
      <c r="B480" s="122" t="str">
        <v>Pórticos 1 e 2 (BR-356)</v>
      </c>
      <c r="C480" s="329" t="str">
        <v>3</v>
      </c>
      <c r="D480" s="329" t="str">
        <v>3.4</v>
      </c>
      <c r="E480" s="329">
        <v>1</v>
      </c>
      <c r="F480" s="329">
        <v>0</v>
      </c>
      <c r="G480" s="122" t="str">
        <v xml:space="preserve">Sinalização e dispositivos de proteção e segurança </v>
      </c>
      <c r="H480" s="122" t="b">
        <v>0</v>
      </c>
      <c r="I480" s="122" t="b">
        <v>0</v>
      </c>
      <c r="J480" s="122" t="b">
        <v>0</v>
      </c>
      <c r="K480" s="122" t="b">
        <v>1</v>
      </c>
      <c r="L480" s="147">
        <v>0</v>
      </c>
      <c r="M480" s="147">
        <v>0</v>
      </c>
      <c r="N480" s="147">
        <v>0</v>
      </c>
      <c r="O480" s="147">
        <v>0</v>
      </c>
      <c r="P480" s="147">
        <v>0</v>
      </c>
      <c r="Q480" s="147">
        <v>0</v>
      </c>
      <c r="R480" s="147">
        <v>0</v>
      </c>
      <c r="S480" s="147">
        <v>703262.32093499997</v>
      </c>
      <c r="T480" s="147">
        <v>239626.13538750005</v>
      </c>
      <c r="U480" s="147">
        <v>826396.05043000006</v>
      </c>
      <c r="V480" s="147">
        <v>709993.39215375006</v>
      </c>
      <c r="W480" s="147">
        <v>346784.78918999998</v>
      </c>
      <c r="X480" s="147">
        <v>0</v>
      </c>
      <c r="Y480" s="147">
        <v>0</v>
      </c>
      <c r="Z480" s="147">
        <v>0</v>
      </c>
      <c r="AA480" s="147">
        <v>942888.45632250002</v>
      </c>
      <c r="AB480" s="147">
        <v>695364.53070500004</v>
      </c>
      <c r="AC480" s="147">
        <v>727942.91540375003</v>
      </c>
      <c r="AD480" s="147">
        <v>459866.78566499986</v>
      </c>
      <c r="AE480" s="147">
        <v>0</v>
      </c>
      <c r="AF480" s="147">
        <v>0</v>
      </c>
      <c r="AG480" s="147">
        <v>0</v>
      </c>
      <c r="AH480" s="147">
        <v>714032.03488500009</v>
      </c>
      <c r="AI480" s="147">
        <v>924220.95214250009</v>
      </c>
      <c r="AJ480" s="147">
        <v>634605.39450375014</v>
      </c>
      <c r="AK480" s="147">
        <v>553204.30656499998</v>
      </c>
      <c r="AL480" s="147">
        <v>0</v>
      </c>
      <c r="AM480" s="147">
        <v>0</v>
      </c>
      <c r="AN480" s="147">
        <v>1476707.2777775005</v>
      </c>
      <c r="AO480" s="147">
        <v>1349355.4103187502</v>
      </c>
      <c r="AP480" s="147">
        <v>11304250.752385002</v>
      </c>
    </row>
    <row r="481" spans="2:42" ht="12.75" customHeight="1">
      <c r="B481" s="122" t="str">
        <v>Pórticos 1 e 2 (BR-356)</v>
      </c>
      <c r="C481" s="329" t="str">
        <v>3</v>
      </c>
      <c r="D481" s="329" t="str">
        <v>3.5</v>
      </c>
      <c r="E481" s="329">
        <v>1</v>
      </c>
      <c r="F481" s="329">
        <v>0</v>
      </c>
      <c r="G481" s="122" t="str">
        <v>Administração local (%)</v>
      </c>
      <c r="H481" s="122" t="b">
        <v>0</v>
      </c>
      <c r="I481" s="122" t="b">
        <v>0</v>
      </c>
      <c r="J481" s="122" t="b">
        <v>0</v>
      </c>
      <c r="K481" s="122" t="b">
        <v>1</v>
      </c>
      <c r="L481" s="147">
        <v>0</v>
      </c>
      <c r="M481" s="147">
        <v>0</v>
      </c>
      <c r="N481" s="147">
        <v>0</v>
      </c>
      <c r="O481" s="147">
        <v>0</v>
      </c>
      <c r="P481" s="147">
        <v>0</v>
      </c>
      <c r="Q481" s="147">
        <v>0</v>
      </c>
      <c r="R481" s="147">
        <v>0</v>
      </c>
      <c r="S481" s="147">
        <v>183186.76910023758</v>
      </c>
      <c r="T481" s="147">
        <v>71390.858951170259</v>
      </c>
      <c r="U481" s="147">
        <v>280150.52930033643</v>
      </c>
      <c r="V481" s="147">
        <v>204391.89264457245</v>
      </c>
      <c r="W481" s="147">
        <v>97941.664417225431</v>
      </c>
      <c r="X481" s="147">
        <v>0</v>
      </c>
      <c r="Y481" s="147">
        <v>0</v>
      </c>
      <c r="Z481" s="147">
        <v>0</v>
      </c>
      <c r="AA481" s="147">
        <v>543986.82618688722</v>
      </c>
      <c r="AB481" s="147">
        <v>532724.30252130574</v>
      </c>
      <c r="AC481" s="147">
        <v>439605.53819594532</v>
      </c>
      <c r="AD481" s="147">
        <v>291000.03538928431</v>
      </c>
      <c r="AE481" s="147">
        <v>0</v>
      </c>
      <c r="AF481" s="147">
        <v>0</v>
      </c>
      <c r="AG481" s="147">
        <v>0</v>
      </c>
      <c r="AH481" s="147">
        <v>235892.24657478364</v>
      </c>
      <c r="AI481" s="147">
        <v>265493.12886113586</v>
      </c>
      <c r="AJ481" s="147">
        <v>176644.25254142858</v>
      </c>
      <c r="AK481" s="147">
        <v>159032.08643619408</v>
      </c>
      <c r="AL481" s="147">
        <v>0</v>
      </c>
      <c r="AM481" s="147">
        <v>0</v>
      </c>
      <c r="AN481" s="147">
        <v>229127.74809975779</v>
      </c>
      <c r="AO481" s="147">
        <v>200015.76789516752</v>
      </c>
      <c r="AP481" s="147">
        <v>3910583.6471154317</v>
      </c>
    </row>
    <row r="482" spans="2:42" ht="12.75" customHeight="1">
      <c r="B482" s="122" t="str">
        <v>Pórticos 1 e 2 (BR-356)</v>
      </c>
      <c r="C482" s="329" t="str">
        <v>3</v>
      </c>
      <c r="D482" s="329" t="str">
        <v>3.6</v>
      </c>
      <c r="E482" s="329">
        <v>1</v>
      </c>
      <c r="F482" s="329">
        <v>0</v>
      </c>
      <c r="G482" s="122" t="str">
        <v>Canteiro de obras (%)</v>
      </c>
      <c r="H482" s="122" t="b">
        <v>0</v>
      </c>
      <c r="I482" s="122" t="b">
        <v>0</v>
      </c>
      <c r="J482" s="122" t="b">
        <v>0</v>
      </c>
      <c r="K482" s="122" t="b">
        <v>1</v>
      </c>
      <c r="L482" s="147">
        <v>0</v>
      </c>
      <c r="M482" s="147">
        <v>0</v>
      </c>
      <c r="N482" s="147">
        <v>0</v>
      </c>
      <c r="O482" s="147">
        <v>0</v>
      </c>
      <c r="P482" s="147">
        <v>0</v>
      </c>
      <c r="Q482" s="147">
        <v>0</v>
      </c>
      <c r="R482" s="147">
        <v>0</v>
      </c>
      <c r="S482" s="147">
        <v>46169.023106563938</v>
      </c>
      <c r="T482" s="147">
        <v>17992.818109644537</v>
      </c>
      <c r="U482" s="147">
        <v>70607.043970003491</v>
      </c>
      <c r="V482" s="147">
        <v>51513.403837249964</v>
      </c>
      <c r="W482" s="147">
        <v>24684.484527918605</v>
      </c>
      <c r="X482" s="147">
        <v>0</v>
      </c>
      <c r="Y482" s="147">
        <v>0</v>
      </c>
      <c r="Z482" s="147">
        <v>0</v>
      </c>
      <c r="AA482" s="147">
        <v>137102.37082758945</v>
      </c>
      <c r="AB482" s="147">
        <v>134263.8486029307</v>
      </c>
      <c r="AC482" s="147">
        <v>110794.8917404415</v>
      </c>
      <c r="AD482" s="147">
        <v>73341.472333884667</v>
      </c>
      <c r="AE482" s="147">
        <v>0</v>
      </c>
      <c r="AF482" s="147">
        <v>0</v>
      </c>
      <c r="AG482" s="147">
        <v>0</v>
      </c>
      <c r="AH482" s="147">
        <v>59452.517429417014</v>
      </c>
      <c r="AI482" s="147">
        <v>66912.902395896017</v>
      </c>
      <c r="AJ482" s="147">
        <v>44520.096168977929</v>
      </c>
      <c r="AK482" s="147">
        <v>40081.257557089557</v>
      </c>
      <c r="AL482" s="147">
        <v>0</v>
      </c>
      <c r="AM482" s="147">
        <v>0</v>
      </c>
      <c r="AN482" s="147">
        <v>57747.643830020257</v>
      </c>
      <c r="AO482" s="147">
        <v>50410.478087399941</v>
      </c>
      <c r="AP482" s="147">
        <v>985594.25252502761</v>
      </c>
    </row>
    <row r="483" spans="2:42" ht="12.75" customHeight="1">
      <c r="B483" s="122" t="str">
        <v>Pórticos 1 e 2 (BR-356)</v>
      </c>
      <c r="C483" s="329" t="str">
        <v>3</v>
      </c>
      <c r="D483" s="329" t="str">
        <v>3.7</v>
      </c>
      <c r="E483" s="329">
        <v>1</v>
      </c>
      <c r="F483" s="329">
        <v>0</v>
      </c>
      <c r="G483" s="122" t="str">
        <v>Mobilização e desmobilização (%)</v>
      </c>
      <c r="H483" s="122" t="b">
        <v>0</v>
      </c>
      <c r="I483" s="122" t="b">
        <v>0</v>
      </c>
      <c r="J483" s="122" t="b">
        <v>0</v>
      </c>
      <c r="K483" s="122" t="b">
        <v>1</v>
      </c>
      <c r="L483" s="147">
        <v>0</v>
      </c>
      <c r="M483" s="147">
        <v>0</v>
      </c>
      <c r="N483" s="147">
        <v>0</v>
      </c>
      <c r="O483" s="147">
        <v>0</v>
      </c>
      <c r="P483" s="147">
        <v>0</v>
      </c>
      <c r="Q483" s="147">
        <v>0</v>
      </c>
      <c r="R483" s="147">
        <v>0</v>
      </c>
      <c r="S483" s="147">
        <v>863.80752909055104</v>
      </c>
      <c r="T483" s="147">
        <v>336.63982269657527</v>
      </c>
      <c r="U483" s="147">
        <v>1321.0350162129685</v>
      </c>
      <c r="V483" s="147">
        <v>963.79916856790248</v>
      </c>
      <c r="W483" s="147">
        <v>461.83874278041264</v>
      </c>
      <c r="X483" s="147">
        <v>0</v>
      </c>
      <c r="Y483" s="147">
        <v>0</v>
      </c>
      <c r="Z483" s="147">
        <v>0</v>
      </c>
      <c r="AA483" s="147">
        <v>2565.1411316129643</v>
      </c>
      <c r="AB483" s="147">
        <v>2512.0332964419299</v>
      </c>
      <c r="AC483" s="147">
        <v>2072.9366841760025</v>
      </c>
      <c r="AD483" s="147">
        <v>1372.1952888275198</v>
      </c>
      <c r="AE483" s="147">
        <v>0</v>
      </c>
      <c r="AF483" s="147">
        <v>0</v>
      </c>
      <c r="AG483" s="147">
        <v>0</v>
      </c>
      <c r="AH483" s="147">
        <v>1112.3374228729635</v>
      </c>
      <c r="AI483" s="147">
        <v>1251.9188190199902</v>
      </c>
      <c r="AJ483" s="147">
        <v>832.95663800023226</v>
      </c>
      <c r="AK483" s="147">
        <v>749.90739945522409</v>
      </c>
      <c r="AL483" s="147">
        <v>0</v>
      </c>
      <c r="AM483" s="147">
        <v>0</v>
      </c>
      <c r="AN483" s="147">
        <v>1080.4397877874756</v>
      </c>
      <c r="AO483" s="147">
        <v>943.16378357070869</v>
      </c>
      <c r="AP483" s="147">
        <v>18440.150531113417</v>
      </c>
    </row>
    <row r="484" spans="2:42" ht="12.75" customHeight="1">
      <c r="B484" s="122" t="str">
        <v>Pórticos 1 e 2 (BR-356)</v>
      </c>
      <c r="C484" s="329" t="str">
        <v>3</v>
      </c>
      <c r="D484" s="329" t="str">
        <v>3.8</v>
      </c>
      <c r="E484" s="329">
        <v>1</v>
      </c>
      <c r="F484" s="329">
        <v>0</v>
      </c>
      <c r="G484" s="122" t="str">
        <v>Projetos (%)</v>
      </c>
      <c r="H484" s="122" t="b">
        <v>0</v>
      </c>
      <c r="I484" s="122" t="b">
        <v>0</v>
      </c>
      <c r="J484" s="122" t="b">
        <v>0</v>
      </c>
      <c r="K484" s="122" t="b">
        <v>1</v>
      </c>
      <c r="L484" s="147">
        <v>0</v>
      </c>
      <c r="M484" s="147">
        <v>0</v>
      </c>
      <c r="N484" s="147">
        <v>0</v>
      </c>
      <c r="O484" s="147">
        <v>0</v>
      </c>
      <c r="P484" s="147">
        <v>0</v>
      </c>
      <c r="Q484" s="147">
        <v>0</v>
      </c>
      <c r="R484" s="147">
        <v>0</v>
      </c>
      <c r="S484" s="147">
        <v>372330.83150454791</v>
      </c>
      <c r="T484" s="147">
        <v>145103.37185197207</v>
      </c>
      <c r="U484" s="147">
        <v>569411.64491938299</v>
      </c>
      <c r="V484" s="147">
        <v>415430.67610685452</v>
      </c>
      <c r="W484" s="147">
        <v>199068.42361224684</v>
      </c>
      <c r="X484" s="147">
        <v>0</v>
      </c>
      <c r="Y484" s="147">
        <v>0</v>
      </c>
      <c r="Z484" s="147">
        <v>0</v>
      </c>
      <c r="AA484" s="147">
        <v>1105664.2808676572</v>
      </c>
      <c r="AB484" s="147">
        <v>1082772.9726042801</v>
      </c>
      <c r="AC484" s="147">
        <v>893507.19145517342</v>
      </c>
      <c r="AD484" s="147">
        <v>591463.48656358605</v>
      </c>
      <c r="AE484" s="147">
        <v>0</v>
      </c>
      <c r="AF484" s="147">
        <v>0</v>
      </c>
      <c r="AG484" s="147">
        <v>0</v>
      </c>
      <c r="AH484" s="147">
        <v>479455.785721105</v>
      </c>
      <c r="AI484" s="147">
        <v>539620.18061206478</v>
      </c>
      <c r="AJ484" s="147">
        <v>359033.03362078982</v>
      </c>
      <c r="AK484" s="147">
        <v>323235.94804104487</v>
      </c>
      <c r="AL484" s="147">
        <v>0</v>
      </c>
      <c r="AM484" s="147">
        <v>0</v>
      </c>
      <c r="AN484" s="147">
        <v>465706.80508080852</v>
      </c>
      <c r="AO484" s="147">
        <v>406536.11360806407</v>
      </c>
      <c r="AP484" s="147">
        <v>7948340.7461695774</v>
      </c>
    </row>
    <row r="485" spans="2:42" ht="12.75" customHeight="1">
      <c r="B485" s="122" t="str">
        <v>Pórticos 1 e 2 (BR-356)</v>
      </c>
      <c r="C485" s="329" t="str">
        <v>3</v>
      </c>
      <c r="D485" s="329" t="str">
        <v>3a</v>
      </c>
      <c r="E485" s="329">
        <v>0</v>
      </c>
      <c r="F485" s="329">
        <v>0</v>
      </c>
      <c r="G485" s="122" t="str">
        <v>Manutenção Do Sistema Rodoviário (Contornos)</v>
      </c>
      <c r="H485" s="122" t="b">
        <v>0</v>
      </c>
      <c r="I485" s="122" t="b">
        <v>0</v>
      </c>
      <c r="J485" s="122" t="b">
        <v>0</v>
      </c>
      <c r="K485" s="122" t="b">
        <v>1</v>
      </c>
      <c r="L485" s="147">
        <v>0</v>
      </c>
      <c r="M485" s="147">
        <v>0</v>
      </c>
      <c r="N485" s="147">
        <v>0</v>
      </c>
      <c r="O485" s="147">
        <v>0</v>
      </c>
      <c r="P485" s="147">
        <v>0</v>
      </c>
      <c r="Q485" s="147">
        <v>0</v>
      </c>
      <c r="R485" s="147">
        <v>0</v>
      </c>
      <c r="S485" s="147">
        <v>0</v>
      </c>
      <c r="T485" s="147">
        <v>0</v>
      </c>
      <c r="U485" s="147">
        <v>0</v>
      </c>
      <c r="V485" s="147">
        <v>0</v>
      </c>
      <c r="W485" s="147">
        <v>0</v>
      </c>
      <c r="X485" s="147">
        <v>0</v>
      </c>
      <c r="Y485" s="147">
        <v>0</v>
      </c>
      <c r="Z485" s="147">
        <v>0</v>
      </c>
      <c r="AA485" s="147">
        <v>0</v>
      </c>
      <c r="AB485" s="147">
        <v>0</v>
      </c>
      <c r="AC485" s="147">
        <v>0</v>
      </c>
      <c r="AD485" s="147">
        <v>0</v>
      </c>
      <c r="AE485" s="147">
        <v>0</v>
      </c>
      <c r="AF485" s="147">
        <v>0</v>
      </c>
      <c r="AG485" s="147">
        <v>0</v>
      </c>
      <c r="AH485" s="147">
        <v>0</v>
      </c>
      <c r="AI485" s="147">
        <v>0</v>
      </c>
      <c r="AJ485" s="147">
        <v>0</v>
      </c>
      <c r="AK485" s="147">
        <v>0</v>
      </c>
      <c r="AL485" s="147">
        <v>0</v>
      </c>
      <c r="AM485" s="147">
        <v>0</v>
      </c>
      <c r="AN485" s="147">
        <v>0</v>
      </c>
      <c r="AO485" s="147">
        <v>0</v>
      </c>
      <c r="AP485" s="147">
        <v>0</v>
      </c>
    </row>
    <row r="486" spans="2:42" ht="12.75" customHeight="1">
      <c r="B486" s="122" t="str">
        <v>Pórticos 1 e 2 (BR-356)</v>
      </c>
      <c r="C486" s="329" t="str">
        <v>3</v>
      </c>
      <c r="D486" s="329" t="str">
        <v>3.1</v>
      </c>
      <c r="E486" s="329">
        <v>1</v>
      </c>
      <c r="F486" s="329">
        <v>0</v>
      </c>
      <c r="G486" s="122" t="str">
        <v xml:space="preserve">Pavimento </v>
      </c>
      <c r="H486" s="122" t="b">
        <v>0</v>
      </c>
      <c r="I486" s="122" t="b">
        <v>0</v>
      </c>
      <c r="J486" s="122" t="b">
        <v>0</v>
      </c>
      <c r="K486" s="122" t="b">
        <v>1</v>
      </c>
      <c r="L486" s="147">
        <v>0</v>
      </c>
      <c r="M486" s="147">
        <v>0</v>
      </c>
      <c r="N486" s="147">
        <v>0</v>
      </c>
      <c r="O486" s="147">
        <v>0</v>
      </c>
      <c r="P486" s="147">
        <v>0</v>
      </c>
      <c r="Q486" s="147">
        <v>0</v>
      </c>
      <c r="R486" s="147">
        <v>0</v>
      </c>
      <c r="S486" s="147">
        <v>0</v>
      </c>
      <c r="T486" s="147">
        <v>0</v>
      </c>
      <c r="U486" s="147">
        <v>0</v>
      </c>
      <c r="V486" s="147">
        <v>0</v>
      </c>
      <c r="W486" s="147">
        <v>1287945.6739814004</v>
      </c>
      <c r="X486" s="147">
        <v>0</v>
      </c>
      <c r="Y486" s="147">
        <v>0</v>
      </c>
      <c r="Z486" s="147">
        <v>0</v>
      </c>
      <c r="AA486" s="147">
        <v>369718.32836399972</v>
      </c>
      <c r="AB486" s="147">
        <v>0</v>
      </c>
      <c r="AC486" s="147">
        <v>0</v>
      </c>
      <c r="AD486" s="147">
        <v>0</v>
      </c>
      <c r="AE486" s="147">
        <v>1287945.6739814004</v>
      </c>
      <c r="AF486" s="147">
        <v>0</v>
      </c>
      <c r="AG486" s="147">
        <v>0</v>
      </c>
      <c r="AH486" s="147">
        <v>0</v>
      </c>
      <c r="AI486" s="147">
        <v>1406967.1225004988</v>
      </c>
      <c r="AJ486" s="147">
        <v>0</v>
      </c>
      <c r="AK486" s="147">
        <v>0</v>
      </c>
      <c r="AL486" s="147">
        <v>0</v>
      </c>
      <c r="AM486" s="147">
        <v>1287945.6739814004</v>
      </c>
      <c r="AN486" s="147">
        <v>0</v>
      </c>
      <c r="AO486" s="147">
        <v>0</v>
      </c>
      <c r="AP486" s="147">
        <v>5640522.4728087001</v>
      </c>
    </row>
    <row r="487" spans="2:42" ht="12.75" customHeight="1">
      <c r="B487" s="122" t="str">
        <v>Pórticos 1 e 2 (BR-356)</v>
      </c>
      <c r="C487" s="329" t="str">
        <v>3</v>
      </c>
      <c r="D487" s="329" t="str">
        <v>3.2</v>
      </c>
      <c r="E487" s="329">
        <v>1</v>
      </c>
      <c r="F487" s="329">
        <v>0</v>
      </c>
      <c r="G487" s="122" t="str">
        <v>Obras De Arte Especiais</v>
      </c>
      <c r="H487" s="122" t="b">
        <v>0</v>
      </c>
      <c r="I487" s="122" t="b">
        <v>0</v>
      </c>
      <c r="J487" s="122" t="b">
        <v>0</v>
      </c>
      <c r="K487" s="122" t="b">
        <v>1</v>
      </c>
      <c r="L487" s="147">
        <v>0</v>
      </c>
      <c r="M487" s="147">
        <v>0</v>
      </c>
      <c r="N487" s="147">
        <v>0</v>
      </c>
      <c r="O487" s="147">
        <v>0</v>
      </c>
      <c r="P487" s="147">
        <v>0</v>
      </c>
      <c r="Q487" s="147">
        <v>0</v>
      </c>
      <c r="R487" s="147">
        <v>0</v>
      </c>
      <c r="S487" s="147">
        <v>0</v>
      </c>
      <c r="T487" s="147">
        <v>0</v>
      </c>
      <c r="U487" s="147">
        <v>0</v>
      </c>
      <c r="V487" s="147">
        <v>0</v>
      </c>
      <c r="W487" s="147">
        <v>0</v>
      </c>
      <c r="X487" s="147">
        <v>0</v>
      </c>
      <c r="Y487" s="147">
        <v>0</v>
      </c>
      <c r="Z487" s="147">
        <v>0</v>
      </c>
      <c r="AA487" s="147">
        <v>0</v>
      </c>
      <c r="AB487" s="147">
        <v>0</v>
      </c>
      <c r="AC487" s="147">
        <v>0</v>
      </c>
      <c r="AD487" s="147">
        <v>0</v>
      </c>
      <c r="AE487" s="147">
        <v>0</v>
      </c>
      <c r="AF487" s="147">
        <v>0</v>
      </c>
      <c r="AG487" s="147">
        <v>0</v>
      </c>
      <c r="AH487" s="147">
        <v>0</v>
      </c>
      <c r="AI487" s="147">
        <v>0</v>
      </c>
      <c r="AJ487" s="147">
        <v>0</v>
      </c>
      <c r="AK487" s="147">
        <v>0</v>
      </c>
      <c r="AL487" s="147">
        <v>0</v>
      </c>
      <c r="AM487" s="147">
        <v>0</v>
      </c>
      <c r="AN487" s="147">
        <v>0</v>
      </c>
      <c r="AO487" s="147">
        <v>0</v>
      </c>
      <c r="AP487" s="147">
        <v>0</v>
      </c>
    </row>
    <row r="488" spans="2:42" ht="12.75" customHeight="1">
      <c r="B488" s="122" t="str">
        <v>Pórticos 1 e 2 (BR-356)</v>
      </c>
      <c r="C488" s="329" t="str">
        <v>3</v>
      </c>
      <c r="D488" s="329" t="str">
        <v>3.3</v>
      </c>
      <c r="E488" s="329">
        <v>1</v>
      </c>
      <c r="F488" s="329">
        <v>0</v>
      </c>
      <c r="G488" s="122" t="str">
        <v>Drenagem E Obras De Arte Correntes</v>
      </c>
      <c r="H488" s="122" t="b">
        <v>0</v>
      </c>
      <c r="I488" s="122" t="b">
        <v>0</v>
      </c>
      <c r="J488" s="122" t="b">
        <v>0</v>
      </c>
      <c r="K488" s="122" t="b">
        <v>1</v>
      </c>
      <c r="L488" s="147">
        <v>0</v>
      </c>
      <c r="M488" s="147">
        <v>0</v>
      </c>
      <c r="N488" s="147">
        <v>0</v>
      </c>
      <c r="O488" s="147">
        <v>0</v>
      </c>
      <c r="P488" s="147">
        <v>0</v>
      </c>
      <c r="Q488" s="147">
        <v>0</v>
      </c>
      <c r="R488" s="147">
        <v>0</v>
      </c>
      <c r="S488" s="147">
        <v>0</v>
      </c>
      <c r="T488" s="147">
        <v>0</v>
      </c>
      <c r="U488" s="147">
        <v>0</v>
      </c>
      <c r="V488" s="147">
        <v>0</v>
      </c>
      <c r="W488" s="147">
        <v>0</v>
      </c>
      <c r="X488" s="147">
        <v>0</v>
      </c>
      <c r="Y488" s="147">
        <v>0</v>
      </c>
      <c r="Z488" s="147">
        <v>0</v>
      </c>
      <c r="AA488" s="147">
        <v>0</v>
      </c>
      <c r="AB488" s="147">
        <v>0</v>
      </c>
      <c r="AC488" s="147">
        <v>0</v>
      </c>
      <c r="AD488" s="147">
        <v>0</v>
      </c>
      <c r="AE488" s="147">
        <v>0</v>
      </c>
      <c r="AF488" s="147">
        <v>0</v>
      </c>
      <c r="AG488" s="147">
        <v>0</v>
      </c>
      <c r="AH488" s="147">
        <v>0</v>
      </c>
      <c r="AI488" s="147">
        <v>0</v>
      </c>
      <c r="AJ488" s="147">
        <v>0</v>
      </c>
      <c r="AK488" s="147">
        <v>0</v>
      </c>
      <c r="AL488" s="147">
        <v>0</v>
      </c>
      <c r="AM488" s="147">
        <v>0</v>
      </c>
      <c r="AN488" s="147">
        <v>0</v>
      </c>
      <c r="AO488" s="147">
        <v>0</v>
      </c>
      <c r="AP488" s="147">
        <v>0</v>
      </c>
    </row>
    <row r="489" spans="2:42" ht="12.75" customHeight="1">
      <c r="B489" s="122" t="str">
        <v>Pórticos 1 e 2 (BR-356)</v>
      </c>
      <c r="C489" s="329" t="str">
        <v>3</v>
      </c>
      <c r="D489" s="329" t="str">
        <v>3.4</v>
      </c>
      <c r="E489" s="329">
        <v>1</v>
      </c>
      <c r="F489" s="329">
        <v>0</v>
      </c>
      <c r="G489" s="122" t="str">
        <v xml:space="preserve">Sinalização E Dispositivos De Proteção E Segurança </v>
      </c>
      <c r="H489" s="122" t="b">
        <v>0</v>
      </c>
      <c r="I489" s="122" t="b">
        <v>0</v>
      </c>
      <c r="J489" s="122" t="b">
        <v>0</v>
      </c>
      <c r="K489" s="122" t="b">
        <v>1</v>
      </c>
      <c r="L489" s="147">
        <v>0</v>
      </c>
      <c r="M489" s="147">
        <v>0</v>
      </c>
      <c r="N489" s="147">
        <v>0</v>
      </c>
      <c r="O489" s="147">
        <v>0</v>
      </c>
      <c r="P489" s="147">
        <v>0</v>
      </c>
      <c r="Q489" s="147">
        <v>0</v>
      </c>
      <c r="R489" s="147">
        <v>0</v>
      </c>
      <c r="S489" s="147">
        <v>0</v>
      </c>
      <c r="T489" s="147">
        <v>0</v>
      </c>
      <c r="U489" s="147">
        <v>0</v>
      </c>
      <c r="V489" s="147">
        <v>0</v>
      </c>
      <c r="W489" s="147">
        <v>88850.140087499924</v>
      </c>
      <c r="X489" s="147">
        <v>0</v>
      </c>
      <c r="Y489" s="147">
        <v>0</v>
      </c>
      <c r="Z489" s="147">
        <v>0</v>
      </c>
      <c r="AA489" s="147">
        <v>0</v>
      </c>
      <c r="AB489" s="147">
        <v>0</v>
      </c>
      <c r="AC489" s="147">
        <v>0</v>
      </c>
      <c r="AD489" s="147">
        <v>0</v>
      </c>
      <c r="AE489" s="147">
        <v>88850.140087499924</v>
      </c>
      <c r="AF489" s="147">
        <v>0</v>
      </c>
      <c r="AG489" s="147">
        <v>0</v>
      </c>
      <c r="AH489" s="147">
        <v>0</v>
      </c>
      <c r="AI489" s="147">
        <v>0</v>
      </c>
      <c r="AJ489" s="147">
        <v>0</v>
      </c>
      <c r="AK489" s="147">
        <v>0</v>
      </c>
      <c r="AL489" s="147">
        <v>0</v>
      </c>
      <c r="AM489" s="147">
        <v>88850.140087499924</v>
      </c>
      <c r="AN489" s="147">
        <v>0</v>
      </c>
      <c r="AO489" s="147">
        <v>0</v>
      </c>
      <c r="AP489" s="147">
        <v>266550.42026249977</v>
      </c>
    </row>
    <row r="490" spans="2:42" ht="12.75" customHeight="1">
      <c r="B490" s="122" t="str">
        <v>Pórticos 1 e 2 (BR-356)</v>
      </c>
      <c r="C490" s="329" t="str">
        <v>3</v>
      </c>
      <c r="D490" s="329" t="str">
        <v>3.7</v>
      </c>
      <c r="E490" s="329">
        <v>1</v>
      </c>
      <c r="F490" s="329">
        <v>0</v>
      </c>
      <c r="G490" s="122" t="str">
        <v>Administração local (%)</v>
      </c>
      <c r="H490" s="122" t="b">
        <v>0</v>
      </c>
      <c r="I490" s="122" t="b">
        <v>0</v>
      </c>
      <c r="J490" s="122" t="b">
        <v>0</v>
      </c>
      <c r="K490" s="122" t="b">
        <v>1</v>
      </c>
      <c r="L490" s="147">
        <v>0</v>
      </c>
      <c r="M490" s="147">
        <v>0</v>
      </c>
      <c r="N490" s="147">
        <v>0</v>
      </c>
      <c r="O490" s="147">
        <v>0</v>
      </c>
      <c r="P490" s="147">
        <v>0</v>
      </c>
      <c r="Q490" s="147">
        <v>0</v>
      </c>
      <c r="R490" s="147">
        <v>0</v>
      </c>
      <c r="S490" s="147">
        <v>0</v>
      </c>
      <c r="T490" s="147">
        <v>0</v>
      </c>
      <c r="U490" s="147">
        <v>0</v>
      </c>
      <c r="V490" s="147">
        <v>0</v>
      </c>
      <c r="W490" s="147">
        <v>16934.588513047474</v>
      </c>
      <c r="X490" s="147">
        <v>0</v>
      </c>
      <c r="Y490" s="147">
        <v>0</v>
      </c>
      <c r="Z490" s="147">
        <v>0</v>
      </c>
      <c r="AA490" s="147">
        <v>4547.5354388771966</v>
      </c>
      <c r="AB490" s="147">
        <v>0</v>
      </c>
      <c r="AC490" s="147">
        <v>0</v>
      </c>
      <c r="AD490" s="147">
        <v>0</v>
      </c>
      <c r="AE490" s="147">
        <v>16934.588513047474</v>
      </c>
      <c r="AF490" s="147">
        <v>0</v>
      </c>
      <c r="AG490" s="147">
        <v>0</v>
      </c>
      <c r="AH490" s="147">
        <v>0</v>
      </c>
      <c r="AI490" s="147">
        <v>17305.695606756137</v>
      </c>
      <c r="AJ490" s="147">
        <v>0</v>
      </c>
      <c r="AK490" s="147">
        <v>0</v>
      </c>
      <c r="AL490" s="147">
        <v>0</v>
      </c>
      <c r="AM490" s="147">
        <v>16934.588513047474</v>
      </c>
      <c r="AN490" s="147">
        <v>0</v>
      </c>
      <c r="AO490" s="147">
        <v>0</v>
      </c>
      <c r="AP490" s="147">
        <v>72656.996584775756</v>
      </c>
    </row>
    <row r="491" spans="2:42" ht="12.75" customHeight="1">
      <c r="B491" s="122" t="str">
        <v>Pórticos 1 e 2 (BR-356)</v>
      </c>
      <c r="C491" s="329" t="str">
        <v>3</v>
      </c>
      <c r="D491" s="329" t="str">
        <v>3.8</v>
      </c>
      <c r="E491" s="329">
        <v>1</v>
      </c>
      <c r="F491" s="329">
        <v>0</v>
      </c>
      <c r="G491" s="122" t="str">
        <v>Canteiro de obras (%)</v>
      </c>
      <c r="H491" s="122" t="b">
        <v>0</v>
      </c>
      <c r="I491" s="122" t="b">
        <v>0</v>
      </c>
      <c r="J491" s="122" t="b">
        <v>0</v>
      </c>
      <c r="K491" s="122" t="b">
        <v>1</v>
      </c>
      <c r="L491" s="147">
        <v>0</v>
      </c>
      <c r="M491" s="147">
        <v>0</v>
      </c>
      <c r="N491" s="147">
        <v>0</v>
      </c>
      <c r="O491" s="147">
        <v>0</v>
      </c>
      <c r="P491" s="147">
        <v>0</v>
      </c>
      <c r="Q491" s="147">
        <v>0</v>
      </c>
      <c r="R491" s="147">
        <v>0</v>
      </c>
      <c r="S491" s="147">
        <v>0</v>
      </c>
      <c r="T491" s="147">
        <v>0</v>
      </c>
      <c r="U491" s="147">
        <v>0</v>
      </c>
      <c r="V491" s="147">
        <v>0</v>
      </c>
      <c r="W491" s="147">
        <v>4268.0670236135911</v>
      </c>
      <c r="X491" s="147">
        <v>0</v>
      </c>
      <c r="Y491" s="147">
        <v>0</v>
      </c>
      <c r="Z491" s="147">
        <v>0</v>
      </c>
      <c r="AA491" s="147">
        <v>1146.1268179283993</v>
      </c>
      <c r="AB491" s="147">
        <v>0</v>
      </c>
      <c r="AC491" s="147">
        <v>0</v>
      </c>
      <c r="AD491" s="147">
        <v>0</v>
      </c>
      <c r="AE491" s="147">
        <v>4268.0670236135911</v>
      </c>
      <c r="AF491" s="147">
        <v>0</v>
      </c>
      <c r="AG491" s="147">
        <v>0</v>
      </c>
      <c r="AH491" s="147">
        <v>0</v>
      </c>
      <c r="AI491" s="147">
        <v>4361.5980797515458</v>
      </c>
      <c r="AJ491" s="147">
        <v>0</v>
      </c>
      <c r="AK491" s="147">
        <v>0</v>
      </c>
      <c r="AL491" s="147">
        <v>0</v>
      </c>
      <c r="AM491" s="147">
        <v>4268.0670236135911</v>
      </c>
      <c r="AN491" s="147">
        <v>0</v>
      </c>
      <c r="AO491" s="147">
        <v>0</v>
      </c>
      <c r="AP491" s="147">
        <v>18311.925968520718</v>
      </c>
    </row>
    <row r="492" spans="2:42" ht="12.75" customHeight="1">
      <c r="B492" s="122" t="str">
        <v>Pórticos 1 e 2 (BR-356)</v>
      </c>
      <c r="C492" s="329" t="str">
        <v>3</v>
      </c>
      <c r="D492" s="329" t="str">
        <v>3.9</v>
      </c>
      <c r="E492" s="329">
        <v>1</v>
      </c>
      <c r="F492" s="329">
        <v>0</v>
      </c>
      <c r="G492" s="122" t="str">
        <v>Mobilização e desmobilização (%)</v>
      </c>
      <c r="H492" s="122" t="b">
        <v>0</v>
      </c>
      <c r="I492" s="122" t="b">
        <v>0</v>
      </c>
      <c r="J492" s="122" t="b">
        <v>0</v>
      </c>
      <c r="K492" s="122" t="b">
        <v>1</v>
      </c>
      <c r="L492" s="147">
        <v>0</v>
      </c>
      <c r="M492" s="147">
        <v>0</v>
      </c>
      <c r="N492" s="147">
        <v>0</v>
      </c>
      <c r="O492" s="147">
        <v>0</v>
      </c>
      <c r="P492" s="147">
        <v>0</v>
      </c>
      <c r="Q492" s="147">
        <v>0</v>
      </c>
      <c r="R492" s="147">
        <v>0</v>
      </c>
      <c r="S492" s="147">
        <v>0</v>
      </c>
      <c r="T492" s="147">
        <v>0</v>
      </c>
      <c r="U492" s="147">
        <v>0</v>
      </c>
      <c r="V492" s="147">
        <v>0</v>
      </c>
      <c r="W492" s="147">
        <v>79.854157215996224</v>
      </c>
      <c r="X492" s="147">
        <v>0</v>
      </c>
      <c r="Y492" s="147">
        <v>0</v>
      </c>
      <c r="Z492" s="147">
        <v>0</v>
      </c>
      <c r="AA492" s="147">
        <v>21.443663045111986</v>
      </c>
      <c r="AB492" s="147">
        <v>0</v>
      </c>
      <c r="AC492" s="147">
        <v>0</v>
      </c>
      <c r="AD492" s="147">
        <v>0</v>
      </c>
      <c r="AE492" s="147">
        <v>79.854157215996224</v>
      </c>
      <c r="AF492" s="147">
        <v>0</v>
      </c>
      <c r="AG492" s="147">
        <v>0</v>
      </c>
      <c r="AH492" s="147">
        <v>0</v>
      </c>
      <c r="AI492" s="147">
        <v>81.604093105028923</v>
      </c>
      <c r="AJ492" s="147">
        <v>0</v>
      </c>
      <c r="AK492" s="147">
        <v>0</v>
      </c>
      <c r="AL492" s="147">
        <v>0</v>
      </c>
      <c r="AM492" s="147">
        <v>79.854157215996224</v>
      </c>
      <c r="AN492" s="147">
        <v>0</v>
      </c>
      <c r="AO492" s="147">
        <v>0</v>
      </c>
      <c r="AP492" s="147">
        <v>342.61022779812959</v>
      </c>
    </row>
    <row r="493" spans="2:42" ht="12.75" customHeight="1">
      <c r="B493" s="122" t="str">
        <v>Pórticos 1 e 2 (BR-356)</v>
      </c>
      <c r="C493" s="329" t="str">
        <v>3</v>
      </c>
      <c r="D493" s="329" t="str">
        <v>3.10</v>
      </c>
      <c r="E493" s="329">
        <v>1</v>
      </c>
      <c r="F493" s="329">
        <v>0</v>
      </c>
      <c r="G493" s="122" t="str">
        <v>Projetos (%)</v>
      </c>
      <c r="H493" s="122" t="b">
        <v>0</v>
      </c>
      <c r="I493" s="122" t="b">
        <v>0</v>
      </c>
      <c r="J493" s="122" t="b">
        <v>0</v>
      </c>
      <c r="K493" s="122" t="b">
        <v>1</v>
      </c>
      <c r="L493" s="147">
        <v>0</v>
      </c>
      <c r="M493" s="147">
        <v>0</v>
      </c>
      <c r="N493" s="147">
        <v>0</v>
      </c>
      <c r="O493" s="147">
        <v>0</v>
      </c>
      <c r="P493" s="147">
        <v>0</v>
      </c>
      <c r="Q493" s="147">
        <v>0</v>
      </c>
      <c r="R493" s="147">
        <v>0</v>
      </c>
      <c r="S493" s="147">
        <v>0</v>
      </c>
      <c r="T493" s="147">
        <v>0</v>
      </c>
      <c r="U493" s="147">
        <v>0</v>
      </c>
      <c r="V493" s="147">
        <v>0</v>
      </c>
      <c r="W493" s="147">
        <v>34419.895351722509</v>
      </c>
      <c r="X493" s="147">
        <v>0</v>
      </c>
      <c r="Y493" s="147">
        <v>0</v>
      </c>
      <c r="Z493" s="147">
        <v>0</v>
      </c>
      <c r="AA493" s="147">
        <v>9242.9582090999938</v>
      </c>
      <c r="AB493" s="147">
        <v>0</v>
      </c>
      <c r="AC493" s="147">
        <v>0</v>
      </c>
      <c r="AD493" s="147">
        <v>0</v>
      </c>
      <c r="AE493" s="147">
        <v>34419.895351722509</v>
      </c>
      <c r="AF493" s="147">
        <v>0</v>
      </c>
      <c r="AG493" s="147">
        <v>0</v>
      </c>
      <c r="AH493" s="147">
        <v>0</v>
      </c>
      <c r="AI493" s="147">
        <v>35174.178062512474</v>
      </c>
      <c r="AJ493" s="147">
        <v>0</v>
      </c>
      <c r="AK493" s="147">
        <v>0</v>
      </c>
      <c r="AL493" s="147">
        <v>0</v>
      </c>
      <c r="AM493" s="147">
        <v>34419.895351722509</v>
      </c>
      <c r="AN493" s="147">
        <v>0</v>
      </c>
      <c r="AO493" s="147">
        <v>0</v>
      </c>
      <c r="AP493" s="147">
        <v>147676.82232678001</v>
      </c>
    </row>
    <row r="494" spans="2:42" ht="12.75" customHeight="1">
      <c r="B494" s="122" t="str">
        <v>Pórtico 3 (MG-262)</v>
      </c>
      <c r="C494" s="329" t="str">
        <v>1</v>
      </c>
      <c r="D494" s="329">
        <v>1</v>
      </c>
      <c r="E494" s="329">
        <v>0</v>
      </c>
      <c r="F494" s="329">
        <v>0</v>
      </c>
      <c r="G494" s="122" t="str">
        <v>Trabalhos iniciais</v>
      </c>
      <c r="H494" s="122" t="b">
        <v>0</v>
      </c>
      <c r="I494" s="122" t="b">
        <v>0</v>
      </c>
      <c r="J494" s="122" t="b">
        <v>0</v>
      </c>
      <c r="K494" s="122" t="b">
        <v>1</v>
      </c>
      <c r="L494" s="147">
        <v>0</v>
      </c>
      <c r="M494" s="147">
        <v>0</v>
      </c>
      <c r="N494" s="147">
        <v>0</v>
      </c>
      <c r="O494" s="147">
        <v>0</v>
      </c>
      <c r="P494" s="147">
        <v>0</v>
      </c>
      <c r="Q494" s="147">
        <v>0</v>
      </c>
      <c r="R494" s="147">
        <v>0</v>
      </c>
      <c r="S494" s="147">
        <v>0</v>
      </c>
      <c r="T494" s="147">
        <v>0</v>
      </c>
      <c r="U494" s="147">
        <v>0</v>
      </c>
      <c r="V494" s="147">
        <v>0</v>
      </c>
      <c r="W494" s="147">
        <v>0</v>
      </c>
      <c r="X494" s="147">
        <v>0</v>
      </c>
      <c r="Y494" s="147">
        <v>0</v>
      </c>
      <c r="Z494" s="147">
        <v>0</v>
      </c>
      <c r="AA494" s="147">
        <v>0</v>
      </c>
      <c r="AB494" s="147">
        <v>0</v>
      </c>
      <c r="AC494" s="147">
        <v>0</v>
      </c>
      <c r="AD494" s="147">
        <v>0</v>
      </c>
      <c r="AE494" s="147">
        <v>0</v>
      </c>
      <c r="AF494" s="147">
        <v>0</v>
      </c>
      <c r="AG494" s="147">
        <v>0</v>
      </c>
      <c r="AH494" s="147">
        <v>0</v>
      </c>
      <c r="AI494" s="147">
        <v>0</v>
      </c>
      <c r="AJ494" s="147">
        <v>0</v>
      </c>
      <c r="AK494" s="147">
        <v>0</v>
      </c>
      <c r="AL494" s="147">
        <v>0</v>
      </c>
      <c r="AM494" s="147">
        <v>0</v>
      </c>
      <c r="AN494" s="147">
        <v>0</v>
      </c>
      <c r="AO494" s="147">
        <v>0</v>
      </c>
      <c r="AP494" s="147">
        <v>0</v>
      </c>
    </row>
    <row r="495" spans="2:42" ht="12.75" customHeight="1">
      <c r="B495" s="122" t="str">
        <v>Pórtico 3 (MG-262)</v>
      </c>
      <c r="C495" s="329" t="str">
        <v>1</v>
      </c>
      <c r="D495" s="329" t="str">
        <v>1.1</v>
      </c>
      <c r="E495" s="329">
        <v>1</v>
      </c>
      <c r="F495" s="329">
        <v>0</v>
      </c>
      <c r="G495" s="122" t="str">
        <v>Pavimento</v>
      </c>
      <c r="H495" s="122" t="b">
        <v>0</v>
      </c>
      <c r="I495" s="122" t="b">
        <v>0</v>
      </c>
      <c r="J495" s="122" t="b">
        <v>0</v>
      </c>
      <c r="K495" s="122" t="b">
        <v>1</v>
      </c>
      <c r="L495" s="147">
        <v>58519973.581390366</v>
      </c>
      <c r="M495" s="147">
        <v>0</v>
      </c>
      <c r="N495" s="147">
        <v>0</v>
      </c>
      <c r="O495" s="147">
        <v>0</v>
      </c>
      <c r="P495" s="147">
        <v>0</v>
      </c>
      <c r="Q495" s="147">
        <v>0</v>
      </c>
      <c r="R495" s="147">
        <v>0</v>
      </c>
      <c r="S495" s="147">
        <v>0</v>
      </c>
      <c r="T495" s="147">
        <v>0</v>
      </c>
      <c r="U495" s="147">
        <v>0</v>
      </c>
      <c r="V495" s="147">
        <v>0</v>
      </c>
      <c r="W495" s="147">
        <v>0</v>
      </c>
      <c r="X495" s="147">
        <v>0</v>
      </c>
      <c r="Y495" s="147">
        <v>0</v>
      </c>
      <c r="Z495" s="147">
        <v>0</v>
      </c>
      <c r="AA495" s="147">
        <v>0</v>
      </c>
      <c r="AB495" s="147">
        <v>0</v>
      </c>
      <c r="AC495" s="147">
        <v>0</v>
      </c>
      <c r="AD495" s="147">
        <v>0</v>
      </c>
      <c r="AE495" s="147">
        <v>0</v>
      </c>
      <c r="AF495" s="147">
        <v>0</v>
      </c>
      <c r="AG495" s="147">
        <v>0</v>
      </c>
      <c r="AH495" s="147">
        <v>0</v>
      </c>
      <c r="AI495" s="147">
        <v>0</v>
      </c>
      <c r="AJ495" s="147">
        <v>0</v>
      </c>
      <c r="AK495" s="147">
        <v>0</v>
      </c>
      <c r="AL495" s="147">
        <v>0</v>
      </c>
      <c r="AM495" s="147">
        <v>0</v>
      </c>
      <c r="AN495" s="147">
        <v>0</v>
      </c>
      <c r="AO495" s="147">
        <v>0</v>
      </c>
      <c r="AP495" s="147">
        <v>58519973.581390366</v>
      </c>
    </row>
    <row r="496" spans="2:42" ht="12.75" customHeight="1">
      <c r="B496" s="122" t="str">
        <v>Pórtico 3 (MG-262)</v>
      </c>
      <c r="C496" s="329" t="str">
        <v>1</v>
      </c>
      <c r="D496" s="329" t="str">
        <v>1.2</v>
      </c>
      <c r="E496" s="329">
        <v>1</v>
      </c>
      <c r="F496" s="329">
        <v>0</v>
      </c>
      <c r="G496" s="122" t="str">
        <v>Obras de arte especiais</v>
      </c>
      <c r="H496" s="122" t="b">
        <v>0</v>
      </c>
      <c r="I496" s="122" t="b">
        <v>0</v>
      </c>
      <c r="J496" s="122" t="b">
        <v>0</v>
      </c>
      <c r="K496" s="122" t="b">
        <v>1</v>
      </c>
      <c r="L496" s="147">
        <v>1955815.9098980527</v>
      </c>
      <c r="M496" s="147">
        <v>0</v>
      </c>
      <c r="N496" s="147">
        <v>0</v>
      </c>
      <c r="O496" s="147">
        <v>0</v>
      </c>
      <c r="P496" s="147">
        <v>0</v>
      </c>
      <c r="Q496" s="147">
        <v>0</v>
      </c>
      <c r="R496" s="147">
        <v>0</v>
      </c>
      <c r="S496" s="147">
        <v>0</v>
      </c>
      <c r="T496" s="147">
        <v>0</v>
      </c>
      <c r="U496" s="147">
        <v>0</v>
      </c>
      <c r="V496" s="147">
        <v>0</v>
      </c>
      <c r="W496" s="147">
        <v>0</v>
      </c>
      <c r="X496" s="147">
        <v>0</v>
      </c>
      <c r="Y496" s="147">
        <v>0</v>
      </c>
      <c r="Z496" s="147">
        <v>0</v>
      </c>
      <c r="AA496" s="147">
        <v>0</v>
      </c>
      <c r="AB496" s="147">
        <v>0</v>
      </c>
      <c r="AC496" s="147">
        <v>0</v>
      </c>
      <c r="AD496" s="147">
        <v>0</v>
      </c>
      <c r="AE496" s="147">
        <v>0</v>
      </c>
      <c r="AF496" s="147">
        <v>0</v>
      </c>
      <c r="AG496" s="147">
        <v>0</v>
      </c>
      <c r="AH496" s="147">
        <v>0</v>
      </c>
      <c r="AI496" s="147">
        <v>0</v>
      </c>
      <c r="AJ496" s="147">
        <v>0</v>
      </c>
      <c r="AK496" s="147">
        <v>0</v>
      </c>
      <c r="AL496" s="147">
        <v>0</v>
      </c>
      <c r="AM496" s="147">
        <v>0</v>
      </c>
      <c r="AN496" s="147">
        <v>0</v>
      </c>
      <c r="AO496" s="147">
        <v>0</v>
      </c>
      <c r="AP496" s="147">
        <v>1955815.9098980527</v>
      </c>
    </row>
    <row r="497" spans="2:42" ht="12.75" customHeight="1">
      <c r="B497" s="122" t="str">
        <v>Pórtico 3 (MG-262)</v>
      </c>
      <c r="C497" s="329" t="str">
        <v>1</v>
      </c>
      <c r="D497" s="329" t="str">
        <v>1.3</v>
      </c>
      <c r="E497" s="329">
        <v>1</v>
      </c>
      <c r="F497" s="329">
        <v>0</v>
      </c>
      <c r="G497" s="122" t="str">
        <v>Drenagem e obras de arte correntes</v>
      </c>
      <c r="H497" s="122" t="b">
        <v>0</v>
      </c>
      <c r="I497" s="122" t="b">
        <v>0</v>
      </c>
      <c r="J497" s="122" t="b">
        <v>0</v>
      </c>
      <c r="K497" s="122" t="b">
        <v>1</v>
      </c>
      <c r="L497" s="147">
        <v>1990042.9727171622</v>
      </c>
      <c r="M497" s="147">
        <v>0</v>
      </c>
      <c r="N497" s="147">
        <v>0</v>
      </c>
      <c r="O497" s="147">
        <v>0</v>
      </c>
      <c r="P497" s="147">
        <v>0</v>
      </c>
      <c r="Q497" s="147">
        <v>0</v>
      </c>
      <c r="R497" s="147">
        <v>0</v>
      </c>
      <c r="S497" s="147">
        <v>0</v>
      </c>
      <c r="T497" s="147">
        <v>0</v>
      </c>
      <c r="U497" s="147">
        <v>0</v>
      </c>
      <c r="V497" s="147">
        <v>0</v>
      </c>
      <c r="W497" s="147">
        <v>0</v>
      </c>
      <c r="X497" s="147">
        <v>0</v>
      </c>
      <c r="Y497" s="147">
        <v>0</v>
      </c>
      <c r="Z497" s="147">
        <v>0</v>
      </c>
      <c r="AA497" s="147">
        <v>0</v>
      </c>
      <c r="AB497" s="147">
        <v>0</v>
      </c>
      <c r="AC497" s="147">
        <v>0</v>
      </c>
      <c r="AD497" s="147">
        <v>0</v>
      </c>
      <c r="AE497" s="147">
        <v>0</v>
      </c>
      <c r="AF497" s="147">
        <v>0</v>
      </c>
      <c r="AG497" s="147">
        <v>0</v>
      </c>
      <c r="AH497" s="147">
        <v>0</v>
      </c>
      <c r="AI497" s="147">
        <v>0</v>
      </c>
      <c r="AJ497" s="147">
        <v>0</v>
      </c>
      <c r="AK497" s="147">
        <v>0</v>
      </c>
      <c r="AL497" s="147">
        <v>0</v>
      </c>
      <c r="AM497" s="147">
        <v>0</v>
      </c>
      <c r="AN497" s="147">
        <v>0</v>
      </c>
      <c r="AO497" s="147">
        <v>0</v>
      </c>
      <c r="AP497" s="147">
        <v>1990042.9727171622</v>
      </c>
    </row>
    <row r="498" spans="2:42" ht="12.75" customHeight="1">
      <c r="B498" s="122" t="str">
        <v>Pórtico 3 (MG-262)</v>
      </c>
      <c r="C498" s="329" t="str">
        <v>1</v>
      </c>
      <c r="D498" s="329" t="str">
        <v>1.4</v>
      </c>
      <c r="E498" s="329">
        <v>1</v>
      </c>
      <c r="F498" s="329">
        <v>0</v>
      </c>
      <c r="G498" s="122" t="str">
        <v xml:space="preserve">Sinalização e dispositivos de proteção e segurança </v>
      </c>
      <c r="H498" s="122" t="b">
        <v>0</v>
      </c>
      <c r="I498" s="122" t="b">
        <v>0</v>
      </c>
      <c r="J498" s="122" t="b">
        <v>0</v>
      </c>
      <c r="K498" s="122" t="b">
        <v>1</v>
      </c>
      <c r="L498" s="147">
        <v>7010532.5804294581</v>
      </c>
      <c r="M498" s="147">
        <v>0</v>
      </c>
      <c r="N498" s="147">
        <v>0</v>
      </c>
      <c r="O498" s="147">
        <v>0</v>
      </c>
      <c r="P498" s="147">
        <v>0</v>
      </c>
      <c r="Q498" s="147">
        <v>0</v>
      </c>
      <c r="R498" s="147">
        <v>0</v>
      </c>
      <c r="S498" s="147">
        <v>0</v>
      </c>
      <c r="T498" s="147">
        <v>0</v>
      </c>
      <c r="U498" s="147">
        <v>0</v>
      </c>
      <c r="V498" s="147">
        <v>0</v>
      </c>
      <c r="W498" s="147">
        <v>0</v>
      </c>
      <c r="X498" s="147">
        <v>0</v>
      </c>
      <c r="Y498" s="147">
        <v>0</v>
      </c>
      <c r="Z498" s="147">
        <v>0</v>
      </c>
      <c r="AA498" s="147">
        <v>0</v>
      </c>
      <c r="AB498" s="147">
        <v>0</v>
      </c>
      <c r="AC498" s="147">
        <v>0</v>
      </c>
      <c r="AD498" s="147">
        <v>0</v>
      </c>
      <c r="AE498" s="147">
        <v>0</v>
      </c>
      <c r="AF498" s="147">
        <v>0</v>
      </c>
      <c r="AG498" s="147">
        <v>0</v>
      </c>
      <c r="AH498" s="147">
        <v>0</v>
      </c>
      <c r="AI498" s="147">
        <v>0</v>
      </c>
      <c r="AJ498" s="147">
        <v>0</v>
      </c>
      <c r="AK498" s="147">
        <v>0</v>
      </c>
      <c r="AL498" s="147">
        <v>0</v>
      </c>
      <c r="AM498" s="147">
        <v>0</v>
      </c>
      <c r="AN498" s="147">
        <v>0</v>
      </c>
      <c r="AO498" s="147">
        <v>0</v>
      </c>
      <c r="AP498" s="147">
        <v>7010532.5804294581</v>
      </c>
    </row>
    <row r="499" spans="2:42" ht="12.75" customHeight="1">
      <c r="B499" s="122" t="str">
        <v>Pórtico 3 (MG-262)</v>
      </c>
      <c r="C499" s="329" t="str">
        <v>1</v>
      </c>
      <c r="D499" s="329" t="str">
        <v>1.5</v>
      </c>
      <c r="E499" s="329">
        <v>1</v>
      </c>
      <c r="F499" s="329">
        <v>0</v>
      </c>
      <c r="G499" s="122" t="str">
        <v>Terraplenos e estrutura de contenção</v>
      </c>
      <c r="H499" s="122" t="b">
        <v>0</v>
      </c>
      <c r="I499" s="122" t="b">
        <v>0</v>
      </c>
      <c r="J499" s="122" t="b">
        <v>0</v>
      </c>
      <c r="K499" s="122" t="b">
        <v>1</v>
      </c>
      <c r="L499" s="147">
        <v>0</v>
      </c>
      <c r="M499" s="147">
        <v>0</v>
      </c>
      <c r="N499" s="147">
        <v>0</v>
      </c>
      <c r="O499" s="147">
        <v>0</v>
      </c>
      <c r="P499" s="147">
        <v>0</v>
      </c>
      <c r="Q499" s="147">
        <v>0</v>
      </c>
      <c r="R499" s="147">
        <v>0</v>
      </c>
      <c r="S499" s="147">
        <v>0</v>
      </c>
      <c r="T499" s="147">
        <v>0</v>
      </c>
      <c r="U499" s="147">
        <v>0</v>
      </c>
      <c r="V499" s="147">
        <v>0</v>
      </c>
      <c r="W499" s="147">
        <v>0</v>
      </c>
      <c r="X499" s="147">
        <v>0</v>
      </c>
      <c r="Y499" s="147">
        <v>0</v>
      </c>
      <c r="Z499" s="147">
        <v>0</v>
      </c>
      <c r="AA499" s="147">
        <v>0</v>
      </c>
      <c r="AB499" s="147">
        <v>0</v>
      </c>
      <c r="AC499" s="147">
        <v>0</v>
      </c>
      <c r="AD499" s="147">
        <v>0</v>
      </c>
      <c r="AE499" s="147">
        <v>0</v>
      </c>
      <c r="AF499" s="147">
        <v>0</v>
      </c>
      <c r="AG499" s="147">
        <v>0</v>
      </c>
      <c r="AH499" s="147">
        <v>0</v>
      </c>
      <c r="AI499" s="147">
        <v>0</v>
      </c>
      <c r="AJ499" s="147">
        <v>0</v>
      </c>
      <c r="AK499" s="147">
        <v>0</v>
      </c>
      <c r="AL499" s="147">
        <v>0</v>
      </c>
      <c r="AM499" s="147">
        <v>0</v>
      </c>
      <c r="AN499" s="147">
        <v>0</v>
      </c>
      <c r="AO499" s="147">
        <v>0</v>
      </c>
      <c r="AP499" s="147">
        <v>0</v>
      </c>
    </row>
    <row r="500" spans="2:42" ht="12.75" customHeight="1">
      <c r="B500" s="122" t="str">
        <v>Pórtico 3 (MG-262)</v>
      </c>
      <c r="C500" s="329" t="str">
        <v>1</v>
      </c>
      <c r="D500" s="329" t="str">
        <v>1.6</v>
      </c>
      <c r="E500" s="329">
        <v>1</v>
      </c>
      <c r="F500" s="329">
        <v>0</v>
      </c>
      <c r="G500" s="122" t="str">
        <v>Sistemas elétricos e de iluminação</v>
      </c>
      <c r="H500" s="122" t="b">
        <v>0</v>
      </c>
      <c r="I500" s="122" t="b">
        <v>0</v>
      </c>
      <c r="J500" s="122" t="b">
        <v>0</v>
      </c>
      <c r="K500" s="122" t="b">
        <v>1</v>
      </c>
      <c r="L500" s="147">
        <v>69206.659928697816</v>
      </c>
      <c r="M500" s="147">
        <v>0</v>
      </c>
      <c r="N500" s="147">
        <v>0</v>
      </c>
      <c r="O500" s="147">
        <v>0</v>
      </c>
      <c r="P500" s="147">
        <v>0</v>
      </c>
      <c r="Q500" s="147">
        <v>0</v>
      </c>
      <c r="R500" s="147">
        <v>0</v>
      </c>
      <c r="S500" s="147">
        <v>0</v>
      </c>
      <c r="T500" s="147">
        <v>0</v>
      </c>
      <c r="U500" s="147">
        <v>0</v>
      </c>
      <c r="V500" s="147">
        <v>0</v>
      </c>
      <c r="W500" s="147">
        <v>0</v>
      </c>
      <c r="X500" s="147">
        <v>0</v>
      </c>
      <c r="Y500" s="147">
        <v>0</v>
      </c>
      <c r="Z500" s="147">
        <v>0</v>
      </c>
      <c r="AA500" s="147">
        <v>0</v>
      </c>
      <c r="AB500" s="147">
        <v>0</v>
      </c>
      <c r="AC500" s="147">
        <v>0</v>
      </c>
      <c r="AD500" s="147">
        <v>0</v>
      </c>
      <c r="AE500" s="147">
        <v>0</v>
      </c>
      <c r="AF500" s="147">
        <v>0</v>
      </c>
      <c r="AG500" s="147">
        <v>0</v>
      </c>
      <c r="AH500" s="147">
        <v>0</v>
      </c>
      <c r="AI500" s="147">
        <v>0</v>
      </c>
      <c r="AJ500" s="147">
        <v>0</v>
      </c>
      <c r="AK500" s="147">
        <v>0</v>
      </c>
      <c r="AL500" s="147">
        <v>0</v>
      </c>
      <c r="AM500" s="147">
        <v>0</v>
      </c>
      <c r="AN500" s="147">
        <v>0</v>
      </c>
      <c r="AO500" s="147">
        <v>0</v>
      </c>
      <c r="AP500" s="147">
        <v>69206.659928697816</v>
      </c>
    </row>
    <row r="501" spans="2:42" ht="12.75" customHeight="1">
      <c r="B501" s="122" t="str">
        <v>Pórtico 3 (MG-262)</v>
      </c>
      <c r="C501" s="329" t="str">
        <v>1</v>
      </c>
      <c r="D501" s="329" t="str">
        <v>1.7</v>
      </c>
      <c r="E501" s="329">
        <v>1</v>
      </c>
      <c r="F501" s="329">
        <v>0</v>
      </c>
      <c r="G501" s="122" t="str">
        <v>Canteiro central e faixa de domínio</v>
      </c>
      <c r="H501" s="122" t="b">
        <v>0</v>
      </c>
      <c r="I501" s="122" t="b">
        <v>0</v>
      </c>
      <c r="J501" s="122" t="b">
        <v>0</v>
      </c>
      <c r="K501" s="122" t="b">
        <v>1</v>
      </c>
      <c r="L501" s="147">
        <v>566483.78506027791</v>
      </c>
      <c r="M501" s="147">
        <v>0</v>
      </c>
      <c r="N501" s="147">
        <v>0</v>
      </c>
      <c r="O501" s="147">
        <v>0</v>
      </c>
      <c r="P501" s="147">
        <v>0</v>
      </c>
      <c r="Q501" s="147">
        <v>0</v>
      </c>
      <c r="R501" s="147">
        <v>0</v>
      </c>
      <c r="S501" s="147">
        <v>0</v>
      </c>
      <c r="T501" s="147">
        <v>0</v>
      </c>
      <c r="U501" s="147">
        <v>0</v>
      </c>
      <c r="V501" s="147">
        <v>0</v>
      </c>
      <c r="W501" s="147">
        <v>0</v>
      </c>
      <c r="X501" s="147">
        <v>0</v>
      </c>
      <c r="Y501" s="147">
        <v>0</v>
      </c>
      <c r="Z501" s="147">
        <v>0</v>
      </c>
      <c r="AA501" s="147">
        <v>0</v>
      </c>
      <c r="AB501" s="147">
        <v>0</v>
      </c>
      <c r="AC501" s="147">
        <v>0</v>
      </c>
      <c r="AD501" s="147">
        <v>0</v>
      </c>
      <c r="AE501" s="147">
        <v>0</v>
      </c>
      <c r="AF501" s="147">
        <v>0</v>
      </c>
      <c r="AG501" s="147">
        <v>0</v>
      </c>
      <c r="AH501" s="147">
        <v>0</v>
      </c>
      <c r="AI501" s="147">
        <v>0</v>
      </c>
      <c r="AJ501" s="147">
        <v>0</v>
      </c>
      <c r="AK501" s="147">
        <v>0</v>
      </c>
      <c r="AL501" s="147">
        <v>0</v>
      </c>
      <c r="AM501" s="147">
        <v>0</v>
      </c>
      <c r="AN501" s="147">
        <v>0</v>
      </c>
      <c r="AO501" s="147">
        <v>0</v>
      </c>
      <c r="AP501" s="147">
        <v>566483.78506027791</v>
      </c>
    </row>
    <row r="502" spans="2:42" ht="12.75" customHeight="1">
      <c r="B502" s="122" t="str">
        <v>Pórtico 3 (MG-262)</v>
      </c>
      <c r="C502" s="329" t="str">
        <v>1</v>
      </c>
      <c r="D502" s="329" t="str">
        <v>1.8</v>
      </c>
      <c r="E502" s="329">
        <v>1</v>
      </c>
      <c r="F502" s="329">
        <v>0</v>
      </c>
      <c r="G502" s="122" t="str">
        <v>Administração local (%)</v>
      </c>
      <c r="H502" s="122" t="b">
        <v>0</v>
      </c>
      <c r="I502" s="122" t="b">
        <v>0</v>
      </c>
      <c r="J502" s="122" t="b">
        <v>0</v>
      </c>
      <c r="K502" s="122" t="b">
        <v>1</v>
      </c>
      <c r="L502" s="147">
        <v>862378.28251991549</v>
      </c>
      <c r="M502" s="147">
        <v>0</v>
      </c>
      <c r="N502" s="147">
        <v>0</v>
      </c>
      <c r="O502" s="147">
        <v>0</v>
      </c>
      <c r="P502" s="147">
        <v>0</v>
      </c>
      <c r="Q502" s="147">
        <v>0</v>
      </c>
      <c r="R502" s="147">
        <v>0</v>
      </c>
      <c r="S502" s="147">
        <v>0</v>
      </c>
      <c r="T502" s="147">
        <v>0</v>
      </c>
      <c r="U502" s="147">
        <v>0</v>
      </c>
      <c r="V502" s="147">
        <v>0</v>
      </c>
      <c r="W502" s="147">
        <v>0</v>
      </c>
      <c r="X502" s="147">
        <v>0</v>
      </c>
      <c r="Y502" s="147">
        <v>0</v>
      </c>
      <c r="Z502" s="147">
        <v>0</v>
      </c>
      <c r="AA502" s="147">
        <v>0</v>
      </c>
      <c r="AB502" s="147">
        <v>0</v>
      </c>
      <c r="AC502" s="147">
        <v>0</v>
      </c>
      <c r="AD502" s="147">
        <v>0</v>
      </c>
      <c r="AE502" s="147">
        <v>0</v>
      </c>
      <c r="AF502" s="147">
        <v>0</v>
      </c>
      <c r="AG502" s="147">
        <v>0</v>
      </c>
      <c r="AH502" s="147">
        <v>0</v>
      </c>
      <c r="AI502" s="147">
        <v>0</v>
      </c>
      <c r="AJ502" s="147">
        <v>0</v>
      </c>
      <c r="AK502" s="147">
        <v>0</v>
      </c>
      <c r="AL502" s="147">
        <v>0</v>
      </c>
      <c r="AM502" s="147">
        <v>0</v>
      </c>
      <c r="AN502" s="147">
        <v>0</v>
      </c>
      <c r="AO502" s="147">
        <v>0</v>
      </c>
      <c r="AP502" s="147">
        <v>862378.28251991549</v>
      </c>
    </row>
    <row r="503" spans="2:42" ht="12.75" customHeight="1">
      <c r="B503" s="122" t="str">
        <v>Pórtico 3 (MG-262)</v>
      </c>
      <c r="C503" s="329" t="str">
        <v>1</v>
      </c>
      <c r="D503" s="329" t="str">
        <v>1.9</v>
      </c>
      <c r="E503" s="329">
        <v>1</v>
      </c>
      <c r="F503" s="329">
        <v>0</v>
      </c>
      <c r="G503" s="122" t="str">
        <v>Canteiro de obras (%)</v>
      </c>
      <c r="H503" s="122" t="b">
        <v>0</v>
      </c>
      <c r="I503" s="122" t="b">
        <v>0</v>
      </c>
      <c r="J503" s="122" t="b">
        <v>0</v>
      </c>
      <c r="K503" s="122" t="b">
        <v>1</v>
      </c>
      <c r="L503" s="147">
        <v>217347.37201721445</v>
      </c>
      <c r="M503" s="147">
        <v>0</v>
      </c>
      <c r="N503" s="147">
        <v>0</v>
      </c>
      <c r="O503" s="147">
        <v>0</v>
      </c>
      <c r="P503" s="147">
        <v>0</v>
      </c>
      <c r="Q503" s="147">
        <v>0</v>
      </c>
      <c r="R503" s="147">
        <v>0</v>
      </c>
      <c r="S503" s="147">
        <v>0</v>
      </c>
      <c r="T503" s="147">
        <v>0</v>
      </c>
      <c r="U503" s="147">
        <v>0</v>
      </c>
      <c r="V503" s="147">
        <v>0</v>
      </c>
      <c r="W503" s="147">
        <v>0</v>
      </c>
      <c r="X503" s="147">
        <v>0</v>
      </c>
      <c r="Y503" s="147">
        <v>0</v>
      </c>
      <c r="Z503" s="147">
        <v>0</v>
      </c>
      <c r="AA503" s="147">
        <v>0</v>
      </c>
      <c r="AB503" s="147">
        <v>0</v>
      </c>
      <c r="AC503" s="147">
        <v>0</v>
      </c>
      <c r="AD503" s="147">
        <v>0</v>
      </c>
      <c r="AE503" s="147">
        <v>0</v>
      </c>
      <c r="AF503" s="147">
        <v>0</v>
      </c>
      <c r="AG503" s="147">
        <v>0</v>
      </c>
      <c r="AH503" s="147">
        <v>0</v>
      </c>
      <c r="AI503" s="147">
        <v>0</v>
      </c>
      <c r="AJ503" s="147">
        <v>0</v>
      </c>
      <c r="AK503" s="147">
        <v>0</v>
      </c>
      <c r="AL503" s="147">
        <v>0</v>
      </c>
      <c r="AM503" s="147">
        <v>0</v>
      </c>
      <c r="AN503" s="147">
        <v>0</v>
      </c>
      <c r="AO503" s="147">
        <v>0</v>
      </c>
      <c r="AP503" s="147">
        <v>217347.37201721445</v>
      </c>
    </row>
    <row r="504" spans="2:42" ht="12.75" customHeight="1">
      <c r="B504" s="122" t="str">
        <v>Pórtico 3 (MG-262)</v>
      </c>
      <c r="C504" s="329" t="str">
        <v>1</v>
      </c>
      <c r="D504" s="329" t="str">
        <v>1.10</v>
      </c>
      <c r="E504" s="329">
        <v>1</v>
      </c>
      <c r="F504" s="329">
        <v>0</v>
      </c>
      <c r="G504" s="122" t="str">
        <v>Mobilização e desmobilização (%)</v>
      </c>
      <c r="H504" s="122" t="b">
        <v>0</v>
      </c>
      <c r="I504" s="122" t="b">
        <v>0</v>
      </c>
      <c r="J504" s="122" t="b">
        <v>0</v>
      </c>
      <c r="K504" s="122" t="b">
        <v>1</v>
      </c>
      <c r="L504" s="147">
        <v>4066.4992183865929</v>
      </c>
      <c r="M504" s="147">
        <v>0</v>
      </c>
      <c r="N504" s="147">
        <v>0</v>
      </c>
      <c r="O504" s="147">
        <v>0</v>
      </c>
      <c r="P504" s="147">
        <v>0</v>
      </c>
      <c r="Q504" s="147">
        <v>0</v>
      </c>
      <c r="R504" s="147">
        <v>0</v>
      </c>
      <c r="S504" s="147">
        <v>0</v>
      </c>
      <c r="T504" s="147">
        <v>0</v>
      </c>
      <c r="U504" s="147">
        <v>0</v>
      </c>
      <c r="V504" s="147">
        <v>0</v>
      </c>
      <c r="W504" s="147">
        <v>0</v>
      </c>
      <c r="X504" s="147">
        <v>0</v>
      </c>
      <c r="Y504" s="147">
        <v>0</v>
      </c>
      <c r="Z504" s="147">
        <v>0</v>
      </c>
      <c r="AA504" s="147">
        <v>0</v>
      </c>
      <c r="AB504" s="147">
        <v>0</v>
      </c>
      <c r="AC504" s="147">
        <v>0</v>
      </c>
      <c r="AD504" s="147">
        <v>0</v>
      </c>
      <c r="AE504" s="147">
        <v>0</v>
      </c>
      <c r="AF504" s="147">
        <v>0</v>
      </c>
      <c r="AG504" s="147">
        <v>0</v>
      </c>
      <c r="AH504" s="147">
        <v>0</v>
      </c>
      <c r="AI504" s="147">
        <v>0</v>
      </c>
      <c r="AJ504" s="147">
        <v>0</v>
      </c>
      <c r="AK504" s="147">
        <v>0</v>
      </c>
      <c r="AL504" s="147">
        <v>0</v>
      </c>
      <c r="AM504" s="147">
        <v>0</v>
      </c>
      <c r="AN504" s="147">
        <v>0</v>
      </c>
      <c r="AO504" s="147">
        <v>0</v>
      </c>
      <c r="AP504" s="147">
        <v>4066.4992183865929</v>
      </c>
    </row>
    <row r="505" spans="2:42" ht="12.75" customHeight="1">
      <c r="B505" s="122" t="str">
        <v>Pórtico 3 (MG-262)</v>
      </c>
      <c r="C505" s="329" t="str">
        <v>1</v>
      </c>
      <c r="D505" s="329" t="str">
        <v>1.11</v>
      </c>
      <c r="E505" s="329">
        <v>1</v>
      </c>
      <c r="F505" s="329">
        <v>0</v>
      </c>
      <c r="G505" s="122" t="str">
        <v>Projetos (%)</v>
      </c>
      <c r="H505" s="122" t="b">
        <v>0</v>
      </c>
      <c r="I505" s="122" t="b">
        <v>0</v>
      </c>
      <c r="J505" s="122" t="b">
        <v>0</v>
      </c>
      <c r="K505" s="122" t="b">
        <v>1</v>
      </c>
      <c r="L505" s="147">
        <v>1752801.3872356005</v>
      </c>
      <c r="M505" s="147">
        <v>0</v>
      </c>
      <c r="N505" s="147">
        <v>0</v>
      </c>
      <c r="O505" s="147">
        <v>0</v>
      </c>
      <c r="P505" s="147">
        <v>0</v>
      </c>
      <c r="Q505" s="147">
        <v>0</v>
      </c>
      <c r="R505" s="147">
        <v>0</v>
      </c>
      <c r="S505" s="147">
        <v>0</v>
      </c>
      <c r="T505" s="147">
        <v>0</v>
      </c>
      <c r="U505" s="147">
        <v>0</v>
      </c>
      <c r="V505" s="147">
        <v>0</v>
      </c>
      <c r="W505" s="147">
        <v>0</v>
      </c>
      <c r="X505" s="147">
        <v>0</v>
      </c>
      <c r="Y505" s="147">
        <v>0</v>
      </c>
      <c r="Z505" s="147">
        <v>0</v>
      </c>
      <c r="AA505" s="147">
        <v>0</v>
      </c>
      <c r="AB505" s="147">
        <v>0</v>
      </c>
      <c r="AC505" s="147">
        <v>0</v>
      </c>
      <c r="AD505" s="147">
        <v>0</v>
      </c>
      <c r="AE505" s="147">
        <v>0</v>
      </c>
      <c r="AF505" s="147">
        <v>0</v>
      </c>
      <c r="AG505" s="147">
        <v>0</v>
      </c>
      <c r="AH505" s="147">
        <v>0</v>
      </c>
      <c r="AI505" s="147">
        <v>0</v>
      </c>
      <c r="AJ505" s="147">
        <v>0</v>
      </c>
      <c r="AK505" s="147">
        <v>0</v>
      </c>
      <c r="AL505" s="147">
        <v>0</v>
      </c>
      <c r="AM505" s="147">
        <v>0</v>
      </c>
      <c r="AN505" s="147">
        <v>0</v>
      </c>
      <c r="AO505" s="147">
        <v>0</v>
      </c>
      <c r="AP505" s="147">
        <v>1752801.3872356005</v>
      </c>
    </row>
    <row r="506" spans="2:42" ht="12.75" customHeight="1">
      <c r="B506" s="122" t="str">
        <v>Pórtico 3 (MG-262)</v>
      </c>
      <c r="C506" s="329" t="str">
        <v>2</v>
      </c>
      <c r="D506" s="329">
        <v>2</v>
      </c>
      <c r="E506" s="329">
        <v>0</v>
      </c>
      <c r="F506" s="329">
        <v>0</v>
      </c>
      <c r="G506" s="122" t="str">
        <v>Recuperação do sistema rodoviário</v>
      </c>
      <c r="H506" s="122" t="b">
        <v>0</v>
      </c>
      <c r="I506" s="122" t="b">
        <v>0</v>
      </c>
      <c r="J506" s="122" t="b">
        <v>0</v>
      </c>
      <c r="K506" s="122" t="b">
        <v>1</v>
      </c>
      <c r="L506" s="147">
        <v>0</v>
      </c>
      <c r="M506" s="147">
        <v>0</v>
      </c>
      <c r="N506" s="147">
        <v>0</v>
      </c>
      <c r="O506" s="147">
        <v>0</v>
      </c>
      <c r="P506" s="147">
        <v>0</v>
      </c>
      <c r="Q506" s="147">
        <v>0</v>
      </c>
      <c r="R506" s="147">
        <v>0</v>
      </c>
      <c r="S506" s="147">
        <v>0</v>
      </c>
      <c r="T506" s="147">
        <v>0</v>
      </c>
      <c r="U506" s="147">
        <v>0</v>
      </c>
      <c r="V506" s="147">
        <v>0</v>
      </c>
      <c r="W506" s="147">
        <v>0</v>
      </c>
      <c r="X506" s="147">
        <v>0</v>
      </c>
      <c r="Y506" s="147">
        <v>0</v>
      </c>
      <c r="Z506" s="147">
        <v>0</v>
      </c>
      <c r="AA506" s="147">
        <v>0</v>
      </c>
      <c r="AB506" s="147">
        <v>0</v>
      </c>
      <c r="AC506" s="147">
        <v>0</v>
      </c>
      <c r="AD506" s="147">
        <v>0</v>
      </c>
      <c r="AE506" s="147">
        <v>0</v>
      </c>
      <c r="AF506" s="147">
        <v>0</v>
      </c>
      <c r="AG506" s="147">
        <v>0</v>
      </c>
      <c r="AH506" s="147">
        <v>0</v>
      </c>
      <c r="AI506" s="147">
        <v>0</v>
      </c>
      <c r="AJ506" s="147">
        <v>0</v>
      </c>
      <c r="AK506" s="147">
        <v>0</v>
      </c>
      <c r="AL506" s="147">
        <v>0</v>
      </c>
      <c r="AM506" s="147">
        <v>0</v>
      </c>
      <c r="AN506" s="147">
        <v>0</v>
      </c>
      <c r="AO506" s="147">
        <v>0</v>
      </c>
      <c r="AP506" s="147">
        <v>0</v>
      </c>
    </row>
    <row r="507" spans="2:42" ht="12.75" customHeight="1">
      <c r="B507" s="122" t="str">
        <v>Pórtico 3 (MG-262)</v>
      </c>
      <c r="C507" s="329" t="str">
        <v>2</v>
      </c>
      <c r="D507" s="329" t="str">
        <v>2.1</v>
      </c>
      <c r="E507" s="329">
        <v>1</v>
      </c>
      <c r="F507" s="329">
        <v>0</v>
      </c>
      <c r="G507" s="122" t="str">
        <v>Pavimento</v>
      </c>
      <c r="H507" s="122" t="b">
        <v>0</v>
      </c>
      <c r="I507" s="122" t="b">
        <v>0</v>
      </c>
      <c r="J507" s="122" t="b">
        <v>0</v>
      </c>
      <c r="K507" s="122" t="b">
        <v>1</v>
      </c>
      <c r="L507" s="147">
        <v>0</v>
      </c>
      <c r="M507" s="147">
        <v>20438340.030753653</v>
      </c>
      <c r="N507" s="147">
        <v>19187171.144163512</v>
      </c>
      <c r="O507" s="147">
        <v>11413770.883317729</v>
      </c>
      <c r="P507" s="147">
        <v>14442497.982219622</v>
      </c>
      <c r="Q507" s="147">
        <v>0</v>
      </c>
      <c r="R507" s="147">
        <v>0</v>
      </c>
      <c r="S507" s="147">
        <v>0</v>
      </c>
      <c r="T507" s="147">
        <v>0</v>
      </c>
      <c r="U507" s="147">
        <v>0</v>
      </c>
      <c r="V507" s="147">
        <v>0</v>
      </c>
      <c r="W507" s="147">
        <v>0</v>
      </c>
      <c r="X507" s="147">
        <v>0</v>
      </c>
      <c r="Y507" s="147">
        <v>0</v>
      </c>
      <c r="Z507" s="147">
        <v>0</v>
      </c>
      <c r="AA507" s="147">
        <v>0</v>
      </c>
      <c r="AB507" s="147">
        <v>0</v>
      </c>
      <c r="AC507" s="147">
        <v>0</v>
      </c>
      <c r="AD507" s="147">
        <v>0</v>
      </c>
      <c r="AE507" s="147">
        <v>0</v>
      </c>
      <c r="AF507" s="147">
        <v>0</v>
      </c>
      <c r="AG507" s="147">
        <v>0</v>
      </c>
      <c r="AH507" s="147">
        <v>0</v>
      </c>
      <c r="AI507" s="147">
        <v>0</v>
      </c>
      <c r="AJ507" s="147">
        <v>0</v>
      </c>
      <c r="AK507" s="147">
        <v>0</v>
      </c>
      <c r="AL507" s="147">
        <v>0</v>
      </c>
      <c r="AM507" s="147">
        <v>0</v>
      </c>
      <c r="AN507" s="147">
        <v>0</v>
      </c>
      <c r="AO507" s="147">
        <v>0</v>
      </c>
      <c r="AP507" s="147">
        <v>65481780.040454514</v>
      </c>
    </row>
    <row r="508" spans="2:42" ht="12.75" customHeight="1">
      <c r="B508" s="122" t="str">
        <v>Pórtico 3 (MG-262)</v>
      </c>
      <c r="C508" s="329" t="str">
        <v>2</v>
      </c>
      <c r="D508" s="329" t="str">
        <v>2.2</v>
      </c>
      <c r="E508" s="329">
        <v>1</v>
      </c>
      <c r="F508" s="329">
        <v>0</v>
      </c>
      <c r="G508" s="122" t="str">
        <v>Obras de arte especiais</v>
      </c>
      <c r="H508" s="122" t="b">
        <v>0</v>
      </c>
      <c r="I508" s="122" t="b">
        <v>0</v>
      </c>
      <c r="J508" s="122" t="b">
        <v>0</v>
      </c>
      <c r="K508" s="122" t="b">
        <v>1</v>
      </c>
      <c r="L508" s="147">
        <v>0</v>
      </c>
      <c r="M508" s="147">
        <v>5007893.8809299069</v>
      </c>
      <c r="N508" s="147">
        <v>869952.47556512582</v>
      </c>
      <c r="O508" s="147">
        <v>0</v>
      </c>
      <c r="P508" s="147">
        <v>0</v>
      </c>
      <c r="Q508" s="147">
        <v>0</v>
      </c>
      <c r="R508" s="147">
        <v>0</v>
      </c>
      <c r="S508" s="147">
        <v>0</v>
      </c>
      <c r="T508" s="147">
        <v>0</v>
      </c>
      <c r="U508" s="147">
        <v>0</v>
      </c>
      <c r="V508" s="147">
        <v>0</v>
      </c>
      <c r="W508" s="147">
        <v>0</v>
      </c>
      <c r="X508" s="147">
        <v>0</v>
      </c>
      <c r="Y508" s="147">
        <v>0</v>
      </c>
      <c r="Z508" s="147">
        <v>0</v>
      </c>
      <c r="AA508" s="147">
        <v>0</v>
      </c>
      <c r="AB508" s="147">
        <v>0</v>
      </c>
      <c r="AC508" s="147">
        <v>0</v>
      </c>
      <c r="AD508" s="147">
        <v>0</v>
      </c>
      <c r="AE508" s="147">
        <v>0</v>
      </c>
      <c r="AF508" s="147">
        <v>0</v>
      </c>
      <c r="AG508" s="147">
        <v>0</v>
      </c>
      <c r="AH508" s="147">
        <v>0</v>
      </c>
      <c r="AI508" s="147">
        <v>0</v>
      </c>
      <c r="AJ508" s="147">
        <v>0</v>
      </c>
      <c r="AK508" s="147">
        <v>0</v>
      </c>
      <c r="AL508" s="147">
        <v>0</v>
      </c>
      <c r="AM508" s="147">
        <v>0</v>
      </c>
      <c r="AN508" s="147">
        <v>0</v>
      </c>
      <c r="AO508" s="147">
        <v>0</v>
      </c>
      <c r="AP508" s="147">
        <v>5877846.356495033</v>
      </c>
    </row>
    <row r="509" spans="2:42" ht="12.75" customHeight="1">
      <c r="B509" s="122" t="str">
        <v>Pórtico 3 (MG-262)</v>
      </c>
      <c r="C509" s="329" t="str">
        <v>2</v>
      </c>
      <c r="D509" s="329" t="str">
        <v>2.3</v>
      </c>
      <c r="E509" s="329">
        <v>1</v>
      </c>
      <c r="F509" s="329">
        <v>0</v>
      </c>
      <c r="G509" s="122" t="str">
        <v>Drenagem e obras de arte correntes</v>
      </c>
      <c r="H509" s="122" t="b">
        <v>0</v>
      </c>
      <c r="I509" s="122" t="b">
        <v>0</v>
      </c>
      <c r="J509" s="122" t="b">
        <v>0</v>
      </c>
      <c r="K509" s="122" t="b">
        <v>1</v>
      </c>
      <c r="L509" s="147">
        <v>0</v>
      </c>
      <c r="M509" s="147">
        <v>569413.48989327252</v>
      </c>
      <c r="N509" s="147">
        <v>569413.48989327252</v>
      </c>
      <c r="O509" s="147">
        <v>569413.48989327252</v>
      </c>
      <c r="P509" s="147">
        <v>569413.48989327252</v>
      </c>
      <c r="Q509" s="147">
        <v>0</v>
      </c>
      <c r="R509" s="147">
        <v>0</v>
      </c>
      <c r="S509" s="147">
        <v>0</v>
      </c>
      <c r="T509" s="147">
        <v>0</v>
      </c>
      <c r="U509" s="147">
        <v>0</v>
      </c>
      <c r="V509" s="147">
        <v>0</v>
      </c>
      <c r="W509" s="147">
        <v>0</v>
      </c>
      <c r="X509" s="147">
        <v>0</v>
      </c>
      <c r="Y509" s="147">
        <v>0</v>
      </c>
      <c r="Z509" s="147">
        <v>0</v>
      </c>
      <c r="AA509" s="147">
        <v>0</v>
      </c>
      <c r="AB509" s="147">
        <v>0</v>
      </c>
      <c r="AC509" s="147">
        <v>0</v>
      </c>
      <c r="AD509" s="147">
        <v>0</v>
      </c>
      <c r="AE509" s="147">
        <v>0</v>
      </c>
      <c r="AF509" s="147">
        <v>0</v>
      </c>
      <c r="AG509" s="147">
        <v>0</v>
      </c>
      <c r="AH509" s="147">
        <v>0</v>
      </c>
      <c r="AI509" s="147">
        <v>0</v>
      </c>
      <c r="AJ509" s="147">
        <v>0</v>
      </c>
      <c r="AK509" s="147">
        <v>0</v>
      </c>
      <c r="AL509" s="147">
        <v>0</v>
      </c>
      <c r="AM509" s="147">
        <v>0</v>
      </c>
      <c r="AN509" s="147">
        <v>0</v>
      </c>
      <c r="AO509" s="147">
        <v>0</v>
      </c>
      <c r="AP509" s="147">
        <v>2277653.9595730901</v>
      </c>
    </row>
    <row r="510" spans="2:42" ht="12.75" customHeight="1">
      <c r="B510" s="122" t="str">
        <v>Pórtico 3 (MG-262)</v>
      </c>
      <c r="C510" s="329" t="str">
        <v>2</v>
      </c>
      <c r="D510" s="329" t="str">
        <v>2.4</v>
      </c>
      <c r="E510" s="329">
        <v>1</v>
      </c>
      <c r="F510" s="329">
        <v>0</v>
      </c>
      <c r="G510" s="122" t="str">
        <v xml:space="preserve">Sinalização e dispositivos de proteção e segurança </v>
      </c>
      <c r="H510" s="122" t="b">
        <v>0</v>
      </c>
      <c r="I510" s="122" t="b">
        <v>0</v>
      </c>
      <c r="J510" s="122" t="b">
        <v>0</v>
      </c>
      <c r="K510" s="122" t="b">
        <v>1</v>
      </c>
      <c r="L510" s="147">
        <v>0</v>
      </c>
      <c r="M510" s="147">
        <v>3126219.9802938383</v>
      </c>
      <c r="N510" s="147">
        <v>3126219.9802938383</v>
      </c>
      <c r="O510" s="147">
        <v>3126219.9802938383</v>
      </c>
      <c r="P510" s="147">
        <v>3070022.0025088387</v>
      </c>
      <c r="Q510" s="147">
        <v>0</v>
      </c>
      <c r="R510" s="147">
        <v>0</v>
      </c>
      <c r="S510" s="147">
        <v>0</v>
      </c>
      <c r="T510" s="147">
        <v>0</v>
      </c>
      <c r="U510" s="147">
        <v>0</v>
      </c>
      <c r="V510" s="147">
        <v>0</v>
      </c>
      <c r="W510" s="147">
        <v>0</v>
      </c>
      <c r="X510" s="147">
        <v>0</v>
      </c>
      <c r="Y510" s="147">
        <v>0</v>
      </c>
      <c r="Z510" s="147">
        <v>0</v>
      </c>
      <c r="AA510" s="147">
        <v>0</v>
      </c>
      <c r="AB510" s="147">
        <v>0</v>
      </c>
      <c r="AC510" s="147">
        <v>0</v>
      </c>
      <c r="AD510" s="147">
        <v>0</v>
      </c>
      <c r="AE510" s="147">
        <v>0</v>
      </c>
      <c r="AF510" s="147">
        <v>0</v>
      </c>
      <c r="AG510" s="147">
        <v>0</v>
      </c>
      <c r="AH510" s="147">
        <v>0</v>
      </c>
      <c r="AI510" s="147">
        <v>0</v>
      </c>
      <c r="AJ510" s="147">
        <v>0</v>
      </c>
      <c r="AK510" s="147">
        <v>0</v>
      </c>
      <c r="AL510" s="147">
        <v>0</v>
      </c>
      <c r="AM510" s="147">
        <v>0</v>
      </c>
      <c r="AN510" s="147">
        <v>0</v>
      </c>
      <c r="AO510" s="147">
        <v>0</v>
      </c>
      <c r="AP510" s="147">
        <v>12448681.943390355</v>
      </c>
    </row>
    <row r="511" spans="2:42" ht="12.75" customHeight="1">
      <c r="B511" s="122" t="str">
        <v>Pórtico 3 (MG-262)</v>
      </c>
      <c r="C511" s="329" t="str">
        <v>2</v>
      </c>
      <c r="D511" s="329" t="str">
        <v>2.6</v>
      </c>
      <c r="E511" s="329">
        <v>1</v>
      </c>
      <c r="F511" s="329">
        <v>0</v>
      </c>
      <c r="G511" s="122" t="str">
        <v>Terraplenos e estrutura de contenção</v>
      </c>
      <c r="H511" s="122" t="b">
        <v>0</v>
      </c>
      <c r="I511" s="122" t="b">
        <v>0</v>
      </c>
      <c r="J511" s="122" t="b">
        <v>0</v>
      </c>
      <c r="K511" s="122" t="b">
        <v>1</v>
      </c>
      <c r="L511" s="147">
        <v>0</v>
      </c>
      <c r="M511" s="147">
        <v>0</v>
      </c>
      <c r="N511" s="147">
        <v>0</v>
      </c>
      <c r="O511" s="147">
        <v>0</v>
      </c>
      <c r="P511" s="147">
        <v>0</v>
      </c>
      <c r="Q511" s="147">
        <v>0</v>
      </c>
      <c r="R511" s="147">
        <v>0</v>
      </c>
      <c r="S511" s="147">
        <v>0</v>
      </c>
      <c r="T511" s="147">
        <v>0</v>
      </c>
      <c r="U511" s="147">
        <v>0</v>
      </c>
      <c r="V511" s="147">
        <v>0</v>
      </c>
      <c r="W511" s="147">
        <v>0</v>
      </c>
      <c r="X511" s="147">
        <v>0</v>
      </c>
      <c r="Y511" s="147">
        <v>0</v>
      </c>
      <c r="Z511" s="147">
        <v>0</v>
      </c>
      <c r="AA511" s="147">
        <v>0</v>
      </c>
      <c r="AB511" s="147">
        <v>0</v>
      </c>
      <c r="AC511" s="147">
        <v>0</v>
      </c>
      <c r="AD511" s="147">
        <v>0</v>
      </c>
      <c r="AE511" s="147">
        <v>0</v>
      </c>
      <c r="AF511" s="147">
        <v>0</v>
      </c>
      <c r="AG511" s="147">
        <v>0</v>
      </c>
      <c r="AH511" s="147">
        <v>0</v>
      </c>
      <c r="AI511" s="147">
        <v>0</v>
      </c>
      <c r="AJ511" s="147">
        <v>0</v>
      </c>
      <c r="AK511" s="147">
        <v>0</v>
      </c>
      <c r="AL511" s="147">
        <v>0</v>
      </c>
      <c r="AM511" s="147">
        <v>0</v>
      </c>
      <c r="AN511" s="147">
        <v>0</v>
      </c>
      <c r="AO511" s="147">
        <v>0</v>
      </c>
      <c r="AP511" s="147">
        <v>0</v>
      </c>
    </row>
    <row r="512" spans="2:42" ht="12.75" customHeight="1">
      <c r="B512" s="122" t="str">
        <v>Pórtico 3 (MG-262)</v>
      </c>
      <c r="C512" s="329" t="str">
        <v>2</v>
      </c>
      <c r="D512" s="329" t="str">
        <v>2.7</v>
      </c>
      <c r="E512" s="329">
        <v>1</v>
      </c>
      <c r="F512" s="329">
        <v>0</v>
      </c>
      <c r="G512" s="122" t="str">
        <v>Sistemas elétricos e de iluminação</v>
      </c>
      <c r="H512" s="122" t="b">
        <v>0</v>
      </c>
      <c r="I512" s="122" t="b">
        <v>0</v>
      </c>
      <c r="J512" s="122" t="b">
        <v>0</v>
      </c>
      <c r="K512" s="122" t="b">
        <v>1</v>
      </c>
      <c r="L512" s="147">
        <v>0</v>
      </c>
      <c r="M512" s="147">
        <v>44747.753419999994</v>
      </c>
      <c r="N512" s="147">
        <v>4917.0102799999995</v>
      </c>
      <c r="O512" s="147">
        <v>4917.0102799999995</v>
      </c>
      <c r="P512" s="147">
        <v>2458.5051399999998</v>
      </c>
      <c r="Q512" s="147">
        <v>0</v>
      </c>
      <c r="R512" s="147">
        <v>0</v>
      </c>
      <c r="S512" s="147">
        <v>0</v>
      </c>
      <c r="T512" s="147">
        <v>0</v>
      </c>
      <c r="U512" s="147">
        <v>0</v>
      </c>
      <c r="V512" s="147">
        <v>0</v>
      </c>
      <c r="W512" s="147">
        <v>0</v>
      </c>
      <c r="X512" s="147">
        <v>0</v>
      </c>
      <c r="Y512" s="147">
        <v>0</v>
      </c>
      <c r="Z512" s="147">
        <v>0</v>
      </c>
      <c r="AA512" s="147">
        <v>0</v>
      </c>
      <c r="AB512" s="147">
        <v>0</v>
      </c>
      <c r="AC512" s="147">
        <v>0</v>
      </c>
      <c r="AD512" s="147">
        <v>0</v>
      </c>
      <c r="AE512" s="147">
        <v>0</v>
      </c>
      <c r="AF512" s="147">
        <v>0</v>
      </c>
      <c r="AG512" s="147">
        <v>0</v>
      </c>
      <c r="AH512" s="147">
        <v>0</v>
      </c>
      <c r="AI512" s="147">
        <v>0</v>
      </c>
      <c r="AJ512" s="147">
        <v>0</v>
      </c>
      <c r="AK512" s="147">
        <v>0</v>
      </c>
      <c r="AL512" s="147">
        <v>0</v>
      </c>
      <c r="AM512" s="147">
        <v>0</v>
      </c>
      <c r="AN512" s="147">
        <v>0</v>
      </c>
      <c r="AO512" s="147">
        <v>0</v>
      </c>
      <c r="AP512" s="147">
        <v>57040.279119999999</v>
      </c>
    </row>
    <row r="513" spans="2:42" ht="12.75" customHeight="1">
      <c r="B513" s="122" t="str">
        <v>Pórtico 3 (MG-262)</v>
      </c>
      <c r="C513" s="329" t="str">
        <v>2</v>
      </c>
      <c r="D513" s="329" t="str">
        <v>2.8</v>
      </c>
      <c r="E513" s="329">
        <v>1</v>
      </c>
      <c r="F513" s="329">
        <v>0</v>
      </c>
      <c r="G513" s="122" t="str">
        <v>Canteiro central e faixa de domínio</v>
      </c>
      <c r="H513" s="122" t="b">
        <v>0</v>
      </c>
      <c r="I513" s="122" t="b">
        <v>0</v>
      </c>
      <c r="J513" s="122" t="b">
        <v>0</v>
      </c>
      <c r="K513" s="122" t="b">
        <v>1</v>
      </c>
      <c r="L513" s="147">
        <v>0</v>
      </c>
      <c r="M513" s="147">
        <v>388764.729761408</v>
      </c>
      <c r="N513" s="147">
        <v>388764.729761408</v>
      </c>
      <c r="O513" s="147">
        <v>388764.729761408</v>
      </c>
      <c r="P513" s="147">
        <v>388764.729761408</v>
      </c>
      <c r="Q513" s="147">
        <v>0</v>
      </c>
      <c r="R513" s="147">
        <v>0</v>
      </c>
      <c r="S513" s="147">
        <v>0</v>
      </c>
      <c r="T513" s="147">
        <v>0</v>
      </c>
      <c r="U513" s="147">
        <v>0</v>
      </c>
      <c r="V513" s="147">
        <v>0</v>
      </c>
      <c r="W513" s="147">
        <v>0</v>
      </c>
      <c r="X513" s="147">
        <v>0</v>
      </c>
      <c r="Y513" s="147">
        <v>0</v>
      </c>
      <c r="Z513" s="147">
        <v>0</v>
      </c>
      <c r="AA513" s="147">
        <v>0</v>
      </c>
      <c r="AB513" s="147">
        <v>0</v>
      </c>
      <c r="AC513" s="147">
        <v>0</v>
      </c>
      <c r="AD513" s="147">
        <v>0</v>
      </c>
      <c r="AE513" s="147">
        <v>0</v>
      </c>
      <c r="AF513" s="147">
        <v>0</v>
      </c>
      <c r="AG513" s="147">
        <v>0</v>
      </c>
      <c r="AH513" s="147">
        <v>0</v>
      </c>
      <c r="AI513" s="147">
        <v>0</v>
      </c>
      <c r="AJ513" s="147">
        <v>0</v>
      </c>
      <c r="AK513" s="147">
        <v>0</v>
      </c>
      <c r="AL513" s="147">
        <v>0</v>
      </c>
      <c r="AM513" s="147">
        <v>0</v>
      </c>
      <c r="AN513" s="147">
        <v>0</v>
      </c>
      <c r="AO513" s="147">
        <v>0</v>
      </c>
      <c r="AP513" s="147">
        <v>1555058.919045632</v>
      </c>
    </row>
    <row r="514" spans="2:42" ht="12.75" customHeight="1">
      <c r="B514" s="122" t="str">
        <v>Pórtico 3 (MG-262)</v>
      </c>
      <c r="C514" s="329" t="str">
        <v>2</v>
      </c>
      <c r="D514" s="329" t="str">
        <v>2.9</v>
      </c>
      <c r="E514" s="329">
        <v>1</v>
      </c>
      <c r="F514" s="329">
        <v>0</v>
      </c>
      <c r="G514" s="122" t="str">
        <v>Administração local (%)</v>
      </c>
      <c r="H514" s="122" t="b">
        <v>0</v>
      </c>
      <c r="I514" s="122" t="b">
        <v>0</v>
      </c>
      <c r="J514" s="122" t="b">
        <v>0</v>
      </c>
      <c r="K514" s="122" t="b">
        <v>1</v>
      </c>
      <c r="L514" s="147">
        <v>0</v>
      </c>
      <c r="M514" s="147">
        <v>363777.17234014062</v>
      </c>
      <c r="N514" s="147">
        <v>297001.19760847307</v>
      </c>
      <c r="O514" s="147">
        <v>190687.95895061886</v>
      </c>
      <c r="P514" s="147">
        <v>227219.82752713465</v>
      </c>
      <c r="Q514" s="147">
        <v>0</v>
      </c>
      <c r="R514" s="147">
        <v>0</v>
      </c>
      <c r="S514" s="147">
        <v>0</v>
      </c>
      <c r="T514" s="147">
        <v>0</v>
      </c>
      <c r="U514" s="147">
        <v>0</v>
      </c>
      <c r="V514" s="147">
        <v>0</v>
      </c>
      <c r="W514" s="147">
        <v>0</v>
      </c>
      <c r="X514" s="147">
        <v>0</v>
      </c>
      <c r="Y514" s="147">
        <v>0</v>
      </c>
      <c r="Z514" s="147">
        <v>0</v>
      </c>
      <c r="AA514" s="147">
        <v>0</v>
      </c>
      <c r="AB514" s="147">
        <v>0</v>
      </c>
      <c r="AC514" s="147">
        <v>0</v>
      </c>
      <c r="AD514" s="147">
        <v>0</v>
      </c>
      <c r="AE514" s="147">
        <v>0</v>
      </c>
      <c r="AF514" s="147">
        <v>0</v>
      </c>
      <c r="AG514" s="147">
        <v>0</v>
      </c>
      <c r="AH514" s="147">
        <v>0</v>
      </c>
      <c r="AI514" s="147">
        <v>0</v>
      </c>
      <c r="AJ514" s="147">
        <v>0</v>
      </c>
      <c r="AK514" s="147">
        <v>0</v>
      </c>
      <c r="AL514" s="147">
        <v>0</v>
      </c>
      <c r="AM514" s="147">
        <v>0</v>
      </c>
      <c r="AN514" s="147">
        <v>0</v>
      </c>
      <c r="AO514" s="147">
        <v>0</v>
      </c>
      <c r="AP514" s="147">
        <v>1078686.1564263671</v>
      </c>
    </row>
    <row r="515" spans="2:42" ht="12.75" customHeight="1">
      <c r="B515" s="122" t="str">
        <v>Pórtico 3 (MG-262)</v>
      </c>
      <c r="C515" s="329" t="str">
        <v>2</v>
      </c>
      <c r="D515" s="329" t="str">
        <v>2.10</v>
      </c>
      <c r="E515" s="329">
        <v>1</v>
      </c>
      <c r="F515" s="329">
        <v>0</v>
      </c>
      <c r="G515" s="122" t="str">
        <v>Canteiro de obras (%)</v>
      </c>
      <c r="H515" s="122" t="b">
        <v>0</v>
      </c>
      <c r="I515" s="122" t="b">
        <v>0</v>
      </c>
      <c r="J515" s="122" t="b">
        <v>0</v>
      </c>
      <c r="K515" s="122" t="b">
        <v>1</v>
      </c>
      <c r="L515" s="147">
        <v>0</v>
      </c>
      <c r="M515" s="147">
        <v>91683.677581661454</v>
      </c>
      <c r="N515" s="147">
        <v>74853.960372867194</v>
      </c>
      <c r="O515" s="147">
        <v>48059.566889993373</v>
      </c>
      <c r="P515" s="147">
        <v>57266.785799521735</v>
      </c>
      <c r="Q515" s="147">
        <v>0</v>
      </c>
      <c r="R515" s="147">
        <v>0</v>
      </c>
      <c r="S515" s="147">
        <v>0</v>
      </c>
      <c r="T515" s="147">
        <v>0</v>
      </c>
      <c r="U515" s="147">
        <v>0</v>
      </c>
      <c r="V515" s="147">
        <v>0</v>
      </c>
      <c r="W515" s="147">
        <v>0</v>
      </c>
      <c r="X515" s="147">
        <v>0</v>
      </c>
      <c r="Y515" s="147">
        <v>0</v>
      </c>
      <c r="Z515" s="147">
        <v>0</v>
      </c>
      <c r="AA515" s="147">
        <v>0</v>
      </c>
      <c r="AB515" s="147">
        <v>0</v>
      </c>
      <c r="AC515" s="147">
        <v>0</v>
      </c>
      <c r="AD515" s="147">
        <v>0</v>
      </c>
      <c r="AE515" s="147">
        <v>0</v>
      </c>
      <c r="AF515" s="147">
        <v>0</v>
      </c>
      <c r="AG515" s="147">
        <v>0</v>
      </c>
      <c r="AH515" s="147">
        <v>0</v>
      </c>
      <c r="AI515" s="147">
        <v>0</v>
      </c>
      <c r="AJ515" s="147">
        <v>0</v>
      </c>
      <c r="AK515" s="147">
        <v>0</v>
      </c>
      <c r="AL515" s="147">
        <v>0</v>
      </c>
      <c r="AM515" s="147">
        <v>0</v>
      </c>
      <c r="AN515" s="147">
        <v>0</v>
      </c>
      <c r="AO515" s="147">
        <v>0</v>
      </c>
      <c r="AP515" s="147">
        <v>271863.99064404378</v>
      </c>
    </row>
    <row r="516" spans="2:42" ht="12.75" customHeight="1">
      <c r="B516" s="122" t="str">
        <v>Pórtico 3 (MG-262)</v>
      </c>
      <c r="C516" s="329" t="str">
        <v>2</v>
      </c>
      <c r="D516" s="329" t="str">
        <v>2.11</v>
      </c>
      <c r="E516" s="329">
        <v>1</v>
      </c>
      <c r="F516" s="329">
        <v>0</v>
      </c>
      <c r="G516" s="122" t="str">
        <v>Mobilização e desmobilização (%)</v>
      </c>
      <c r="H516" s="122" t="b">
        <v>0</v>
      </c>
      <c r="I516" s="122" t="b">
        <v>0</v>
      </c>
      <c r="J516" s="122" t="b">
        <v>0</v>
      </c>
      <c r="K516" s="122" t="b">
        <v>1</v>
      </c>
      <c r="L516" s="147">
        <v>0</v>
      </c>
      <c r="M516" s="147">
        <v>1715.3720321730207</v>
      </c>
      <c r="N516" s="147">
        <v>1400.4934521375153</v>
      </c>
      <c r="O516" s="147">
        <v>899.17899342568239</v>
      </c>
      <c r="P516" s="147">
        <v>1071.4430891523423</v>
      </c>
      <c r="Q516" s="147">
        <v>0</v>
      </c>
      <c r="R516" s="147">
        <v>0</v>
      </c>
      <c r="S516" s="147">
        <v>0</v>
      </c>
      <c r="T516" s="147">
        <v>0</v>
      </c>
      <c r="U516" s="147">
        <v>0</v>
      </c>
      <c r="V516" s="147">
        <v>0</v>
      </c>
      <c r="W516" s="147">
        <v>0</v>
      </c>
      <c r="X516" s="147">
        <v>0</v>
      </c>
      <c r="Y516" s="147">
        <v>0</v>
      </c>
      <c r="Z516" s="147">
        <v>0</v>
      </c>
      <c r="AA516" s="147">
        <v>0</v>
      </c>
      <c r="AB516" s="147">
        <v>0</v>
      </c>
      <c r="AC516" s="147">
        <v>0</v>
      </c>
      <c r="AD516" s="147">
        <v>0</v>
      </c>
      <c r="AE516" s="147">
        <v>0</v>
      </c>
      <c r="AF516" s="147">
        <v>0</v>
      </c>
      <c r="AG516" s="147">
        <v>0</v>
      </c>
      <c r="AH516" s="147">
        <v>0</v>
      </c>
      <c r="AI516" s="147">
        <v>0</v>
      </c>
      <c r="AJ516" s="147">
        <v>0</v>
      </c>
      <c r="AK516" s="147">
        <v>0</v>
      </c>
      <c r="AL516" s="147">
        <v>0</v>
      </c>
      <c r="AM516" s="147">
        <v>0</v>
      </c>
      <c r="AN516" s="147">
        <v>0</v>
      </c>
      <c r="AO516" s="147">
        <v>0</v>
      </c>
      <c r="AP516" s="147">
        <v>5086.4875668885607</v>
      </c>
    </row>
    <row r="517" spans="2:42" ht="12.75" customHeight="1">
      <c r="B517" s="122" t="str">
        <v>Pórtico 3 (MG-262)</v>
      </c>
      <c r="C517" s="329" t="str">
        <v>2</v>
      </c>
      <c r="D517" s="329" t="str">
        <v>2.12</v>
      </c>
      <c r="E517" s="329">
        <v>1</v>
      </c>
      <c r="F517" s="329">
        <v>0</v>
      </c>
      <c r="G517" s="122" t="str">
        <v>Projetos (%)</v>
      </c>
      <c r="H517" s="122" t="b">
        <v>0</v>
      </c>
      <c r="I517" s="122" t="b">
        <v>0</v>
      </c>
      <c r="J517" s="122" t="b">
        <v>0</v>
      </c>
      <c r="K517" s="122" t="b">
        <v>1</v>
      </c>
      <c r="L517" s="147">
        <v>0</v>
      </c>
      <c r="M517" s="147">
        <v>739384.49662630202</v>
      </c>
      <c r="N517" s="147">
        <v>603660.97074892896</v>
      </c>
      <c r="O517" s="147">
        <v>387577.15233865619</v>
      </c>
      <c r="P517" s="147">
        <v>461828.91773807857</v>
      </c>
      <c r="Q517" s="147">
        <v>0</v>
      </c>
      <c r="R517" s="147">
        <v>0</v>
      </c>
      <c r="S517" s="147">
        <v>0</v>
      </c>
      <c r="T517" s="147">
        <v>0</v>
      </c>
      <c r="U517" s="147">
        <v>0</v>
      </c>
      <c r="V517" s="147">
        <v>0</v>
      </c>
      <c r="W517" s="147">
        <v>0</v>
      </c>
      <c r="X517" s="147">
        <v>0</v>
      </c>
      <c r="Y517" s="147">
        <v>0</v>
      </c>
      <c r="Z517" s="147">
        <v>0</v>
      </c>
      <c r="AA517" s="147">
        <v>0</v>
      </c>
      <c r="AB517" s="147">
        <v>0</v>
      </c>
      <c r="AC517" s="147">
        <v>0</v>
      </c>
      <c r="AD517" s="147">
        <v>0</v>
      </c>
      <c r="AE517" s="147">
        <v>0</v>
      </c>
      <c r="AF517" s="147">
        <v>0</v>
      </c>
      <c r="AG517" s="147">
        <v>0</v>
      </c>
      <c r="AH517" s="147">
        <v>0</v>
      </c>
      <c r="AI517" s="147">
        <v>0</v>
      </c>
      <c r="AJ517" s="147">
        <v>0</v>
      </c>
      <c r="AK517" s="147">
        <v>0</v>
      </c>
      <c r="AL517" s="147">
        <v>0</v>
      </c>
      <c r="AM517" s="147">
        <v>0</v>
      </c>
      <c r="AN517" s="147">
        <v>0</v>
      </c>
      <c r="AO517" s="147">
        <v>0</v>
      </c>
      <c r="AP517" s="147">
        <v>2192451.5374519657</v>
      </c>
    </row>
    <row r="518" spans="2:42" ht="12.75" customHeight="1">
      <c r="B518" s="122" t="str">
        <v>Pórtico 3 (MG-262)</v>
      </c>
      <c r="C518" s="329" t="str">
        <v>4</v>
      </c>
      <c r="D518" s="329">
        <v>4</v>
      </c>
      <c r="E518" s="329">
        <v>0</v>
      </c>
      <c r="F518" s="329">
        <v>0</v>
      </c>
      <c r="G518" s="122" t="str">
        <v>Obras de ampliação da capacidade e outras melhorias</v>
      </c>
      <c r="H518" s="122" t="b">
        <v>0</v>
      </c>
      <c r="I518" s="122" t="b">
        <v>0</v>
      </c>
      <c r="J518" s="122" t="b">
        <v>0</v>
      </c>
      <c r="K518" s="122" t="b">
        <v>1</v>
      </c>
      <c r="L518" s="147">
        <v>0</v>
      </c>
      <c r="M518" s="147">
        <v>0</v>
      </c>
      <c r="N518" s="147">
        <v>0</v>
      </c>
      <c r="O518" s="147">
        <v>0</v>
      </c>
      <c r="P518" s="147">
        <v>0</v>
      </c>
      <c r="Q518" s="147">
        <v>0</v>
      </c>
      <c r="R518" s="147">
        <v>0</v>
      </c>
      <c r="S518" s="147">
        <v>0</v>
      </c>
      <c r="T518" s="147">
        <v>0</v>
      </c>
      <c r="U518" s="147">
        <v>0</v>
      </c>
      <c r="V518" s="147">
        <v>0</v>
      </c>
      <c r="W518" s="147">
        <v>0</v>
      </c>
      <c r="X518" s="147">
        <v>0</v>
      </c>
      <c r="Y518" s="147">
        <v>0</v>
      </c>
      <c r="Z518" s="147">
        <v>0</v>
      </c>
      <c r="AA518" s="147">
        <v>0</v>
      </c>
      <c r="AB518" s="147">
        <v>0</v>
      </c>
      <c r="AC518" s="147">
        <v>0</v>
      </c>
      <c r="AD518" s="147">
        <v>0</v>
      </c>
      <c r="AE518" s="147">
        <v>0</v>
      </c>
      <c r="AF518" s="147">
        <v>0</v>
      </c>
      <c r="AG518" s="147">
        <v>0</v>
      </c>
      <c r="AH518" s="147">
        <v>0</v>
      </c>
      <c r="AI518" s="147">
        <v>0</v>
      </c>
      <c r="AJ518" s="147">
        <v>0</v>
      </c>
      <c r="AK518" s="147">
        <v>0</v>
      </c>
      <c r="AL518" s="147">
        <v>0</v>
      </c>
      <c r="AM518" s="147">
        <v>0</v>
      </c>
      <c r="AN518" s="147">
        <v>0</v>
      </c>
      <c r="AO518" s="147">
        <v>0</v>
      </c>
      <c r="AP518" s="147">
        <v>0</v>
      </c>
    </row>
    <row r="519" spans="2:42" ht="12.75" customHeight="1">
      <c r="B519" s="122" t="str">
        <v>Pórtico 3 (MG-262)</v>
      </c>
      <c r="C519" s="329" t="str">
        <v>4</v>
      </c>
      <c r="D519" s="329" t="str">
        <v>4.1</v>
      </c>
      <c r="E519" s="329">
        <v>1</v>
      </c>
      <c r="F519" s="329">
        <v>0</v>
      </c>
      <c r="G519" s="122" t="str">
        <v xml:space="preserve">Duplicação </v>
      </c>
      <c r="H519" s="122" t="b">
        <v>0</v>
      </c>
      <c r="I519" s="122" t="b">
        <v>0</v>
      </c>
      <c r="J519" s="122" t="b">
        <v>0</v>
      </c>
      <c r="K519" s="122" t="b">
        <v>1</v>
      </c>
      <c r="L519" s="147">
        <v>0</v>
      </c>
      <c r="M519" s="147">
        <v>0</v>
      </c>
      <c r="N519" s="147">
        <v>0</v>
      </c>
      <c r="O519" s="147">
        <v>0</v>
      </c>
      <c r="P519" s="147">
        <v>0</v>
      </c>
      <c r="Q519" s="147">
        <v>0</v>
      </c>
      <c r="R519" s="147">
        <v>0</v>
      </c>
      <c r="S519" s="147">
        <v>0</v>
      </c>
      <c r="T519" s="147">
        <v>0</v>
      </c>
      <c r="U519" s="147">
        <v>0</v>
      </c>
      <c r="V519" s="147">
        <v>0</v>
      </c>
      <c r="W519" s="147">
        <v>0</v>
      </c>
      <c r="X519" s="147">
        <v>0</v>
      </c>
      <c r="Y519" s="147">
        <v>0</v>
      </c>
      <c r="Z519" s="147">
        <v>41815900</v>
      </c>
      <c r="AA519" s="147">
        <v>0</v>
      </c>
      <c r="AB519" s="147">
        <v>0</v>
      </c>
      <c r="AC519" s="147">
        <v>0</v>
      </c>
      <c r="AD519" s="147">
        <v>0</v>
      </c>
      <c r="AE519" s="147">
        <v>0</v>
      </c>
      <c r="AF519" s="147">
        <v>0</v>
      </c>
      <c r="AG519" s="147">
        <v>0</v>
      </c>
      <c r="AH519" s="147">
        <v>0</v>
      </c>
      <c r="AI519" s="147">
        <v>0</v>
      </c>
      <c r="AJ519" s="147">
        <v>0</v>
      </c>
      <c r="AK519" s="147">
        <v>0</v>
      </c>
      <c r="AL519" s="147">
        <v>0</v>
      </c>
      <c r="AM519" s="147">
        <v>0</v>
      </c>
      <c r="AN519" s="147">
        <v>0</v>
      </c>
      <c r="AO519" s="147">
        <v>0</v>
      </c>
      <c r="AP519" s="147">
        <v>41815900</v>
      </c>
    </row>
    <row r="520" spans="2:42" ht="12.75" customHeight="1">
      <c r="B520" s="122" t="str">
        <v>Pórtico 3 (MG-262)</v>
      </c>
      <c r="C520" s="329" t="str">
        <v>4</v>
      </c>
      <c r="D520" s="329" t="str">
        <v>4.2</v>
      </c>
      <c r="E520" s="329">
        <v>1</v>
      </c>
      <c r="F520" s="329">
        <v>0</v>
      </c>
      <c r="G520" s="122" t="str">
        <v xml:space="preserve">Vias marginais </v>
      </c>
      <c r="H520" s="122" t="b">
        <v>0</v>
      </c>
      <c r="I520" s="122" t="b">
        <v>0</v>
      </c>
      <c r="J520" s="122" t="b">
        <v>0</v>
      </c>
      <c r="K520" s="122" t="b">
        <v>1</v>
      </c>
      <c r="L520" s="147">
        <v>0</v>
      </c>
      <c r="M520" s="147">
        <v>0</v>
      </c>
      <c r="N520" s="147">
        <v>0</v>
      </c>
      <c r="O520" s="147">
        <v>0</v>
      </c>
      <c r="P520" s="147">
        <v>0</v>
      </c>
      <c r="Q520" s="147">
        <v>0</v>
      </c>
      <c r="R520" s="147">
        <v>0</v>
      </c>
      <c r="S520" s="147">
        <v>0</v>
      </c>
      <c r="T520" s="147">
        <v>0</v>
      </c>
      <c r="U520" s="147">
        <v>0</v>
      </c>
      <c r="V520" s="147">
        <v>0</v>
      </c>
      <c r="W520" s="147">
        <v>0</v>
      </c>
      <c r="X520" s="147">
        <v>0</v>
      </c>
      <c r="Y520" s="147">
        <v>0</v>
      </c>
      <c r="Z520" s="147">
        <v>0</v>
      </c>
      <c r="AA520" s="147">
        <v>0</v>
      </c>
      <c r="AB520" s="147">
        <v>0</v>
      </c>
      <c r="AC520" s="147">
        <v>0</v>
      </c>
      <c r="AD520" s="147">
        <v>0</v>
      </c>
      <c r="AE520" s="147">
        <v>0</v>
      </c>
      <c r="AF520" s="147">
        <v>0</v>
      </c>
      <c r="AG520" s="147">
        <v>0</v>
      </c>
      <c r="AH520" s="147">
        <v>0</v>
      </c>
      <c r="AI520" s="147">
        <v>0</v>
      </c>
      <c r="AJ520" s="147">
        <v>0</v>
      </c>
      <c r="AK520" s="147">
        <v>0</v>
      </c>
      <c r="AL520" s="147">
        <v>0</v>
      </c>
      <c r="AM520" s="147">
        <v>0</v>
      </c>
      <c r="AN520" s="147">
        <v>0</v>
      </c>
      <c r="AO520" s="147">
        <v>0</v>
      </c>
      <c r="AP520" s="147">
        <v>0</v>
      </c>
    </row>
    <row r="521" spans="2:42" ht="12.75" customHeight="1">
      <c r="B521" s="122" t="str">
        <v>Pórtico 3 (MG-262)</v>
      </c>
      <c r="C521" s="329" t="str">
        <v>4</v>
      </c>
      <c r="D521" s="329" t="str">
        <v>4.3</v>
      </c>
      <c r="E521" s="329">
        <v>1</v>
      </c>
      <c r="F521" s="329">
        <v>0</v>
      </c>
      <c r="G521" s="122" t="str">
        <v xml:space="preserve">Contornos urbanos e travessias urbanas </v>
      </c>
      <c r="H521" s="122" t="b">
        <v>0</v>
      </c>
      <c r="I521" s="122" t="b">
        <v>0</v>
      </c>
      <c r="J521" s="122" t="b">
        <v>0</v>
      </c>
      <c r="K521" s="122" t="b">
        <v>1</v>
      </c>
      <c r="L521" s="147">
        <v>0</v>
      </c>
      <c r="M521" s="147">
        <v>0</v>
      </c>
      <c r="N521" s="147">
        <v>0</v>
      </c>
      <c r="O521" s="147">
        <v>0</v>
      </c>
      <c r="P521" s="147">
        <v>0</v>
      </c>
      <c r="Q521" s="147">
        <v>0</v>
      </c>
      <c r="R521" s="147">
        <v>0</v>
      </c>
      <c r="S521" s="147">
        <v>0</v>
      </c>
      <c r="T521" s="147">
        <v>0</v>
      </c>
      <c r="U521" s="147">
        <v>0</v>
      </c>
      <c r="V521" s="147">
        <v>0</v>
      </c>
      <c r="W521" s="147">
        <v>0</v>
      </c>
      <c r="X521" s="147">
        <v>0</v>
      </c>
      <c r="Y521" s="147">
        <v>0</v>
      </c>
      <c r="Z521" s="147">
        <v>0</v>
      </c>
      <c r="AA521" s="147">
        <v>0</v>
      </c>
      <c r="AB521" s="147">
        <v>0</v>
      </c>
      <c r="AC521" s="147">
        <v>0</v>
      </c>
      <c r="AD521" s="147">
        <v>0</v>
      </c>
      <c r="AE521" s="147">
        <v>0</v>
      </c>
      <c r="AF521" s="147">
        <v>0</v>
      </c>
      <c r="AG521" s="147">
        <v>0</v>
      </c>
      <c r="AH521" s="147">
        <v>0</v>
      </c>
      <c r="AI521" s="147">
        <v>0</v>
      </c>
      <c r="AJ521" s="147">
        <v>0</v>
      </c>
      <c r="AK521" s="147">
        <v>0</v>
      </c>
      <c r="AL521" s="147">
        <v>0</v>
      </c>
      <c r="AM521" s="147">
        <v>0</v>
      </c>
      <c r="AN521" s="147">
        <v>0</v>
      </c>
      <c r="AO521" s="147">
        <v>0</v>
      </c>
      <c r="AP521" s="147">
        <v>0</v>
      </c>
    </row>
    <row r="522" spans="2:42" ht="12.75" customHeight="1">
      <c r="B522" s="122" t="str">
        <v>Pórtico 3 (MG-262)</v>
      </c>
      <c r="C522" s="329" t="str">
        <v>4</v>
      </c>
      <c r="D522" s="329" t="str">
        <v>4.4</v>
      </c>
      <c r="E522" s="329">
        <v>1</v>
      </c>
      <c r="F522" s="329">
        <v>0</v>
      </c>
      <c r="G522" s="122" t="str">
        <v xml:space="preserve">Faixas adicionais </v>
      </c>
      <c r="H522" s="122" t="b">
        <v>0</v>
      </c>
      <c r="I522" s="122" t="b">
        <v>0</v>
      </c>
      <c r="J522" s="122" t="b">
        <v>0</v>
      </c>
      <c r="K522" s="122" t="b">
        <v>1</v>
      </c>
      <c r="L522" s="147">
        <v>0</v>
      </c>
      <c r="M522" s="147">
        <v>0</v>
      </c>
      <c r="N522" s="147">
        <v>9023326.3842203151</v>
      </c>
      <c r="O522" s="147">
        <v>41531119.271397069</v>
      </c>
      <c r="P522" s="147">
        <v>35675758.309870161</v>
      </c>
      <c r="Q522" s="147">
        <v>29344098.972681198</v>
      </c>
      <c r="R522" s="147">
        <v>0</v>
      </c>
      <c r="S522" s="147">
        <v>0</v>
      </c>
      <c r="T522" s="147">
        <v>0</v>
      </c>
      <c r="U522" s="147">
        <v>0</v>
      </c>
      <c r="V522" s="147">
        <v>0</v>
      </c>
      <c r="W522" s="147">
        <v>0</v>
      </c>
      <c r="X522" s="147">
        <v>0</v>
      </c>
      <c r="Y522" s="147">
        <v>0</v>
      </c>
      <c r="Z522" s="147">
        <v>0</v>
      </c>
      <c r="AA522" s="147">
        <v>0</v>
      </c>
      <c r="AB522" s="147">
        <v>0</v>
      </c>
      <c r="AC522" s="147">
        <v>0</v>
      </c>
      <c r="AD522" s="147">
        <v>0</v>
      </c>
      <c r="AE522" s="147">
        <v>0</v>
      </c>
      <c r="AF522" s="147">
        <v>0</v>
      </c>
      <c r="AG522" s="147">
        <v>0</v>
      </c>
      <c r="AH522" s="147">
        <v>0</v>
      </c>
      <c r="AI522" s="147">
        <v>0</v>
      </c>
      <c r="AJ522" s="147">
        <v>0</v>
      </c>
      <c r="AK522" s="147">
        <v>0</v>
      </c>
      <c r="AL522" s="147">
        <v>0</v>
      </c>
      <c r="AM522" s="147">
        <v>0</v>
      </c>
      <c r="AN522" s="147">
        <v>0</v>
      </c>
      <c r="AO522" s="147">
        <v>0</v>
      </c>
      <c r="AP522" s="147">
        <v>115574302.93816873</v>
      </c>
    </row>
    <row r="523" spans="2:42" ht="12.75" customHeight="1">
      <c r="B523" s="122" t="str">
        <v>Pórtico 3 (MG-262)</v>
      </c>
      <c r="C523" s="329" t="str">
        <v>4</v>
      </c>
      <c r="D523" s="329" t="str">
        <v>4.5</v>
      </c>
      <c r="E523" s="329">
        <v>1</v>
      </c>
      <c r="F523" s="329">
        <v>0</v>
      </c>
      <c r="G523" s="122" t="str">
        <v xml:space="preserve">Acostamentos e adequação de plataforma </v>
      </c>
      <c r="H523" s="122" t="b">
        <v>0</v>
      </c>
      <c r="I523" s="122" t="b">
        <v>0</v>
      </c>
      <c r="J523" s="122" t="b">
        <v>0</v>
      </c>
      <c r="K523" s="122" t="b">
        <v>1</v>
      </c>
      <c r="L523" s="147">
        <v>0</v>
      </c>
      <c r="M523" s="147">
        <v>0</v>
      </c>
      <c r="N523" s="147">
        <v>14271364.87801853</v>
      </c>
      <c r="O523" s="147">
        <v>33304773.802972753</v>
      </c>
      <c r="P523" s="147">
        <v>26249668.152612593</v>
      </c>
      <c r="Q523" s="147">
        <v>50174286.299207993</v>
      </c>
      <c r="R523" s="147">
        <v>0</v>
      </c>
      <c r="S523" s="147">
        <v>0</v>
      </c>
      <c r="T523" s="147">
        <v>0</v>
      </c>
      <c r="U523" s="147">
        <v>0</v>
      </c>
      <c r="V523" s="147">
        <v>0</v>
      </c>
      <c r="W523" s="147">
        <v>0</v>
      </c>
      <c r="X523" s="147">
        <v>0</v>
      </c>
      <c r="Y523" s="147">
        <v>0</v>
      </c>
      <c r="Z523" s="147">
        <v>0</v>
      </c>
      <c r="AA523" s="147">
        <v>0</v>
      </c>
      <c r="AB523" s="147">
        <v>0</v>
      </c>
      <c r="AC523" s="147">
        <v>0</v>
      </c>
      <c r="AD523" s="147">
        <v>0</v>
      </c>
      <c r="AE523" s="147">
        <v>0</v>
      </c>
      <c r="AF523" s="147">
        <v>0</v>
      </c>
      <c r="AG523" s="147">
        <v>0</v>
      </c>
      <c r="AH523" s="147">
        <v>0</v>
      </c>
      <c r="AI523" s="147">
        <v>0</v>
      </c>
      <c r="AJ523" s="147">
        <v>0</v>
      </c>
      <c r="AK523" s="147">
        <v>0</v>
      </c>
      <c r="AL523" s="147">
        <v>0</v>
      </c>
      <c r="AM523" s="147">
        <v>0</v>
      </c>
      <c r="AN523" s="147">
        <v>0</v>
      </c>
      <c r="AO523" s="147">
        <v>0</v>
      </c>
      <c r="AP523" s="147">
        <v>124000093.13281187</v>
      </c>
    </row>
    <row r="524" spans="2:42" ht="12.75" customHeight="1">
      <c r="B524" s="122" t="str">
        <v>Pórtico 3 (MG-262)</v>
      </c>
      <c r="C524" s="329" t="str">
        <v>4</v>
      </c>
      <c r="D524" s="329" t="str">
        <v>4.6</v>
      </c>
      <c r="E524" s="329">
        <v>1</v>
      </c>
      <c r="F524" s="329">
        <v>0</v>
      </c>
      <c r="G524" s="122" t="str">
        <v>Implantação de oae</v>
      </c>
      <c r="H524" s="122" t="b">
        <v>0</v>
      </c>
      <c r="I524" s="122" t="b">
        <v>0</v>
      </c>
      <c r="J524" s="122" t="b">
        <v>0</v>
      </c>
      <c r="K524" s="122" t="b">
        <v>1</v>
      </c>
      <c r="L524" s="147">
        <v>0</v>
      </c>
      <c r="M524" s="147">
        <v>0</v>
      </c>
      <c r="N524" s="147">
        <v>0</v>
      </c>
      <c r="O524" s="147">
        <v>0</v>
      </c>
      <c r="P524" s="147">
        <v>0</v>
      </c>
      <c r="Q524" s="147">
        <v>0</v>
      </c>
      <c r="R524" s="147">
        <v>0</v>
      </c>
      <c r="S524" s="147">
        <v>0</v>
      </c>
      <c r="T524" s="147">
        <v>0</v>
      </c>
      <c r="U524" s="147">
        <v>0</v>
      </c>
      <c r="V524" s="147">
        <v>0</v>
      </c>
      <c r="W524" s="147">
        <v>0</v>
      </c>
      <c r="X524" s="147">
        <v>0</v>
      </c>
      <c r="Y524" s="147">
        <v>0</v>
      </c>
      <c r="Z524" s="147">
        <v>0</v>
      </c>
      <c r="AA524" s="147">
        <v>0</v>
      </c>
      <c r="AB524" s="147">
        <v>0</v>
      </c>
      <c r="AC524" s="147">
        <v>0</v>
      </c>
      <c r="AD524" s="147">
        <v>0</v>
      </c>
      <c r="AE524" s="147">
        <v>0</v>
      </c>
      <c r="AF524" s="147">
        <v>0</v>
      </c>
      <c r="AG524" s="147">
        <v>0</v>
      </c>
      <c r="AH524" s="147">
        <v>0</v>
      </c>
      <c r="AI524" s="147">
        <v>0</v>
      </c>
      <c r="AJ524" s="147">
        <v>0</v>
      </c>
      <c r="AK524" s="147">
        <v>0</v>
      </c>
      <c r="AL524" s="147">
        <v>0</v>
      </c>
      <c r="AM524" s="147">
        <v>0</v>
      </c>
      <c r="AN524" s="147">
        <v>0</v>
      </c>
      <c r="AO524" s="147">
        <v>0</v>
      </c>
      <c r="AP524" s="147">
        <v>0</v>
      </c>
    </row>
    <row r="525" spans="2:42" ht="12.75" customHeight="1">
      <c r="B525" s="122" t="str">
        <v>Pórtico 3 (MG-262)</v>
      </c>
      <c r="C525" s="329" t="str">
        <v>4</v>
      </c>
      <c r="D525" s="329" t="str">
        <v>4.7</v>
      </c>
      <c r="E525" s="329">
        <v>1</v>
      </c>
      <c r="F525" s="329">
        <v>0</v>
      </c>
      <c r="G525" s="122" t="str">
        <v xml:space="preserve">Implantação de dispositivo em nível </v>
      </c>
      <c r="H525" s="122" t="b">
        <v>0</v>
      </c>
      <c r="I525" s="122" t="b">
        <v>0</v>
      </c>
      <c r="J525" s="122" t="b">
        <v>0</v>
      </c>
      <c r="K525" s="122" t="b">
        <v>1</v>
      </c>
      <c r="L525" s="147">
        <v>0</v>
      </c>
      <c r="M525" s="147">
        <v>0</v>
      </c>
      <c r="N525" s="147">
        <v>18475415.532032974</v>
      </c>
      <c r="O525" s="147">
        <v>5861804.5686446112</v>
      </c>
      <c r="P525" s="147">
        <v>11723609.137289222</v>
      </c>
      <c r="Q525" s="147">
        <v>5861804.5686446112</v>
      </c>
      <c r="R525" s="147">
        <v>0</v>
      </c>
      <c r="S525" s="147">
        <v>0</v>
      </c>
      <c r="T525" s="147">
        <v>0</v>
      </c>
      <c r="U525" s="147">
        <v>0</v>
      </c>
      <c r="V525" s="147">
        <v>0</v>
      </c>
      <c r="W525" s="147">
        <v>0</v>
      </c>
      <c r="X525" s="147">
        <v>0</v>
      </c>
      <c r="Y525" s="147">
        <v>0</v>
      </c>
      <c r="Z525" s="147">
        <v>6460283.0527160354</v>
      </c>
      <c r="AA525" s="147">
        <v>0</v>
      </c>
      <c r="AB525" s="147">
        <v>0</v>
      </c>
      <c r="AC525" s="147">
        <v>0</v>
      </c>
      <c r="AD525" s="147">
        <v>0</v>
      </c>
      <c r="AE525" s="147">
        <v>0</v>
      </c>
      <c r="AF525" s="147">
        <v>0</v>
      </c>
      <c r="AG525" s="147">
        <v>0</v>
      </c>
      <c r="AH525" s="147">
        <v>0</v>
      </c>
      <c r="AI525" s="147">
        <v>0</v>
      </c>
      <c r="AJ525" s="147">
        <v>0</v>
      </c>
      <c r="AK525" s="147">
        <v>0</v>
      </c>
      <c r="AL525" s="147">
        <v>0</v>
      </c>
      <c r="AM525" s="147">
        <v>0</v>
      </c>
      <c r="AN525" s="147">
        <v>0</v>
      </c>
      <c r="AO525" s="147">
        <v>0</v>
      </c>
      <c r="AP525" s="147">
        <v>48382916.85932745</v>
      </c>
    </row>
    <row r="526" spans="2:42" ht="12.75" customHeight="1">
      <c r="B526" s="122" t="str">
        <v>Pórtico 3 (MG-262)</v>
      </c>
      <c r="C526" s="329" t="str">
        <v>4</v>
      </c>
      <c r="D526" s="329" t="str">
        <v>4.8</v>
      </c>
      <c r="E526" s="329">
        <v>1</v>
      </c>
      <c r="F526" s="329">
        <v>0</v>
      </c>
      <c r="G526" s="122" t="str">
        <v>Adequação oae - alargamento e trem tipo</v>
      </c>
      <c r="H526" s="122" t="b">
        <v>0</v>
      </c>
      <c r="I526" s="122" t="b">
        <v>0</v>
      </c>
      <c r="J526" s="122" t="b">
        <v>0</v>
      </c>
      <c r="K526" s="122" t="b">
        <v>1</v>
      </c>
      <c r="L526" s="147">
        <v>0</v>
      </c>
      <c r="M526" s="147">
        <v>0</v>
      </c>
      <c r="N526" s="147">
        <v>0</v>
      </c>
      <c r="O526" s="147">
        <v>5595912.2767431997</v>
      </c>
      <c r="P526" s="147">
        <v>0</v>
      </c>
      <c r="Q526" s="147">
        <v>3169467.2530193864</v>
      </c>
      <c r="R526" s="147">
        <v>0</v>
      </c>
      <c r="S526" s="147">
        <v>0</v>
      </c>
      <c r="T526" s="147">
        <v>0</v>
      </c>
      <c r="U526" s="147">
        <v>0</v>
      </c>
      <c r="V526" s="147">
        <v>0</v>
      </c>
      <c r="W526" s="147">
        <v>0</v>
      </c>
      <c r="X526" s="147">
        <v>0</v>
      </c>
      <c r="Y526" s="147">
        <v>0</v>
      </c>
      <c r="Z526" s="147">
        <v>0</v>
      </c>
      <c r="AA526" s="147">
        <v>0</v>
      </c>
      <c r="AB526" s="147">
        <v>0</v>
      </c>
      <c r="AC526" s="147">
        <v>0</v>
      </c>
      <c r="AD526" s="147">
        <v>0</v>
      </c>
      <c r="AE526" s="147">
        <v>0</v>
      </c>
      <c r="AF526" s="147">
        <v>0</v>
      </c>
      <c r="AG526" s="147">
        <v>0</v>
      </c>
      <c r="AH526" s="147">
        <v>0</v>
      </c>
      <c r="AI526" s="147">
        <v>0</v>
      </c>
      <c r="AJ526" s="147">
        <v>0</v>
      </c>
      <c r="AK526" s="147">
        <v>0</v>
      </c>
      <c r="AL526" s="147">
        <v>0</v>
      </c>
      <c r="AM526" s="147">
        <v>0</v>
      </c>
      <c r="AN526" s="147">
        <v>0</v>
      </c>
      <c r="AO526" s="147">
        <v>0</v>
      </c>
      <c r="AP526" s="147">
        <v>8765379.5297625866</v>
      </c>
    </row>
    <row r="527" spans="2:42" ht="12.75" customHeight="1">
      <c r="B527" s="122" t="str">
        <v>Pórtico 3 (MG-262)</v>
      </c>
      <c r="C527" s="329" t="str">
        <v>4</v>
      </c>
      <c r="D527" s="329" t="str">
        <v>4.9</v>
      </c>
      <c r="E527" s="329">
        <v>1</v>
      </c>
      <c r="F527" s="329">
        <v>0</v>
      </c>
      <c r="G527" s="122" t="str">
        <v xml:space="preserve">Adequação de acessos existentes simples </v>
      </c>
      <c r="H527" s="122" t="b">
        <v>0</v>
      </c>
      <c r="I527" s="122" t="b">
        <v>0</v>
      </c>
      <c r="J527" s="122" t="b">
        <v>0</v>
      </c>
      <c r="K527" s="122" t="b">
        <v>1</v>
      </c>
      <c r="L527" s="147">
        <v>0</v>
      </c>
      <c r="M527" s="147">
        <v>0</v>
      </c>
      <c r="N527" s="147">
        <v>83422.939247915929</v>
      </c>
      <c r="O527" s="147">
        <v>500537.63548749557</v>
      </c>
      <c r="P527" s="147">
        <v>583960.57473541133</v>
      </c>
      <c r="Q527" s="147">
        <v>333691.75699166371</v>
      </c>
      <c r="R527" s="147">
        <v>0</v>
      </c>
      <c r="S527" s="147">
        <v>0</v>
      </c>
      <c r="T527" s="147">
        <v>0</v>
      </c>
      <c r="U527" s="147">
        <v>0</v>
      </c>
      <c r="V527" s="147">
        <v>0</v>
      </c>
      <c r="W527" s="147">
        <v>0</v>
      </c>
      <c r="X527" s="147">
        <v>0</v>
      </c>
      <c r="Y527" s="147">
        <v>0</v>
      </c>
      <c r="Z527" s="147">
        <v>0</v>
      </c>
      <c r="AA527" s="147">
        <v>0</v>
      </c>
      <c r="AB527" s="147">
        <v>0</v>
      </c>
      <c r="AC527" s="147">
        <v>0</v>
      </c>
      <c r="AD527" s="147">
        <v>0</v>
      </c>
      <c r="AE527" s="147">
        <v>0</v>
      </c>
      <c r="AF527" s="147">
        <v>0</v>
      </c>
      <c r="AG527" s="147">
        <v>0</v>
      </c>
      <c r="AH527" s="147">
        <v>0</v>
      </c>
      <c r="AI527" s="147">
        <v>0</v>
      </c>
      <c r="AJ527" s="147">
        <v>0</v>
      </c>
      <c r="AK527" s="147">
        <v>0</v>
      </c>
      <c r="AL527" s="147">
        <v>0</v>
      </c>
      <c r="AM527" s="147">
        <v>0</v>
      </c>
      <c r="AN527" s="147">
        <v>0</v>
      </c>
      <c r="AO527" s="147">
        <v>0</v>
      </c>
      <c r="AP527" s="147">
        <v>1501612.9064624866</v>
      </c>
    </row>
    <row r="528" spans="2:42" ht="12.75" customHeight="1">
      <c r="B528" s="122" t="str">
        <v>Pórtico 3 (MG-262)</v>
      </c>
      <c r="C528" s="329" t="str">
        <v>4</v>
      </c>
      <c r="D528" s="329" t="str">
        <v>4.10</v>
      </c>
      <c r="E528" s="329">
        <v>1</v>
      </c>
      <c r="F528" s="329">
        <v>0</v>
      </c>
      <c r="G528" s="122" t="str">
        <v xml:space="preserve">Adequação de acessos existentes com faixa de aceleração </v>
      </c>
      <c r="H528" s="122" t="b">
        <v>0</v>
      </c>
      <c r="I528" s="122" t="b">
        <v>0</v>
      </c>
      <c r="J528" s="122" t="b">
        <v>0</v>
      </c>
      <c r="K528" s="122" t="b">
        <v>1</v>
      </c>
      <c r="L528" s="147">
        <v>0</v>
      </c>
      <c r="M528" s="147">
        <v>0</v>
      </c>
      <c r="N528" s="147">
        <v>2255806.7329566428</v>
      </c>
      <c r="O528" s="147">
        <v>1691855.0497174819</v>
      </c>
      <c r="P528" s="147">
        <v>3383710.0994349639</v>
      </c>
      <c r="Q528" s="147">
        <v>3947661.7826741254</v>
      </c>
      <c r="R528" s="147">
        <v>0</v>
      </c>
      <c r="S528" s="147">
        <v>0</v>
      </c>
      <c r="T528" s="147">
        <v>0</v>
      </c>
      <c r="U528" s="147">
        <v>0</v>
      </c>
      <c r="V528" s="147">
        <v>0</v>
      </c>
      <c r="W528" s="147">
        <v>0</v>
      </c>
      <c r="X528" s="147">
        <v>0</v>
      </c>
      <c r="Y528" s="147">
        <v>0</v>
      </c>
      <c r="Z528" s="147">
        <v>0</v>
      </c>
      <c r="AA528" s="147">
        <v>0</v>
      </c>
      <c r="AB528" s="147">
        <v>0</v>
      </c>
      <c r="AC528" s="147">
        <v>0</v>
      </c>
      <c r="AD528" s="147">
        <v>0</v>
      </c>
      <c r="AE528" s="147">
        <v>0</v>
      </c>
      <c r="AF528" s="147">
        <v>0</v>
      </c>
      <c r="AG528" s="147">
        <v>0</v>
      </c>
      <c r="AH528" s="147">
        <v>0</v>
      </c>
      <c r="AI528" s="147">
        <v>0</v>
      </c>
      <c r="AJ528" s="147">
        <v>0</v>
      </c>
      <c r="AK528" s="147">
        <v>0</v>
      </c>
      <c r="AL528" s="147">
        <v>0</v>
      </c>
      <c r="AM528" s="147">
        <v>0</v>
      </c>
      <c r="AN528" s="147">
        <v>0</v>
      </c>
      <c r="AO528" s="147">
        <v>0</v>
      </c>
      <c r="AP528" s="147">
        <v>11279033.664783213</v>
      </c>
    </row>
    <row r="529" spans="2:42" ht="12.75" customHeight="1">
      <c r="B529" s="122" t="str">
        <v>Pórtico 3 (MG-262)</v>
      </c>
      <c r="C529" s="329" t="str">
        <v>4</v>
      </c>
      <c r="D529" s="329" t="str">
        <v>4.12</v>
      </c>
      <c r="E529" s="329">
        <v>1</v>
      </c>
      <c r="F529" s="329">
        <v>0</v>
      </c>
      <c r="G529" s="122" t="str">
        <v>Correções de curvas</v>
      </c>
      <c r="H529" s="122" t="b">
        <v>0</v>
      </c>
      <c r="I529" s="122" t="b">
        <v>0</v>
      </c>
      <c r="J529" s="122" t="b">
        <v>0</v>
      </c>
      <c r="K529" s="122" t="b">
        <v>1</v>
      </c>
      <c r="L529" s="147">
        <v>0</v>
      </c>
      <c r="M529" s="147">
        <v>0</v>
      </c>
      <c r="N529" s="147">
        <v>18794803.470668577</v>
      </c>
      <c r="O529" s="147">
        <v>10545727.333931578</v>
      </c>
      <c r="P529" s="147">
        <v>2687994.3679571524</v>
      </c>
      <c r="Q529" s="147">
        <v>2287172.5373400985</v>
      </c>
      <c r="R529" s="147">
        <v>0</v>
      </c>
      <c r="S529" s="147">
        <v>0</v>
      </c>
      <c r="T529" s="147">
        <v>0</v>
      </c>
      <c r="U529" s="147">
        <v>0</v>
      </c>
      <c r="V529" s="147">
        <v>0</v>
      </c>
      <c r="W529" s="147">
        <v>0</v>
      </c>
      <c r="X529" s="147">
        <v>0</v>
      </c>
      <c r="Y529" s="147">
        <v>0</v>
      </c>
      <c r="Z529" s="147">
        <v>0</v>
      </c>
      <c r="AA529" s="147">
        <v>0</v>
      </c>
      <c r="AB529" s="147">
        <v>0</v>
      </c>
      <c r="AC529" s="147">
        <v>0</v>
      </c>
      <c r="AD529" s="147">
        <v>0</v>
      </c>
      <c r="AE529" s="147">
        <v>0</v>
      </c>
      <c r="AF529" s="147">
        <v>0</v>
      </c>
      <c r="AG529" s="147">
        <v>0</v>
      </c>
      <c r="AH529" s="147">
        <v>0</v>
      </c>
      <c r="AI529" s="147">
        <v>0</v>
      </c>
      <c r="AJ529" s="147">
        <v>0</v>
      </c>
      <c r="AK529" s="147">
        <v>0</v>
      </c>
      <c r="AL529" s="147">
        <v>0</v>
      </c>
      <c r="AM529" s="147">
        <v>0</v>
      </c>
      <c r="AN529" s="147">
        <v>0</v>
      </c>
      <c r="AO529" s="147">
        <v>0</v>
      </c>
      <c r="AP529" s="147">
        <v>34315697.709897406</v>
      </c>
    </row>
    <row r="530" spans="2:42" ht="12.75" customHeight="1">
      <c r="B530" s="122" t="str">
        <v>Pórtico 3 (MG-262)</v>
      </c>
      <c r="C530" s="329" t="str">
        <v>4</v>
      </c>
      <c r="D530" s="329" t="str">
        <v>4.13</v>
      </c>
      <c r="E530" s="329">
        <v>1</v>
      </c>
      <c r="F530" s="329">
        <v>0</v>
      </c>
      <c r="G530" s="122" t="str">
        <v>Passarelas</v>
      </c>
      <c r="H530" s="122" t="b">
        <v>0</v>
      </c>
      <c r="I530" s="122" t="b">
        <v>0</v>
      </c>
      <c r="J530" s="122" t="b">
        <v>0</v>
      </c>
      <c r="K530" s="122" t="b">
        <v>1</v>
      </c>
      <c r="L530" s="147">
        <v>0</v>
      </c>
      <c r="M530" s="147">
        <v>0</v>
      </c>
      <c r="N530" s="147">
        <v>0</v>
      </c>
      <c r="O530" s="147">
        <v>0</v>
      </c>
      <c r="P530" s="147">
        <v>0</v>
      </c>
      <c r="Q530" s="147">
        <v>0</v>
      </c>
      <c r="R530" s="147">
        <v>0</v>
      </c>
      <c r="S530" s="147">
        <v>0</v>
      </c>
      <c r="T530" s="147">
        <v>0</v>
      </c>
      <c r="U530" s="147">
        <v>0</v>
      </c>
      <c r="V530" s="147">
        <v>0</v>
      </c>
      <c r="W530" s="147">
        <v>0</v>
      </c>
      <c r="X530" s="147">
        <v>0</v>
      </c>
      <c r="Y530" s="147">
        <v>0</v>
      </c>
      <c r="Z530" s="147">
        <v>0</v>
      </c>
      <c r="AA530" s="147">
        <v>0</v>
      </c>
      <c r="AB530" s="147">
        <v>0</v>
      </c>
      <c r="AC530" s="147">
        <v>0</v>
      </c>
      <c r="AD530" s="147">
        <v>0</v>
      </c>
      <c r="AE530" s="147">
        <v>0</v>
      </c>
      <c r="AF530" s="147">
        <v>0</v>
      </c>
      <c r="AG530" s="147">
        <v>0</v>
      </c>
      <c r="AH530" s="147">
        <v>0</v>
      </c>
      <c r="AI530" s="147">
        <v>0</v>
      </c>
      <c r="AJ530" s="147">
        <v>0</v>
      </c>
      <c r="AK530" s="147">
        <v>0</v>
      </c>
      <c r="AL530" s="147">
        <v>0</v>
      </c>
      <c r="AM530" s="147">
        <v>0</v>
      </c>
      <c r="AN530" s="147">
        <v>0</v>
      </c>
      <c r="AO530" s="147">
        <v>0</v>
      </c>
      <c r="AP530" s="147">
        <v>0</v>
      </c>
    </row>
    <row r="531" spans="2:42" ht="12.75" customHeight="1">
      <c r="B531" s="122" t="str">
        <v>Pórtico 3 (MG-262)</v>
      </c>
      <c r="C531" s="329" t="str">
        <v>4</v>
      </c>
      <c r="D531" s="329" t="str">
        <v>4.14</v>
      </c>
      <c r="E531" s="329">
        <v>1</v>
      </c>
      <c r="F531" s="329">
        <v>0</v>
      </c>
      <c r="G531" s="122" t="str">
        <v xml:space="preserve">Paradas de ônibus sem baia </v>
      </c>
      <c r="H531" s="122" t="b">
        <v>0</v>
      </c>
      <c r="I531" s="122" t="b">
        <v>0</v>
      </c>
      <c r="J531" s="122" t="b">
        <v>0</v>
      </c>
      <c r="K531" s="122" t="b">
        <v>1</v>
      </c>
      <c r="L531" s="147">
        <v>0</v>
      </c>
      <c r="M531" s="147">
        <v>0</v>
      </c>
      <c r="N531" s="147">
        <v>0</v>
      </c>
      <c r="O531" s="147">
        <v>0</v>
      </c>
      <c r="P531" s="147">
        <v>0</v>
      </c>
      <c r="Q531" s="147">
        <v>0</v>
      </c>
      <c r="R531" s="147">
        <v>0</v>
      </c>
      <c r="S531" s="147">
        <v>0</v>
      </c>
      <c r="T531" s="147">
        <v>0</v>
      </c>
      <c r="U531" s="147">
        <v>0</v>
      </c>
      <c r="V531" s="147">
        <v>0</v>
      </c>
      <c r="W531" s="147">
        <v>0</v>
      </c>
      <c r="X531" s="147">
        <v>0</v>
      </c>
      <c r="Y531" s="147">
        <v>0</v>
      </c>
      <c r="Z531" s="147">
        <v>0</v>
      </c>
      <c r="AA531" s="147">
        <v>0</v>
      </c>
      <c r="AB531" s="147">
        <v>0</v>
      </c>
      <c r="AC531" s="147">
        <v>0</v>
      </c>
      <c r="AD531" s="147">
        <v>0</v>
      </c>
      <c r="AE531" s="147">
        <v>0</v>
      </c>
      <c r="AF531" s="147">
        <v>0</v>
      </c>
      <c r="AG531" s="147">
        <v>0</v>
      </c>
      <c r="AH531" s="147">
        <v>0</v>
      </c>
      <c r="AI531" s="147">
        <v>0</v>
      </c>
      <c r="AJ531" s="147">
        <v>0</v>
      </c>
      <c r="AK531" s="147">
        <v>0</v>
      </c>
      <c r="AL531" s="147">
        <v>0</v>
      </c>
      <c r="AM531" s="147">
        <v>0</v>
      </c>
      <c r="AN531" s="147">
        <v>0</v>
      </c>
      <c r="AO531" s="147">
        <v>0</v>
      </c>
      <c r="AP531" s="147">
        <v>0</v>
      </c>
    </row>
    <row r="532" spans="2:42" ht="12.75" customHeight="1">
      <c r="B532" s="122" t="str">
        <v>Pórtico 3 (MG-262)</v>
      </c>
      <c r="C532" s="329" t="str">
        <v>4</v>
      </c>
      <c r="D532" s="329" t="str">
        <v>4.15</v>
      </c>
      <c r="E532" s="329">
        <v>1</v>
      </c>
      <c r="F532" s="329">
        <v>0</v>
      </c>
      <c r="G532" s="122" t="str">
        <v xml:space="preserve">Paradas de ônibus com baia </v>
      </c>
      <c r="H532" s="122" t="b">
        <v>0</v>
      </c>
      <c r="I532" s="122" t="b">
        <v>0</v>
      </c>
      <c r="J532" s="122" t="b">
        <v>0</v>
      </c>
      <c r="K532" s="122" t="b">
        <v>1</v>
      </c>
      <c r="L532" s="147">
        <v>0</v>
      </c>
      <c r="M532" s="147">
        <v>0</v>
      </c>
      <c r="N532" s="147">
        <v>946143.92717393092</v>
      </c>
      <c r="O532" s="147">
        <v>189228.78543478623</v>
      </c>
      <c r="P532" s="147">
        <v>1135372.7126087171</v>
      </c>
      <c r="Q532" s="147">
        <v>946143.92717393115</v>
      </c>
      <c r="R532" s="147">
        <v>0</v>
      </c>
      <c r="S532" s="147">
        <v>0</v>
      </c>
      <c r="T532" s="147">
        <v>0</v>
      </c>
      <c r="U532" s="147">
        <v>0</v>
      </c>
      <c r="V532" s="147">
        <v>0</v>
      </c>
      <c r="W532" s="147">
        <v>0</v>
      </c>
      <c r="X532" s="147">
        <v>0</v>
      </c>
      <c r="Y532" s="147">
        <v>0</v>
      </c>
      <c r="Z532" s="147">
        <v>0</v>
      </c>
      <c r="AA532" s="147">
        <v>0</v>
      </c>
      <c r="AB532" s="147">
        <v>0</v>
      </c>
      <c r="AC532" s="147">
        <v>0</v>
      </c>
      <c r="AD532" s="147">
        <v>0</v>
      </c>
      <c r="AE532" s="147">
        <v>0</v>
      </c>
      <c r="AF532" s="147">
        <v>0</v>
      </c>
      <c r="AG532" s="147">
        <v>0</v>
      </c>
      <c r="AH532" s="147">
        <v>0</v>
      </c>
      <c r="AI532" s="147">
        <v>0</v>
      </c>
      <c r="AJ532" s="147">
        <v>0</v>
      </c>
      <c r="AK532" s="147">
        <v>0</v>
      </c>
      <c r="AL532" s="147">
        <v>0</v>
      </c>
      <c r="AM532" s="147">
        <v>0</v>
      </c>
      <c r="AN532" s="147">
        <v>0</v>
      </c>
      <c r="AO532" s="147">
        <v>0</v>
      </c>
      <c r="AP532" s="147">
        <v>3216889.3523913654</v>
      </c>
    </row>
    <row r="533" spans="2:42" ht="12.75" customHeight="1">
      <c r="B533" s="122" t="str">
        <v>Pórtico 3 (MG-262)</v>
      </c>
      <c r="C533" s="329" t="str">
        <v>4</v>
      </c>
      <c r="D533" s="329" t="str">
        <v>4.17</v>
      </c>
      <c r="E533" s="329">
        <v>1</v>
      </c>
      <c r="F533" s="329">
        <v>0</v>
      </c>
      <c r="G533" s="122" t="str">
        <v>Administração local (%)</v>
      </c>
      <c r="H533" s="122" t="b">
        <v>0</v>
      </c>
      <c r="I533" s="122" t="b">
        <v>0</v>
      </c>
      <c r="J533" s="122" t="b">
        <v>0</v>
      </c>
      <c r="K533" s="122" t="b">
        <v>1</v>
      </c>
      <c r="L533" s="147">
        <v>0</v>
      </c>
      <c r="M533" s="147">
        <v>1671.4684548926793</v>
      </c>
      <c r="N533" s="147">
        <v>786780.07633969991</v>
      </c>
      <c r="O533" s="147">
        <v>1225391.5694685637</v>
      </c>
      <c r="P533" s="147">
        <v>1092373.2474249986</v>
      </c>
      <c r="Q533" s="147">
        <v>1181591.2233021159</v>
      </c>
      <c r="R533" s="147">
        <v>0</v>
      </c>
      <c r="S533" s="147">
        <v>0</v>
      </c>
      <c r="T533" s="147">
        <v>0</v>
      </c>
      <c r="U533" s="147">
        <v>0</v>
      </c>
      <c r="V533" s="147">
        <v>0</v>
      </c>
      <c r="W533" s="147">
        <v>0</v>
      </c>
      <c r="X533" s="147">
        <v>0</v>
      </c>
      <c r="Y533" s="147">
        <v>0</v>
      </c>
      <c r="Z533" s="147">
        <v>593797.0515484073</v>
      </c>
      <c r="AA533" s="147">
        <v>0</v>
      </c>
      <c r="AB533" s="147">
        <v>0</v>
      </c>
      <c r="AC533" s="147">
        <v>0</v>
      </c>
      <c r="AD533" s="147">
        <v>0</v>
      </c>
      <c r="AE533" s="147">
        <v>0</v>
      </c>
      <c r="AF533" s="147">
        <v>0</v>
      </c>
      <c r="AG533" s="147">
        <v>0</v>
      </c>
      <c r="AH533" s="147">
        <v>0</v>
      </c>
      <c r="AI533" s="147">
        <v>0</v>
      </c>
      <c r="AJ533" s="147">
        <v>0</v>
      </c>
      <c r="AK533" s="147">
        <v>0</v>
      </c>
      <c r="AL533" s="147">
        <v>0</v>
      </c>
      <c r="AM533" s="147">
        <v>0</v>
      </c>
      <c r="AN533" s="147">
        <v>0</v>
      </c>
      <c r="AO533" s="147">
        <v>0</v>
      </c>
      <c r="AP533" s="147">
        <v>4881604.6365386778</v>
      </c>
    </row>
    <row r="534" spans="2:42" ht="12.75" customHeight="1">
      <c r="B534" s="122" t="str">
        <v>Pórtico 3 (MG-262)</v>
      </c>
      <c r="C534" s="329" t="str">
        <v>4</v>
      </c>
      <c r="D534" s="329" t="str">
        <v>4.18</v>
      </c>
      <c r="E534" s="329">
        <v>1</v>
      </c>
      <c r="F534" s="329">
        <v>0</v>
      </c>
      <c r="G534" s="122" t="str">
        <v>Canteiro de obras (%)</v>
      </c>
      <c r="H534" s="122" t="b">
        <v>0</v>
      </c>
      <c r="I534" s="122" t="b">
        <v>0</v>
      </c>
      <c r="J534" s="122" t="b">
        <v>0</v>
      </c>
      <c r="K534" s="122" t="b">
        <v>1</v>
      </c>
      <c r="L534" s="147">
        <v>0</v>
      </c>
      <c r="M534" s="147">
        <v>421.26440733067523</v>
      </c>
      <c r="N534" s="147">
        <v>198294.16558155036</v>
      </c>
      <c r="O534" s="147">
        <v>308838.52563841845</v>
      </c>
      <c r="P534" s="147">
        <v>275313.58268434927</v>
      </c>
      <c r="Q534" s="147">
        <v>297799.41400297231</v>
      </c>
      <c r="R534" s="147">
        <v>0</v>
      </c>
      <c r="S534" s="147">
        <v>0</v>
      </c>
      <c r="T534" s="147">
        <v>0</v>
      </c>
      <c r="U534" s="147">
        <v>0</v>
      </c>
      <c r="V534" s="147">
        <v>0</v>
      </c>
      <c r="W534" s="147">
        <v>0</v>
      </c>
      <c r="X534" s="147">
        <v>0</v>
      </c>
      <c r="Y534" s="147">
        <v>0</v>
      </c>
      <c r="Z534" s="147">
        <v>149656.1674634197</v>
      </c>
      <c r="AA534" s="147">
        <v>0</v>
      </c>
      <c r="AB534" s="147">
        <v>0</v>
      </c>
      <c r="AC534" s="147">
        <v>0</v>
      </c>
      <c r="AD534" s="147">
        <v>0</v>
      </c>
      <c r="AE534" s="147">
        <v>0</v>
      </c>
      <c r="AF534" s="147">
        <v>0</v>
      </c>
      <c r="AG534" s="147">
        <v>0</v>
      </c>
      <c r="AH534" s="147">
        <v>0</v>
      </c>
      <c r="AI534" s="147">
        <v>0</v>
      </c>
      <c r="AJ534" s="147">
        <v>0</v>
      </c>
      <c r="AK534" s="147">
        <v>0</v>
      </c>
      <c r="AL534" s="147">
        <v>0</v>
      </c>
      <c r="AM534" s="147">
        <v>0</v>
      </c>
      <c r="AN534" s="147">
        <v>0</v>
      </c>
      <c r="AO534" s="147">
        <v>0</v>
      </c>
      <c r="AP534" s="147">
        <v>1230323.1197780408</v>
      </c>
    </row>
    <row r="535" spans="2:42" ht="12.75" customHeight="1">
      <c r="B535" s="122" t="str">
        <v>Pórtico 3 (MG-262)</v>
      </c>
      <c r="C535" s="329" t="str">
        <v>4</v>
      </c>
      <c r="D535" s="329" t="str">
        <v>4.19</v>
      </c>
      <c r="E535" s="329">
        <v>1</v>
      </c>
      <c r="F535" s="329">
        <v>0</v>
      </c>
      <c r="G535" s="122" t="str">
        <v>Mobilização e desmobilização (%)</v>
      </c>
      <c r="H535" s="122" t="b">
        <v>0</v>
      </c>
      <c r="I535" s="122" t="b">
        <v>0</v>
      </c>
      <c r="J535" s="122" t="b">
        <v>0</v>
      </c>
      <c r="K535" s="122" t="b">
        <v>1</v>
      </c>
      <c r="L535" s="147">
        <v>0</v>
      </c>
      <c r="M535" s="147">
        <v>7.8817211694126339</v>
      </c>
      <c r="N535" s="147">
        <v>3710.0198721709426</v>
      </c>
      <c r="O535" s="147">
        <v>5778.2691893639585</v>
      </c>
      <c r="P535" s="147">
        <v>5151.0283211910501</v>
      </c>
      <c r="Q535" s="147">
        <v>5571.7309716685149</v>
      </c>
      <c r="R535" s="147">
        <v>0</v>
      </c>
      <c r="S535" s="147">
        <v>0</v>
      </c>
      <c r="T535" s="147">
        <v>0</v>
      </c>
      <c r="U535" s="147">
        <v>0</v>
      </c>
      <c r="V535" s="147">
        <v>0</v>
      </c>
      <c r="W535" s="147">
        <v>0</v>
      </c>
      <c r="X535" s="147">
        <v>0</v>
      </c>
      <c r="Y535" s="147">
        <v>0</v>
      </c>
      <c r="Z535" s="147">
        <v>2800.0186170575303</v>
      </c>
      <c r="AA535" s="147">
        <v>0</v>
      </c>
      <c r="AB535" s="147">
        <v>0</v>
      </c>
      <c r="AC535" s="147">
        <v>0</v>
      </c>
      <c r="AD535" s="147">
        <v>0</v>
      </c>
      <c r="AE535" s="147">
        <v>0</v>
      </c>
      <c r="AF535" s="147">
        <v>0</v>
      </c>
      <c r="AG535" s="147">
        <v>0</v>
      </c>
      <c r="AH535" s="147">
        <v>0</v>
      </c>
      <c r="AI535" s="147">
        <v>0</v>
      </c>
      <c r="AJ535" s="147">
        <v>0</v>
      </c>
      <c r="AK535" s="147">
        <v>0</v>
      </c>
      <c r="AL535" s="147">
        <v>0</v>
      </c>
      <c r="AM535" s="147">
        <v>0</v>
      </c>
      <c r="AN535" s="147">
        <v>0</v>
      </c>
      <c r="AO535" s="147">
        <v>0</v>
      </c>
      <c r="AP535" s="147">
        <v>23018.948692621409</v>
      </c>
    </row>
    <row r="536" spans="2:42" ht="12.75" customHeight="1">
      <c r="B536" s="122" t="str">
        <v>Pórtico 3 (MG-262)</v>
      </c>
      <c r="C536" s="329" t="str">
        <v>4</v>
      </c>
      <c r="D536" s="329" t="str">
        <v>4.20</v>
      </c>
      <c r="E536" s="329">
        <v>1</v>
      </c>
      <c r="F536" s="329">
        <v>0</v>
      </c>
      <c r="G536" s="122" t="str">
        <v>Projetos (%)</v>
      </c>
      <c r="H536" s="122" t="b">
        <v>0</v>
      </c>
      <c r="I536" s="122" t="b">
        <v>0</v>
      </c>
      <c r="J536" s="122" t="b">
        <v>0</v>
      </c>
      <c r="K536" s="122" t="b">
        <v>1</v>
      </c>
      <c r="L536" s="147">
        <v>0</v>
      </c>
      <c r="M536" s="147">
        <v>3397.2936075054458</v>
      </c>
      <c r="N536" s="147">
        <v>1599146.4966254064</v>
      </c>
      <c r="O536" s="147">
        <v>2490633.2712775683</v>
      </c>
      <c r="P536" s="147">
        <v>2220270.8280995907</v>
      </c>
      <c r="Q536" s="147">
        <v>2401608.1774433255</v>
      </c>
      <c r="R536" s="147">
        <v>0</v>
      </c>
      <c r="S536" s="147">
        <v>0</v>
      </c>
      <c r="T536" s="147">
        <v>0</v>
      </c>
      <c r="U536" s="147">
        <v>0</v>
      </c>
      <c r="V536" s="147">
        <v>0</v>
      </c>
      <c r="W536" s="147">
        <v>0</v>
      </c>
      <c r="X536" s="147">
        <v>0</v>
      </c>
      <c r="Y536" s="147">
        <v>0</v>
      </c>
      <c r="Z536" s="147">
        <v>1206904.576317901</v>
      </c>
      <c r="AA536" s="147">
        <v>0</v>
      </c>
      <c r="AB536" s="147">
        <v>0</v>
      </c>
      <c r="AC536" s="147">
        <v>0</v>
      </c>
      <c r="AD536" s="147">
        <v>0</v>
      </c>
      <c r="AE536" s="147">
        <v>0</v>
      </c>
      <c r="AF536" s="147">
        <v>0</v>
      </c>
      <c r="AG536" s="147">
        <v>0</v>
      </c>
      <c r="AH536" s="147">
        <v>0</v>
      </c>
      <c r="AI536" s="147">
        <v>0</v>
      </c>
      <c r="AJ536" s="147">
        <v>0</v>
      </c>
      <c r="AK536" s="147">
        <v>0</v>
      </c>
      <c r="AL536" s="147">
        <v>0</v>
      </c>
      <c r="AM536" s="147">
        <v>0</v>
      </c>
      <c r="AN536" s="147">
        <v>0</v>
      </c>
      <c r="AO536" s="147">
        <v>0</v>
      </c>
      <c r="AP536" s="147">
        <v>9921960.643371297</v>
      </c>
    </row>
    <row r="537" spans="2:42" ht="12.75" customHeight="1">
      <c r="B537" s="122" t="str">
        <v>Pórtico 3 (MG-262)</v>
      </c>
      <c r="C537" s="329" t="str">
        <v>3</v>
      </c>
      <c r="D537" s="329">
        <v>3</v>
      </c>
      <c r="E537" s="329">
        <v>1</v>
      </c>
      <c r="F537" s="329">
        <v>0</v>
      </c>
      <c r="G537" s="122" t="str">
        <v>Manutenção da rodovia</v>
      </c>
      <c r="H537" s="122" t="b">
        <v>0</v>
      </c>
      <c r="I537" s="122" t="b">
        <v>0</v>
      </c>
      <c r="J537" s="122" t="b">
        <v>0</v>
      </c>
      <c r="K537" s="122" t="b">
        <v>1</v>
      </c>
      <c r="L537" s="147">
        <v>0</v>
      </c>
      <c r="M537" s="147">
        <v>0</v>
      </c>
      <c r="N537" s="147">
        <v>0</v>
      </c>
      <c r="O537" s="147">
        <v>0</v>
      </c>
      <c r="P537" s="147">
        <v>0</v>
      </c>
      <c r="Q537" s="147">
        <v>0</v>
      </c>
      <c r="R537" s="147">
        <v>0</v>
      </c>
      <c r="S537" s="147">
        <v>0</v>
      </c>
      <c r="T537" s="147">
        <v>0</v>
      </c>
      <c r="U537" s="147">
        <v>0</v>
      </c>
      <c r="V537" s="147">
        <v>0</v>
      </c>
      <c r="W537" s="147">
        <v>0</v>
      </c>
      <c r="X537" s="147">
        <v>0</v>
      </c>
      <c r="Y537" s="147">
        <v>0</v>
      </c>
      <c r="Z537" s="147">
        <v>0</v>
      </c>
      <c r="AA537" s="147">
        <v>0</v>
      </c>
      <c r="AB537" s="147">
        <v>0</v>
      </c>
      <c r="AC537" s="147">
        <v>0</v>
      </c>
      <c r="AD537" s="147">
        <v>0</v>
      </c>
      <c r="AE537" s="147">
        <v>0</v>
      </c>
      <c r="AF537" s="147">
        <v>0</v>
      </c>
      <c r="AG537" s="147">
        <v>0</v>
      </c>
      <c r="AH537" s="147">
        <v>0</v>
      </c>
      <c r="AI537" s="147">
        <v>0</v>
      </c>
      <c r="AJ537" s="147">
        <v>0</v>
      </c>
      <c r="AK537" s="147">
        <v>0</v>
      </c>
      <c r="AL537" s="147">
        <v>0</v>
      </c>
      <c r="AM537" s="147">
        <v>0</v>
      </c>
      <c r="AN537" s="147">
        <v>0</v>
      </c>
      <c r="AO537" s="147">
        <v>0</v>
      </c>
      <c r="AP537" s="147">
        <v>0</v>
      </c>
    </row>
    <row r="538" spans="2:42" ht="12.75" customHeight="1">
      <c r="B538" s="122" t="str">
        <v>Pórtico 3 (MG-262)</v>
      </c>
      <c r="C538" s="329" t="str">
        <v>3</v>
      </c>
      <c r="D538" s="329" t="str">
        <v>3.1</v>
      </c>
      <c r="E538" s="329">
        <v>1</v>
      </c>
      <c r="F538" s="329">
        <v>0</v>
      </c>
      <c r="G538" s="122" t="str">
        <v>Pavimento</v>
      </c>
      <c r="H538" s="122" t="b">
        <v>0</v>
      </c>
      <c r="I538" s="122" t="b">
        <v>0</v>
      </c>
      <c r="J538" s="122" t="b">
        <v>0</v>
      </c>
      <c r="K538" s="122" t="b">
        <v>1</v>
      </c>
      <c r="L538" s="147">
        <v>0</v>
      </c>
      <c r="M538" s="147">
        <v>0</v>
      </c>
      <c r="N538" s="147">
        <v>0</v>
      </c>
      <c r="O538" s="147">
        <v>0</v>
      </c>
      <c r="P538" s="147">
        <v>0</v>
      </c>
      <c r="Q538" s="147">
        <v>0</v>
      </c>
      <c r="R538" s="147">
        <v>0</v>
      </c>
      <c r="S538" s="147">
        <v>9316919.9392824546</v>
      </c>
      <c r="T538" s="147">
        <v>38092564.777861185</v>
      </c>
      <c r="U538" s="147">
        <v>11259604.135843119</v>
      </c>
      <c r="V538" s="147">
        <v>2511308.4706509407</v>
      </c>
      <c r="W538" s="147">
        <v>0</v>
      </c>
      <c r="X538" s="147">
        <v>0</v>
      </c>
      <c r="Y538" s="147">
        <v>0</v>
      </c>
      <c r="Z538" s="147">
        <v>0</v>
      </c>
      <c r="AA538" s="147">
        <v>0</v>
      </c>
      <c r="AB538" s="147">
        <v>4751985.7384008113</v>
      </c>
      <c r="AC538" s="147">
        <v>57536621.238431826</v>
      </c>
      <c r="AD538" s="147">
        <v>31025686.303109642</v>
      </c>
      <c r="AE538" s="147">
        <v>20191513.540645041</v>
      </c>
      <c r="AF538" s="147">
        <v>6721266.840793957</v>
      </c>
      <c r="AG538" s="147">
        <v>2323897.3907516175</v>
      </c>
      <c r="AH538" s="147">
        <v>974537.61547648488</v>
      </c>
      <c r="AI538" s="147">
        <v>0</v>
      </c>
      <c r="AJ538" s="147">
        <v>1788963.5476124398</v>
      </c>
      <c r="AK538" s="147">
        <v>26501834.942085806</v>
      </c>
      <c r="AL538" s="147">
        <v>18921317.589573741</v>
      </c>
      <c r="AM538" s="147">
        <v>9646247.4086034745</v>
      </c>
      <c r="AN538" s="147">
        <v>0</v>
      </c>
      <c r="AO538" s="147">
        <v>857489.95616844005</v>
      </c>
      <c r="AP538" s="147">
        <v>242421759.43529096</v>
      </c>
    </row>
    <row r="539" spans="2:42" ht="12.75" customHeight="1">
      <c r="B539" s="122" t="str">
        <v>Pórtico 3 (MG-262)</v>
      </c>
      <c r="C539" s="329" t="str">
        <v>3</v>
      </c>
      <c r="D539" s="329" t="str">
        <v>3.2</v>
      </c>
      <c r="E539" s="329">
        <v>1</v>
      </c>
      <c r="F539" s="329">
        <v>0</v>
      </c>
      <c r="G539" s="122" t="str">
        <v>Obras de arte especiais</v>
      </c>
      <c r="H539" s="122" t="b">
        <v>0</v>
      </c>
      <c r="I539" s="122" t="b">
        <v>0</v>
      </c>
      <c r="J539" s="122" t="b">
        <v>0</v>
      </c>
      <c r="K539" s="122" t="b">
        <v>1</v>
      </c>
      <c r="L539" s="147">
        <v>0</v>
      </c>
      <c r="M539" s="147">
        <v>0</v>
      </c>
      <c r="N539" s="147">
        <v>0</v>
      </c>
      <c r="O539" s="147">
        <v>0</v>
      </c>
      <c r="P539" s="147">
        <v>0</v>
      </c>
      <c r="Q539" s="147">
        <v>0</v>
      </c>
      <c r="R539" s="147">
        <v>0</v>
      </c>
      <c r="S539" s="147">
        <v>0</v>
      </c>
      <c r="T539" s="147">
        <v>0</v>
      </c>
      <c r="U539" s="147">
        <v>0</v>
      </c>
      <c r="V539" s="147">
        <v>0</v>
      </c>
      <c r="W539" s="147">
        <v>0</v>
      </c>
      <c r="X539" s="147">
        <v>0</v>
      </c>
      <c r="Y539" s="147">
        <v>0</v>
      </c>
      <c r="Z539" s="147">
        <v>0</v>
      </c>
      <c r="AA539" s="147">
        <v>0</v>
      </c>
      <c r="AB539" s="147">
        <v>0</v>
      </c>
      <c r="AC539" s="147">
        <v>0</v>
      </c>
      <c r="AD539" s="147">
        <v>0</v>
      </c>
      <c r="AE539" s="147">
        <v>0</v>
      </c>
      <c r="AF539" s="147">
        <v>0</v>
      </c>
      <c r="AG539" s="147">
        <v>0</v>
      </c>
      <c r="AH539" s="147">
        <v>0</v>
      </c>
      <c r="AI539" s="147">
        <v>0</v>
      </c>
      <c r="AJ539" s="147">
        <v>0</v>
      </c>
      <c r="AK539" s="147">
        <v>0</v>
      </c>
      <c r="AL539" s="147">
        <v>0</v>
      </c>
      <c r="AM539" s="147">
        <v>0</v>
      </c>
      <c r="AN539" s="147">
        <v>0</v>
      </c>
      <c r="AO539" s="147">
        <v>0</v>
      </c>
      <c r="AP539" s="147">
        <v>0</v>
      </c>
    </row>
    <row r="540" spans="2:42" ht="12.75" customHeight="1">
      <c r="B540" s="122" t="str">
        <v>Pórtico 3 (MG-262)</v>
      </c>
      <c r="C540" s="329" t="str">
        <v>3</v>
      </c>
      <c r="D540" s="329" t="str">
        <v>3.3</v>
      </c>
      <c r="E540" s="329">
        <v>1</v>
      </c>
      <c r="F540" s="329">
        <v>0</v>
      </c>
      <c r="G540" s="122" t="str">
        <v>Drenagem e obras de arte correntes</v>
      </c>
      <c r="H540" s="122" t="b">
        <v>0</v>
      </c>
      <c r="I540" s="122" t="b">
        <v>0</v>
      </c>
      <c r="J540" s="122" t="b">
        <v>0</v>
      </c>
      <c r="K540" s="122" t="b">
        <v>1</v>
      </c>
      <c r="L540" s="147">
        <v>0</v>
      </c>
      <c r="M540" s="147">
        <v>0</v>
      </c>
      <c r="N540" s="147">
        <v>0</v>
      </c>
      <c r="O540" s="147">
        <v>0</v>
      </c>
      <c r="P540" s="147">
        <v>0</v>
      </c>
      <c r="Q540" s="147">
        <v>0</v>
      </c>
      <c r="R540" s="147">
        <v>0</v>
      </c>
      <c r="S540" s="147">
        <v>0</v>
      </c>
      <c r="T540" s="147">
        <v>0</v>
      </c>
      <c r="U540" s="147">
        <v>0</v>
      </c>
      <c r="V540" s="147">
        <v>0</v>
      </c>
      <c r="W540" s="147">
        <v>0</v>
      </c>
      <c r="X540" s="147">
        <v>0</v>
      </c>
      <c r="Y540" s="147">
        <v>0</v>
      </c>
      <c r="Z540" s="147">
        <v>0</v>
      </c>
      <c r="AA540" s="147">
        <v>0</v>
      </c>
      <c r="AB540" s="147">
        <v>0</v>
      </c>
      <c r="AC540" s="147">
        <v>0</v>
      </c>
      <c r="AD540" s="147">
        <v>0</v>
      </c>
      <c r="AE540" s="147">
        <v>0</v>
      </c>
      <c r="AF540" s="147">
        <v>0</v>
      </c>
      <c r="AG540" s="147">
        <v>0</v>
      </c>
      <c r="AH540" s="147">
        <v>0</v>
      </c>
      <c r="AI540" s="147">
        <v>0</v>
      </c>
      <c r="AJ540" s="147">
        <v>0</v>
      </c>
      <c r="AK540" s="147">
        <v>0</v>
      </c>
      <c r="AL540" s="147">
        <v>0</v>
      </c>
      <c r="AM540" s="147">
        <v>0</v>
      </c>
      <c r="AN540" s="147">
        <v>0</v>
      </c>
      <c r="AO540" s="147">
        <v>0</v>
      </c>
      <c r="AP540" s="147">
        <v>0</v>
      </c>
    </row>
    <row r="541" spans="2:42" ht="12.75" customHeight="1">
      <c r="B541" s="122" t="str">
        <v>Pórtico 3 (MG-262)</v>
      </c>
      <c r="C541" s="329" t="str">
        <v>3</v>
      </c>
      <c r="D541" s="329" t="str">
        <v>3.4</v>
      </c>
      <c r="E541" s="329">
        <v>1</v>
      </c>
      <c r="F541" s="329">
        <v>0</v>
      </c>
      <c r="G541" s="122" t="str">
        <v xml:space="preserve">Sinalização e dispositivos de proteção e segurança </v>
      </c>
      <c r="H541" s="122" t="b">
        <v>0</v>
      </c>
      <c r="I541" s="122" t="b">
        <v>0</v>
      </c>
      <c r="J541" s="122" t="b">
        <v>0</v>
      </c>
      <c r="K541" s="122" t="b">
        <v>1</v>
      </c>
      <c r="L541" s="147">
        <v>0</v>
      </c>
      <c r="M541" s="147">
        <v>0</v>
      </c>
      <c r="N541" s="147">
        <v>0</v>
      </c>
      <c r="O541" s="147">
        <v>0</v>
      </c>
      <c r="P541" s="147">
        <v>0</v>
      </c>
      <c r="Q541" s="147">
        <v>0</v>
      </c>
      <c r="R541" s="147">
        <v>0</v>
      </c>
      <c r="S541" s="147">
        <v>325783.84698749997</v>
      </c>
      <c r="T541" s="147">
        <v>1306680.4187918755</v>
      </c>
      <c r="U541" s="147">
        <v>413422.39425562503</v>
      </c>
      <c r="V541" s="147">
        <v>90196.354331250011</v>
      </c>
      <c r="W541" s="147">
        <v>0</v>
      </c>
      <c r="X541" s="147">
        <v>0</v>
      </c>
      <c r="Y541" s="147">
        <v>0</v>
      </c>
      <c r="Z541" s="147">
        <v>0</v>
      </c>
      <c r="AA541" s="147">
        <v>0</v>
      </c>
      <c r="AB541" s="147">
        <v>90196.354331250026</v>
      </c>
      <c r="AC541" s="147">
        <v>1043450.660330625</v>
      </c>
      <c r="AD541" s="147">
        <v>569044.76083312486</v>
      </c>
      <c r="AE541" s="147">
        <v>387844.32362437499</v>
      </c>
      <c r="AF541" s="147">
        <v>125197.92466875</v>
      </c>
      <c r="AG541" s="147">
        <v>83465.283112500008</v>
      </c>
      <c r="AH541" s="147">
        <v>35001.570337500008</v>
      </c>
      <c r="AI541" s="147">
        <v>0</v>
      </c>
      <c r="AJ541" s="147">
        <v>67310.712187500001</v>
      </c>
      <c r="AK541" s="147">
        <v>918701.4737431251</v>
      </c>
      <c r="AL541" s="147">
        <v>681408.77637812507</v>
      </c>
      <c r="AM541" s="147">
        <v>666779.91492937505</v>
      </c>
      <c r="AN541" s="147">
        <v>0</v>
      </c>
      <c r="AO541" s="147">
        <v>67310.712187500001</v>
      </c>
      <c r="AP541" s="147">
        <v>6871795.4810299994</v>
      </c>
    </row>
    <row r="542" spans="2:42" ht="12.75" customHeight="1">
      <c r="B542" s="122" t="str">
        <v>Pórtico 3 (MG-262)</v>
      </c>
      <c r="C542" s="329" t="str">
        <v>3</v>
      </c>
      <c r="D542" s="329" t="str">
        <v>3.5</v>
      </c>
      <c r="E542" s="329">
        <v>1</v>
      </c>
      <c r="F542" s="329">
        <v>0</v>
      </c>
      <c r="G542" s="122" t="str">
        <v>Administração local (%)</v>
      </c>
      <c r="H542" s="122" t="b">
        <v>0</v>
      </c>
      <c r="I542" s="122" t="b">
        <v>0</v>
      </c>
      <c r="J542" s="122" t="b">
        <v>0</v>
      </c>
      <c r="K542" s="122" t="b">
        <v>1</v>
      </c>
      <c r="L542" s="147">
        <v>0</v>
      </c>
      <c r="M542" s="147">
        <v>0</v>
      </c>
      <c r="N542" s="147">
        <v>0</v>
      </c>
      <c r="O542" s="147">
        <v>0</v>
      </c>
      <c r="P542" s="147">
        <v>0</v>
      </c>
      <c r="Q542" s="147">
        <v>0</v>
      </c>
      <c r="R542" s="147">
        <v>0</v>
      </c>
      <c r="S542" s="147">
        <v>118605.25657112044</v>
      </c>
      <c r="T542" s="147">
        <v>484610.71591883263</v>
      </c>
      <c r="U542" s="147">
        <v>143578.22632021457</v>
      </c>
      <c r="V542" s="147">
        <v>31998.509347280946</v>
      </c>
      <c r="W542" s="147">
        <v>0</v>
      </c>
      <c r="X542" s="147">
        <v>0</v>
      </c>
      <c r="Y542" s="147">
        <v>0</v>
      </c>
      <c r="Z542" s="147">
        <v>0</v>
      </c>
      <c r="AA542" s="147">
        <v>0</v>
      </c>
      <c r="AB542" s="147">
        <v>59558.839740604344</v>
      </c>
      <c r="AC542" s="147">
        <v>720534.8843547781</v>
      </c>
      <c r="AD542" s="147">
        <v>388615.19208649598</v>
      </c>
      <c r="AE542" s="147">
        <v>253126.10173051382</v>
      </c>
      <c r="AF542" s="147">
        <v>84211.5166151913</v>
      </c>
      <c r="AG542" s="147">
        <v>29610.560888528646</v>
      </c>
      <c r="AH542" s="147">
        <v>12417.331985512013</v>
      </c>
      <c r="AI542" s="147">
        <v>0</v>
      </c>
      <c r="AJ542" s="147">
        <v>22832.173395539263</v>
      </c>
      <c r="AK542" s="147">
        <v>337272.59791469586</v>
      </c>
      <c r="AL542" s="147">
        <v>241113.53430120795</v>
      </c>
      <c r="AM542" s="147">
        <v>126850.23607945404</v>
      </c>
      <c r="AN542" s="147">
        <v>0</v>
      </c>
      <c r="AO542" s="147">
        <v>11375.048220778062</v>
      </c>
      <c r="AP542" s="147">
        <v>3066310.7254707473</v>
      </c>
    </row>
    <row r="543" spans="2:42" ht="12.75" customHeight="1">
      <c r="B543" s="122" t="str">
        <v>Pórtico 3 (MG-262)</v>
      </c>
      <c r="C543" s="329" t="str">
        <v>3</v>
      </c>
      <c r="D543" s="329" t="str">
        <v>3.6</v>
      </c>
      <c r="E543" s="329">
        <v>1</v>
      </c>
      <c r="F543" s="329">
        <v>0</v>
      </c>
      <c r="G543" s="122" t="str">
        <v>Canteiro de obras (%)</v>
      </c>
      <c r="H543" s="122" t="b">
        <v>0</v>
      </c>
      <c r="I543" s="122" t="b">
        <v>0</v>
      </c>
      <c r="J543" s="122" t="b">
        <v>0</v>
      </c>
      <c r="K543" s="122" t="b">
        <v>1</v>
      </c>
      <c r="L543" s="147">
        <v>0</v>
      </c>
      <c r="M543" s="147">
        <v>0</v>
      </c>
      <c r="N543" s="147">
        <v>0</v>
      </c>
      <c r="O543" s="147">
        <v>0</v>
      </c>
      <c r="P543" s="147">
        <v>0</v>
      </c>
      <c r="Q543" s="147">
        <v>0</v>
      </c>
      <c r="R543" s="147">
        <v>0</v>
      </c>
      <c r="S543" s="147">
        <v>29892.381737436859</v>
      </c>
      <c r="T543" s="147">
        <v>122137.66010962447</v>
      </c>
      <c r="U543" s="147">
        <v>36186.382243306107</v>
      </c>
      <c r="V543" s="147">
        <v>8064.6649574447902</v>
      </c>
      <c r="W543" s="147">
        <v>0</v>
      </c>
      <c r="X543" s="147">
        <v>0</v>
      </c>
      <c r="Y543" s="147">
        <v>0</v>
      </c>
      <c r="Z543" s="147">
        <v>0</v>
      </c>
      <c r="AA543" s="147">
        <v>0</v>
      </c>
      <c r="AB543" s="147">
        <v>15010.764487469387</v>
      </c>
      <c r="AC543" s="147">
        <v>181598.2228861636</v>
      </c>
      <c r="AD543" s="147">
        <v>97943.666298222568</v>
      </c>
      <c r="AE543" s="147">
        <v>63796.009379235184</v>
      </c>
      <c r="AF543" s="147">
        <v>21224.040772934393</v>
      </c>
      <c r="AG543" s="147">
        <v>7462.8242889787634</v>
      </c>
      <c r="AH543" s="147">
        <v>3129.5714760233532</v>
      </c>
      <c r="AI543" s="147">
        <v>0</v>
      </c>
      <c r="AJ543" s="147">
        <v>5754.4502053798142</v>
      </c>
      <c r="AK543" s="147">
        <v>85003.662889069674</v>
      </c>
      <c r="AL543" s="147">
        <v>60768.451734450777</v>
      </c>
      <c r="AM543" s="147">
        <v>31970.384702951833</v>
      </c>
      <c r="AN543" s="147">
        <v>0</v>
      </c>
      <c r="AO543" s="147">
        <v>2866.8820719034143</v>
      </c>
      <c r="AP543" s="147">
        <v>772810.02024059498</v>
      </c>
    </row>
    <row r="544" spans="2:42" ht="12.75" customHeight="1">
      <c r="B544" s="122" t="str">
        <v>Pórtico 3 (MG-262)</v>
      </c>
      <c r="C544" s="329" t="str">
        <v>3</v>
      </c>
      <c r="D544" s="329" t="str">
        <v>3.7</v>
      </c>
      <c r="E544" s="329">
        <v>1</v>
      </c>
      <c r="F544" s="329">
        <v>0</v>
      </c>
      <c r="G544" s="122" t="str">
        <v>Mobilização e desmobilização (%)</v>
      </c>
      <c r="H544" s="122" t="b">
        <v>0</v>
      </c>
      <c r="I544" s="122" t="b">
        <v>0</v>
      </c>
      <c r="J544" s="122" t="b">
        <v>0</v>
      </c>
      <c r="K544" s="122" t="b">
        <v>1</v>
      </c>
      <c r="L544" s="147">
        <v>0</v>
      </c>
      <c r="M544" s="147">
        <v>0</v>
      </c>
      <c r="N544" s="147">
        <v>0</v>
      </c>
      <c r="O544" s="147">
        <v>0</v>
      </c>
      <c r="P544" s="147">
        <v>0</v>
      </c>
      <c r="Q544" s="147">
        <v>0</v>
      </c>
      <c r="R544" s="147">
        <v>0</v>
      </c>
      <c r="S544" s="147">
        <v>559.27681960365737</v>
      </c>
      <c r="T544" s="147">
        <v>2285.1562214058772</v>
      </c>
      <c r="U544" s="147">
        <v>677.03553874572719</v>
      </c>
      <c r="V544" s="147">
        <v>150.88727984896707</v>
      </c>
      <c r="W544" s="147">
        <v>0</v>
      </c>
      <c r="X544" s="147">
        <v>0</v>
      </c>
      <c r="Y544" s="147">
        <v>0</v>
      </c>
      <c r="Z544" s="147">
        <v>0</v>
      </c>
      <c r="AA544" s="147">
        <v>0</v>
      </c>
      <c r="AB544" s="147">
        <v>280.84656137845951</v>
      </c>
      <c r="AC544" s="147">
        <v>3397.644170128222</v>
      </c>
      <c r="AD544" s="147">
        <v>1832.4944017086805</v>
      </c>
      <c r="AE544" s="147">
        <v>1193.602756127626</v>
      </c>
      <c r="AF544" s="147">
        <v>397.09495639683706</v>
      </c>
      <c r="AG544" s="147">
        <v>139.6270350841188</v>
      </c>
      <c r="AH544" s="147">
        <v>58.553272777211127</v>
      </c>
      <c r="AI544" s="147">
        <v>0</v>
      </c>
      <c r="AJ544" s="147">
        <v>107.66390706839651</v>
      </c>
      <c r="AK544" s="147">
        <v>1590.3911121180779</v>
      </c>
      <c r="AL544" s="147">
        <v>1136.9581292252083</v>
      </c>
      <c r="AM544" s="147">
        <v>598.15558476490537</v>
      </c>
      <c r="AN544" s="147">
        <v>0</v>
      </c>
      <c r="AO544" s="147">
        <v>53.638438764644526</v>
      </c>
      <c r="AP544" s="147">
        <v>14459.026185146615</v>
      </c>
    </row>
    <row r="545" spans="2:42" ht="12.75" customHeight="1">
      <c r="B545" s="122" t="str">
        <v>Pórtico 3 (MG-262)</v>
      </c>
      <c r="C545" s="329" t="str">
        <v>3</v>
      </c>
      <c r="D545" s="329" t="str">
        <v>3.8</v>
      </c>
      <c r="E545" s="329">
        <v>1</v>
      </c>
      <c r="F545" s="329">
        <v>0</v>
      </c>
      <c r="G545" s="122" t="str">
        <v>Projetos (%)</v>
      </c>
      <c r="H545" s="122" t="b">
        <v>0</v>
      </c>
      <c r="I545" s="122" t="b">
        <v>0</v>
      </c>
      <c r="J545" s="122" t="b">
        <v>0</v>
      </c>
      <c r="K545" s="122" t="b">
        <v>1</v>
      </c>
      <c r="L545" s="147">
        <v>0</v>
      </c>
      <c r="M545" s="147">
        <v>0</v>
      </c>
      <c r="N545" s="147">
        <v>0</v>
      </c>
      <c r="O545" s="147">
        <v>0</v>
      </c>
      <c r="P545" s="147">
        <v>0</v>
      </c>
      <c r="Q545" s="147">
        <v>0</v>
      </c>
      <c r="R545" s="147">
        <v>0</v>
      </c>
      <c r="S545" s="147">
        <v>241067.59465674887</v>
      </c>
      <c r="T545" s="147">
        <v>984981.12991632638</v>
      </c>
      <c r="U545" s="147">
        <v>291825.66325246863</v>
      </c>
      <c r="V545" s="147">
        <v>65037.620624554766</v>
      </c>
      <c r="W545" s="147">
        <v>0</v>
      </c>
      <c r="X545" s="147">
        <v>0</v>
      </c>
      <c r="Y545" s="147">
        <v>0</v>
      </c>
      <c r="Z545" s="147">
        <v>0</v>
      </c>
      <c r="AA545" s="147">
        <v>0</v>
      </c>
      <c r="AB545" s="147">
        <v>121054.55231830153</v>
      </c>
      <c r="AC545" s="147">
        <v>1464501.7974690613</v>
      </c>
      <c r="AD545" s="147">
        <v>789868.27659856912</v>
      </c>
      <c r="AE545" s="147">
        <v>514483.94660673541</v>
      </c>
      <c r="AF545" s="147">
        <v>171161.61913656769</v>
      </c>
      <c r="AG545" s="147">
        <v>60184.066846602938</v>
      </c>
      <c r="AH545" s="147">
        <v>25238.479645349627</v>
      </c>
      <c r="AI545" s="147">
        <v>0</v>
      </c>
      <c r="AJ545" s="147">
        <v>46406.856494998501</v>
      </c>
      <c r="AK545" s="147">
        <v>685513.4103957233</v>
      </c>
      <c r="AL545" s="147">
        <v>490068.15914879664</v>
      </c>
      <c r="AM545" s="147">
        <v>257825.68308832127</v>
      </c>
      <c r="AN545" s="147">
        <v>0</v>
      </c>
      <c r="AO545" s="147">
        <v>23120.016708898504</v>
      </c>
      <c r="AP545" s="147">
        <v>6232338.8729080241</v>
      </c>
    </row>
    <row r="546" spans="2:42" ht="12.75" customHeight="1">
      <c r="B546" s="122" t="str">
        <v>Pórtico 3 (MG-262)</v>
      </c>
      <c r="C546" s="329" t="str">
        <v>3</v>
      </c>
      <c r="D546" s="329" t="str">
        <v>3a</v>
      </c>
      <c r="E546" s="329">
        <v>1</v>
      </c>
      <c r="F546" s="329">
        <v>0</v>
      </c>
      <c r="G546" s="122" t="str">
        <v>Manutenção Do Sistema Rodoviário (Contornos)</v>
      </c>
      <c r="H546" s="122" t="b">
        <v>0</v>
      </c>
      <c r="I546" s="122" t="b">
        <v>0</v>
      </c>
      <c r="J546" s="122" t="b">
        <v>0</v>
      </c>
      <c r="K546" s="122" t="b">
        <v>1</v>
      </c>
      <c r="L546" s="147">
        <v>0</v>
      </c>
      <c r="M546" s="147">
        <v>0</v>
      </c>
      <c r="N546" s="147">
        <v>0</v>
      </c>
      <c r="O546" s="147">
        <v>0</v>
      </c>
      <c r="P546" s="147">
        <v>0</v>
      </c>
      <c r="Q546" s="147">
        <v>0</v>
      </c>
      <c r="R546" s="147">
        <v>0</v>
      </c>
      <c r="S546" s="147">
        <v>0</v>
      </c>
      <c r="T546" s="147">
        <v>0</v>
      </c>
      <c r="U546" s="147">
        <v>0</v>
      </c>
      <c r="V546" s="147">
        <v>0</v>
      </c>
      <c r="W546" s="147">
        <v>0</v>
      </c>
      <c r="X546" s="147">
        <v>0</v>
      </c>
      <c r="Y546" s="147">
        <v>0</v>
      </c>
      <c r="Z546" s="147">
        <v>0</v>
      </c>
      <c r="AA546" s="147">
        <v>0</v>
      </c>
      <c r="AB546" s="147">
        <v>0</v>
      </c>
      <c r="AC546" s="147">
        <v>0</v>
      </c>
      <c r="AD546" s="147">
        <v>0</v>
      </c>
      <c r="AE546" s="147">
        <v>0</v>
      </c>
      <c r="AF546" s="147">
        <v>0</v>
      </c>
      <c r="AG546" s="147">
        <v>0</v>
      </c>
      <c r="AH546" s="147">
        <v>0</v>
      </c>
      <c r="AI546" s="147">
        <v>0</v>
      </c>
      <c r="AJ546" s="147">
        <v>0</v>
      </c>
      <c r="AK546" s="147">
        <v>0</v>
      </c>
      <c r="AL546" s="147">
        <v>0</v>
      </c>
      <c r="AM546" s="147">
        <v>0</v>
      </c>
      <c r="AN546" s="147">
        <v>0</v>
      </c>
      <c r="AO546" s="147">
        <v>0</v>
      </c>
      <c r="AP546" s="147">
        <v>0</v>
      </c>
    </row>
    <row r="547" spans="2:42" ht="12.75" customHeight="1">
      <c r="B547" s="122" t="str">
        <v>Pórtico 3 (MG-262)</v>
      </c>
      <c r="C547" s="329" t="str">
        <v>3</v>
      </c>
      <c r="D547" s="329" t="str">
        <v>3.1</v>
      </c>
      <c r="E547" s="329">
        <v>1</v>
      </c>
      <c r="F547" s="329">
        <v>0</v>
      </c>
      <c r="G547" s="122" t="str">
        <v>Pavimento</v>
      </c>
      <c r="H547" s="122" t="b">
        <v>0</v>
      </c>
      <c r="I547" s="122" t="b">
        <v>0</v>
      </c>
      <c r="J547" s="122" t="b">
        <v>0</v>
      </c>
      <c r="K547" s="122" t="b">
        <v>1</v>
      </c>
      <c r="L547" s="147">
        <v>0</v>
      </c>
      <c r="M547" s="147">
        <v>0</v>
      </c>
      <c r="N547" s="147">
        <v>0</v>
      </c>
      <c r="O547" s="147">
        <v>0</v>
      </c>
      <c r="P547" s="147">
        <v>0</v>
      </c>
      <c r="Q547" s="147">
        <v>0</v>
      </c>
      <c r="R547" s="147">
        <v>0</v>
      </c>
      <c r="S547" s="147">
        <v>0</v>
      </c>
      <c r="T547" s="147">
        <v>0</v>
      </c>
      <c r="U547" s="147">
        <v>0</v>
      </c>
      <c r="V547" s="147">
        <v>0</v>
      </c>
      <c r="W547" s="147">
        <v>0</v>
      </c>
      <c r="X547" s="147">
        <v>0</v>
      </c>
      <c r="Y547" s="147">
        <v>0</v>
      </c>
      <c r="Z547" s="147">
        <v>0</v>
      </c>
      <c r="AA547" s="147">
        <v>0</v>
      </c>
      <c r="AB547" s="147">
        <v>0</v>
      </c>
      <c r="AC547" s="147">
        <v>0</v>
      </c>
      <c r="AD547" s="147">
        <v>0</v>
      </c>
      <c r="AE547" s="147">
        <v>0</v>
      </c>
      <c r="AF547" s="147">
        <v>0</v>
      </c>
      <c r="AG547" s="147">
        <v>0</v>
      </c>
      <c r="AH547" s="147">
        <v>0</v>
      </c>
      <c r="AI547" s="147">
        <v>0</v>
      </c>
      <c r="AJ547" s="147">
        <v>0</v>
      </c>
      <c r="AK547" s="147">
        <v>0</v>
      </c>
      <c r="AL547" s="147">
        <v>0</v>
      </c>
      <c r="AM547" s="147">
        <v>0</v>
      </c>
      <c r="AN547" s="147">
        <v>0</v>
      </c>
      <c r="AO547" s="147">
        <v>0</v>
      </c>
      <c r="AP547" s="147">
        <v>0</v>
      </c>
    </row>
    <row r="548" spans="2:42" ht="12.75" customHeight="1">
      <c r="B548" s="122" t="str">
        <v>Pórtico 3 (MG-262)</v>
      </c>
      <c r="C548" s="329" t="str">
        <v>3</v>
      </c>
      <c r="D548" s="329" t="str">
        <v>3.2</v>
      </c>
      <c r="E548" s="329">
        <v>1</v>
      </c>
      <c r="F548" s="329">
        <v>0</v>
      </c>
      <c r="G548" s="122" t="str">
        <v>Obras de arte especiais</v>
      </c>
      <c r="H548" s="122" t="b">
        <v>0</v>
      </c>
      <c r="I548" s="122" t="b">
        <v>0</v>
      </c>
      <c r="J548" s="122" t="b">
        <v>0</v>
      </c>
      <c r="K548" s="122" t="b">
        <v>1</v>
      </c>
      <c r="L548" s="147">
        <v>0</v>
      </c>
      <c r="M548" s="147">
        <v>0</v>
      </c>
      <c r="N548" s="147">
        <v>0</v>
      </c>
      <c r="O548" s="147">
        <v>0</v>
      </c>
      <c r="P548" s="147">
        <v>0</v>
      </c>
      <c r="Q548" s="147">
        <v>0</v>
      </c>
      <c r="R548" s="147">
        <v>0</v>
      </c>
      <c r="S548" s="147">
        <v>0</v>
      </c>
      <c r="T548" s="147">
        <v>0</v>
      </c>
      <c r="U548" s="147">
        <v>0</v>
      </c>
      <c r="V548" s="147">
        <v>0</v>
      </c>
      <c r="W548" s="147">
        <v>0</v>
      </c>
      <c r="X548" s="147">
        <v>0</v>
      </c>
      <c r="Y548" s="147">
        <v>0</v>
      </c>
      <c r="Z548" s="147">
        <v>0</v>
      </c>
      <c r="AA548" s="147">
        <v>0</v>
      </c>
      <c r="AB548" s="147">
        <v>0</v>
      </c>
      <c r="AC548" s="147">
        <v>0</v>
      </c>
      <c r="AD548" s="147">
        <v>0</v>
      </c>
      <c r="AE548" s="147">
        <v>0</v>
      </c>
      <c r="AF548" s="147">
        <v>0</v>
      </c>
      <c r="AG548" s="147">
        <v>0</v>
      </c>
      <c r="AH548" s="147">
        <v>0</v>
      </c>
      <c r="AI548" s="147">
        <v>0</v>
      </c>
      <c r="AJ548" s="147">
        <v>0</v>
      </c>
      <c r="AK548" s="147">
        <v>0</v>
      </c>
      <c r="AL548" s="147">
        <v>0</v>
      </c>
      <c r="AM548" s="147">
        <v>0</v>
      </c>
      <c r="AN548" s="147">
        <v>0</v>
      </c>
      <c r="AO548" s="147">
        <v>0</v>
      </c>
      <c r="AP548" s="147">
        <v>0</v>
      </c>
    </row>
    <row r="549" spans="2:42" ht="12.75" customHeight="1">
      <c r="B549" s="122" t="str">
        <v>Pórtico 3 (MG-262)</v>
      </c>
      <c r="C549" s="329" t="str">
        <v>3</v>
      </c>
      <c r="D549" s="329" t="str">
        <v>3.3</v>
      </c>
      <c r="E549" s="329">
        <v>1</v>
      </c>
      <c r="F549" s="329">
        <v>0</v>
      </c>
      <c r="G549" s="122" t="str">
        <v>Drenagem e obras de arte correntes</v>
      </c>
      <c r="H549" s="122" t="b">
        <v>0</v>
      </c>
      <c r="I549" s="122" t="b">
        <v>0</v>
      </c>
      <c r="J549" s="122" t="b">
        <v>0</v>
      </c>
      <c r="K549" s="122" t="b">
        <v>1</v>
      </c>
      <c r="L549" s="147">
        <v>0</v>
      </c>
      <c r="M549" s="147">
        <v>0</v>
      </c>
      <c r="N549" s="147">
        <v>0</v>
      </c>
      <c r="O549" s="147">
        <v>0</v>
      </c>
      <c r="P549" s="147">
        <v>0</v>
      </c>
      <c r="Q549" s="147">
        <v>0</v>
      </c>
      <c r="R549" s="147">
        <v>0</v>
      </c>
      <c r="S549" s="147">
        <v>0</v>
      </c>
      <c r="T549" s="147">
        <v>0</v>
      </c>
      <c r="U549" s="147">
        <v>0</v>
      </c>
      <c r="V549" s="147">
        <v>0</v>
      </c>
      <c r="W549" s="147">
        <v>0</v>
      </c>
      <c r="X549" s="147">
        <v>0</v>
      </c>
      <c r="Y549" s="147">
        <v>0</v>
      </c>
      <c r="Z549" s="147">
        <v>0</v>
      </c>
      <c r="AA549" s="147">
        <v>0</v>
      </c>
      <c r="AB549" s="147">
        <v>0</v>
      </c>
      <c r="AC549" s="147">
        <v>0</v>
      </c>
      <c r="AD549" s="147">
        <v>0</v>
      </c>
      <c r="AE549" s="147">
        <v>0</v>
      </c>
      <c r="AF549" s="147">
        <v>0</v>
      </c>
      <c r="AG549" s="147">
        <v>0</v>
      </c>
      <c r="AH549" s="147">
        <v>0</v>
      </c>
      <c r="AI549" s="147">
        <v>0</v>
      </c>
      <c r="AJ549" s="147">
        <v>0</v>
      </c>
      <c r="AK549" s="147">
        <v>0</v>
      </c>
      <c r="AL549" s="147">
        <v>0</v>
      </c>
      <c r="AM549" s="147">
        <v>0</v>
      </c>
      <c r="AN549" s="147">
        <v>0</v>
      </c>
      <c r="AO549" s="147">
        <v>0</v>
      </c>
      <c r="AP549" s="147">
        <v>0</v>
      </c>
    </row>
    <row r="550" spans="2:42" ht="12.75" customHeight="1">
      <c r="B550" s="122" t="str">
        <v>Pórtico 3 (MG-262)</v>
      </c>
      <c r="C550" s="329" t="str">
        <v>3</v>
      </c>
      <c r="D550" s="329" t="str">
        <v>3.4</v>
      </c>
      <c r="E550" s="329">
        <v>0</v>
      </c>
      <c r="F550" s="329">
        <v>0</v>
      </c>
      <c r="G550" s="122" t="str">
        <v xml:space="preserve">Sinalização e dispositivos de proteção e segurança </v>
      </c>
      <c r="H550" s="122" t="b">
        <v>0</v>
      </c>
      <c r="I550" s="122" t="b">
        <v>0</v>
      </c>
      <c r="J550" s="122" t="b">
        <v>0</v>
      </c>
      <c r="K550" s="122" t="b">
        <v>1</v>
      </c>
      <c r="L550" s="147">
        <v>0</v>
      </c>
      <c r="M550" s="147">
        <v>0</v>
      </c>
      <c r="N550" s="147">
        <v>0</v>
      </c>
      <c r="O550" s="147">
        <v>0</v>
      </c>
      <c r="P550" s="147">
        <v>0</v>
      </c>
      <c r="Q550" s="147">
        <v>0</v>
      </c>
      <c r="R550" s="147">
        <v>0</v>
      </c>
      <c r="S550" s="147">
        <v>0</v>
      </c>
      <c r="T550" s="147">
        <v>0</v>
      </c>
      <c r="U550" s="147">
        <v>0</v>
      </c>
      <c r="V550" s="147">
        <v>0</v>
      </c>
      <c r="W550" s="147">
        <v>0</v>
      </c>
      <c r="X550" s="147">
        <v>0</v>
      </c>
      <c r="Y550" s="147">
        <v>0</v>
      </c>
      <c r="Z550" s="147">
        <v>0</v>
      </c>
      <c r="AA550" s="147">
        <v>0</v>
      </c>
      <c r="AB550" s="147">
        <v>0</v>
      </c>
      <c r="AC550" s="147">
        <v>0</v>
      </c>
      <c r="AD550" s="147">
        <v>0</v>
      </c>
      <c r="AE550" s="147">
        <v>0</v>
      </c>
      <c r="AF550" s="147">
        <v>0</v>
      </c>
      <c r="AG550" s="147">
        <v>0</v>
      </c>
      <c r="AH550" s="147">
        <v>0</v>
      </c>
      <c r="AI550" s="147">
        <v>0</v>
      </c>
      <c r="AJ550" s="147">
        <v>0</v>
      </c>
      <c r="AK550" s="147">
        <v>0</v>
      </c>
      <c r="AL550" s="147">
        <v>0</v>
      </c>
      <c r="AM550" s="147">
        <v>0</v>
      </c>
      <c r="AN550" s="147">
        <v>0</v>
      </c>
      <c r="AO550" s="147">
        <v>0</v>
      </c>
      <c r="AP550" s="147">
        <v>0</v>
      </c>
    </row>
    <row r="551" spans="2:42" ht="12.75" customHeight="1">
      <c r="B551" s="122" t="str">
        <v>Pórtico 3 (MG-262)</v>
      </c>
      <c r="C551" s="329" t="str">
        <v>3</v>
      </c>
      <c r="D551" s="329" t="str">
        <v>3.5</v>
      </c>
      <c r="E551" s="329">
        <v>1</v>
      </c>
      <c r="F551" s="329">
        <v>0</v>
      </c>
      <c r="G551" s="122" t="str">
        <v>Administração local (%)</v>
      </c>
      <c r="H551" s="122" t="b">
        <v>0</v>
      </c>
      <c r="I551" s="122" t="b">
        <v>0</v>
      </c>
      <c r="J551" s="122" t="b">
        <v>0</v>
      </c>
      <c r="K551" s="122" t="b">
        <v>1</v>
      </c>
      <c r="L551" s="147">
        <v>0</v>
      </c>
      <c r="M551" s="147">
        <v>0</v>
      </c>
      <c r="N551" s="147">
        <v>0</v>
      </c>
      <c r="O551" s="147">
        <v>0</v>
      </c>
      <c r="P551" s="147">
        <v>0</v>
      </c>
      <c r="Q551" s="147">
        <v>0</v>
      </c>
      <c r="R551" s="147">
        <v>0</v>
      </c>
      <c r="S551" s="147">
        <v>0</v>
      </c>
      <c r="T551" s="147">
        <v>0</v>
      </c>
      <c r="U551" s="147">
        <v>0</v>
      </c>
      <c r="V551" s="147">
        <v>0</v>
      </c>
      <c r="W551" s="147">
        <v>0</v>
      </c>
      <c r="X551" s="147">
        <v>0</v>
      </c>
      <c r="Y551" s="147">
        <v>0</v>
      </c>
      <c r="Z551" s="147">
        <v>0</v>
      </c>
      <c r="AA551" s="147">
        <v>0</v>
      </c>
      <c r="AB551" s="147">
        <v>0</v>
      </c>
      <c r="AC551" s="147">
        <v>0</v>
      </c>
      <c r="AD551" s="147">
        <v>0</v>
      </c>
      <c r="AE551" s="147">
        <v>0</v>
      </c>
      <c r="AF551" s="147">
        <v>0</v>
      </c>
      <c r="AG551" s="147">
        <v>0</v>
      </c>
      <c r="AH551" s="147">
        <v>0</v>
      </c>
      <c r="AI551" s="147">
        <v>0</v>
      </c>
      <c r="AJ551" s="147">
        <v>0</v>
      </c>
      <c r="AK551" s="147">
        <v>0</v>
      </c>
      <c r="AL551" s="147">
        <v>0</v>
      </c>
      <c r="AM551" s="147">
        <v>0</v>
      </c>
      <c r="AN551" s="147">
        <v>0</v>
      </c>
      <c r="AO551" s="147">
        <v>0</v>
      </c>
      <c r="AP551" s="147">
        <v>0</v>
      </c>
    </row>
    <row r="552" spans="2:42" ht="12.75" customHeight="1">
      <c r="B552" s="122" t="str">
        <v>Pórtico 3 (MG-262)</v>
      </c>
      <c r="C552" s="329" t="str">
        <v>3</v>
      </c>
      <c r="D552" s="329" t="str">
        <v>3.6</v>
      </c>
      <c r="E552" s="329">
        <v>1</v>
      </c>
      <c r="F552" s="329">
        <v>0</v>
      </c>
      <c r="G552" s="122" t="str">
        <v>Canteiro de obras (%)</v>
      </c>
      <c r="H552" s="122" t="b">
        <v>0</v>
      </c>
      <c r="I552" s="122" t="b">
        <v>0</v>
      </c>
      <c r="J552" s="122" t="b">
        <v>0</v>
      </c>
      <c r="K552" s="122" t="b">
        <v>1</v>
      </c>
      <c r="L552" s="147">
        <v>0</v>
      </c>
      <c r="M552" s="147">
        <v>0</v>
      </c>
      <c r="N552" s="147">
        <v>0</v>
      </c>
      <c r="O552" s="147">
        <v>0</v>
      </c>
      <c r="P552" s="147">
        <v>0</v>
      </c>
      <c r="Q552" s="147">
        <v>0</v>
      </c>
      <c r="R552" s="147">
        <v>0</v>
      </c>
      <c r="S552" s="147">
        <v>0</v>
      </c>
      <c r="T552" s="147">
        <v>0</v>
      </c>
      <c r="U552" s="147">
        <v>0</v>
      </c>
      <c r="V552" s="147">
        <v>0</v>
      </c>
      <c r="W552" s="147">
        <v>0</v>
      </c>
      <c r="X552" s="147">
        <v>0</v>
      </c>
      <c r="Y552" s="147">
        <v>0</v>
      </c>
      <c r="Z552" s="147">
        <v>0</v>
      </c>
      <c r="AA552" s="147">
        <v>0</v>
      </c>
      <c r="AB552" s="147">
        <v>0</v>
      </c>
      <c r="AC552" s="147">
        <v>0</v>
      </c>
      <c r="AD552" s="147">
        <v>0</v>
      </c>
      <c r="AE552" s="147">
        <v>0</v>
      </c>
      <c r="AF552" s="147">
        <v>0</v>
      </c>
      <c r="AG552" s="147">
        <v>0</v>
      </c>
      <c r="AH552" s="147">
        <v>0</v>
      </c>
      <c r="AI552" s="147">
        <v>0</v>
      </c>
      <c r="AJ552" s="147">
        <v>0</v>
      </c>
      <c r="AK552" s="147">
        <v>0</v>
      </c>
      <c r="AL552" s="147">
        <v>0</v>
      </c>
      <c r="AM552" s="147">
        <v>0</v>
      </c>
      <c r="AN552" s="147">
        <v>0</v>
      </c>
      <c r="AO552" s="147">
        <v>0</v>
      </c>
      <c r="AP552" s="147">
        <v>0</v>
      </c>
    </row>
    <row r="553" spans="2:42" ht="12.75" customHeight="1">
      <c r="B553" s="122" t="str">
        <v>Pórtico 3 (MG-262)</v>
      </c>
      <c r="C553" s="329" t="str">
        <v>3</v>
      </c>
      <c r="D553" s="329" t="str">
        <v>3.7</v>
      </c>
      <c r="E553" s="329">
        <v>1</v>
      </c>
      <c r="F553" s="329">
        <v>0</v>
      </c>
      <c r="G553" s="122" t="str">
        <v>Mobilização e desmobilização (%)</v>
      </c>
      <c r="H553" s="122" t="b">
        <v>0</v>
      </c>
      <c r="I553" s="122" t="b">
        <v>0</v>
      </c>
      <c r="J553" s="122" t="b">
        <v>0</v>
      </c>
      <c r="K553" s="122" t="b">
        <v>1</v>
      </c>
      <c r="L553" s="147">
        <v>0</v>
      </c>
      <c r="M553" s="147">
        <v>0</v>
      </c>
      <c r="N553" s="147">
        <v>0</v>
      </c>
      <c r="O553" s="147">
        <v>0</v>
      </c>
      <c r="P553" s="147">
        <v>0</v>
      </c>
      <c r="Q553" s="147">
        <v>0</v>
      </c>
      <c r="R553" s="147">
        <v>0</v>
      </c>
      <c r="S553" s="147">
        <v>0</v>
      </c>
      <c r="T553" s="147">
        <v>0</v>
      </c>
      <c r="U553" s="147">
        <v>0</v>
      </c>
      <c r="V553" s="147">
        <v>0</v>
      </c>
      <c r="W553" s="147">
        <v>0</v>
      </c>
      <c r="X553" s="147">
        <v>0</v>
      </c>
      <c r="Y553" s="147">
        <v>0</v>
      </c>
      <c r="Z553" s="147">
        <v>0</v>
      </c>
      <c r="AA553" s="147">
        <v>0</v>
      </c>
      <c r="AB553" s="147">
        <v>0</v>
      </c>
      <c r="AC553" s="147">
        <v>0</v>
      </c>
      <c r="AD553" s="147">
        <v>0</v>
      </c>
      <c r="AE553" s="147">
        <v>0</v>
      </c>
      <c r="AF553" s="147">
        <v>0</v>
      </c>
      <c r="AG553" s="147">
        <v>0</v>
      </c>
      <c r="AH553" s="147">
        <v>0</v>
      </c>
      <c r="AI553" s="147">
        <v>0</v>
      </c>
      <c r="AJ553" s="147">
        <v>0</v>
      </c>
      <c r="AK553" s="147">
        <v>0</v>
      </c>
      <c r="AL553" s="147">
        <v>0</v>
      </c>
      <c r="AM553" s="147">
        <v>0</v>
      </c>
      <c r="AN553" s="147">
        <v>0</v>
      </c>
      <c r="AO553" s="147">
        <v>0</v>
      </c>
      <c r="AP553" s="147">
        <v>0</v>
      </c>
    </row>
    <row r="554" spans="2:42" ht="12.75" customHeight="1">
      <c r="B554" s="122" t="str">
        <v>Pórtico 3 (MG-262)</v>
      </c>
      <c r="C554" s="329" t="str">
        <v>3</v>
      </c>
      <c r="D554" s="329" t="str">
        <v>3.8</v>
      </c>
      <c r="E554" s="329">
        <v>1</v>
      </c>
      <c r="F554" s="329">
        <v>0</v>
      </c>
      <c r="G554" s="122" t="str">
        <v>Projetos (%)</v>
      </c>
      <c r="H554" s="122" t="b">
        <v>0</v>
      </c>
      <c r="I554" s="122" t="b">
        <v>0</v>
      </c>
      <c r="J554" s="122" t="b">
        <v>0</v>
      </c>
      <c r="K554" s="122" t="b">
        <v>1</v>
      </c>
      <c r="L554" s="147">
        <v>0</v>
      </c>
      <c r="M554" s="147">
        <v>0</v>
      </c>
      <c r="N554" s="147">
        <v>0</v>
      </c>
      <c r="O554" s="147">
        <v>0</v>
      </c>
      <c r="P554" s="147">
        <v>0</v>
      </c>
      <c r="Q554" s="147">
        <v>0</v>
      </c>
      <c r="R554" s="147">
        <v>0</v>
      </c>
      <c r="S554" s="147">
        <v>0</v>
      </c>
      <c r="T554" s="147">
        <v>0</v>
      </c>
      <c r="U554" s="147">
        <v>0</v>
      </c>
      <c r="V554" s="147">
        <v>0</v>
      </c>
      <c r="W554" s="147">
        <v>0</v>
      </c>
      <c r="X554" s="147">
        <v>0</v>
      </c>
      <c r="Y554" s="147">
        <v>0</v>
      </c>
      <c r="Z554" s="147">
        <v>0</v>
      </c>
      <c r="AA554" s="147">
        <v>0</v>
      </c>
      <c r="AB554" s="147">
        <v>0</v>
      </c>
      <c r="AC554" s="147">
        <v>0</v>
      </c>
      <c r="AD554" s="147">
        <v>0</v>
      </c>
      <c r="AE554" s="147">
        <v>0</v>
      </c>
      <c r="AF554" s="147">
        <v>0</v>
      </c>
      <c r="AG554" s="147">
        <v>0</v>
      </c>
      <c r="AH554" s="147">
        <v>0</v>
      </c>
      <c r="AI554" s="147">
        <v>0</v>
      </c>
      <c r="AJ554" s="147">
        <v>0</v>
      </c>
      <c r="AK554" s="147">
        <v>0</v>
      </c>
      <c r="AL554" s="147">
        <v>0</v>
      </c>
      <c r="AM554" s="147">
        <v>0</v>
      </c>
      <c r="AN554" s="147">
        <v>0</v>
      </c>
      <c r="AO554" s="147">
        <v>0</v>
      </c>
      <c r="AP554" s="147">
        <v>0</v>
      </c>
    </row>
    <row r="555" spans="2:42" ht="12.75" customHeight="1">
      <c r="B555" s="122" t="str">
        <v>Pórtico 4 (MG-329)</v>
      </c>
      <c r="C555" s="329" t="str">
        <v>1</v>
      </c>
      <c r="D555" s="329">
        <v>1</v>
      </c>
      <c r="E555" s="329">
        <v>0</v>
      </c>
      <c r="F555" s="329">
        <v>0</v>
      </c>
      <c r="G555" s="122" t="str">
        <v>Trabalhos iniciais</v>
      </c>
      <c r="H555" s="122" t="b">
        <v>0</v>
      </c>
      <c r="I555" s="122" t="b">
        <v>0</v>
      </c>
      <c r="J555" s="122" t="b">
        <v>0</v>
      </c>
      <c r="K555" s="122" t="b">
        <v>1</v>
      </c>
      <c r="L555" s="147">
        <v>0</v>
      </c>
      <c r="M555" s="147">
        <v>0</v>
      </c>
      <c r="N555" s="147">
        <v>0</v>
      </c>
      <c r="O555" s="147">
        <v>0</v>
      </c>
      <c r="P555" s="147">
        <v>0</v>
      </c>
      <c r="Q555" s="147">
        <v>0</v>
      </c>
      <c r="R555" s="147">
        <v>0</v>
      </c>
      <c r="S555" s="147">
        <v>0</v>
      </c>
      <c r="T555" s="147">
        <v>0</v>
      </c>
      <c r="U555" s="147">
        <v>0</v>
      </c>
      <c r="V555" s="147">
        <v>0</v>
      </c>
      <c r="W555" s="147">
        <v>0</v>
      </c>
      <c r="X555" s="147">
        <v>0</v>
      </c>
      <c r="Y555" s="147">
        <v>0</v>
      </c>
      <c r="Z555" s="147">
        <v>0</v>
      </c>
      <c r="AA555" s="147">
        <v>0</v>
      </c>
      <c r="AB555" s="147">
        <v>0</v>
      </c>
      <c r="AC555" s="147">
        <v>0</v>
      </c>
      <c r="AD555" s="147">
        <v>0</v>
      </c>
      <c r="AE555" s="147">
        <v>0</v>
      </c>
      <c r="AF555" s="147">
        <v>0</v>
      </c>
      <c r="AG555" s="147">
        <v>0</v>
      </c>
      <c r="AH555" s="147">
        <v>0</v>
      </c>
      <c r="AI555" s="147">
        <v>0</v>
      </c>
      <c r="AJ555" s="147">
        <v>0</v>
      </c>
      <c r="AK555" s="147">
        <v>0</v>
      </c>
      <c r="AL555" s="147">
        <v>0</v>
      </c>
      <c r="AM555" s="147">
        <v>0</v>
      </c>
      <c r="AN555" s="147">
        <v>0</v>
      </c>
      <c r="AO555" s="147">
        <v>0</v>
      </c>
      <c r="AP555" s="147">
        <v>0</v>
      </c>
    </row>
    <row r="556" spans="2:42" ht="12.75" customHeight="1">
      <c r="B556" s="122" t="str">
        <v>Pórtico 4 (MG-329)</v>
      </c>
      <c r="C556" s="329" t="str">
        <v>1</v>
      </c>
      <c r="D556" s="329" t="str">
        <v>1.1</v>
      </c>
      <c r="E556" s="329">
        <v>1</v>
      </c>
      <c r="F556" s="329">
        <v>0</v>
      </c>
      <c r="G556" s="122" t="str">
        <v>Pavimento</v>
      </c>
      <c r="H556" s="122" t="b">
        <v>0</v>
      </c>
      <c r="I556" s="122" t="b">
        <v>0</v>
      </c>
      <c r="J556" s="122" t="b">
        <v>0</v>
      </c>
      <c r="K556" s="122" t="b">
        <v>1</v>
      </c>
      <c r="L556" s="147">
        <v>13076595.210696179</v>
      </c>
      <c r="M556" s="147">
        <v>0</v>
      </c>
      <c r="N556" s="147">
        <v>0</v>
      </c>
      <c r="O556" s="147">
        <v>0</v>
      </c>
      <c r="P556" s="147">
        <v>0</v>
      </c>
      <c r="Q556" s="147">
        <v>0</v>
      </c>
      <c r="R556" s="147">
        <v>0</v>
      </c>
      <c r="S556" s="147">
        <v>0</v>
      </c>
      <c r="T556" s="147">
        <v>0</v>
      </c>
      <c r="U556" s="147">
        <v>0</v>
      </c>
      <c r="V556" s="147">
        <v>0</v>
      </c>
      <c r="W556" s="147">
        <v>0</v>
      </c>
      <c r="X556" s="147">
        <v>0</v>
      </c>
      <c r="Y556" s="147">
        <v>0</v>
      </c>
      <c r="Z556" s="147">
        <v>0</v>
      </c>
      <c r="AA556" s="147">
        <v>0</v>
      </c>
      <c r="AB556" s="147">
        <v>0</v>
      </c>
      <c r="AC556" s="147">
        <v>0</v>
      </c>
      <c r="AD556" s="147">
        <v>0</v>
      </c>
      <c r="AE556" s="147">
        <v>0</v>
      </c>
      <c r="AF556" s="147">
        <v>0</v>
      </c>
      <c r="AG556" s="147">
        <v>0</v>
      </c>
      <c r="AH556" s="147">
        <v>0</v>
      </c>
      <c r="AI556" s="147">
        <v>0</v>
      </c>
      <c r="AJ556" s="147">
        <v>0</v>
      </c>
      <c r="AK556" s="147">
        <v>0</v>
      </c>
      <c r="AL556" s="147">
        <v>0</v>
      </c>
      <c r="AM556" s="147">
        <v>0</v>
      </c>
      <c r="AN556" s="147">
        <v>0</v>
      </c>
      <c r="AO556" s="147">
        <v>0</v>
      </c>
      <c r="AP556" s="147">
        <v>13076595.210696179</v>
      </c>
    </row>
    <row r="557" spans="2:42" ht="12.75" customHeight="1">
      <c r="B557" s="122" t="str">
        <v>Pórtico 4 (MG-329)</v>
      </c>
      <c r="C557" s="329" t="str">
        <v>1</v>
      </c>
      <c r="D557" s="329" t="str">
        <v>1.2</v>
      </c>
      <c r="E557" s="329">
        <v>1</v>
      </c>
      <c r="F557" s="329">
        <v>0</v>
      </c>
      <c r="G557" s="122" t="str">
        <v>Obras de arte especiais</v>
      </c>
      <c r="H557" s="122" t="b">
        <v>0</v>
      </c>
      <c r="I557" s="122" t="b">
        <v>0</v>
      </c>
      <c r="J557" s="122" t="b">
        <v>0</v>
      </c>
      <c r="K557" s="122" t="b">
        <v>1</v>
      </c>
      <c r="L557" s="147">
        <v>0</v>
      </c>
      <c r="M557" s="147">
        <v>0</v>
      </c>
      <c r="N557" s="147">
        <v>0</v>
      </c>
      <c r="O557" s="147">
        <v>0</v>
      </c>
      <c r="P557" s="147">
        <v>0</v>
      </c>
      <c r="Q557" s="147">
        <v>0</v>
      </c>
      <c r="R557" s="147">
        <v>0</v>
      </c>
      <c r="S557" s="147">
        <v>0</v>
      </c>
      <c r="T557" s="147">
        <v>0</v>
      </c>
      <c r="U557" s="147">
        <v>0</v>
      </c>
      <c r="V557" s="147">
        <v>0</v>
      </c>
      <c r="W557" s="147">
        <v>0</v>
      </c>
      <c r="X557" s="147">
        <v>0</v>
      </c>
      <c r="Y557" s="147">
        <v>0</v>
      </c>
      <c r="Z557" s="147">
        <v>0</v>
      </c>
      <c r="AA557" s="147">
        <v>0</v>
      </c>
      <c r="AB557" s="147">
        <v>0</v>
      </c>
      <c r="AC557" s="147">
        <v>0</v>
      </c>
      <c r="AD557" s="147">
        <v>0</v>
      </c>
      <c r="AE557" s="147">
        <v>0</v>
      </c>
      <c r="AF557" s="147">
        <v>0</v>
      </c>
      <c r="AG557" s="147">
        <v>0</v>
      </c>
      <c r="AH557" s="147">
        <v>0</v>
      </c>
      <c r="AI557" s="147">
        <v>0</v>
      </c>
      <c r="AJ557" s="147">
        <v>0</v>
      </c>
      <c r="AK557" s="147">
        <v>0</v>
      </c>
      <c r="AL557" s="147">
        <v>0</v>
      </c>
      <c r="AM557" s="147">
        <v>0</v>
      </c>
      <c r="AN557" s="147">
        <v>0</v>
      </c>
      <c r="AO557" s="147">
        <v>0</v>
      </c>
      <c r="AP557" s="147">
        <v>0</v>
      </c>
    </row>
    <row r="558" spans="2:42" ht="12.75" customHeight="1">
      <c r="B558" s="122" t="str">
        <v>Pórtico 4 (MG-329)</v>
      </c>
      <c r="C558" s="329" t="str">
        <v>1</v>
      </c>
      <c r="D558" s="329" t="str">
        <v>1.3</v>
      </c>
      <c r="E558" s="329">
        <v>1</v>
      </c>
      <c r="F558" s="329">
        <v>0</v>
      </c>
      <c r="G558" s="122" t="str">
        <v>Drenagem e obras de arte correntes</v>
      </c>
      <c r="H558" s="122" t="b">
        <v>0</v>
      </c>
      <c r="I558" s="122" t="b">
        <v>0</v>
      </c>
      <c r="J558" s="122" t="b">
        <v>0</v>
      </c>
      <c r="K558" s="122" t="b">
        <v>1</v>
      </c>
      <c r="L558" s="147">
        <v>621239.63971266162</v>
      </c>
      <c r="M558" s="147">
        <v>0</v>
      </c>
      <c r="N558" s="147">
        <v>0</v>
      </c>
      <c r="O558" s="147">
        <v>0</v>
      </c>
      <c r="P558" s="147">
        <v>0</v>
      </c>
      <c r="Q558" s="147">
        <v>0</v>
      </c>
      <c r="R558" s="147">
        <v>0</v>
      </c>
      <c r="S558" s="147">
        <v>0</v>
      </c>
      <c r="T558" s="147">
        <v>0</v>
      </c>
      <c r="U558" s="147">
        <v>0</v>
      </c>
      <c r="V558" s="147">
        <v>0</v>
      </c>
      <c r="W558" s="147">
        <v>0</v>
      </c>
      <c r="X558" s="147">
        <v>0</v>
      </c>
      <c r="Y558" s="147">
        <v>0</v>
      </c>
      <c r="Z558" s="147">
        <v>0</v>
      </c>
      <c r="AA558" s="147">
        <v>0</v>
      </c>
      <c r="AB558" s="147">
        <v>0</v>
      </c>
      <c r="AC558" s="147">
        <v>0</v>
      </c>
      <c r="AD558" s="147">
        <v>0</v>
      </c>
      <c r="AE558" s="147">
        <v>0</v>
      </c>
      <c r="AF558" s="147">
        <v>0</v>
      </c>
      <c r="AG558" s="147">
        <v>0</v>
      </c>
      <c r="AH558" s="147">
        <v>0</v>
      </c>
      <c r="AI558" s="147">
        <v>0</v>
      </c>
      <c r="AJ558" s="147">
        <v>0</v>
      </c>
      <c r="AK558" s="147">
        <v>0</v>
      </c>
      <c r="AL558" s="147">
        <v>0</v>
      </c>
      <c r="AM558" s="147">
        <v>0</v>
      </c>
      <c r="AN558" s="147">
        <v>0</v>
      </c>
      <c r="AO558" s="147">
        <v>0</v>
      </c>
      <c r="AP558" s="147">
        <v>621239.63971266162</v>
      </c>
    </row>
    <row r="559" spans="2:42" ht="12.75" customHeight="1">
      <c r="B559" s="122" t="str">
        <v>Pórtico 4 (MG-329)</v>
      </c>
      <c r="C559" s="329" t="str">
        <v>1</v>
      </c>
      <c r="D559" s="329" t="str">
        <v>1.4</v>
      </c>
      <c r="E559" s="329">
        <v>1</v>
      </c>
      <c r="F559" s="329">
        <v>0</v>
      </c>
      <c r="G559" s="122" t="str">
        <v xml:space="preserve">Sinalização e dispositivos de proteção e segurança </v>
      </c>
      <c r="H559" s="122" t="b">
        <v>0</v>
      </c>
      <c r="I559" s="122" t="b">
        <v>0</v>
      </c>
      <c r="J559" s="122" t="b">
        <v>0</v>
      </c>
      <c r="K559" s="122" t="b">
        <v>1</v>
      </c>
      <c r="L559" s="147">
        <v>3063895.416811212</v>
      </c>
      <c r="M559" s="147">
        <v>0</v>
      </c>
      <c r="N559" s="147">
        <v>0</v>
      </c>
      <c r="O559" s="147">
        <v>0</v>
      </c>
      <c r="P559" s="147">
        <v>0</v>
      </c>
      <c r="Q559" s="147">
        <v>0</v>
      </c>
      <c r="R559" s="147">
        <v>0</v>
      </c>
      <c r="S559" s="147">
        <v>0</v>
      </c>
      <c r="T559" s="147">
        <v>0</v>
      </c>
      <c r="U559" s="147">
        <v>0</v>
      </c>
      <c r="V559" s="147">
        <v>0</v>
      </c>
      <c r="W559" s="147">
        <v>0</v>
      </c>
      <c r="X559" s="147">
        <v>0</v>
      </c>
      <c r="Y559" s="147">
        <v>0</v>
      </c>
      <c r="Z559" s="147">
        <v>0</v>
      </c>
      <c r="AA559" s="147">
        <v>0</v>
      </c>
      <c r="AB559" s="147">
        <v>0</v>
      </c>
      <c r="AC559" s="147">
        <v>0</v>
      </c>
      <c r="AD559" s="147">
        <v>0</v>
      </c>
      <c r="AE559" s="147">
        <v>0</v>
      </c>
      <c r="AF559" s="147">
        <v>0</v>
      </c>
      <c r="AG559" s="147">
        <v>0</v>
      </c>
      <c r="AH559" s="147">
        <v>0</v>
      </c>
      <c r="AI559" s="147">
        <v>0</v>
      </c>
      <c r="AJ559" s="147">
        <v>0</v>
      </c>
      <c r="AK559" s="147">
        <v>0</v>
      </c>
      <c r="AL559" s="147">
        <v>0</v>
      </c>
      <c r="AM559" s="147">
        <v>0</v>
      </c>
      <c r="AN559" s="147">
        <v>0</v>
      </c>
      <c r="AO559" s="147">
        <v>0</v>
      </c>
      <c r="AP559" s="147">
        <v>3063895.416811212</v>
      </c>
    </row>
    <row r="560" spans="2:42" ht="12.75" customHeight="1">
      <c r="B560" s="122" t="str">
        <v>Pórtico 4 (MG-329)</v>
      </c>
      <c r="C560" s="329" t="str">
        <v>1</v>
      </c>
      <c r="D560" s="329" t="str">
        <v>1.5</v>
      </c>
      <c r="E560" s="329">
        <v>1</v>
      </c>
      <c r="F560" s="329">
        <v>0</v>
      </c>
      <c r="G560" s="122" t="str">
        <v>Terraplenos e estrutura de contenção</v>
      </c>
      <c r="H560" s="122" t="b">
        <v>0</v>
      </c>
      <c r="I560" s="122" t="b">
        <v>0</v>
      </c>
      <c r="J560" s="122" t="b">
        <v>0</v>
      </c>
      <c r="K560" s="122" t="b">
        <v>1</v>
      </c>
      <c r="L560" s="147">
        <v>0</v>
      </c>
      <c r="M560" s="147">
        <v>0</v>
      </c>
      <c r="N560" s="147">
        <v>0</v>
      </c>
      <c r="O560" s="147">
        <v>0</v>
      </c>
      <c r="P560" s="147">
        <v>0</v>
      </c>
      <c r="Q560" s="147">
        <v>0</v>
      </c>
      <c r="R560" s="147">
        <v>0</v>
      </c>
      <c r="S560" s="147">
        <v>0</v>
      </c>
      <c r="T560" s="147">
        <v>0</v>
      </c>
      <c r="U560" s="147">
        <v>0</v>
      </c>
      <c r="V560" s="147">
        <v>0</v>
      </c>
      <c r="W560" s="147">
        <v>0</v>
      </c>
      <c r="X560" s="147">
        <v>0</v>
      </c>
      <c r="Y560" s="147">
        <v>0</v>
      </c>
      <c r="Z560" s="147">
        <v>0</v>
      </c>
      <c r="AA560" s="147">
        <v>0</v>
      </c>
      <c r="AB560" s="147">
        <v>0</v>
      </c>
      <c r="AC560" s="147">
        <v>0</v>
      </c>
      <c r="AD560" s="147">
        <v>0</v>
      </c>
      <c r="AE560" s="147">
        <v>0</v>
      </c>
      <c r="AF560" s="147">
        <v>0</v>
      </c>
      <c r="AG560" s="147">
        <v>0</v>
      </c>
      <c r="AH560" s="147">
        <v>0</v>
      </c>
      <c r="AI560" s="147">
        <v>0</v>
      </c>
      <c r="AJ560" s="147">
        <v>0</v>
      </c>
      <c r="AK560" s="147">
        <v>0</v>
      </c>
      <c r="AL560" s="147">
        <v>0</v>
      </c>
      <c r="AM560" s="147">
        <v>0</v>
      </c>
      <c r="AN560" s="147">
        <v>0</v>
      </c>
      <c r="AO560" s="147">
        <v>0</v>
      </c>
      <c r="AP560" s="147">
        <v>0</v>
      </c>
    </row>
    <row r="561" spans="2:42" ht="12.75" customHeight="1">
      <c r="B561" s="122" t="str">
        <v>Pórtico 4 (MG-329)</v>
      </c>
      <c r="C561" s="329" t="str">
        <v>1</v>
      </c>
      <c r="D561" s="329" t="str">
        <v>1.6</v>
      </c>
      <c r="E561" s="329">
        <v>1</v>
      </c>
      <c r="F561" s="329">
        <v>0</v>
      </c>
      <c r="G561" s="122" t="str">
        <v>Sistemas elétricos e de iluminação</v>
      </c>
      <c r="H561" s="122" t="b">
        <v>0</v>
      </c>
      <c r="I561" s="122" t="b">
        <v>0</v>
      </c>
      <c r="J561" s="122" t="b">
        <v>0</v>
      </c>
      <c r="K561" s="122" t="b">
        <v>1</v>
      </c>
      <c r="L561" s="147">
        <v>1043372.9341645939</v>
      </c>
      <c r="M561" s="147">
        <v>0</v>
      </c>
      <c r="N561" s="147">
        <v>0</v>
      </c>
      <c r="O561" s="147">
        <v>0</v>
      </c>
      <c r="P561" s="147">
        <v>0</v>
      </c>
      <c r="Q561" s="147">
        <v>0</v>
      </c>
      <c r="R561" s="147">
        <v>0</v>
      </c>
      <c r="S561" s="147">
        <v>0</v>
      </c>
      <c r="T561" s="147">
        <v>0</v>
      </c>
      <c r="U561" s="147">
        <v>0</v>
      </c>
      <c r="V561" s="147">
        <v>0</v>
      </c>
      <c r="W561" s="147">
        <v>0</v>
      </c>
      <c r="X561" s="147">
        <v>0</v>
      </c>
      <c r="Y561" s="147">
        <v>0</v>
      </c>
      <c r="Z561" s="147">
        <v>0</v>
      </c>
      <c r="AA561" s="147">
        <v>0</v>
      </c>
      <c r="AB561" s="147">
        <v>0</v>
      </c>
      <c r="AC561" s="147">
        <v>0</v>
      </c>
      <c r="AD561" s="147">
        <v>0</v>
      </c>
      <c r="AE561" s="147">
        <v>0</v>
      </c>
      <c r="AF561" s="147">
        <v>0</v>
      </c>
      <c r="AG561" s="147">
        <v>0</v>
      </c>
      <c r="AH561" s="147">
        <v>0</v>
      </c>
      <c r="AI561" s="147">
        <v>0</v>
      </c>
      <c r="AJ561" s="147">
        <v>0</v>
      </c>
      <c r="AK561" s="147">
        <v>0</v>
      </c>
      <c r="AL561" s="147">
        <v>0</v>
      </c>
      <c r="AM561" s="147">
        <v>0</v>
      </c>
      <c r="AN561" s="147">
        <v>0</v>
      </c>
      <c r="AO561" s="147">
        <v>0</v>
      </c>
      <c r="AP561" s="147">
        <v>1043372.9341645939</v>
      </c>
    </row>
    <row r="562" spans="2:42" ht="12.75" customHeight="1">
      <c r="B562" s="122" t="str">
        <v>Pórtico 4 (MG-329)</v>
      </c>
      <c r="C562" s="329" t="str">
        <v>1</v>
      </c>
      <c r="D562" s="329" t="str">
        <v>1.7</v>
      </c>
      <c r="E562" s="329">
        <v>1</v>
      </c>
      <c r="F562" s="329">
        <v>0</v>
      </c>
      <c r="G562" s="122" t="str">
        <v>Canteiro central e faixa de domínio</v>
      </c>
      <c r="H562" s="122" t="b">
        <v>0</v>
      </c>
      <c r="I562" s="122" t="b">
        <v>0</v>
      </c>
      <c r="J562" s="122" t="b">
        <v>0</v>
      </c>
      <c r="K562" s="122" t="b">
        <v>1</v>
      </c>
      <c r="L562" s="147">
        <v>205040.90789454625</v>
      </c>
      <c r="M562" s="147">
        <v>0</v>
      </c>
      <c r="N562" s="147">
        <v>0</v>
      </c>
      <c r="O562" s="147">
        <v>0</v>
      </c>
      <c r="P562" s="147">
        <v>0</v>
      </c>
      <c r="Q562" s="147">
        <v>0</v>
      </c>
      <c r="R562" s="147">
        <v>0</v>
      </c>
      <c r="S562" s="147">
        <v>0</v>
      </c>
      <c r="T562" s="147">
        <v>0</v>
      </c>
      <c r="U562" s="147">
        <v>0</v>
      </c>
      <c r="V562" s="147">
        <v>0</v>
      </c>
      <c r="W562" s="147">
        <v>0</v>
      </c>
      <c r="X562" s="147">
        <v>0</v>
      </c>
      <c r="Y562" s="147">
        <v>0</v>
      </c>
      <c r="Z562" s="147">
        <v>0</v>
      </c>
      <c r="AA562" s="147">
        <v>0</v>
      </c>
      <c r="AB562" s="147">
        <v>0</v>
      </c>
      <c r="AC562" s="147">
        <v>0</v>
      </c>
      <c r="AD562" s="147">
        <v>0</v>
      </c>
      <c r="AE562" s="147">
        <v>0</v>
      </c>
      <c r="AF562" s="147">
        <v>0</v>
      </c>
      <c r="AG562" s="147">
        <v>0</v>
      </c>
      <c r="AH562" s="147">
        <v>0</v>
      </c>
      <c r="AI562" s="147">
        <v>0</v>
      </c>
      <c r="AJ562" s="147">
        <v>0</v>
      </c>
      <c r="AK562" s="147">
        <v>0</v>
      </c>
      <c r="AL562" s="147">
        <v>0</v>
      </c>
      <c r="AM562" s="147">
        <v>0</v>
      </c>
      <c r="AN562" s="147">
        <v>0</v>
      </c>
      <c r="AO562" s="147">
        <v>0</v>
      </c>
      <c r="AP562" s="147">
        <v>205040.90789454625</v>
      </c>
    </row>
    <row r="563" spans="2:42" ht="12.75" customHeight="1">
      <c r="B563" s="122" t="str">
        <v>Pórtico 4 (MG-329)</v>
      </c>
      <c r="C563" s="329" t="str">
        <v>1</v>
      </c>
      <c r="D563" s="329" t="str">
        <v>1.8</v>
      </c>
      <c r="E563" s="329">
        <v>1</v>
      </c>
      <c r="F563" s="329">
        <v>0</v>
      </c>
      <c r="G563" s="122" t="str">
        <v>Administração local (%)</v>
      </c>
      <c r="H563" s="122" t="b">
        <v>0</v>
      </c>
      <c r="I563" s="122" t="b">
        <v>0</v>
      </c>
      <c r="J563" s="122" t="b">
        <v>0</v>
      </c>
      <c r="K563" s="122" t="b">
        <v>1</v>
      </c>
      <c r="L563" s="147">
        <v>221524.77254413406</v>
      </c>
      <c r="M563" s="147">
        <v>0</v>
      </c>
      <c r="N563" s="147">
        <v>0</v>
      </c>
      <c r="O563" s="147">
        <v>0</v>
      </c>
      <c r="P563" s="147">
        <v>0</v>
      </c>
      <c r="Q563" s="147">
        <v>0</v>
      </c>
      <c r="R563" s="147">
        <v>0</v>
      </c>
      <c r="S563" s="147">
        <v>0</v>
      </c>
      <c r="T563" s="147">
        <v>0</v>
      </c>
      <c r="U563" s="147">
        <v>0</v>
      </c>
      <c r="V563" s="147">
        <v>0</v>
      </c>
      <c r="W563" s="147">
        <v>0</v>
      </c>
      <c r="X563" s="147">
        <v>0</v>
      </c>
      <c r="Y563" s="147">
        <v>0</v>
      </c>
      <c r="Z563" s="147">
        <v>0</v>
      </c>
      <c r="AA563" s="147">
        <v>0</v>
      </c>
      <c r="AB563" s="147">
        <v>0</v>
      </c>
      <c r="AC563" s="147">
        <v>0</v>
      </c>
      <c r="AD563" s="147">
        <v>0</v>
      </c>
      <c r="AE563" s="147">
        <v>0</v>
      </c>
      <c r="AF563" s="147">
        <v>0</v>
      </c>
      <c r="AG563" s="147">
        <v>0</v>
      </c>
      <c r="AH563" s="147">
        <v>0</v>
      </c>
      <c r="AI563" s="147">
        <v>0</v>
      </c>
      <c r="AJ563" s="147">
        <v>0</v>
      </c>
      <c r="AK563" s="147">
        <v>0</v>
      </c>
      <c r="AL563" s="147">
        <v>0</v>
      </c>
      <c r="AM563" s="147">
        <v>0</v>
      </c>
      <c r="AN563" s="147">
        <v>0</v>
      </c>
      <c r="AO563" s="147">
        <v>0</v>
      </c>
      <c r="AP563" s="147">
        <v>221524.77254413406</v>
      </c>
    </row>
    <row r="564" spans="2:42" ht="12.75" customHeight="1">
      <c r="B564" s="122" t="str">
        <v>Pórtico 4 (MG-329)</v>
      </c>
      <c r="C564" s="329" t="str">
        <v>1</v>
      </c>
      <c r="D564" s="329" t="str">
        <v>1.9</v>
      </c>
      <c r="E564" s="329">
        <v>1</v>
      </c>
      <c r="F564" s="329">
        <v>0</v>
      </c>
      <c r="G564" s="122" t="str">
        <v>Canteiro de obras (%)</v>
      </c>
      <c r="H564" s="122" t="b">
        <v>0</v>
      </c>
      <c r="I564" s="122" t="b">
        <v>0</v>
      </c>
      <c r="J564" s="122" t="b">
        <v>0</v>
      </c>
      <c r="K564" s="122" t="b">
        <v>1</v>
      </c>
      <c r="L564" s="147">
        <v>55831.446738765495</v>
      </c>
      <c r="M564" s="147">
        <v>0</v>
      </c>
      <c r="N564" s="147">
        <v>0</v>
      </c>
      <c r="O564" s="147">
        <v>0</v>
      </c>
      <c r="P564" s="147">
        <v>0</v>
      </c>
      <c r="Q564" s="147">
        <v>0</v>
      </c>
      <c r="R564" s="147">
        <v>0</v>
      </c>
      <c r="S564" s="147">
        <v>0</v>
      </c>
      <c r="T564" s="147">
        <v>0</v>
      </c>
      <c r="U564" s="147">
        <v>0</v>
      </c>
      <c r="V564" s="147">
        <v>0</v>
      </c>
      <c r="W564" s="147">
        <v>0</v>
      </c>
      <c r="X564" s="147">
        <v>0</v>
      </c>
      <c r="Y564" s="147">
        <v>0</v>
      </c>
      <c r="Z564" s="147">
        <v>0</v>
      </c>
      <c r="AA564" s="147">
        <v>0</v>
      </c>
      <c r="AB564" s="147">
        <v>0</v>
      </c>
      <c r="AC564" s="147">
        <v>0</v>
      </c>
      <c r="AD564" s="147">
        <v>0</v>
      </c>
      <c r="AE564" s="147">
        <v>0</v>
      </c>
      <c r="AF564" s="147">
        <v>0</v>
      </c>
      <c r="AG564" s="147">
        <v>0</v>
      </c>
      <c r="AH564" s="147">
        <v>0</v>
      </c>
      <c r="AI564" s="147">
        <v>0</v>
      </c>
      <c r="AJ564" s="147">
        <v>0</v>
      </c>
      <c r="AK564" s="147">
        <v>0</v>
      </c>
      <c r="AL564" s="147">
        <v>0</v>
      </c>
      <c r="AM564" s="147">
        <v>0</v>
      </c>
      <c r="AN564" s="147">
        <v>0</v>
      </c>
      <c r="AO564" s="147">
        <v>0</v>
      </c>
      <c r="AP564" s="147">
        <v>55831.446738765495</v>
      </c>
    </row>
    <row r="565" spans="2:42" ht="12.75" customHeight="1">
      <c r="B565" s="122" t="str">
        <v>Pórtico 4 (MG-329)</v>
      </c>
      <c r="C565" s="329" t="str">
        <v>1</v>
      </c>
      <c r="D565" s="329" t="str">
        <v>1.10</v>
      </c>
      <c r="E565" s="329">
        <v>1</v>
      </c>
      <c r="F565" s="329">
        <v>0</v>
      </c>
      <c r="G565" s="122" t="str">
        <v>Mobilização e desmobilização (%)</v>
      </c>
      <c r="H565" s="122" t="b">
        <v>0</v>
      </c>
      <c r="I565" s="122" t="b">
        <v>0</v>
      </c>
      <c r="J565" s="122" t="b">
        <v>0</v>
      </c>
      <c r="K565" s="122" t="b">
        <v>1</v>
      </c>
      <c r="L565" s="147">
        <v>1044.5883583381933</v>
      </c>
      <c r="M565" s="147">
        <v>0</v>
      </c>
      <c r="N565" s="147">
        <v>0</v>
      </c>
      <c r="O565" s="147">
        <v>0</v>
      </c>
      <c r="P565" s="147">
        <v>0</v>
      </c>
      <c r="Q565" s="147">
        <v>0</v>
      </c>
      <c r="R565" s="147">
        <v>0</v>
      </c>
      <c r="S565" s="147">
        <v>0</v>
      </c>
      <c r="T565" s="147">
        <v>0</v>
      </c>
      <c r="U565" s="147">
        <v>0</v>
      </c>
      <c r="V565" s="147">
        <v>0</v>
      </c>
      <c r="W565" s="147">
        <v>0</v>
      </c>
      <c r="X565" s="147">
        <v>0</v>
      </c>
      <c r="Y565" s="147">
        <v>0</v>
      </c>
      <c r="Z565" s="147">
        <v>0</v>
      </c>
      <c r="AA565" s="147">
        <v>0</v>
      </c>
      <c r="AB565" s="147">
        <v>0</v>
      </c>
      <c r="AC565" s="147">
        <v>0</v>
      </c>
      <c r="AD565" s="147">
        <v>0</v>
      </c>
      <c r="AE565" s="147">
        <v>0</v>
      </c>
      <c r="AF565" s="147">
        <v>0</v>
      </c>
      <c r="AG565" s="147">
        <v>0</v>
      </c>
      <c r="AH565" s="147">
        <v>0</v>
      </c>
      <c r="AI565" s="147">
        <v>0</v>
      </c>
      <c r="AJ565" s="147">
        <v>0</v>
      </c>
      <c r="AK565" s="147">
        <v>0</v>
      </c>
      <c r="AL565" s="147">
        <v>0</v>
      </c>
      <c r="AM565" s="147">
        <v>0</v>
      </c>
      <c r="AN565" s="147">
        <v>0</v>
      </c>
      <c r="AO565" s="147">
        <v>0</v>
      </c>
      <c r="AP565" s="147">
        <v>1044.5883583381933</v>
      </c>
    </row>
    <row r="566" spans="2:42" ht="12.75" customHeight="1">
      <c r="B566" s="122" t="str">
        <v>Pórtico 4 (MG-329)</v>
      </c>
      <c r="C566" s="329" t="str">
        <v>1</v>
      </c>
      <c r="D566" s="329" t="str">
        <v>1.11</v>
      </c>
      <c r="E566" s="329">
        <v>1</v>
      </c>
      <c r="F566" s="329">
        <v>0</v>
      </c>
      <c r="G566" s="122" t="str">
        <v>Projetos (%)</v>
      </c>
      <c r="H566" s="122" t="b">
        <v>0</v>
      </c>
      <c r="I566" s="122" t="b">
        <v>0</v>
      </c>
      <c r="J566" s="122" t="b">
        <v>0</v>
      </c>
      <c r="K566" s="122" t="b">
        <v>1</v>
      </c>
      <c r="L566" s="147">
        <v>450253.60273197986</v>
      </c>
      <c r="M566" s="147">
        <v>0</v>
      </c>
      <c r="N566" s="147">
        <v>0</v>
      </c>
      <c r="O566" s="147">
        <v>0</v>
      </c>
      <c r="P566" s="147">
        <v>0</v>
      </c>
      <c r="Q566" s="147">
        <v>0</v>
      </c>
      <c r="R566" s="147">
        <v>0</v>
      </c>
      <c r="S566" s="147">
        <v>0</v>
      </c>
      <c r="T566" s="147">
        <v>0</v>
      </c>
      <c r="U566" s="147">
        <v>0</v>
      </c>
      <c r="V566" s="147">
        <v>0</v>
      </c>
      <c r="W566" s="147">
        <v>0</v>
      </c>
      <c r="X566" s="147">
        <v>0</v>
      </c>
      <c r="Y566" s="147">
        <v>0</v>
      </c>
      <c r="Z566" s="147">
        <v>0</v>
      </c>
      <c r="AA566" s="147">
        <v>0</v>
      </c>
      <c r="AB566" s="147">
        <v>0</v>
      </c>
      <c r="AC566" s="147">
        <v>0</v>
      </c>
      <c r="AD566" s="147">
        <v>0</v>
      </c>
      <c r="AE566" s="147">
        <v>0</v>
      </c>
      <c r="AF566" s="147">
        <v>0</v>
      </c>
      <c r="AG566" s="147">
        <v>0</v>
      </c>
      <c r="AH566" s="147">
        <v>0</v>
      </c>
      <c r="AI566" s="147">
        <v>0</v>
      </c>
      <c r="AJ566" s="147">
        <v>0</v>
      </c>
      <c r="AK566" s="147">
        <v>0</v>
      </c>
      <c r="AL566" s="147">
        <v>0</v>
      </c>
      <c r="AM566" s="147">
        <v>0</v>
      </c>
      <c r="AN566" s="147">
        <v>0</v>
      </c>
      <c r="AO566" s="147">
        <v>0</v>
      </c>
      <c r="AP566" s="147">
        <v>450253.60273197986</v>
      </c>
    </row>
    <row r="567" spans="2:42" ht="12.75" customHeight="1">
      <c r="B567" s="122" t="str">
        <v>Pórtico 4 (MG-329)</v>
      </c>
      <c r="C567" s="329" t="str">
        <v>2</v>
      </c>
      <c r="D567" s="329">
        <v>2</v>
      </c>
      <c r="E567" s="329">
        <v>0</v>
      </c>
      <c r="F567" s="329">
        <v>0</v>
      </c>
      <c r="G567" s="122" t="str">
        <v>Recuperação do sistema rodoviário</v>
      </c>
      <c r="H567" s="122" t="b">
        <v>0</v>
      </c>
      <c r="I567" s="122" t="b">
        <v>0</v>
      </c>
      <c r="J567" s="122" t="b">
        <v>0</v>
      </c>
      <c r="K567" s="122" t="b">
        <v>1</v>
      </c>
      <c r="L567" s="147">
        <v>0</v>
      </c>
      <c r="M567" s="147">
        <v>0</v>
      </c>
      <c r="N567" s="147">
        <v>0</v>
      </c>
      <c r="O567" s="147">
        <v>0</v>
      </c>
      <c r="P567" s="147">
        <v>0</v>
      </c>
      <c r="Q567" s="147">
        <v>0</v>
      </c>
      <c r="R567" s="147">
        <v>0</v>
      </c>
      <c r="S567" s="147">
        <v>0</v>
      </c>
      <c r="T567" s="147">
        <v>0</v>
      </c>
      <c r="U567" s="147">
        <v>0</v>
      </c>
      <c r="V567" s="147">
        <v>0</v>
      </c>
      <c r="W567" s="147">
        <v>0</v>
      </c>
      <c r="X567" s="147">
        <v>0</v>
      </c>
      <c r="Y567" s="147">
        <v>0</v>
      </c>
      <c r="Z567" s="147">
        <v>0</v>
      </c>
      <c r="AA567" s="147">
        <v>0</v>
      </c>
      <c r="AB567" s="147">
        <v>0</v>
      </c>
      <c r="AC567" s="147">
        <v>0</v>
      </c>
      <c r="AD567" s="147">
        <v>0</v>
      </c>
      <c r="AE567" s="147">
        <v>0</v>
      </c>
      <c r="AF567" s="147">
        <v>0</v>
      </c>
      <c r="AG567" s="147">
        <v>0</v>
      </c>
      <c r="AH567" s="147">
        <v>0</v>
      </c>
      <c r="AI567" s="147">
        <v>0</v>
      </c>
      <c r="AJ567" s="147">
        <v>0</v>
      </c>
      <c r="AK567" s="147">
        <v>0</v>
      </c>
      <c r="AL567" s="147">
        <v>0</v>
      </c>
      <c r="AM567" s="147">
        <v>0</v>
      </c>
      <c r="AN567" s="147">
        <v>0</v>
      </c>
      <c r="AO567" s="147">
        <v>0</v>
      </c>
      <c r="AP567" s="147">
        <v>0</v>
      </c>
    </row>
    <row r="568" spans="2:42" ht="12.75" customHeight="1">
      <c r="B568" s="122" t="str">
        <v>Pórtico 4 (MG-329)</v>
      </c>
      <c r="C568" s="329" t="str">
        <v>2</v>
      </c>
      <c r="D568" s="329" t="str">
        <v>2.1</v>
      </c>
      <c r="E568" s="329">
        <v>1</v>
      </c>
      <c r="F568" s="329">
        <v>0</v>
      </c>
      <c r="G568" s="122" t="str">
        <v>Pavimento</v>
      </c>
      <c r="H568" s="122" t="b">
        <v>0</v>
      </c>
      <c r="I568" s="122" t="b">
        <v>0</v>
      </c>
      <c r="J568" s="122" t="b">
        <v>0</v>
      </c>
      <c r="K568" s="122" t="b">
        <v>1</v>
      </c>
      <c r="L568" s="147">
        <v>0</v>
      </c>
      <c r="M568" s="147">
        <v>10791194.099859428</v>
      </c>
      <c r="N568" s="147">
        <v>6448485.8326087613</v>
      </c>
      <c r="O568" s="147">
        <v>7538545.3102565045</v>
      </c>
      <c r="P568" s="147">
        <v>3565947.1426890753</v>
      </c>
      <c r="Q568" s="147">
        <v>0</v>
      </c>
      <c r="R568" s="147">
        <v>0</v>
      </c>
      <c r="S568" s="147">
        <v>0</v>
      </c>
      <c r="T568" s="147">
        <v>0</v>
      </c>
      <c r="U568" s="147">
        <v>0</v>
      </c>
      <c r="V568" s="147">
        <v>0</v>
      </c>
      <c r="W568" s="147">
        <v>0</v>
      </c>
      <c r="X568" s="147">
        <v>0</v>
      </c>
      <c r="Y568" s="147">
        <v>0</v>
      </c>
      <c r="Z568" s="147">
        <v>0</v>
      </c>
      <c r="AA568" s="147">
        <v>0</v>
      </c>
      <c r="AB568" s="147">
        <v>0</v>
      </c>
      <c r="AC568" s="147">
        <v>0</v>
      </c>
      <c r="AD568" s="147">
        <v>0</v>
      </c>
      <c r="AE568" s="147">
        <v>0</v>
      </c>
      <c r="AF568" s="147">
        <v>0</v>
      </c>
      <c r="AG568" s="147">
        <v>0</v>
      </c>
      <c r="AH568" s="147">
        <v>0</v>
      </c>
      <c r="AI568" s="147">
        <v>0</v>
      </c>
      <c r="AJ568" s="147">
        <v>0</v>
      </c>
      <c r="AK568" s="147">
        <v>0</v>
      </c>
      <c r="AL568" s="147">
        <v>0</v>
      </c>
      <c r="AM568" s="147">
        <v>0</v>
      </c>
      <c r="AN568" s="147">
        <v>0</v>
      </c>
      <c r="AO568" s="147">
        <v>0</v>
      </c>
      <c r="AP568" s="147">
        <v>28344172.38541377</v>
      </c>
    </row>
    <row r="569" spans="2:42" ht="12.75" customHeight="1">
      <c r="B569" s="122" t="str">
        <v>Pórtico 4 (MG-329)</v>
      </c>
      <c r="C569" s="329" t="str">
        <v>2</v>
      </c>
      <c r="D569" s="329" t="str">
        <v>2.2</v>
      </c>
      <c r="E569" s="329">
        <v>1</v>
      </c>
      <c r="F569" s="329">
        <v>0</v>
      </c>
      <c r="G569" s="122" t="str">
        <v>Obras de arte especiais</v>
      </c>
      <c r="H569" s="122" t="b">
        <v>0</v>
      </c>
      <c r="I569" s="122" t="b">
        <v>0</v>
      </c>
      <c r="J569" s="122" t="b">
        <v>0</v>
      </c>
      <c r="K569" s="122" t="b">
        <v>1</v>
      </c>
      <c r="L569" s="147">
        <v>0</v>
      </c>
      <c r="M569" s="147">
        <v>1260671.4666422752</v>
      </c>
      <c r="N569" s="147">
        <v>0</v>
      </c>
      <c r="O569" s="147">
        <v>204473.87957109677</v>
      </c>
      <c r="P569" s="147">
        <v>0</v>
      </c>
      <c r="Q569" s="147">
        <v>0</v>
      </c>
      <c r="R569" s="147">
        <v>0</v>
      </c>
      <c r="S569" s="147">
        <v>0</v>
      </c>
      <c r="T569" s="147">
        <v>0</v>
      </c>
      <c r="U569" s="147">
        <v>0</v>
      </c>
      <c r="V569" s="147">
        <v>0</v>
      </c>
      <c r="W569" s="147">
        <v>0</v>
      </c>
      <c r="X569" s="147">
        <v>0</v>
      </c>
      <c r="Y569" s="147">
        <v>0</v>
      </c>
      <c r="Z569" s="147">
        <v>0</v>
      </c>
      <c r="AA569" s="147">
        <v>0</v>
      </c>
      <c r="AB569" s="147">
        <v>0</v>
      </c>
      <c r="AC569" s="147">
        <v>0</v>
      </c>
      <c r="AD569" s="147">
        <v>0</v>
      </c>
      <c r="AE569" s="147">
        <v>0</v>
      </c>
      <c r="AF569" s="147">
        <v>0</v>
      </c>
      <c r="AG569" s="147">
        <v>0</v>
      </c>
      <c r="AH569" s="147">
        <v>0</v>
      </c>
      <c r="AI569" s="147">
        <v>0</v>
      </c>
      <c r="AJ569" s="147">
        <v>0</v>
      </c>
      <c r="AK569" s="147">
        <v>0</v>
      </c>
      <c r="AL569" s="147">
        <v>0</v>
      </c>
      <c r="AM569" s="147">
        <v>0</v>
      </c>
      <c r="AN569" s="147">
        <v>0</v>
      </c>
      <c r="AO569" s="147">
        <v>0</v>
      </c>
      <c r="AP569" s="147">
        <v>1465145.346213372</v>
      </c>
    </row>
    <row r="570" spans="2:42" ht="12.75" customHeight="1">
      <c r="B570" s="122" t="str">
        <v>Pórtico 4 (MG-329)</v>
      </c>
      <c r="C570" s="329" t="str">
        <v>2</v>
      </c>
      <c r="D570" s="329" t="str">
        <v>2.3</v>
      </c>
      <c r="E570" s="329">
        <v>1</v>
      </c>
      <c r="F570" s="329">
        <v>0</v>
      </c>
      <c r="G570" s="122" t="str">
        <v>Drenagem e obras de arte correntes</v>
      </c>
      <c r="H570" s="122" t="b">
        <v>0</v>
      </c>
      <c r="I570" s="122" t="b">
        <v>0</v>
      </c>
      <c r="J570" s="122" t="b">
        <v>0</v>
      </c>
      <c r="K570" s="122" t="b">
        <v>1</v>
      </c>
      <c r="L570" s="147">
        <v>0</v>
      </c>
      <c r="M570" s="147">
        <v>412951.54670923442</v>
      </c>
      <c r="N570" s="147">
        <v>412951.54670923442</v>
      </c>
      <c r="O570" s="147">
        <v>412951.54670923442</v>
      </c>
      <c r="P570" s="147">
        <v>412951.54670923442</v>
      </c>
      <c r="Q570" s="147">
        <v>0</v>
      </c>
      <c r="R570" s="147">
        <v>0</v>
      </c>
      <c r="S570" s="147">
        <v>0</v>
      </c>
      <c r="T570" s="147">
        <v>0</v>
      </c>
      <c r="U570" s="147">
        <v>0</v>
      </c>
      <c r="V570" s="147">
        <v>0</v>
      </c>
      <c r="W570" s="147">
        <v>0</v>
      </c>
      <c r="X570" s="147">
        <v>0</v>
      </c>
      <c r="Y570" s="147">
        <v>0</v>
      </c>
      <c r="Z570" s="147">
        <v>0</v>
      </c>
      <c r="AA570" s="147">
        <v>0</v>
      </c>
      <c r="AB570" s="147">
        <v>0</v>
      </c>
      <c r="AC570" s="147">
        <v>0</v>
      </c>
      <c r="AD570" s="147">
        <v>0</v>
      </c>
      <c r="AE570" s="147">
        <v>0</v>
      </c>
      <c r="AF570" s="147">
        <v>0</v>
      </c>
      <c r="AG570" s="147">
        <v>0</v>
      </c>
      <c r="AH570" s="147">
        <v>0</v>
      </c>
      <c r="AI570" s="147">
        <v>0</v>
      </c>
      <c r="AJ570" s="147">
        <v>0</v>
      </c>
      <c r="AK570" s="147">
        <v>0</v>
      </c>
      <c r="AL570" s="147">
        <v>0</v>
      </c>
      <c r="AM570" s="147">
        <v>0</v>
      </c>
      <c r="AN570" s="147">
        <v>0</v>
      </c>
      <c r="AO570" s="147">
        <v>0</v>
      </c>
      <c r="AP570" s="147">
        <v>1651806.1868369377</v>
      </c>
    </row>
    <row r="571" spans="2:42" ht="12.75" customHeight="1">
      <c r="B571" s="122" t="str">
        <v>Pórtico 4 (MG-329)</v>
      </c>
      <c r="C571" s="329" t="str">
        <v>2</v>
      </c>
      <c r="D571" s="329" t="str">
        <v>2.4</v>
      </c>
      <c r="E571" s="329">
        <v>1</v>
      </c>
      <c r="F571" s="329">
        <v>0</v>
      </c>
      <c r="G571" s="122" t="str">
        <v xml:space="preserve">Sinalização e dispositivos de proteção e segurança </v>
      </c>
      <c r="H571" s="122" t="b">
        <v>0</v>
      </c>
      <c r="I571" s="122" t="b">
        <v>0</v>
      </c>
      <c r="J571" s="122" t="b">
        <v>0</v>
      </c>
      <c r="K571" s="122" t="b">
        <v>1</v>
      </c>
      <c r="L571" s="147">
        <v>0</v>
      </c>
      <c r="M571" s="147">
        <v>1430548.1510273316</v>
      </c>
      <c r="N571" s="147">
        <v>1430548.1510273316</v>
      </c>
      <c r="O571" s="147">
        <v>1430548.1510273316</v>
      </c>
      <c r="P571" s="147">
        <v>1430482.9028073316</v>
      </c>
      <c r="Q571" s="147">
        <v>0</v>
      </c>
      <c r="R571" s="147">
        <v>0</v>
      </c>
      <c r="S571" s="147">
        <v>0</v>
      </c>
      <c r="T571" s="147">
        <v>0</v>
      </c>
      <c r="U571" s="147">
        <v>0</v>
      </c>
      <c r="V571" s="147">
        <v>0</v>
      </c>
      <c r="W571" s="147">
        <v>0</v>
      </c>
      <c r="X571" s="147">
        <v>0</v>
      </c>
      <c r="Y571" s="147">
        <v>0</v>
      </c>
      <c r="Z571" s="147">
        <v>0</v>
      </c>
      <c r="AA571" s="147">
        <v>0</v>
      </c>
      <c r="AB571" s="147">
        <v>0</v>
      </c>
      <c r="AC571" s="147">
        <v>0</v>
      </c>
      <c r="AD571" s="147">
        <v>0</v>
      </c>
      <c r="AE571" s="147">
        <v>0</v>
      </c>
      <c r="AF571" s="147">
        <v>0</v>
      </c>
      <c r="AG571" s="147">
        <v>0</v>
      </c>
      <c r="AH571" s="147">
        <v>0</v>
      </c>
      <c r="AI571" s="147">
        <v>0</v>
      </c>
      <c r="AJ571" s="147">
        <v>0</v>
      </c>
      <c r="AK571" s="147">
        <v>0</v>
      </c>
      <c r="AL571" s="147">
        <v>0</v>
      </c>
      <c r="AM571" s="147">
        <v>0</v>
      </c>
      <c r="AN571" s="147">
        <v>0</v>
      </c>
      <c r="AO571" s="147">
        <v>0</v>
      </c>
      <c r="AP571" s="147">
        <v>5722127.3558893269</v>
      </c>
    </row>
    <row r="572" spans="2:42" ht="12.75" customHeight="1">
      <c r="B572" s="122" t="str">
        <v>Pórtico 4 (MG-329)</v>
      </c>
      <c r="C572" s="329" t="str">
        <v>2</v>
      </c>
      <c r="D572" s="329" t="str">
        <v>2.6</v>
      </c>
      <c r="E572" s="329">
        <v>1</v>
      </c>
      <c r="F572" s="329">
        <v>0</v>
      </c>
      <c r="G572" s="122" t="str">
        <v>Terraplenos e estrutura de contenção</v>
      </c>
      <c r="H572" s="122" t="b">
        <v>0</v>
      </c>
      <c r="I572" s="122" t="b">
        <v>0</v>
      </c>
      <c r="J572" s="122" t="b">
        <v>0</v>
      </c>
      <c r="K572" s="122" t="b">
        <v>1</v>
      </c>
      <c r="L572" s="147">
        <v>0</v>
      </c>
      <c r="M572" s="147">
        <v>0</v>
      </c>
      <c r="N572" s="147">
        <v>0</v>
      </c>
      <c r="O572" s="147">
        <v>0</v>
      </c>
      <c r="P572" s="147">
        <v>0</v>
      </c>
      <c r="Q572" s="147">
        <v>0</v>
      </c>
      <c r="R572" s="147">
        <v>0</v>
      </c>
      <c r="S572" s="147">
        <v>0</v>
      </c>
      <c r="T572" s="147">
        <v>0</v>
      </c>
      <c r="U572" s="147">
        <v>0</v>
      </c>
      <c r="V572" s="147">
        <v>0</v>
      </c>
      <c r="W572" s="147">
        <v>0</v>
      </c>
      <c r="X572" s="147">
        <v>0</v>
      </c>
      <c r="Y572" s="147">
        <v>0</v>
      </c>
      <c r="Z572" s="147">
        <v>0</v>
      </c>
      <c r="AA572" s="147">
        <v>0</v>
      </c>
      <c r="AB572" s="147">
        <v>0</v>
      </c>
      <c r="AC572" s="147">
        <v>0</v>
      </c>
      <c r="AD572" s="147">
        <v>0</v>
      </c>
      <c r="AE572" s="147">
        <v>0</v>
      </c>
      <c r="AF572" s="147">
        <v>0</v>
      </c>
      <c r="AG572" s="147">
        <v>0</v>
      </c>
      <c r="AH572" s="147">
        <v>0</v>
      </c>
      <c r="AI572" s="147">
        <v>0</v>
      </c>
      <c r="AJ572" s="147">
        <v>0</v>
      </c>
      <c r="AK572" s="147">
        <v>0</v>
      </c>
      <c r="AL572" s="147">
        <v>0</v>
      </c>
      <c r="AM572" s="147">
        <v>0</v>
      </c>
      <c r="AN572" s="147">
        <v>0</v>
      </c>
      <c r="AO572" s="147">
        <v>0</v>
      </c>
      <c r="AP572" s="147">
        <v>0</v>
      </c>
    </row>
    <row r="573" spans="2:42" ht="12.75" customHeight="1">
      <c r="B573" s="122" t="str">
        <v>Pórtico 4 (MG-329)</v>
      </c>
      <c r="C573" s="329" t="str">
        <v>2</v>
      </c>
      <c r="D573" s="329" t="str">
        <v>2.7</v>
      </c>
      <c r="E573" s="329">
        <v>1</v>
      </c>
      <c r="F573" s="329">
        <v>0</v>
      </c>
      <c r="G573" s="122" t="str">
        <v>Sistemas elétricos e de iluminação</v>
      </c>
      <c r="H573" s="122" t="b">
        <v>0</v>
      </c>
      <c r="I573" s="122" t="b">
        <v>0</v>
      </c>
      <c r="J573" s="122" t="b">
        <v>0</v>
      </c>
      <c r="K573" s="122" t="b">
        <v>1</v>
      </c>
      <c r="L573" s="147">
        <v>0</v>
      </c>
      <c r="M573" s="147">
        <v>3687.7577100000003</v>
      </c>
      <c r="N573" s="147">
        <v>3687.7577100000003</v>
      </c>
      <c r="O573" s="147">
        <v>3687.7577100000003</v>
      </c>
      <c r="P573" s="147">
        <v>3687.7577100000003</v>
      </c>
      <c r="Q573" s="147">
        <v>0</v>
      </c>
      <c r="R573" s="147">
        <v>0</v>
      </c>
      <c r="S573" s="147">
        <v>0</v>
      </c>
      <c r="T573" s="147">
        <v>0</v>
      </c>
      <c r="U573" s="147">
        <v>0</v>
      </c>
      <c r="V573" s="147">
        <v>0</v>
      </c>
      <c r="W573" s="147">
        <v>0</v>
      </c>
      <c r="X573" s="147">
        <v>0</v>
      </c>
      <c r="Y573" s="147">
        <v>0</v>
      </c>
      <c r="Z573" s="147">
        <v>0</v>
      </c>
      <c r="AA573" s="147">
        <v>0</v>
      </c>
      <c r="AB573" s="147">
        <v>0</v>
      </c>
      <c r="AC573" s="147">
        <v>0</v>
      </c>
      <c r="AD573" s="147">
        <v>0</v>
      </c>
      <c r="AE573" s="147">
        <v>0</v>
      </c>
      <c r="AF573" s="147">
        <v>0</v>
      </c>
      <c r="AG573" s="147">
        <v>0</v>
      </c>
      <c r="AH573" s="147">
        <v>0</v>
      </c>
      <c r="AI573" s="147">
        <v>0</v>
      </c>
      <c r="AJ573" s="147">
        <v>0</v>
      </c>
      <c r="AK573" s="147">
        <v>0</v>
      </c>
      <c r="AL573" s="147">
        <v>0</v>
      </c>
      <c r="AM573" s="147">
        <v>0</v>
      </c>
      <c r="AN573" s="147">
        <v>0</v>
      </c>
      <c r="AO573" s="147">
        <v>0</v>
      </c>
      <c r="AP573" s="147">
        <v>14751.030840000001</v>
      </c>
    </row>
    <row r="574" spans="2:42" ht="12.75" customHeight="1">
      <c r="B574" s="122" t="str">
        <v>Pórtico 4 (MG-329)</v>
      </c>
      <c r="C574" s="329" t="str">
        <v>2</v>
      </c>
      <c r="D574" s="329" t="str">
        <v>2.8</v>
      </c>
      <c r="E574" s="329">
        <v>1</v>
      </c>
      <c r="F574" s="329">
        <v>0</v>
      </c>
      <c r="G574" s="122" t="str">
        <v>Canteiro central e faixa de domínio</v>
      </c>
      <c r="H574" s="122" t="b">
        <v>0</v>
      </c>
      <c r="I574" s="122" t="b">
        <v>0</v>
      </c>
      <c r="J574" s="122" t="b">
        <v>0</v>
      </c>
      <c r="K574" s="122" t="b">
        <v>1</v>
      </c>
      <c r="L574" s="147">
        <v>0</v>
      </c>
      <c r="M574" s="147">
        <v>238217.58157404629</v>
      </c>
      <c r="N574" s="147">
        <v>238217.58157404629</v>
      </c>
      <c r="O574" s="147">
        <v>238217.58157404629</v>
      </c>
      <c r="P574" s="147">
        <v>238217.58157404629</v>
      </c>
      <c r="Q574" s="147">
        <v>0</v>
      </c>
      <c r="R574" s="147">
        <v>0</v>
      </c>
      <c r="S574" s="147">
        <v>0</v>
      </c>
      <c r="T574" s="147">
        <v>0</v>
      </c>
      <c r="U574" s="147">
        <v>0</v>
      </c>
      <c r="V574" s="147">
        <v>0</v>
      </c>
      <c r="W574" s="147">
        <v>0</v>
      </c>
      <c r="X574" s="147">
        <v>0</v>
      </c>
      <c r="Y574" s="147">
        <v>0</v>
      </c>
      <c r="Z574" s="147">
        <v>0</v>
      </c>
      <c r="AA574" s="147">
        <v>0</v>
      </c>
      <c r="AB574" s="147">
        <v>0</v>
      </c>
      <c r="AC574" s="147">
        <v>0</v>
      </c>
      <c r="AD574" s="147">
        <v>0</v>
      </c>
      <c r="AE574" s="147">
        <v>0</v>
      </c>
      <c r="AF574" s="147">
        <v>0</v>
      </c>
      <c r="AG574" s="147">
        <v>0</v>
      </c>
      <c r="AH574" s="147">
        <v>0</v>
      </c>
      <c r="AI574" s="147">
        <v>0</v>
      </c>
      <c r="AJ574" s="147">
        <v>0</v>
      </c>
      <c r="AK574" s="147">
        <v>0</v>
      </c>
      <c r="AL574" s="147">
        <v>0</v>
      </c>
      <c r="AM574" s="147">
        <v>0</v>
      </c>
      <c r="AN574" s="147">
        <v>0</v>
      </c>
      <c r="AO574" s="147">
        <v>0</v>
      </c>
      <c r="AP574" s="147">
        <v>952870.32629618514</v>
      </c>
    </row>
    <row r="575" spans="2:42" ht="12.75" customHeight="1">
      <c r="B575" s="122" t="str">
        <v>Pórtico 4 (MG-329)</v>
      </c>
      <c r="C575" s="329" t="str">
        <v>2</v>
      </c>
      <c r="D575" s="329" t="str">
        <v>2.9</v>
      </c>
      <c r="E575" s="329">
        <v>1</v>
      </c>
      <c r="F575" s="329">
        <v>0</v>
      </c>
      <c r="G575" s="122" t="str">
        <v>Administração local (%)</v>
      </c>
      <c r="H575" s="122" t="b">
        <v>0</v>
      </c>
      <c r="I575" s="122" t="b">
        <v>0</v>
      </c>
      <c r="J575" s="122" t="b">
        <v>0</v>
      </c>
      <c r="K575" s="122" t="b">
        <v>1</v>
      </c>
      <c r="L575" s="147">
        <v>0</v>
      </c>
      <c r="M575" s="147">
        <v>173888.42842332448</v>
      </c>
      <c r="N575" s="147">
        <v>104966.85769644129</v>
      </c>
      <c r="O575" s="147">
        <v>120889.61799023302</v>
      </c>
      <c r="P575" s="147">
        <v>69510.829257323159</v>
      </c>
      <c r="Q575" s="147">
        <v>0</v>
      </c>
      <c r="R575" s="147">
        <v>0</v>
      </c>
      <c r="S575" s="147">
        <v>0</v>
      </c>
      <c r="T575" s="147">
        <v>0</v>
      </c>
      <c r="U575" s="147">
        <v>0</v>
      </c>
      <c r="V575" s="147">
        <v>0</v>
      </c>
      <c r="W575" s="147">
        <v>0</v>
      </c>
      <c r="X575" s="147">
        <v>0</v>
      </c>
      <c r="Y575" s="147">
        <v>0</v>
      </c>
      <c r="Z575" s="147">
        <v>0</v>
      </c>
      <c r="AA575" s="147">
        <v>0</v>
      </c>
      <c r="AB575" s="147">
        <v>0</v>
      </c>
      <c r="AC575" s="147">
        <v>0</v>
      </c>
      <c r="AD575" s="147">
        <v>0</v>
      </c>
      <c r="AE575" s="147">
        <v>0</v>
      </c>
      <c r="AF575" s="147">
        <v>0</v>
      </c>
      <c r="AG575" s="147">
        <v>0</v>
      </c>
      <c r="AH575" s="147">
        <v>0</v>
      </c>
      <c r="AI575" s="147">
        <v>0</v>
      </c>
      <c r="AJ575" s="147">
        <v>0</v>
      </c>
      <c r="AK575" s="147">
        <v>0</v>
      </c>
      <c r="AL575" s="147">
        <v>0</v>
      </c>
      <c r="AM575" s="147">
        <v>0</v>
      </c>
      <c r="AN575" s="147">
        <v>0</v>
      </c>
      <c r="AO575" s="147">
        <v>0</v>
      </c>
      <c r="AP575" s="147">
        <v>469255.73336732195</v>
      </c>
    </row>
    <row r="576" spans="2:42" ht="12.75" customHeight="1">
      <c r="B576" s="122" t="str">
        <v>Pórtico 4 (MG-329)</v>
      </c>
      <c r="C576" s="329" t="str">
        <v>2</v>
      </c>
      <c r="D576" s="329" t="str">
        <v>2.10</v>
      </c>
      <c r="E576" s="329">
        <v>1</v>
      </c>
      <c r="F576" s="329">
        <v>0</v>
      </c>
      <c r="G576" s="122" t="str">
        <v>Canteiro de obras (%)</v>
      </c>
      <c r="H576" s="122" t="b">
        <v>0</v>
      </c>
      <c r="I576" s="122" t="b">
        <v>0</v>
      </c>
      <c r="J576" s="122" t="b">
        <v>0</v>
      </c>
      <c r="K576" s="122" t="b">
        <v>1</v>
      </c>
      <c r="L576" s="147">
        <v>0</v>
      </c>
      <c r="M576" s="147">
        <v>43825.538870919176</v>
      </c>
      <c r="N576" s="147">
        <v>26455.061695851058</v>
      </c>
      <c r="O576" s="147">
        <v>30468.115103229458</v>
      </c>
      <c r="P576" s="147">
        <v>17518.98948761803</v>
      </c>
      <c r="Q576" s="147">
        <v>0</v>
      </c>
      <c r="R576" s="147">
        <v>0</v>
      </c>
      <c r="S576" s="147">
        <v>0</v>
      </c>
      <c r="T576" s="147">
        <v>0</v>
      </c>
      <c r="U576" s="147">
        <v>0</v>
      </c>
      <c r="V576" s="147">
        <v>0</v>
      </c>
      <c r="W576" s="147">
        <v>0</v>
      </c>
      <c r="X576" s="147">
        <v>0</v>
      </c>
      <c r="Y576" s="147">
        <v>0</v>
      </c>
      <c r="Z576" s="147">
        <v>0</v>
      </c>
      <c r="AA576" s="147">
        <v>0</v>
      </c>
      <c r="AB576" s="147">
        <v>0</v>
      </c>
      <c r="AC576" s="147">
        <v>0</v>
      </c>
      <c r="AD576" s="147">
        <v>0</v>
      </c>
      <c r="AE576" s="147">
        <v>0</v>
      </c>
      <c r="AF576" s="147">
        <v>0</v>
      </c>
      <c r="AG576" s="147">
        <v>0</v>
      </c>
      <c r="AH576" s="147">
        <v>0</v>
      </c>
      <c r="AI576" s="147">
        <v>0</v>
      </c>
      <c r="AJ576" s="147">
        <v>0</v>
      </c>
      <c r="AK576" s="147">
        <v>0</v>
      </c>
      <c r="AL576" s="147">
        <v>0</v>
      </c>
      <c r="AM576" s="147">
        <v>0</v>
      </c>
      <c r="AN576" s="147">
        <v>0</v>
      </c>
      <c r="AO576" s="147">
        <v>0</v>
      </c>
      <c r="AP576" s="147">
        <v>118267.70515761773</v>
      </c>
    </row>
    <row r="577" spans="2:42" ht="12.75" customHeight="1">
      <c r="B577" s="122" t="str">
        <v>Pórtico 4 (MG-329)</v>
      </c>
      <c r="C577" s="329" t="str">
        <v>2</v>
      </c>
      <c r="D577" s="329" t="str">
        <v>2.11</v>
      </c>
      <c r="E577" s="329">
        <v>1</v>
      </c>
      <c r="F577" s="329">
        <v>0</v>
      </c>
      <c r="G577" s="122" t="str">
        <v>Mobilização e desmobilização (%)</v>
      </c>
      <c r="H577" s="122" t="b">
        <v>0</v>
      </c>
      <c r="I577" s="122" t="b">
        <v>0</v>
      </c>
      <c r="J577" s="122" t="b">
        <v>0</v>
      </c>
      <c r="K577" s="122" t="b">
        <v>1</v>
      </c>
      <c r="L577" s="147">
        <v>0</v>
      </c>
      <c r="M577" s="147">
        <v>819.96169500429426</v>
      </c>
      <c r="N577" s="147">
        <v>494.96567043850365</v>
      </c>
      <c r="O577" s="147">
        <v>570.04860515719633</v>
      </c>
      <c r="P577" s="147">
        <v>327.77464202640186</v>
      </c>
      <c r="Q577" s="147">
        <v>0</v>
      </c>
      <c r="R577" s="147">
        <v>0</v>
      </c>
      <c r="S577" s="147">
        <v>0</v>
      </c>
      <c r="T577" s="147">
        <v>0</v>
      </c>
      <c r="U577" s="147">
        <v>0</v>
      </c>
      <c r="V577" s="147">
        <v>0</v>
      </c>
      <c r="W577" s="147">
        <v>0</v>
      </c>
      <c r="X577" s="147">
        <v>0</v>
      </c>
      <c r="Y577" s="147">
        <v>0</v>
      </c>
      <c r="Z577" s="147">
        <v>0</v>
      </c>
      <c r="AA577" s="147">
        <v>0</v>
      </c>
      <c r="AB577" s="147">
        <v>0</v>
      </c>
      <c r="AC577" s="147">
        <v>0</v>
      </c>
      <c r="AD577" s="147">
        <v>0</v>
      </c>
      <c r="AE577" s="147">
        <v>0</v>
      </c>
      <c r="AF577" s="147">
        <v>0</v>
      </c>
      <c r="AG577" s="147">
        <v>0</v>
      </c>
      <c r="AH577" s="147">
        <v>0</v>
      </c>
      <c r="AI577" s="147">
        <v>0</v>
      </c>
      <c r="AJ577" s="147">
        <v>0</v>
      </c>
      <c r="AK577" s="147">
        <v>0</v>
      </c>
      <c r="AL577" s="147">
        <v>0</v>
      </c>
      <c r="AM577" s="147">
        <v>0</v>
      </c>
      <c r="AN577" s="147">
        <v>0</v>
      </c>
      <c r="AO577" s="147">
        <v>0</v>
      </c>
      <c r="AP577" s="147">
        <v>2212.7506126263961</v>
      </c>
    </row>
    <row r="578" spans="2:42" ht="12.75" customHeight="1">
      <c r="B578" s="122" t="str">
        <v>Pórtico 4 (MG-329)</v>
      </c>
      <c r="C578" s="329" t="str">
        <v>2</v>
      </c>
      <c r="D578" s="329" t="str">
        <v>2.12</v>
      </c>
      <c r="E578" s="329">
        <v>1</v>
      </c>
      <c r="F578" s="329">
        <v>0</v>
      </c>
      <c r="G578" s="122" t="str">
        <v>Projetos (%)</v>
      </c>
      <c r="H578" s="122" t="b">
        <v>0</v>
      </c>
      <c r="I578" s="122" t="b">
        <v>0</v>
      </c>
      <c r="J578" s="122" t="b">
        <v>0</v>
      </c>
      <c r="K578" s="122" t="b">
        <v>1</v>
      </c>
      <c r="L578" s="147">
        <v>0</v>
      </c>
      <c r="M578" s="147">
        <v>353431.7650880579</v>
      </c>
      <c r="N578" s="147">
        <v>213347.27174073437</v>
      </c>
      <c r="O578" s="147">
        <v>245710.60567120533</v>
      </c>
      <c r="P578" s="147">
        <v>141282.17328724219</v>
      </c>
      <c r="Q578" s="147">
        <v>0</v>
      </c>
      <c r="R578" s="147">
        <v>0</v>
      </c>
      <c r="S578" s="147">
        <v>0</v>
      </c>
      <c r="T578" s="147">
        <v>0</v>
      </c>
      <c r="U578" s="147">
        <v>0</v>
      </c>
      <c r="V578" s="147">
        <v>0</v>
      </c>
      <c r="W578" s="147">
        <v>0</v>
      </c>
      <c r="X578" s="147">
        <v>0</v>
      </c>
      <c r="Y578" s="147">
        <v>0</v>
      </c>
      <c r="Z578" s="147">
        <v>0</v>
      </c>
      <c r="AA578" s="147">
        <v>0</v>
      </c>
      <c r="AB578" s="147">
        <v>0</v>
      </c>
      <c r="AC578" s="147">
        <v>0</v>
      </c>
      <c r="AD578" s="147">
        <v>0</v>
      </c>
      <c r="AE578" s="147">
        <v>0</v>
      </c>
      <c r="AF578" s="147">
        <v>0</v>
      </c>
      <c r="AG578" s="147">
        <v>0</v>
      </c>
      <c r="AH578" s="147">
        <v>0</v>
      </c>
      <c r="AI578" s="147">
        <v>0</v>
      </c>
      <c r="AJ578" s="147">
        <v>0</v>
      </c>
      <c r="AK578" s="147">
        <v>0</v>
      </c>
      <c r="AL578" s="147">
        <v>0</v>
      </c>
      <c r="AM578" s="147">
        <v>0</v>
      </c>
      <c r="AN578" s="147">
        <v>0</v>
      </c>
      <c r="AO578" s="147">
        <v>0</v>
      </c>
      <c r="AP578" s="147">
        <v>953771.81578723982</v>
      </c>
    </row>
    <row r="579" spans="2:42" ht="12.75" customHeight="1">
      <c r="B579" s="122" t="str">
        <v>Pórtico 4 (MG-329)</v>
      </c>
      <c r="C579" s="329" t="str">
        <v>4</v>
      </c>
      <c r="D579" s="329">
        <v>4</v>
      </c>
      <c r="E579" s="329">
        <v>0</v>
      </c>
      <c r="F579" s="329">
        <v>0</v>
      </c>
      <c r="G579" s="122" t="str">
        <v>Obras de ampliação da capacidade e outras melhorias</v>
      </c>
      <c r="H579" s="122" t="b">
        <v>0</v>
      </c>
      <c r="I579" s="122" t="b">
        <v>0</v>
      </c>
      <c r="J579" s="122" t="b">
        <v>0</v>
      </c>
      <c r="K579" s="122" t="b">
        <v>1</v>
      </c>
      <c r="L579" s="147">
        <v>0</v>
      </c>
      <c r="M579" s="147">
        <v>0</v>
      </c>
      <c r="N579" s="147">
        <v>0</v>
      </c>
      <c r="O579" s="147">
        <v>0</v>
      </c>
      <c r="P579" s="147">
        <v>0</v>
      </c>
      <c r="Q579" s="147">
        <v>0</v>
      </c>
      <c r="R579" s="147">
        <v>0</v>
      </c>
      <c r="S579" s="147">
        <v>0</v>
      </c>
      <c r="T579" s="147">
        <v>0</v>
      </c>
      <c r="U579" s="147">
        <v>0</v>
      </c>
      <c r="V579" s="147">
        <v>0</v>
      </c>
      <c r="W579" s="147">
        <v>0</v>
      </c>
      <c r="X579" s="147">
        <v>0</v>
      </c>
      <c r="Y579" s="147">
        <v>0</v>
      </c>
      <c r="Z579" s="147">
        <v>0</v>
      </c>
      <c r="AA579" s="147">
        <v>0</v>
      </c>
      <c r="AB579" s="147">
        <v>0</v>
      </c>
      <c r="AC579" s="147">
        <v>0</v>
      </c>
      <c r="AD579" s="147">
        <v>0</v>
      </c>
      <c r="AE579" s="147">
        <v>0</v>
      </c>
      <c r="AF579" s="147">
        <v>0</v>
      </c>
      <c r="AG579" s="147">
        <v>0</v>
      </c>
      <c r="AH579" s="147">
        <v>0</v>
      </c>
      <c r="AI579" s="147">
        <v>0</v>
      </c>
      <c r="AJ579" s="147">
        <v>0</v>
      </c>
      <c r="AK579" s="147">
        <v>0</v>
      </c>
      <c r="AL579" s="147">
        <v>0</v>
      </c>
      <c r="AM579" s="147">
        <v>0</v>
      </c>
      <c r="AN579" s="147">
        <v>0</v>
      </c>
      <c r="AO579" s="147">
        <v>0</v>
      </c>
      <c r="AP579" s="147">
        <v>0</v>
      </c>
    </row>
    <row r="580" spans="2:42" ht="12.75" customHeight="1">
      <c r="B580" s="122" t="str">
        <v>Pórtico 4 (MG-329)</v>
      </c>
      <c r="C580" s="329" t="str">
        <v>4</v>
      </c>
      <c r="D580" s="329" t="str">
        <v>4.1</v>
      </c>
      <c r="E580" s="329">
        <v>1</v>
      </c>
      <c r="F580" s="329">
        <v>0</v>
      </c>
      <c r="G580" s="122" t="str">
        <v xml:space="preserve">Duplicação </v>
      </c>
      <c r="H580" s="122" t="b">
        <v>0</v>
      </c>
      <c r="I580" s="122" t="b">
        <v>0</v>
      </c>
      <c r="J580" s="122" t="b">
        <v>0</v>
      </c>
      <c r="K580" s="122" t="b">
        <v>1</v>
      </c>
      <c r="L580" s="147">
        <v>0</v>
      </c>
      <c r="M580" s="147">
        <v>0</v>
      </c>
      <c r="N580" s="147">
        <v>0</v>
      </c>
      <c r="O580" s="147">
        <v>45329784.5</v>
      </c>
      <c r="P580" s="147">
        <v>0</v>
      </c>
      <c r="Q580" s="147">
        <v>0</v>
      </c>
      <c r="R580" s="147">
        <v>0</v>
      </c>
      <c r="S580" s="147">
        <v>0</v>
      </c>
      <c r="T580" s="147">
        <v>0</v>
      </c>
      <c r="U580" s="147">
        <v>0</v>
      </c>
      <c r="V580" s="147">
        <v>0</v>
      </c>
      <c r="W580" s="147">
        <v>0</v>
      </c>
      <c r="X580" s="147">
        <v>0</v>
      </c>
      <c r="Y580" s="147">
        <v>0</v>
      </c>
      <c r="Z580" s="147">
        <v>183983215.5</v>
      </c>
      <c r="AA580" s="147">
        <v>0</v>
      </c>
      <c r="AB580" s="147">
        <v>0</v>
      </c>
      <c r="AC580" s="147">
        <v>0</v>
      </c>
      <c r="AD580" s="147">
        <v>0</v>
      </c>
      <c r="AE580" s="147">
        <v>0</v>
      </c>
      <c r="AF580" s="147">
        <v>0</v>
      </c>
      <c r="AG580" s="147">
        <v>0</v>
      </c>
      <c r="AH580" s="147">
        <v>0</v>
      </c>
      <c r="AI580" s="147">
        <v>0</v>
      </c>
      <c r="AJ580" s="147">
        <v>0</v>
      </c>
      <c r="AK580" s="147">
        <v>0</v>
      </c>
      <c r="AL580" s="147">
        <v>0</v>
      </c>
      <c r="AM580" s="147">
        <v>0</v>
      </c>
      <c r="AN580" s="147">
        <v>0</v>
      </c>
      <c r="AO580" s="147">
        <v>0</v>
      </c>
      <c r="AP580" s="147">
        <v>229313000</v>
      </c>
    </row>
    <row r="581" spans="2:42" ht="12.75" customHeight="1">
      <c r="B581" s="122" t="str">
        <v>Pórtico 4 (MG-329)</v>
      </c>
      <c r="C581" s="329" t="str">
        <v>4</v>
      </c>
      <c r="D581" s="329" t="str">
        <v>4.2</v>
      </c>
      <c r="E581" s="329">
        <v>1</v>
      </c>
      <c r="F581" s="329">
        <v>0</v>
      </c>
      <c r="G581" s="122" t="str">
        <v xml:space="preserve">Vias marginais </v>
      </c>
      <c r="H581" s="122" t="b">
        <v>0</v>
      </c>
      <c r="I581" s="122" t="b">
        <v>0</v>
      </c>
      <c r="J581" s="122" t="b">
        <v>0</v>
      </c>
      <c r="K581" s="122" t="b">
        <v>1</v>
      </c>
      <c r="L581" s="147">
        <v>0</v>
      </c>
      <c r="M581" s="147">
        <v>0</v>
      </c>
      <c r="N581" s="147">
        <v>0</v>
      </c>
      <c r="O581" s="147">
        <v>0</v>
      </c>
      <c r="P581" s="147">
        <v>0</v>
      </c>
      <c r="Q581" s="147">
        <v>0</v>
      </c>
      <c r="R581" s="147">
        <v>0</v>
      </c>
      <c r="S581" s="147">
        <v>0</v>
      </c>
      <c r="T581" s="147">
        <v>0</v>
      </c>
      <c r="U581" s="147">
        <v>0</v>
      </c>
      <c r="V581" s="147">
        <v>0</v>
      </c>
      <c r="W581" s="147">
        <v>0</v>
      </c>
      <c r="X581" s="147">
        <v>0</v>
      </c>
      <c r="Y581" s="147">
        <v>0</v>
      </c>
      <c r="Z581" s="147">
        <v>0</v>
      </c>
      <c r="AA581" s="147">
        <v>0</v>
      </c>
      <c r="AB581" s="147">
        <v>0</v>
      </c>
      <c r="AC581" s="147">
        <v>0</v>
      </c>
      <c r="AD581" s="147">
        <v>0</v>
      </c>
      <c r="AE581" s="147">
        <v>0</v>
      </c>
      <c r="AF581" s="147">
        <v>0</v>
      </c>
      <c r="AG581" s="147">
        <v>0</v>
      </c>
      <c r="AH581" s="147">
        <v>0</v>
      </c>
      <c r="AI581" s="147">
        <v>0</v>
      </c>
      <c r="AJ581" s="147">
        <v>0</v>
      </c>
      <c r="AK581" s="147">
        <v>0</v>
      </c>
      <c r="AL581" s="147">
        <v>0</v>
      </c>
      <c r="AM581" s="147">
        <v>0</v>
      </c>
      <c r="AN581" s="147">
        <v>0</v>
      </c>
      <c r="AO581" s="147">
        <v>0</v>
      </c>
      <c r="AP581" s="147">
        <v>0</v>
      </c>
    </row>
    <row r="582" spans="2:42" ht="12.75" customHeight="1">
      <c r="B582" s="122" t="str">
        <v>Pórtico 4 (MG-329)</v>
      </c>
      <c r="C582" s="329" t="str">
        <v>4</v>
      </c>
      <c r="D582" s="329" t="str">
        <v>4.3</v>
      </c>
      <c r="E582" s="329">
        <v>1</v>
      </c>
      <c r="F582" s="329">
        <v>0</v>
      </c>
      <c r="G582" s="122" t="str">
        <v xml:space="preserve">Contornos urbanos e travessias urbanas </v>
      </c>
      <c r="H582" s="122" t="b">
        <v>0</v>
      </c>
      <c r="I582" s="122" t="b">
        <v>0</v>
      </c>
      <c r="J582" s="122" t="b">
        <v>0</v>
      </c>
      <c r="K582" s="122" t="b">
        <v>1</v>
      </c>
      <c r="L582" s="147">
        <v>0</v>
      </c>
      <c r="M582" s="147">
        <v>0</v>
      </c>
      <c r="N582" s="147">
        <v>0</v>
      </c>
      <c r="O582" s="147">
        <v>0</v>
      </c>
      <c r="P582" s="147">
        <v>0</v>
      </c>
      <c r="Q582" s="147">
        <v>0</v>
      </c>
      <c r="R582" s="147">
        <v>0</v>
      </c>
      <c r="S582" s="147">
        <v>0</v>
      </c>
      <c r="T582" s="147">
        <v>0</v>
      </c>
      <c r="U582" s="147">
        <v>0</v>
      </c>
      <c r="V582" s="147">
        <v>0</v>
      </c>
      <c r="W582" s="147">
        <v>0</v>
      </c>
      <c r="X582" s="147">
        <v>0</v>
      </c>
      <c r="Y582" s="147">
        <v>0</v>
      </c>
      <c r="Z582" s="147">
        <v>0</v>
      </c>
      <c r="AA582" s="147">
        <v>0</v>
      </c>
      <c r="AB582" s="147">
        <v>0</v>
      </c>
      <c r="AC582" s="147">
        <v>0</v>
      </c>
      <c r="AD582" s="147">
        <v>0</v>
      </c>
      <c r="AE582" s="147">
        <v>0</v>
      </c>
      <c r="AF582" s="147">
        <v>0</v>
      </c>
      <c r="AG582" s="147">
        <v>0</v>
      </c>
      <c r="AH582" s="147">
        <v>0</v>
      </c>
      <c r="AI582" s="147">
        <v>0</v>
      </c>
      <c r="AJ582" s="147">
        <v>0</v>
      </c>
      <c r="AK582" s="147">
        <v>0</v>
      </c>
      <c r="AL582" s="147">
        <v>0</v>
      </c>
      <c r="AM582" s="147">
        <v>0</v>
      </c>
      <c r="AN582" s="147">
        <v>0</v>
      </c>
      <c r="AO582" s="147">
        <v>0</v>
      </c>
      <c r="AP582" s="147">
        <v>0</v>
      </c>
    </row>
    <row r="583" spans="2:42" ht="12.75" customHeight="1">
      <c r="B583" s="122" t="str">
        <v>Pórtico 4 (MG-329)</v>
      </c>
      <c r="C583" s="329" t="str">
        <v>4</v>
      </c>
      <c r="D583" s="329" t="str">
        <v>4.4</v>
      </c>
      <c r="E583" s="329">
        <v>1</v>
      </c>
      <c r="F583" s="329">
        <v>0</v>
      </c>
      <c r="G583" s="122" t="str">
        <v xml:space="preserve">Faixas adicionais </v>
      </c>
      <c r="H583" s="122" t="b">
        <v>0</v>
      </c>
      <c r="I583" s="122" t="b">
        <v>0</v>
      </c>
      <c r="J583" s="122" t="b">
        <v>0</v>
      </c>
      <c r="K583" s="122" t="b">
        <v>1</v>
      </c>
      <c r="L583" s="147">
        <v>0</v>
      </c>
      <c r="M583" s="147">
        <v>0</v>
      </c>
      <c r="N583" s="147">
        <v>0</v>
      </c>
      <c r="O583" s="147">
        <v>0</v>
      </c>
      <c r="P583" s="147">
        <v>0</v>
      </c>
      <c r="Q583" s="147">
        <v>0</v>
      </c>
      <c r="R583" s="147">
        <v>0</v>
      </c>
      <c r="S583" s="147">
        <v>0</v>
      </c>
      <c r="T583" s="147">
        <v>0</v>
      </c>
      <c r="U583" s="147">
        <v>0</v>
      </c>
      <c r="V583" s="147">
        <v>0</v>
      </c>
      <c r="W583" s="147">
        <v>0</v>
      </c>
      <c r="X583" s="147">
        <v>0</v>
      </c>
      <c r="Y583" s="147">
        <v>0</v>
      </c>
      <c r="Z583" s="147">
        <v>0</v>
      </c>
      <c r="AA583" s="147">
        <v>0</v>
      </c>
      <c r="AB583" s="147">
        <v>0</v>
      </c>
      <c r="AC583" s="147">
        <v>0</v>
      </c>
      <c r="AD583" s="147">
        <v>0</v>
      </c>
      <c r="AE583" s="147">
        <v>0</v>
      </c>
      <c r="AF583" s="147">
        <v>0</v>
      </c>
      <c r="AG583" s="147">
        <v>0</v>
      </c>
      <c r="AH583" s="147">
        <v>0</v>
      </c>
      <c r="AI583" s="147">
        <v>0</v>
      </c>
      <c r="AJ583" s="147">
        <v>0</v>
      </c>
      <c r="AK583" s="147">
        <v>0</v>
      </c>
      <c r="AL583" s="147">
        <v>0</v>
      </c>
      <c r="AM583" s="147">
        <v>0</v>
      </c>
      <c r="AN583" s="147">
        <v>0</v>
      </c>
      <c r="AO583" s="147">
        <v>0</v>
      </c>
      <c r="AP583" s="147">
        <v>0</v>
      </c>
    </row>
    <row r="584" spans="2:42" ht="12.75" customHeight="1">
      <c r="B584" s="122" t="str">
        <v>Pórtico 4 (MG-329)</v>
      </c>
      <c r="C584" s="329" t="str">
        <v>4</v>
      </c>
      <c r="D584" s="329" t="str">
        <v>4.5</v>
      </c>
      <c r="E584" s="329">
        <v>1</v>
      </c>
      <c r="F584" s="329">
        <v>0</v>
      </c>
      <c r="G584" s="122" t="str">
        <v xml:space="preserve">Acostamentos e adequação de plataforma </v>
      </c>
      <c r="H584" s="122" t="b">
        <v>0</v>
      </c>
      <c r="I584" s="122" t="b">
        <v>0</v>
      </c>
      <c r="J584" s="122" t="b">
        <v>0</v>
      </c>
      <c r="K584" s="122" t="b">
        <v>1</v>
      </c>
      <c r="L584" s="147">
        <v>0</v>
      </c>
      <c r="M584" s="147">
        <v>0</v>
      </c>
      <c r="N584" s="147">
        <v>0</v>
      </c>
      <c r="O584" s="147">
        <v>70177534.277245477</v>
      </c>
      <c r="P584" s="147">
        <v>0</v>
      </c>
      <c r="Q584" s="147">
        <v>0</v>
      </c>
      <c r="R584" s="147">
        <v>0</v>
      </c>
      <c r="S584" s="147">
        <v>0</v>
      </c>
      <c r="T584" s="147">
        <v>0</v>
      </c>
      <c r="U584" s="147">
        <v>0</v>
      </c>
      <c r="V584" s="147">
        <v>0</v>
      </c>
      <c r="W584" s="147">
        <v>0</v>
      </c>
      <c r="X584" s="147">
        <v>0</v>
      </c>
      <c r="Y584" s="147">
        <v>0</v>
      </c>
      <c r="Z584" s="147">
        <v>0</v>
      </c>
      <c r="AA584" s="147">
        <v>0</v>
      </c>
      <c r="AB584" s="147">
        <v>0</v>
      </c>
      <c r="AC584" s="147">
        <v>0</v>
      </c>
      <c r="AD584" s="147">
        <v>0</v>
      </c>
      <c r="AE584" s="147">
        <v>0</v>
      </c>
      <c r="AF584" s="147">
        <v>0</v>
      </c>
      <c r="AG584" s="147">
        <v>0</v>
      </c>
      <c r="AH584" s="147">
        <v>0</v>
      </c>
      <c r="AI584" s="147">
        <v>0</v>
      </c>
      <c r="AJ584" s="147">
        <v>0</v>
      </c>
      <c r="AK584" s="147">
        <v>0</v>
      </c>
      <c r="AL584" s="147">
        <v>0</v>
      </c>
      <c r="AM584" s="147">
        <v>0</v>
      </c>
      <c r="AN584" s="147">
        <v>0</v>
      </c>
      <c r="AO584" s="147">
        <v>0</v>
      </c>
      <c r="AP584" s="147">
        <v>70177534.277245477</v>
      </c>
    </row>
    <row r="585" spans="2:42" ht="12.75" customHeight="1">
      <c r="B585" s="122" t="str">
        <v>Pórtico 4 (MG-329)</v>
      </c>
      <c r="C585" s="329" t="str">
        <v>4</v>
      </c>
      <c r="D585" s="329" t="str">
        <v>4.6</v>
      </c>
      <c r="E585" s="329">
        <v>1</v>
      </c>
      <c r="F585" s="329">
        <v>0</v>
      </c>
      <c r="G585" s="122" t="str">
        <v>Implantação de oae</v>
      </c>
      <c r="H585" s="122" t="b">
        <v>0</v>
      </c>
      <c r="I585" s="122" t="b">
        <v>0</v>
      </c>
      <c r="J585" s="122" t="b">
        <v>0</v>
      </c>
      <c r="K585" s="122" t="b">
        <v>1</v>
      </c>
      <c r="L585" s="147">
        <v>0</v>
      </c>
      <c r="M585" s="147">
        <v>0</v>
      </c>
      <c r="N585" s="147">
        <v>0</v>
      </c>
      <c r="O585" s="147">
        <v>0</v>
      </c>
      <c r="P585" s="147">
        <v>0</v>
      </c>
      <c r="Q585" s="147">
        <v>0</v>
      </c>
      <c r="R585" s="147">
        <v>0</v>
      </c>
      <c r="S585" s="147">
        <v>0</v>
      </c>
      <c r="T585" s="147">
        <v>0</v>
      </c>
      <c r="U585" s="147">
        <v>0</v>
      </c>
      <c r="V585" s="147">
        <v>0</v>
      </c>
      <c r="W585" s="147">
        <v>0</v>
      </c>
      <c r="X585" s="147">
        <v>0</v>
      </c>
      <c r="Y585" s="147">
        <v>0</v>
      </c>
      <c r="Z585" s="147">
        <v>5774341.9066947326</v>
      </c>
      <c r="AA585" s="147">
        <v>0</v>
      </c>
      <c r="AB585" s="147">
        <v>0</v>
      </c>
      <c r="AC585" s="147">
        <v>0</v>
      </c>
      <c r="AD585" s="147">
        <v>0</v>
      </c>
      <c r="AE585" s="147">
        <v>0</v>
      </c>
      <c r="AF585" s="147">
        <v>0</v>
      </c>
      <c r="AG585" s="147">
        <v>0</v>
      </c>
      <c r="AH585" s="147">
        <v>0</v>
      </c>
      <c r="AI585" s="147">
        <v>0</v>
      </c>
      <c r="AJ585" s="147">
        <v>0</v>
      </c>
      <c r="AK585" s="147">
        <v>0</v>
      </c>
      <c r="AL585" s="147">
        <v>0</v>
      </c>
      <c r="AM585" s="147">
        <v>0</v>
      </c>
      <c r="AN585" s="147">
        <v>0</v>
      </c>
      <c r="AO585" s="147">
        <v>0</v>
      </c>
      <c r="AP585" s="147">
        <v>5774341.9066947326</v>
      </c>
    </row>
    <row r="586" spans="2:42" ht="12.75" customHeight="1">
      <c r="B586" s="122" t="str">
        <v>Pórtico 4 (MG-329)</v>
      </c>
      <c r="C586" s="329" t="str">
        <v>4</v>
      </c>
      <c r="D586" s="329" t="str">
        <v>4.7</v>
      </c>
      <c r="E586" s="329">
        <v>1</v>
      </c>
      <c r="F586" s="329">
        <v>0</v>
      </c>
      <c r="G586" s="122" t="str">
        <v xml:space="preserve">Implantação de dispositivo em nível </v>
      </c>
      <c r="H586" s="122" t="b">
        <v>0</v>
      </c>
      <c r="I586" s="122" t="b">
        <v>0</v>
      </c>
      <c r="J586" s="122" t="b">
        <v>0</v>
      </c>
      <c r="K586" s="122" t="b">
        <v>1</v>
      </c>
      <c r="L586" s="147">
        <v>0</v>
      </c>
      <c r="M586" s="147">
        <v>0</v>
      </c>
      <c r="N586" s="147">
        <v>0</v>
      </c>
      <c r="O586" s="147">
        <v>18304812.592301283</v>
      </c>
      <c r="P586" s="147">
        <v>0</v>
      </c>
      <c r="Q586" s="147">
        <v>0</v>
      </c>
      <c r="R586" s="147">
        <v>0</v>
      </c>
      <c r="S586" s="147">
        <v>0</v>
      </c>
      <c r="T586" s="147">
        <v>0</v>
      </c>
      <c r="U586" s="147">
        <v>0</v>
      </c>
      <c r="V586" s="147">
        <v>0</v>
      </c>
      <c r="W586" s="147">
        <v>0</v>
      </c>
      <c r="X586" s="147">
        <v>0</v>
      </c>
      <c r="Y586" s="147">
        <v>0</v>
      </c>
      <c r="Z586" s="147">
        <v>32301415.263580177</v>
      </c>
      <c r="AA586" s="147">
        <v>0</v>
      </c>
      <c r="AB586" s="147">
        <v>0</v>
      </c>
      <c r="AC586" s="147">
        <v>0</v>
      </c>
      <c r="AD586" s="147">
        <v>0</v>
      </c>
      <c r="AE586" s="147">
        <v>0</v>
      </c>
      <c r="AF586" s="147">
        <v>0</v>
      </c>
      <c r="AG586" s="147">
        <v>0</v>
      </c>
      <c r="AH586" s="147">
        <v>0</v>
      </c>
      <c r="AI586" s="147">
        <v>0</v>
      </c>
      <c r="AJ586" s="147">
        <v>0</v>
      </c>
      <c r="AK586" s="147">
        <v>0</v>
      </c>
      <c r="AL586" s="147">
        <v>0</v>
      </c>
      <c r="AM586" s="147">
        <v>0</v>
      </c>
      <c r="AN586" s="147">
        <v>0</v>
      </c>
      <c r="AO586" s="147">
        <v>0</v>
      </c>
      <c r="AP586" s="147">
        <v>50606227.85588146</v>
      </c>
    </row>
    <row r="587" spans="2:42" ht="12.75" customHeight="1">
      <c r="B587" s="122" t="str">
        <v>Pórtico 4 (MG-329)</v>
      </c>
      <c r="C587" s="329" t="str">
        <v>4</v>
      </c>
      <c r="D587" s="329" t="str">
        <v>4.8</v>
      </c>
      <c r="E587" s="329">
        <v>1</v>
      </c>
      <c r="F587" s="329">
        <v>0</v>
      </c>
      <c r="G587" s="122" t="str">
        <v>Adequação oae - alargamento e trem tipo</v>
      </c>
      <c r="H587" s="122" t="b">
        <v>0</v>
      </c>
      <c r="I587" s="122" t="b">
        <v>0</v>
      </c>
      <c r="J587" s="122" t="b">
        <v>0</v>
      </c>
      <c r="K587" s="122" t="b">
        <v>1</v>
      </c>
      <c r="L587" s="147">
        <v>0</v>
      </c>
      <c r="M587" s="147">
        <v>0</v>
      </c>
      <c r="N587" s="147">
        <v>0</v>
      </c>
      <c r="O587" s="147">
        <v>5180818.4683896247</v>
      </c>
      <c r="P587" s="147">
        <v>0</v>
      </c>
      <c r="Q587" s="147">
        <v>0</v>
      </c>
      <c r="R587" s="147">
        <v>0</v>
      </c>
      <c r="S587" s="147">
        <v>0</v>
      </c>
      <c r="T587" s="147">
        <v>0</v>
      </c>
      <c r="U587" s="147">
        <v>0</v>
      </c>
      <c r="V587" s="147">
        <v>0</v>
      </c>
      <c r="W587" s="147">
        <v>0</v>
      </c>
      <c r="X587" s="147">
        <v>0</v>
      </c>
      <c r="Y587" s="147">
        <v>0</v>
      </c>
      <c r="Z587" s="147">
        <v>0</v>
      </c>
      <c r="AA587" s="147">
        <v>0</v>
      </c>
      <c r="AB587" s="147">
        <v>0</v>
      </c>
      <c r="AC587" s="147">
        <v>0</v>
      </c>
      <c r="AD587" s="147">
        <v>0</v>
      </c>
      <c r="AE587" s="147">
        <v>0</v>
      </c>
      <c r="AF587" s="147">
        <v>0</v>
      </c>
      <c r="AG587" s="147">
        <v>0</v>
      </c>
      <c r="AH587" s="147">
        <v>0</v>
      </c>
      <c r="AI587" s="147">
        <v>0</v>
      </c>
      <c r="AJ587" s="147">
        <v>0</v>
      </c>
      <c r="AK587" s="147">
        <v>0</v>
      </c>
      <c r="AL587" s="147">
        <v>0</v>
      </c>
      <c r="AM587" s="147">
        <v>0</v>
      </c>
      <c r="AN587" s="147">
        <v>0</v>
      </c>
      <c r="AO587" s="147">
        <v>0</v>
      </c>
      <c r="AP587" s="147">
        <v>5180818.4683896247</v>
      </c>
    </row>
    <row r="588" spans="2:42" ht="12.75" customHeight="1">
      <c r="B588" s="122" t="str">
        <v>Pórtico 4 (MG-329)</v>
      </c>
      <c r="C588" s="329" t="str">
        <v>4</v>
      </c>
      <c r="D588" s="329" t="str">
        <v>4.9</v>
      </c>
      <c r="E588" s="329">
        <v>1</v>
      </c>
      <c r="F588" s="329">
        <v>0</v>
      </c>
      <c r="G588" s="122" t="str">
        <v xml:space="preserve">Adequação de acessos existentes simples </v>
      </c>
      <c r="H588" s="122" t="b">
        <v>0</v>
      </c>
      <c r="I588" s="122" t="b">
        <v>0</v>
      </c>
      <c r="J588" s="122" t="b">
        <v>0</v>
      </c>
      <c r="K588" s="122" t="b">
        <v>1</v>
      </c>
      <c r="L588" s="147">
        <v>0</v>
      </c>
      <c r="M588" s="147">
        <v>0</v>
      </c>
      <c r="N588" s="147">
        <v>0</v>
      </c>
      <c r="O588" s="147">
        <v>962674.27907671779</v>
      </c>
      <c r="P588" s="147">
        <v>0</v>
      </c>
      <c r="Q588" s="147">
        <v>0</v>
      </c>
      <c r="R588" s="147">
        <v>0</v>
      </c>
      <c r="S588" s="147">
        <v>0</v>
      </c>
      <c r="T588" s="147">
        <v>0</v>
      </c>
      <c r="U588" s="147">
        <v>0</v>
      </c>
      <c r="V588" s="147">
        <v>0</v>
      </c>
      <c r="W588" s="147">
        <v>0</v>
      </c>
      <c r="X588" s="147">
        <v>0</v>
      </c>
      <c r="Y588" s="147">
        <v>0</v>
      </c>
      <c r="Z588" s="147">
        <v>0</v>
      </c>
      <c r="AA588" s="147">
        <v>0</v>
      </c>
      <c r="AB588" s="147">
        <v>0</v>
      </c>
      <c r="AC588" s="147">
        <v>0</v>
      </c>
      <c r="AD588" s="147">
        <v>0</v>
      </c>
      <c r="AE588" s="147">
        <v>0</v>
      </c>
      <c r="AF588" s="147">
        <v>0</v>
      </c>
      <c r="AG588" s="147">
        <v>0</v>
      </c>
      <c r="AH588" s="147">
        <v>0</v>
      </c>
      <c r="AI588" s="147">
        <v>0</v>
      </c>
      <c r="AJ588" s="147">
        <v>0</v>
      </c>
      <c r="AK588" s="147">
        <v>0</v>
      </c>
      <c r="AL588" s="147">
        <v>0</v>
      </c>
      <c r="AM588" s="147">
        <v>0</v>
      </c>
      <c r="AN588" s="147">
        <v>0</v>
      </c>
      <c r="AO588" s="147">
        <v>0</v>
      </c>
      <c r="AP588" s="147">
        <v>962674.27907671779</v>
      </c>
    </row>
    <row r="589" spans="2:42" ht="12.75" customHeight="1">
      <c r="B589" s="122" t="str">
        <v>Pórtico 4 (MG-329)</v>
      </c>
      <c r="C589" s="329" t="str">
        <v>4</v>
      </c>
      <c r="D589" s="329" t="str">
        <v>4.10</v>
      </c>
      <c r="E589" s="329">
        <v>1</v>
      </c>
      <c r="F589" s="329">
        <v>0</v>
      </c>
      <c r="G589" s="122" t="str">
        <v xml:space="preserve">Adequação de acessos existentes com faixa de aceleração </v>
      </c>
      <c r="H589" s="122" t="b">
        <v>0</v>
      </c>
      <c r="I589" s="122" t="b">
        <v>0</v>
      </c>
      <c r="J589" s="122" t="b">
        <v>0</v>
      </c>
      <c r="K589" s="122" t="b">
        <v>1</v>
      </c>
      <c r="L589" s="147">
        <v>0</v>
      </c>
      <c r="M589" s="147">
        <v>0</v>
      </c>
      <c r="N589" s="147">
        <v>0</v>
      </c>
      <c r="O589" s="147">
        <v>5293905.0477746828</v>
      </c>
      <c r="P589" s="147">
        <v>0</v>
      </c>
      <c r="Q589" s="147">
        <v>0</v>
      </c>
      <c r="R589" s="147">
        <v>0</v>
      </c>
      <c r="S589" s="147">
        <v>0</v>
      </c>
      <c r="T589" s="147">
        <v>0</v>
      </c>
      <c r="U589" s="147">
        <v>0</v>
      </c>
      <c r="V589" s="147">
        <v>0</v>
      </c>
      <c r="W589" s="147">
        <v>0</v>
      </c>
      <c r="X589" s="147">
        <v>0</v>
      </c>
      <c r="Y589" s="147">
        <v>0</v>
      </c>
      <c r="Z589" s="147">
        <v>0</v>
      </c>
      <c r="AA589" s="147">
        <v>0</v>
      </c>
      <c r="AB589" s="147">
        <v>0</v>
      </c>
      <c r="AC589" s="147">
        <v>0</v>
      </c>
      <c r="AD589" s="147">
        <v>0</v>
      </c>
      <c r="AE589" s="147">
        <v>0</v>
      </c>
      <c r="AF589" s="147">
        <v>0</v>
      </c>
      <c r="AG589" s="147">
        <v>0</v>
      </c>
      <c r="AH589" s="147">
        <v>0</v>
      </c>
      <c r="AI589" s="147">
        <v>0</v>
      </c>
      <c r="AJ589" s="147">
        <v>0</v>
      </c>
      <c r="AK589" s="147">
        <v>0</v>
      </c>
      <c r="AL589" s="147">
        <v>0</v>
      </c>
      <c r="AM589" s="147">
        <v>0</v>
      </c>
      <c r="AN589" s="147">
        <v>0</v>
      </c>
      <c r="AO589" s="147">
        <v>0</v>
      </c>
      <c r="AP589" s="147">
        <v>5293905.0477746828</v>
      </c>
    </row>
    <row r="590" spans="2:42" ht="12.75" customHeight="1">
      <c r="B590" s="122" t="str">
        <v>Pórtico 4 (MG-329)</v>
      </c>
      <c r="C590" s="329" t="str">
        <v>4</v>
      </c>
      <c r="D590" s="329" t="str">
        <v>4.12</v>
      </c>
      <c r="E590" s="329">
        <v>1</v>
      </c>
      <c r="F590" s="329">
        <v>0</v>
      </c>
      <c r="G590" s="122" t="str">
        <v>Correções de curvas</v>
      </c>
      <c r="H590" s="122" t="b">
        <v>0</v>
      </c>
      <c r="I590" s="122" t="b">
        <v>0</v>
      </c>
      <c r="J590" s="122" t="b">
        <v>0</v>
      </c>
      <c r="K590" s="122" t="b">
        <v>1</v>
      </c>
      <c r="L590" s="147">
        <v>0</v>
      </c>
      <c r="M590" s="147">
        <v>0</v>
      </c>
      <c r="N590" s="147">
        <v>0</v>
      </c>
      <c r="O590" s="147">
        <v>1294829.2007263699</v>
      </c>
      <c r="P590" s="147">
        <v>0</v>
      </c>
      <c r="Q590" s="147">
        <v>0</v>
      </c>
      <c r="R590" s="147">
        <v>0</v>
      </c>
      <c r="S590" s="147">
        <v>0</v>
      </c>
      <c r="T590" s="147">
        <v>0</v>
      </c>
      <c r="U590" s="147">
        <v>0</v>
      </c>
      <c r="V590" s="147">
        <v>0</v>
      </c>
      <c r="W590" s="147">
        <v>0</v>
      </c>
      <c r="X590" s="147">
        <v>0</v>
      </c>
      <c r="Y590" s="147">
        <v>0</v>
      </c>
      <c r="Z590" s="147">
        <v>0</v>
      </c>
      <c r="AA590" s="147">
        <v>0</v>
      </c>
      <c r="AB590" s="147">
        <v>0</v>
      </c>
      <c r="AC590" s="147">
        <v>0</v>
      </c>
      <c r="AD590" s="147">
        <v>0</v>
      </c>
      <c r="AE590" s="147">
        <v>0</v>
      </c>
      <c r="AF590" s="147">
        <v>0</v>
      </c>
      <c r="AG590" s="147">
        <v>0</v>
      </c>
      <c r="AH590" s="147">
        <v>0</v>
      </c>
      <c r="AI590" s="147">
        <v>0</v>
      </c>
      <c r="AJ590" s="147">
        <v>0</v>
      </c>
      <c r="AK590" s="147">
        <v>0</v>
      </c>
      <c r="AL590" s="147">
        <v>0</v>
      </c>
      <c r="AM590" s="147">
        <v>0</v>
      </c>
      <c r="AN590" s="147">
        <v>0</v>
      </c>
      <c r="AO590" s="147">
        <v>0</v>
      </c>
      <c r="AP590" s="147">
        <v>1294829.2007263699</v>
      </c>
    </row>
    <row r="591" spans="2:42" ht="12.75" customHeight="1">
      <c r="B591" s="122" t="str">
        <v>Pórtico 4 (MG-329)</v>
      </c>
      <c r="C591" s="329" t="str">
        <v>4</v>
      </c>
      <c r="D591" s="329" t="str">
        <v>4.13</v>
      </c>
      <c r="E591" s="329">
        <v>1</v>
      </c>
      <c r="F591" s="329">
        <v>0</v>
      </c>
      <c r="G591" s="122" t="str">
        <v>Passarelas</v>
      </c>
      <c r="H591" s="122" t="b">
        <v>0</v>
      </c>
      <c r="I591" s="122" t="b">
        <v>0</v>
      </c>
      <c r="J591" s="122" t="b">
        <v>0</v>
      </c>
      <c r="K591" s="122" t="b">
        <v>1</v>
      </c>
      <c r="L591" s="147">
        <v>0</v>
      </c>
      <c r="M591" s="147">
        <v>0</v>
      </c>
      <c r="N591" s="147">
        <v>0</v>
      </c>
      <c r="O591" s="147">
        <v>0</v>
      </c>
      <c r="P591" s="147">
        <v>0</v>
      </c>
      <c r="Q591" s="147">
        <v>0</v>
      </c>
      <c r="R591" s="147">
        <v>0</v>
      </c>
      <c r="S591" s="147">
        <v>0</v>
      </c>
      <c r="T591" s="147">
        <v>0</v>
      </c>
      <c r="U591" s="147">
        <v>0</v>
      </c>
      <c r="V591" s="147">
        <v>0</v>
      </c>
      <c r="W591" s="147">
        <v>0</v>
      </c>
      <c r="X591" s="147">
        <v>0</v>
      </c>
      <c r="Y591" s="147">
        <v>0</v>
      </c>
      <c r="Z591" s="147">
        <v>2110579.865495</v>
      </c>
      <c r="AA591" s="147">
        <v>0</v>
      </c>
      <c r="AB591" s="147">
        <v>0</v>
      </c>
      <c r="AC591" s="147">
        <v>0</v>
      </c>
      <c r="AD591" s="147">
        <v>0</v>
      </c>
      <c r="AE591" s="147">
        <v>0</v>
      </c>
      <c r="AF591" s="147">
        <v>0</v>
      </c>
      <c r="AG591" s="147">
        <v>0</v>
      </c>
      <c r="AH591" s="147">
        <v>0</v>
      </c>
      <c r="AI591" s="147">
        <v>0</v>
      </c>
      <c r="AJ591" s="147">
        <v>0</v>
      </c>
      <c r="AK591" s="147">
        <v>0</v>
      </c>
      <c r="AL591" s="147">
        <v>0</v>
      </c>
      <c r="AM591" s="147">
        <v>0</v>
      </c>
      <c r="AN591" s="147">
        <v>0</v>
      </c>
      <c r="AO591" s="147">
        <v>0</v>
      </c>
      <c r="AP591" s="147">
        <v>2110579.865495</v>
      </c>
    </row>
    <row r="592" spans="2:42" ht="12.75" customHeight="1">
      <c r="B592" s="122" t="str">
        <v>Pórtico 4 (MG-329)</v>
      </c>
      <c r="C592" s="329" t="str">
        <v>4</v>
      </c>
      <c r="D592" s="329" t="str">
        <v>4.14</v>
      </c>
      <c r="E592" s="329">
        <v>1</v>
      </c>
      <c r="F592" s="329">
        <v>0</v>
      </c>
      <c r="G592" s="122" t="str">
        <v xml:space="preserve">Paradas de ônibus sem baia </v>
      </c>
      <c r="H592" s="122" t="b">
        <v>0</v>
      </c>
      <c r="I592" s="122" t="b">
        <v>0</v>
      </c>
      <c r="J592" s="122" t="b">
        <v>0</v>
      </c>
      <c r="K592" s="122" t="b">
        <v>1</v>
      </c>
      <c r="L592" s="147">
        <v>0</v>
      </c>
      <c r="M592" s="147">
        <v>0</v>
      </c>
      <c r="N592" s="147">
        <v>0</v>
      </c>
      <c r="O592" s="147">
        <v>0</v>
      </c>
      <c r="P592" s="147">
        <v>0</v>
      </c>
      <c r="Q592" s="147">
        <v>0</v>
      </c>
      <c r="R592" s="147">
        <v>0</v>
      </c>
      <c r="S592" s="147">
        <v>0</v>
      </c>
      <c r="T592" s="147">
        <v>0</v>
      </c>
      <c r="U592" s="147">
        <v>0</v>
      </c>
      <c r="V592" s="147">
        <v>0</v>
      </c>
      <c r="W592" s="147">
        <v>0</v>
      </c>
      <c r="X592" s="147">
        <v>0</v>
      </c>
      <c r="Y592" s="147">
        <v>0</v>
      </c>
      <c r="Z592" s="147">
        <v>0</v>
      </c>
      <c r="AA592" s="147">
        <v>0</v>
      </c>
      <c r="AB592" s="147">
        <v>0</v>
      </c>
      <c r="AC592" s="147">
        <v>0</v>
      </c>
      <c r="AD592" s="147">
        <v>0</v>
      </c>
      <c r="AE592" s="147">
        <v>0</v>
      </c>
      <c r="AF592" s="147">
        <v>0</v>
      </c>
      <c r="AG592" s="147">
        <v>0</v>
      </c>
      <c r="AH592" s="147">
        <v>0</v>
      </c>
      <c r="AI592" s="147">
        <v>0</v>
      </c>
      <c r="AJ592" s="147">
        <v>0</v>
      </c>
      <c r="AK592" s="147">
        <v>0</v>
      </c>
      <c r="AL592" s="147">
        <v>0</v>
      </c>
      <c r="AM592" s="147">
        <v>0</v>
      </c>
      <c r="AN592" s="147">
        <v>0</v>
      </c>
      <c r="AO592" s="147">
        <v>0</v>
      </c>
      <c r="AP592" s="147">
        <v>0</v>
      </c>
    </row>
    <row r="593" spans="2:42" ht="12.75" customHeight="1">
      <c r="B593" s="122" t="str">
        <v>Pórtico 4 (MG-329)</v>
      </c>
      <c r="C593" s="329" t="str">
        <v>4</v>
      </c>
      <c r="D593" s="329" t="str">
        <v>4.15</v>
      </c>
      <c r="E593" s="329">
        <v>1</v>
      </c>
      <c r="F593" s="329">
        <v>0</v>
      </c>
      <c r="G593" s="122" t="str">
        <v xml:space="preserve">Paradas de ônibus com baia </v>
      </c>
      <c r="H593" s="122" t="b">
        <v>0</v>
      </c>
      <c r="I593" s="122" t="b">
        <v>0</v>
      </c>
      <c r="J593" s="122" t="b">
        <v>0</v>
      </c>
      <c r="K593" s="122" t="b">
        <v>1</v>
      </c>
      <c r="L593" s="147">
        <v>0</v>
      </c>
      <c r="M593" s="147">
        <v>0</v>
      </c>
      <c r="N593" s="147">
        <v>0</v>
      </c>
      <c r="O593" s="147">
        <v>1516306.45766669</v>
      </c>
      <c r="P593" s="147">
        <v>0</v>
      </c>
      <c r="Q593" s="147">
        <v>0</v>
      </c>
      <c r="R593" s="147">
        <v>0</v>
      </c>
      <c r="S593" s="147">
        <v>0</v>
      </c>
      <c r="T593" s="147">
        <v>0</v>
      </c>
      <c r="U593" s="147">
        <v>0</v>
      </c>
      <c r="V593" s="147">
        <v>0</v>
      </c>
      <c r="W593" s="147">
        <v>0</v>
      </c>
      <c r="X593" s="147">
        <v>0</v>
      </c>
      <c r="Y593" s="147">
        <v>0</v>
      </c>
      <c r="Z593" s="147">
        <v>0</v>
      </c>
      <c r="AA593" s="147">
        <v>0</v>
      </c>
      <c r="AB593" s="147">
        <v>0</v>
      </c>
      <c r="AC593" s="147">
        <v>0</v>
      </c>
      <c r="AD593" s="147">
        <v>0</v>
      </c>
      <c r="AE593" s="147">
        <v>0</v>
      </c>
      <c r="AF593" s="147">
        <v>0</v>
      </c>
      <c r="AG593" s="147">
        <v>0</v>
      </c>
      <c r="AH593" s="147">
        <v>0</v>
      </c>
      <c r="AI593" s="147">
        <v>0</v>
      </c>
      <c r="AJ593" s="147">
        <v>0</v>
      </c>
      <c r="AK593" s="147">
        <v>0</v>
      </c>
      <c r="AL593" s="147">
        <v>0</v>
      </c>
      <c r="AM593" s="147">
        <v>0</v>
      </c>
      <c r="AN593" s="147">
        <v>0</v>
      </c>
      <c r="AO593" s="147">
        <v>0</v>
      </c>
      <c r="AP593" s="147">
        <v>1516306.45766669</v>
      </c>
    </row>
    <row r="594" spans="2:42" ht="12.75" customHeight="1">
      <c r="B594" s="122" t="str">
        <v>Pórtico 4 (MG-329)</v>
      </c>
      <c r="C594" s="329" t="str">
        <v>4</v>
      </c>
      <c r="D594" s="329" t="str">
        <v>4.17</v>
      </c>
      <c r="E594" s="329">
        <v>1</v>
      </c>
      <c r="F594" s="329">
        <v>0</v>
      </c>
      <c r="G594" s="122" t="str">
        <v>Administração local (%)</v>
      </c>
      <c r="H594" s="122" t="b">
        <v>0</v>
      </c>
      <c r="I594" s="122" t="b">
        <v>0</v>
      </c>
      <c r="J594" s="122" t="b">
        <v>0</v>
      </c>
      <c r="K594" s="122" t="b">
        <v>1</v>
      </c>
      <c r="L594" s="147">
        <v>0</v>
      </c>
      <c r="M594" s="147">
        <v>0</v>
      </c>
      <c r="N594" s="147">
        <v>11983.541592634176</v>
      </c>
      <c r="O594" s="147">
        <v>1821146.1773251246</v>
      </c>
      <c r="P594" s="147">
        <v>0</v>
      </c>
      <c r="Q594" s="147">
        <v>0</v>
      </c>
      <c r="R594" s="147">
        <v>0</v>
      </c>
      <c r="S594" s="147">
        <v>0</v>
      </c>
      <c r="T594" s="147">
        <v>0</v>
      </c>
      <c r="U594" s="147">
        <v>0</v>
      </c>
      <c r="V594" s="147">
        <v>0</v>
      </c>
      <c r="W594" s="147">
        <v>0</v>
      </c>
      <c r="X594" s="147">
        <v>0</v>
      </c>
      <c r="Y594" s="147">
        <v>0</v>
      </c>
      <c r="Z594" s="147">
        <v>2757285.4961899701</v>
      </c>
      <c r="AA594" s="147">
        <v>0</v>
      </c>
      <c r="AB594" s="147">
        <v>0</v>
      </c>
      <c r="AC594" s="147">
        <v>0</v>
      </c>
      <c r="AD594" s="147">
        <v>0</v>
      </c>
      <c r="AE594" s="147">
        <v>0</v>
      </c>
      <c r="AF594" s="147">
        <v>0</v>
      </c>
      <c r="AG594" s="147">
        <v>0</v>
      </c>
      <c r="AH594" s="147">
        <v>0</v>
      </c>
      <c r="AI594" s="147">
        <v>0</v>
      </c>
      <c r="AJ594" s="147">
        <v>0</v>
      </c>
      <c r="AK594" s="147">
        <v>0</v>
      </c>
      <c r="AL594" s="147">
        <v>0</v>
      </c>
      <c r="AM594" s="147">
        <v>0</v>
      </c>
      <c r="AN594" s="147">
        <v>0</v>
      </c>
      <c r="AO594" s="147">
        <v>0</v>
      </c>
      <c r="AP594" s="147">
        <v>4590415.2151077287</v>
      </c>
    </row>
    <row r="595" spans="2:42" ht="12.75" customHeight="1">
      <c r="B595" s="122" t="str">
        <v>Pórtico 4 (MG-329)</v>
      </c>
      <c r="C595" s="329" t="str">
        <v>4</v>
      </c>
      <c r="D595" s="329" t="str">
        <v>4.18</v>
      </c>
      <c r="E595" s="329">
        <v>1</v>
      </c>
      <c r="F595" s="329">
        <v>0</v>
      </c>
      <c r="G595" s="122" t="str">
        <v>Canteiro de obras (%)</v>
      </c>
      <c r="H595" s="122" t="b">
        <v>0</v>
      </c>
      <c r="I595" s="122" t="b">
        <v>0</v>
      </c>
      <c r="J595" s="122" t="b">
        <v>0</v>
      </c>
      <c r="K595" s="122" t="b">
        <v>1</v>
      </c>
      <c r="L595" s="147">
        <v>0</v>
      </c>
      <c r="M595" s="147">
        <v>0</v>
      </c>
      <c r="N595" s="147">
        <v>3020.2421900134914</v>
      </c>
      <c r="O595" s="147">
        <v>458988.06095186068</v>
      </c>
      <c r="P595" s="147">
        <v>0</v>
      </c>
      <c r="Q595" s="147">
        <v>0</v>
      </c>
      <c r="R595" s="147">
        <v>0</v>
      </c>
      <c r="S595" s="147">
        <v>0</v>
      </c>
      <c r="T595" s="147">
        <v>0</v>
      </c>
      <c r="U595" s="147">
        <v>0</v>
      </c>
      <c r="V595" s="147">
        <v>0</v>
      </c>
      <c r="W595" s="147">
        <v>0</v>
      </c>
      <c r="X595" s="147">
        <v>0</v>
      </c>
      <c r="Y595" s="147">
        <v>0</v>
      </c>
      <c r="Z595" s="147">
        <v>694925.61286088673</v>
      </c>
      <c r="AA595" s="147">
        <v>0</v>
      </c>
      <c r="AB595" s="147">
        <v>0</v>
      </c>
      <c r="AC595" s="147">
        <v>0</v>
      </c>
      <c r="AD595" s="147">
        <v>0</v>
      </c>
      <c r="AE595" s="147">
        <v>0</v>
      </c>
      <c r="AF595" s="147">
        <v>0</v>
      </c>
      <c r="AG595" s="147">
        <v>0</v>
      </c>
      <c r="AH595" s="147">
        <v>0</v>
      </c>
      <c r="AI595" s="147">
        <v>0</v>
      </c>
      <c r="AJ595" s="147">
        <v>0</v>
      </c>
      <c r="AK595" s="147">
        <v>0</v>
      </c>
      <c r="AL595" s="147">
        <v>0</v>
      </c>
      <c r="AM595" s="147">
        <v>0</v>
      </c>
      <c r="AN595" s="147">
        <v>0</v>
      </c>
      <c r="AO595" s="147">
        <v>0</v>
      </c>
      <c r="AP595" s="147">
        <v>1156933.9160027609</v>
      </c>
    </row>
    <row r="596" spans="2:42" ht="12.75" customHeight="1">
      <c r="B596" s="122" t="str">
        <v>Pórtico 4 (MG-329)</v>
      </c>
      <c r="C596" s="329" t="str">
        <v>4</v>
      </c>
      <c r="D596" s="329" t="str">
        <v>4.19</v>
      </c>
      <c r="E596" s="329">
        <v>1</v>
      </c>
      <c r="F596" s="329">
        <v>0</v>
      </c>
      <c r="G596" s="122" t="str">
        <v>Mobilização e desmobilização (%)</v>
      </c>
      <c r="H596" s="122" t="b">
        <v>0</v>
      </c>
      <c r="I596" s="122" t="b">
        <v>0</v>
      </c>
      <c r="J596" s="122" t="b">
        <v>0</v>
      </c>
      <c r="K596" s="122" t="b">
        <v>1</v>
      </c>
      <c r="L596" s="147">
        <v>0</v>
      </c>
      <c r="M596" s="147">
        <v>0</v>
      </c>
      <c r="N596" s="147">
        <v>56.507757103478234</v>
      </c>
      <c r="O596" s="147">
        <v>8587.5185597444888</v>
      </c>
      <c r="P596" s="147">
        <v>0</v>
      </c>
      <c r="Q596" s="147">
        <v>0</v>
      </c>
      <c r="R596" s="147">
        <v>0</v>
      </c>
      <c r="S596" s="147">
        <v>0</v>
      </c>
      <c r="T596" s="147">
        <v>0</v>
      </c>
      <c r="U596" s="147">
        <v>0</v>
      </c>
      <c r="V596" s="147">
        <v>0</v>
      </c>
      <c r="W596" s="147">
        <v>0</v>
      </c>
      <c r="X596" s="147">
        <v>0</v>
      </c>
      <c r="Y596" s="147">
        <v>0</v>
      </c>
      <c r="Z596" s="147">
        <v>13001.834047074657</v>
      </c>
      <c r="AA596" s="147">
        <v>0</v>
      </c>
      <c r="AB596" s="147">
        <v>0</v>
      </c>
      <c r="AC596" s="147">
        <v>0</v>
      </c>
      <c r="AD596" s="147">
        <v>0</v>
      </c>
      <c r="AE596" s="147">
        <v>0</v>
      </c>
      <c r="AF596" s="147">
        <v>0</v>
      </c>
      <c r="AG596" s="147">
        <v>0</v>
      </c>
      <c r="AH596" s="147">
        <v>0</v>
      </c>
      <c r="AI596" s="147">
        <v>0</v>
      </c>
      <c r="AJ596" s="147">
        <v>0</v>
      </c>
      <c r="AK596" s="147">
        <v>0</v>
      </c>
      <c r="AL596" s="147">
        <v>0</v>
      </c>
      <c r="AM596" s="147">
        <v>0</v>
      </c>
      <c r="AN596" s="147">
        <v>0</v>
      </c>
      <c r="AO596" s="147">
        <v>0</v>
      </c>
      <c r="AP596" s="147">
        <v>21645.860363922624</v>
      </c>
    </row>
    <row r="597" spans="2:42" ht="12.75" customHeight="1">
      <c r="B597" s="122" t="str">
        <v>Pórtico 4 (MG-329)</v>
      </c>
      <c r="C597" s="329" t="str">
        <v>4</v>
      </c>
      <c r="D597" s="329" t="str">
        <v>4.20</v>
      </c>
      <c r="E597" s="329">
        <v>1</v>
      </c>
      <c r="F597" s="329">
        <v>0</v>
      </c>
      <c r="G597" s="122" t="str">
        <v>Projetos (%)</v>
      </c>
      <c r="H597" s="122" t="b">
        <v>0</v>
      </c>
      <c r="I597" s="122" t="b">
        <v>0</v>
      </c>
      <c r="J597" s="122" t="b">
        <v>0</v>
      </c>
      <c r="K597" s="122" t="b">
        <v>1</v>
      </c>
      <c r="L597" s="147">
        <v>0</v>
      </c>
      <c r="M597" s="147">
        <v>0</v>
      </c>
      <c r="N597" s="147">
        <v>24356.791854947514</v>
      </c>
      <c r="O597" s="147">
        <v>3701516.6205795216</v>
      </c>
      <c r="P597" s="147">
        <v>0</v>
      </c>
      <c r="Q597" s="147">
        <v>0</v>
      </c>
      <c r="R597" s="147">
        <v>0</v>
      </c>
      <c r="S597" s="147">
        <v>0</v>
      </c>
      <c r="T597" s="147">
        <v>0</v>
      </c>
      <c r="U597" s="147">
        <v>0</v>
      </c>
      <c r="V597" s="147">
        <v>0</v>
      </c>
      <c r="W597" s="147">
        <v>0</v>
      </c>
      <c r="X597" s="147">
        <v>0</v>
      </c>
      <c r="Y597" s="147">
        <v>0</v>
      </c>
      <c r="Z597" s="147">
        <v>5604238.8133942485</v>
      </c>
      <c r="AA597" s="147">
        <v>0</v>
      </c>
      <c r="AB597" s="147">
        <v>0</v>
      </c>
      <c r="AC597" s="147">
        <v>0</v>
      </c>
      <c r="AD597" s="147">
        <v>0</v>
      </c>
      <c r="AE597" s="147">
        <v>0</v>
      </c>
      <c r="AF597" s="147">
        <v>0</v>
      </c>
      <c r="AG597" s="147">
        <v>0</v>
      </c>
      <c r="AH597" s="147">
        <v>0</v>
      </c>
      <c r="AI597" s="147">
        <v>0</v>
      </c>
      <c r="AJ597" s="147">
        <v>0</v>
      </c>
      <c r="AK597" s="147">
        <v>0</v>
      </c>
      <c r="AL597" s="147">
        <v>0</v>
      </c>
      <c r="AM597" s="147">
        <v>0</v>
      </c>
      <c r="AN597" s="147">
        <v>0</v>
      </c>
      <c r="AO597" s="147">
        <v>0</v>
      </c>
      <c r="AP597" s="147">
        <v>9330112.2258287184</v>
      </c>
    </row>
    <row r="598" spans="2:42" ht="12.75" customHeight="1">
      <c r="B598" s="122" t="str">
        <v>Pórtico 4 (MG-329)</v>
      </c>
      <c r="C598" s="329" t="str">
        <v>3</v>
      </c>
      <c r="D598" s="329">
        <v>3</v>
      </c>
      <c r="E598" s="329">
        <v>1</v>
      </c>
      <c r="F598" s="329">
        <v>0</v>
      </c>
      <c r="G598" s="122" t="str">
        <v>Manutenção do sistema rodoviário</v>
      </c>
      <c r="H598" s="122" t="b">
        <v>0</v>
      </c>
      <c r="I598" s="122" t="b">
        <v>0</v>
      </c>
      <c r="J598" s="122" t="b">
        <v>0</v>
      </c>
      <c r="K598" s="122" t="b">
        <v>1</v>
      </c>
      <c r="L598" s="147">
        <v>0</v>
      </c>
      <c r="M598" s="147">
        <v>0</v>
      </c>
      <c r="N598" s="147">
        <v>0</v>
      </c>
      <c r="O598" s="147">
        <v>0</v>
      </c>
      <c r="P598" s="147">
        <v>0</v>
      </c>
      <c r="Q598" s="147">
        <v>0</v>
      </c>
      <c r="R598" s="147">
        <v>0</v>
      </c>
      <c r="S598" s="147">
        <v>0</v>
      </c>
      <c r="T598" s="147">
        <v>0</v>
      </c>
      <c r="U598" s="147">
        <v>0</v>
      </c>
      <c r="V598" s="147">
        <v>0</v>
      </c>
      <c r="W598" s="147">
        <v>0</v>
      </c>
      <c r="X598" s="147">
        <v>0</v>
      </c>
      <c r="Y598" s="147">
        <v>0</v>
      </c>
      <c r="Z598" s="147">
        <v>0</v>
      </c>
      <c r="AA598" s="147">
        <v>0</v>
      </c>
      <c r="AB598" s="147">
        <v>0</v>
      </c>
      <c r="AC598" s="147">
        <v>0</v>
      </c>
      <c r="AD598" s="147">
        <v>0</v>
      </c>
      <c r="AE598" s="147">
        <v>0</v>
      </c>
      <c r="AF598" s="147">
        <v>0</v>
      </c>
      <c r="AG598" s="147">
        <v>0</v>
      </c>
      <c r="AH598" s="147">
        <v>0</v>
      </c>
      <c r="AI598" s="147">
        <v>0</v>
      </c>
      <c r="AJ598" s="147">
        <v>0</v>
      </c>
      <c r="AK598" s="147">
        <v>0</v>
      </c>
      <c r="AL598" s="147">
        <v>0</v>
      </c>
      <c r="AM598" s="147">
        <v>0</v>
      </c>
      <c r="AN598" s="147">
        <v>0</v>
      </c>
      <c r="AO598" s="147">
        <v>0</v>
      </c>
      <c r="AP598" s="147">
        <v>0</v>
      </c>
    </row>
    <row r="599" spans="2:42" ht="12.75" customHeight="1">
      <c r="B599" s="122" t="str">
        <v>Pórtico 4 (MG-329)</v>
      </c>
      <c r="C599" s="329" t="str">
        <v>3</v>
      </c>
      <c r="D599" s="329" t="str">
        <v>3.1</v>
      </c>
      <c r="E599" s="329">
        <v>1</v>
      </c>
      <c r="F599" s="329">
        <v>0</v>
      </c>
      <c r="G599" s="122" t="str">
        <v>Pavimento</v>
      </c>
      <c r="H599" s="122" t="b">
        <v>0</v>
      </c>
      <c r="I599" s="122" t="b">
        <v>0</v>
      </c>
      <c r="J599" s="122" t="b">
        <v>0</v>
      </c>
      <c r="K599" s="122" t="b">
        <v>1</v>
      </c>
      <c r="L599" s="147">
        <v>0</v>
      </c>
      <c r="M599" s="147">
        <v>0</v>
      </c>
      <c r="N599" s="147">
        <v>0</v>
      </c>
      <c r="O599" s="147">
        <v>0</v>
      </c>
      <c r="P599" s="147">
        <v>0</v>
      </c>
      <c r="Q599" s="147">
        <v>0</v>
      </c>
      <c r="R599" s="147">
        <v>0</v>
      </c>
      <c r="S599" s="147">
        <v>31927234.30235821</v>
      </c>
      <c r="T599" s="147">
        <v>10633187.242193837</v>
      </c>
      <c r="U599" s="147">
        <v>0</v>
      </c>
      <c r="V599" s="147">
        <v>0</v>
      </c>
      <c r="W599" s="147">
        <v>0</v>
      </c>
      <c r="X599" s="147">
        <v>0</v>
      </c>
      <c r="Y599" s="147">
        <v>0</v>
      </c>
      <c r="Z599" s="147">
        <v>2561142.7699795212</v>
      </c>
      <c r="AA599" s="147">
        <v>0</v>
      </c>
      <c r="AB599" s="147">
        <v>57088357.287536614</v>
      </c>
      <c r="AC599" s="147">
        <v>13279389.836553559</v>
      </c>
      <c r="AD599" s="147">
        <v>9725200.2038289309</v>
      </c>
      <c r="AE599" s="147">
        <v>0</v>
      </c>
      <c r="AF599" s="147">
        <v>0</v>
      </c>
      <c r="AG599" s="147">
        <v>0</v>
      </c>
      <c r="AH599" s="147">
        <v>0</v>
      </c>
      <c r="AI599" s="147">
        <v>5403174.6313410634</v>
      </c>
      <c r="AJ599" s="147">
        <v>28226027.292225678</v>
      </c>
      <c r="AK599" s="147">
        <v>8786042.8090996593</v>
      </c>
      <c r="AL599" s="147">
        <v>5167853.5262972014</v>
      </c>
      <c r="AM599" s="147">
        <v>0</v>
      </c>
      <c r="AN599" s="147">
        <v>175573.72681183281</v>
      </c>
      <c r="AO599" s="147">
        <v>14262828.549988639</v>
      </c>
      <c r="AP599" s="147">
        <v>187236012.17821473</v>
      </c>
    </row>
    <row r="600" spans="2:42" ht="12.75" customHeight="1">
      <c r="B600" s="122" t="str">
        <v>Pórtico 4 (MG-329)</v>
      </c>
      <c r="C600" s="329" t="str">
        <v>3</v>
      </c>
      <c r="D600" s="329" t="str">
        <v>3.2</v>
      </c>
      <c r="E600" s="329">
        <v>1</v>
      </c>
      <c r="F600" s="329">
        <v>0</v>
      </c>
      <c r="G600" s="122" t="str">
        <v>Obras de arte especiais</v>
      </c>
      <c r="H600" s="122" t="b">
        <v>0</v>
      </c>
      <c r="I600" s="122" t="b">
        <v>0</v>
      </c>
      <c r="J600" s="122" t="b">
        <v>0</v>
      </c>
      <c r="K600" s="122" t="b">
        <v>1</v>
      </c>
      <c r="L600" s="147">
        <v>0</v>
      </c>
      <c r="M600" s="147">
        <v>0</v>
      </c>
      <c r="N600" s="147">
        <v>0</v>
      </c>
      <c r="O600" s="147">
        <v>0</v>
      </c>
      <c r="P600" s="147">
        <v>0</v>
      </c>
      <c r="Q600" s="147">
        <v>0</v>
      </c>
      <c r="R600" s="147">
        <v>0</v>
      </c>
      <c r="S600" s="147">
        <v>0</v>
      </c>
      <c r="T600" s="147">
        <v>0</v>
      </c>
      <c r="U600" s="147">
        <v>0</v>
      </c>
      <c r="V600" s="147">
        <v>0</v>
      </c>
      <c r="W600" s="147">
        <v>0</v>
      </c>
      <c r="X600" s="147">
        <v>0</v>
      </c>
      <c r="Y600" s="147">
        <v>0</v>
      </c>
      <c r="Z600" s="147">
        <v>0</v>
      </c>
      <c r="AA600" s="147">
        <v>0</v>
      </c>
      <c r="AB600" s="147">
        <v>0</v>
      </c>
      <c r="AC600" s="147">
        <v>0</v>
      </c>
      <c r="AD600" s="147">
        <v>0</v>
      </c>
      <c r="AE600" s="147">
        <v>0</v>
      </c>
      <c r="AF600" s="147">
        <v>0</v>
      </c>
      <c r="AG600" s="147">
        <v>0</v>
      </c>
      <c r="AH600" s="147">
        <v>0</v>
      </c>
      <c r="AI600" s="147">
        <v>0</v>
      </c>
      <c r="AJ600" s="147">
        <v>0</v>
      </c>
      <c r="AK600" s="147">
        <v>0</v>
      </c>
      <c r="AL600" s="147">
        <v>0</v>
      </c>
      <c r="AM600" s="147">
        <v>0</v>
      </c>
      <c r="AN600" s="147">
        <v>0</v>
      </c>
      <c r="AO600" s="147">
        <v>0</v>
      </c>
      <c r="AP600" s="147">
        <v>0</v>
      </c>
    </row>
    <row r="601" spans="2:42" ht="12.75" customHeight="1">
      <c r="B601" s="122" t="str">
        <v>Pórtico 4 (MG-329)</v>
      </c>
      <c r="C601" s="329" t="str">
        <v>3</v>
      </c>
      <c r="D601" s="329" t="str">
        <v>3.3</v>
      </c>
      <c r="E601" s="329">
        <v>1</v>
      </c>
      <c r="F601" s="329">
        <v>0</v>
      </c>
      <c r="G601" s="122" t="str">
        <v>Drenagem e obras de arte correntes</v>
      </c>
      <c r="H601" s="122" t="b">
        <v>0</v>
      </c>
      <c r="I601" s="122" t="b">
        <v>0</v>
      </c>
      <c r="J601" s="122" t="b">
        <v>0</v>
      </c>
      <c r="K601" s="122" t="b">
        <v>1</v>
      </c>
      <c r="L601" s="147">
        <v>0</v>
      </c>
      <c r="M601" s="147">
        <v>0</v>
      </c>
      <c r="N601" s="147">
        <v>0</v>
      </c>
      <c r="O601" s="147">
        <v>0</v>
      </c>
      <c r="P601" s="147">
        <v>0</v>
      </c>
      <c r="Q601" s="147">
        <v>0</v>
      </c>
      <c r="R601" s="147">
        <v>0</v>
      </c>
      <c r="S601" s="147">
        <v>0</v>
      </c>
      <c r="T601" s="147">
        <v>0</v>
      </c>
      <c r="U601" s="147">
        <v>0</v>
      </c>
      <c r="V601" s="147">
        <v>0</v>
      </c>
      <c r="W601" s="147">
        <v>0</v>
      </c>
      <c r="X601" s="147">
        <v>0</v>
      </c>
      <c r="Y601" s="147">
        <v>0</v>
      </c>
      <c r="Z601" s="147">
        <v>0</v>
      </c>
      <c r="AA601" s="147">
        <v>0</v>
      </c>
      <c r="AB601" s="147">
        <v>0</v>
      </c>
      <c r="AC601" s="147">
        <v>0</v>
      </c>
      <c r="AD601" s="147">
        <v>0</v>
      </c>
      <c r="AE601" s="147">
        <v>0</v>
      </c>
      <c r="AF601" s="147">
        <v>0</v>
      </c>
      <c r="AG601" s="147">
        <v>0</v>
      </c>
      <c r="AH601" s="147">
        <v>0</v>
      </c>
      <c r="AI601" s="147">
        <v>0</v>
      </c>
      <c r="AJ601" s="147">
        <v>0</v>
      </c>
      <c r="AK601" s="147">
        <v>0</v>
      </c>
      <c r="AL601" s="147">
        <v>0</v>
      </c>
      <c r="AM601" s="147">
        <v>0</v>
      </c>
      <c r="AN601" s="147">
        <v>0</v>
      </c>
      <c r="AO601" s="147">
        <v>0</v>
      </c>
      <c r="AP601" s="147">
        <v>0</v>
      </c>
    </row>
    <row r="602" spans="2:42" ht="12.75" customHeight="1">
      <c r="B602" s="122" t="str">
        <v>Pórtico 4 (MG-329)</v>
      </c>
      <c r="C602" s="329" t="str">
        <v>3</v>
      </c>
      <c r="D602" s="329" t="str">
        <v>3.4</v>
      </c>
      <c r="E602" s="329">
        <v>1</v>
      </c>
      <c r="F602" s="329">
        <v>0</v>
      </c>
      <c r="G602" s="122" t="str">
        <v xml:space="preserve">Sinalização e dispositivos de proteção e segurança </v>
      </c>
      <c r="H602" s="122" t="b">
        <v>0</v>
      </c>
      <c r="I602" s="122" t="b">
        <v>0</v>
      </c>
      <c r="J602" s="122" t="b">
        <v>0</v>
      </c>
      <c r="K602" s="122" t="b">
        <v>1</v>
      </c>
      <c r="L602" s="147">
        <v>0</v>
      </c>
      <c r="M602" s="147">
        <v>0</v>
      </c>
      <c r="N602" s="147">
        <v>0</v>
      </c>
      <c r="O602" s="147">
        <v>0</v>
      </c>
      <c r="P602" s="147">
        <v>0</v>
      </c>
      <c r="Q602" s="147">
        <v>0</v>
      </c>
      <c r="R602" s="147">
        <v>0</v>
      </c>
      <c r="S602" s="147">
        <v>995749.80229375022</v>
      </c>
      <c r="T602" s="147">
        <v>396774.21144125011</v>
      </c>
      <c r="U602" s="147">
        <v>0</v>
      </c>
      <c r="V602" s="147">
        <v>0</v>
      </c>
      <c r="W602" s="147">
        <v>0</v>
      </c>
      <c r="X602" s="147">
        <v>0</v>
      </c>
      <c r="Y602" s="147">
        <v>0</v>
      </c>
      <c r="Z602" s="147">
        <v>143641.05980812502</v>
      </c>
      <c r="AA602" s="147">
        <v>0</v>
      </c>
      <c r="AB602" s="147">
        <v>954465.89881874993</v>
      </c>
      <c r="AC602" s="147">
        <v>253985.75398750001</v>
      </c>
      <c r="AD602" s="147">
        <v>184072.36092874996</v>
      </c>
      <c r="AE602" s="147">
        <v>0</v>
      </c>
      <c r="AF602" s="147">
        <v>0</v>
      </c>
      <c r="AG602" s="147">
        <v>0</v>
      </c>
      <c r="AH602" s="147">
        <v>0</v>
      </c>
      <c r="AI602" s="147">
        <v>158449.416489375</v>
      </c>
      <c r="AJ602" s="147">
        <v>872346.82994999993</v>
      </c>
      <c r="AK602" s="147">
        <v>321296.46617500001</v>
      </c>
      <c r="AL602" s="147">
        <v>184072.36092874996</v>
      </c>
      <c r="AM602" s="147">
        <v>0</v>
      </c>
      <c r="AN602" s="147">
        <v>14808.356681249999</v>
      </c>
      <c r="AO602" s="147">
        <v>1015987.8897581252</v>
      </c>
      <c r="AP602" s="147">
        <v>5495650.4072606247</v>
      </c>
    </row>
    <row r="603" spans="2:42" ht="12.75" customHeight="1">
      <c r="B603" s="122" t="str">
        <v>Pórtico 4 (MG-329)</v>
      </c>
      <c r="C603" s="329" t="str">
        <v>3</v>
      </c>
      <c r="D603" s="329" t="str">
        <v>3.5</v>
      </c>
      <c r="E603" s="329">
        <v>1</v>
      </c>
      <c r="F603" s="329">
        <v>0</v>
      </c>
      <c r="G603" s="122" t="str">
        <v>Administração local (%)</v>
      </c>
      <c r="H603" s="122" t="b">
        <v>0</v>
      </c>
      <c r="I603" s="122" t="b">
        <v>0</v>
      </c>
      <c r="J603" s="122" t="b">
        <v>0</v>
      </c>
      <c r="K603" s="122" t="b">
        <v>1</v>
      </c>
      <c r="L603" s="147">
        <v>0</v>
      </c>
      <c r="M603" s="147">
        <v>0</v>
      </c>
      <c r="N603" s="147">
        <v>0</v>
      </c>
      <c r="O603" s="147">
        <v>0</v>
      </c>
      <c r="P603" s="147">
        <v>0</v>
      </c>
      <c r="Q603" s="147">
        <v>0</v>
      </c>
      <c r="R603" s="147">
        <v>0</v>
      </c>
      <c r="S603" s="147">
        <v>404952.70448721916</v>
      </c>
      <c r="T603" s="147">
        <v>135668.52587971158</v>
      </c>
      <c r="U603" s="147">
        <v>0</v>
      </c>
      <c r="V603" s="147">
        <v>0</v>
      </c>
      <c r="W603" s="147">
        <v>0</v>
      </c>
      <c r="X603" s="147">
        <v>0</v>
      </c>
      <c r="Y603" s="147">
        <v>0</v>
      </c>
      <c r="Z603" s="147">
        <v>33268.841106388041</v>
      </c>
      <c r="AA603" s="147">
        <v>0</v>
      </c>
      <c r="AB603" s="147">
        <v>713926.72519217094</v>
      </c>
      <c r="AC603" s="147">
        <v>166460.51976365503</v>
      </c>
      <c r="AD603" s="147">
        <v>121884.05254651948</v>
      </c>
      <c r="AE603" s="147">
        <v>0</v>
      </c>
      <c r="AF603" s="147">
        <v>0</v>
      </c>
      <c r="AG603" s="147">
        <v>0</v>
      </c>
      <c r="AH603" s="147">
        <v>0</v>
      </c>
      <c r="AI603" s="147">
        <v>68407.97578831439</v>
      </c>
      <c r="AJ603" s="147">
        <v>357910.00170276081</v>
      </c>
      <c r="AK603" s="147">
        <v>112020.27308587832</v>
      </c>
      <c r="AL603" s="147">
        <v>65828.688412879201</v>
      </c>
      <c r="AM603" s="147">
        <v>0</v>
      </c>
      <c r="AN603" s="147">
        <v>2341.6996269649189</v>
      </c>
      <c r="AO603" s="147">
        <v>187929.44220888519</v>
      </c>
      <c r="AP603" s="147">
        <v>2370599.4498013472</v>
      </c>
    </row>
    <row r="604" spans="2:42" ht="12.75" customHeight="1">
      <c r="B604" s="122" t="str">
        <v>Pórtico 4 (MG-329)</v>
      </c>
      <c r="C604" s="329" t="str">
        <v>3</v>
      </c>
      <c r="D604" s="329" t="str">
        <v>3.6</v>
      </c>
      <c r="E604" s="329">
        <v>1</v>
      </c>
      <c r="F604" s="329">
        <v>0</v>
      </c>
      <c r="G604" s="122" t="str">
        <v>Canteiro de obras (%)</v>
      </c>
      <c r="H604" s="122" t="b">
        <v>0</v>
      </c>
      <c r="I604" s="122" t="b">
        <v>0</v>
      </c>
      <c r="J604" s="122" t="b">
        <v>0</v>
      </c>
      <c r="K604" s="122" t="b">
        <v>1</v>
      </c>
      <c r="L604" s="147">
        <v>0</v>
      </c>
      <c r="M604" s="147">
        <v>0</v>
      </c>
      <c r="N604" s="147">
        <v>0</v>
      </c>
      <c r="O604" s="147">
        <v>0</v>
      </c>
      <c r="P604" s="147">
        <v>0</v>
      </c>
      <c r="Q604" s="147">
        <v>0</v>
      </c>
      <c r="R604" s="147">
        <v>0</v>
      </c>
      <c r="S604" s="147">
        <v>102061.25072442109</v>
      </c>
      <c r="T604" s="147">
        <v>34192.880506268768</v>
      </c>
      <c r="U604" s="147">
        <v>0</v>
      </c>
      <c r="V604" s="147">
        <v>0</v>
      </c>
      <c r="W604" s="147">
        <v>0</v>
      </c>
      <c r="X604" s="147">
        <v>0</v>
      </c>
      <c r="Y604" s="147">
        <v>0</v>
      </c>
      <c r="Z604" s="147">
        <v>8384.8298723417029</v>
      </c>
      <c r="AA604" s="147">
        <v>0</v>
      </c>
      <c r="AB604" s="147">
        <v>179932.75187770161</v>
      </c>
      <c r="AC604" s="147">
        <v>41953.464330677285</v>
      </c>
      <c r="AD604" s="147">
        <v>30718.744950748809</v>
      </c>
      <c r="AE604" s="147">
        <v>0</v>
      </c>
      <c r="AF604" s="147">
        <v>0</v>
      </c>
      <c r="AG604" s="147">
        <v>0</v>
      </c>
      <c r="AH604" s="147">
        <v>0</v>
      </c>
      <c r="AI604" s="147">
        <v>17241.034548274358</v>
      </c>
      <c r="AJ604" s="147">
        <v>90204.959778744596</v>
      </c>
      <c r="AK604" s="147">
        <v>28232.751753351444</v>
      </c>
      <c r="AL604" s="147">
        <v>16590.970250400449</v>
      </c>
      <c r="AM604" s="147">
        <v>0</v>
      </c>
      <c r="AN604" s="147">
        <v>590.18445882855679</v>
      </c>
      <c r="AO604" s="147">
        <v>47364.330963214969</v>
      </c>
      <c r="AP604" s="147">
        <v>597468.15401497367</v>
      </c>
    </row>
    <row r="605" spans="2:42" ht="12.75" customHeight="1">
      <c r="B605" s="122" t="str">
        <v>Pórtico 4 (MG-329)</v>
      </c>
      <c r="C605" s="329" t="str">
        <v>3</v>
      </c>
      <c r="D605" s="329" t="str">
        <v>3.7</v>
      </c>
      <c r="E605" s="329">
        <v>1</v>
      </c>
      <c r="F605" s="329">
        <v>0</v>
      </c>
      <c r="G605" s="122" t="str">
        <v>Mobilização e desmobilização (%)</v>
      </c>
      <c r="H605" s="122" t="b">
        <v>0</v>
      </c>
      <c r="I605" s="122" t="b">
        <v>0</v>
      </c>
      <c r="J605" s="122" t="b">
        <v>0</v>
      </c>
      <c r="K605" s="122" t="b">
        <v>1</v>
      </c>
      <c r="L605" s="147">
        <v>0</v>
      </c>
      <c r="M605" s="147">
        <v>0</v>
      </c>
      <c r="N605" s="147">
        <v>0</v>
      </c>
      <c r="O605" s="147">
        <v>0</v>
      </c>
      <c r="P605" s="147">
        <v>0</v>
      </c>
      <c r="Q605" s="147">
        <v>0</v>
      </c>
      <c r="R605" s="147">
        <v>0</v>
      </c>
      <c r="S605" s="147">
        <v>1909.5330780698139</v>
      </c>
      <c r="T605" s="147">
        <v>639.73776431083513</v>
      </c>
      <c r="U605" s="147">
        <v>0</v>
      </c>
      <c r="V605" s="147">
        <v>0</v>
      </c>
      <c r="W605" s="147">
        <v>0</v>
      </c>
      <c r="X605" s="147">
        <v>0</v>
      </c>
      <c r="Y605" s="147">
        <v>0</v>
      </c>
      <c r="Z605" s="147">
        <v>156.87746212768349</v>
      </c>
      <c r="AA605" s="147">
        <v>0</v>
      </c>
      <c r="AB605" s="147">
        <v>3366.4837448086109</v>
      </c>
      <c r="AC605" s="147">
        <v>784.93578425138151</v>
      </c>
      <c r="AD605" s="147">
        <v>574.73780875594548</v>
      </c>
      <c r="AE605" s="147">
        <v>0</v>
      </c>
      <c r="AF605" s="147">
        <v>0</v>
      </c>
      <c r="AG605" s="147">
        <v>0</v>
      </c>
      <c r="AH605" s="147">
        <v>0</v>
      </c>
      <c r="AI605" s="147">
        <v>322.57419477416545</v>
      </c>
      <c r="AJ605" s="147">
        <v>1687.7056990861893</v>
      </c>
      <c r="AK605" s="147">
        <v>528.22567796593034</v>
      </c>
      <c r="AL605" s="147">
        <v>310.41170145910519</v>
      </c>
      <c r="AM605" s="147">
        <v>0</v>
      </c>
      <c r="AN605" s="147">
        <v>11.042160842598804</v>
      </c>
      <c r="AO605" s="147">
        <v>886.17135350531237</v>
      </c>
      <c r="AP605" s="147">
        <v>11178.436429957574</v>
      </c>
    </row>
    <row r="606" spans="2:42" ht="12.75" customHeight="1">
      <c r="B606" s="122" t="str">
        <v>Pórtico 4 (MG-329)</v>
      </c>
      <c r="C606" s="329" t="str">
        <v>3</v>
      </c>
      <c r="D606" s="329" t="str">
        <v>3.8</v>
      </c>
      <c r="E606" s="329">
        <v>1</v>
      </c>
      <c r="F606" s="329">
        <v>0</v>
      </c>
      <c r="G606" s="122" t="str">
        <v>Projetos (%)</v>
      </c>
      <c r="H606" s="122" t="b">
        <v>0</v>
      </c>
      <c r="I606" s="122" t="b">
        <v>0</v>
      </c>
      <c r="J606" s="122" t="b">
        <v>0</v>
      </c>
      <c r="K606" s="122" t="b">
        <v>1</v>
      </c>
      <c r="L606" s="147">
        <v>0</v>
      </c>
      <c r="M606" s="147">
        <v>0</v>
      </c>
      <c r="N606" s="147">
        <v>0</v>
      </c>
      <c r="O606" s="147">
        <v>0</v>
      </c>
      <c r="P606" s="147">
        <v>0</v>
      </c>
      <c r="Q606" s="147">
        <v>0</v>
      </c>
      <c r="R606" s="147">
        <v>0</v>
      </c>
      <c r="S606" s="147">
        <v>823074.60261629906</v>
      </c>
      <c r="T606" s="147">
        <v>275749.03634087724</v>
      </c>
      <c r="U606" s="147">
        <v>0</v>
      </c>
      <c r="V606" s="147">
        <v>0</v>
      </c>
      <c r="W606" s="147">
        <v>0</v>
      </c>
      <c r="X606" s="147">
        <v>0</v>
      </c>
      <c r="Y606" s="147">
        <v>0</v>
      </c>
      <c r="Z606" s="147">
        <v>67619.595744691163</v>
      </c>
      <c r="AA606" s="147">
        <v>0</v>
      </c>
      <c r="AB606" s="147">
        <v>1451070.5796588841</v>
      </c>
      <c r="AC606" s="147">
        <v>338334.38976352656</v>
      </c>
      <c r="AD606" s="147">
        <v>247731.81411894204</v>
      </c>
      <c r="AE606" s="147">
        <v>0</v>
      </c>
      <c r="AF606" s="147">
        <v>0</v>
      </c>
      <c r="AG606" s="147">
        <v>0</v>
      </c>
      <c r="AH606" s="147">
        <v>0</v>
      </c>
      <c r="AI606" s="147">
        <v>139040.60119576094</v>
      </c>
      <c r="AJ606" s="147">
        <v>727459.35305439192</v>
      </c>
      <c r="AK606" s="147">
        <v>227683.48188186649</v>
      </c>
      <c r="AL606" s="147">
        <v>133798.14718064881</v>
      </c>
      <c r="AM606" s="147">
        <v>0</v>
      </c>
      <c r="AN606" s="147">
        <v>4759.5520873270707</v>
      </c>
      <c r="AO606" s="147">
        <v>381970.41099366912</v>
      </c>
      <c r="AP606" s="147">
        <v>4818291.5646368852</v>
      </c>
    </row>
    <row r="607" spans="2:42" ht="12.75" customHeight="1">
      <c r="B607" s="122" t="str">
        <v>Pórtico 4 (MG-329)</v>
      </c>
      <c r="C607" s="329" t="str">
        <v>3</v>
      </c>
      <c r="D607" s="329" t="str">
        <v>3a</v>
      </c>
      <c r="E607" s="329">
        <v>1</v>
      </c>
      <c r="F607" s="329">
        <v>0</v>
      </c>
      <c r="G607" s="122" t="str">
        <v>Manutenção Do Sistema Rodoviário (Contornos)</v>
      </c>
      <c r="H607" s="122" t="b">
        <v>0</v>
      </c>
      <c r="I607" s="122" t="b">
        <v>0</v>
      </c>
      <c r="J607" s="122" t="b">
        <v>0</v>
      </c>
      <c r="K607" s="122" t="b">
        <v>1</v>
      </c>
      <c r="L607" s="147">
        <v>0</v>
      </c>
      <c r="M607" s="147">
        <v>0</v>
      </c>
      <c r="N607" s="147">
        <v>0</v>
      </c>
      <c r="O607" s="147">
        <v>0</v>
      </c>
      <c r="P607" s="147">
        <v>0</v>
      </c>
      <c r="Q607" s="147">
        <v>0</v>
      </c>
      <c r="R607" s="147">
        <v>0</v>
      </c>
      <c r="S607" s="147">
        <v>0</v>
      </c>
      <c r="T607" s="147">
        <v>0</v>
      </c>
      <c r="U607" s="147">
        <v>0</v>
      </c>
      <c r="V607" s="147">
        <v>0</v>
      </c>
      <c r="W607" s="147">
        <v>0</v>
      </c>
      <c r="X607" s="147">
        <v>0</v>
      </c>
      <c r="Y607" s="147">
        <v>0</v>
      </c>
      <c r="Z607" s="147">
        <v>0</v>
      </c>
      <c r="AA607" s="147">
        <v>0</v>
      </c>
      <c r="AB607" s="147">
        <v>0</v>
      </c>
      <c r="AC607" s="147">
        <v>0</v>
      </c>
      <c r="AD607" s="147">
        <v>0</v>
      </c>
      <c r="AE607" s="147">
        <v>0</v>
      </c>
      <c r="AF607" s="147">
        <v>0</v>
      </c>
      <c r="AG607" s="147">
        <v>0</v>
      </c>
      <c r="AH607" s="147">
        <v>0</v>
      </c>
      <c r="AI607" s="147">
        <v>0</v>
      </c>
      <c r="AJ607" s="147">
        <v>0</v>
      </c>
      <c r="AK607" s="147">
        <v>0</v>
      </c>
      <c r="AL607" s="147">
        <v>0</v>
      </c>
      <c r="AM607" s="147">
        <v>0</v>
      </c>
      <c r="AN607" s="147">
        <v>0</v>
      </c>
      <c r="AO607" s="147">
        <v>0</v>
      </c>
      <c r="AP607" s="147">
        <v>0</v>
      </c>
    </row>
    <row r="608" spans="2:42" ht="12.75" customHeight="1">
      <c r="B608" s="122" t="str">
        <v>Pórtico 4 (MG-329)</v>
      </c>
      <c r="C608" s="329" t="str">
        <v>3</v>
      </c>
      <c r="D608" s="329" t="str">
        <v>3.1</v>
      </c>
      <c r="E608" s="329">
        <v>1</v>
      </c>
      <c r="F608" s="329">
        <v>0</v>
      </c>
      <c r="G608" s="122" t="str">
        <v xml:space="preserve">Pavimento </v>
      </c>
      <c r="H608" s="122" t="b">
        <v>0</v>
      </c>
      <c r="I608" s="122" t="b">
        <v>0</v>
      </c>
      <c r="J608" s="122" t="b">
        <v>0</v>
      </c>
      <c r="K608" s="122" t="b">
        <v>1</v>
      </c>
      <c r="L608" s="147">
        <v>0</v>
      </c>
      <c r="M608" s="147">
        <v>0</v>
      </c>
      <c r="N608" s="147">
        <v>0</v>
      </c>
      <c r="O608" s="147">
        <v>0</v>
      </c>
      <c r="P608" s="147">
        <v>0</v>
      </c>
      <c r="Q608" s="147">
        <v>0</v>
      </c>
      <c r="R608" s="147">
        <v>0</v>
      </c>
      <c r="S608" s="147">
        <v>0</v>
      </c>
      <c r="T608" s="147">
        <v>0</v>
      </c>
      <c r="U608" s="147">
        <v>0</v>
      </c>
      <c r="V608" s="147">
        <v>0</v>
      </c>
      <c r="W608" s="147">
        <v>0</v>
      </c>
      <c r="X608" s="147">
        <v>0</v>
      </c>
      <c r="Y608" s="147">
        <v>0</v>
      </c>
      <c r="Z608" s="147">
        <v>0</v>
      </c>
      <c r="AA608" s="147">
        <v>0</v>
      </c>
      <c r="AB608" s="147">
        <v>0</v>
      </c>
      <c r="AC608" s="147">
        <v>0</v>
      </c>
      <c r="AD608" s="147">
        <v>0</v>
      </c>
      <c r="AE608" s="147">
        <v>0</v>
      </c>
      <c r="AF608" s="147">
        <v>0</v>
      </c>
      <c r="AG608" s="147">
        <v>0</v>
      </c>
      <c r="AH608" s="147">
        <v>0</v>
      </c>
      <c r="AI608" s="147">
        <v>0</v>
      </c>
      <c r="AJ608" s="147">
        <v>0</v>
      </c>
      <c r="AK608" s="147">
        <v>0</v>
      </c>
      <c r="AL608" s="147">
        <v>0</v>
      </c>
      <c r="AM608" s="147">
        <v>0</v>
      </c>
      <c r="AN608" s="147">
        <v>0</v>
      </c>
      <c r="AO608" s="147">
        <v>0</v>
      </c>
      <c r="AP608" s="147">
        <v>0</v>
      </c>
    </row>
    <row r="609" spans="2:42" ht="12.75" customHeight="1">
      <c r="B609" s="122" t="str">
        <v>Pórtico 4 (MG-329)</v>
      </c>
      <c r="C609" s="329" t="str">
        <v>3</v>
      </c>
      <c r="D609" s="329" t="str">
        <v>3.2</v>
      </c>
      <c r="E609" s="329">
        <v>1</v>
      </c>
      <c r="F609" s="329">
        <v>0</v>
      </c>
      <c r="G609" s="122" t="str">
        <v>Obras De Arte Especiais</v>
      </c>
      <c r="H609" s="122" t="b">
        <v>0</v>
      </c>
      <c r="I609" s="122" t="b">
        <v>0</v>
      </c>
      <c r="J609" s="122" t="b">
        <v>0</v>
      </c>
      <c r="K609" s="122" t="b">
        <v>1</v>
      </c>
      <c r="L609" s="147">
        <v>0</v>
      </c>
      <c r="M609" s="147">
        <v>0</v>
      </c>
      <c r="N609" s="147">
        <v>0</v>
      </c>
      <c r="O609" s="147">
        <v>0</v>
      </c>
      <c r="P609" s="147">
        <v>0</v>
      </c>
      <c r="Q609" s="147">
        <v>0</v>
      </c>
      <c r="R609" s="147">
        <v>0</v>
      </c>
      <c r="S609" s="147">
        <v>0</v>
      </c>
      <c r="T609" s="147">
        <v>0</v>
      </c>
      <c r="U609" s="147">
        <v>0</v>
      </c>
      <c r="V609" s="147">
        <v>0</v>
      </c>
      <c r="W609" s="147">
        <v>0</v>
      </c>
      <c r="X609" s="147">
        <v>0</v>
      </c>
      <c r="Y609" s="147">
        <v>0</v>
      </c>
      <c r="Z609" s="147">
        <v>0</v>
      </c>
      <c r="AA609" s="147">
        <v>0</v>
      </c>
      <c r="AB609" s="147">
        <v>0</v>
      </c>
      <c r="AC609" s="147">
        <v>0</v>
      </c>
      <c r="AD609" s="147">
        <v>0</v>
      </c>
      <c r="AE609" s="147">
        <v>0</v>
      </c>
      <c r="AF609" s="147">
        <v>0</v>
      </c>
      <c r="AG609" s="147">
        <v>0</v>
      </c>
      <c r="AH609" s="147">
        <v>0</v>
      </c>
      <c r="AI609" s="147">
        <v>0</v>
      </c>
      <c r="AJ609" s="147">
        <v>0</v>
      </c>
      <c r="AK609" s="147">
        <v>0</v>
      </c>
      <c r="AL609" s="147">
        <v>0</v>
      </c>
      <c r="AM609" s="147">
        <v>0</v>
      </c>
      <c r="AN609" s="147">
        <v>0</v>
      </c>
      <c r="AO609" s="147">
        <v>0</v>
      </c>
      <c r="AP609" s="147">
        <v>0</v>
      </c>
    </row>
    <row r="610" spans="2:42" ht="12.75" customHeight="1">
      <c r="B610" s="122" t="str">
        <v>Pórtico 4 (MG-329)</v>
      </c>
      <c r="C610" s="329" t="str">
        <v>3</v>
      </c>
      <c r="D610" s="329" t="str">
        <v>3.3</v>
      </c>
      <c r="E610" s="329">
        <v>1</v>
      </c>
      <c r="F610" s="329">
        <v>0</v>
      </c>
      <c r="G610" s="122" t="str">
        <v>Drenagem E Obras De Arte Correntes</v>
      </c>
      <c r="H610" s="122" t="b">
        <v>0</v>
      </c>
      <c r="I610" s="122" t="b">
        <v>0</v>
      </c>
      <c r="J610" s="122" t="b">
        <v>0</v>
      </c>
      <c r="K610" s="122" t="b">
        <v>1</v>
      </c>
      <c r="L610" s="147">
        <v>0</v>
      </c>
      <c r="M610" s="147">
        <v>0</v>
      </c>
      <c r="N610" s="147">
        <v>0</v>
      </c>
      <c r="O610" s="147">
        <v>0</v>
      </c>
      <c r="P610" s="147">
        <v>0</v>
      </c>
      <c r="Q610" s="147">
        <v>0</v>
      </c>
      <c r="R610" s="147">
        <v>0</v>
      </c>
      <c r="S610" s="147">
        <v>0</v>
      </c>
      <c r="T610" s="147">
        <v>0</v>
      </c>
      <c r="U610" s="147">
        <v>0</v>
      </c>
      <c r="V610" s="147">
        <v>0</v>
      </c>
      <c r="W610" s="147">
        <v>0</v>
      </c>
      <c r="X610" s="147">
        <v>0</v>
      </c>
      <c r="Y610" s="147">
        <v>0</v>
      </c>
      <c r="Z610" s="147">
        <v>0</v>
      </c>
      <c r="AA610" s="147">
        <v>0</v>
      </c>
      <c r="AB610" s="147">
        <v>0</v>
      </c>
      <c r="AC610" s="147">
        <v>0</v>
      </c>
      <c r="AD610" s="147">
        <v>0</v>
      </c>
      <c r="AE610" s="147">
        <v>0</v>
      </c>
      <c r="AF610" s="147">
        <v>0</v>
      </c>
      <c r="AG610" s="147">
        <v>0</v>
      </c>
      <c r="AH610" s="147">
        <v>0</v>
      </c>
      <c r="AI610" s="147">
        <v>0</v>
      </c>
      <c r="AJ610" s="147">
        <v>0</v>
      </c>
      <c r="AK610" s="147">
        <v>0</v>
      </c>
      <c r="AL610" s="147">
        <v>0</v>
      </c>
      <c r="AM610" s="147">
        <v>0</v>
      </c>
      <c r="AN610" s="147">
        <v>0</v>
      </c>
      <c r="AO610" s="147">
        <v>0</v>
      </c>
      <c r="AP610" s="147">
        <v>0</v>
      </c>
    </row>
    <row r="611" spans="2:42" ht="12.75" customHeight="1">
      <c r="B611" s="122" t="str">
        <v>Pórtico 4 (MG-329)</v>
      </c>
      <c r="C611" s="329" t="str">
        <v>3</v>
      </c>
      <c r="D611" s="329" t="str">
        <v>3.4</v>
      </c>
      <c r="E611" s="329">
        <v>0</v>
      </c>
      <c r="F611" s="329">
        <v>0</v>
      </c>
      <c r="G611" s="122" t="str">
        <v xml:space="preserve">Sinalização E Dispositivos De Proteção E Segurança </v>
      </c>
      <c r="H611" s="122" t="b">
        <v>0</v>
      </c>
      <c r="I611" s="122" t="b">
        <v>0</v>
      </c>
      <c r="J611" s="122" t="b">
        <v>0</v>
      </c>
      <c r="K611" s="122" t="b">
        <v>1</v>
      </c>
      <c r="L611" s="147">
        <v>0</v>
      </c>
      <c r="M611" s="147">
        <v>0</v>
      </c>
      <c r="N611" s="147">
        <v>0</v>
      </c>
      <c r="O611" s="147">
        <v>0</v>
      </c>
      <c r="P611" s="147">
        <v>0</v>
      </c>
      <c r="Q611" s="147">
        <v>0</v>
      </c>
      <c r="R611" s="147">
        <v>0</v>
      </c>
      <c r="S611" s="147">
        <v>0</v>
      </c>
      <c r="T611" s="147">
        <v>0</v>
      </c>
      <c r="U611" s="147">
        <v>0</v>
      </c>
      <c r="V611" s="147">
        <v>0</v>
      </c>
      <c r="W611" s="147">
        <v>0</v>
      </c>
      <c r="X611" s="147">
        <v>0</v>
      </c>
      <c r="Y611" s="147">
        <v>0</v>
      </c>
      <c r="Z611" s="147">
        <v>0</v>
      </c>
      <c r="AA611" s="147">
        <v>0</v>
      </c>
      <c r="AB611" s="147">
        <v>0</v>
      </c>
      <c r="AC611" s="147">
        <v>0</v>
      </c>
      <c r="AD611" s="147">
        <v>0</v>
      </c>
      <c r="AE611" s="147">
        <v>0</v>
      </c>
      <c r="AF611" s="147">
        <v>0</v>
      </c>
      <c r="AG611" s="147">
        <v>0</v>
      </c>
      <c r="AH611" s="147">
        <v>0</v>
      </c>
      <c r="AI611" s="147">
        <v>0</v>
      </c>
      <c r="AJ611" s="147">
        <v>0</v>
      </c>
      <c r="AK611" s="147">
        <v>0</v>
      </c>
      <c r="AL611" s="147">
        <v>0</v>
      </c>
      <c r="AM611" s="147">
        <v>0</v>
      </c>
      <c r="AN611" s="147">
        <v>0</v>
      </c>
      <c r="AO611" s="147">
        <v>0</v>
      </c>
      <c r="AP611" s="147">
        <v>0</v>
      </c>
    </row>
    <row r="612" spans="2:42" ht="12.75" customHeight="1">
      <c r="B612" s="122" t="str">
        <v>Pórtico 4 (MG-329)</v>
      </c>
      <c r="C612" s="329" t="str">
        <v>3</v>
      </c>
      <c r="D612" s="329" t="str">
        <v>3.7</v>
      </c>
      <c r="E612" s="329">
        <v>1</v>
      </c>
      <c r="F612" s="329">
        <v>0</v>
      </c>
      <c r="G612" s="122" t="str">
        <v>Administração Local (4,0%)</v>
      </c>
      <c r="H612" s="122" t="b">
        <v>0</v>
      </c>
      <c r="I612" s="122" t="b">
        <v>0</v>
      </c>
      <c r="J612" s="122" t="b">
        <v>0</v>
      </c>
      <c r="K612" s="122" t="b">
        <v>1</v>
      </c>
      <c r="L612" s="147">
        <v>0</v>
      </c>
      <c r="M612" s="147">
        <v>0</v>
      </c>
      <c r="N612" s="147">
        <v>0</v>
      </c>
      <c r="O612" s="147">
        <v>0</v>
      </c>
      <c r="P612" s="147">
        <v>0</v>
      </c>
      <c r="Q612" s="147">
        <v>0</v>
      </c>
      <c r="R612" s="147">
        <v>0</v>
      </c>
      <c r="S612" s="147">
        <v>0</v>
      </c>
      <c r="T612" s="147">
        <v>0</v>
      </c>
      <c r="U612" s="147">
        <v>0</v>
      </c>
      <c r="V612" s="147">
        <v>0</v>
      </c>
      <c r="W612" s="147">
        <v>0</v>
      </c>
      <c r="X612" s="147">
        <v>0</v>
      </c>
      <c r="Y612" s="147">
        <v>0</v>
      </c>
      <c r="Z612" s="147">
        <v>0</v>
      </c>
      <c r="AA612" s="147">
        <v>0</v>
      </c>
      <c r="AB612" s="147">
        <v>0</v>
      </c>
      <c r="AC612" s="147">
        <v>0</v>
      </c>
      <c r="AD612" s="147">
        <v>0</v>
      </c>
      <c r="AE612" s="147">
        <v>0</v>
      </c>
      <c r="AF612" s="147">
        <v>0</v>
      </c>
      <c r="AG612" s="147">
        <v>0</v>
      </c>
      <c r="AH612" s="147">
        <v>0</v>
      </c>
      <c r="AI612" s="147">
        <v>0</v>
      </c>
      <c r="AJ612" s="147">
        <v>0</v>
      </c>
      <c r="AK612" s="147">
        <v>0</v>
      </c>
      <c r="AL612" s="147">
        <v>0</v>
      </c>
      <c r="AM612" s="147">
        <v>0</v>
      </c>
      <c r="AN612" s="147">
        <v>0</v>
      </c>
      <c r="AO612" s="147">
        <v>0</v>
      </c>
      <c r="AP612" s="147">
        <v>0</v>
      </c>
    </row>
    <row r="613" spans="2:42" ht="12.75" customHeight="1">
      <c r="B613" s="122" t="str">
        <v>Pórtico 4 (MG-329)</v>
      </c>
      <c r="C613" s="329" t="str">
        <v>3</v>
      </c>
      <c r="D613" s="329" t="str">
        <v>3.8</v>
      </c>
      <c r="E613" s="329">
        <v>1</v>
      </c>
      <c r="F613" s="329">
        <v>0</v>
      </c>
      <c r="G613" s="122" t="str">
        <v>Canteiro De Obras (2,0%)</v>
      </c>
      <c r="H613" s="122" t="b">
        <v>0</v>
      </c>
      <c r="I613" s="122" t="b">
        <v>0</v>
      </c>
      <c r="J613" s="122" t="b">
        <v>0</v>
      </c>
      <c r="K613" s="122" t="b">
        <v>1</v>
      </c>
      <c r="L613" s="147">
        <v>0</v>
      </c>
      <c r="M613" s="147">
        <v>0</v>
      </c>
      <c r="N613" s="147">
        <v>0</v>
      </c>
      <c r="O613" s="147">
        <v>0</v>
      </c>
      <c r="P613" s="147">
        <v>0</v>
      </c>
      <c r="Q613" s="147">
        <v>0</v>
      </c>
      <c r="R613" s="147">
        <v>0</v>
      </c>
      <c r="S613" s="147">
        <v>0</v>
      </c>
      <c r="T613" s="147">
        <v>0</v>
      </c>
      <c r="U613" s="147">
        <v>0</v>
      </c>
      <c r="V613" s="147">
        <v>0</v>
      </c>
      <c r="W613" s="147">
        <v>0</v>
      </c>
      <c r="X613" s="147">
        <v>0</v>
      </c>
      <c r="Y613" s="147">
        <v>0</v>
      </c>
      <c r="Z613" s="147">
        <v>0</v>
      </c>
      <c r="AA613" s="147">
        <v>0</v>
      </c>
      <c r="AB613" s="147">
        <v>0</v>
      </c>
      <c r="AC613" s="147">
        <v>0</v>
      </c>
      <c r="AD613" s="147">
        <v>0</v>
      </c>
      <c r="AE613" s="147">
        <v>0</v>
      </c>
      <c r="AF613" s="147">
        <v>0</v>
      </c>
      <c r="AG613" s="147">
        <v>0</v>
      </c>
      <c r="AH613" s="147">
        <v>0</v>
      </c>
      <c r="AI613" s="147">
        <v>0</v>
      </c>
      <c r="AJ613" s="147">
        <v>0</v>
      </c>
      <c r="AK613" s="147">
        <v>0</v>
      </c>
      <c r="AL613" s="147">
        <v>0</v>
      </c>
      <c r="AM613" s="147">
        <v>0</v>
      </c>
      <c r="AN613" s="147">
        <v>0</v>
      </c>
      <c r="AO613" s="147">
        <v>0</v>
      </c>
      <c r="AP613" s="147">
        <v>0</v>
      </c>
    </row>
    <row r="614" spans="2:42" ht="12.75" customHeight="1">
      <c r="B614" s="122" t="str">
        <v>Pórtico 4 (MG-329)</v>
      </c>
      <c r="C614" s="329" t="str">
        <v>3</v>
      </c>
      <c r="D614" s="329" t="str">
        <v>3.9</v>
      </c>
      <c r="E614" s="329">
        <v>1</v>
      </c>
      <c r="F614" s="329">
        <v>0</v>
      </c>
      <c r="G614" s="122" t="str">
        <v>Mobilização E Desmobilização (0,5%)</v>
      </c>
      <c r="H614" s="122" t="b">
        <v>0</v>
      </c>
      <c r="I614" s="122" t="b">
        <v>0</v>
      </c>
      <c r="J614" s="122" t="b">
        <v>0</v>
      </c>
      <c r="K614" s="122" t="b">
        <v>1</v>
      </c>
      <c r="L614" s="147">
        <v>0</v>
      </c>
      <c r="M614" s="147">
        <v>0</v>
      </c>
      <c r="N614" s="147">
        <v>0</v>
      </c>
      <c r="O614" s="147">
        <v>0</v>
      </c>
      <c r="P614" s="147">
        <v>0</v>
      </c>
      <c r="Q614" s="147">
        <v>0</v>
      </c>
      <c r="R614" s="147">
        <v>0</v>
      </c>
      <c r="S614" s="147">
        <v>0</v>
      </c>
      <c r="T614" s="147">
        <v>0</v>
      </c>
      <c r="U614" s="147">
        <v>0</v>
      </c>
      <c r="V614" s="147">
        <v>0</v>
      </c>
      <c r="W614" s="147">
        <v>0</v>
      </c>
      <c r="X614" s="147">
        <v>0</v>
      </c>
      <c r="Y614" s="147">
        <v>0</v>
      </c>
      <c r="Z614" s="147">
        <v>0</v>
      </c>
      <c r="AA614" s="147">
        <v>0</v>
      </c>
      <c r="AB614" s="147">
        <v>0</v>
      </c>
      <c r="AC614" s="147">
        <v>0</v>
      </c>
      <c r="AD614" s="147">
        <v>0</v>
      </c>
      <c r="AE614" s="147">
        <v>0</v>
      </c>
      <c r="AF614" s="147">
        <v>0</v>
      </c>
      <c r="AG614" s="147">
        <v>0</v>
      </c>
      <c r="AH614" s="147">
        <v>0</v>
      </c>
      <c r="AI614" s="147">
        <v>0</v>
      </c>
      <c r="AJ614" s="147">
        <v>0</v>
      </c>
      <c r="AK614" s="147">
        <v>0</v>
      </c>
      <c r="AL614" s="147">
        <v>0</v>
      </c>
      <c r="AM614" s="147">
        <v>0</v>
      </c>
      <c r="AN614" s="147">
        <v>0</v>
      </c>
      <c r="AO614" s="147">
        <v>0</v>
      </c>
      <c r="AP614" s="147">
        <v>0</v>
      </c>
    </row>
    <row r="615" spans="2:42" ht="12.75" customHeight="1">
      <c r="B615" s="122" t="str">
        <v>Pórtico 4 (MG-329)</v>
      </c>
      <c r="C615" s="329" t="str">
        <v>3</v>
      </c>
      <c r="D615" s="329" t="str">
        <v>3.10</v>
      </c>
      <c r="E615" s="329">
        <v>1</v>
      </c>
      <c r="F615" s="329">
        <v>0</v>
      </c>
      <c r="G615" s="122" t="str">
        <v>Projetos (2,5%)</v>
      </c>
      <c r="H615" s="122" t="b">
        <v>0</v>
      </c>
      <c r="I615" s="122" t="b">
        <v>0</v>
      </c>
      <c r="J615" s="122" t="b">
        <v>0</v>
      </c>
      <c r="K615" s="122" t="b">
        <v>1</v>
      </c>
      <c r="L615" s="147">
        <v>0</v>
      </c>
      <c r="M615" s="147">
        <v>0</v>
      </c>
      <c r="N615" s="147">
        <v>0</v>
      </c>
      <c r="O615" s="147">
        <v>0</v>
      </c>
      <c r="P615" s="147">
        <v>0</v>
      </c>
      <c r="Q615" s="147">
        <v>0</v>
      </c>
      <c r="R615" s="147">
        <v>0</v>
      </c>
      <c r="S615" s="147">
        <v>0</v>
      </c>
      <c r="T615" s="147">
        <v>0</v>
      </c>
      <c r="U615" s="147">
        <v>0</v>
      </c>
      <c r="V615" s="147">
        <v>0</v>
      </c>
      <c r="W615" s="147">
        <v>0</v>
      </c>
      <c r="X615" s="147">
        <v>0</v>
      </c>
      <c r="Y615" s="147">
        <v>0</v>
      </c>
      <c r="Z615" s="147">
        <v>0</v>
      </c>
      <c r="AA615" s="147">
        <v>0</v>
      </c>
      <c r="AB615" s="147">
        <v>0</v>
      </c>
      <c r="AC615" s="147">
        <v>0</v>
      </c>
      <c r="AD615" s="147">
        <v>0</v>
      </c>
      <c r="AE615" s="147">
        <v>0</v>
      </c>
      <c r="AF615" s="147">
        <v>0</v>
      </c>
      <c r="AG615" s="147">
        <v>0</v>
      </c>
      <c r="AH615" s="147">
        <v>0</v>
      </c>
      <c r="AI615" s="147">
        <v>0</v>
      </c>
      <c r="AJ615" s="147">
        <v>0</v>
      </c>
      <c r="AK615" s="147">
        <v>0</v>
      </c>
      <c r="AL615" s="147">
        <v>0</v>
      </c>
      <c r="AM615" s="147">
        <v>0</v>
      </c>
      <c r="AN615" s="147">
        <v>0</v>
      </c>
      <c r="AO615" s="147">
        <v>0</v>
      </c>
      <c r="AP615" s="147">
        <v>0</v>
      </c>
    </row>
    <row r="616" spans="2:42" ht="12.75" customHeight="1">
      <c r="B616" s="122" t="str">
        <v>Operação Geral</v>
      </c>
      <c r="C616" s="329" t="str">
        <v>6</v>
      </c>
      <c r="D616" s="329">
        <v>6</v>
      </c>
      <c r="E616" s="329">
        <v>0</v>
      </c>
      <c r="F616" s="329">
        <v>0</v>
      </c>
      <c r="G616" s="122" t="str">
        <v>Equipamentos, sistemas e edificações operacionais</v>
      </c>
      <c r="H616" s="122" t="b">
        <v>0</v>
      </c>
      <c r="I616" s="122" t="b">
        <v>0</v>
      </c>
      <c r="J616" s="122" t="b">
        <v>0</v>
      </c>
      <c r="K616" s="122" t="b">
        <v>1</v>
      </c>
      <c r="L616" s="147">
        <v>0</v>
      </c>
      <c r="M616" s="147">
        <v>0</v>
      </c>
      <c r="N616" s="147">
        <v>0</v>
      </c>
      <c r="O616" s="147">
        <v>0</v>
      </c>
      <c r="P616" s="147">
        <v>0</v>
      </c>
      <c r="Q616" s="147">
        <v>0</v>
      </c>
      <c r="R616" s="147">
        <v>0</v>
      </c>
      <c r="S616" s="147">
        <v>0</v>
      </c>
      <c r="T616" s="147">
        <v>0</v>
      </c>
      <c r="U616" s="147">
        <v>0</v>
      </c>
      <c r="V616" s="147">
        <v>0</v>
      </c>
      <c r="W616" s="147">
        <v>0</v>
      </c>
      <c r="X616" s="147">
        <v>0</v>
      </c>
      <c r="Y616" s="147">
        <v>0</v>
      </c>
      <c r="Z616" s="147">
        <v>0</v>
      </c>
      <c r="AA616" s="147">
        <v>0</v>
      </c>
      <c r="AB616" s="147">
        <v>0</v>
      </c>
      <c r="AC616" s="147">
        <v>0</v>
      </c>
      <c r="AD616" s="147">
        <v>0</v>
      </c>
      <c r="AE616" s="147">
        <v>0</v>
      </c>
      <c r="AF616" s="147">
        <v>0</v>
      </c>
      <c r="AG616" s="147">
        <v>0</v>
      </c>
      <c r="AH616" s="147">
        <v>0</v>
      </c>
      <c r="AI616" s="147">
        <v>0</v>
      </c>
      <c r="AJ616" s="147">
        <v>0</v>
      </c>
      <c r="AK616" s="147">
        <v>0</v>
      </c>
      <c r="AL616" s="147">
        <v>0</v>
      </c>
      <c r="AM616" s="147">
        <v>0</v>
      </c>
      <c r="AN616" s="147">
        <v>0</v>
      </c>
      <c r="AO616" s="147">
        <v>0</v>
      </c>
      <c r="AP616" s="147">
        <v>0</v>
      </c>
    </row>
    <row r="617" spans="2:42" ht="12.75" customHeight="1">
      <c r="B617" s="122" t="str">
        <v>Operação Geral</v>
      </c>
      <c r="C617" s="329">
        <v>6</v>
      </c>
      <c r="D617" s="329" t="str">
        <v>6.1</v>
      </c>
      <c r="E617" s="329">
        <v>0</v>
      </c>
      <c r="F617" s="329">
        <v>0</v>
      </c>
      <c r="G617" s="122" t="str">
        <v>IMPLANTAÇÃO E INSTALAÇÃO DOS EQUIPAMENTOS E SISTEMAS</v>
      </c>
      <c r="H617" s="122" t="b">
        <v>0</v>
      </c>
      <c r="I617" s="122" t="b">
        <v>0</v>
      </c>
      <c r="J617" s="122" t="b">
        <v>0</v>
      </c>
      <c r="K617" s="122" t="b">
        <v>1</v>
      </c>
      <c r="L617" s="147">
        <v>0</v>
      </c>
      <c r="M617" s="147">
        <v>0</v>
      </c>
      <c r="N617" s="147">
        <v>0</v>
      </c>
      <c r="O617" s="147">
        <v>0</v>
      </c>
      <c r="P617" s="147">
        <v>0</v>
      </c>
      <c r="Q617" s="147">
        <v>0</v>
      </c>
      <c r="R617" s="147">
        <v>0</v>
      </c>
      <c r="S617" s="147">
        <v>0</v>
      </c>
      <c r="T617" s="147">
        <v>0</v>
      </c>
      <c r="U617" s="147">
        <v>0</v>
      </c>
      <c r="V617" s="147">
        <v>0</v>
      </c>
      <c r="W617" s="147">
        <v>0</v>
      </c>
      <c r="X617" s="147">
        <v>0</v>
      </c>
      <c r="Y617" s="147">
        <v>0</v>
      </c>
      <c r="Z617" s="147">
        <v>0</v>
      </c>
      <c r="AA617" s="147">
        <v>0</v>
      </c>
      <c r="AB617" s="147">
        <v>0</v>
      </c>
      <c r="AC617" s="147">
        <v>0</v>
      </c>
      <c r="AD617" s="147">
        <v>0</v>
      </c>
      <c r="AE617" s="147">
        <v>0</v>
      </c>
      <c r="AF617" s="147">
        <v>0</v>
      </c>
      <c r="AG617" s="147">
        <v>0</v>
      </c>
      <c r="AH617" s="147">
        <v>0</v>
      </c>
      <c r="AI617" s="147">
        <v>0</v>
      </c>
      <c r="AJ617" s="147">
        <v>0</v>
      </c>
      <c r="AK617" s="147">
        <v>0</v>
      </c>
      <c r="AL617" s="147">
        <v>0</v>
      </c>
      <c r="AM617" s="147">
        <v>0</v>
      </c>
      <c r="AN617" s="147">
        <v>0</v>
      </c>
      <c r="AO617" s="147">
        <v>0</v>
      </c>
      <c r="AP617" s="147">
        <v>0</v>
      </c>
    </row>
    <row r="618" spans="2:42" ht="12.75" customHeight="1">
      <c r="B618" s="122" t="str">
        <v>Operação Geral</v>
      </c>
      <c r="C618" s="329" t="str">
        <v>6</v>
      </c>
      <c r="D618" s="329" t="str">
        <v>6.1.1</v>
      </c>
      <c r="E618" s="329">
        <v>0</v>
      </c>
      <c r="F618" s="329">
        <v>0</v>
      </c>
      <c r="G618" s="122" t="str">
        <v>Aquisição de veículos</v>
      </c>
      <c r="H618" s="122" t="b">
        <v>0</v>
      </c>
      <c r="I618" s="122" t="b">
        <v>0</v>
      </c>
      <c r="J618" s="122" t="b">
        <v>0</v>
      </c>
      <c r="K618" s="122" t="b">
        <v>1</v>
      </c>
      <c r="L618" s="147">
        <v>7353231.752922561</v>
      </c>
      <c r="M618" s="147">
        <v>0</v>
      </c>
      <c r="N618" s="147">
        <v>0</v>
      </c>
      <c r="O618" s="147">
        <v>0</v>
      </c>
      <c r="P618" s="147">
        <v>0</v>
      </c>
      <c r="Q618" s="147">
        <v>0</v>
      </c>
      <c r="R618" s="147">
        <v>684652.18848000001</v>
      </c>
      <c r="S618" s="147">
        <v>0</v>
      </c>
      <c r="T618" s="147">
        <v>0</v>
      </c>
      <c r="U618" s="147">
        <v>0</v>
      </c>
      <c r="V618" s="147">
        <v>0</v>
      </c>
      <c r="W618" s="147">
        <v>0</v>
      </c>
      <c r="X618" s="147">
        <v>0</v>
      </c>
      <c r="Y618" s="147">
        <v>0</v>
      </c>
      <c r="Z618" s="147">
        <v>0</v>
      </c>
      <c r="AA618" s="147">
        <v>0</v>
      </c>
      <c r="AB618" s="147">
        <v>0</v>
      </c>
      <c r="AC618" s="147">
        <v>0</v>
      </c>
      <c r="AD618" s="147">
        <v>0</v>
      </c>
      <c r="AE618" s="147">
        <v>0</v>
      </c>
      <c r="AF618" s="147">
        <v>0</v>
      </c>
      <c r="AG618" s="147">
        <v>0</v>
      </c>
      <c r="AH618" s="147">
        <v>0</v>
      </c>
      <c r="AI618" s="147">
        <v>0</v>
      </c>
      <c r="AJ618" s="147">
        <v>0</v>
      </c>
      <c r="AK618" s="147">
        <v>0</v>
      </c>
      <c r="AL618" s="147">
        <v>0</v>
      </c>
      <c r="AM618" s="147">
        <v>0</v>
      </c>
      <c r="AN618" s="147">
        <v>0</v>
      </c>
      <c r="AO618" s="147">
        <v>0</v>
      </c>
      <c r="AP618" s="147">
        <v>8037883.941402561</v>
      </c>
    </row>
    <row r="619" spans="2:42" ht="12.75" customHeight="1">
      <c r="B619" s="122" t="str">
        <v>Operação Geral</v>
      </c>
      <c r="C619" s="329" t="str">
        <v>6</v>
      </c>
      <c r="D619" s="329" t="str">
        <v>6.1.2</v>
      </c>
      <c r="E619" s="329">
        <v>0</v>
      </c>
      <c r="F619" s="329">
        <v>0</v>
      </c>
      <c r="G619" s="122" t="str">
        <v>Sede/Centro Administrativo</v>
      </c>
      <c r="H619" s="122" t="b">
        <v>0</v>
      </c>
      <c r="I619" s="122" t="b">
        <v>0</v>
      </c>
      <c r="J619" s="122" t="b">
        <v>0</v>
      </c>
      <c r="K619" s="122" t="b">
        <v>1</v>
      </c>
      <c r="L619" s="147">
        <v>0</v>
      </c>
      <c r="M619" s="147">
        <v>0</v>
      </c>
      <c r="N619" s="147">
        <v>0</v>
      </c>
      <c r="O619" s="147">
        <v>0</v>
      </c>
      <c r="P619" s="147">
        <v>0</v>
      </c>
      <c r="Q619" s="147">
        <v>0</v>
      </c>
      <c r="R619" s="147">
        <v>0</v>
      </c>
      <c r="S619" s="147">
        <v>0</v>
      </c>
      <c r="T619" s="147">
        <v>0</v>
      </c>
      <c r="U619" s="147">
        <v>0</v>
      </c>
      <c r="V619" s="147">
        <v>0</v>
      </c>
      <c r="W619" s="147">
        <v>0</v>
      </c>
      <c r="X619" s="147">
        <v>0</v>
      </c>
      <c r="Y619" s="147">
        <v>0</v>
      </c>
      <c r="Z619" s="147">
        <v>0</v>
      </c>
      <c r="AA619" s="147">
        <v>0</v>
      </c>
      <c r="AB619" s="147">
        <v>0</v>
      </c>
      <c r="AC619" s="147">
        <v>0</v>
      </c>
      <c r="AD619" s="147">
        <v>0</v>
      </c>
      <c r="AE619" s="147">
        <v>0</v>
      </c>
      <c r="AF619" s="147">
        <v>0</v>
      </c>
      <c r="AG619" s="147">
        <v>0</v>
      </c>
      <c r="AH619" s="147">
        <v>0</v>
      </c>
      <c r="AI619" s="147">
        <v>0</v>
      </c>
      <c r="AJ619" s="147">
        <v>0</v>
      </c>
      <c r="AK619" s="147">
        <v>0</v>
      </c>
      <c r="AL619" s="147">
        <v>0</v>
      </c>
      <c r="AM619" s="147">
        <v>0</v>
      </c>
      <c r="AN619" s="147">
        <v>0</v>
      </c>
      <c r="AO619" s="147">
        <v>0</v>
      </c>
      <c r="AP619" s="147">
        <v>0</v>
      </c>
    </row>
    <row r="620" spans="2:42" ht="12.75" customHeight="1">
      <c r="B620" s="122" t="str">
        <v>Operação Geral</v>
      </c>
      <c r="C620" s="329" t="str">
        <v>6</v>
      </c>
      <c r="D620" s="329" t="str">
        <v>6.1.2</v>
      </c>
      <c r="E620" s="329">
        <v>0</v>
      </c>
      <c r="F620" s="329">
        <v>0</v>
      </c>
      <c r="G620" s="122" t="str">
        <v>Tecnologia da Informação</v>
      </c>
      <c r="H620" s="122" t="b">
        <v>0</v>
      </c>
      <c r="I620" s="122" t="b">
        <v>0</v>
      </c>
      <c r="J620" s="122" t="b">
        <v>0</v>
      </c>
      <c r="K620" s="122" t="b">
        <v>1</v>
      </c>
      <c r="L620" s="147">
        <v>0</v>
      </c>
      <c r="M620" s="147">
        <v>0</v>
      </c>
      <c r="N620" s="147">
        <v>0</v>
      </c>
      <c r="O620" s="147">
        <v>0</v>
      </c>
      <c r="P620" s="147">
        <v>0</v>
      </c>
      <c r="Q620" s="147">
        <v>0</v>
      </c>
      <c r="R620" s="147">
        <v>0</v>
      </c>
      <c r="S620" s="147">
        <v>0</v>
      </c>
      <c r="T620" s="147">
        <v>0</v>
      </c>
      <c r="U620" s="147">
        <v>0</v>
      </c>
      <c r="V620" s="147">
        <v>0</v>
      </c>
      <c r="W620" s="147">
        <v>0</v>
      </c>
      <c r="X620" s="147">
        <v>0</v>
      </c>
      <c r="Y620" s="147">
        <v>0</v>
      </c>
      <c r="Z620" s="147">
        <v>0</v>
      </c>
      <c r="AA620" s="147">
        <v>0</v>
      </c>
      <c r="AB620" s="147">
        <v>0</v>
      </c>
      <c r="AC620" s="147">
        <v>0</v>
      </c>
      <c r="AD620" s="147">
        <v>0</v>
      </c>
      <c r="AE620" s="147">
        <v>0</v>
      </c>
      <c r="AF620" s="147">
        <v>0</v>
      </c>
      <c r="AG620" s="147">
        <v>0</v>
      </c>
      <c r="AH620" s="147">
        <v>0</v>
      </c>
      <c r="AI620" s="147">
        <v>0</v>
      </c>
      <c r="AJ620" s="147">
        <v>0</v>
      </c>
      <c r="AK620" s="147">
        <v>0</v>
      </c>
      <c r="AL620" s="147">
        <v>0</v>
      </c>
      <c r="AM620" s="147">
        <v>0</v>
      </c>
      <c r="AN620" s="147">
        <v>0</v>
      </c>
      <c r="AO620" s="147">
        <v>0</v>
      </c>
      <c r="AP620" s="147">
        <v>0</v>
      </c>
    </row>
    <row r="621" spans="2:42" ht="12.75" customHeight="1">
      <c r="B621" s="122" t="str">
        <v>Operação Geral</v>
      </c>
      <c r="C621" s="329" t="str">
        <v>6</v>
      </c>
      <c r="D621" s="329" t="str">
        <v>6.1.2</v>
      </c>
      <c r="E621" s="329">
        <v>1</v>
      </c>
      <c r="F621" s="329">
        <v>0</v>
      </c>
      <c r="G621" s="122" t="str">
        <v>Servidor de Gerenciamento/Virtualização</v>
      </c>
      <c r="H621" s="122" t="b">
        <v>0</v>
      </c>
      <c r="I621" s="122" t="b">
        <v>0</v>
      </c>
      <c r="J621" s="122" t="b">
        <v>0</v>
      </c>
      <c r="K621" s="122" t="b">
        <v>1</v>
      </c>
      <c r="L621" s="147">
        <v>40011.014428705894</v>
      </c>
      <c r="M621" s="147">
        <v>0</v>
      </c>
      <c r="N621" s="147">
        <v>0</v>
      </c>
      <c r="O621" s="147">
        <v>0</v>
      </c>
      <c r="P621" s="147">
        <v>0</v>
      </c>
      <c r="Q621" s="147">
        <v>0</v>
      </c>
      <c r="R621" s="147">
        <v>0</v>
      </c>
      <c r="S621" s="147">
        <v>0</v>
      </c>
      <c r="T621" s="147">
        <v>0</v>
      </c>
      <c r="U621" s="147">
        <v>0</v>
      </c>
      <c r="V621" s="147">
        <v>0</v>
      </c>
      <c r="W621" s="147">
        <v>0</v>
      </c>
      <c r="X621" s="147">
        <v>0</v>
      </c>
      <c r="Y621" s="147">
        <v>0</v>
      </c>
      <c r="Z621" s="147">
        <v>0</v>
      </c>
      <c r="AA621" s="147">
        <v>0</v>
      </c>
      <c r="AB621" s="147">
        <v>0</v>
      </c>
      <c r="AC621" s="147">
        <v>0</v>
      </c>
      <c r="AD621" s="147">
        <v>0</v>
      </c>
      <c r="AE621" s="147">
        <v>0</v>
      </c>
      <c r="AF621" s="147">
        <v>0</v>
      </c>
      <c r="AG621" s="147">
        <v>0</v>
      </c>
      <c r="AH621" s="147">
        <v>0</v>
      </c>
      <c r="AI621" s="147">
        <v>0</v>
      </c>
      <c r="AJ621" s="147">
        <v>0</v>
      </c>
      <c r="AK621" s="147">
        <v>0</v>
      </c>
      <c r="AL621" s="147">
        <v>0</v>
      </c>
      <c r="AM621" s="147">
        <v>0</v>
      </c>
      <c r="AN621" s="147">
        <v>0</v>
      </c>
      <c r="AO621" s="147">
        <v>0</v>
      </c>
      <c r="AP621" s="147">
        <v>40011.014428705894</v>
      </c>
    </row>
    <row r="622" spans="2:42" ht="12.75" customHeight="1">
      <c r="B622" s="122" t="str">
        <v>Operação Geral</v>
      </c>
      <c r="C622" s="329" t="str">
        <v>6</v>
      </c>
      <c r="D622" s="329" t="str">
        <v>6.1.2</v>
      </c>
      <c r="E622" s="329">
        <v>1</v>
      </c>
      <c r="F622" s="329">
        <v>0</v>
      </c>
      <c r="G622" s="122" t="str">
        <v>Servidor de Backup</v>
      </c>
      <c r="H622" s="122" t="b">
        <v>0</v>
      </c>
      <c r="I622" s="122" t="b">
        <v>0</v>
      </c>
      <c r="J622" s="122" t="b">
        <v>0</v>
      </c>
      <c r="K622" s="122" t="b">
        <v>1</v>
      </c>
      <c r="L622" s="147">
        <v>40011.014428705894</v>
      </c>
      <c r="M622" s="147">
        <v>0</v>
      </c>
      <c r="N622" s="147">
        <v>0</v>
      </c>
      <c r="O622" s="147">
        <v>0</v>
      </c>
      <c r="P622" s="147">
        <v>0</v>
      </c>
      <c r="Q622" s="147">
        <v>0</v>
      </c>
      <c r="R622" s="147">
        <v>0</v>
      </c>
      <c r="S622" s="147">
        <v>0</v>
      </c>
      <c r="T622" s="147">
        <v>0</v>
      </c>
      <c r="U622" s="147">
        <v>0</v>
      </c>
      <c r="V622" s="147">
        <v>0</v>
      </c>
      <c r="W622" s="147">
        <v>0</v>
      </c>
      <c r="X622" s="147">
        <v>0</v>
      </c>
      <c r="Y622" s="147">
        <v>0</v>
      </c>
      <c r="Z622" s="147">
        <v>0</v>
      </c>
      <c r="AA622" s="147">
        <v>0</v>
      </c>
      <c r="AB622" s="147">
        <v>0</v>
      </c>
      <c r="AC622" s="147">
        <v>0</v>
      </c>
      <c r="AD622" s="147">
        <v>0</v>
      </c>
      <c r="AE622" s="147">
        <v>0</v>
      </c>
      <c r="AF622" s="147">
        <v>0</v>
      </c>
      <c r="AG622" s="147">
        <v>0</v>
      </c>
      <c r="AH622" s="147">
        <v>0</v>
      </c>
      <c r="AI622" s="147">
        <v>0</v>
      </c>
      <c r="AJ622" s="147">
        <v>0</v>
      </c>
      <c r="AK622" s="147">
        <v>0</v>
      </c>
      <c r="AL622" s="147">
        <v>0</v>
      </c>
      <c r="AM622" s="147">
        <v>0</v>
      </c>
      <c r="AN622" s="147">
        <v>0</v>
      </c>
      <c r="AO622" s="147">
        <v>0</v>
      </c>
      <c r="AP622" s="147">
        <v>40011.014428705894</v>
      </c>
    </row>
    <row r="623" spans="2:42" ht="12.75" customHeight="1">
      <c r="B623" s="122" t="str">
        <v>Operação Geral</v>
      </c>
      <c r="C623" s="329" t="str">
        <v>6</v>
      </c>
      <c r="D623" s="329" t="str">
        <v>6.1.2</v>
      </c>
      <c r="E623" s="329">
        <v>1</v>
      </c>
      <c r="F623" s="329">
        <v>0</v>
      </c>
      <c r="G623" s="122" t="str">
        <v>Unidade de Fita para Backup</v>
      </c>
      <c r="H623" s="122" t="b">
        <v>0</v>
      </c>
      <c r="I623" s="122" t="b">
        <v>0</v>
      </c>
      <c r="J623" s="122" t="b">
        <v>0</v>
      </c>
      <c r="K623" s="122" t="b">
        <v>1</v>
      </c>
      <c r="L623" s="147">
        <v>77232.023647403345</v>
      </c>
      <c r="M623" s="147">
        <v>0</v>
      </c>
      <c r="N623" s="147">
        <v>0</v>
      </c>
      <c r="O623" s="147">
        <v>0</v>
      </c>
      <c r="P623" s="147">
        <v>0</v>
      </c>
      <c r="Q623" s="147">
        <v>0</v>
      </c>
      <c r="R623" s="147">
        <v>0</v>
      </c>
      <c r="S623" s="147">
        <v>0</v>
      </c>
      <c r="T623" s="147">
        <v>0</v>
      </c>
      <c r="U623" s="147">
        <v>0</v>
      </c>
      <c r="V623" s="147">
        <v>0</v>
      </c>
      <c r="W623" s="147">
        <v>0</v>
      </c>
      <c r="X623" s="147">
        <v>0</v>
      </c>
      <c r="Y623" s="147">
        <v>0</v>
      </c>
      <c r="Z623" s="147">
        <v>0</v>
      </c>
      <c r="AA623" s="147">
        <v>0</v>
      </c>
      <c r="AB623" s="147">
        <v>0</v>
      </c>
      <c r="AC623" s="147">
        <v>0</v>
      </c>
      <c r="AD623" s="147">
        <v>0</v>
      </c>
      <c r="AE623" s="147">
        <v>0</v>
      </c>
      <c r="AF623" s="147">
        <v>0</v>
      </c>
      <c r="AG623" s="147">
        <v>0</v>
      </c>
      <c r="AH623" s="147">
        <v>0</v>
      </c>
      <c r="AI623" s="147">
        <v>0</v>
      </c>
      <c r="AJ623" s="147">
        <v>0</v>
      </c>
      <c r="AK623" s="147">
        <v>0</v>
      </c>
      <c r="AL623" s="147">
        <v>0</v>
      </c>
      <c r="AM623" s="147">
        <v>0</v>
      </c>
      <c r="AN623" s="147">
        <v>0</v>
      </c>
      <c r="AO623" s="147">
        <v>0</v>
      </c>
      <c r="AP623" s="147">
        <v>77232.023647403345</v>
      </c>
    </row>
    <row r="624" spans="2:42" ht="12.75" customHeight="1">
      <c r="B624" s="122" t="str">
        <v>Operação Geral</v>
      </c>
      <c r="C624" s="329" t="str">
        <v>6</v>
      </c>
      <c r="D624" s="329" t="str">
        <v>6.1.2</v>
      </c>
      <c r="E624" s="329">
        <v>1</v>
      </c>
      <c r="F624" s="329">
        <v>0</v>
      </c>
      <c r="G624" s="122" t="str">
        <v>Servidores</v>
      </c>
      <c r="H624" s="122" t="b">
        <v>0</v>
      </c>
      <c r="I624" s="122" t="b">
        <v>0</v>
      </c>
      <c r="J624" s="122" t="b">
        <v>0</v>
      </c>
      <c r="K624" s="122" t="b">
        <v>1</v>
      </c>
      <c r="L624" s="147">
        <v>622690.87113645859</v>
      </c>
      <c r="M624" s="147">
        <v>0</v>
      </c>
      <c r="N624" s="147">
        <v>0</v>
      </c>
      <c r="O624" s="147">
        <v>0</v>
      </c>
      <c r="P624" s="147">
        <v>0</v>
      </c>
      <c r="Q624" s="147">
        <v>0</v>
      </c>
      <c r="R624" s="147">
        <v>0</v>
      </c>
      <c r="S624" s="147">
        <v>0</v>
      </c>
      <c r="T624" s="147">
        <v>0</v>
      </c>
      <c r="U624" s="147">
        <v>0</v>
      </c>
      <c r="V624" s="147">
        <v>0</v>
      </c>
      <c r="W624" s="147">
        <v>0</v>
      </c>
      <c r="X624" s="147">
        <v>0</v>
      </c>
      <c r="Y624" s="147">
        <v>0</v>
      </c>
      <c r="Z624" s="147">
        <v>0</v>
      </c>
      <c r="AA624" s="147">
        <v>0</v>
      </c>
      <c r="AB624" s="147">
        <v>0</v>
      </c>
      <c r="AC624" s="147">
        <v>0</v>
      </c>
      <c r="AD624" s="147">
        <v>0</v>
      </c>
      <c r="AE624" s="147">
        <v>0</v>
      </c>
      <c r="AF624" s="147">
        <v>0</v>
      </c>
      <c r="AG624" s="147">
        <v>0</v>
      </c>
      <c r="AH624" s="147">
        <v>0</v>
      </c>
      <c r="AI624" s="147">
        <v>0</v>
      </c>
      <c r="AJ624" s="147">
        <v>0</v>
      </c>
      <c r="AK624" s="147">
        <v>0</v>
      </c>
      <c r="AL624" s="147">
        <v>0</v>
      </c>
      <c r="AM624" s="147">
        <v>0</v>
      </c>
      <c r="AN624" s="147">
        <v>0</v>
      </c>
      <c r="AO624" s="147">
        <v>0</v>
      </c>
      <c r="AP624" s="147">
        <v>622690.87113645859</v>
      </c>
    </row>
    <row r="625" spans="2:42" ht="12.75" customHeight="1">
      <c r="B625" s="122" t="str">
        <v>Operação Geral</v>
      </c>
      <c r="C625" s="329" t="str">
        <v>6</v>
      </c>
      <c r="D625" s="329" t="str">
        <v>6.1.2</v>
      </c>
      <c r="E625" s="329">
        <v>1</v>
      </c>
      <c r="F625" s="329">
        <v>0</v>
      </c>
      <c r="G625" s="122" t="str">
        <v>Rack</v>
      </c>
      <c r="H625" s="122" t="b">
        <v>0</v>
      </c>
      <c r="I625" s="122" t="b">
        <v>0</v>
      </c>
      <c r="J625" s="122" t="b">
        <v>0</v>
      </c>
      <c r="K625" s="122" t="b">
        <v>1</v>
      </c>
      <c r="L625" s="147">
        <v>9026.5168649279003</v>
      </c>
      <c r="M625" s="147">
        <v>0</v>
      </c>
      <c r="N625" s="147">
        <v>0</v>
      </c>
      <c r="O625" s="147">
        <v>0</v>
      </c>
      <c r="P625" s="147">
        <v>0</v>
      </c>
      <c r="Q625" s="147">
        <v>0</v>
      </c>
      <c r="R625" s="147">
        <v>0</v>
      </c>
      <c r="S625" s="147">
        <v>0</v>
      </c>
      <c r="T625" s="147">
        <v>0</v>
      </c>
      <c r="U625" s="147">
        <v>0</v>
      </c>
      <c r="V625" s="147">
        <v>0</v>
      </c>
      <c r="W625" s="147">
        <v>0</v>
      </c>
      <c r="X625" s="147">
        <v>0</v>
      </c>
      <c r="Y625" s="147">
        <v>0</v>
      </c>
      <c r="Z625" s="147">
        <v>0</v>
      </c>
      <c r="AA625" s="147">
        <v>0</v>
      </c>
      <c r="AB625" s="147">
        <v>0</v>
      </c>
      <c r="AC625" s="147">
        <v>0</v>
      </c>
      <c r="AD625" s="147">
        <v>0</v>
      </c>
      <c r="AE625" s="147">
        <v>0</v>
      </c>
      <c r="AF625" s="147">
        <v>0</v>
      </c>
      <c r="AG625" s="147">
        <v>0</v>
      </c>
      <c r="AH625" s="147">
        <v>0</v>
      </c>
      <c r="AI625" s="147">
        <v>0</v>
      </c>
      <c r="AJ625" s="147">
        <v>0</v>
      </c>
      <c r="AK625" s="147">
        <v>0</v>
      </c>
      <c r="AL625" s="147">
        <v>0</v>
      </c>
      <c r="AM625" s="147">
        <v>0</v>
      </c>
      <c r="AN625" s="147">
        <v>0</v>
      </c>
      <c r="AO625" s="147">
        <v>0</v>
      </c>
      <c r="AP625" s="147">
        <v>9026.5168649279003</v>
      </c>
    </row>
    <row r="626" spans="2:42" ht="12.75" customHeight="1">
      <c r="B626" s="122" t="str">
        <v>Operação Geral</v>
      </c>
      <c r="C626" s="329" t="str">
        <v>6</v>
      </c>
      <c r="D626" s="329" t="str">
        <v>6.1.2</v>
      </c>
      <c r="E626" s="329">
        <v>1</v>
      </c>
      <c r="F626" s="329">
        <v>0</v>
      </c>
      <c r="G626" s="122" t="str">
        <v>Nobreak</v>
      </c>
      <c r="H626" s="122" t="b">
        <v>0</v>
      </c>
      <c r="I626" s="122" t="b">
        <v>0</v>
      </c>
      <c r="J626" s="122" t="b">
        <v>0</v>
      </c>
      <c r="K626" s="122" t="b">
        <v>1</v>
      </c>
      <c r="L626" s="147">
        <v>43832.81090988779</v>
      </c>
      <c r="M626" s="147">
        <v>0</v>
      </c>
      <c r="N626" s="147">
        <v>0</v>
      </c>
      <c r="O626" s="147">
        <v>0</v>
      </c>
      <c r="P626" s="147">
        <v>0</v>
      </c>
      <c r="Q626" s="147">
        <v>0</v>
      </c>
      <c r="R626" s="147">
        <v>0</v>
      </c>
      <c r="S626" s="147">
        <v>0</v>
      </c>
      <c r="T626" s="147">
        <v>0</v>
      </c>
      <c r="U626" s="147">
        <v>0</v>
      </c>
      <c r="V626" s="147">
        <v>0</v>
      </c>
      <c r="W626" s="147">
        <v>0</v>
      </c>
      <c r="X626" s="147">
        <v>0</v>
      </c>
      <c r="Y626" s="147">
        <v>0</v>
      </c>
      <c r="Z626" s="147">
        <v>0</v>
      </c>
      <c r="AA626" s="147">
        <v>0</v>
      </c>
      <c r="AB626" s="147">
        <v>0</v>
      </c>
      <c r="AC626" s="147">
        <v>0</v>
      </c>
      <c r="AD626" s="147">
        <v>0</v>
      </c>
      <c r="AE626" s="147">
        <v>0</v>
      </c>
      <c r="AF626" s="147">
        <v>0</v>
      </c>
      <c r="AG626" s="147">
        <v>0</v>
      </c>
      <c r="AH626" s="147">
        <v>0</v>
      </c>
      <c r="AI626" s="147">
        <v>0</v>
      </c>
      <c r="AJ626" s="147">
        <v>0</v>
      </c>
      <c r="AK626" s="147">
        <v>0</v>
      </c>
      <c r="AL626" s="147">
        <v>0</v>
      </c>
      <c r="AM626" s="147">
        <v>0</v>
      </c>
      <c r="AN626" s="147">
        <v>0</v>
      </c>
      <c r="AO626" s="147">
        <v>0</v>
      </c>
      <c r="AP626" s="147">
        <v>43832.81090988779</v>
      </c>
    </row>
    <row r="627" spans="2:42" ht="12.75" customHeight="1">
      <c r="B627" s="122" t="str">
        <v>Operação Geral</v>
      </c>
      <c r="C627" s="329" t="str">
        <v>6</v>
      </c>
      <c r="D627" s="329" t="str">
        <v>6.1.2</v>
      </c>
      <c r="E627" s="329">
        <v>0</v>
      </c>
      <c r="F627" s="329">
        <v>0</v>
      </c>
      <c r="G627" s="122" t="str">
        <v>Computador e Periféricos</v>
      </c>
      <c r="H627" s="122" t="b">
        <v>0</v>
      </c>
      <c r="I627" s="122" t="b">
        <v>0</v>
      </c>
      <c r="J627" s="122" t="b">
        <v>0</v>
      </c>
      <c r="K627" s="122" t="b">
        <v>1</v>
      </c>
      <c r="L627" s="147">
        <v>756372.22162563179</v>
      </c>
      <c r="M627" s="147">
        <v>0</v>
      </c>
      <c r="N627" s="147">
        <v>0</v>
      </c>
      <c r="O627" s="147">
        <v>0</v>
      </c>
      <c r="P627" s="147">
        <v>0</v>
      </c>
      <c r="Q627" s="147">
        <v>0</v>
      </c>
      <c r="R627" s="147">
        <v>56445.688181017293</v>
      </c>
      <c r="S627" s="147">
        <v>0</v>
      </c>
      <c r="T627" s="147">
        <v>0</v>
      </c>
      <c r="U627" s="147">
        <v>0</v>
      </c>
      <c r="V627" s="147">
        <v>0</v>
      </c>
      <c r="W627" s="147">
        <v>0</v>
      </c>
      <c r="X627" s="147">
        <v>0</v>
      </c>
      <c r="Y627" s="147">
        <v>0</v>
      </c>
      <c r="Z627" s="147">
        <v>0</v>
      </c>
      <c r="AA627" s="147">
        <v>0</v>
      </c>
      <c r="AB627" s="147">
        <v>0</v>
      </c>
      <c r="AC627" s="147">
        <v>0</v>
      </c>
      <c r="AD627" s="147">
        <v>0</v>
      </c>
      <c r="AE627" s="147">
        <v>0</v>
      </c>
      <c r="AF627" s="147">
        <v>0</v>
      </c>
      <c r="AG627" s="147">
        <v>0</v>
      </c>
      <c r="AH627" s="147">
        <v>0</v>
      </c>
      <c r="AI627" s="147">
        <v>0</v>
      </c>
      <c r="AJ627" s="147">
        <v>0</v>
      </c>
      <c r="AK627" s="147">
        <v>0</v>
      </c>
      <c r="AL627" s="147">
        <v>0</v>
      </c>
      <c r="AM627" s="147">
        <v>0</v>
      </c>
      <c r="AN627" s="147">
        <v>0</v>
      </c>
      <c r="AO627" s="147">
        <v>0</v>
      </c>
      <c r="AP627" s="147">
        <v>812817.90980664908</v>
      </c>
    </row>
    <row r="628" spans="2:42" ht="12.75" customHeight="1">
      <c r="B628" s="122" t="str">
        <v>Operação Geral</v>
      </c>
      <c r="C628" s="329" t="str">
        <v>6</v>
      </c>
      <c r="D628" s="329" t="str">
        <v>6.1.2</v>
      </c>
      <c r="E628" s="329">
        <v>0</v>
      </c>
      <c r="F628" s="329">
        <v>0</v>
      </c>
      <c r="G628" s="122" t="str">
        <v>Impressora Multifuncional - A4</v>
      </c>
      <c r="H628" s="122" t="b">
        <v>0</v>
      </c>
      <c r="I628" s="122" t="b">
        <v>0</v>
      </c>
      <c r="J628" s="122" t="b">
        <v>0</v>
      </c>
      <c r="K628" s="122" t="b">
        <v>1</v>
      </c>
      <c r="L628" s="147">
        <v>19159.479527055224</v>
      </c>
      <c r="M628" s="147">
        <v>0</v>
      </c>
      <c r="N628" s="147">
        <v>0</v>
      </c>
      <c r="O628" s="147">
        <v>0</v>
      </c>
      <c r="P628" s="147">
        <v>0</v>
      </c>
      <c r="Q628" s="147">
        <v>0</v>
      </c>
      <c r="R628" s="147">
        <v>0</v>
      </c>
      <c r="S628" s="147">
        <v>0</v>
      </c>
      <c r="T628" s="147">
        <v>0</v>
      </c>
      <c r="U628" s="147">
        <v>0</v>
      </c>
      <c r="V628" s="147">
        <v>0</v>
      </c>
      <c r="W628" s="147">
        <v>0</v>
      </c>
      <c r="X628" s="147">
        <v>0</v>
      </c>
      <c r="Y628" s="147">
        <v>0</v>
      </c>
      <c r="Z628" s="147">
        <v>0</v>
      </c>
      <c r="AA628" s="147">
        <v>0</v>
      </c>
      <c r="AB628" s="147">
        <v>0</v>
      </c>
      <c r="AC628" s="147">
        <v>0</v>
      </c>
      <c r="AD628" s="147">
        <v>0</v>
      </c>
      <c r="AE628" s="147">
        <v>0</v>
      </c>
      <c r="AF628" s="147">
        <v>0</v>
      </c>
      <c r="AG628" s="147">
        <v>0</v>
      </c>
      <c r="AH628" s="147">
        <v>0</v>
      </c>
      <c r="AI628" s="147">
        <v>0</v>
      </c>
      <c r="AJ628" s="147">
        <v>0</v>
      </c>
      <c r="AK628" s="147">
        <v>0</v>
      </c>
      <c r="AL628" s="147">
        <v>0</v>
      </c>
      <c r="AM628" s="147">
        <v>0</v>
      </c>
      <c r="AN628" s="147">
        <v>0</v>
      </c>
      <c r="AO628" s="147">
        <v>0</v>
      </c>
      <c r="AP628" s="147">
        <v>19159.479527055224</v>
      </c>
    </row>
    <row r="629" spans="2:42" ht="12.75" customHeight="1">
      <c r="B629" s="122" t="str">
        <v>Operação Geral</v>
      </c>
      <c r="C629" s="329" t="str">
        <v>6</v>
      </c>
      <c r="D629" s="329" t="str">
        <v>6.1.2</v>
      </c>
      <c r="E629" s="329">
        <v>0</v>
      </c>
      <c r="F629" s="329">
        <v>0</v>
      </c>
      <c r="G629" s="122" t="str">
        <v>Impressora A3</v>
      </c>
      <c r="H629" s="122" t="b">
        <v>0</v>
      </c>
      <c r="I629" s="122" t="b">
        <v>0</v>
      </c>
      <c r="J629" s="122" t="b">
        <v>0</v>
      </c>
      <c r="K629" s="122" t="b">
        <v>1</v>
      </c>
      <c r="L629" s="147">
        <v>22355.062067046878</v>
      </c>
      <c r="M629" s="147">
        <v>0</v>
      </c>
      <c r="N629" s="147">
        <v>0</v>
      </c>
      <c r="O629" s="147">
        <v>0</v>
      </c>
      <c r="P629" s="147">
        <v>0</v>
      </c>
      <c r="Q629" s="147">
        <v>0</v>
      </c>
      <c r="R629" s="147">
        <v>0</v>
      </c>
      <c r="S629" s="147">
        <v>0</v>
      </c>
      <c r="T629" s="147">
        <v>0</v>
      </c>
      <c r="U629" s="147">
        <v>0</v>
      </c>
      <c r="V629" s="147">
        <v>0</v>
      </c>
      <c r="W629" s="147">
        <v>0</v>
      </c>
      <c r="X629" s="147">
        <v>0</v>
      </c>
      <c r="Y629" s="147">
        <v>0</v>
      </c>
      <c r="Z629" s="147">
        <v>0</v>
      </c>
      <c r="AA629" s="147">
        <v>0</v>
      </c>
      <c r="AB629" s="147">
        <v>0</v>
      </c>
      <c r="AC629" s="147">
        <v>0</v>
      </c>
      <c r="AD629" s="147">
        <v>0</v>
      </c>
      <c r="AE629" s="147">
        <v>0</v>
      </c>
      <c r="AF629" s="147">
        <v>0</v>
      </c>
      <c r="AG629" s="147">
        <v>0</v>
      </c>
      <c r="AH629" s="147">
        <v>0</v>
      </c>
      <c r="AI629" s="147">
        <v>0</v>
      </c>
      <c r="AJ629" s="147">
        <v>0</v>
      </c>
      <c r="AK629" s="147">
        <v>0</v>
      </c>
      <c r="AL629" s="147">
        <v>0</v>
      </c>
      <c r="AM629" s="147">
        <v>0</v>
      </c>
      <c r="AN629" s="147">
        <v>0</v>
      </c>
      <c r="AO629" s="147">
        <v>0</v>
      </c>
      <c r="AP629" s="147">
        <v>22355.062067046878</v>
      </c>
    </row>
    <row r="630" spans="2:42" ht="12.75" customHeight="1">
      <c r="B630" s="122" t="str">
        <v>Operação Geral</v>
      </c>
      <c r="C630" s="329" t="str">
        <v>6</v>
      </c>
      <c r="D630" s="329" t="str">
        <v>6.1.2</v>
      </c>
      <c r="E630" s="329">
        <v>0</v>
      </c>
      <c r="F630" s="329">
        <v>0</v>
      </c>
      <c r="G630" s="122" t="str">
        <v>Banco de Dados</v>
      </c>
      <c r="H630" s="122" t="b">
        <v>0</v>
      </c>
      <c r="I630" s="122" t="b">
        <v>0</v>
      </c>
      <c r="J630" s="122" t="b">
        <v>0</v>
      </c>
      <c r="K630" s="122" t="b">
        <v>1</v>
      </c>
      <c r="L630" s="147">
        <v>36337.033430704316</v>
      </c>
      <c r="M630" s="147">
        <v>0</v>
      </c>
      <c r="N630" s="147">
        <v>0</v>
      </c>
      <c r="O630" s="147">
        <v>0</v>
      </c>
      <c r="P630" s="147">
        <v>0</v>
      </c>
      <c r="Q630" s="147">
        <v>0</v>
      </c>
      <c r="R630" s="147">
        <v>0</v>
      </c>
      <c r="S630" s="147">
        <v>0</v>
      </c>
      <c r="T630" s="147">
        <v>0</v>
      </c>
      <c r="U630" s="147">
        <v>0</v>
      </c>
      <c r="V630" s="147">
        <v>0</v>
      </c>
      <c r="W630" s="147">
        <v>0</v>
      </c>
      <c r="X630" s="147">
        <v>0</v>
      </c>
      <c r="Y630" s="147">
        <v>0</v>
      </c>
      <c r="Z630" s="147">
        <v>0</v>
      </c>
      <c r="AA630" s="147">
        <v>0</v>
      </c>
      <c r="AB630" s="147">
        <v>0</v>
      </c>
      <c r="AC630" s="147">
        <v>0</v>
      </c>
      <c r="AD630" s="147">
        <v>0</v>
      </c>
      <c r="AE630" s="147">
        <v>0</v>
      </c>
      <c r="AF630" s="147">
        <v>0</v>
      </c>
      <c r="AG630" s="147">
        <v>0</v>
      </c>
      <c r="AH630" s="147">
        <v>0</v>
      </c>
      <c r="AI630" s="147">
        <v>0</v>
      </c>
      <c r="AJ630" s="147">
        <v>0</v>
      </c>
      <c r="AK630" s="147">
        <v>0</v>
      </c>
      <c r="AL630" s="147">
        <v>0</v>
      </c>
      <c r="AM630" s="147">
        <v>0</v>
      </c>
      <c r="AN630" s="147">
        <v>0</v>
      </c>
      <c r="AO630" s="147">
        <v>0</v>
      </c>
      <c r="AP630" s="147">
        <v>36337.033430704316</v>
      </c>
    </row>
    <row r="631" spans="2:42" ht="12.75" customHeight="1">
      <c r="B631" s="122" t="str">
        <v>Operação Geral</v>
      </c>
      <c r="C631" s="329" t="str">
        <v>6</v>
      </c>
      <c r="D631" s="329" t="str">
        <v>6.1.2</v>
      </c>
      <c r="E631" s="329">
        <v>0</v>
      </c>
      <c r="F631" s="329">
        <v>0</v>
      </c>
      <c r="G631" s="122" t="str">
        <v>ERP</v>
      </c>
      <c r="H631" s="122" t="b">
        <v>0</v>
      </c>
      <c r="I631" s="122" t="b">
        <v>0</v>
      </c>
      <c r="J631" s="122" t="b">
        <v>0</v>
      </c>
      <c r="K631" s="122" t="b">
        <v>1</v>
      </c>
      <c r="L631" s="147">
        <v>0</v>
      </c>
      <c r="M631" s="147">
        <v>0</v>
      </c>
      <c r="N631" s="147">
        <v>0</v>
      </c>
      <c r="O631" s="147">
        <v>0</v>
      </c>
      <c r="P631" s="147">
        <v>0</v>
      </c>
      <c r="Q631" s="147">
        <v>0</v>
      </c>
      <c r="R631" s="147">
        <v>0</v>
      </c>
      <c r="S631" s="147">
        <v>0</v>
      </c>
      <c r="T631" s="147">
        <v>0</v>
      </c>
      <c r="U631" s="147">
        <v>0</v>
      </c>
      <c r="V631" s="147">
        <v>0</v>
      </c>
      <c r="W631" s="147">
        <v>0</v>
      </c>
      <c r="X631" s="147">
        <v>0</v>
      </c>
      <c r="Y631" s="147">
        <v>0</v>
      </c>
      <c r="Z631" s="147">
        <v>0</v>
      </c>
      <c r="AA631" s="147">
        <v>0</v>
      </c>
      <c r="AB631" s="147">
        <v>0</v>
      </c>
      <c r="AC631" s="147">
        <v>0</v>
      </c>
      <c r="AD631" s="147">
        <v>0</v>
      </c>
      <c r="AE631" s="147">
        <v>0</v>
      </c>
      <c r="AF631" s="147">
        <v>0</v>
      </c>
      <c r="AG631" s="147">
        <v>0</v>
      </c>
      <c r="AH631" s="147">
        <v>0</v>
      </c>
      <c r="AI631" s="147">
        <v>0</v>
      </c>
      <c r="AJ631" s="147">
        <v>0</v>
      </c>
      <c r="AK631" s="147">
        <v>0</v>
      </c>
      <c r="AL631" s="147">
        <v>0</v>
      </c>
      <c r="AM631" s="147">
        <v>0</v>
      </c>
      <c r="AN631" s="147">
        <v>0</v>
      </c>
      <c r="AO631" s="147">
        <v>0</v>
      </c>
      <c r="AP631" s="147">
        <v>0</v>
      </c>
    </row>
    <row r="632" spans="2:42" ht="12.75" customHeight="1">
      <c r="B632" s="122" t="str">
        <v>Operação Geral</v>
      </c>
      <c r="C632" s="329" t="str">
        <v>6</v>
      </c>
      <c r="D632" s="329" t="str">
        <v>6.1.2</v>
      </c>
      <c r="E632" s="329">
        <v>0</v>
      </c>
      <c r="F632" s="329">
        <v>0</v>
      </c>
      <c r="G632" s="122" t="str">
        <v>Backup</v>
      </c>
      <c r="H632" s="122" t="b">
        <v>0</v>
      </c>
      <c r="I632" s="122" t="b">
        <v>0</v>
      </c>
      <c r="J632" s="122" t="b">
        <v>0</v>
      </c>
      <c r="K632" s="122" t="b">
        <v>1</v>
      </c>
      <c r="L632" s="147">
        <v>19466.267909305883</v>
      </c>
      <c r="M632" s="147">
        <v>0</v>
      </c>
      <c r="N632" s="147">
        <v>0</v>
      </c>
      <c r="O632" s="147">
        <v>0</v>
      </c>
      <c r="P632" s="147">
        <v>0</v>
      </c>
      <c r="Q632" s="147">
        <v>0</v>
      </c>
      <c r="R632" s="147">
        <v>0</v>
      </c>
      <c r="S632" s="147">
        <v>0</v>
      </c>
      <c r="T632" s="147">
        <v>0</v>
      </c>
      <c r="U632" s="147">
        <v>0</v>
      </c>
      <c r="V632" s="147">
        <v>0</v>
      </c>
      <c r="W632" s="147">
        <v>0</v>
      </c>
      <c r="X632" s="147">
        <v>0</v>
      </c>
      <c r="Y632" s="147">
        <v>0</v>
      </c>
      <c r="Z632" s="147">
        <v>0</v>
      </c>
      <c r="AA632" s="147">
        <v>0</v>
      </c>
      <c r="AB632" s="147">
        <v>0</v>
      </c>
      <c r="AC632" s="147">
        <v>0</v>
      </c>
      <c r="AD632" s="147">
        <v>0</v>
      </c>
      <c r="AE632" s="147">
        <v>0</v>
      </c>
      <c r="AF632" s="147">
        <v>0</v>
      </c>
      <c r="AG632" s="147">
        <v>0</v>
      </c>
      <c r="AH632" s="147">
        <v>0</v>
      </c>
      <c r="AI632" s="147">
        <v>0</v>
      </c>
      <c r="AJ632" s="147">
        <v>0</v>
      </c>
      <c r="AK632" s="147">
        <v>0</v>
      </c>
      <c r="AL632" s="147">
        <v>0</v>
      </c>
      <c r="AM632" s="147">
        <v>0</v>
      </c>
      <c r="AN632" s="147">
        <v>0</v>
      </c>
      <c r="AO632" s="147">
        <v>0</v>
      </c>
      <c r="AP632" s="147">
        <v>19466.267909305883</v>
      </c>
    </row>
    <row r="633" spans="2:42" ht="12.75" customHeight="1">
      <c r="B633" s="122" t="str">
        <v>Operação Geral</v>
      </c>
      <c r="C633" s="329" t="str">
        <v>6</v>
      </c>
      <c r="D633" s="329" t="str">
        <v>6.1.2</v>
      </c>
      <c r="E633" s="329">
        <v>0</v>
      </c>
      <c r="F633" s="329">
        <v>0</v>
      </c>
      <c r="G633" s="122" t="str">
        <v>Implantação Sistema da Qualidade</v>
      </c>
      <c r="H633" s="122" t="b">
        <v>0</v>
      </c>
      <c r="I633" s="122" t="b">
        <v>0</v>
      </c>
      <c r="J633" s="122" t="b">
        <v>0</v>
      </c>
      <c r="K633" s="122" t="b">
        <v>1</v>
      </c>
      <c r="L633" s="147">
        <v>0</v>
      </c>
      <c r="M633" s="147">
        <v>0</v>
      </c>
      <c r="N633" s="147">
        <v>0</v>
      </c>
      <c r="O633" s="147">
        <v>0</v>
      </c>
      <c r="P633" s="147">
        <v>0</v>
      </c>
      <c r="Q633" s="147">
        <v>0</v>
      </c>
      <c r="R633" s="147">
        <v>0</v>
      </c>
      <c r="S633" s="147">
        <v>0</v>
      </c>
      <c r="T633" s="147">
        <v>0</v>
      </c>
      <c r="U633" s="147">
        <v>0</v>
      </c>
      <c r="V633" s="147">
        <v>0</v>
      </c>
      <c r="W633" s="147">
        <v>0</v>
      </c>
      <c r="X633" s="147">
        <v>0</v>
      </c>
      <c r="Y633" s="147">
        <v>0</v>
      </c>
      <c r="Z633" s="147">
        <v>0</v>
      </c>
      <c r="AA633" s="147">
        <v>0</v>
      </c>
      <c r="AB633" s="147">
        <v>0</v>
      </c>
      <c r="AC633" s="147">
        <v>0</v>
      </c>
      <c r="AD633" s="147">
        <v>0</v>
      </c>
      <c r="AE633" s="147">
        <v>0</v>
      </c>
      <c r="AF633" s="147">
        <v>0</v>
      </c>
      <c r="AG633" s="147">
        <v>0</v>
      </c>
      <c r="AH633" s="147">
        <v>0</v>
      </c>
      <c r="AI633" s="147">
        <v>0</v>
      </c>
      <c r="AJ633" s="147">
        <v>0</v>
      </c>
      <c r="AK633" s="147">
        <v>0</v>
      </c>
      <c r="AL633" s="147">
        <v>0</v>
      </c>
      <c r="AM633" s="147">
        <v>0</v>
      </c>
      <c r="AN633" s="147">
        <v>0</v>
      </c>
      <c r="AO633" s="147">
        <v>0</v>
      </c>
      <c r="AP633" s="147">
        <v>0</v>
      </c>
    </row>
    <row r="634" spans="2:42" ht="12.75" customHeight="1">
      <c r="B634" s="122" t="str">
        <v>Operação Geral</v>
      </c>
      <c r="C634" s="329" t="str">
        <v>6</v>
      </c>
      <c r="D634" s="329" t="str">
        <v>6.1.2</v>
      </c>
      <c r="E634" s="329">
        <v>0</v>
      </c>
      <c r="F634" s="329">
        <v>0</v>
      </c>
      <c r="G634" s="122" t="str">
        <v>Centro de Controle Operacional</v>
      </c>
      <c r="H634" s="122" t="b">
        <v>0</v>
      </c>
      <c r="I634" s="122" t="b">
        <v>0</v>
      </c>
      <c r="J634" s="122" t="b">
        <v>0</v>
      </c>
      <c r="K634" s="122" t="b">
        <v>1</v>
      </c>
      <c r="L634" s="147">
        <v>0</v>
      </c>
      <c r="M634" s="147">
        <v>0</v>
      </c>
      <c r="N634" s="147">
        <v>0</v>
      </c>
      <c r="O634" s="147">
        <v>0</v>
      </c>
      <c r="P634" s="147">
        <v>0</v>
      </c>
      <c r="Q634" s="147">
        <v>0</v>
      </c>
      <c r="R634" s="147">
        <v>0</v>
      </c>
      <c r="S634" s="147">
        <v>0</v>
      </c>
      <c r="T634" s="147">
        <v>0</v>
      </c>
      <c r="U634" s="147">
        <v>0</v>
      </c>
      <c r="V634" s="147">
        <v>0</v>
      </c>
      <c r="W634" s="147">
        <v>0</v>
      </c>
      <c r="X634" s="147">
        <v>0</v>
      </c>
      <c r="Y634" s="147">
        <v>0</v>
      </c>
      <c r="Z634" s="147">
        <v>0</v>
      </c>
      <c r="AA634" s="147">
        <v>0</v>
      </c>
      <c r="AB634" s="147">
        <v>0</v>
      </c>
      <c r="AC634" s="147">
        <v>0</v>
      </c>
      <c r="AD634" s="147">
        <v>0</v>
      </c>
      <c r="AE634" s="147">
        <v>0</v>
      </c>
      <c r="AF634" s="147">
        <v>0</v>
      </c>
      <c r="AG634" s="147">
        <v>0</v>
      </c>
      <c r="AH634" s="147">
        <v>0</v>
      </c>
      <c r="AI634" s="147">
        <v>0</v>
      </c>
      <c r="AJ634" s="147">
        <v>0</v>
      </c>
      <c r="AK634" s="147">
        <v>0</v>
      </c>
      <c r="AL634" s="147">
        <v>0</v>
      </c>
      <c r="AM634" s="147">
        <v>0</v>
      </c>
      <c r="AN634" s="147">
        <v>0</v>
      </c>
      <c r="AO634" s="147">
        <v>0</v>
      </c>
      <c r="AP634" s="147">
        <v>0</v>
      </c>
    </row>
    <row r="635" spans="2:42" ht="12.75" customHeight="1">
      <c r="B635" s="122" t="str">
        <v>Operação Geral</v>
      </c>
      <c r="C635" s="329" t="str">
        <v>6</v>
      </c>
      <c r="D635" s="329" t="str">
        <v>6.1.2</v>
      </c>
      <c r="E635" s="329">
        <v>0</v>
      </c>
      <c r="F635" s="329">
        <v>0</v>
      </c>
      <c r="G635" s="122" t="str">
        <v>Tecnologia da Informação</v>
      </c>
      <c r="H635" s="122" t="b">
        <v>0</v>
      </c>
      <c r="I635" s="122" t="b">
        <v>0</v>
      </c>
      <c r="J635" s="122" t="b">
        <v>0</v>
      </c>
      <c r="K635" s="122" t="b">
        <v>1</v>
      </c>
      <c r="L635" s="147">
        <v>0</v>
      </c>
      <c r="M635" s="147">
        <v>0</v>
      </c>
      <c r="N635" s="147">
        <v>0</v>
      </c>
      <c r="O635" s="147">
        <v>0</v>
      </c>
      <c r="P635" s="147">
        <v>0</v>
      </c>
      <c r="Q635" s="147">
        <v>0</v>
      </c>
      <c r="R635" s="147">
        <v>0</v>
      </c>
      <c r="S635" s="147">
        <v>0</v>
      </c>
      <c r="T635" s="147">
        <v>0</v>
      </c>
      <c r="U635" s="147">
        <v>0</v>
      </c>
      <c r="V635" s="147">
        <v>0</v>
      </c>
      <c r="W635" s="147">
        <v>0</v>
      </c>
      <c r="X635" s="147">
        <v>0</v>
      </c>
      <c r="Y635" s="147">
        <v>0</v>
      </c>
      <c r="Z635" s="147">
        <v>0</v>
      </c>
      <c r="AA635" s="147">
        <v>0</v>
      </c>
      <c r="AB635" s="147">
        <v>0</v>
      </c>
      <c r="AC635" s="147">
        <v>0</v>
      </c>
      <c r="AD635" s="147">
        <v>0</v>
      </c>
      <c r="AE635" s="147">
        <v>0</v>
      </c>
      <c r="AF635" s="147">
        <v>0</v>
      </c>
      <c r="AG635" s="147">
        <v>0</v>
      </c>
      <c r="AH635" s="147">
        <v>0</v>
      </c>
      <c r="AI635" s="147">
        <v>0</v>
      </c>
      <c r="AJ635" s="147">
        <v>0</v>
      </c>
      <c r="AK635" s="147">
        <v>0</v>
      </c>
      <c r="AL635" s="147">
        <v>0</v>
      </c>
      <c r="AM635" s="147">
        <v>0</v>
      </c>
      <c r="AN635" s="147">
        <v>0</v>
      </c>
      <c r="AO635" s="147">
        <v>0</v>
      </c>
      <c r="AP635" s="147">
        <v>0</v>
      </c>
    </row>
    <row r="636" spans="2:42" ht="12.75" customHeight="1">
      <c r="B636" s="122" t="str">
        <v>Operação Geral</v>
      </c>
      <c r="C636" s="329" t="str">
        <v>6</v>
      </c>
      <c r="D636" s="329" t="str">
        <v>6.1.2</v>
      </c>
      <c r="E636" s="329">
        <v>1</v>
      </c>
      <c r="F636" s="329">
        <v>0</v>
      </c>
      <c r="G636" s="122" t="str">
        <v>Video Wall 49"</v>
      </c>
      <c r="H636" s="122" t="b">
        <v>0</v>
      </c>
      <c r="I636" s="122" t="b">
        <v>0</v>
      </c>
      <c r="J636" s="122" t="b">
        <v>0</v>
      </c>
      <c r="K636" s="122" t="b">
        <v>1</v>
      </c>
      <c r="L636" s="147">
        <v>1721606.7217861963</v>
      </c>
      <c r="M636" s="147">
        <v>0</v>
      </c>
      <c r="N636" s="147">
        <v>0</v>
      </c>
      <c r="O636" s="147">
        <v>0</v>
      </c>
      <c r="P636" s="147">
        <v>0</v>
      </c>
      <c r="Q636" s="147">
        <v>0</v>
      </c>
      <c r="R636" s="147">
        <v>0</v>
      </c>
      <c r="S636" s="147">
        <v>0</v>
      </c>
      <c r="T636" s="147">
        <v>0</v>
      </c>
      <c r="U636" s="147">
        <v>0</v>
      </c>
      <c r="V636" s="147">
        <v>0</v>
      </c>
      <c r="W636" s="147">
        <v>0</v>
      </c>
      <c r="X636" s="147">
        <v>0</v>
      </c>
      <c r="Y636" s="147">
        <v>0</v>
      </c>
      <c r="Z636" s="147">
        <v>0</v>
      </c>
      <c r="AA636" s="147">
        <v>0</v>
      </c>
      <c r="AB636" s="147">
        <v>0</v>
      </c>
      <c r="AC636" s="147">
        <v>0</v>
      </c>
      <c r="AD636" s="147">
        <v>0</v>
      </c>
      <c r="AE636" s="147">
        <v>0</v>
      </c>
      <c r="AF636" s="147">
        <v>0</v>
      </c>
      <c r="AG636" s="147">
        <v>0</v>
      </c>
      <c r="AH636" s="147">
        <v>0</v>
      </c>
      <c r="AI636" s="147">
        <v>0</v>
      </c>
      <c r="AJ636" s="147">
        <v>0</v>
      </c>
      <c r="AK636" s="147">
        <v>0</v>
      </c>
      <c r="AL636" s="147">
        <v>0</v>
      </c>
      <c r="AM636" s="147">
        <v>0</v>
      </c>
      <c r="AN636" s="147">
        <v>0</v>
      </c>
      <c r="AO636" s="147">
        <v>0</v>
      </c>
      <c r="AP636" s="147">
        <v>1721606.7217861963</v>
      </c>
    </row>
    <row r="637" spans="2:42" ht="12.75" customHeight="1">
      <c r="B637" s="122" t="str">
        <v>Operação Geral</v>
      </c>
      <c r="C637" s="329" t="str">
        <v>6</v>
      </c>
      <c r="D637" s="329" t="str">
        <v>6.1.2</v>
      </c>
      <c r="E637" s="329">
        <v>1</v>
      </c>
      <c r="F637" s="329">
        <v>0</v>
      </c>
      <c r="G637" s="122" t="str">
        <v>Servidor de Gerenciamento/Virtualização</v>
      </c>
      <c r="H637" s="122" t="b">
        <v>0</v>
      </c>
      <c r="I637" s="122" t="b">
        <v>0</v>
      </c>
      <c r="J637" s="122" t="b">
        <v>0</v>
      </c>
      <c r="K637" s="122" t="b">
        <v>1</v>
      </c>
      <c r="L637" s="147">
        <v>80022.028857411788</v>
      </c>
      <c r="M637" s="147">
        <v>0</v>
      </c>
      <c r="N637" s="147">
        <v>0</v>
      </c>
      <c r="O637" s="147">
        <v>0</v>
      </c>
      <c r="P637" s="147">
        <v>0</v>
      </c>
      <c r="Q637" s="147">
        <v>0</v>
      </c>
      <c r="R637" s="147">
        <v>0</v>
      </c>
      <c r="S637" s="147">
        <v>0</v>
      </c>
      <c r="T637" s="147">
        <v>0</v>
      </c>
      <c r="U637" s="147">
        <v>0</v>
      </c>
      <c r="V637" s="147">
        <v>0</v>
      </c>
      <c r="W637" s="147">
        <v>0</v>
      </c>
      <c r="X637" s="147">
        <v>0</v>
      </c>
      <c r="Y637" s="147">
        <v>0</v>
      </c>
      <c r="Z637" s="147">
        <v>0</v>
      </c>
      <c r="AA637" s="147">
        <v>0</v>
      </c>
      <c r="AB637" s="147">
        <v>0</v>
      </c>
      <c r="AC637" s="147">
        <v>0</v>
      </c>
      <c r="AD637" s="147">
        <v>0</v>
      </c>
      <c r="AE637" s="147">
        <v>0</v>
      </c>
      <c r="AF637" s="147">
        <v>0</v>
      </c>
      <c r="AG637" s="147">
        <v>0</v>
      </c>
      <c r="AH637" s="147">
        <v>0</v>
      </c>
      <c r="AI637" s="147">
        <v>0</v>
      </c>
      <c r="AJ637" s="147">
        <v>0</v>
      </c>
      <c r="AK637" s="147">
        <v>0</v>
      </c>
      <c r="AL637" s="147">
        <v>0</v>
      </c>
      <c r="AM637" s="147">
        <v>0</v>
      </c>
      <c r="AN637" s="147">
        <v>0</v>
      </c>
      <c r="AO637" s="147">
        <v>0</v>
      </c>
      <c r="AP637" s="147">
        <v>80022.028857411788</v>
      </c>
    </row>
    <row r="638" spans="2:42" ht="12.75" customHeight="1">
      <c r="B638" s="122" t="str">
        <v>Operação Geral</v>
      </c>
      <c r="C638" s="329" t="str">
        <v>6</v>
      </c>
      <c r="D638" s="329" t="str">
        <v>6.1.2</v>
      </c>
      <c r="E638" s="329">
        <v>1</v>
      </c>
      <c r="F638" s="329">
        <v>0</v>
      </c>
      <c r="G638" s="122" t="str">
        <v>Servidor de Backup</v>
      </c>
      <c r="H638" s="122" t="b">
        <v>0</v>
      </c>
      <c r="I638" s="122" t="b">
        <v>0</v>
      </c>
      <c r="J638" s="122" t="b">
        <v>0</v>
      </c>
      <c r="K638" s="122" t="b">
        <v>1</v>
      </c>
      <c r="L638" s="147">
        <v>40011.014428705894</v>
      </c>
      <c r="M638" s="147">
        <v>0</v>
      </c>
      <c r="N638" s="147">
        <v>0</v>
      </c>
      <c r="O638" s="147">
        <v>0</v>
      </c>
      <c r="P638" s="147">
        <v>0</v>
      </c>
      <c r="Q638" s="147">
        <v>0</v>
      </c>
      <c r="R638" s="147">
        <v>0</v>
      </c>
      <c r="S638" s="147">
        <v>0</v>
      </c>
      <c r="T638" s="147">
        <v>0</v>
      </c>
      <c r="U638" s="147">
        <v>0</v>
      </c>
      <c r="V638" s="147">
        <v>0</v>
      </c>
      <c r="W638" s="147">
        <v>0</v>
      </c>
      <c r="X638" s="147">
        <v>0</v>
      </c>
      <c r="Y638" s="147">
        <v>0</v>
      </c>
      <c r="Z638" s="147">
        <v>0</v>
      </c>
      <c r="AA638" s="147">
        <v>0</v>
      </c>
      <c r="AB638" s="147">
        <v>0</v>
      </c>
      <c r="AC638" s="147">
        <v>0</v>
      </c>
      <c r="AD638" s="147">
        <v>0</v>
      </c>
      <c r="AE638" s="147">
        <v>0</v>
      </c>
      <c r="AF638" s="147">
        <v>0</v>
      </c>
      <c r="AG638" s="147">
        <v>0</v>
      </c>
      <c r="AH638" s="147">
        <v>0</v>
      </c>
      <c r="AI638" s="147">
        <v>0</v>
      </c>
      <c r="AJ638" s="147">
        <v>0</v>
      </c>
      <c r="AK638" s="147">
        <v>0</v>
      </c>
      <c r="AL638" s="147">
        <v>0</v>
      </c>
      <c r="AM638" s="147">
        <v>0</v>
      </c>
      <c r="AN638" s="147">
        <v>0</v>
      </c>
      <c r="AO638" s="147">
        <v>0</v>
      </c>
      <c r="AP638" s="147">
        <v>40011.014428705894</v>
      </c>
    </row>
    <row r="639" spans="2:42" ht="12.75" customHeight="1">
      <c r="B639" s="122" t="str">
        <v>Operação Geral</v>
      </c>
      <c r="C639" s="329" t="str">
        <v>6</v>
      </c>
      <c r="D639" s="329" t="str">
        <v>6.1.2</v>
      </c>
      <c r="E639" s="329">
        <v>1</v>
      </c>
      <c r="F639" s="329">
        <v>0</v>
      </c>
      <c r="G639" s="122" t="str">
        <v>Unidade de Fita para Backup</v>
      </c>
      <c r="H639" s="122" t="b">
        <v>0</v>
      </c>
      <c r="I639" s="122" t="b">
        <v>0</v>
      </c>
      <c r="J639" s="122" t="b">
        <v>0</v>
      </c>
      <c r="K639" s="122" t="b">
        <v>1</v>
      </c>
      <c r="L639" s="147">
        <v>38616.011823701672</v>
      </c>
      <c r="M639" s="147">
        <v>0</v>
      </c>
      <c r="N639" s="147">
        <v>0</v>
      </c>
      <c r="O639" s="147">
        <v>0</v>
      </c>
      <c r="P639" s="147">
        <v>0</v>
      </c>
      <c r="Q639" s="147">
        <v>0</v>
      </c>
      <c r="R639" s="147">
        <v>0</v>
      </c>
      <c r="S639" s="147">
        <v>0</v>
      </c>
      <c r="T639" s="147">
        <v>0</v>
      </c>
      <c r="U639" s="147">
        <v>0</v>
      </c>
      <c r="V639" s="147">
        <v>0</v>
      </c>
      <c r="W639" s="147">
        <v>0</v>
      </c>
      <c r="X639" s="147">
        <v>0</v>
      </c>
      <c r="Y639" s="147">
        <v>0</v>
      </c>
      <c r="Z639" s="147">
        <v>0</v>
      </c>
      <c r="AA639" s="147">
        <v>0</v>
      </c>
      <c r="AB639" s="147">
        <v>0</v>
      </c>
      <c r="AC639" s="147">
        <v>0</v>
      </c>
      <c r="AD639" s="147">
        <v>0</v>
      </c>
      <c r="AE639" s="147">
        <v>0</v>
      </c>
      <c r="AF639" s="147">
        <v>0</v>
      </c>
      <c r="AG639" s="147">
        <v>0</v>
      </c>
      <c r="AH639" s="147">
        <v>0</v>
      </c>
      <c r="AI639" s="147">
        <v>0</v>
      </c>
      <c r="AJ639" s="147">
        <v>0</v>
      </c>
      <c r="AK639" s="147">
        <v>0</v>
      </c>
      <c r="AL639" s="147">
        <v>0</v>
      </c>
      <c r="AM639" s="147">
        <v>0</v>
      </c>
      <c r="AN639" s="147">
        <v>0</v>
      </c>
      <c r="AO639" s="147">
        <v>0</v>
      </c>
      <c r="AP639" s="147">
        <v>38616.011823701672</v>
      </c>
    </row>
    <row r="640" spans="2:42" ht="12.75" customHeight="1">
      <c r="B640" s="122" t="str">
        <v>Operação Geral</v>
      </c>
      <c r="C640" s="329" t="str">
        <v>6</v>
      </c>
      <c r="D640" s="329" t="str">
        <v>6.1.2</v>
      </c>
      <c r="E640" s="329">
        <v>1</v>
      </c>
      <c r="F640" s="329">
        <v>0</v>
      </c>
      <c r="G640" s="122" t="str">
        <v>Servidores</v>
      </c>
      <c r="H640" s="122" t="b">
        <v>0</v>
      </c>
      <c r="I640" s="122" t="b">
        <v>0</v>
      </c>
      <c r="J640" s="122" t="b">
        <v>0</v>
      </c>
      <c r="K640" s="122" t="b">
        <v>1</v>
      </c>
      <c r="L640" s="147">
        <v>105019.40371054376</v>
      </c>
      <c r="M640" s="147">
        <v>0</v>
      </c>
      <c r="N640" s="147">
        <v>0</v>
      </c>
      <c r="O640" s="147">
        <v>0</v>
      </c>
      <c r="P640" s="147">
        <v>0</v>
      </c>
      <c r="Q640" s="147">
        <v>0</v>
      </c>
      <c r="R640" s="147">
        <v>0</v>
      </c>
      <c r="S640" s="147">
        <v>0</v>
      </c>
      <c r="T640" s="147">
        <v>0</v>
      </c>
      <c r="U640" s="147">
        <v>0</v>
      </c>
      <c r="V640" s="147">
        <v>0</v>
      </c>
      <c r="W640" s="147">
        <v>0</v>
      </c>
      <c r="X640" s="147">
        <v>0</v>
      </c>
      <c r="Y640" s="147">
        <v>0</v>
      </c>
      <c r="Z640" s="147">
        <v>0</v>
      </c>
      <c r="AA640" s="147">
        <v>0</v>
      </c>
      <c r="AB640" s="147">
        <v>0</v>
      </c>
      <c r="AC640" s="147">
        <v>0</v>
      </c>
      <c r="AD640" s="147">
        <v>0</v>
      </c>
      <c r="AE640" s="147">
        <v>0</v>
      </c>
      <c r="AF640" s="147">
        <v>0</v>
      </c>
      <c r="AG640" s="147">
        <v>0</v>
      </c>
      <c r="AH640" s="147">
        <v>0</v>
      </c>
      <c r="AI640" s="147">
        <v>0</v>
      </c>
      <c r="AJ640" s="147">
        <v>0</v>
      </c>
      <c r="AK640" s="147">
        <v>0</v>
      </c>
      <c r="AL640" s="147">
        <v>0</v>
      </c>
      <c r="AM640" s="147">
        <v>0</v>
      </c>
      <c r="AN640" s="147">
        <v>0</v>
      </c>
      <c r="AO640" s="147">
        <v>0</v>
      </c>
      <c r="AP640" s="147">
        <v>105019.40371054376</v>
      </c>
    </row>
    <row r="641" spans="2:42" ht="12.75" customHeight="1">
      <c r="B641" s="122" t="str">
        <v>Operação Geral</v>
      </c>
      <c r="C641" s="329" t="str">
        <v>6</v>
      </c>
      <c r="D641" s="329" t="str">
        <v>6.1.2</v>
      </c>
      <c r="E641" s="329">
        <v>0</v>
      </c>
      <c r="F641" s="329">
        <v>0</v>
      </c>
      <c r="G641" s="122" t="str">
        <v>Computador e Periféricos</v>
      </c>
      <c r="H641" s="122" t="b">
        <v>0</v>
      </c>
      <c r="I641" s="122" t="b">
        <v>0</v>
      </c>
      <c r="J641" s="122" t="b">
        <v>0</v>
      </c>
      <c r="K641" s="122" t="b">
        <v>1</v>
      </c>
      <c r="L641" s="147">
        <v>0</v>
      </c>
      <c r="M641" s="147">
        <v>0</v>
      </c>
      <c r="N641" s="147">
        <v>0</v>
      </c>
      <c r="O641" s="147">
        <v>0</v>
      </c>
      <c r="P641" s="147">
        <v>0</v>
      </c>
      <c r="Q641" s="147">
        <v>0</v>
      </c>
      <c r="R641" s="147">
        <v>0</v>
      </c>
      <c r="S641" s="147">
        <v>0</v>
      </c>
      <c r="T641" s="147">
        <v>0</v>
      </c>
      <c r="U641" s="147">
        <v>0</v>
      </c>
      <c r="V641" s="147">
        <v>0</v>
      </c>
      <c r="W641" s="147">
        <v>0</v>
      </c>
      <c r="X641" s="147">
        <v>0</v>
      </c>
      <c r="Y641" s="147">
        <v>0</v>
      </c>
      <c r="Z641" s="147">
        <v>0</v>
      </c>
      <c r="AA641" s="147">
        <v>0</v>
      </c>
      <c r="AB641" s="147">
        <v>0</v>
      </c>
      <c r="AC641" s="147">
        <v>0</v>
      </c>
      <c r="AD641" s="147">
        <v>0</v>
      </c>
      <c r="AE641" s="147">
        <v>0</v>
      </c>
      <c r="AF641" s="147">
        <v>0</v>
      </c>
      <c r="AG641" s="147">
        <v>0</v>
      </c>
      <c r="AH641" s="147">
        <v>0</v>
      </c>
      <c r="AI641" s="147">
        <v>0</v>
      </c>
      <c r="AJ641" s="147">
        <v>0</v>
      </c>
      <c r="AK641" s="147">
        <v>0</v>
      </c>
      <c r="AL641" s="147">
        <v>0</v>
      </c>
      <c r="AM641" s="147">
        <v>0</v>
      </c>
      <c r="AN641" s="147">
        <v>0</v>
      </c>
      <c r="AO641" s="147">
        <v>0</v>
      </c>
      <c r="AP641" s="147">
        <v>0</v>
      </c>
    </row>
    <row r="642" spans="2:42" ht="12.75" customHeight="1">
      <c r="B642" s="122" t="str">
        <v>Operação Geral</v>
      </c>
      <c r="C642" s="329" t="str">
        <v>6</v>
      </c>
      <c r="D642" s="329" t="str">
        <v>6.1.2</v>
      </c>
      <c r="E642" s="329">
        <v>0</v>
      </c>
      <c r="F642" s="329">
        <v>0</v>
      </c>
      <c r="G642" s="122" t="str">
        <v>Impressora Multifuncional - A4</v>
      </c>
      <c r="H642" s="122" t="b">
        <v>0</v>
      </c>
      <c r="I642" s="122" t="b">
        <v>0</v>
      </c>
      <c r="J642" s="122" t="b">
        <v>0</v>
      </c>
      <c r="K642" s="122" t="b">
        <v>1</v>
      </c>
      <c r="L642" s="147">
        <v>0</v>
      </c>
      <c r="M642" s="147">
        <v>0</v>
      </c>
      <c r="N642" s="147">
        <v>0</v>
      </c>
      <c r="O642" s="147">
        <v>0</v>
      </c>
      <c r="P642" s="147">
        <v>0</v>
      </c>
      <c r="Q642" s="147">
        <v>0</v>
      </c>
      <c r="R642" s="147">
        <v>0</v>
      </c>
      <c r="S642" s="147">
        <v>0</v>
      </c>
      <c r="T642" s="147">
        <v>0</v>
      </c>
      <c r="U642" s="147">
        <v>0</v>
      </c>
      <c r="V642" s="147">
        <v>0</v>
      </c>
      <c r="W642" s="147">
        <v>0</v>
      </c>
      <c r="X642" s="147">
        <v>0</v>
      </c>
      <c r="Y642" s="147">
        <v>0</v>
      </c>
      <c r="Z642" s="147">
        <v>0</v>
      </c>
      <c r="AA642" s="147">
        <v>0</v>
      </c>
      <c r="AB642" s="147">
        <v>0</v>
      </c>
      <c r="AC642" s="147">
        <v>0</v>
      </c>
      <c r="AD642" s="147">
        <v>0</v>
      </c>
      <c r="AE642" s="147">
        <v>0</v>
      </c>
      <c r="AF642" s="147">
        <v>0</v>
      </c>
      <c r="AG642" s="147">
        <v>0</v>
      </c>
      <c r="AH642" s="147">
        <v>0</v>
      </c>
      <c r="AI642" s="147">
        <v>0</v>
      </c>
      <c r="AJ642" s="147">
        <v>0</v>
      </c>
      <c r="AK642" s="147">
        <v>0</v>
      </c>
      <c r="AL642" s="147">
        <v>0</v>
      </c>
      <c r="AM642" s="147">
        <v>0</v>
      </c>
      <c r="AN642" s="147">
        <v>0</v>
      </c>
      <c r="AO642" s="147">
        <v>0</v>
      </c>
      <c r="AP642" s="147">
        <v>0</v>
      </c>
    </row>
    <row r="643" spans="2:42" ht="12.75" customHeight="1">
      <c r="B643" s="122" t="str">
        <v>Operação Geral</v>
      </c>
      <c r="C643" s="329" t="str">
        <v>6</v>
      </c>
      <c r="D643" s="329" t="str">
        <v>6.1.2</v>
      </c>
      <c r="E643" s="329">
        <v>0</v>
      </c>
      <c r="F643" s="329">
        <v>0</v>
      </c>
      <c r="G643" s="122" t="str">
        <v>Programas e Sistemas Operacionais</v>
      </c>
      <c r="H643" s="122" t="b">
        <v>0</v>
      </c>
      <c r="I643" s="122" t="b">
        <v>0</v>
      </c>
      <c r="J643" s="122" t="b">
        <v>0</v>
      </c>
      <c r="K643" s="122" t="b">
        <v>1</v>
      </c>
      <c r="L643" s="147">
        <v>0</v>
      </c>
      <c r="M643" s="147">
        <v>0</v>
      </c>
      <c r="N643" s="147">
        <v>0</v>
      </c>
      <c r="O643" s="147">
        <v>0</v>
      </c>
      <c r="P643" s="147">
        <v>0</v>
      </c>
      <c r="Q643" s="147">
        <v>0</v>
      </c>
      <c r="R643" s="147">
        <v>0</v>
      </c>
      <c r="S643" s="147">
        <v>0</v>
      </c>
      <c r="T643" s="147">
        <v>0</v>
      </c>
      <c r="U643" s="147">
        <v>0</v>
      </c>
      <c r="V643" s="147">
        <v>0</v>
      </c>
      <c r="W643" s="147">
        <v>0</v>
      </c>
      <c r="X643" s="147">
        <v>0</v>
      </c>
      <c r="Y643" s="147">
        <v>0</v>
      </c>
      <c r="Z643" s="147">
        <v>0</v>
      </c>
      <c r="AA643" s="147">
        <v>0</v>
      </c>
      <c r="AB643" s="147">
        <v>0</v>
      </c>
      <c r="AC643" s="147">
        <v>0</v>
      </c>
      <c r="AD643" s="147">
        <v>0</v>
      </c>
      <c r="AE643" s="147">
        <v>0</v>
      </c>
      <c r="AF643" s="147">
        <v>0</v>
      </c>
      <c r="AG643" s="147">
        <v>0</v>
      </c>
      <c r="AH643" s="147">
        <v>0</v>
      </c>
      <c r="AI643" s="147">
        <v>0</v>
      </c>
      <c r="AJ643" s="147">
        <v>0</v>
      </c>
      <c r="AK643" s="147">
        <v>0</v>
      </c>
      <c r="AL643" s="147">
        <v>0</v>
      </c>
      <c r="AM643" s="147">
        <v>0</v>
      </c>
      <c r="AN643" s="147">
        <v>0</v>
      </c>
      <c r="AO643" s="147">
        <v>0</v>
      </c>
      <c r="AP643" s="147">
        <v>0</v>
      </c>
    </row>
    <row r="644" spans="2:42" ht="12.75" customHeight="1">
      <c r="B644" s="122" t="str">
        <v>Operação Geral</v>
      </c>
      <c r="C644" s="329" t="str">
        <v>6</v>
      </c>
      <c r="D644" s="329" t="str">
        <v>6.1.2</v>
      </c>
      <c r="E644" s="329">
        <v>0</v>
      </c>
      <c r="F644" s="329">
        <v>0</v>
      </c>
      <c r="G644" s="122" t="str">
        <v>Sistema de Gestão da Operação - KCOR</v>
      </c>
      <c r="H644" s="122" t="b">
        <v>0</v>
      </c>
      <c r="I644" s="122" t="b">
        <v>0</v>
      </c>
      <c r="J644" s="122" t="b">
        <v>0</v>
      </c>
      <c r="K644" s="122" t="b">
        <v>1</v>
      </c>
      <c r="L644" s="147">
        <v>0</v>
      </c>
      <c r="M644" s="147">
        <v>0</v>
      </c>
      <c r="N644" s="147">
        <v>0</v>
      </c>
      <c r="O644" s="147">
        <v>0</v>
      </c>
      <c r="P644" s="147">
        <v>0</v>
      </c>
      <c r="Q644" s="147">
        <v>0</v>
      </c>
      <c r="R644" s="147">
        <v>0</v>
      </c>
      <c r="S644" s="147">
        <v>0</v>
      </c>
      <c r="T644" s="147">
        <v>0</v>
      </c>
      <c r="U644" s="147">
        <v>0</v>
      </c>
      <c r="V644" s="147">
        <v>0</v>
      </c>
      <c r="W644" s="147">
        <v>0</v>
      </c>
      <c r="X644" s="147">
        <v>0</v>
      </c>
      <c r="Y644" s="147">
        <v>0</v>
      </c>
      <c r="Z644" s="147">
        <v>0</v>
      </c>
      <c r="AA644" s="147">
        <v>0</v>
      </c>
      <c r="AB644" s="147">
        <v>0</v>
      </c>
      <c r="AC644" s="147">
        <v>0</v>
      </c>
      <c r="AD644" s="147">
        <v>0</v>
      </c>
      <c r="AE644" s="147">
        <v>0</v>
      </c>
      <c r="AF644" s="147">
        <v>0</v>
      </c>
      <c r="AG644" s="147">
        <v>0</v>
      </c>
      <c r="AH644" s="147">
        <v>0</v>
      </c>
      <c r="AI644" s="147">
        <v>0</v>
      </c>
      <c r="AJ644" s="147">
        <v>0</v>
      </c>
      <c r="AK644" s="147">
        <v>0</v>
      </c>
      <c r="AL644" s="147">
        <v>0</v>
      </c>
      <c r="AM644" s="147">
        <v>0</v>
      </c>
      <c r="AN644" s="147">
        <v>0</v>
      </c>
      <c r="AO644" s="147">
        <v>0</v>
      </c>
      <c r="AP644" s="147">
        <v>0</v>
      </c>
    </row>
    <row r="645" spans="2:42" ht="12.75" customHeight="1">
      <c r="B645" s="122" t="str">
        <v>Operação Geral</v>
      </c>
      <c r="C645" s="329" t="str">
        <v>6</v>
      </c>
      <c r="D645" s="329" t="str">
        <v>6.1.2</v>
      </c>
      <c r="E645" s="329">
        <v>0</v>
      </c>
      <c r="F645" s="329">
        <v>0</v>
      </c>
      <c r="G645" s="122" t="str">
        <v>Equipamentos de Pista</v>
      </c>
      <c r="H645" s="122" t="b">
        <v>0</v>
      </c>
      <c r="I645" s="122" t="b">
        <v>0</v>
      </c>
      <c r="J645" s="122" t="b">
        <v>0</v>
      </c>
      <c r="K645" s="122" t="b">
        <v>1</v>
      </c>
      <c r="L645" s="147">
        <v>0</v>
      </c>
      <c r="M645" s="147">
        <v>0</v>
      </c>
      <c r="N645" s="147">
        <v>0</v>
      </c>
      <c r="O645" s="147">
        <v>0</v>
      </c>
      <c r="P645" s="147">
        <v>0</v>
      </c>
      <c r="Q645" s="147">
        <v>0</v>
      </c>
      <c r="R645" s="147">
        <v>0</v>
      </c>
      <c r="S645" s="147">
        <v>0</v>
      </c>
      <c r="T645" s="147">
        <v>0</v>
      </c>
      <c r="U645" s="147">
        <v>0</v>
      </c>
      <c r="V645" s="147">
        <v>0</v>
      </c>
      <c r="W645" s="147">
        <v>0</v>
      </c>
      <c r="X645" s="147">
        <v>0</v>
      </c>
      <c r="Y645" s="147">
        <v>0</v>
      </c>
      <c r="Z645" s="147">
        <v>0</v>
      </c>
      <c r="AA645" s="147">
        <v>0</v>
      </c>
      <c r="AB645" s="147">
        <v>0</v>
      </c>
      <c r="AC645" s="147">
        <v>0</v>
      </c>
      <c r="AD645" s="147">
        <v>0</v>
      </c>
      <c r="AE645" s="147">
        <v>0</v>
      </c>
      <c r="AF645" s="147">
        <v>0</v>
      </c>
      <c r="AG645" s="147">
        <v>0</v>
      </c>
      <c r="AH645" s="147">
        <v>0</v>
      </c>
      <c r="AI645" s="147">
        <v>0</v>
      </c>
      <c r="AJ645" s="147">
        <v>0</v>
      </c>
      <c r="AK645" s="147">
        <v>0</v>
      </c>
      <c r="AL645" s="147">
        <v>0</v>
      </c>
      <c r="AM645" s="147">
        <v>0</v>
      </c>
      <c r="AN645" s="147">
        <v>0</v>
      </c>
      <c r="AO645" s="147">
        <v>0</v>
      </c>
      <c r="AP645" s="147">
        <v>0</v>
      </c>
    </row>
    <row r="646" spans="2:42" ht="12.75" customHeight="1">
      <c r="B646" s="122" t="str">
        <v>Operação Geral</v>
      </c>
      <c r="C646" s="329" t="str">
        <v>6</v>
      </c>
      <c r="D646" s="329" t="str">
        <v>6.1.2</v>
      </c>
      <c r="E646" s="329">
        <v>0</v>
      </c>
      <c r="F646" s="329">
        <v>0</v>
      </c>
      <c r="G646" s="122" t="str">
        <v>Rede, Sistema, Equipamentos e instalação de Fibra Óptica (72 Fibras)  -</v>
      </c>
      <c r="H646" s="122" t="b">
        <v>0</v>
      </c>
      <c r="I646" s="122" t="b">
        <v>0</v>
      </c>
      <c r="J646" s="122" t="b">
        <v>0</v>
      </c>
      <c r="K646" s="122" t="b">
        <v>1</v>
      </c>
      <c r="L646" s="147">
        <v>0</v>
      </c>
      <c r="M646" s="147">
        <v>0</v>
      </c>
      <c r="N646" s="147">
        <v>0</v>
      </c>
      <c r="O646" s="147">
        <v>0</v>
      </c>
      <c r="P646" s="147">
        <v>0</v>
      </c>
      <c r="Q646" s="147">
        <v>0</v>
      </c>
      <c r="R646" s="147">
        <v>0</v>
      </c>
      <c r="S646" s="147">
        <v>0</v>
      </c>
      <c r="T646" s="147">
        <v>0</v>
      </c>
      <c r="U646" s="147">
        <v>0</v>
      </c>
      <c r="V646" s="147">
        <v>0</v>
      </c>
      <c r="W646" s="147">
        <v>0</v>
      </c>
      <c r="X646" s="147">
        <v>0</v>
      </c>
      <c r="Y646" s="147">
        <v>0</v>
      </c>
      <c r="Z646" s="147">
        <v>0</v>
      </c>
      <c r="AA646" s="147">
        <v>0</v>
      </c>
      <c r="AB646" s="147">
        <v>0</v>
      </c>
      <c r="AC646" s="147">
        <v>0</v>
      </c>
      <c r="AD646" s="147">
        <v>0</v>
      </c>
      <c r="AE646" s="147">
        <v>0</v>
      </c>
      <c r="AF646" s="147">
        <v>0</v>
      </c>
      <c r="AG646" s="147">
        <v>0</v>
      </c>
      <c r="AH646" s="147">
        <v>0</v>
      </c>
      <c r="AI646" s="147">
        <v>0</v>
      </c>
      <c r="AJ646" s="147">
        <v>0</v>
      </c>
      <c r="AK646" s="147">
        <v>0</v>
      </c>
      <c r="AL646" s="147">
        <v>0</v>
      </c>
      <c r="AM646" s="147">
        <v>0</v>
      </c>
      <c r="AN646" s="147">
        <v>0</v>
      </c>
      <c r="AO646" s="147">
        <v>0</v>
      </c>
      <c r="AP646" s="147">
        <v>0</v>
      </c>
    </row>
    <row r="647" spans="2:42" ht="12.75" customHeight="1">
      <c r="B647" s="122" t="str">
        <v>Operação Geral</v>
      </c>
      <c r="C647" s="329" t="str">
        <v>6</v>
      </c>
      <c r="D647" s="329" t="str">
        <v>6.1.2</v>
      </c>
      <c r="E647" s="329">
        <v>0</v>
      </c>
      <c r="F647" s="329">
        <v>0</v>
      </c>
      <c r="G647" s="122" t="str">
        <v>Wi-Fi</v>
      </c>
      <c r="H647" s="122" t="b">
        <v>0</v>
      </c>
      <c r="I647" s="122" t="b">
        <v>0</v>
      </c>
      <c r="J647" s="122" t="b">
        <v>0</v>
      </c>
      <c r="K647" s="122" t="b">
        <v>1</v>
      </c>
      <c r="L647" s="147">
        <v>0</v>
      </c>
      <c r="M647" s="147">
        <v>0</v>
      </c>
      <c r="N647" s="147">
        <v>0</v>
      </c>
      <c r="O647" s="147">
        <v>0</v>
      </c>
      <c r="P647" s="147">
        <v>0</v>
      </c>
      <c r="Q647" s="147">
        <v>0</v>
      </c>
      <c r="R647" s="147">
        <v>0</v>
      </c>
      <c r="S647" s="147">
        <v>0</v>
      </c>
      <c r="T647" s="147">
        <v>0</v>
      </c>
      <c r="U647" s="147">
        <v>0</v>
      </c>
      <c r="V647" s="147">
        <v>0</v>
      </c>
      <c r="W647" s="147">
        <v>0</v>
      </c>
      <c r="X647" s="147">
        <v>0</v>
      </c>
      <c r="Y647" s="147">
        <v>0</v>
      </c>
      <c r="Z647" s="147">
        <v>0</v>
      </c>
      <c r="AA647" s="147">
        <v>0</v>
      </c>
      <c r="AB647" s="147">
        <v>0</v>
      </c>
      <c r="AC647" s="147">
        <v>0</v>
      </c>
      <c r="AD647" s="147">
        <v>0</v>
      </c>
      <c r="AE647" s="147">
        <v>0</v>
      </c>
      <c r="AF647" s="147">
        <v>0</v>
      </c>
      <c r="AG647" s="147">
        <v>0</v>
      </c>
      <c r="AH647" s="147">
        <v>0</v>
      </c>
      <c r="AI647" s="147">
        <v>0</v>
      </c>
      <c r="AJ647" s="147">
        <v>0</v>
      </c>
      <c r="AK647" s="147">
        <v>0</v>
      </c>
      <c r="AL647" s="147">
        <v>0</v>
      </c>
      <c r="AM647" s="147">
        <v>0</v>
      </c>
      <c r="AN647" s="147">
        <v>0</v>
      </c>
      <c r="AO647" s="147">
        <v>0</v>
      </c>
      <c r="AP647" s="147">
        <v>0</v>
      </c>
    </row>
    <row r="648" spans="2:42" ht="12.75" customHeight="1">
      <c r="B648" s="122" t="str">
        <v>Operação Geral</v>
      </c>
      <c r="C648" s="329" t="str">
        <v>6</v>
      </c>
      <c r="D648" s="329" t="str">
        <v>6.1.2</v>
      </c>
      <c r="E648" s="329">
        <v>0</v>
      </c>
      <c r="F648" s="329">
        <v>0</v>
      </c>
      <c r="G648" s="122" t="str">
        <v>Call Box</v>
      </c>
      <c r="H648" s="122" t="b">
        <v>0</v>
      </c>
      <c r="I648" s="122" t="b">
        <v>0</v>
      </c>
      <c r="J648" s="122" t="b">
        <v>0</v>
      </c>
      <c r="K648" s="122" t="b">
        <v>1</v>
      </c>
      <c r="L648" s="147">
        <v>0</v>
      </c>
      <c r="M648" s="147">
        <v>0</v>
      </c>
      <c r="N648" s="147">
        <v>0</v>
      </c>
      <c r="O648" s="147">
        <v>0</v>
      </c>
      <c r="P648" s="147">
        <v>0</v>
      </c>
      <c r="Q648" s="147">
        <v>0</v>
      </c>
      <c r="R648" s="147">
        <v>0</v>
      </c>
      <c r="S648" s="147">
        <v>0</v>
      </c>
      <c r="T648" s="147">
        <v>0</v>
      </c>
      <c r="U648" s="147">
        <v>0</v>
      </c>
      <c r="V648" s="147">
        <v>0</v>
      </c>
      <c r="W648" s="147">
        <v>0</v>
      </c>
      <c r="X648" s="147">
        <v>0</v>
      </c>
      <c r="Y648" s="147">
        <v>0</v>
      </c>
      <c r="Z648" s="147">
        <v>0</v>
      </c>
      <c r="AA648" s="147">
        <v>0</v>
      </c>
      <c r="AB648" s="147">
        <v>0</v>
      </c>
      <c r="AC648" s="147">
        <v>0</v>
      </c>
      <c r="AD648" s="147">
        <v>0</v>
      </c>
      <c r="AE648" s="147">
        <v>0</v>
      </c>
      <c r="AF648" s="147">
        <v>0</v>
      </c>
      <c r="AG648" s="147">
        <v>0</v>
      </c>
      <c r="AH648" s="147">
        <v>0</v>
      </c>
      <c r="AI648" s="147">
        <v>0</v>
      </c>
      <c r="AJ648" s="147">
        <v>0</v>
      </c>
      <c r="AK648" s="147">
        <v>0</v>
      </c>
      <c r="AL648" s="147">
        <v>0</v>
      </c>
      <c r="AM648" s="147">
        <v>0</v>
      </c>
      <c r="AN648" s="147">
        <v>0</v>
      </c>
      <c r="AO648" s="147">
        <v>0</v>
      </c>
      <c r="AP648" s="147">
        <v>0</v>
      </c>
    </row>
    <row r="649" spans="2:42" ht="12.75" customHeight="1">
      <c r="B649" s="122" t="str">
        <v>Operação Geral</v>
      </c>
      <c r="C649" s="329" t="str">
        <v>6</v>
      </c>
      <c r="D649" s="329" t="str">
        <v>6.1.2</v>
      </c>
      <c r="E649" s="329">
        <v>0</v>
      </c>
      <c r="F649" s="329">
        <v>0</v>
      </c>
      <c r="G649" s="122" t="str">
        <v>Sistema de Monitoração de Tráfego</v>
      </c>
      <c r="H649" s="122" t="b">
        <v>0</v>
      </c>
      <c r="I649" s="122" t="b">
        <v>0</v>
      </c>
      <c r="J649" s="122" t="b">
        <v>0</v>
      </c>
      <c r="K649" s="122" t="b">
        <v>1</v>
      </c>
      <c r="L649" s="147">
        <v>0</v>
      </c>
      <c r="M649" s="147">
        <v>0</v>
      </c>
      <c r="N649" s="147">
        <v>0</v>
      </c>
      <c r="O649" s="147">
        <v>0</v>
      </c>
      <c r="P649" s="147">
        <v>0</v>
      </c>
      <c r="Q649" s="147">
        <v>0</v>
      </c>
      <c r="R649" s="147">
        <v>0</v>
      </c>
      <c r="S649" s="147">
        <v>0</v>
      </c>
      <c r="T649" s="147">
        <v>0</v>
      </c>
      <c r="U649" s="147">
        <v>0</v>
      </c>
      <c r="V649" s="147">
        <v>0</v>
      </c>
      <c r="W649" s="147">
        <v>0</v>
      </c>
      <c r="X649" s="147">
        <v>0</v>
      </c>
      <c r="Y649" s="147">
        <v>0</v>
      </c>
      <c r="Z649" s="147">
        <v>0</v>
      </c>
      <c r="AA649" s="147">
        <v>0</v>
      </c>
      <c r="AB649" s="147">
        <v>0</v>
      </c>
      <c r="AC649" s="147">
        <v>0</v>
      </c>
      <c r="AD649" s="147">
        <v>0</v>
      </c>
      <c r="AE649" s="147">
        <v>0</v>
      </c>
      <c r="AF649" s="147">
        <v>0</v>
      </c>
      <c r="AG649" s="147">
        <v>0</v>
      </c>
      <c r="AH649" s="147">
        <v>0</v>
      </c>
      <c r="AI649" s="147">
        <v>0</v>
      </c>
      <c r="AJ649" s="147">
        <v>0</v>
      </c>
      <c r="AK649" s="147">
        <v>0</v>
      </c>
      <c r="AL649" s="147">
        <v>0</v>
      </c>
      <c r="AM649" s="147">
        <v>0</v>
      </c>
      <c r="AN649" s="147">
        <v>0</v>
      </c>
      <c r="AO649" s="147">
        <v>0</v>
      </c>
      <c r="AP649" s="147">
        <v>0</v>
      </c>
    </row>
    <row r="650" spans="2:42" ht="12.75" customHeight="1">
      <c r="B650" s="122" t="str">
        <v>Operação Geral</v>
      </c>
      <c r="C650" s="329" t="str">
        <v>6</v>
      </c>
      <c r="D650" s="329" t="str">
        <v>6.1.2</v>
      </c>
      <c r="E650" s="329">
        <v>0</v>
      </c>
      <c r="F650" s="329">
        <v>0</v>
      </c>
      <c r="G650" s="122" t="str">
        <v>Equipamentos de Detecção e Sensoriamento de Pista</v>
      </c>
      <c r="H650" s="122" t="b">
        <v>0</v>
      </c>
      <c r="I650" s="122" t="b">
        <v>0</v>
      </c>
      <c r="J650" s="122" t="b">
        <v>0</v>
      </c>
      <c r="K650" s="122" t="b">
        <v>1</v>
      </c>
      <c r="L650" s="147">
        <v>0</v>
      </c>
      <c r="M650" s="147">
        <v>0</v>
      </c>
      <c r="N650" s="147">
        <v>0</v>
      </c>
      <c r="O650" s="147">
        <v>0</v>
      </c>
      <c r="P650" s="147">
        <v>0</v>
      </c>
      <c r="Q650" s="147">
        <v>0</v>
      </c>
      <c r="R650" s="147">
        <v>0</v>
      </c>
      <c r="S650" s="147">
        <v>0</v>
      </c>
      <c r="T650" s="147">
        <v>0</v>
      </c>
      <c r="U650" s="147">
        <v>0</v>
      </c>
      <c r="V650" s="147">
        <v>0</v>
      </c>
      <c r="W650" s="147">
        <v>0</v>
      </c>
      <c r="X650" s="147">
        <v>0</v>
      </c>
      <c r="Y650" s="147">
        <v>0</v>
      </c>
      <c r="Z650" s="147">
        <v>0</v>
      </c>
      <c r="AA650" s="147">
        <v>0</v>
      </c>
      <c r="AB650" s="147">
        <v>0</v>
      </c>
      <c r="AC650" s="147">
        <v>0</v>
      </c>
      <c r="AD650" s="147">
        <v>0</v>
      </c>
      <c r="AE650" s="147">
        <v>0</v>
      </c>
      <c r="AF650" s="147">
        <v>0</v>
      </c>
      <c r="AG650" s="147">
        <v>0</v>
      </c>
      <c r="AH650" s="147">
        <v>0</v>
      </c>
      <c r="AI650" s="147">
        <v>0</v>
      </c>
      <c r="AJ650" s="147">
        <v>0</v>
      </c>
      <c r="AK650" s="147">
        <v>0</v>
      </c>
      <c r="AL650" s="147">
        <v>0</v>
      </c>
      <c r="AM650" s="147">
        <v>0</v>
      </c>
      <c r="AN650" s="147">
        <v>0</v>
      </c>
      <c r="AO650" s="147">
        <v>0</v>
      </c>
      <c r="AP650" s="147">
        <v>0</v>
      </c>
    </row>
    <row r="651" spans="2:42" ht="12.75" customHeight="1">
      <c r="B651" s="122" t="str">
        <v>Operação Geral</v>
      </c>
      <c r="C651" s="329" t="str">
        <v>6</v>
      </c>
      <c r="D651" s="329" t="str">
        <v>6.1.2</v>
      </c>
      <c r="E651" s="329">
        <v>0</v>
      </c>
      <c r="F651" s="329">
        <v>0</v>
      </c>
      <c r="G651" s="122" t="str">
        <v>Sistema de Sensoriamento de Tráfego</v>
      </c>
      <c r="H651" s="122" t="b">
        <v>0</v>
      </c>
      <c r="I651" s="122" t="b">
        <v>0</v>
      </c>
      <c r="J651" s="122" t="b">
        <v>0</v>
      </c>
      <c r="K651" s="122" t="b">
        <v>1</v>
      </c>
      <c r="L651" s="147">
        <v>0</v>
      </c>
      <c r="M651" s="147">
        <v>2968301.5950919311</v>
      </c>
      <c r="N651" s="147">
        <v>0</v>
      </c>
      <c r="O651" s="147">
        <v>0</v>
      </c>
      <c r="P651" s="147">
        <v>0</v>
      </c>
      <c r="Q651" s="147">
        <v>0</v>
      </c>
      <c r="R651" s="147">
        <v>0</v>
      </c>
      <c r="S651" s="147">
        <v>0</v>
      </c>
      <c r="T651" s="147">
        <v>0</v>
      </c>
      <c r="U651" s="147">
        <v>0</v>
      </c>
      <c r="V651" s="147">
        <v>0</v>
      </c>
      <c r="W651" s="147">
        <v>0</v>
      </c>
      <c r="X651" s="147">
        <v>0</v>
      </c>
      <c r="Y651" s="147">
        <v>0</v>
      </c>
      <c r="Z651" s="147">
        <v>0</v>
      </c>
      <c r="AA651" s="147">
        <v>0</v>
      </c>
      <c r="AB651" s="147">
        <v>0</v>
      </c>
      <c r="AC651" s="147">
        <v>0</v>
      </c>
      <c r="AD651" s="147">
        <v>0</v>
      </c>
      <c r="AE651" s="147">
        <v>0</v>
      </c>
      <c r="AF651" s="147">
        <v>0</v>
      </c>
      <c r="AG651" s="147">
        <v>0</v>
      </c>
      <c r="AH651" s="147">
        <v>0</v>
      </c>
      <c r="AI651" s="147">
        <v>0</v>
      </c>
      <c r="AJ651" s="147">
        <v>0</v>
      </c>
      <c r="AK651" s="147">
        <v>0</v>
      </c>
      <c r="AL651" s="147">
        <v>0</v>
      </c>
      <c r="AM651" s="147">
        <v>0</v>
      </c>
      <c r="AN651" s="147">
        <v>0</v>
      </c>
      <c r="AO651" s="147">
        <v>0</v>
      </c>
      <c r="AP651" s="147">
        <v>2968301.5950919311</v>
      </c>
    </row>
    <row r="652" spans="2:42" ht="12.75" customHeight="1">
      <c r="B652" s="122" t="str">
        <v>Operação Geral</v>
      </c>
      <c r="C652" s="329" t="str">
        <v>6</v>
      </c>
      <c r="D652" s="329" t="str">
        <v>6.1.2</v>
      </c>
      <c r="E652" s="329">
        <v>0</v>
      </c>
      <c r="F652" s="329">
        <v>0</v>
      </c>
      <c r="G652" s="122" t="str">
        <v>Sensoriamento Automático de Tráfego (c/ pesagem)</v>
      </c>
      <c r="H652" s="122" t="b">
        <v>0</v>
      </c>
      <c r="I652" s="122" t="b">
        <v>0</v>
      </c>
      <c r="J652" s="122" t="b">
        <v>0</v>
      </c>
      <c r="K652" s="122" t="b">
        <v>1</v>
      </c>
      <c r="L652" s="147">
        <v>0</v>
      </c>
      <c r="M652" s="147">
        <v>172425.71238466175</v>
      </c>
      <c r="N652" s="147">
        <v>0</v>
      </c>
      <c r="O652" s="147">
        <v>0</v>
      </c>
      <c r="P652" s="147">
        <v>0</v>
      </c>
      <c r="Q652" s="147">
        <v>0</v>
      </c>
      <c r="R652" s="147">
        <v>0</v>
      </c>
      <c r="S652" s="147">
        <v>0</v>
      </c>
      <c r="T652" s="147">
        <v>0</v>
      </c>
      <c r="U652" s="147">
        <v>0</v>
      </c>
      <c r="V652" s="147">
        <v>0</v>
      </c>
      <c r="W652" s="147">
        <v>0</v>
      </c>
      <c r="X652" s="147">
        <v>0</v>
      </c>
      <c r="Y652" s="147">
        <v>0</v>
      </c>
      <c r="Z652" s="147">
        <v>0</v>
      </c>
      <c r="AA652" s="147">
        <v>0</v>
      </c>
      <c r="AB652" s="147">
        <v>0</v>
      </c>
      <c r="AC652" s="147">
        <v>0</v>
      </c>
      <c r="AD652" s="147">
        <v>0</v>
      </c>
      <c r="AE652" s="147">
        <v>0</v>
      </c>
      <c r="AF652" s="147">
        <v>0</v>
      </c>
      <c r="AG652" s="147">
        <v>0</v>
      </c>
      <c r="AH652" s="147">
        <v>0</v>
      </c>
      <c r="AI652" s="147">
        <v>0</v>
      </c>
      <c r="AJ652" s="147">
        <v>0</v>
      </c>
      <c r="AK652" s="147">
        <v>0</v>
      </c>
      <c r="AL652" s="147">
        <v>0</v>
      </c>
      <c r="AM652" s="147">
        <v>0</v>
      </c>
      <c r="AN652" s="147">
        <v>0</v>
      </c>
      <c r="AO652" s="147">
        <v>0</v>
      </c>
      <c r="AP652" s="147">
        <v>172425.71238466175</v>
      </c>
    </row>
    <row r="653" spans="2:42" ht="12.75" customHeight="1">
      <c r="B653" s="122" t="str">
        <v>Operação Geral</v>
      </c>
      <c r="C653" s="329" t="str">
        <v>6</v>
      </c>
      <c r="D653" s="329" t="str">
        <v>6.1.2</v>
      </c>
      <c r="E653" s="329">
        <v>0</v>
      </c>
      <c r="F653" s="329">
        <v>0</v>
      </c>
      <c r="G653" s="122" t="str">
        <v>Detecção de Altura</v>
      </c>
      <c r="H653" s="122" t="b">
        <v>0</v>
      </c>
      <c r="I653" s="122" t="b">
        <v>0</v>
      </c>
      <c r="J653" s="122" t="b">
        <v>0</v>
      </c>
      <c r="K653" s="122" t="b">
        <v>1</v>
      </c>
      <c r="L653" s="147">
        <v>0</v>
      </c>
      <c r="M653" s="147">
        <v>1213932.3398348638</v>
      </c>
      <c r="N653" s="147">
        <v>0</v>
      </c>
      <c r="O653" s="147">
        <v>0</v>
      </c>
      <c r="P653" s="147">
        <v>0</v>
      </c>
      <c r="Q653" s="147">
        <v>0</v>
      </c>
      <c r="R653" s="147">
        <v>0</v>
      </c>
      <c r="S653" s="147">
        <v>0</v>
      </c>
      <c r="T653" s="147">
        <v>0</v>
      </c>
      <c r="U653" s="147">
        <v>0</v>
      </c>
      <c r="V653" s="147">
        <v>0</v>
      </c>
      <c r="W653" s="147">
        <v>0</v>
      </c>
      <c r="X653" s="147">
        <v>0</v>
      </c>
      <c r="Y653" s="147">
        <v>0</v>
      </c>
      <c r="Z653" s="147">
        <v>0</v>
      </c>
      <c r="AA653" s="147">
        <v>0</v>
      </c>
      <c r="AB653" s="147">
        <v>0</v>
      </c>
      <c r="AC653" s="147">
        <v>0</v>
      </c>
      <c r="AD653" s="147">
        <v>0</v>
      </c>
      <c r="AE653" s="147">
        <v>0</v>
      </c>
      <c r="AF653" s="147">
        <v>0</v>
      </c>
      <c r="AG653" s="147">
        <v>0</v>
      </c>
      <c r="AH653" s="147">
        <v>0</v>
      </c>
      <c r="AI653" s="147">
        <v>0</v>
      </c>
      <c r="AJ653" s="147">
        <v>0</v>
      </c>
      <c r="AK653" s="147">
        <v>0</v>
      </c>
      <c r="AL653" s="147">
        <v>0</v>
      </c>
      <c r="AM653" s="147">
        <v>0</v>
      </c>
      <c r="AN653" s="147">
        <v>0</v>
      </c>
      <c r="AO653" s="147">
        <v>0</v>
      </c>
      <c r="AP653" s="147">
        <v>1213932.3398348638</v>
      </c>
    </row>
    <row r="654" spans="2:42" ht="12.75" customHeight="1">
      <c r="B654" s="122" t="str">
        <v>Operação Geral</v>
      </c>
      <c r="C654" s="329" t="str">
        <v>6</v>
      </c>
      <c r="D654" s="329" t="str">
        <v>6.1.2</v>
      </c>
      <c r="E654" s="329">
        <v>0</v>
      </c>
      <c r="F654" s="329">
        <v>0</v>
      </c>
      <c r="G654" s="122" t="str">
        <v>Sistema de Circuito fechado de TV</v>
      </c>
      <c r="H654" s="122" t="b">
        <v>0</v>
      </c>
      <c r="I654" s="122" t="b">
        <v>0</v>
      </c>
      <c r="J654" s="122" t="b">
        <v>0</v>
      </c>
      <c r="K654" s="122" t="b">
        <v>1</v>
      </c>
      <c r="L654" s="147">
        <v>0</v>
      </c>
      <c r="M654" s="147">
        <v>0</v>
      </c>
      <c r="N654" s="147">
        <v>0</v>
      </c>
      <c r="O654" s="147">
        <v>0</v>
      </c>
      <c r="P654" s="147">
        <v>0</v>
      </c>
      <c r="Q654" s="147">
        <v>0</v>
      </c>
      <c r="R654" s="147">
        <v>0</v>
      </c>
      <c r="S654" s="147">
        <v>0</v>
      </c>
      <c r="T654" s="147">
        <v>0</v>
      </c>
      <c r="U654" s="147">
        <v>0</v>
      </c>
      <c r="V654" s="147">
        <v>0</v>
      </c>
      <c r="W654" s="147">
        <v>0</v>
      </c>
      <c r="X654" s="147">
        <v>0</v>
      </c>
      <c r="Y654" s="147">
        <v>0</v>
      </c>
      <c r="Z654" s="147">
        <v>0</v>
      </c>
      <c r="AA654" s="147">
        <v>0</v>
      </c>
      <c r="AB654" s="147">
        <v>0</v>
      </c>
      <c r="AC654" s="147">
        <v>0</v>
      </c>
      <c r="AD654" s="147">
        <v>0</v>
      </c>
      <c r="AE654" s="147">
        <v>0</v>
      </c>
      <c r="AF654" s="147">
        <v>0</v>
      </c>
      <c r="AG654" s="147">
        <v>0</v>
      </c>
      <c r="AH654" s="147">
        <v>0</v>
      </c>
      <c r="AI654" s="147">
        <v>0</v>
      </c>
      <c r="AJ654" s="147">
        <v>0</v>
      </c>
      <c r="AK654" s="147">
        <v>0</v>
      </c>
      <c r="AL654" s="147">
        <v>0</v>
      </c>
      <c r="AM654" s="147">
        <v>0</v>
      </c>
      <c r="AN654" s="147">
        <v>0</v>
      </c>
      <c r="AO654" s="147">
        <v>0</v>
      </c>
      <c r="AP654" s="147">
        <v>0</v>
      </c>
    </row>
    <row r="655" spans="2:42" ht="12.75" customHeight="1">
      <c r="B655" s="122" t="str">
        <v>Operação Geral</v>
      </c>
      <c r="C655" s="329" t="str">
        <v>6</v>
      </c>
      <c r="D655" s="329" t="str">
        <v>6.1.2</v>
      </c>
      <c r="E655" s="329">
        <v>1</v>
      </c>
      <c r="F655" s="329">
        <v>0</v>
      </c>
      <c r="G655" s="122" t="str">
        <v>Sistema Completo - CFTV (Equipamentos, instalação e monitoramento)</v>
      </c>
      <c r="H655" s="122" t="b">
        <v>0</v>
      </c>
      <c r="I655" s="122" t="b">
        <v>0</v>
      </c>
      <c r="J655" s="122" t="b">
        <v>0</v>
      </c>
      <c r="K655" s="122" t="b">
        <v>1</v>
      </c>
      <c r="L655" s="147">
        <v>0</v>
      </c>
      <c r="M655" s="147">
        <v>0</v>
      </c>
      <c r="N655" s="147">
        <v>0</v>
      </c>
      <c r="O655" s="147">
        <v>0</v>
      </c>
      <c r="P655" s="147">
        <v>0</v>
      </c>
      <c r="Q655" s="147">
        <v>0</v>
      </c>
      <c r="R655" s="147">
        <v>0</v>
      </c>
      <c r="S655" s="147">
        <v>0</v>
      </c>
      <c r="T655" s="147">
        <v>0</v>
      </c>
      <c r="U655" s="147">
        <v>0</v>
      </c>
      <c r="V655" s="147">
        <v>0</v>
      </c>
      <c r="W655" s="147">
        <v>0</v>
      </c>
      <c r="X655" s="147">
        <v>0</v>
      </c>
      <c r="Y655" s="147">
        <v>0</v>
      </c>
      <c r="Z655" s="147">
        <v>0</v>
      </c>
      <c r="AA655" s="147">
        <v>0</v>
      </c>
      <c r="AB655" s="147">
        <v>0</v>
      </c>
      <c r="AC655" s="147">
        <v>0</v>
      </c>
      <c r="AD655" s="147">
        <v>0</v>
      </c>
      <c r="AE655" s="147">
        <v>0</v>
      </c>
      <c r="AF655" s="147">
        <v>0</v>
      </c>
      <c r="AG655" s="147">
        <v>0</v>
      </c>
      <c r="AH655" s="147">
        <v>0</v>
      </c>
      <c r="AI655" s="147">
        <v>0</v>
      </c>
      <c r="AJ655" s="147">
        <v>0</v>
      </c>
      <c r="AK655" s="147">
        <v>0</v>
      </c>
      <c r="AL655" s="147">
        <v>0</v>
      </c>
      <c r="AM655" s="147">
        <v>0</v>
      </c>
      <c r="AN655" s="147">
        <v>0</v>
      </c>
      <c r="AO655" s="147">
        <v>0</v>
      </c>
      <c r="AP655" s="147">
        <v>0</v>
      </c>
    </row>
    <row r="656" spans="2:42" ht="12.75" customHeight="1">
      <c r="B656" s="122" t="str">
        <v>Operação Geral</v>
      </c>
      <c r="C656" s="329" t="str">
        <v>6</v>
      </c>
      <c r="D656" s="329" t="str">
        <v>6.1.2</v>
      </c>
      <c r="E656" s="329">
        <v>1</v>
      </c>
      <c r="F656" s="329">
        <v>0</v>
      </c>
      <c r="G656" s="122" t="str">
        <v>Câmeras - CFTV (Pista)</v>
      </c>
      <c r="H656" s="122" t="b">
        <v>0</v>
      </c>
      <c r="I656" s="122" t="b">
        <v>0</v>
      </c>
      <c r="J656" s="122" t="b">
        <v>0</v>
      </c>
      <c r="K656" s="122" t="b">
        <v>1</v>
      </c>
      <c r="L656" s="147">
        <v>0</v>
      </c>
      <c r="M656" s="147">
        <v>0</v>
      </c>
      <c r="N656" s="147">
        <v>0</v>
      </c>
      <c r="O656" s="147">
        <v>0</v>
      </c>
      <c r="P656" s="147">
        <v>0</v>
      </c>
      <c r="Q656" s="147">
        <v>0</v>
      </c>
      <c r="R656" s="147">
        <v>0</v>
      </c>
      <c r="S656" s="147">
        <v>0</v>
      </c>
      <c r="T656" s="147">
        <v>0</v>
      </c>
      <c r="U656" s="147">
        <v>0</v>
      </c>
      <c r="V656" s="147">
        <v>0</v>
      </c>
      <c r="W656" s="147">
        <v>0</v>
      </c>
      <c r="X656" s="147">
        <v>0</v>
      </c>
      <c r="Y656" s="147">
        <v>0</v>
      </c>
      <c r="Z656" s="147">
        <v>0</v>
      </c>
      <c r="AA656" s="147">
        <v>0</v>
      </c>
      <c r="AB656" s="147">
        <v>0</v>
      </c>
      <c r="AC656" s="147">
        <v>0</v>
      </c>
      <c r="AD656" s="147">
        <v>0</v>
      </c>
      <c r="AE656" s="147">
        <v>0</v>
      </c>
      <c r="AF656" s="147">
        <v>0</v>
      </c>
      <c r="AG656" s="147">
        <v>0</v>
      </c>
      <c r="AH656" s="147">
        <v>0</v>
      </c>
      <c r="AI656" s="147">
        <v>0</v>
      </c>
      <c r="AJ656" s="147">
        <v>0</v>
      </c>
      <c r="AK656" s="147">
        <v>0</v>
      </c>
      <c r="AL656" s="147">
        <v>0</v>
      </c>
      <c r="AM656" s="147">
        <v>0</v>
      </c>
      <c r="AN656" s="147">
        <v>0</v>
      </c>
      <c r="AO656" s="147">
        <v>0</v>
      </c>
      <c r="AP656" s="147">
        <v>0</v>
      </c>
    </row>
    <row r="657" spans="2:42" ht="12.75" customHeight="1">
      <c r="B657" s="122" t="str">
        <v>Operação Geral</v>
      </c>
      <c r="C657" s="329" t="str">
        <v>6</v>
      </c>
      <c r="D657" s="329" t="str">
        <v>6.1.2</v>
      </c>
      <c r="E657" s="329">
        <v>1</v>
      </c>
      <c r="F657" s="329">
        <v>0</v>
      </c>
      <c r="G657" s="122" t="str">
        <v>Câmeras - CFTV - Edificações</v>
      </c>
      <c r="H657" s="122" t="b">
        <v>0</v>
      </c>
      <c r="I657" s="122" t="b">
        <v>0</v>
      </c>
      <c r="J657" s="122" t="b">
        <v>0</v>
      </c>
      <c r="K657" s="122" t="b">
        <v>1</v>
      </c>
      <c r="L657" s="147">
        <v>0</v>
      </c>
      <c r="M657" s="147">
        <v>0</v>
      </c>
      <c r="N657" s="147">
        <v>0</v>
      </c>
      <c r="O657" s="147">
        <v>0</v>
      </c>
      <c r="P657" s="147">
        <v>0</v>
      </c>
      <c r="Q657" s="147">
        <v>0</v>
      </c>
      <c r="R657" s="147">
        <v>0</v>
      </c>
      <c r="S657" s="147">
        <v>0</v>
      </c>
      <c r="T657" s="147">
        <v>0</v>
      </c>
      <c r="U657" s="147">
        <v>0</v>
      </c>
      <c r="V657" s="147">
        <v>0</v>
      </c>
      <c r="W657" s="147">
        <v>0</v>
      </c>
      <c r="X657" s="147">
        <v>0</v>
      </c>
      <c r="Y657" s="147">
        <v>0</v>
      </c>
      <c r="Z657" s="147">
        <v>0</v>
      </c>
      <c r="AA657" s="147">
        <v>0</v>
      </c>
      <c r="AB657" s="147">
        <v>0</v>
      </c>
      <c r="AC657" s="147">
        <v>0</v>
      </c>
      <c r="AD657" s="147">
        <v>0</v>
      </c>
      <c r="AE657" s="147">
        <v>0</v>
      </c>
      <c r="AF657" s="147">
        <v>0</v>
      </c>
      <c r="AG657" s="147">
        <v>0</v>
      </c>
      <c r="AH657" s="147">
        <v>0</v>
      </c>
      <c r="AI657" s="147">
        <v>0</v>
      </c>
      <c r="AJ657" s="147">
        <v>0</v>
      </c>
      <c r="AK657" s="147">
        <v>0</v>
      </c>
      <c r="AL657" s="147">
        <v>0</v>
      </c>
      <c r="AM657" s="147">
        <v>0</v>
      </c>
      <c r="AN657" s="147">
        <v>0</v>
      </c>
      <c r="AO657" s="147">
        <v>0</v>
      </c>
      <c r="AP657" s="147">
        <v>0</v>
      </c>
    </row>
    <row r="658" spans="2:42" ht="12.75" customHeight="1">
      <c r="B658" s="122" t="str">
        <v>Operação Geral</v>
      </c>
      <c r="C658" s="329" t="str">
        <v>6</v>
      </c>
      <c r="D658" s="329" t="str">
        <v>6.1.2</v>
      </c>
      <c r="E658" s="329">
        <v>1</v>
      </c>
      <c r="F658" s="329">
        <v>0</v>
      </c>
      <c r="G658" s="122" t="str">
        <v>Câmeras - CFTV - Pista de pedágio</v>
      </c>
      <c r="H658" s="122" t="b">
        <v>0</v>
      </c>
      <c r="I658" s="122" t="b">
        <v>0</v>
      </c>
      <c r="J658" s="122" t="b">
        <v>0</v>
      </c>
      <c r="K658" s="122" t="b">
        <v>1</v>
      </c>
      <c r="L658" s="147">
        <v>0</v>
      </c>
      <c r="M658" s="147">
        <v>0</v>
      </c>
      <c r="N658" s="147">
        <v>0</v>
      </c>
      <c r="O658" s="147">
        <v>0</v>
      </c>
      <c r="P658" s="147">
        <v>0</v>
      </c>
      <c r="Q658" s="147">
        <v>0</v>
      </c>
      <c r="R658" s="147">
        <v>0</v>
      </c>
      <c r="S658" s="147">
        <v>0</v>
      </c>
      <c r="T658" s="147">
        <v>0</v>
      </c>
      <c r="U658" s="147">
        <v>0</v>
      </c>
      <c r="V658" s="147">
        <v>0</v>
      </c>
      <c r="W658" s="147">
        <v>0</v>
      </c>
      <c r="X658" s="147">
        <v>0</v>
      </c>
      <c r="Y658" s="147">
        <v>0</v>
      </c>
      <c r="Z658" s="147">
        <v>0</v>
      </c>
      <c r="AA658" s="147">
        <v>0</v>
      </c>
      <c r="AB658" s="147">
        <v>0</v>
      </c>
      <c r="AC658" s="147">
        <v>0</v>
      </c>
      <c r="AD658" s="147">
        <v>0</v>
      </c>
      <c r="AE658" s="147">
        <v>0</v>
      </c>
      <c r="AF658" s="147">
        <v>0</v>
      </c>
      <c r="AG658" s="147">
        <v>0</v>
      </c>
      <c r="AH658" s="147">
        <v>0</v>
      </c>
      <c r="AI658" s="147">
        <v>0</v>
      </c>
      <c r="AJ658" s="147">
        <v>0</v>
      </c>
      <c r="AK658" s="147">
        <v>0</v>
      </c>
      <c r="AL658" s="147">
        <v>0</v>
      </c>
      <c r="AM658" s="147">
        <v>0</v>
      </c>
      <c r="AN658" s="147">
        <v>0</v>
      </c>
      <c r="AO658" s="147">
        <v>0</v>
      </c>
      <c r="AP658" s="147">
        <v>0</v>
      </c>
    </row>
    <row r="659" spans="2:42" ht="12.75" customHeight="1">
      <c r="B659" s="122" t="str">
        <v>Operação Geral</v>
      </c>
      <c r="C659" s="329" t="str">
        <v>6</v>
      </c>
      <c r="D659" s="329" t="str">
        <v>6.1.2</v>
      </c>
      <c r="E659" s="329">
        <v>1</v>
      </c>
      <c r="F659" s="329">
        <v>0</v>
      </c>
      <c r="G659" s="122" t="str">
        <v>Câmeras - Cabines de Pedágio</v>
      </c>
      <c r="H659" s="122" t="b">
        <v>0</v>
      </c>
      <c r="I659" s="122" t="b">
        <v>0</v>
      </c>
      <c r="J659" s="122" t="b">
        <v>0</v>
      </c>
      <c r="K659" s="122" t="b">
        <v>1</v>
      </c>
      <c r="L659" s="147">
        <v>0</v>
      </c>
      <c r="M659" s="147">
        <v>0</v>
      </c>
      <c r="N659" s="147">
        <v>0</v>
      </c>
      <c r="O659" s="147">
        <v>0</v>
      </c>
      <c r="P659" s="147">
        <v>0</v>
      </c>
      <c r="Q659" s="147">
        <v>0</v>
      </c>
      <c r="R659" s="147">
        <v>0</v>
      </c>
      <c r="S659" s="147">
        <v>0</v>
      </c>
      <c r="T659" s="147">
        <v>0</v>
      </c>
      <c r="U659" s="147">
        <v>0</v>
      </c>
      <c r="V659" s="147">
        <v>0</v>
      </c>
      <c r="W659" s="147">
        <v>0</v>
      </c>
      <c r="X659" s="147">
        <v>0</v>
      </c>
      <c r="Y659" s="147">
        <v>0</v>
      </c>
      <c r="Z659" s="147">
        <v>0</v>
      </c>
      <c r="AA659" s="147">
        <v>0</v>
      </c>
      <c r="AB659" s="147">
        <v>0</v>
      </c>
      <c r="AC659" s="147">
        <v>0</v>
      </c>
      <c r="AD659" s="147">
        <v>0</v>
      </c>
      <c r="AE659" s="147">
        <v>0</v>
      </c>
      <c r="AF659" s="147">
        <v>0</v>
      </c>
      <c r="AG659" s="147">
        <v>0</v>
      </c>
      <c r="AH659" s="147">
        <v>0</v>
      </c>
      <c r="AI659" s="147">
        <v>0</v>
      </c>
      <c r="AJ659" s="147">
        <v>0</v>
      </c>
      <c r="AK659" s="147">
        <v>0</v>
      </c>
      <c r="AL659" s="147">
        <v>0</v>
      </c>
      <c r="AM659" s="147">
        <v>0</v>
      </c>
      <c r="AN659" s="147">
        <v>0</v>
      </c>
      <c r="AO659" s="147">
        <v>0</v>
      </c>
      <c r="AP659" s="147">
        <v>0</v>
      </c>
    </row>
    <row r="660" spans="2:42" ht="12.75" customHeight="1">
      <c r="B660" s="122" t="str">
        <v>Operação Geral</v>
      </c>
      <c r="C660" s="329" t="str">
        <v>6</v>
      </c>
      <c r="D660" s="329" t="str">
        <v>6.1.2</v>
      </c>
      <c r="E660" s="329">
        <v>1</v>
      </c>
      <c r="F660" s="329">
        <v>0</v>
      </c>
      <c r="G660" s="122" t="str">
        <v>NVR – gerenciamento de armazenamento de vídeos</v>
      </c>
      <c r="H660" s="122" t="b">
        <v>0</v>
      </c>
      <c r="I660" s="122" t="b">
        <v>0</v>
      </c>
      <c r="J660" s="122" t="b">
        <v>0</v>
      </c>
      <c r="K660" s="122" t="b">
        <v>1</v>
      </c>
      <c r="L660" s="147">
        <v>0</v>
      </c>
      <c r="M660" s="147">
        <v>0</v>
      </c>
      <c r="N660" s="147">
        <v>0</v>
      </c>
      <c r="O660" s="147">
        <v>0</v>
      </c>
      <c r="P660" s="147">
        <v>0</v>
      </c>
      <c r="Q660" s="147">
        <v>0</v>
      </c>
      <c r="R660" s="147">
        <v>0</v>
      </c>
      <c r="S660" s="147">
        <v>0</v>
      </c>
      <c r="T660" s="147">
        <v>0</v>
      </c>
      <c r="U660" s="147">
        <v>0</v>
      </c>
      <c r="V660" s="147">
        <v>0</v>
      </c>
      <c r="W660" s="147">
        <v>0</v>
      </c>
      <c r="X660" s="147">
        <v>0</v>
      </c>
      <c r="Y660" s="147">
        <v>0</v>
      </c>
      <c r="Z660" s="147">
        <v>0</v>
      </c>
      <c r="AA660" s="147">
        <v>0</v>
      </c>
      <c r="AB660" s="147">
        <v>0</v>
      </c>
      <c r="AC660" s="147">
        <v>0</v>
      </c>
      <c r="AD660" s="147">
        <v>0</v>
      </c>
      <c r="AE660" s="147">
        <v>0</v>
      </c>
      <c r="AF660" s="147">
        <v>0</v>
      </c>
      <c r="AG660" s="147">
        <v>0</v>
      </c>
      <c r="AH660" s="147">
        <v>0</v>
      </c>
      <c r="AI660" s="147">
        <v>0</v>
      </c>
      <c r="AJ660" s="147">
        <v>0</v>
      </c>
      <c r="AK660" s="147">
        <v>0</v>
      </c>
      <c r="AL660" s="147">
        <v>0</v>
      </c>
      <c r="AM660" s="147">
        <v>0</v>
      </c>
      <c r="AN660" s="147">
        <v>0</v>
      </c>
      <c r="AO660" s="147">
        <v>0</v>
      </c>
      <c r="AP660" s="147">
        <v>0</v>
      </c>
    </row>
    <row r="661" spans="2:42" ht="12.75" customHeight="1">
      <c r="B661" s="122" t="str">
        <v>Operação Geral</v>
      </c>
      <c r="C661" s="329" t="str">
        <v>6</v>
      </c>
      <c r="D661" s="329" t="str">
        <v>6.1.2</v>
      </c>
      <c r="E661" s="329">
        <v>1</v>
      </c>
      <c r="F661" s="329">
        <v>0</v>
      </c>
      <c r="G661" s="122" t="str">
        <v>Câmeras - CFTV - Passarelas</v>
      </c>
      <c r="H661" s="122" t="b">
        <v>0</v>
      </c>
      <c r="I661" s="122" t="b">
        <v>0</v>
      </c>
      <c r="J661" s="122" t="b">
        <v>0</v>
      </c>
      <c r="K661" s="122" t="b">
        <v>1</v>
      </c>
      <c r="L661" s="147">
        <v>0</v>
      </c>
      <c r="M661" s="147">
        <v>0</v>
      </c>
      <c r="N661" s="147">
        <v>0</v>
      </c>
      <c r="O661" s="147">
        <v>0</v>
      </c>
      <c r="P661" s="147">
        <v>0</v>
      </c>
      <c r="Q661" s="147">
        <v>0</v>
      </c>
      <c r="R661" s="147">
        <v>0</v>
      </c>
      <c r="S661" s="147">
        <v>0</v>
      </c>
      <c r="T661" s="147">
        <v>0</v>
      </c>
      <c r="U661" s="147">
        <v>0</v>
      </c>
      <c r="V661" s="147">
        <v>0</v>
      </c>
      <c r="W661" s="147">
        <v>0</v>
      </c>
      <c r="X661" s="147">
        <v>0</v>
      </c>
      <c r="Y661" s="147">
        <v>0</v>
      </c>
      <c r="Z661" s="147">
        <v>0</v>
      </c>
      <c r="AA661" s="147">
        <v>0</v>
      </c>
      <c r="AB661" s="147">
        <v>0</v>
      </c>
      <c r="AC661" s="147">
        <v>0</v>
      </c>
      <c r="AD661" s="147">
        <v>0</v>
      </c>
      <c r="AE661" s="147">
        <v>0</v>
      </c>
      <c r="AF661" s="147">
        <v>0</v>
      </c>
      <c r="AG661" s="147">
        <v>0</v>
      </c>
      <c r="AH661" s="147">
        <v>0</v>
      </c>
      <c r="AI661" s="147">
        <v>0</v>
      </c>
      <c r="AJ661" s="147">
        <v>0</v>
      </c>
      <c r="AK661" s="147">
        <v>0</v>
      </c>
      <c r="AL661" s="147">
        <v>0</v>
      </c>
      <c r="AM661" s="147">
        <v>0</v>
      </c>
      <c r="AN661" s="147">
        <v>0</v>
      </c>
      <c r="AO661" s="147">
        <v>0</v>
      </c>
      <c r="AP661" s="147">
        <v>0</v>
      </c>
    </row>
    <row r="662" spans="2:42" ht="12.75" customHeight="1">
      <c r="B662" s="122" t="str">
        <v>Operação Geral</v>
      </c>
      <c r="C662" s="329" t="str">
        <v>6</v>
      </c>
      <c r="D662" s="329" t="str">
        <v>6.1.2</v>
      </c>
      <c r="E662" s="329">
        <v>0</v>
      </c>
      <c r="F662" s="329">
        <v>0</v>
      </c>
      <c r="G662" s="122" t="str">
        <v>Sistema de Controle de Velocidade</v>
      </c>
      <c r="H662" s="122" t="b">
        <v>0</v>
      </c>
      <c r="I662" s="122" t="b">
        <v>0</v>
      </c>
      <c r="J662" s="122" t="b">
        <v>0</v>
      </c>
      <c r="K662" s="122" t="b">
        <v>1</v>
      </c>
      <c r="L662" s="147">
        <v>0</v>
      </c>
      <c r="M662" s="147">
        <v>0</v>
      </c>
      <c r="N662" s="147">
        <v>0</v>
      </c>
      <c r="O662" s="147">
        <v>0</v>
      </c>
      <c r="P662" s="147">
        <v>0</v>
      </c>
      <c r="Q662" s="147">
        <v>0</v>
      </c>
      <c r="R662" s="147">
        <v>0</v>
      </c>
      <c r="S662" s="147">
        <v>0</v>
      </c>
      <c r="T662" s="147">
        <v>0</v>
      </c>
      <c r="U662" s="147">
        <v>0</v>
      </c>
      <c r="V662" s="147">
        <v>0</v>
      </c>
      <c r="W662" s="147">
        <v>0</v>
      </c>
      <c r="X662" s="147">
        <v>0</v>
      </c>
      <c r="Y662" s="147">
        <v>0</v>
      </c>
      <c r="Z662" s="147">
        <v>0</v>
      </c>
      <c r="AA662" s="147">
        <v>0</v>
      </c>
      <c r="AB662" s="147">
        <v>0</v>
      </c>
      <c r="AC662" s="147">
        <v>0</v>
      </c>
      <c r="AD662" s="147">
        <v>0</v>
      </c>
      <c r="AE662" s="147">
        <v>0</v>
      </c>
      <c r="AF662" s="147">
        <v>0</v>
      </c>
      <c r="AG662" s="147">
        <v>0</v>
      </c>
      <c r="AH662" s="147">
        <v>0</v>
      </c>
      <c r="AI662" s="147">
        <v>0</v>
      </c>
      <c r="AJ662" s="147">
        <v>0</v>
      </c>
      <c r="AK662" s="147">
        <v>0</v>
      </c>
      <c r="AL662" s="147">
        <v>0</v>
      </c>
      <c r="AM662" s="147">
        <v>0</v>
      </c>
      <c r="AN662" s="147">
        <v>0</v>
      </c>
      <c r="AO662" s="147">
        <v>0</v>
      </c>
      <c r="AP662" s="147">
        <v>0</v>
      </c>
    </row>
    <row r="663" spans="2:42" ht="12.75" customHeight="1">
      <c r="B663" s="122" t="str">
        <v>Operação Geral</v>
      </c>
      <c r="C663" s="329" t="str">
        <v>6</v>
      </c>
      <c r="D663" s="329" t="str">
        <v>6.1.2</v>
      </c>
      <c r="E663" s="329">
        <v>0</v>
      </c>
      <c r="F663" s="329">
        <v>0</v>
      </c>
      <c r="G663" s="122" t="str">
        <v>Radar Fixo - 2 Pistas</v>
      </c>
      <c r="H663" s="122" t="b">
        <v>0</v>
      </c>
      <c r="I663" s="122" t="b">
        <v>0</v>
      </c>
      <c r="J663" s="122" t="b">
        <v>0</v>
      </c>
      <c r="K663" s="122" t="b">
        <v>1</v>
      </c>
      <c r="L663" s="147">
        <v>0</v>
      </c>
      <c r="M663" s="147">
        <v>0</v>
      </c>
      <c r="N663" s="147">
        <v>392187.06531251292</v>
      </c>
      <c r="O663" s="147">
        <v>0</v>
      </c>
      <c r="P663" s="147">
        <v>0</v>
      </c>
      <c r="Q663" s="147">
        <v>0</v>
      </c>
      <c r="R663" s="147">
        <v>0</v>
      </c>
      <c r="S663" s="147">
        <v>0</v>
      </c>
      <c r="T663" s="147">
        <v>392187.06531251292</v>
      </c>
      <c r="U663" s="147">
        <v>0</v>
      </c>
      <c r="V663" s="147">
        <v>0</v>
      </c>
      <c r="W663" s="147">
        <v>0</v>
      </c>
      <c r="X663" s="147">
        <v>0</v>
      </c>
      <c r="Y663" s="147">
        <v>0</v>
      </c>
      <c r="Z663" s="147">
        <v>392187.06531251292</v>
      </c>
      <c r="AA663" s="147">
        <v>0</v>
      </c>
      <c r="AB663" s="147">
        <v>0</v>
      </c>
      <c r="AC663" s="147">
        <v>0</v>
      </c>
      <c r="AD663" s="147">
        <v>0</v>
      </c>
      <c r="AE663" s="147">
        <v>0</v>
      </c>
      <c r="AF663" s="147">
        <v>0</v>
      </c>
      <c r="AG663" s="147">
        <v>0</v>
      </c>
      <c r="AH663" s="147">
        <v>0</v>
      </c>
      <c r="AI663" s="147">
        <v>0</v>
      </c>
      <c r="AJ663" s="147">
        <v>0</v>
      </c>
      <c r="AK663" s="147">
        <v>0</v>
      </c>
      <c r="AL663" s="147">
        <v>0</v>
      </c>
      <c r="AM663" s="147">
        <v>0</v>
      </c>
      <c r="AN663" s="147">
        <v>0</v>
      </c>
      <c r="AO663" s="147">
        <v>0</v>
      </c>
      <c r="AP663" s="147">
        <v>1176561.1959375388</v>
      </c>
    </row>
    <row r="664" spans="2:42" ht="12.75" customHeight="1">
      <c r="B664" s="122" t="str">
        <v>Operação Geral</v>
      </c>
      <c r="C664" s="329" t="str">
        <v>6</v>
      </c>
      <c r="D664" s="329" t="str">
        <v>6.1.2</v>
      </c>
      <c r="E664" s="329">
        <v>0</v>
      </c>
      <c r="F664" s="329">
        <v>0</v>
      </c>
      <c r="G664" s="122" t="str">
        <v>Radar Fixo - 1 Pistas</v>
      </c>
      <c r="H664" s="122" t="b">
        <v>0</v>
      </c>
      <c r="I664" s="122" t="b">
        <v>0</v>
      </c>
      <c r="J664" s="122" t="b">
        <v>0</v>
      </c>
      <c r="K664" s="122" t="b">
        <v>1</v>
      </c>
      <c r="L664" s="147">
        <v>1406224.6020527319</v>
      </c>
      <c r="M664" s="147">
        <v>0</v>
      </c>
      <c r="N664" s="147">
        <v>0</v>
      </c>
      <c r="O664" s="147">
        <v>0</v>
      </c>
      <c r="P664" s="147">
        <v>0</v>
      </c>
      <c r="Q664" s="147">
        <v>0</v>
      </c>
      <c r="R664" s="147">
        <v>0</v>
      </c>
      <c r="S664" s="147">
        <v>0</v>
      </c>
      <c r="T664" s="147">
        <v>0</v>
      </c>
      <c r="U664" s="147">
        <v>0</v>
      </c>
      <c r="V664" s="147">
        <v>0</v>
      </c>
      <c r="W664" s="147">
        <v>0</v>
      </c>
      <c r="X664" s="147">
        <v>0</v>
      </c>
      <c r="Y664" s="147">
        <v>0</v>
      </c>
      <c r="Z664" s="147">
        <v>0</v>
      </c>
      <c r="AA664" s="147">
        <v>0</v>
      </c>
      <c r="AB664" s="147">
        <v>0</v>
      </c>
      <c r="AC664" s="147">
        <v>0</v>
      </c>
      <c r="AD664" s="147">
        <v>0</v>
      </c>
      <c r="AE664" s="147">
        <v>0</v>
      </c>
      <c r="AF664" s="147">
        <v>0</v>
      </c>
      <c r="AG664" s="147">
        <v>0</v>
      </c>
      <c r="AH664" s="147">
        <v>0</v>
      </c>
      <c r="AI664" s="147">
        <v>0</v>
      </c>
      <c r="AJ664" s="147">
        <v>0</v>
      </c>
      <c r="AK664" s="147">
        <v>0</v>
      </c>
      <c r="AL664" s="147">
        <v>0</v>
      </c>
      <c r="AM664" s="147">
        <v>0</v>
      </c>
      <c r="AN664" s="147">
        <v>0</v>
      </c>
      <c r="AO664" s="147">
        <v>0</v>
      </c>
      <c r="AP664" s="147">
        <v>1406224.6020527319</v>
      </c>
    </row>
    <row r="665" spans="2:42" ht="12.75" customHeight="1">
      <c r="B665" s="122" t="str">
        <v>Operação Geral</v>
      </c>
      <c r="C665" s="329" t="str">
        <v>6</v>
      </c>
      <c r="D665" s="329" t="str">
        <v>6.1.2</v>
      </c>
      <c r="E665" s="329">
        <v>0</v>
      </c>
      <c r="F665" s="329">
        <v>0</v>
      </c>
      <c r="G665" s="122" t="str">
        <v>Radar Móvel (30 a 200 m)</v>
      </c>
      <c r="H665" s="122" t="b">
        <v>0</v>
      </c>
      <c r="I665" s="122" t="b">
        <v>0</v>
      </c>
      <c r="J665" s="122" t="b">
        <v>0</v>
      </c>
      <c r="K665" s="122" t="b">
        <v>1</v>
      </c>
      <c r="L665" s="147">
        <v>0</v>
      </c>
      <c r="M665" s="147">
        <v>0</v>
      </c>
      <c r="N665" s="147">
        <v>0</v>
      </c>
      <c r="O665" s="147">
        <v>0</v>
      </c>
      <c r="P665" s="147">
        <v>0</v>
      </c>
      <c r="Q665" s="147">
        <v>0</v>
      </c>
      <c r="R665" s="147">
        <v>0</v>
      </c>
      <c r="S665" s="147">
        <v>0</v>
      </c>
      <c r="T665" s="147">
        <v>0</v>
      </c>
      <c r="U665" s="147">
        <v>0</v>
      </c>
      <c r="V665" s="147">
        <v>0</v>
      </c>
      <c r="W665" s="147">
        <v>0</v>
      </c>
      <c r="X665" s="147">
        <v>0</v>
      </c>
      <c r="Y665" s="147">
        <v>0</v>
      </c>
      <c r="Z665" s="147">
        <v>0</v>
      </c>
      <c r="AA665" s="147">
        <v>0</v>
      </c>
      <c r="AB665" s="147">
        <v>0</v>
      </c>
      <c r="AC665" s="147">
        <v>0</v>
      </c>
      <c r="AD665" s="147">
        <v>0</v>
      </c>
      <c r="AE665" s="147">
        <v>0</v>
      </c>
      <c r="AF665" s="147">
        <v>0</v>
      </c>
      <c r="AG665" s="147">
        <v>0</v>
      </c>
      <c r="AH665" s="147">
        <v>0</v>
      </c>
      <c r="AI665" s="147">
        <v>0</v>
      </c>
      <c r="AJ665" s="147">
        <v>0</v>
      </c>
      <c r="AK665" s="147">
        <v>0</v>
      </c>
      <c r="AL665" s="147">
        <v>0</v>
      </c>
      <c r="AM665" s="147">
        <v>0</v>
      </c>
      <c r="AN665" s="147">
        <v>0</v>
      </c>
      <c r="AO665" s="147">
        <v>0</v>
      </c>
      <c r="AP665" s="147">
        <v>0</v>
      </c>
    </row>
    <row r="666" spans="2:42" ht="12.75" customHeight="1">
      <c r="B666" s="122" t="str">
        <v>Operação Geral</v>
      </c>
      <c r="C666" s="329" t="str">
        <v>6</v>
      </c>
      <c r="D666" s="329" t="str">
        <v>6.1.2</v>
      </c>
      <c r="E666" s="329">
        <v>0</v>
      </c>
      <c r="F666" s="329">
        <v>0</v>
      </c>
      <c r="G666" s="122" t="str">
        <v>Lombada Eletrônica (2 faixas)</v>
      </c>
      <c r="H666" s="122" t="b">
        <v>0</v>
      </c>
      <c r="I666" s="122" t="b">
        <v>0</v>
      </c>
      <c r="J666" s="122" t="b">
        <v>0</v>
      </c>
      <c r="K666" s="122" t="b">
        <v>1</v>
      </c>
      <c r="L666" s="147">
        <v>0</v>
      </c>
      <c r="M666" s="147">
        <v>0</v>
      </c>
      <c r="N666" s="147">
        <v>0</v>
      </c>
      <c r="O666" s="147">
        <v>0</v>
      </c>
      <c r="P666" s="147">
        <v>0</v>
      </c>
      <c r="Q666" s="147">
        <v>0</v>
      </c>
      <c r="R666" s="147">
        <v>0</v>
      </c>
      <c r="S666" s="147">
        <v>0</v>
      </c>
      <c r="T666" s="147">
        <v>0</v>
      </c>
      <c r="U666" s="147">
        <v>0</v>
      </c>
      <c r="V666" s="147">
        <v>0</v>
      </c>
      <c r="W666" s="147">
        <v>0</v>
      </c>
      <c r="X666" s="147">
        <v>0</v>
      </c>
      <c r="Y666" s="147">
        <v>0</v>
      </c>
      <c r="Z666" s="147">
        <v>0</v>
      </c>
      <c r="AA666" s="147">
        <v>0</v>
      </c>
      <c r="AB666" s="147">
        <v>0</v>
      </c>
      <c r="AC666" s="147">
        <v>0</v>
      </c>
      <c r="AD666" s="147">
        <v>0</v>
      </c>
      <c r="AE666" s="147">
        <v>0</v>
      </c>
      <c r="AF666" s="147">
        <v>0</v>
      </c>
      <c r="AG666" s="147">
        <v>0</v>
      </c>
      <c r="AH666" s="147">
        <v>0</v>
      </c>
      <c r="AI666" s="147">
        <v>0</v>
      </c>
      <c r="AJ666" s="147">
        <v>0</v>
      </c>
      <c r="AK666" s="147">
        <v>0</v>
      </c>
      <c r="AL666" s="147">
        <v>0</v>
      </c>
      <c r="AM666" s="147">
        <v>0</v>
      </c>
      <c r="AN666" s="147">
        <v>0</v>
      </c>
      <c r="AO666" s="147">
        <v>0</v>
      </c>
      <c r="AP666" s="147">
        <v>0</v>
      </c>
    </row>
    <row r="667" spans="2:42" ht="12.75" customHeight="1">
      <c r="B667" s="122" t="str">
        <v>Operação Geral</v>
      </c>
      <c r="C667" s="329" t="str">
        <v>6</v>
      </c>
      <c r="D667" s="329" t="str">
        <v>6.1.2</v>
      </c>
      <c r="E667" s="329">
        <v>0</v>
      </c>
      <c r="F667" s="329">
        <v>0</v>
      </c>
      <c r="G667" s="122" t="str">
        <v>Estação meteorológica</v>
      </c>
      <c r="H667" s="122" t="b">
        <v>0</v>
      </c>
      <c r="I667" s="122" t="b">
        <v>0</v>
      </c>
      <c r="J667" s="122" t="b">
        <v>0</v>
      </c>
      <c r="K667" s="122" t="b">
        <v>1</v>
      </c>
      <c r="L667" s="147">
        <v>0</v>
      </c>
      <c r="M667" s="147">
        <v>0</v>
      </c>
      <c r="N667" s="147">
        <v>0</v>
      </c>
      <c r="O667" s="147">
        <v>0</v>
      </c>
      <c r="P667" s="147">
        <v>0</v>
      </c>
      <c r="Q667" s="147">
        <v>0</v>
      </c>
      <c r="R667" s="147">
        <v>0</v>
      </c>
      <c r="S667" s="147">
        <v>0</v>
      </c>
      <c r="T667" s="147">
        <v>0</v>
      </c>
      <c r="U667" s="147">
        <v>0</v>
      </c>
      <c r="V667" s="147">
        <v>0</v>
      </c>
      <c r="W667" s="147">
        <v>0</v>
      </c>
      <c r="X667" s="147">
        <v>0</v>
      </c>
      <c r="Y667" s="147">
        <v>0</v>
      </c>
      <c r="Z667" s="147">
        <v>0</v>
      </c>
      <c r="AA667" s="147">
        <v>0</v>
      </c>
      <c r="AB667" s="147">
        <v>0</v>
      </c>
      <c r="AC667" s="147">
        <v>0</v>
      </c>
      <c r="AD667" s="147">
        <v>0</v>
      </c>
      <c r="AE667" s="147">
        <v>0</v>
      </c>
      <c r="AF667" s="147">
        <v>0</v>
      </c>
      <c r="AG667" s="147">
        <v>0</v>
      </c>
      <c r="AH667" s="147">
        <v>0</v>
      </c>
      <c r="AI667" s="147">
        <v>0</v>
      </c>
      <c r="AJ667" s="147">
        <v>0</v>
      </c>
      <c r="AK667" s="147">
        <v>0</v>
      </c>
      <c r="AL667" s="147">
        <v>0</v>
      </c>
      <c r="AM667" s="147">
        <v>0</v>
      </c>
      <c r="AN667" s="147">
        <v>0</v>
      </c>
      <c r="AO667" s="147">
        <v>0</v>
      </c>
      <c r="AP667" s="147">
        <v>0</v>
      </c>
    </row>
    <row r="668" spans="2:42" ht="12.75" customHeight="1">
      <c r="B668" s="122" t="str">
        <v>Operação Geral</v>
      </c>
      <c r="C668" s="329" t="str">
        <v>6</v>
      </c>
      <c r="D668" s="329" t="str">
        <v>6.1.2</v>
      </c>
      <c r="E668" s="329">
        <v>0</v>
      </c>
      <c r="F668" s="329">
        <v>0</v>
      </c>
      <c r="G668" s="122" t="str">
        <v>Base meteorológica</v>
      </c>
      <c r="H668" s="122" t="b">
        <v>0</v>
      </c>
      <c r="I668" s="122" t="b">
        <v>0</v>
      </c>
      <c r="J668" s="122" t="b">
        <v>0</v>
      </c>
      <c r="K668" s="122" t="b">
        <v>1</v>
      </c>
      <c r="L668" s="147">
        <v>0</v>
      </c>
      <c r="M668" s="147">
        <v>0</v>
      </c>
      <c r="N668" s="147">
        <v>0</v>
      </c>
      <c r="O668" s="147">
        <v>0</v>
      </c>
      <c r="P668" s="147">
        <v>0</v>
      </c>
      <c r="Q668" s="147">
        <v>0</v>
      </c>
      <c r="R668" s="147">
        <v>0</v>
      </c>
      <c r="S668" s="147">
        <v>0</v>
      </c>
      <c r="T668" s="147">
        <v>0</v>
      </c>
      <c r="U668" s="147">
        <v>0</v>
      </c>
      <c r="V668" s="147">
        <v>0</v>
      </c>
      <c r="W668" s="147">
        <v>0</v>
      </c>
      <c r="X668" s="147">
        <v>0</v>
      </c>
      <c r="Y668" s="147">
        <v>0</v>
      </c>
      <c r="Z668" s="147">
        <v>0</v>
      </c>
      <c r="AA668" s="147">
        <v>0</v>
      </c>
      <c r="AB668" s="147">
        <v>0</v>
      </c>
      <c r="AC668" s="147">
        <v>0</v>
      </c>
      <c r="AD668" s="147">
        <v>0</v>
      </c>
      <c r="AE668" s="147">
        <v>0</v>
      </c>
      <c r="AF668" s="147">
        <v>0</v>
      </c>
      <c r="AG668" s="147">
        <v>0</v>
      </c>
      <c r="AH668" s="147">
        <v>0</v>
      </c>
      <c r="AI668" s="147">
        <v>0</v>
      </c>
      <c r="AJ668" s="147">
        <v>0</v>
      </c>
      <c r="AK668" s="147">
        <v>0</v>
      </c>
      <c r="AL668" s="147">
        <v>0</v>
      </c>
      <c r="AM668" s="147">
        <v>0</v>
      </c>
      <c r="AN668" s="147">
        <v>0</v>
      </c>
      <c r="AO668" s="147">
        <v>0</v>
      </c>
      <c r="AP668" s="147">
        <v>0</v>
      </c>
    </row>
    <row r="669" spans="2:42" ht="12.75" customHeight="1">
      <c r="B669" s="122" t="str">
        <v>Operação Geral</v>
      </c>
      <c r="C669" s="329" t="str">
        <v>6</v>
      </c>
      <c r="D669" s="329" t="str">
        <v>6.1.2</v>
      </c>
      <c r="E669" s="329">
        <v>0</v>
      </c>
      <c r="F669" s="329">
        <v>0</v>
      </c>
      <c r="G669" s="122" t="str">
        <v>Painéis de Mensagens</v>
      </c>
      <c r="H669" s="122" t="b">
        <v>0</v>
      </c>
      <c r="I669" s="122" t="b">
        <v>0</v>
      </c>
      <c r="J669" s="122" t="b">
        <v>0</v>
      </c>
      <c r="K669" s="122" t="b">
        <v>1</v>
      </c>
      <c r="L669" s="147">
        <v>0</v>
      </c>
      <c r="M669" s="147">
        <v>0</v>
      </c>
      <c r="N669" s="147">
        <v>0</v>
      </c>
      <c r="O669" s="147">
        <v>0</v>
      </c>
      <c r="P669" s="147">
        <v>0</v>
      </c>
      <c r="Q669" s="147">
        <v>0</v>
      </c>
      <c r="R669" s="147">
        <v>0</v>
      </c>
      <c r="S669" s="147">
        <v>0</v>
      </c>
      <c r="T669" s="147">
        <v>0</v>
      </c>
      <c r="U669" s="147">
        <v>0</v>
      </c>
      <c r="V669" s="147">
        <v>0</v>
      </c>
      <c r="W669" s="147">
        <v>0</v>
      </c>
      <c r="X669" s="147">
        <v>0</v>
      </c>
      <c r="Y669" s="147">
        <v>0</v>
      </c>
      <c r="Z669" s="147">
        <v>0</v>
      </c>
      <c r="AA669" s="147">
        <v>0</v>
      </c>
      <c r="AB669" s="147">
        <v>0</v>
      </c>
      <c r="AC669" s="147">
        <v>0</v>
      </c>
      <c r="AD669" s="147">
        <v>0</v>
      </c>
      <c r="AE669" s="147">
        <v>0</v>
      </c>
      <c r="AF669" s="147">
        <v>0</v>
      </c>
      <c r="AG669" s="147">
        <v>0</v>
      </c>
      <c r="AH669" s="147">
        <v>0</v>
      </c>
      <c r="AI669" s="147">
        <v>0</v>
      </c>
      <c r="AJ669" s="147">
        <v>0</v>
      </c>
      <c r="AK669" s="147">
        <v>0</v>
      </c>
      <c r="AL669" s="147">
        <v>0</v>
      </c>
      <c r="AM669" s="147">
        <v>0</v>
      </c>
      <c r="AN669" s="147">
        <v>0</v>
      </c>
      <c r="AO669" s="147">
        <v>0</v>
      </c>
      <c r="AP669" s="147">
        <v>0</v>
      </c>
    </row>
    <row r="670" spans="2:42" ht="12.75" customHeight="1">
      <c r="B670" s="122" t="str">
        <v>Operação Geral</v>
      </c>
      <c r="C670" s="329" t="str">
        <v>6</v>
      </c>
      <c r="D670" s="329" t="str">
        <v>6.1.2</v>
      </c>
      <c r="E670" s="329">
        <v>0</v>
      </c>
      <c r="F670" s="329">
        <v>0</v>
      </c>
      <c r="G670" s="122" t="str">
        <v>Painel de Mensagem Variável Fixo</v>
      </c>
      <c r="H670" s="122" t="b">
        <v>0</v>
      </c>
      <c r="I670" s="122" t="b">
        <v>0</v>
      </c>
      <c r="J670" s="122" t="b">
        <v>0</v>
      </c>
      <c r="K670" s="122" t="b">
        <v>1</v>
      </c>
      <c r="L670" s="147">
        <v>0</v>
      </c>
      <c r="M670" s="147">
        <v>0</v>
      </c>
      <c r="N670" s="147">
        <v>0</v>
      </c>
      <c r="O670" s="147">
        <v>0</v>
      </c>
      <c r="P670" s="147">
        <v>0</v>
      </c>
      <c r="Q670" s="147">
        <v>0</v>
      </c>
      <c r="R670" s="147">
        <v>0</v>
      </c>
      <c r="S670" s="147">
        <v>0</v>
      </c>
      <c r="T670" s="147">
        <v>0</v>
      </c>
      <c r="U670" s="147">
        <v>0</v>
      </c>
      <c r="V670" s="147">
        <v>0</v>
      </c>
      <c r="W670" s="147">
        <v>0</v>
      </c>
      <c r="X670" s="147">
        <v>0</v>
      </c>
      <c r="Y670" s="147">
        <v>0</v>
      </c>
      <c r="Z670" s="147">
        <v>0</v>
      </c>
      <c r="AA670" s="147">
        <v>0</v>
      </c>
      <c r="AB670" s="147">
        <v>0</v>
      </c>
      <c r="AC670" s="147">
        <v>0</v>
      </c>
      <c r="AD670" s="147">
        <v>0</v>
      </c>
      <c r="AE670" s="147">
        <v>0</v>
      </c>
      <c r="AF670" s="147">
        <v>0</v>
      </c>
      <c r="AG670" s="147">
        <v>0</v>
      </c>
      <c r="AH670" s="147">
        <v>0</v>
      </c>
      <c r="AI670" s="147">
        <v>0</v>
      </c>
      <c r="AJ670" s="147">
        <v>0</v>
      </c>
      <c r="AK670" s="147">
        <v>0</v>
      </c>
      <c r="AL670" s="147">
        <v>0</v>
      </c>
      <c r="AM670" s="147">
        <v>0</v>
      </c>
      <c r="AN670" s="147">
        <v>0</v>
      </c>
      <c r="AO670" s="147">
        <v>0</v>
      </c>
      <c r="AP670" s="147">
        <v>0</v>
      </c>
    </row>
    <row r="671" spans="2:42" ht="12.75" customHeight="1">
      <c r="B671" s="122" t="str">
        <v>Operação Geral</v>
      </c>
      <c r="C671" s="329" t="str">
        <v>6</v>
      </c>
      <c r="D671" s="329" t="str">
        <v>6.1.2</v>
      </c>
      <c r="E671" s="329">
        <v>0</v>
      </c>
      <c r="F671" s="329">
        <v>0</v>
      </c>
      <c r="G671" s="122" t="str">
        <v>Painel de Mensagem Variável Móvel</v>
      </c>
      <c r="H671" s="122" t="b">
        <v>0</v>
      </c>
      <c r="I671" s="122" t="b">
        <v>0</v>
      </c>
      <c r="J671" s="122" t="b">
        <v>0</v>
      </c>
      <c r="K671" s="122" t="b">
        <v>1</v>
      </c>
      <c r="L671" s="147">
        <v>0</v>
      </c>
      <c r="M671" s="147">
        <v>0</v>
      </c>
      <c r="N671" s="147">
        <v>0</v>
      </c>
      <c r="O671" s="147">
        <v>0</v>
      </c>
      <c r="P671" s="147">
        <v>0</v>
      </c>
      <c r="Q671" s="147">
        <v>0</v>
      </c>
      <c r="R671" s="147">
        <v>0</v>
      </c>
      <c r="S671" s="147">
        <v>0</v>
      </c>
      <c r="T671" s="147">
        <v>0</v>
      </c>
      <c r="U671" s="147">
        <v>0</v>
      </c>
      <c r="V671" s="147">
        <v>0</v>
      </c>
      <c r="W671" s="147">
        <v>0</v>
      </c>
      <c r="X671" s="147">
        <v>0</v>
      </c>
      <c r="Y671" s="147">
        <v>0</v>
      </c>
      <c r="Z671" s="147">
        <v>0</v>
      </c>
      <c r="AA671" s="147">
        <v>0</v>
      </c>
      <c r="AB671" s="147">
        <v>0</v>
      </c>
      <c r="AC671" s="147">
        <v>0</v>
      </c>
      <c r="AD671" s="147">
        <v>0</v>
      </c>
      <c r="AE671" s="147">
        <v>0</v>
      </c>
      <c r="AF671" s="147">
        <v>0</v>
      </c>
      <c r="AG671" s="147">
        <v>0</v>
      </c>
      <c r="AH671" s="147">
        <v>0</v>
      </c>
      <c r="AI671" s="147">
        <v>0</v>
      </c>
      <c r="AJ671" s="147">
        <v>0</v>
      </c>
      <c r="AK671" s="147">
        <v>0</v>
      </c>
      <c r="AL671" s="147">
        <v>0</v>
      </c>
      <c r="AM671" s="147">
        <v>0</v>
      </c>
      <c r="AN671" s="147">
        <v>0</v>
      </c>
      <c r="AO671" s="147">
        <v>0</v>
      </c>
      <c r="AP671" s="147">
        <v>0</v>
      </c>
    </row>
    <row r="672" spans="2:42" ht="12.75" customHeight="1">
      <c r="B672" s="122" t="str">
        <v>Operação Geral</v>
      </c>
      <c r="C672" s="329" t="str">
        <v>6</v>
      </c>
      <c r="D672" s="329" t="str">
        <v>6.1.2</v>
      </c>
      <c r="E672" s="329">
        <v>0</v>
      </c>
      <c r="F672" s="329">
        <v>0</v>
      </c>
      <c r="G672" s="122" t="str">
        <v>Serviço de Autoatendimento (SAU)</v>
      </c>
      <c r="H672" s="122" t="b">
        <v>0</v>
      </c>
      <c r="I672" s="122" t="b">
        <v>0</v>
      </c>
      <c r="J672" s="122" t="b">
        <v>0</v>
      </c>
      <c r="K672" s="122" t="b">
        <v>1</v>
      </c>
      <c r="L672" s="147">
        <v>0</v>
      </c>
      <c r="M672" s="147">
        <v>0</v>
      </c>
      <c r="N672" s="147">
        <v>0</v>
      </c>
      <c r="O672" s="147">
        <v>0</v>
      </c>
      <c r="P672" s="147">
        <v>0</v>
      </c>
      <c r="Q672" s="147">
        <v>0</v>
      </c>
      <c r="R672" s="147">
        <v>0</v>
      </c>
      <c r="S672" s="147">
        <v>0</v>
      </c>
      <c r="T672" s="147">
        <v>0</v>
      </c>
      <c r="U672" s="147">
        <v>0</v>
      </c>
      <c r="V672" s="147">
        <v>0</v>
      </c>
      <c r="W672" s="147">
        <v>0</v>
      </c>
      <c r="X672" s="147">
        <v>0</v>
      </c>
      <c r="Y672" s="147">
        <v>0</v>
      </c>
      <c r="Z672" s="147">
        <v>0</v>
      </c>
      <c r="AA672" s="147">
        <v>0</v>
      </c>
      <c r="AB672" s="147">
        <v>0</v>
      </c>
      <c r="AC672" s="147">
        <v>0</v>
      </c>
      <c r="AD672" s="147">
        <v>0</v>
      </c>
      <c r="AE672" s="147">
        <v>0</v>
      </c>
      <c r="AF672" s="147">
        <v>0</v>
      </c>
      <c r="AG672" s="147">
        <v>0</v>
      </c>
      <c r="AH672" s="147">
        <v>0</v>
      </c>
      <c r="AI672" s="147">
        <v>0</v>
      </c>
      <c r="AJ672" s="147">
        <v>0</v>
      </c>
      <c r="AK672" s="147">
        <v>0</v>
      </c>
      <c r="AL672" s="147">
        <v>0</v>
      </c>
      <c r="AM672" s="147">
        <v>0</v>
      </c>
      <c r="AN672" s="147">
        <v>0</v>
      </c>
      <c r="AO672" s="147">
        <v>0</v>
      </c>
      <c r="AP672" s="147">
        <v>0</v>
      </c>
    </row>
    <row r="673" spans="2:42" ht="12.75" customHeight="1">
      <c r="B673" s="122" t="str">
        <v>Operação Geral</v>
      </c>
      <c r="C673" s="329" t="str">
        <v>6</v>
      </c>
      <c r="D673" s="329" t="str">
        <v>6.1.2</v>
      </c>
      <c r="E673" s="329">
        <v>0</v>
      </c>
      <c r="F673" s="329">
        <v>0</v>
      </c>
      <c r="G673" s="122" t="str">
        <v>Totem de Autoatendimento</v>
      </c>
      <c r="H673" s="122" t="b">
        <v>0</v>
      </c>
      <c r="I673" s="122" t="b">
        <v>0</v>
      </c>
      <c r="J673" s="122" t="b">
        <v>0</v>
      </c>
      <c r="K673" s="122" t="b">
        <v>1</v>
      </c>
      <c r="L673" s="147">
        <v>0</v>
      </c>
      <c r="M673" s="147">
        <v>0</v>
      </c>
      <c r="N673" s="147">
        <v>0</v>
      </c>
      <c r="O673" s="147">
        <v>0</v>
      </c>
      <c r="P673" s="147">
        <v>0</v>
      </c>
      <c r="Q673" s="147">
        <v>0</v>
      </c>
      <c r="R673" s="147">
        <v>0</v>
      </c>
      <c r="S673" s="147">
        <v>0</v>
      </c>
      <c r="T673" s="147">
        <v>0</v>
      </c>
      <c r="U673" s="147">
        <v>0</v>
      </c>
      <c r="V673" s="147">
        <v>0</v>
      </c>
      <c r="W673" s="147">
        <v>0</v>
      </c>
      <c r="X673" s="147">
        <v>0</v>
      </c>
      <c r="Y673" s="147">
        <v>0</v>
      </c>
      <c r="Z673" s="147">
        <v>0</v>
      </c>
      <c r="AA673" s="147">
        <v>0</v>
      </c>
      <c r="AB673" s="147">
        <v>0</v>
      </c>
      <c r="AC673" s="147">
        <v>0</v>
      </c>
      <c r="AD673" s="147">
        <v>0</v>
      </c>
      <c r="AE673" s="147">
        <v>0</v>
      </c>
      <c r="AF673" s="147">
        <v>0</v>
      </c>
      <c r="AG673" s="147">
        <v>0</v>
      </c>
      <c r="AH673" s="147">
        <v>0</v>
      </c>
      <c r="AI673" s="147">
        <v>0</v>
      </c>
      <c r="AJ673" s="147">
        <v>0</v>
      </c>
      <c r="AK673" s="147">
        <v>0</v>
      </c>
      <c r="AL673" s="147">
        <v>0</v>
      </c>
      <c r="AM673" s="147">
        <v>0</v>
      </c>
      <c r="AN673" s="147">
        <v>0</v>
      </c>
      <c r="AO673" s="147">
        <v>0</v>
      </c>
      <c r="AP673" s="147">
        <v>0</v>
      </c>
    </row>
    <row r="674" spans="2:42" ht="12.75" customHeight="1">
      <c r="B674" s="122" t="str">
        <v>Operação Geral</v>
      </c>
      <c r="C674" s="329" t="str">
        <v>6</v>
      </c>
      <c r="D674" s="329" t="str">
        <v>6.1.2</v>
      </c>
      <c r="E674" s="329">
        <v>0</v>
      </c>
      <c r="F674" s="329">
        <v>0</v>
      </c>
      <c r="G674" s="122" t="str">
        <v>Sistema de Radiocomunicação</v>
      </c>
      <c r="H674" s="122" t="b">
        <v>0</v>
      </c>
      <c r="I674" s="122" t="b">
        <v>0</v>
      </c>
      <c r="J674" s="122" t="b">
        <v>0</v>
      </c>
      <c r="K674" s="122" t="b">
        <v>1</v>
      </c>
      <c r="L674" s="147">
        <v>0</v>
      </c>
      <c r="M674" s="147">
        <v>0</v>
      </c>
      <c r="N674" s="147">
        <v>0</v>
      </c>
      <c r="O674" s="147">
        <v>0</v>
      </c>
      <c r="P674" s="147">
        <v>0</v>
      </c>
      <c r="Q674" s="147">
        <v>0</v>
      </c>
      <c r="R674" s="147">
        <v>0</v>
      </c>
      <c r="S674" s="147">
        <v>0</v>
      </c>
      <c r="T674" s="147">
        <v>0</v>
      </c>
      <c r="U674" s="147">
        <v>0</v>
      </c>
      <c r="V674" s="147">
        <v>0</v>
      </c>
      <c r="W674" s="147">
        <v>0</v>
      </c>
      <c r="X674" s="147">
        <v>0</v>
      </c>
      <c r="Y674" s="147">
        <v>0</v>
      </c>
      <c r="Z674" s="147">
        <v>0</v>
      </c>
      <c r="AA674" s="147">
        <v>0</v>
      </c>
      <c r="AB674" s="147">
        <v>0</v>
      </c>
      <c r="AC674" s="147">
        <v>0</v>
      </c>
      <c r="AD674" s="147">
        <v>0</v>
      </c>
      <c r="AE674" s="147">
        <v>0</v>
      </c>
      <c r="AF674" s="147">
        <v>0</v>
      </c>
      <c r="AG674" s="147">
        <v>0</v>
      </c>
      <c r="AH674" s="147">
        <v>0</v>
      </c>
      <c r="AI674" s="147">
        <v>0</v>
      </c>
      <c r="AJ674" s="147">
        <v>0</v>
      </c>
      <c r="AK674" s="147">
        <v>0</v>
      </c>
      <c r="AL674" s="147">
        <v>0</v>
      </c>
      <c r="AM674" s="147">
        <v>0</v>
      </c>
      <c r="AN674" s="147">
        <v>0</v>
      </c>
      <c r="AO674" s="147">
        <v>0</v>
      </c>
      <c r="AP674" s="147">
        <v>0</v>
      </c>
    </row>
    <row r="675" spans="2:42" ht="12.75" customHeight="1">
      <c r="B675" s="122" t="str">
        <v>Operação Geral</v>
      </c>
      <c r="C675" s="329" t="str">
        <v>6</v>
      </c>
      <c r="D675" s="329" t="str">
        <v>6.1.2</v>
      </c>
      <c r="E675" s="329">
        <v>0</v>
      </c>
      <c r="F675" s="329">
        <v>0</v>
      </c>
      <c r="G675" s="122" t="str">
        <v>Sistema de Voz e Dados</v>
      </c>
      <c r="H675" s="122" t="b">
        <v>0</v>
      </c>
      <c r="I675" s="122" t="b">
        <v>0</v>
      </c>
      <c r="J675" s="122" t="b">
        <v>0</v>
      </c>
      <c r="K675" s="122" t="b">
        <v>1</v>
      </c>
      <c r="L675" s="147">
        <v>769393.57810508052</v>
      </c>
      <c r="M675" s="147">
        <v>0</v>
      </c>
      <c r="N675" s="147">
        <v>0</v>
      </c>
      <c r="O675" s="147">
        <v>0</v>
      </c>
      <c r="P675" s="147">
        <v>0</v>
      </c>
      <c r="Q675" s="147">
        <v>0</v>
      </c>
      <c r="R675" s="147">
        <v>0</v>
      </c>
      <c r="S675" s="147">
        <v>0</v>
      </c>
      <c r="T675" s="147">
        <v>0</v>
      </c>
      <c r="U675" s="147">
        <v>0</v>
      </c>
      <c r="V675" s="147">
        <v>0</v>
      </c>
      <c r="W675" s="147">
        <v>0</v>
      </c>
      <c r="X675" s="147">
        <v>0</v>
      </c>
      <c r="Y675" s="147">
        <v>0</v>
      </c>
      <c r="Z675" s="147">
        <v>0</v>
      </c>
      <c r="AA675" s="147">
        <v>0</v>
      </c>
      <c r="AB675" s="147">
        <v>0</v>
      </c>
      <c r="AC675" s="147">
        <v>0</v>
      </c>
      <c r="AD675" s="147">
        <v>0</v>
      </c>
      <c r="AE675" s="147">
        <v>0</v>
      </c>
      <c r="AF675" s="147">
        <v>0</v>
      </c>
      <c r="AG675" s="147">
        <v>0</v>
      </c>
      <c r="AH675" s="147">
        <v>0</v>
      </c>
      <c r="AI675" s="147">
        <v>0</v>
      </c>
      <c r="AJ675" s="147">
        <v>0</v>
      </c>
      <c r="AK675" s="147">
        <v>0</v>
      </c>
      <c r="AL675" s="147">
        <v>0</v>
      </c>
      <c r="AM675" s="147">
        <v>0</v>
      </c>
      <c r="AN675" s="147">
        <v>0</v>
      </c>
      <c r="AO675" s="147">
        <v>0</v>
      </c>
      <c r="AP675" s="147">
        <v>769393.57810508052</v>
      </c>
    </row>
    <row r="676" spans="2:42" ht="12.75" customHeight="1">
      <c r="B676" s="122" t="str">
        <v>Operação Geral</v>
      </c>
      <c r="C676" s="329" t="str">
        <v>6</v>
      </c>
      <c r="D676" s="329" t="str">
        <v>6.1.2</v>
      </c>
      <c r="E676" s="329">
        <v>0</v>
      </c>
      <c r="F676" s="329">
        <v>0</v>
      </c>
      <c r="G676" s="122" t="str">
        <v>Estação Portátil</v>
      </c>
      <c r="H676" s="122" t="b">
        <v>0</v>
      </c>
      <c r="I676" s="122" t="b">
        <v>0</v>
      </c>
      <c r="J676" s="122" t="b">
        <v>0</v>
      </c>
      <c r="K676" s="122" t="b">
        <v>1</v>
      </c>
      <c r="L676" s="147">
        <v>114149.45386838781</v>
      </c>
      <c r="M676" s="147">
        <v>79026.544985806948</v>
      </c>
      <c r="N676" s="147">
        <v>21951.818051613041</v>
      </c>
      <c r="O676" s="147">
        <v>0</v>
      </c>
      <c r="P676" s="147">
        <v>0</v>
      </c>
      <c r="Q676" s="147">
        <v>0</v>
      </c>
      <c r="R676" s="147">
        <v>21951.818051613041</v>
      </c>
      <c r="S676" s="147">
        <v>0</v>
      </c>
      <c r="T676" s="147">
        <v>0</v>
      </c>
      <c r="U676" s="147">
        <v>0</v>
      </c>
      <c r="V676" s="147">
        <v>0</v>
      </c>
      <c r="W676" s="147">
        <v>0</v>
      </c>
      <c r="X676" s="147">
        <v>0</v>
      </c>
      <c r="Y676" s="147">
        <v>0</v>
      </c>
      <c r="Z676" s="147">
        <v>0</v>
      </c>
      <c r="AA676" s="147">
        <v>0</v>
      </c>
      <c r="AB676" s="147">
        <v>0</v>
      </c>
      <c r="AC676" s="147">
        <v>0</v>
      </c>
      <c r="AD676" s="147">
        <v>0</v>
      </c>
      <c r="AE676" s="147">
        <v>0</v>
      </c>
      <c r="AF676" s="147">
        <v>0</v>
      </c>
      <c r="AG676" s="147">
        <v>0</v>
      </c>
      <c r="AH676" s="147">
        <v>0</v>
      </c>
      <c r="AI676" s="147">
        <v>0</v>
      </c>
      <c r="AJ676" s="147">
        <v>0</v>
      </c>
      <c r="AK676" s="147">
        <v>0</v>
      </c>
      <c r="AL676" s="147">
        <v>0</v>
      </c>
      <c r="AM676" s="147">
        <v>0</v>
      </c>
      <c r="AN676" s="147">
        <v>0</v>
      </c>
      <c r="AO676" s="147">
        <v>0</v>
      </c>
      <c r="AP676" s="147">
        <v>237079.63495742087</v>
      </c>
    </row>
    <row r="677" spans="2:42" ht="12.75" customHeight="1">
      <c r="B677" s="122" t="str">
        <v>Operação Geral</v>
      </c>
      <c r="C677" s="329" t="str">
        <v>6</v>
      </c>
      <c r="D677" s="329" t="str">
        <v>6.1.2</v>
      </c>
      <c r="E677" s="329">
        <v>0</v>
      </c>
      <c r="F677" s="329">
        <v>0</v>
      </c>
      <c r="G677" s="122" t="str">
        <v>Estação Fixa</v>
      </c>
      <c r="H677" s="122" t="b">
        <v>0</v>
      </c>
      <c r="I677" s="122" t="b">
        <v>0</v>
      </c>
      <c r="J677" s="122" t="b">
        <v>0</v>
      </c>
      <c r="K677" s="122" t="b">
        <v>1</v>
      </c>
      <c r="L677" s="147">
        <v>192060.92325923691</v>
      </c>
      <c r="M677" s="147">
        <v>0</v>
      </c>
      <c r="N677" s="147">
        <v>0</v>
      </c>
      <c r="O677" s="147">
        <v>0</v>
      </c>
      <c r="P677" s="147">
        <v>0</v>
      </c>
      <c r="Q677" s="147">
        <v>0</v>
      </c>
      <c r="R677" s="147">
        <v>0</v>
      </c>
      <c r="S677" s="147">
        <v>0</v>
      </c>
      <c r="T677" s="147">
        <v>0</v>
      </c>
      <c r="U677" s="147">
        <v>0</v>
      </c>
      <c r="V677" s="147">
        <v>0</v>
      </c>
      <c r="W677" s="147">
        <v>0</v>
      </c>
      <c r="X677" s="147">
        <v>0</v>
      </c>
      <c r="Y677" s="147">
        <v>0</v>
      </c>
      <c r="Z677" s="147">
        <v>0</v>
      </c>
      <c r="AA677" s="147">
        <v>0</v>
      </c>
      <c r="AB677" s="147">
        <v>0</v>
      </c>
      <c r="AC677" s="147">
        <v>0</v>
      </c>
      <c r="AD677" s="147">
        <v>0</v>
      </c>
      <c r="AE677" s="147">
        <v>0</v>
      </c>
      <c r="AF677" s="147">
        <v>0</v>
      </c>
      <c r="AG677" s="147">
        <v>0</v>
      </c>
      <c r="AH677" s="147">
        <v>0</v>
      </c>
      <c r="AI677" s="147">
        <v>0</v>
      </c>
      <c r="AJ677" s="147">
        <v>0</v>
      </c>
      <c r="AK677" s="147">
        <v>0</v>
      </c>
      <c r="AL677" s="147">
        <v>0</v>
      </c>
      <c r="AM677" s="147">
        <v>0</v>
      </c>
      <c r="AN677" s="147">
        <v>0</v>
      </c>
      <c r="AO677" s="147">
        <v>0</v>
      </c>
      <c r="AP677" s="147">
        <v>192060.92325923691</v>
      </c>
    </row>
    <row r="678" spans="2:42" ht="12.75" customHeight="1">
      <c r="B678" s="122" t="str">
        <v>Operação Geral</v>
      </c>
      <c r="C678" s="329" t="str">
        <v>6</v>
      </c>
      <c r="D678" s="329" t="str">
        <v>6.1.2</v>
      </c>
      <c r="E678" s="329">
        <v>0</v>
      </c>
      <c r="F678" s="329">
        <v>0</v>
      </c>
      <c r="G678" s="122" t="str">
        <v>Estação Móvel</v>
      </c>
      <c r="H678" s="122" t="b">
        <v>0</v>
      </c>
      <c r="I678" s="122" t="b">
        <v>0</v>
      </c>
      <c r="J678" s="122" t="b">
        <v>0</v>
      </c>
      <c r="K678" s="122" t="b">
        <v>1</v>
      </c>
      <c r="L678" s="147">
        <v>129216.14122659061</v>
      </c>
      <c r="M678" s="147">
        <v>0</v>
      </c>
      <c r="N678" s="147">
        <v>0</v>
      </c>
      <c r="O678" s="147">
        <v>0</v>
      </c>
      <c r="P678" s="147">
        <v>0</v>
      </c>
      <c r="Q678" s="147">
        <v>0</v>
      </c>
      <c r="R678" s="147">
        <v>0</v>
      </c>
      <c r="S678" s="147">
        <v>0</v>
      </c>
      <c r="T678" s="147">
        <v>0</v>
      </c>
      <c r="U678" s="147">
        <v>0</v>
      </c>
      <c r="V678" s="147">
        <v>0</v>
      </c>
      <c r="W678" s="147">
        <v>0</v>
      </c>
      <c r="X678" s="147">
        <v>0</v>
      </c>
      <c r="Y678" s="147">
        <v>0</v>
      </c>
      <c r="Z678" s="147">
        <v>0</v>
      </c>
      <c r="AA678" s="147">
        <v>0</v>
      </c>
      <c r="AB678" s="147">
        <v>0</v>
      </c>
      <c r="AC678" s="147">
        <v>0</v>
      </c>
      <c r="AD678" s="147">
        <v>0</v>
      </c>
      <c r="AE678" s="147">
        <v>0</v>
      </c>
      <c r="AF678" s="147">
        <v>0</v>
      </c>
      <c r="AG678" s="147">
        <v>0</v>
      </c>
      <c r="AH678" s="147">
        <v>0</v>
      </c>
      <c r="AI678" s="147">
        <v>0</v>
      </c>
      <c r="AJ678" s="147">
        <v>0</v>
      </c>
      <c r="AK678" s="147">
        <v>0</v>
      </c>
      <c r="AL678" s="147">
        <v>0</v>
      </c>
      <c r="AM678" s="147">
        <v>0</v>
      </c>
      <c r="AN678" s="147">
        <v>0</v>
      </c>
      <c r="AO678" s="147">
        <v>0</v>
      </c>
      <c r="AP678" s="147">
        <v>129216.14122659061</v>
      </c>
    </row>
    <row r="679" spans="2:42" ht="12.75" customHeight="1">
      <c r="B679" s="122" t="str">
        <v>Operação Geral</v>
      </c>
      <c r="C679" s="329" t="str">
        <v>6</v>
      </c>
      <c r="D679" s="329" t="str">
        <v>6.1.2</v>
      </c>
      <c r="E679" s="329">
        <v>0</v>
      </c>
      <c r="F679" s="329">
        <v>0</v>
      </c>
      <c r="G679" s="122" t="str">
        <v>Repetidoras</v>
      </c>
      <c r="H679" s="122" t="b">
        <v>0</v>
      </c>
      <c r="I679" s="122" t="b">
        <v>0</v>
      </c>
      <c r="J679" s="122" t="b">
        <v>0</v>
      </c>
      <c r="K679" s="122" t="b">
        <v>1</v>
      </c>
      <c r="L679" s="147">
        <v>3165304.2468096483</v>
      </c>
      <c r="M679" s="147">
        <v>0</v>
      </c>
      <c r="N679" s="147">
        <v>0</v>
      </c>
      <c r="O679" s="147">
        <v>0</v>
      </c>
      <c r="P679" s="147">
        <v>0</v>
      </c>
      <c r="Q679" s="147">
        <v>0</v>
      </c>
      <c r="R679" s="147">
        <v>0</v>
      </c>
      <c r="S679" s="147">
        <v>0</v>
      </c>
      <c r="T679" s="147">
        <v>0</v>
      </c>
      <c r="U679" s="147">
        <v>0</v>
      </c>
      <c r="V679" s="147">
        <v>0</v>
      </c>
      <c r="W679" s="147">
        <v>0</v>
      </c>
      <c r="X679" s="147">
        <v>0</v>
      </c>
      <c r="Y679" s="147">
        <v>0</v>
      </c>
      <c r="Z679" s="147">
        <v>0</v>
      </c>
      <c r="AA679" s="147">
        <v>0</v>
      </c>
      <c r="AB679" s="147">
        <v>0</v>
      </c>
      <c r="AC679" s="147">
        <v>0</v>
      </c>
      <c r="AD679" s="147">
        <v>0</v>
      </c>
      <c r="AE679" s="147">
        <v>0</v>
      </c>
      <c r="AF679" s="147">
        <v>0</v>
      </c>
      <c r="AG679" s="147">
        <v>0</v>
      </c>
      <c r="AH679" s="147">
        <v>0</v>
      </c>
      <c r="AI679" s="147">
        <v>0</v>
      </c>
      <c r="AJ679" s="147">
        <v>0</v>
      </c>
      <c r="AK679" s="147">
        <v>0</v>
      </c>
      <c r="AL679" s="147">
        <v>0</v>
      </c>
      <c r="AM679" s="147">
        <v>0</v>
      </c>
      <c r="AN679" s="147">
        <v>0</v>
      </c>
      <c r="AO679" s="147">
        <v>0</v>
      </c>
      <c r="AP679" s="147">
        <v>3165304.2468096483</v>
      </c>
    </row>
    <row r="680" spans="2:42" ht="12.75" customHeight="1">
      <c r="B680" s="122" t="str">
        <v>Operação Geral</v>
      </c>
      <c r="C680" s="329" t="str">
        <v>6</v>
      </c>
      <c r="D680" s="329" t="str">
        <v>6.1.2</v>
      </c>
      <c r="E680" s="329">
        <v>0</v>
      </c>
      <c r="F680" s="329">
        <v>0</v>
      </c>
      <c r="G680" s="122" t="str">
        <v xml:space="preserve">Infra </v>
      </c>
      <c r="H680" s="122" t="b">
        <v>0</v>
      </c>
      <c r="I680" s="122" t="b">
        <v>0</v>
      </c>
      <c r="J680" s="122" t="b">
        <v>0</v>
      </c>
      <c r="K680" s="122" t="b">
        <v>1</v>
      </c>
      <c r="L680" s="147">
        <v>3896919.3107817876</v>
      </c>
      <c r="M680" s="147">
        <v>0</v>
      </c>
      <c r="N680" s="147">
        <v>0</v>
      </c>
      <c r="O680" s="147">
        <v>0</v>
      </c>
      <c r="P680" s="147">
        <v>0</v>
      </c>
      <c r="Q680" s="147">
        <v>0</v>
      </c>
      <c r="R680" s="147">
        <v>0</v>
      </c>
      <c r="S680" s="147">
        <v>0</v>
      </c>
      <c r="T680" s="147">
        <v>0</v>
      </c>
      <c r="U680" s="147">
        <v>0</v>
      </c>
      <c r="V680" s="147">
        <v>0</v>
      </c>
      <c r="W680" s="147">
        <v>0</v>
      </c>
      <c r="X680" s="147">
        <v>0</v>
      </c>
      <c r="Y680" s="147">
        <v>0</v>
      </c>
      <c r="Z680" s="147">
        <v>0</v>
      </c>
      <c r="AA680" s="147">
        <v>0</v>
      </c>
      <c r="AB680" s="147">
        <v>0</v>
      </c>
      <c r="AC680" s="147">
        <v>0</v>
      </c>
      <c r="AD680" s="147">
        <v>0</v>
      </c>
      <c r="AE680" s="147">
        <v>0</v>
      </c>
      <c r="AF680" s="147">
        <v>0</v>
      </c>
      <c r="AG680" s="147">
        <v>0</v>
      </c>
      <c r="AH680" s="147">
        <v>0</v>
      </c>
      <c r="AI680" s="147">
        <v>0</v>
      </c>
      <c r="AJ680" s="147">
        <v>0</v>
      </c>
      <c r="AK680" s="147">
        <v>0</v>
      </c>
      <c r="AL680" s="147">
        <v>0</v>
      </c>
      <c r="AM680" s="147">
        <v>0</v>
      </c>
      <c r="AN680" s="147">
        <v>0</v>
      </c>
      <c r="AO680" s="147">
        <v>0</v>
      </c>
      <c r="AP680" s="147">
        <v>3896919.3107817876</v>
      </c>
    </row>
    <row r="681" spans="2:42" ht="12.75" customHeight="1">
      <c r="B681" s="122" t="str">
        <v>Operação Geral</v>
      </c>
      <c r="C681" s="329" t="str">
        <v>6</v>
      </c>
      <c r="D681" s="329" t="str">
        <v>6.1.2</v>
      </c>
      <c r="E681" s="329">
        <v>0</v>
      </c>
      <c r="F681" s="329">
        <v>0</v>
      </c>
      <c r="G681" s="122" t="str">
        <v>Sistema de Telefonia Convencional</v>
      </c>
      <c r="H681" s="122" t="b">
        <v>0</v>
      </c>
      <c r="I681" s="122" t="b">
        <v>0</v>
      </c>
      <c r="J681" s="122" t="b">
        <v>0</v>
      </c>
      <c r="K681" s="122" t="b">
        <v>1</v>
      </c>
      <c r="L681" s="147">
        <v>0</v>
      </c>
      <c r="M681" s="147">
        <v>0</v>
      </c>
      <c r="N681" s="147">
        <v>0</v>
      </c>
      <c r="O681" s="147">
        <v>0</v>
      </c>
      <c r="P681" s="147">
        <v>0</v>
      </c>
      <c r="Q681" s="147">
        <v>0</v>
      </c>
      <c r="R681" s="147">
        <v>0</v>
      </c>
      <c r="S681" s="147">
        <v>0</v>
      </c>
      <c r="T681" s="147">
        <v>0</v>
      </c>
      <c r="U681" s="147">
        <v>0</v>
      </c>
      <c r="V681" s="147">
        <v>0</v>
      </c>
      <c r="W681" s="147">
        <v>0</v>
      </c>
      <c r="X681" s="147">
        <v>0</v>
      </c>
      <c r="Y681" s="147">
        <v>0</v>
      </c>
      <c r="Z681" s="147">
        <v>0</v>
      </c>
      <c r="AA681" s="147">
        <v>0</v>
      </c>
      <c r="AB681" s="147">
        <v>0</v>
      </c>
      <c r="AC681" s="147">
        <v>0</v>
      </c>
      <c r="AD681" s="147">
        <v>0</v>
      </c>
      <c r="AE681" s="147">
        <v>0</v>
      </c>
      <c r="AF681" s="147">
        <v>0</v>
      </c>
      <c r="AG681" s="147">
        <v>0</v>
      </c>
      <c r="AH681" s="147">
        <v>0</v>
      </c>
      <c r="AI681" s="147">
        <v>0</v>
      </c>
      <c r="AJ681" s="147">
        <v>0</v>
      </c>
      <c r="AK681" s="147">
        <v>0</v>
      </c>
      <c r="AL681" s="147">
        <v>0</v>
      </c>
      <c r="AM681" s="147">
        <v>0</v>
      </c>
      <c r="AN681" s="147">
        <v>0</v>
      </c>
      <c r="AO681" s="147">
        <v>0</v>
      </c>
      <c r="AP681" s="147">
        <v>0</v>
      </c>
    </row>
    <row r="682" spans="2:42" ht="12.75" customHeight="1">
      <c r="B682" s="122" t="str">
        <v>Operação Geral</v>
      </c>
      <c r="C682" s="329" t="str">
        <v>6</v>
      </c>
      <c r="D682" s="329" t="str">
        <v>6.1.2</v>
      </c>
      <c r="E682" s="329">
        <v>1</v>
      </c>
      <c r="F682" s="329">
        <v>0</v>
      </c>
      <c r="G682" s="122" t="str">
        <v>Central Telefônica - Comunicação - Switch / Firewall</v>
      </c>
      <c r="H682" s="122" t="b">
        <v>0</v>
      </c>
      <c r="I682" s="122" t="b">
        <v>0</v>
      </c>
      <c r="J682" s="122" t="b">
        <v>0</v>
      </c>
      <c r="K682" s="122" t="b">
        <v>1</v>
      </c>
      <c r="L682" s="147">
        <v>0</v>
      </c>
      <c r="M682" s="147">
        <v>0</v>
      </c>
      <c r="N682" s="147">
        <v>0</v>
      </c>
      <c r="O682" s="147">
        <v>0</v>
      </c>
      <c r="P682" s="147">
        <v>0</v>
      </c>
      <c r="Q682" s="147">
        <v>0</v>
      </c>
      <c r="R682" s="147">
        <v>0</v>
      </c>
      <c r="S682" s="147">
        <v>0</v>
      </c>
      <c r="T682" s="147">
        <v>0</v>
      </c>
      <c r="U682" s="147">
        <v>0</v>
      </c>
      <c r="V682" s="147">
        <v>0</v>
      </c>
      <c r="W682" s="147">
        <v>0</v>
      </c>
      <c r="X682" s="147">
        <v>0</v>
      </c>
      <c r="Y682" s="147">
        <v>0</v>
      </c>
      <c r="Z682" s="147">
        <v>0</v>
      </c>
      <c r="AA682" s="147">
        <v>0</v>
      </c>
      <c r="AB682" s="147">
        <v>0</v>
      </c>
      <c r="AC682" s="147">
        <v>0</v>
      </c>
      <c r="AD682" s="147">
        <v>0</v>
      </c>
      <c r="AE682" s="147">
        <v>0</v>
      </c>
      <c r="AF682" s="147">
        <v>0</v>
      </c>
      <c r="AG682" s="147">
        <v>0</v>
      </c>
      <c r="AH682" s="147">
        <v>0</v>
      </c>
      <c r="AI682" s="147">
        <v>0</v>
      </c>
      <c r="AJ682" s="147">
        <v>0</v>
      </c>
      <c r="AK682" s="147">
        <v>0</v>
      </c>
      <c r="AL682" s="147">
        <v>0</v>
      </c>
      <c r="AM682" s="147">
        <v>0</v>
      </c>
      <c r="AN682" s="147">
        <v>0</v>
      </c>
      <c r="AO682" s="147">
        <v>0</v>
      </c>
      <c r="AP682" s="147">
        <v>0</v>
      </c>
    </row>
    <row r="683" spans="2:42" ht="12.75" customHeight="1">
      <c r="B683" s="122" t="str">
        <v>Operação Geral</v>
      </c>
      <c r="C683" s="329" t="str">
        <v>6</v>
      </c>
      <c r="D683" s="329" t="str">
        <v>6.1.2</v>
      </c>
      <c r="E683" s="329">
        <v>0</v>
      </c>
      <c r="F683" s="329">
        <v>0</v>
      </c>
      <c r="G683" s="122" t="str">
        <v>Sistema de Telefonia Celular</v>
      </c>
      <c r="H683" s="122" t="b">
        <v>0</v>
      </c>
      <c r="I683" s="122" t="b">
        <v>0</v>
      </c>
      <c r="J683" s="122" t="b">
        <v>0</v>
      </c>
      <c r="K683" s="122" t="b">
        <v>1</v>
      </c>
      <c r="L683" s="147">
        <v>0</v>
      </c>
      <c r="M683" s="147">
        <v>0</v>
      </c>
      <c r="N683" s="147">
        <v>0</v>
      </c>
      <c r="O683" s="147">
        <v>0</v>
      </c>
      <c r="P683" s="147">
        <v>0</v>
      </c>
      <c r="Q683" s="147">
        <v>0</v>
      </c>
      <c r="R683" s="147">
        <v>0</v>
      </c>
      <c r="S683" s="147">
        <v>0</v>
      </c>
      <c r="T683" s="147">
        <v>0</v>
      </c>
      <c r="U683" s="147">
        <v>0</v>
      </c>
      <c r="V683" s="147">
        <v>0</v>
      </c>
      <c r="W683" s="147">
        <v>0</v>
      </c>
      <c r="X683" s="147">
        <v>0</v>
      </c>
      <c r="Y683" s="147">
        <v>0</v>
      </c>
      <c r="Z683" s="147">
        <v>0</v>
      </c>
      <c r="AA683" s="147">
        <v>0</v>
      </c>
      <c r="AB683" s="147">
        <v>0</v>
      </c>
      <c r="AC683" s="147">
        <v>0</v>
      </c>
      <c r="AD683" s="147">
        <v>0</v>
      </c>
      <c r="AE683" s="147">
        <v>0</v>
      </c>
      <c r="AF683" s="147">
        <v>0</v>
      </c>
      <c r="AG683" s="147">
        <v>0</v>
      </c>
      <c r="AH683" s="147">
        <v>0</v>
      </c>
      <c r="AI683" s="147">
        <v>0</v>
      </c>
      <c r="AJ683" s="147">
        <v>0</v>
      </c>
      <c r="AK683" s="147">
        <v>0</v>
      </c>
      <c r="AL683" s="147">
        <v>0</v>
      </c>
      <c r="AM683" s="147">
        <v>0</v>
      </c>
      <c r="AN683" s="147">
        <v>0</v>
      </c>
      <c r="AO683" s="147">
        <v>0</v>
      </c>
      <c r="AP683" s="147">
        <v>0</v>
      </c>
    </row>
    <row r="684" spans="2:42" ht="12.75" customHeight="1">
      <c r="B684" s="122" t="str">
        <v>Operação Geral</v>
      </c>
      <c r="C684" s="329" t="str">
        <v>6</v>
      </c>
      <c r="D684" s="329" t="str">
        <v>6.1.2</v>
      </c>
      <c r="E684" s="329">
        <v>0</v>
      </c>
      <c r="F684" s="329">
        <v>0</v>
      </c>
      <c r="G684" s="122" t="str">
        <v>Aparelhos celulares</v>
      </c>
      <c r="H684" s="122" t="b">
        <v>0</v>
      </c>
      <c r="I684" s="122" t="b">
        <v>0</v>
      </c>
      <c r="J684" s="122" t="b">
        <v>0</v>
      </c>
      <c r="K684" s="122" t="b">
        <v>1</v>
      </c>
      <c r="L684" s="147">
        <v>179629.19999999998</v>
      </c>
      <c r="M684" s="147">
        <v>78861.599999999991</v>
      </c>
      <c r="N684" s="147">
        <v>21906</v>
      </c>
      <c r="O684" s="147">
        <v>0</v>
      </c>
      <c r="P684" s="147">
        <v>0</v>
      </c>
      <c r="Q684" s="147">
        <v>0</v>
      </c>
      <c r="R684" s="147">
        <v>30668.399999999998</v>
      </c>
      <c r="S684" s="147">
        <v>0</v>
      </c>
      <c r="T684" s="147">
        <v>0</v>
      </c>
      <c r="U684" s="147">
        <v>0</v>
      </c>
      <c r="V684" s="147">
        <v>0</v>
      </c>
      <c r="W684" s="147">
        <v>0</v>
      </c>
      <c r="X684" s="147">
        <v>0</v>
      </c>
      <c r="Y684" s="147">
        <v>0</v>
      </c>
      <c r="Z684" s="147">
        <v>0</v>
      </c>
      <c r="AA684" s="147">
        <v>0</v>
      </c>
      <c r="AB684" s="147">
        <v>0</v>
      </c>
      <c r="AC684" s="147">
        <v>0</v>
      </c>
      <c r="AD684" s="147">
        <v>0</v>
      </c>
      <c r="AE684" s="147">
        <v>0</v>
      </c>
      <c r="AF684" s="147">
        <v>0</v>
      </c>
      <c r="AG684" s="147">
        <v>0</v>
      </c>
      <c r="AH684" s="147">
        <v>0</v>
      </c>
      <c r="AI684" s="147">
        <v>0</v>
      </c>
      <c r="AJ684" s="147">
        <v>0</v>
      </c>
      <c r="AK684" s="147">
        <v>0</v>
      </c>
      <c r="AL684" s="147">
        <v>0</v>
      </c>
      <c r="AM684" s="147">
        <v>0</v>
      </c>
      <c r="AN684" s="147">
        <v>0</v>
      </c>
      <c r="AO684" s="147">
        <v>0</v>
      </c>
      <c r="AP684" s="147">
        <v>311065.2</v>
      </c>
    </row>
    <row r="685" spans="2:42" ht="12.75" customHeight="1">
      <c r="B685" s="122" t="str">
        <v>Operação Geral</v>
      </c>
      <c r="C685" s="329" t="str">
        <v>6</v>
      </c>
      <c r="D685" s="329" t="str">
        <v>6.1.2</v>
      </c>
      <c r="E685" s="329">
        <v>0</v>
      </c>
      <c r="F685" s="329">
        <v>0</v>
      </c>
      <c r="G685" s="122" t="str">
        <v>Sistema de Controle e Arrecadação</v>
      </c>
      <c r="H685" s="122" t="b">
        <v>0</v>
      </c>
      <c r="I685" s="122" t="b">
        <v>0</v>
      </c>
      <c r="J685" s="122" t="b">
        <v>0</v>
      </c>
      <c r="K685" s="122" t="b">
        <v>1</v>
      </c>
      <c r="L685" s="147">
        <v>0</v>
      </c>
      <c r="M685" s="147">
        <v>0</v>
      </c>
      <c r="N685" s="147">
        <v>0</v>
      </c>
      <c r="O685" s="147">
        <v>0</v>
      </c>
      <c r="P685" s="147">
        <v>0</v>
      </c>
      <c r="Q685" s="147">
        <v>0</v>
      </c>
      <c r="R685" s="147">
        <v>0</v>
      </c>
      <c r="S685" s="147">
        <v>0</v>
      </c>
      <c r="T685" s="147">
        <v>0</v>
      </c>
      <c r="U685" s="147">
        <v>0</v>
      </c>
      <c r="V685" s="147">
        <v>0</v>
      </c>
      <c r="W685" s="147">
        <v>0</v>
      </c>
      <c r="X685" s="147">
        <v>0</v>
      </c>
      <c r="Y685" s="147">
        <v>0</v>
      </c>
      <c r="Z685" s="147">
        <v>0</v>
      </c>
      <c r="AA685" s="147">
        <v>0</v>
      </c>
      <c r="AB685" s="147">
        <v>0</v>
      </c>
      <c r="AC685" s="147">
        <v>0</v>
      </c>
      <c r="AD685" s="147">
        <v>0</v>
      </c>
      <c r="AE685" s="147">
        <v>0</v>
      </c>
      <c r="AF685" s="147">
        <v>0</v>
      </c>
      <c r="AG685" s="147">
        <v>0</v>
      </c>
      <c r="AH685" s="147">
        <v>0</v>
      </c>
      <c r="AI685" s="147">
        <v>0</v>
      </c>
      <c r="AJ685" s="147">
        <v>0</v>
      </c>
      <c r="AK685" s="147">
        <v>0</v>
      </c>
      <c r="AL685" s="147">
        <v>0</v>
      </c>
      <c r="AM685" s="147">
        <v>0</v>
      </c>
      <c r="AN685" s="147">
        <v>0</v>
      </c>
      <c r="AO685" s="147">
        <v>0</v>
      </c>
      <c r="AP685" s="147">
        <v>0</v>
      </c>
    </row>
    <row r="686" spans="2:42" ht="12.75" customHeight="1">
      <c r="B686" s="122" t="str">
        <v>Operação Geral</v>
      </c>
      <c r="C686" s="329" t="str">
        <v>6</v>
      </c>
      <c r="D686" s="329" t="str">
        <v>6.1.2</v>
      </c>
      <c r="E686" s="329">
        <v>0</v>
      </c>
      <c r="F686" s="329">
        <v>0</v>
      </c>
      <c r="G686" s="122" t="str">
        <v>Sistema Free Flow</v>
      </c>
      <c r="H686" s="122" t="b">
        <v>0</v>
      </c>
      <c r="I686" s="122" t="b">
        <v>0</v>
      </c>
      <c r="J686" s="122" t="b">
        <v>0</v>
      </c>
      <c r="K686" s="122" t="b">
        <v>1</v>
      </c>
      <c r="L686" s="147">
        <v>0</v>
      </c>
      <c r="M686" s="147">
        <v>0</v>
      </c>
      <c r="N686" s="147">
        <v>0</v>
      </c>
      <c r="O686" s="147">
        <v>0</v>
      </c>
      <c r="P686" s="147">
        <v>0</v>
      </c>
      <c r="Q686" s="147">
        <v>0</v>
      </c>
      <c r="R686" s="147">
        <v>0</v>
      </c>
      <c r="S686" s="147">
        <v>0</v>
      </c>
      <c r="T686" s="147">
        <v>0</v>
      </c>
      <c r="U686" s="147">
        <v>0</v>
      </c>
      <c r="V686" s="147">
        <v>0</v>
      </c>
      <c r="W686" s="147">
        <v>0</v>
      </c>
      <c r="X686" s="147">
        <v>0</v>
      </c>
      <c r="Y686" s="147">
        <v>0</v>
      </c>
      <c r="Z686" s="147">
        <v>0</v>
      </c>
      <c r="AA686" s="147">
        <v>0</v>
      </c>
      <c r="AB686" s="147">
        <v>0</v>
      </c>
      <c r="AC686" s="147">
        <v>0</v>
      </c>
      <c r="AD686" s="147">
        <v>0</v>
      </c>
      <c r="AE686" s="147">
        <v>0</v>
      </c>
      <c r="AF686" s="147">
        <v>0</v>
      </c>
      <c r="AG686" s="147">
        <v>0</v>
      </c>
      <c r="AH686" s="147">
        <v>0</v>
      </c>
      <c r="AI686" s="147">
        <v>0</v>
      </c>
      <c r="AJ686" s="147">
        <v>0</v>
      </c>
      <c r="AK686" s="147">
        <v>0</v>
      </c>
      <c r="AL686" s="147">
        <v>0</v>
      </c>
      <c r="AM686" s="147">
        <v>0</v>
      </c>
      <c r="AN686" s="147">
        <v>0</v>
      </c>
      <c r="AO686" s="147">
        <v>0</v>
      </c>
      <c r="AP686" s="147">
        <v>0</v>
      </c>
    </row>
    <row r="687" spans="2:42" ht="12.75" customHeight="1">
      <c r="B687" s="122" t="str">
        <v>Operação Geral</v>
      </c>
      <c r="C687" s="329" t="str">
        <v>6</v>
      </c>
      <c r="D687" s="329" t="str">
        <v>6.1.2</v>
      </c>
      <c r="E687" s="329">
        <v>0</v>
      </c>
      <c r="F687" s="329">
        <v>0</v>
      </c>
      <c r="G687" s="122" t="str">
        <v>Sistema (Câmeras, sensores, gerador, etc)</v>
      </c>
      <c r="H687" s="122" t="b">
        <v>0</v>
      </c>
      <c r="I687" s="122" t="b">
        <v>0</v>
      </c>
      <c r="J687" s="122" t="b">
        <v>0</v>
      </c>
      <c r="K687" s="122" t="b">
        <v>1</v>
      </c>
      <c r="L687" s="147">
        <v>6369419.7385831876</v>
      </c>
      <c r="M687" s="147">
        <v>0</v>
      </c>
      <c r="N687" s="147">
        <v>0</v>
      </c>
      <c r="O687" s="147">
        <v>0</v>
      </c>
      <c r="P687" s="147">
        <v>0</v>
      </c>
      <c r="Q687" s="147">
        <v>0</v>
      </c>
      <c r="R687" s="147">
        <v>0</v>
      </c>
      <c r="S687" s="147">
        <v>0</v>
      </c>
      <c r="T687" s="147">
        <v>0</v>
      </c>
      <c r="U687" s="147">
        <v>0</v>
      </c>
      <c r="V687" s="147">
        <v>0</v>
      </c>
      <c r="W687" s="147">
        <v>0</v>
      </c>
      <c r="X687" s="147">
        <v>0</v>
      </c>
      <c r="Y687" s="147">
        <v>0</v>
      </c>
      <c r="Z687" s="147">
        <v>0</v>
      </c>
      <c r="AA687" s="147">
        <v>0</v>
      </c>
      <c r="AB687" s="147">
        <v>0</v>
      </c>
      <c r="AC687" s="147">
        <v>0</v>
      </c>
      <c r="AD687" s="147">
        <v>0</v>
      </c>
      <c r="AE687" s="147">
        <v>0</v>
      </c>
      <c r="AF687" s="147">
        <v>0</v>
      </c>
      <c r="AG687" s="147">
        <v>0</v>
      </c>
      <c r="AH687" s="147">
        <v>0</v>
      </c>
      <c r="AI687" s="147">
        <v>0</v>
      </c>
      <c r="AJ687" s="147">
        <v>0</v>
      </c>
      <c r="AK687" s="147">
        <v>0</v>
      </c>
      <c r="AL687" s="147">
        <v>0</v>
      </c>
      <c r="AM687" s="147">
        <v>0</v>
      </c>
      <c r="AN687" s="147">
        <v>0</v>
      </c>
      <c r="AO687" s="147">
        <v>0</v>
      </c>
      <c r="AP687" s="147">
        <v>6369419.7385831876</v>
      </c>
    </row>
    <row r="688" spans="2:42" ht="12.75" customHeight="1">
      <c r="B688" s="122" t="str">
        <v>Operação Geral</v>
      </c>
      <c r="C688" s="329" t="str">
        <v>6</v>
      </c>
      <c r="D688" s="329" t="str">
        <v>6.1.2</v>
      </c>
      <c r="E688" s="329">
        <v>0</v>
      </c>
      <c r="F688" s="329">
        <v>0</v>
      </c>
      <c r="G688" s="122" t="str">
        <v xml:space="preserve">Pórtico Free-flow </v>
      </c>
      <c r="H688" s="122" t="b">
        <v>0</v>
      </c>
      <c r="I688" s="122" t="b">
        <v>0</v>
      </c>
      <c r="J688" s="122" t="b">
        <v>0</v>
      </c>
      <c r="K688" s="122" t="b">
        <v>1</v>
      </c>
      <c r="L688" s="147">
        <v>623981.05434347328</v>
      </c>
      <c r="M688" s="147">
        <v>0</v>
      </c>
      <c r="N688" s="147">
        <v>0</v>
      </c>
      <c r="O688" s="147">
        <v>0</v>
      </c>
      <c r="P688" s="147">
        <v>222850.37655124048</v>
      </c>
      <c r="Q688" s="147">
        <v>222850.37655124048</v>
      </c>
      <c r="R688" s="147">
        <v>0</v>
      </c>
      <c r="S688" s="147">
        <v>0</v>
      </c>
      <c r="T688" s="147">
        <v>0</v>
      </c>
      <c r="U688" s="147">
        <v>0</v>
      </c>
      <c r="V688" s="147">
        <v>0</v>
      </c>
      <c r="W688" s="147">
        <v>0</v>
      </c>
      <c r="X688" s="147">
        <v>0</v>
      </c>
      <c r="Y688" s="147">
        <v>0</v>
      </c>
      <c r="Z688" s="147">
        <v>0</v>
      </c>
      <c r="AA688" s="147">
        <v>0</v>
      </c>
      <c r="AB688" s="147">
        <v>0</v>
      </c>
      <c r="AC688" s="147">
        <v>0</v>
      </c>
      <c r="AD688" s="147">
        <v>0</v>
      </c>
      <c r="AE688" s="147">
        <v>0</v>
      </c>
      <c r="AF688" s="147">
        <v>0</v>
      </c>
      <c r="AG688" s="147">
        <v>0</v>
      </c>
      <c r="AH688" s="147">
        <v>0</v>
      </c>
      <c r="AI688" s="147">
        <v>0</v>
      </c>
      <c r="AJ688" s="147">
        <v>0</v>
      </c>
      <c r="AK688" s="147">
        <v>0</v>
      </c>
      <c r="AL688" s="147">
        <v>0</v>
      </c>
      <c r="AM688" s="147">
        <v>0</v>
      </c>
      <c r="AN688" s="147">
        <v>0</v>
      </c>
      <c r="AO688" s="147">
        <v>0</v>
      </c>
      <c r="AP688" s="147">
        <v>1069681.8074459543</v>
      </c>
    </row>
    <row r="689" spans="2:42" ht="12.75" customHeight="1">
      <c r="B689" s="122" t="str">
        <v>Operação Geral</v>
      </c>
      <c r="C689" s="329" t="str">
        <v>6</v>
      </c>
      <c r="D689" s="329" t="str">
        <v>6.1.2</v>
      </c>
      <c r="E689" s="329">
        <v>0</v>
      </c>
      <c r="F689" s="329">
        <v>0</v>
      </c>
      <c r="G689" s="122" t="str">
        <v>Sensores de Tráfego (SAT) por localidade</v>
      </c>
      <c r="H689" s="122" t="b">
        <v>0</v>
      </c>
      <c r="I689" s="122" t="b">
        <v>0</v>
      </c>
      <c r="J689" s="122" t="b">
        <v>0</v>
      </c>
      <c r="K689" s="122" t="b">
        <v>1</v>
      </c>
      <c r="L689" s="147">
        <v>242069.00270777955</v>
      </c>
      <c r="M689" s="147">
        <v>0</v>
      </c>
      <c r="N689" s="147">
        <v>0</v>
      </c>
      <c r="O689" s="147">
        <v>0</v>
      </c>
      <c r="P689" s="147">
        <v>0</v>
      </c>
      <c r="Q689" s="147">
        <v>0</v>
      </c>
      <c r="R689" s="147">
        <v>0</v>
      </c>
      <c r="S689" s="147">
        <v>0</v>
      </c>
      <c r="T689" s="147">
        <v>0</v>
      </c>
      <c r="U689" s="147">
        <v>0</v>
      </c>
      <c r="V689" s="147">
        <v>0</v>
      </c>
      <c r="W689" s="147">
        <v>0</v>
      </c>
      <c r="X689" s="147">
        <v>0</v>
      </c>
      <c r="Y689" s="147">
        <v>0</v>
      </c>
      <c r="Z689" s="147">
        <v>0</v>
      </c>
      <c r="AA689" s="147">
        <v>0</v>
      </c>
      <c r="AB689" s="147">
        <v>0</v>
      </c>
      <c r="AC689" s="147">
        <v>0</v>
      </c>
      <c r="AD689" s="147">
        <v>0</v>
      </c>
      <c r="AE689" s="147">
        <v>0</v>
      </c>
      <c r="AF689" s="147">
        <v>0</v>
      </c>
      <c r="AG689" s="147">
        <v>0</v>
      </c>
      <c r="AH689" s="147">
        <v>0</v>
      </c>
      <c r="AI689" s="147">
        <v>0</v>
      </c>
      <c r="AJ689" s="147">
        <v>0</v>
      </c>
      <c r="AK689" s="147">
        <v>0</v>
      </c>
      <c r="AL689" s="147">
        <v>0</v>
      </c>
      <c r="AM689" s="147">
        <v>0</v>
      </c>
      <c r="AN689" s="147">
        <v>0</v>
      </c>
      <c r="AO689" s="147">
        <v>0</v>
      </c>
      <c r="AP689" s="147">
        <v>242069.00270777955</v>
      </c>
    </row>
    <row r="690" spans="2:42" ht="12.75" customHeight="1">
      <c r="B690" s="122" t="str">
        <v>Operação Geral</v>
      </c>
      <c r="C690" s="329" t="str">
        <v>6</v>
      </c>
      <c r="D690" s="329" t="str">
        <v>6.1.2</v>
      </c>
      <c r="E690" s="329">
        <v>0</v>
      </c>
      <c r="F690" s="329">
        <v>0</v>
      </c>
      <c r="G690" s="122" t="str">
        <v>PMV + Pórtico</v>
      </c>
      <c r="H690" s="122" t="b">
        <v>0</v>
      </c>
      <c r="I690" s="122" t="b">
        <v>0</v>
      </c>
      <c r="J690" s="122" t="b">
        <v>0</v>
      </c>
      <c r="K690" s="122" t="b">
        <v>1</v>
      </c>
      <c r="L690" s="147">
        <v>4091533.077142098</v>
      </c>
      <c r="M690" s="147">
        <v>0</v>
      </c>
      <c r="N690" s="147">
        <v>0</v>
      </c>
      <c r="O690" s="147">
        <v>0</v>
      </c>
      <c r="P690" s="147">
        <v>0</v>
      </c>
      <c r="Q690" s="147">
        <v>0</v>
      </c>
      <c r="R690" s="147">
        <v>0</v>
      </c>
      <c r="S690" s="147">
        <v>0</v>
      </c>
      <c r="T690" s="147">
        <v>0</v>
      </c>
      <c r="U690" s="147">
        <v>0</v>
      </c>
      <c r="V690" s="147">
        <v>0</v>
      </c>
      <c r="W690" s="147">
        <v>0</v>
      </c>
      <c r="X690" s="147">
        <v>0</v>
      </c>
      <c r="Y690" s="147">
        <v>0</v>
      </c>
      <c r="Z690" s="147">
        <v>0</v>
      </c>
      <c r="AA690" s="147">
        <v>0</v>
      </c>
      <c r="AB690" s="147">
        <v>0</v>
      </c>
      <c r="AC690" s="147">
        <v>0</v>
      </c>
      <c r="AD690" s="147">
        <v>0</v>
      </c>
      <c r="AE690" s="147">
        <v>0</v>
      </c>
      <c r="AF690" s="147">
        <v>0</v>
      </c>
      <c r="AG690" s="147">
        <v>0</v>
      </c>
      <c r="AH690" s="147">
        <v>0</v>
      </c>
      <c r="AI690" s="147">
        <v>0</v>
      </c>
      <c r="AJ690" s="147">
        <v>0</v>
      </c>
      <c r="AK690" s="147">
        <v>0</v>
      </c>
      <c r="AL690" s="147">
        <v>0</v>
      </c>
      <c r="AM690" s="147">
        <v>0</v>
      </c>
      <c r="AN690" s="147">
        <v>0</v>
      </c>
      <c r="AO690" s="147">
        <v>0</v>
      </c>
      <c r="AP690" s="147">
        <v>4091533.077142098</v>
      </c>
    </row>
    <row r="691" spans="2:42" ht="12.75" customHeight="1">
      <c r="B691" s="122" t="str">
        <v>Operação Geral</v>
      </c>
      <c r="C691" s="329" t="str">
        <v>6</v>
      </c>
      <c r="D691" s="329" t="str">
        <v>6.1.2</v>
      </c>
      <c r="E691" s="329">
        <v>0</v>
      </c>
      <c r="F691" s="329">
        <v>0</v>
      </c>
      <c r="G691" s="122" t="str">
        <v>Sistema HS-WIM</v>
      </c>
      <c r="H691" s="122" t="b">
        <v>0</v>
      </c>
      <c r="I691" s="122" t="b">
        <v>0</v>
      </c>
      <c r="J691" s="122" t="b">
        <v>0</v>
      </c>
      <c r="K691" s="122" t="b">
        <v>1</v>
      </c>
      <c r="L691" s="147">
        <v>0</v>
      </c>
      <c r="M691" s="147">
        <v>0</v>
      </c>
      <c r="N691" s="147">
        <v>0</v>
      </c>
      <c r="O691" s="147">
        <v>0</v>
      </c>
      <c r="P691" s="147">
        <v>0</v>
      </c>
      <c r="Q691" s="147">
        <v>0</v>
      </c>
      <c r="R691" s="147">
        <v>0</v>
      </c>
      <c r="S691" s="147">
        <v>0</v>
      </c>
      <c r="T691" s="147">
        <v>0</v>
      </c>
      <c r="U691" s="147">
        <v>0</v>
      </c>
      <c r="V691" s="147">
        <v>0</v>
      </c>
      <c r="W691" s="147">
        <v>0</v>
      </c>
      <c r="X691" s="147">
        <v>0</v>
      </c>
      <c r="Y691" s="147">
        <v>0</v>
      </c>
      <c r="Z691" s="147">
        <v>0</v>
      </c>
      <c r="AA691" s="147">
        <v>0</v>
      </c>
      <c r="AB691" s="147">
        <v>0</v>
      </c>
      <c r="AC691" s="147">
        <v>0</v>
      </c>
      <c r="AD691" s="147">
        <v>0</v>
      </c>
      <c r="AE691" s="147">
        <v>0</v>
      </c>
      <c r="AF691" s="147">
        <v>0</v>
      </c>
      <c r="AG691" s="147">
        <v>0</v>
      </c>
      <c r="AH691" s="147">
        <v>0</v>
      </c>
      <c r="AI691" s="147">
        <v>0</v>
      </c>
      <c r="AJ691" s="147">
        <v>0</v>
      </c>
      <c r="AK691" s="147">
        <v>0</v>
      </c>
      <c r="AL691" s="147">
        <v>0</v>
      </c>
      <c r="AM691" s="147">
        <v>0</v>
      </c>
      <c r="AN691" s="147">
        <v>0</v>
      </c>
      <c r="AO691" s="147">
        <v>0</v>
      </c>
      <c r="AP691" s="147">
        <v>0</v>
      </c>
    </row>
    <row r="692" spans="2:42" ht="12.75" customHeight="1">
      <c r="B692" s="122" t="str">
        <v>Operação Geral</v>
      </c>
      <c r="C692" s="329" t="str">
        <v>6</v>
      </c>
      <c r="D692" s="329" t="str">
        <v>6.1.2</v>
      </c>
      <c r="E692" s="329">
        <v>0</v>
      </c>
      <c r="F692" s="329">
        <v>0</v>
      </c>
      <c r="G692" s="122" t="str">
        <v>Câmeras</v>
      </c>
      <c r="H692" s="122" t="b">
        <v>0</v>
      </c>
      <c r="I692" s="122" t="b">
        <v>0</v>
      </c>
      <c r="J692" s="122" t="b">
        <v>0</v>
      </c>
      <c r="K692" s="122" t="b">
        <v>1</v>
      </c>
      <c r="L692" s="147">
        <v>0</v>
      </c>
      <c r="M692" s="147">
        <v>0</v>
      </c>
      <c r="N692" s="147">
        <v>0</v>
      </c>
      <c r="O692" s="147">
        <v>0</v>
      </c>
      <c r="P692" s="147">
        <v>0</v>
      </c>
      <c r="Q692" s="147">
        <v>286246.88844123256</v>
      </c>
      <c r="R692" s="147">
        <v>0</v>
      </c>
      <c r="S692" s="147">
        <v>0</v>
      </c>
      <c r="T692" s="147">
        <v>0</v>
      </c>
      <c r="U692" s="147">
        <v>0</v>
      </c>
      <c r="V692" s="147">
        <v>0</v>
      </c>
      <c r="W692" s="147">
        <v>0</v>
      </c>
      <c r="X692" s="147">
        <v>0</v>
      </c>
      <c r="Y692" s="147">
        <v>0</v>
      </c>
      <c r="Z692" s="147">
        <v>0</v>
      </c>
      <c r="AA692" s="147">
        <v>0</v>
      </c>
      <c r="AB692" s="147">
        <v>0</v>
      </c>
      <c r="AC692" s="147">
        <v>0</v>
      </c>
      <c r="AD692" s="147">
        <v>0</v>
      </c>
      <c r="AE692" s="147">
        <v>0</v>
      </c>
      <c r="AF692" s="147">
        <v>0</v>
      </c>
      <c r="AG692" s="147">
        <v>0</v>
      </c>
      <c r="AH692" s="147">
        <v>0</v>
      </c>
      <c r="AI692" s="147">
        <v>0</v>
      </c>
      <c r="AJ692" s="147">
        <v>0</v>
      </c>
      <c r="AK692" s="147">
        <v>0</v>
      </c>
      <c r="AL692" s="147">
        <v>0</v>
      </c>
      <c r="AM692" s="147">
        <v>0</v>
      </c>
      <c r="AN692" s="147">
        <v>0</v>
      </c>
      <c r="AO692" s="147">
        <v>0</v>
      </c>
      <c r="AP692" s="147">
        <v>286246.88844123256</v>
      </c>
    </row>
    <row r="693" spans="2:42" ht="12.75" customHeight="1">
      <c r="B693" s="122" t="str">
        <v>Operação Geral</v>
      </c>
      <c r="C693" s="329" t="str">
        <v>6</v>
      </c>
      <c r="D693" s="329" t="str">
        <v>6.1.2</v>
      </c>
      <c r="E693" s="329">
        <v>0</v>
      </c>
      <c r="F693" s="329">
        <v>0</v>
      </c>
      <c r="G693" s="122" t="str">
        <v>Sensores de Tráfego (SAT) por localidade</v>
      </c>
      <c r="H693" s="122" t="b">
        <v>0</v>
      </c>
      <c r="I693" s="122" t="b">
        <v>0</v>
      </c>
      <c r="J693" s="122" t="b">
        <v>0</v>
      </c>
      <c r="K693" s="122" t="b">
        <v>1</v>
      </c>
      <c r="L693" s="147">
        <v>0</v>
      </c>
      <c r="M693" s="147">
        <v>0</v>
      </c>
      <c r="N693" s="147">
        <v>0</v>
      </c>
      <c r="O693" s="147">
        <v>0</v>
      </c>
      <c r="P693" s="147">
        <v>0</v>
      </c>
      <c r="Q693" s="147">
        <v>228330.89193014853</v>
      </c>
      <c r="R693" s="147">
        <v>0</v>
      </c>
      <c r="S693" s="147">
        <v>0</v>
      </c>
      <c r="T693" s="147">
        <v>0</v>
      </c>
      <c r="U693" s="147">
        <v>0</v>
      </c>
      <c r="V693" s="147">
        <v>0</v>
      </c>
      <c r="W693" s="147">
        <v>0</v>
      </c>
      <c r="X693" s="147">
        <v>0</v>
      </c>
      <c r="Y693" s="147">
        <v>0</v>
      </c>
      <c r="Z693" s="147">
        <v>0</v>
      </c>
      <c r="AA693" s="147">
        <v>0</v>
      </c>
      <c r="AB693" s="147">
        <v>0</v>
      </c>
      <c r="AC693" s="147">
        <v>0</v>
      </c>
      <c r="AD693" s="147">
        <v>0</v>
      </c>
      <c r="AE693" s="147">
        <v>0</v>
      </c>
      <c r="AF693" s="147">
        <v>0</v>
      </c>
      <c r="AG693" s="147">
        <v>0</v>
      </c>
      <c r="AH693" s="147">
        <v>0</v>
      </c>
      <c r="AI693" s="147">
        <v>0</v>
      </c>
      <c r="AJ693" s="147">
        <v>0</v>
      </c>
      <c r="AK693" s="147">
        <v>0</v>
      </c>
      <c r="AL693" s="147">
        <v>0</v>
      </c>
      <c r="AM693" s="147">
        <v>0</v>
      </c>
      <c r="AN693" s="147">
        <v>0</v>
      </c>
      <c r="AO693" s="147">
        <v>0</v>
      </c>
      <c r="AP693" s="147">
        <v>228330.89193014853</v>
      </c>
    </row>
    <row r="694" spans="2:42" ht="12.75" customHeight="1">
      <c r="B694" s="122" t="str">
        <v>Operação Geral</v>
      </c>
      <c r="C694" s="329" t="str">
        <v>6</v>
      </c>
      <c r="D694" s="329" t="str">
        <v>6.1.2</v>
      </c>
      <c r="E694" s="329">
        <v>0</v>
      </c>
      <c r="F694" s="329">
        <v>0</v>
      </c>
      <c r="G694" s="122" t="str">
        <v>Pórtico HS-WIM (2 ou mais faixas)</v>
      </c>
      <c r="H694" s="122" t="b">
        <v>0</v>
      </c>
      <c r="I694" s="122" t="b">
        <v>0</v>
      </c>
      <c r="J694" s="122" t="b">
        <v>0</v>
      </c>
      <c r="K694" s="122" t="b">
        <v>1</v>
      </c>
      <c r="L694" s="147">
        <v>0</v>
      </c>
      <c r="M694" s="147">
        <v>0</v>
      </c>
      <c r="N694" s="147">
        <v>0</v>
      </c>
      <c r="O694" s="147">
        <v>0</v>
      </c>
      <c r="P694" s="147">
        <v>0</v>
      </c>
      <c r="Q694" s="147">
        <v>222850.37655124048</v>
      </c>
      <c r="R694" s="147">
        <v>0</v>
      </c>
      <c r="S694" s="147">
        <v>0</v>
      </c>
      <c r="T694" s="147">
        <v>0</v>
      </c>
      <c r="U694" s="147">
        <v>0</v>
      </c>
      <c r="V694" s="147">
        <v>0</v>
      </c>
      <c r="W694" s="147">
        <v>0</v>
      </c>
      <c r="X694" s="147">
        <v>0</v>
      </c>
      <c r="Y694" s="147">
        <v>0</v>
      </c>
      <c r="Z694" s="147">
        <v>0</v>
      </c>
      <c r="AA694" s="147">
        <v>0</v>
      </c>
      <c r="AB694" s="147">
        <v>0</v>
      </c>
      <c r="AC694" s="147">
        <v>0</v>
      </c>
      <c r="AD694" s="147">
        <v>0</v>
      </c>
      <c r="AE694" s="147">
        <v>0</v>
      </c>
      <c r="AF694" s="147">
        <v>0</v>
      </c>
      <c r="AG694" s="147">
        <v>0</v>
      </c>
      <c r="AH694" s="147">
        <v>0</v>
      </c>
      <c r="AI694" s="147">
        <v>0</v>
      </c>
      <c r="AJ694" s="147">
        <v>0</v>
      </c>
      <c r="AK694" s="147">
        <v>0</v>
      </c>
      <c r="AL694" s="147">
        <v>0</v>
      </c>
      <c r="AM694" s="147">
        <v>0</v>
      </c>
      <c r="AN694" s="147">
        <v>0</v>
      </c>
      <c r="AO694" s="147">
        <v>0</v>
      </c>
      <c r="AP694" s="147">
        <v>222850.37655124048</v>
      </c>
    </row>
    <row r="695" spans="2:42" ht="12.75" customHeight="1">
      <c r="B695" s="122" t="str">
        <v>Operação Geral</v>
      </c>
      <c r="C695" s="329" t="str">
        <v>6</v>
      </c>
      <c r="D695" s="329" t="str">
        <v>6.1.2</v>
      </c>
      <c r="E695" s="329">
        <v>0</v>
      </c>
      <c r="F695" s="329">
        <v>0</v>
      </c>
      <c r="G695" s="122" t="str">
        <v>PMV + Pórtico</v>
      </c>
      <c r="H695" s="122" t="b">
        <v>0</v>
      </c>
      <c r="I695" s="122" t="b">
        <v>0</v>
      </c>
      <c r="J695" s="122" t="b">
        <v>0</v>
      </c>
      <c r="K695" s="122" t="b">
        <v>1</v>
      </c>
      <c r="L695" s="147">
        <v>0</v>
      </c>
      <c r="M695" s="147">
        <v>0</v>
      </c>
      <c r="N695" s="147">
        <v>0</v>
      </c>
      <c r="O695" s="147">
        <v>0</v>
      </c>
      <c r="P695" s="147">
        <v>0</v>
      </c>
      <c r="Q695" s="147">
        <v>0</v>
      </c>
      <c r="R695" s="147">
        <v>0</v>
      </c>
      <c r="S695" s="147">
        <v>0</v>
      </c>
      <c r="T695" s="147">
        <v>0</v>
      </c>
      <c r="U695" s="147">
        <v>0</v>
      </c>
      <c r="V695" s="147">
        <v>0</v>
      </c>
      <c r="W695" s="147">
        <v>0</v>
      </c>
      <c r="X695" s="147">
        <v>0</v>
      </c>
      <c r="Y695" s="147">
        <v>0</v>
      </c>
      <c r="Z695" s="147">
        <v>0</v>
      </c>
      <c r="AA695" s="147">
        <v>0</v>
      </c>
      <c r="AB695" s="147">
        <v>0</v>
      </c>
      <c r="AC695" s="147">
        <v>0</v>
      </c>
      <c r="AD695" s="147">
        <v>0</v>
      </c>
      <c r="AE695" s="147">
        <v>0</v>
      </c>
      <c r="AF695" s="147">
        <v>0</v>
      </c>
      <c r="AG695" s="147">
        <v>0</v>
      </c>
      <c r="AH695" s="147">
        <v>0</v>
      </c>
      <c r="AI695" s="147">
        <v>0</v>
      </c>
      <c r="AJ695" s="147">
        <v>0</v>
      </c>
      <c r="AK695" s="147">
        <v>0</v>
      </c>
      <c r="AL695" s="147">
        <v>0</v>
      </c>
      <c r="AM695" s="147">
        <v>0</v>
      </c>
      <c r="AN695" s="147">
        <v>0</v>
      </c>
      <c r="AO695" s="147">
        <v>0</v>
      </c>
      <c r="AP695" s="147">
        <v>0</v>
      </c>
    </row>
    <row r="696" spans="2:42" ht="12.75" customHeight="1">
      <c r="B696" s="122" t="str">
        <v>Operação Geral</v>
      </c>
      <c r="C696" s="329" t="str">
        <v>6</v>
      </c>
      <c r="D696" s="329" t="str">
        <v>6.1.2</v>
      </c>
      <c r="E696" s="329">
        <v>0</v>
      </c>
      <c r="F696" s="329">
        <v>0</v>
      </c>
      <c r="G696" s="122" t="str">
        <v>Autoatendimento - Pagamento de pedágio</v>
      </c>
      <c r="H696" s="122" t="b">
        <v>0</v>
      </c>
      <c r="I696" s="122" t="b">
        <v>0</v>
      </c>
      <c r="J696" s="122" t="b">
        <v>0</v>
      </c>
      <c r="K696" s="122" t="b">
        <v>1</v>
      </c>
      <c r="L696" s="147">
        <v>0</v>
      </c>
      <c r="M696" s="147">
        <v>0</v>
      </c>
      <c r="N696" s="147">
        <v>0</v>
      </c>
      <c r="O696" s="147">
        <v>0</v>
      </c>
      <c r="P696" s="147">
        <v>0</v>
      </c>
      <c r="Q696" s="147">
        <v>1082952.8374784226</v>
      </c>
      <c r="R696" s="147">
        <v>0</v>
      </c>
      <c r="S696" s="147">
        <v>0</v>
      </c>
      <c r="T696" s="147">
        <v>0</v>
      </c>
      <c r="U696" s="147">
        <v>0</v>
      </c>
      <c r="V696" s="147">
        <v>0</v>
      </c>
      <c r="W696" s="147">
        <v>0</v>
      </c>
      <c r="X696" s="147">
        <v>0</v>
      </c>
      <c r="Y696" s="147">
        <v>0</v>
      </c>
      <c r="Z696" s="147">
        <v>0</v>
      </c>
      <c r="AA696" s="147">
        <v>0</v>
      </c>
      <c r="AB696" s="147">
        <v>0</v>
      </c>
      <c r="AC696" s="147">
        <v>0</v>
      </c>
      <c r="AD696" s="147">
        <v>0</v>
      </c>
      <c r="AE696" s="147">
        <v>0</v>
      </c>
      <c r="AF696" s="147">
        <v>0</v>
      </c>
      <c r="AG696" s="147">
        <v>0</v>
      </c>
      <c r="AH696" s="147">
        <v>0</v>
      </c>
      <c r="AI696" s="147">
        <v>0</v>
      </c>
      <c r="AJ696" s="147">
        <v>0</v>
      </c>
      <c r="AK696" s="147">
        <v>0</v>
      </c>
      <c r="AL696" s="147">
        <v>0</v>
      </c>
      <c r="AM696" s="147">
        <v>0</v>
      </c>
      <c r="AN696" s="147">
        <v>0</v>
      </c>
      <c r="AO696" s="147">
        <v>0</v>
      </c>
      <c r="AP696" s="147">
        <v>1082952.8374784226</v>
      </c>
    </row>
    <row r="697" spans="2:42" ht="12.75" customHeight="1">
      <c r="B697" s="122" t="str">
        <v>Operação Geral</v>
      </c>
      <c r="C697" s="329" t="str">
        <v>6</v>
      </c>
      <c r="D697" s="329" t="str">
        <v>6.1.2</v>
      </c>
      <c r="E697" s="329">
        <v>0</v>
      </c>
      <c r="F697" s="329">
        <v>0</v>
      </c>
      <c r="G697" s="122" t="str">
        <v>Totem de Autoatendimento</v>
      </c>
      <c r="H697" s="122" t="b">
        <v>0</v>
      </c>
      <c r="I697" s="122" t="b">
        <v>0</v>
      </c>
      <c r="J697" s="122" t="b">
        <v>0</v>
      </c>
      <c r="K697" s="122" t="b">
        <v>1</v>
      </c>
      <c r="L697" s="147">
        <v>602603.52594136586</v>
      </c>
      <c r="M697" s="147">
        <v>0</v>
      </c>
      <c r="N697" s="147">
        <v>0</v>
      </c>
      <c r="O697" s="147">
        <v>0</v>
      </c>
      <c r="P697" s="147">
        <v>0</v>
      </c>
      <c r="Q697" s="147">
        <v>0</v>
      </c>
      <c r="R697" s="147">
        <v>0</v>
      </c>
      <c r="S697" s="147">
        <v>0</v>
      </c>
      <c r="T697" s="147">
        <v>0</v>
      </c>
      <c r="U697" s="147">
        <v>0</v>
      </c>
      <c r="V697" s="147">
        <v>0</v>
      </c>
      <c r="W697" s="147">
        <v>0</v>
      </c>
      <c r="X697" s="147">
        <v>0</v>
      </c>
      <c r="Y697" s="147">
        <v>0</v>
      </c>
      <c r="Z697" s="147">
        <v>0</v>
      </c>
      <c r="AA697" s="147">
        <v>0</v>
      </c>
      <c r="AB697" s="147">
        <v>0</v>
      </c>
      <c r="AC697" s="147">
        <v>0</v>
      </c>
      <c r="AD697" s="147">
        <v>0</v>
      </c>
      <c r="AE697" s="147">
        <v>0</v>
      </c>
      <c r="AF697" s="147">
        <v>0</v>
      </c>
      <c r="AG697" s="147">
        <v>0</v>
      </c>
      <c r="AH697" s="147">
        <v>0</v>
      </c>
      <c r="AI697" s="147">
        <v>0</v>
      </c>
      <c r="AJ697" s="147">
        <v>0</v>
      </c>
      <c r="AK697" s="147">
        <v>0</v>
      </c>
      <c r="AL697" s="147">
        <v>0</v>
      </c>
      <c r="AM697" s="147">
        <v>0</v>
      </c>
      <c r="AN697" s="147">
        <v>0</v>
      </c>
      <c r="AO697" s="147">
        <v>0</v>
      </c>
      <c r="AP697" s="147">
        <v>602603.52594136586</v>
      </c>
    </row>
    <row r="698" spans="2:42" ht="12.75" customHeight="1">
      <c r="B698" s="122">
        <v>0</v>
      </c>
      <c r="C698" s="329" t="str">
        <v>0</v>
      </c>
      <c r="D698" s="329">
        <v>0</v>
      </c>
      <c r="E698" s="329">
        <v>0</v>
      </c>
      <c r="F698" s="329">
        <v>0</v>
      </c>
      <c r="G698" s="122">
        <v>0</v>
      </c>
      <c r="H698" s="122" t="b">
        <v>0</v>
      </c>
      <c r="I698" s="122" t="b">
        <v>0</v>
      </c>
      <c r="J698" s="122" t="b">
        <v>0</v>
      </c>
      <c r="K698" s="122" t="b">
        <v>1</v>
      </c>
      <c r="L698" s="147">
        <v>0</v>
      </c>
      <c r="M698" s="147">
        <v>0</v>
      </c>
      <c r="N698" s="147">
        <v>0</v>
      </c>
      <c r="O698" s="147">
        <v>0</v>
      </c>
      <c r="P698" s="147">
        <v>0</v>
      </c>
      <c r="Q698" s="147">
        <v>0</v>
      </c>
      <c r="R698" s="147">
        <v>0</v>
      </c>
      <c r="S698" s="147">
        <v>0</v>
      </c>
      <c r="T698" s="147">
        <v>0</v>
      </c>
      <c r="U698" s="147">
        <v>0</v>
      </c>
      <c r="V698" s="147">
        <v>0</v>
      </c>
      <c r="W698" s="147">
        <v>0</v>
      </c>
      <c r="X698" s="147">
        <v>0</v>
      </c>
      <c r="Y698" s="147">
        <v>0</v>
      </c>
      <c r="Z698" s="147">
        <v>0</v>
      </c>
      <c r="AA698" s="147">
        <v>0</v>
      </c>
      <c r="AB698" s="147">
        <v>0</v>
      </c>
      <c r="AC698" s="147">
        <v>0</v>
      </c>
      <c r="AD698" s="147">
        <v>0</v>
      </c>
      <c r="AE698" s="147">
        <v>0</v>
      </c>
      <c r="AF698" s="147">
        <v>0</v>
      </c>
      <c r="AG698" s="147">
        <v>0</v>
      </c>
      <c r="AH698" s="147">
        <v>0</v>
      </c>
      <c r="AI698" s="147">
        <v>0</v>
      </c>
      <c r="AJ698" s="147">
        <v>0</v>
      </c>
      <c r="AK698" s="147">
        <v>0</v>
      </c>
      <c r="AL698" s="147">
        <v>0</v>
      </c>
      <c r="AM698" s="147">
        <v>0</v>
      </c>
      <c r="AN698" s="147">
        <v>0</v>
      </c>
      <c r="AO698" s="147">
        <v>0</v>
      </c>
      <c r="AP698" s="147">
        <v>0</v>
      </c>
    </row>
    <row r="699" spans="2:42" ht="12.75" customHeight="1">
      <c r="B699" s="122">
        <v>0</v>
      </c>
      <c r="C699" s="329" t="str">
        <v>0</v>
      </c>
      <c r="D699" s="329">
        <v>0</v>
      </c>
      <c r="E699" s="329">
        <v>0</v>
      </c>
      <c r="F699" s="329">
        <v>0</v>
      </c>
      <c r="G699" s="122">
        <v>0</v>
      </c>
      <c r="H699" s="122" t="b">
        <v>0</v>
      </c>
      <c r="I699" s="122" t="b">
        <v>0</v>
      </c>
      <c r="J699" s="122" t="b">
        <v>0</v>
      </c>
      <c r="K699" s="122" t="b">
        <v>1</v>
      </c>
      <c r="L699" s="147">
        <v>0</v>
      </c>
      <c r="M699" s="147">
        <v>0</v>
      </c>
      <c r="N699" s="147">
        <v>0</v>
      </c>
      <c r="O699" s="147">
        <v>0</v>
      </c>
      <c r="P699" s="147">
        <v>0</v>
      </c>
      <c r="Q699" s="147">
        <v>0</v>
      </c>
      <c r="R699" s="147">
        <v>0</v>
      </c>
      <c r="S699" s="147">
        <v>0</v>
      </c>
      <c r="T699" s="147">
        <v>0</v>
      </c>
      <c r="U699" s="147">
        <v>0</v>
      </c>
      <c r="V699" s="147">
        <v>0</v>
      </c>
      <c r="W699" s="147">
        <v>0</v>
      </c>
      <c r="X699" s="147">
        <v>0</v>
      </c>
      <c r="Y699" s="147">
        <v>0</v>
      </c>
      <c r="Z699" s="147">
        <v>0</v>
      </c>
      <c r="AA699" s="147">
        <v>0</v>
      </c>
      <c r="AB699" s="147">
        <v>0</v>
      </c>
      <c r="AC699" s="147">
        <v>0</v>
      </c>
      <c r="AD699" s="147">
        <v>0</v>
      </c>
      <c r="AE699" s="147">
        <v>0</v>
      </c>
      <c r="AF699" s="147">
        <v>0</v>
      </c>
      <c r="AG699" s="147">
        <v>0</v>
      </c>
      <c r="AH699" s="147">
        <v>0</v>
      </c>
      <c r="AI699" s="147">
        <v>0</v>
      </c>
      <c r="AJ699" s="147">
        <v>0</v>
      </c>
      <c r="AK699" s="147">
        <v>0</v>
      </c>
      <c r="AL699" s="147">
        <v>0</v>
      </c>
      <c r="AM699" s="147">
        <v>0</v>
      </c>
      <c r="AN699" s="147">
        <v>0</v>
      </c>
      <c r="AO699" s="147">
        <v>0</v>
      </c>
      <c r="AP699" s="147">
        <v>0</v>
      </c>
    </row>
    <row r="700" spans="2:42" ht="12.75" customHeight="1">
      <c r="B700" s="122">
        <v>0</v>
      </c>
      <c r="C700" s="329" t="str">
        <v>0</v>
      </c>
      <c r="D700" s="329">
        <v>0</v>
      </c>
      <c r="E700" s="329">
        <v>0</v>
      </c>
      <c r="F700" s="329">
        <v>0</v>
      </c>
      <c r="G700" s="122">
        <v>0</v>
      </c>
      <c r="H700" s="122" t="b">
        <v>0</v>
      </c>
      <c r="I700" s="122" t="b">
        <v>0</v>
      </c>
      <c r="J700" s="122" t="b">
        <v>0</v>
      </c>
      <c r="K700" s="122" t="b">
        <v>1</v>
      </c>
      <c r="L700" s="147">
        <v>0</v>
      </c>
      <c r="M700" s="147">
        <v>0</v>
      </c>
      <c r="N700" s="147">
        <v>0</v>
      </c>
      <c r="O700" s="147">
        <v>0</v>
      </c>
      <c r="P700" s="147">
        <v>0</v>
      </c>
      <c r="Q700" s="147">
        <v>0</v>
      </c>
      <c r="R700" s="147">
        <v>0</v>
      </c>
      <c r="S700" s="147">
        <v>0</v>
      </c>
      <c r="T700" s="147">
        <v>0</v>
      </c>
      <c r="U700" s="147">
        <v>0</v>
      </c>
      <c r="V700" s="147">
        <v>0</v>
      </c>
      <c r="W700" s="147">
        <v>0</v>
      </c>
      <c r="X700" s="147">
        <v>0</v>
      </c>
      <c r="Y700" s="147">
        <v>0</v>
      </c>
      <c r="Z700" s="147">
        <v>0</v>
      </c>
      <c r="AA700" s="147">
        <v>0</v>
      </c>
      <c r="AB700" s="147">
        <v>0</v>
      </c>
      <c r="AC700" s="147">
        <v>0</v>
      </c>
      <c r="AD700" s="147">
        <v>0</v>
      </c>
      <c r="AE700" s="147">
        <v>0</v>
      </c>
      <c r="AF700" s="147">
        <v>0</v>
      </c>
      <c r="AG700" s="147">
        <v>0</v>
      </c>
      <c r="AH700" s="147">
        <v>0</v>
      </c>
      <c r="AI700" s="147">
        <v>0</v>
      </c>
      <c r="AJ700" s="147">
        <v>0</v>
      </c>
      <c r="AK700" s="147">
        <v>0</v>
      </c>
      <c r="AL700" s="147">
        <v>0</v>
      </c>
      <c r="AM700" s="147">
        <v>0</v>
      </c>
      <c r="AN700" s="147">
        <v>0</v>
      </c>
      <c r="AO700" s="147">
        <v>0</v>
      </c>
      <c r="AP700" s="147">
        <v>0</v>
      </c>
    </row>
    <row r="701" spans="2:42" ht="12.75" customHeight="1">
      <c r="B701" s="122">
        <v>0</v>
      </c>
      <c r="C701" s="329" t="str">
        <v>0</v>
      </c>
      <c r="D701" s="329">
        <v>0</v>
      </c>
      <c r="E701" s="329">
        <v>0</v>
      </c>
      <c r="F701" s="329">
        <v>0</v>
      </c>
      <c r="G701" s="122">
        <v>0</v>
      </c>
      <c r="H701" s="122" t="b">
        <v>0</v>
      </c>
      <c r="I701" s="122" t="b">
        <v>0</v>
      </c>
      <c r="J701" s="122" t="b">
        <v>0</v>
      </c>
      <c r="K701" s="122" t="b">
        <v>1</v>
      </c>
      <c r="L701" s="147">
        <v>0</v>
      </c>
      <c r="M701" s="147">
        <v>0</v>
      </c>
      <c r="N701" s="147">
        <v>0</v>
      </c>
      <c r="O701" s="147">
        <v>0</v>
      </c>
      <c r="P701" s="147">
        <v>0</v>
      </c>
      <c r="Q701" s="147">
        <v>0</v>
      </c>
      <c r="R701" s="147">
        <v>0</v>
      </c>
      <c r="S701" s="147">
        <v>0</v>
      </c>
      <c r="T701" s="147">
        <v>0</v>
      </c>
      <c r="U701" s="147">
        <v>0</v>
      </c>
      <c r="V701" s="147">
        <v>0</v>
      </c>
      <c r="W701" s="147">
        <v>0</v>
      </c>
      <c r="X701" s="147">
        <v>0</v>
      </c>
      <c r="Y701" s="147">
        <v>0</v>
      </c>
      <c r="Z701" s="147">
        <v>0</v>
      </c>
      <c r="AA701" s="147">
        <v>0</v>
      </c>
      <c r="AB701" s="147">
        <v>0</v>
      </c>
      <c r="AC701" s="147">
        <v>0</v>
      </c>
      <c r="AD701" s="147">
        <v>0</v>
      </c>
      <c r="AE701" s="147">
        <v>0</v>
      </c>
      <c r="AF701" s="147">
        <v>0</v>
      </c>
      <c r="AG701" s="147">
        <v>0</v>
      </c>
      <c r="AH701" s="147">
        <v>0</v>
      </c>
      <c r="AI701" s="147">
        <v>0</v>
      </c>
      <c r="AJ701" s="147">
        <v>0</v>
      </c>
      <c r="AK701" s="147">
        <v>0</v>
      </c>
      <c r="AL701" s="147">
        <v>0</v>
      </c>
      <c r="AM701" s="147">
        <v>0</v>
      </c>
      <c r="AN701" s="147">
        <v>0</v>
      </c>
      <c r="AO701" s="147">
        <v>0</v>
      </c>
      <c r="AP701" s="147">
        <v>0</v>
      </c>
    </row>
    <row r="702" spans="2:42" ht="12.75" customHeight="1">
      <c r="B702" s="122">
        <v>0</v>
      </c>
      <c r="C702" s="329" t="str">
        <v>0</v>
      </c>
      <c r="D702" s="329">
        <v>0</v>
      </c>
      <c r="E702" s="329">
        <v>0</v>
      </c>
      <c r="F702" s="329">
        <v>0</v>
      </c>
      <c r="G702" s="122">
        <v>0</v>
      </c>
      <c r="H702" s="122" t="b">
        <v>0</v>
      </c>
      <c r="I702" s="122" t="b">
        <v>0</v>
      </c>
      <c r="J702" s="122" t="b">
        <v>0</v>
      </c>
      <c r="K702" s="122" t="b">
        <v>1</v>
      </c>
      <c r="L702" s="147">
        <v>0</v>
      </c>
      <c r="M702" s="147">
        <v>0</v>
      </c>
      <c r="N702" s="147">
        <v>0</v>
      </c>
      <c r="O702" s="147">
        <v>0</v>
      </c>
      <c r="P702" s="147">
        <v>0</v>
      </c>
      <c r="Q702" s="147">
        <v>0</v>
      </c>
      <c r="R702" s="147">
        <v>0</v>
      </c>
      <c r="S702" s="147">
        <v>0</v>
      </c>
      <c r="T702" s="147">
        <v>0</v>
      </c>
      <c r="U702" s="147">
        <v>0</v>
      </c>
      <c r="V702" s="147">
        <v>0</v>
      </c>
      <c r="W702" s="147">
        <v>0</v>
      </c>
      <c r="X702" s="147">
        <v>0</v>
      </c>
      <c r="Y702" s="147">
        <v>0</v>
      </c>
      <c r="Z702" s="147">
        <v>0</v>
      </c>
      <c r="AA702" s="147">
        <v>0</v>
      </c>
      <c r="AB702" s="147">
        <v>0</v>
      </c>
      <c r="AC702" s="147">
        <v>0</v>
      </c>
      <c r="AD702" s="147">
        <v>0</v>
      </c>
      <c r="AE702" s="147">
        <v>0</v>
      </c>
      <c r="AF702" s="147">
        <v>0</v>
      </c>
      <c r="AG702" s="147">
        <v>0</v>
      </c>
      <c r="AH702" s="147">
        <v>0</v>
      </c>
      <c r="AI702" s="147">
        <v>0</v>
      </c>
      <c r="AJ702" s="147">
        <v>0</v>
      </c>
      <c r="AK702" s="147">
        <v>0</v>
      </c>
      <c r="AL702" s="147">
        <v>0</v>
      </c>
      <c r="AM702" s="147">
        <v>0</v>
      </c>
      <c r="AN702" s="147">
        <v>0</v>
      </c>
      <c r="AO702" s="147">
        <v>0</v>
      </c>
      <c r="AP702" s="147">
        <v>0</v>
      </c>
    </row>
    <row r="703" spans="2:42" ht="12.75" customHeight="1">
      <c r="B703" s="122">
        <v>0</v>
      </c>
      <c r="C703" s="329" t="str">
        <v>0</v>
      </c>
      <c r="D703" s="329">
        <v>0</v>
      </c>
      <c r="E703" s="329">
        <v>0</v>
      </c>
      <c r="F703" s="329">
        <v>0</v>
      </c>
      <c r="G703" s="122">
        <v>0</v>
      </c>
      <c r="H703" s="122" t="b">
        <v>0</v>
      </c>
      <c r="I703" s="122" t="b">
        <v>0</v>
      </c>
      <c r="J703" s="122" t="b">
        <v>0</v>
      </c>
      <c r="K703" s="122" t="b">
        <v>1</v>
      </c>
      <c r="L703" s="147">
        <v>0</v>
      </c>
      <c r="M703" s="147">
        <v>0</v>
      </c>
      <c r="N703" s="147">
        <v>0</v>
      </c>
      <c r="O703" s="147">
        <v>0</v>
      </c>
      <c r="P703" s="147">
        <v>0</v>
      </c>
      <c r="Q703" s="147">
        <v>0</v>
      </c>
      <c r="R703" s="147">
        <v>0</v>
      </c>
      <c r="S703" s="147">
        <v>0</v>
      </c>
      <c r="T703" s="147">
        <v>0</v>
      </c>
      <c r="U703" s="147">
        <v>0</v>
      </c>
      <c r="V703" s="147">
        <v>0</v>
      </c>
      <c r="W703" s="147">
        <v>0</v>
      </c>
      <c r="X703" s="147">
        <v>0</v>
      </c>
      <c r="Y703" s="147">
        <v>0</v>
      </c>
      <c r="Z703" s="147">
        <v>0</v>
      </c>
      <c r="AA703" s="147">
        <v>0</v>
      </c>
      <c r="AB703" s="147">
        <v>0</v>
      </c>
      <c r="AC703" s="147">
        <v>0</v>
      </c>
      <c r="AD703" s="147">
        <v>0</v>
      </c>
      <c r="AE703" s="147">
        <v>0</v>
      </c>
      <c r="AF703" s="147">
        <v>0</v>
      </c>
      <c r="AG703" s="147">
        <v>0</v>
      </c>
      <c r="AH703" s="147">
        <v>0</v>
      </c>
      <c r="AI703" s="147">
        <v>0</v>
      </c>
      <c r="AJ703" s="147">
        <v>0</v>
      </c>
      <c r="AK703" s="147">
        <v>0</v>
      </c>
      <c r="AL703" s="147">
        <v>0</v>
      </c>
      <c r="AM703" s="147">
        <v>0</v>
      </c>
      <c r="AN703" s="147">
        <v>0</v>
      </c>
      <c r="AO703" s="147">
        <v>0</v>
      </c>
      <c r="AP703" s="147">
        <v>0</v>
      </c>
    </row>
    <row r="704" spans="2:42" ht="12.75" customHeight="1">
      <c r="B704" s="122">
        <v>0</v>
      </c>
      <c r="C704" s="329" t="str">
        <v>0</v>
      </c>
      <c r="D704" s="329">
        <v>0</v>
      </c>
      <c r="E704" s="329">
        <v>0</v>
      </c>
      <c r="F704" s="329">
        <v>0</v>
      </c>
      <c r="G704" s="122">
        <v>0</v>
      </c>
      <c r="H704" s="122" t="b">
        <v>0</v>
      </c>
      <c r="I704" s="122" t="b">
        <v>0</v>
      </c>
      <c r="J704" s="122" t="b">
        <v>0</v>
      </c>
      <c r="K704" s="122" t="b">
        <v>1</v>
      </c>
      <c r="L704" s="147">
        <v>0</v>
      </c>
      <c r="M704" s="147">
        <v>0</v>
      </c>
      <c r="N704" s="147">
        <v>0</v>
      </c>
      <c r="O704" s="147">
        <v>0</v>
      </c>
      <c r="P704" s="147">
        <v>0</v>
      </c>
      <c r="Q704" s="147">
        <v>0</v>
      </c>
      <c r="R704" s="147">
        <v>0</v>
      </c>
      <c r="S704" s="147">
        <v>0</v>
      </c>
      <c r="T704" s="147">
        <v>0</v>
      </c>
      <c r="U704" s="147">
        <v>0</v>
      </c>
      <c r="V704" s="147">
        <v>0</v>
      </c>
      <c r="W704" s="147">
        <v>0</v>
      </c>
      <c r="X704" s="147">
        <v>0</v>
      </c>
      <c r="Y704" s="147">
        <v>0</v>
      </c>
      <c r="Z704" s="147">
        <v>0</v>
      </c>
      <c r="AA704" s="147">
        <v>0</v>
      </c>
      <c r="AB704" s="147">
        <v>0</v>
      </c>
      <c r="AC704" s="147">
        <v>0</v>
      </c>
      <c r="AD704" s="147">
        <v>0</v>
      </c>
      <c r="AE704" s="147">
        <v>0</v>
      </c>
      <c r="AF704" s="147">
        <v>0</v>
      </c>
      <c r="AG704" s="147">
        <v>0</v>
      </c>
      <c r="AH704" s="147">
        <v>0</v>
      </c>
      <c r="AI704" s="147">
        <v>0</v>
      </c>
      <c r="AJ704" s="147">
        <v>0</v>
      </c>
      <c r="AK704" s="147">
        <v>0</v>
      </c>
      <c r="AL704" s="147">
        <v>0</v>
      </c>
      <c r="AM704" s="147">
        <v>0</v>
      </c>
      <c r="AN704" s="147">
        <v>0</v>
      </c>
      <c r="AO704" s="147">
        <v>0</v>
      </c>
      <c r="AP704" s="147">
        <v>0</v>
      </c>
    </row>
    <row r="705" spans="2:42" ht="12.75" customHeight="1">
      <c r="B705" s="122">
        <v>0</v>
      </c>
      <c r="C705" s="329" t="str">
        <v>0</v>
      </c>
      <c r="D705" s="329">
        <v>0</v>
      </c>
      <c r="E705" s="329">
        <v>0</v>
      </c>
      <c r="F705" s="329">
        <v>0</v>
      </c>
      <c r="G705" s="122">
        <v>0</v>
      </c>
      <c r="H705" s="122" t="b">
        <v>0</v>
      </c>
      <c r="I705" s="122" t="b">
        <v>0</v>
      </c>
      <c r="J705" s="122" t="b">
        <v>0</v>
      </c>
      <c r="K705" s="122" t="b">
        <v>1</v>
      </c>
      <c r="L705" s="147">
        <v>0</v>
      </c>
      <c r="M705" s="147">
        <v>0</v>
      </c>
      <c r="N705" s="147">
        <v>0</v>
      </c>
      <c r="O705" s="147">
        <v>0</v>
      </c>
      <c r="P705" s="147">
        <v>0</v>
      </c>
      <c r="Q705" s="147">
        <v>0</v>
      </c>
      <c r="R705" s="147">
        <v>0</v>
      </c>
      <c r="S705" s="147">
        <v>0</v>
      </c>
      <c r="T705" s="147">
        <v>0</v>
      </c>
      <c r="U705" s="147">
        <v>0</v>
      </c>
      <c r="V705" s="147">
        <v>0</v>
      </c>
      <c r="W705" s="147">
        <v>0</v>
      </c>
      <c r="X705" s="147">
        <v>0</v>
      </c>
      <c r="Y705" s="147">
        <v>0</v>
      </c>
      <c r="Z705" s="147">
        <v>0</v>
      </c>
      <c r="AA705" s="147">
        <v>0</v>
      </c>
      <c r="AB705" s="147">
        <v>0</v>
      </c>
      <c r="AC705" s="147">
        <v>0</v>
      </c>
      <c r="AD705" s="147">
        <v>0</v>
      </c>
      <c r="AE705" s="147">
        <v>0</v>
      </c>
      <c r="AF705" s="147">
        <v>0</v>
      </c>
      <c r="AG705" s="147">
        <v>0</v>
      </c>
      <c r="AH705" s="147">
        <v>0</v>
      </c>
      <c r="AI705" s="147">
        <v>0</v>
      </c>
      <c r="AJ705" s="147">
        <v>0</v>
      </c>
      <c r="AK705" s="147">
        <v>0</v>
      </c>
      <c r="AL705" s="147">
        <v>0</v>
      </c>
      <c r="AM705" s="147">
        <v>0</v>
      </c>
      <c r="AN705" s="147">
        <v>0</v>
      </c>
      <c r="AO705" s="147">
        <v>0</v>
      </c>
      <c r="AP705" s="147">
        <v>0</v>
      </c>
    </row>
    <row r="706" spans="2:42" ht="12.75" customHeight="1">
      <c r="B706" s="122">
        <v>0</v>
      </c>
      <c r="C706" s="329" t="str">
        <v>0</v>
      </c>
      <c r="D706" s="329">
        <v>0</v>
      </c>
      <c r="E706" s="329">
        <v>0</v>
      </c>
      <c r="F706" s="329">
        <v>0</v>
      </c>
      <c r="G706" s="122">
        <v>0</v>
      </c>
      <c r="H706" s="122" t="b">
        <v>0</v>
      </c>
      <c r="I706" s="122" t="b">
        <v>0</v>
      </c>
      <c r="J706" s="122" t="b">
        <v>0</v>
      </c>
      <c r="K706" s="122" t="b">
        <v>1</v>
      </c>
      <c r="L706" s="147">
        <v>0</v>
      </c>
      <c r="M706" s="147">
        <v>0</v>
      </c>
      <c r="N706" s="147">
        <v>0</v>
      </c>
      <c r="O706" s="147">
        <v>0</v>
      </c>
      <c r="P706" s="147">
        <v>0</v>
      </c>
      <c r="Q706" s="147">
        <v>0</v>
      </c>
      <c r="R706" s="147">
        <v>0</v>
      </c>
      <c r="S706" s="147">
        <v>0</v>
      </c>
      <c r="T706" s="147">
        <v>0</v>
      </c>
      <c r="U706" s="147">
        <v>0</v>
      </c>
      <c r="V706" s="147">
        <v>0</v>
      </c>
      <c r="W706" s="147">
        <v>0</v>
      </c>
      <c r="X706" s="147">
        <v>0</v>
      </c>
      <c r="Y706" s="147">
        <v>0</v>
      </c>
      <c r="Z706" s="147">
        <v>0</v>
      </c>
      <c r="AA706" s="147">
        <v>0</v>
      </c>
      <c r="AB706" s="147">
        <v>0</v>
      </c>
      <c r="AC706" s="147">
        <v>0</v>
      </c>
      <c r="AD706" s="147">
        <v>0</v>
      </c>
      <c r="AE706" s="147">
        <v>0</v>
      </c>
      <c r="AF706" s="147">
        <v>0</v>
      </c>
      <c r="AG706" s="147">
        <v>0</v>
      </c>
      <c r="AH706" s="147">
        <v>0</v>
      </c>
      <c r="AI706" s="147">
        <v>0</v>
      </c>
      <c r="AJ706" s="147">
        <v>0</v>
      </c>
      <c r="AK706" s="147">
        <v>0</v>
      </c>
      <c r="AL706" s="147">
        <v>0</v>
      </c>
      <c r="AM706" s="147">
        <v>0</v>
      </c>
      <c r="AN706" s="147">
        <v>0</v>
      </c>
      <c r="AO706" s="147">
        <v>0</v>
      </c>
      <c r="AP706" s="147">
        <v>0</v>
      </c>
    </row>
    <row r="707" spans="2:42" ht="12.75" customHeight="1">
      <c r="B707" s="122">
        <v>0</v>
      </c>
      <c r="C707" s="329" t="str">
        <v>0</v>
      </c>
      <c r="D707" s="329">
        <v>0</v>
      </c>
      <c r="E707" s="329">
        <v>0</v>
      </c>
      <c r="F707" s="329">
        <v>0</v>
      </c>
      <c r="G707" s="122">
        <v>0</v>
      </c>
      <c r="H707" s="122" t="b">
        <v>0</v>
      </c>
      <c r="I707" s="122" t="b">
        <v>0</v>
      </c>
      <c r="J707" s="122" t="b">
        <v>0</v>
      </c>
      <c r="K707" s="122" t="b">
        <v>1</v>
      </c>
      <c r="L707" s="147">
        <v>0</v>
      </c>
      <c r="M707" s="147">
        <v>0</v>
      </c>
      <c r="N707" s="147">
        <v>0</v>
      </c>
      <c r="O707" s="147">
        <v>0</v>
      </c>
      <c r="P707" s="147">
        <v>0</v>
      </c>
      <c r="Q707" s="147">
        <v>0</v>
      </c>
      <c r="R707" s="147">
        <v>0</v>
      </c>
      <c r="S707" s="147">
        <v>0</v>
      </c>
      <c r="T707" s="147">
        <v>0</v>
      </c>
      <c r="U707" s="147">
        <v>0</v>
      </c>
      <c r="V707" s="147">
        <v>0</v>
      </c>
      <c r="W707" s="147">
        <v>0</v>
      </c>
      <c r="X707" s="147">
        <v>0</v>
      </c>
      <c r="Y707" s="147">
        <v>0</v>
      </c>
      <c r="Z707" s="147">
        <v>0</v>
      </c>
      <c r="AA707" s="147">
        <v>0</v>
      </c>
      <c r="AB707" s="147">
        <v>0</v>
      </c>
      <c r="AC707" s="147">
        <v>0</v>
      </c>
      <c r="AD707" s="147">
        <v>0</v>
      </c>
      <c r="AE707" s="147">
        <v>0</v>
      </c>
      <c r="AF707" s="147">
        <v>0</v>
      </c>
      <c r="AG707" s="147">
        <v>0</v>
      </c>
      <c r="AH707" s="147">
        <v>0</v>
      </c>
      <c r="AI707" s="147">
        <v>0</v>
      </c>
      <c r="AJ707" s="147">
        <v>0</v>
      </c>
      <c r="AK707" s="147">
        <v>0</v>
      </c>
      <c r="AL707" s="147">
        <v>0</v>
      </c>
      <c r="AM707" s="147">
        <v>0</v>
      </c>
      <c r="AN707" s="147">
        <v>0</v>
      </c>
      <c r="AO707" s="147">
        <v>0</v>
      </c>
      <c r="AP707" s="147">
        <v>0</v>
      </c>
    </row>
    <row r="708" spans="2:42" ht="12.75" customHeight="1">
      <c r="B708" s="122">
        <v>0</v>
      </c>
      <c r="C708" s="329" t="str">
        <v>0</v>
      </c>
      <c r="D708" s="329">
        <v>0</v>
      </c>
      <c r="E708" s="329">
        <v>0</v>
      </c>
      <c r="F708" s="329">
        <v>0</v>
      </c>
      <c r="G708" s="122">
        <v>0</v>
      </c>
      <c r="H708" s="122" t="b">
        <v>0</v>
      </c>
      <c r="I708" s="122" t="b">
        <v>0</v>
      </c>
      <c r="J708" s="122" t="b">
        <v>0</v>
      </c>
      <c r="K708" s="122" t="b">
        <v>1</v>
      </c>
      <c r="L708" s="147">
        <v>0</v>
      </c>
      <c r="M708" s="147">
        <v>0</v>
      </c>
      <c r="N708" s="147">
        <v>0</v>
      </c>
      <c r="O708" s="147">
        <v>0</v>
      </c>
      <c r="P708" s="147">
        <v>0</v>
      </c>
      <c r="Q708" s="147">
        <v>0</v>
      </c>
      <c r="R708" s="147">
        <v>0</v>
      </c>
      <c r="S708" s="147">
        <v>0</v>
      </c>
      <c r="T708" s="147">
        <v>0</v>
      </c>
      <c r="U708" s="147">
        <v>0</v>
      </c>
      <c r="V708" s="147">
        <v>0</v>
      </c>
      <c r="W708" s="147">
        <v>0</v>
      </c>
      <c r="X708" s="147">
        <v>0</v>
      </c>
      <c r="Y708" s="147">
        <v>0</v>
      </c>
      <c r="Z708" s="147">
        <v>0</v>
      </c>
      <c r="AA708" s="147">
        <v>0</v>
      </c>
      <c r="AB708" s="147">
        <v>0</v>
      </c>
      <c r="AC708" s="147">
        <v>0</v>
      </c>
      <c r="AD708" s="147">
        <v>0</v>
      </c>
      <c r="AE708" s="147">
        <v>0</v>
      </c>
      <c r="AF708" s="147">
        <v>0</v>
      </c>
      <c r="AG708" s="147">
        <v>0</v>
      </c>
      <c r="AH708" s="147">
        <v>0</v>
      </c>
      <c r="AI708" s="147">
        <v>0</v>
      </c>
      <c r="AJ708" s="147">
        <v>0</v>
      </c>
      <c r="AK708" s="147">
        <v>0</v>
      </c>
      <c r="AL708" s="147">
        <v>0</v>
      </c>
      <c r="AM708" s="147">
        <v>0</v>
      </c>
      <c r="AN708" s="147">
        <v>0</v>
      </c>
      <c r="AO708" s="147">
        <v>0</v>
      </c>
      <c r="AP708" s="147">
        <v>0</v>
      </c>
    </row>
    <row r="709" spans="2:42" ht="12.75" customHeight="1">
      <c r="B709" s="122" t="str">
        <v>Operação Geral</v>
      </c>
      <c r="C709" s="329" t="str">
        <v>6</v>
      </c>
      <c r="D709" s="329" t="str">
        <v>6.2</v>
      </c>
      <c r="E709" s="329">
        <v>0</v>
      </c>
      <c r="F709" s="329">
        <v>0</v>
      </c>
      <c r="G709" s="122" t="str">
        <v>Reposição e atualização dos equipamentos e sistemas</v>
      </c>
      <c r="H709" s="122" t="b">
        <v>0</v>
      </c>
      <c r="I709" s="122" t="b">
        <v>0</v>
      </c>
      <c r="J709" s="122" t="b">
        <v>0</v>
      </c>
      <c r="K709" s="122" t="b">
        <v>1</v>
      </c>
      <c r="L709" s="147">
        <v>0</v>
      </c>
      <c r="M709" s="147">
        <v>0</v>
      </c>
      <c r="N709" s="147">
        <v>0</v>
      </c>
      <c r="O709" s="147">
        <v>0</v>
      </c>
      <c r="P709" s="147">
        <v>0</v>
      </c>
      <c r="Q709" s="147">
        <v>0</v>
      </c>
      <c r="R709" s="147">
        <v>0</v>
      </c>
      <c r="S709" s="147">
        <v>0</v>
      </c>
      <c r="T709" s="147">
        <v>0</v>
      </c>
      <c r="U709" s="147">
        <v>0</v>
      </c>
      <c r="V709" s="147">
        <v>0</v>
      </c>
      <c r="W709" s="147">
        <v>0</v>
      </c>
      <c r="X709" s="147">
        <v>0</v>
      </c>
      <c r="Y709" s="147">
        <v>0</v>
      </c>
      <c r="Z709" s="147">
        <v>0</v>
      </c>
      <c r="AA709" s="147">
        <v>0</v>
      </c>
      <c r="AB709" s="147">
        <v>0</v>
      </c>
      <c r="AC709" s="147">
        <v>0</v>
      </c>
      <c r="AD709" s="147">
        <v>0</v>
      </c>
      <c r="AE709" s="147">
        <v>0</v>
      </c>
      <c r="AF709" s="147">
        <v>0</v>
      </c>
      <c r="AG709" s="147">
        <v>0</v>
      </c>
      <c r="AH709" s="147">
        <v>0</v>
      </c>
      <c r="AI709" s="147">
        <v>0</v>
      </c>
      <c r="AJ709" s="147">
        <v>0</v>
      </c>
      <c r="AK709" s="147">
        <v>0</v>
      </c>
      <c r="AL709" s="147">
        <v>0</v>
      </c>
      <c r="AM709" s="147">
        <v>0</v>
      </c>
      <c r="AN709" s="147">
        <v>0</v>
      </c>
      <c r="AO709" s="147">
        <v>0</v>
      </c>
      <c r="AP709" s="147">
        <v>0</v>
      </c>
    </row>
    <row r="710" spans="2:42" ht="12.75" customHeight="1">
      <c r="B710" s="122" t="str">
        <v>Operação Geral</v>
      </c>
      <c r="C710" s="329" t="str">
        <v>6</v>
      </c>
      <c r="D710" s="329" t="str">
        <v>6.4</v>
      </c>
      <c r="E710" s="329">
        <v>0</v>
      </c>
      <c r="F710" s="329">
        <v>0</v>
      </c>
      <c r="G710" s="122" t="str">
        <v>Administração local (%)</v>
      </c>
      <c r="H710" s="122" t="b">
        <v>0</v>
      </c>
      <c r="I710" s="122" t="b">
        <v>0</v>
      </c>
      <c r="J710" s="122" t="b">
        <v>0</v>
      </c>
      <c r="K710" s="122" t="b">
        <v>1</v>
      </c>
      <c r="L710" s="147">
        <v>55263.625494281783</v>
      </c>
      <c r="M710" s="147">
        <v>0</v>
      </c>
      <c r="N710" s="147">
        <v>223415.12839291949</v>
      </c>
      <c r="O710" s="147">
        <v>0</v>
      </c>
      <c r="P710" s="147">
        <v>0</v>
      </c>
      <c r="Q710" s="147">
        <v>0</v>
      </c>
      <c r="R710" s="147">
        <v>0</v>
      </c>
      <c r="S710" s="147">
        <v>0</v>
      </c>
      <c r="T710" s="147">
        <v>0</v>
      </c>
      <c r="U710" s="147">
        <v>0</v>
      </c>
      <c r="V710" s="147">
        <v>0</v>
      </c>
      <c r="W710" s="147">
        <v>0</v>
      </c>
      <c r="X710" s="147">
        <v>0</v>
      </c>
      <c r="Y710" s="147">
        <v>0</v>
      </c>
      <c r="Z710" s="147">
        <v>0</v>
      </c>
      <c r="AA710" s="147">
        <v>0</v>
      </c>
      <c r="AB710" s="147">
        <v>0</v>
      </c>
      <c r="AC710" s="147">
        <v>0</v>
      </c>
      <c r="AD710" s="147">
        <v>0</v>
      </c>
      <c r="AE710" s="147">
        <v>0</v>
      </c>
      <c r="AF710" s="147">
        <v>0</v>
      </c>
      <c r="AG710" s="147">
        <v>0</v>
      </c>
      <c r="AH710" s="147">
        <v>0</v>
      </c>
      <c r="AI710" s="147">
        <v>0</v>
      </c>
      <c r="AJ710" s="147">
        <v>0</v>
      </c>
      <c r="AK710" s="147">
        <v>0</v>
      </c>
      <c r="AL710" s="147">
        <v>0</v>
      </c>
      <c r="AM710" s="147">
        <v>0</v>
      </c>
      <c r="AN710" s="147">
        <v>0</v>
      </c>
      <c r="AO710" s="147">
        <v>0</v>
      </c>
      <c r="AP710" s="147">
        <v>278678.75388720125</v>
      </c>
    </row>
    <row r="711" spans="2:42" ht="12.75" customHeight="1">
      <c r="B711" s="122" t="str">
        <v>Operação Geral</v>
      </c>
      <c r="C711" s="329" t="str">
        <v>6</v>
      </c>
      <c r="D711" s="329" t="str">
        <v>6.5</v>
      </c>
      <c r="E711" s="329">
        <v>0</v>
      </c>
      <c r="F711" s="329">
        <v>0</v>
      </c>
      <c r="G711" s="122" t="str">
        <v>Canteiro de obras (%)</v>
      </c>
      <c r="H711" s="122" t="b">
        <v>0</v>
      </c>
      <c r="I711" s="122" t="b">
        <v>0</v>
      </c>
      <c r="J711" s="122" t="b">
        <v>0</v>
      </c>
      <c r="K711" s="122" t="b">
        <v>1</v>
      </c>
      <c r="L711" s="147">
        <v>13913.680809453761</v>
      </c>
      <c r="M711" s="147">
        <v>0</v>
      </c>
      <c r="N711" s="147">
        <v>56249.056348716316</v>
      </c>
      <c r="O711" s="147">
        <v>0</v>
      </c>
      <c r="P711" s="147">
        <v>0</v>
      </c>
      <c r="Q711" s="147">
        <v>0</v>
      </c>
      <c r="R711" s="147">
        <v>0</v>
      </c>
      <c r="S711" s="147">
        <v>0</v>
      </c>
      <c r="T711" s="147">
        <v>0</v>
      </c>
      <c r="U711" s="147">
        <v>0</v>
      </c>
      <c r="V711" s="147">
        <v>0</v>
      </c>
      <c r="W711" s="147">
        <v>0</v>
      </c>
      <c r="X711" s="147">
        <v>0</v>
      </c>
      <c r="Y711" s="147">
        <v>0</v>
      </c>
      <c r="Z711" s="147">
        <v>0</v>
      </c>
      <c r="AA711" s="147">
        <v>0</v>
      </c>
      <c r="AB711" s="147">
        <v>0</v>
      </c>
      <c r="AC711" s="147">
        <v>0</v>
      </c>
      <c r="AD711" s="147">
        <v>0</v>
      </c>
      <c r="AE711" s="147">
        <v>0</v>
      </c>
      <c r="AF711" s="147">
        <v>0</v>
      </c>
      <c r="AG711" s="147">
        <v>0</v>
      </c>
      <c r="AH711" s="147">
        <v>0</v>
      </c>
      <c r="AI711" s="147">
        <v>0</v>
      </c>
      <c r="AJ711" s="147">
        <v>0</v>
      </c>
      <c r="AK711" s="147">
        <v>0</v>
      </c>
      <c r="AL711" s="147">
        <v>0</v>
      </c>
      <c r="AM711" s="147">
        <v>0</v>
      </c>
      <c r="AN711" s="147">
        <v>0</v>
      </c>
      <c r="AO711" s="147">
        <v>0</v>
      </c>
      <c r="AP711" s="147">
        <v>70162.737158170072</v>
      </c>
    </row>
    <row r="712" spans="2:42" ht="12.75" customHeight="1">
      <c r="B712" s="122" t="str">
        <v>Operação Geral</v>
      </c>
      <c r="C712" s="329" t="str">
        <v>6</v>
      </c>
      <c r="D712" s="329" t="str">
        <v>6.6</v>
      </c>
      <c r="E712" s="329">
        <v>0</v>
      </c>
      <c r="F712" s="329">
        <v>0</v>
      </c>
      <c r="G712" s="122" t="str">
        <v>Mobilização e desmobilização (%)</v>
      </c>
      <c r="H712" s="122" t="b">
        <v>0</v>
      </c>
      <c r="I712" s="122" t="b">
        <v>0</v>
      </c>
      <c r="J712" s="122" t="b">
        <v>0</v>
      </c>
      <c r="K712" s="122" t="b">
        <v>1</v>
      </c>
      <c r="L712" s="147">
        <v>259.00271729540873</v>
      </c>
      <c r="M712" s="147">
        <v>0</v>
      </c>
      <c r="N712" s="147">
        <v>1047.0743607774368</v>
      </c>
      <c r="O712" s="147">
        <v>0</v>
      </c>
      <c r="P712" s="147">
        <v>0</v>
      </c>
      <c r="Q712" s="147">
        <v>0</v>
      </c>
      <c r="R712" s="147">
        <v>0</v>
      </c>
      <c r="S712" s="147">
        <v>0</v>
      </c>
      <c r="T712" s="147">
        <v>0</v>
      </c>
      <c r="U712" s="147">
        <v>0</v>
      </c>
      <c r="V712" s="147">
        <v>0</v>
      </c>
      <c r="W712" s="147">
        <v>0</v>
      </c>
      <c r="X712" s="147">
        <v>0</v>
      </c>
      <c r="Y712" s="147">
        <v>0</v>
      </c>
      <c r="Z712" s="147">
        <v>0</v>
      </c>
      <c r="AA712" s="147">
        <v>0</v>
      </c>
      <c r="AB712" s="147">
        <v>0</v>
      </c>
      <c r="AC712" s="147">
        <v>0</v>
      </c>
      <c r="AD712" s="147">
        <v>0</v>
      </c>
      <c r="AE712" s="147">
        <v>0</v>
      </c>
      <c r="AF712" s="147">
        <v>0</v>
      </c>
      <c r="AG712" s="147">
        <v>0</v>
      </c>
      <c r="AH712" s="147">
        <v>0</v>
      </c>
      <c r="AI712" s="147">
        <v>0</v>
      </c>
      <c r="AJ712" s="147">
        <v>0</v>
      </c>
      <c r="AK712" s="147">
        <v>0</v>
      </c>
      <c r="AL712" s="147">
        <v>0</v>
      </c>
      <c r="AM712" s="147">
        <v>0</v>
      </c>
      <c r="AN712" s="147">
        <v>0</v>
      </c>
      <c r="AO712" s="147">
        <v>0</v>
      </c>
      <c r="AP712" s="147">
        <v>1306.0770780728456</v>
      </c>
    </row>
    <row r="713" spans="2:42" ht="12.75" customHeight="1">
      <c r="B713" s="122" t="str">
        <v>Operação Geral</v>
      </c>
      <c r="C713" s="329" t="str">
        <v>6</v>
      </c>
      <c r="D713" s="329" t="str">
        <v>6.7</v>
      </c>
      <c r="E713" s="329">
        <v>0</v>
      </c>
      <c r="F713" s="329">
        <v>0</v>
      </c>
      <c r="G713" s="122" t="str">
        <v>Projetos (%)</v>
      </c>
      <c r="H713" s="122" t="b">
        <v>0</v>
      </c>
      <c r="I713" s="122" t="b">
        <v>0</v>
      </c>
      <c r="J713" s="122" t="b">
        <v>0</v>
      </c>
      <c r="K713" s="122" t="b">
        <v>1</v>
      </c>
      <c r="L713" s="147">
        <v>112897.96931906362</v>
      </c>
      <c r="M713" s="147">
        <v>0</v>
      </c>
      <c r="N713" s="147">
        <v>456414.39708526467</v>
      </c>
      <c r="O713" s="147">
        <v>0</v>
      </c>
      <c r="P713" s="147">
        <v>0</v>
      </c>
      <c r="Q713" s="147">
        <v>0</v>
      </c>
      <c r="R713" s="147">
        <v>0</v>
      </c>
      <c r="S713" s="147">
        <v>0</v>
      </c>
      <c r="T713" s="147">
        <v>0</v>
      </c>
      <c r="U713" s="147">
        <v>0</v>
      </c>
      <c r="V713" s="147">
        <v>0</v>
      </c>
      <c r="W713" s="147">
        <v>0</v>
      </c>
      <c r="X713" s="147">
        <v>0</v>
      </c>
      <c r="Y713" s="147">
        <v>0</v>
      </c>
      <c r="Z713" s="147">
        <v>0</v>
      </c>
      <c r="AA713" s="147">
        <v>0</v>
      </c>
      <c r="AB713" s="147">
        <v>0</v>
      </c>
      <c r="AC713" s="147">
        <v>0</v>
      </c>
      <c r="AD713" s="147">
        <v>0</v>
      </c>
      <c r="AE713" s="147">
        <v>0</v>
      </c>
      <c r="AF713" s="147">
        <v>0</v>
      </c>
      <c r="AG713" s="147">
        <v>0</v>
      </c>
      <c r="AH713" s="147">
        <v>0</v>
      </c>
      <c r="AI713" s="147">
        <v>0</v>
      </c>
      <c r="AJ713" s="147">
        <v>0</v>
      </c>
      <c r="AK713" s="147">
        <v>0</v>
      </c>
      <c r="AL713" s="147">
        <v>0</v>
      </c>
      <c r="AM713" s="147">
        <v>0</v>
      </c>
      <c r="AN713" s="147">
        <v>0</v>
      </c>
      <c r="AO713" s="147">
        <v>0</v>
      </c>
      <c r="AP713" s="147">
        <v>569312.36640432826</v>
      </c>
    </row>
    <row r="714" spans="2:42" ht="12.75" customHeight="1">
      <c r="B714" s="122" t="str">
        <v>Socioambiental</v>
      </c>
      <c r="C714" s="329" t="str">
        <v>7</v>
      </c>
      <c r="D714" s="329">
        <v>7</v>
      </c>
      <c r="E714" s="329">
        <v>0</v>
      </c>
      <c r="F714" s="329">
        <v>0</v>
      </c>
      <c r="G714" s="122" t="str">
        <v xml:space="preserve">Gestão Ambiental Do Sistema Rodoviário </v>
      </c>
      <c r="H714" s="122" t="b">
        <v>0</v>
      </c>
      <c r="I714" s="122" t="b">
        <v>0</v>
      </c>
      <c r="J714" s="122" t="b">
        <v>0</v>
      </c>
      <c r="K714" s="122" t="b">
        <v>1</v>
      </c>
      <c r="L714" s="147">
        <v>0</v>
      </c>
      <c r="M714" s="147">
        <v>0</v>
      </c>
      <c r="N714" s="147">
        <v>0</v>
      </c>
      <c r="O714" s="147">
        <v>0</v>
      </c>
      <c r="P714" s="147">
        <v>0</v>
      </c>
      <c r="Q714" s="147">
        <v>0</v>
      </c>
      <c r="R714" s="147">
        <v>0</v>
      </c>
      <c r="S714" s="147">
        <v>0</v>
      </c>
      <c r="T714" s="147">
        <v>0</v>
      </c>
      <c r="U714" s="147">
        <v>0</v>
      </c>
      <c r="V714" s="147">
        <v>0</v>
      </c>
      <c r="W714" s="147">
        <v>0</v>
      </c>
      <c r="X714" s="147">
        <v>0</v>
      </c>
      <c r="Y714" s="147">
        <v>0</v>
      </c>
      <c r="Z714" s="147">
        <v>0</v>
      </c>
      <c r="AA714" s="147">
        <v>0</v>
      </c>
      <c r="AB714" s="147">
        <v>0</v>
      </c>
      <c r="AC714" s="147">
        <v>0</v>
      </c>
      <c r="AD714" s="147">
        <v>0</v>
      </c>
      <c r="AE714" s="147">
        <v>0</v>
      </c>
      <c r="AF714" s="147">
        <v>0</v>
      </c>
      <c r="AG714" s="147">
        <v>0</v>
      </c>
      <c r="AH714" s="147">
        <v>0</v>
      </c>
      <c r="AI714" s="147">
        <v>0</v>
      </c>
      <c r="AJ714" s="147">
        <v>0</v>
      </c>
      <c r="AK714" s="147">
        <v>0</v>
      </c>
      <c r="AL714" s="147">
        <v>0</v>
      </c>
      <c r="AM714" s="147">
        <v>0</v>
      </c>
      <c r="AN714" s="147">
        <v>0</v>
      </c>
      <c r="AO714" s="147">
        <v>0</v>
      </c>
      <c r="AP714" s="147">
        <v>0</v>
      </c>
    </row>
    <row r="715" spans="2:42" ht="12.75" customHeight="1">
      <c r="B715" s="122" t="str">
        <v>Socioambiental</v>
      </c>
      <c r="C715" s="329" t="str">
        <v>7</v>
      </c>
      <c r="D715" s="329" t="str">
        <v>7.1</v>
      </c>
      <c r="E715" s="329">
        <v>0</v>
      </c>
      <c r="F715" s="329">
        <v>0</v>
      </c>
      <c r="G715" s="122" t="str">
        <v>Licenciamento Ambiental</v>
      </c>
      <c r="H715" s="122" t="b">
        <v>0</v>
      </c>
      <c r="I715" s="122" t="b">
        <v>0</v>
      </c>
      <c r="J715" s="122" t="b">
        <v>0</v>
      </c>
      <c r="K715" s="122" t="b">
        <v>1</v>
      </c>
      <c r="L715" s="147">
        <v>1807248.8242809335</v>
      </c>
      <c r="M715" s="147">
        <v>3752940.8487210707</v>
      </c>
      <c r="N715" s="147">
        <v>299150.96742810262</v>
      </c>
      <c r="O715" s="147">
        <v>139141.87359265395</v>
      </c>
      <c r="P715" s="147">
        <v>139141.87359265395</v>
      </c>
      <c r="Q715" s="147">
        <v>139141.87359265395</v>
      </c>
      <c r="R715" s="147">
        <v>139141.87359265395</v>
      </c>
      <c r="S715" s="147">
        <v>139141.87359265395</v>
      </c>
      <c r="T715" s="147">
        <v>0</v>
      </c>
      <c r="U715" s="147">
        <v>0</v>
      </c>
      <c r="V715" s="147">
        <v>0</v>
      </c>
      <c r="W715" s="147">
        <v>0</v>
      </c>
      <c r="X715" s="147">
        <v>1440505.795738827</v>
      </c>
      <c r="Y715" s="147">
        <v>0</v>
      </c>
      <c r="Z715" s="147">
        <v>0</v>
      </c>
      <c r="AA715" s="147">
        <v>0</v>
      </c>
      <c r="AB715" s="147">
        <v>0</v>
      </c>
      <c r="AC715" s="147">
        <v>0</v>
      </c>
      <c r="AD715" s="147">
        <v>0</v>
      </c>
      <c r="AE715" s="147">
        <v>0</v>
      </c>
      <c r="AF715" s="147">
        <v>0</v>
      </c>
      <c r="AG715" s="147">
        <v>0</v>
      </c>
      <c r="AH715" s="147">
        <v>0</v>
      </c>
      <c r="AI715" s="147">
        <v>0</v>
      </c>
      <c r="AJ715" s="147">
        <v>0</v>
      </c>
      <c r="AK715" s="147">
        <v>0</v>
      </c>
      <c r="AL715" s="147">
        <v>0</v>
      </c>
      <c r="AM715" s="147">
        <v>0</v>
      </c>
      <c r="AN715" s="147">
        <v>0</v>
      </c>
      <c r="AO715" s="147">
        <v>0</v>
      </c>
      <c r="AP715" s="147">
        <v>7995555.8041322064</v>
      </c>
    </row>
    <row r="716" spans="2:42" ht="12.75" customHeight="1">
      <c r="B716" s="122" t="str">
        <v>Socioambiental</v>
      </c>
      <c r="C716" s="329" t="str">
        <v>7</v>
      </c>
      <c r="D716" s="329" t="str">
        <v>7.2</v>
      </c>
      <c r="E716" s="329">
        <v>0</v>
      </c>
      <c r="F716" s="329">
        <v>0</v>
      </c>
      <c r="G716" s="122" t="str">
        <v xml:space="preserve">Compensação Ambiental </v>
      </c>
      <c r="H716" s="122" t="b">
        <v>0</v>
      </c>
      <c r="I716" s="122" t="b">
        <v>0</v>
      </c>
      <c r="J716" s="122" t="b">
        <v>0</v>
      </c>
      <c r="K716" s="122" t="b">
        <v>1</v>
      </c>
      <c r="L716" s="147">
        <v>0</v>
      </c>
      <c r="M716" s="147">
        <v>0</v>
      </c>
      <c r="N716" s="147">
        <v>0</v>
      </c>
      <c r="O716" s="147">
        <v>18153919.296099998</v>
      </c>
      <c r="P716" s="147">
        <v>0</v>
      </c>
      <c r="Q716" s="147">
        <v>0</v>
      </c>
      <c r="R716" s="147">
        <v>0</v>
      </c>
      <c r="S716" s="147">
        <v>0</v>
      </c>
      <c r="T716" s="147">
        <v>0</v>
      </c>
      <c r="U716" s="147">
        <v>0</v>
      </c>
      <c r="V716" s="147">
        <v>0</v>
      </c>
      <c r="W716" s="147">
        <v>0</v>
      </c>
      <c r="X716" s="147">
        <v>0</v>
      </c>
      <c r="Y716" s="147">
        <v>0</v>
      </c>
      <c r="Z716" s="147">
        <v>0</v>
      </c>
      <c r="AA716" s="147">
        <v>0</v>
      </c>
      <c r="AB716" s="147">
        <v>0</v>
      </c>
      <c r="AC716" s="147">
        <v>0</v>
      </c>
      <c r="AD716" s="147">
        <v>0</v>
      </c>
      <c r="AE716" s="147">
        <v>0</v>
      </c>
      <c r="AF716" s="147">
        <v>0</v>
      </c>
      <c r="AG716" s="147">
        <v>0</v>
      </c>
      <c r="AH716" s="147">
        <v>0</v>
      </c>
      <c r="AI716" s="147">
        <v>0</v>
      </c>
      <c r="AJ716" s="147">
        <v>0</v>
      </c>
      <c r="AK716" s="147">
        <v>0</v>
      </c>
      <c r="AL716" s="147">
        <v>0</v>
      </c>
      <c r="AM716" s="147">
        <v>0</v>
      </c>
      <c r="AN716" s="147">
        <v>0</v>
      </c>
      <c r="AO716" s="147">
        <v>0</v>
      </c>
      <c r="AP716" s="147">
        <v>18153919.296099998</v>
      </c>
    </row>
    <row r="717" spans="2:42" ht="12.75" customHeight="1">
      <c r="B717" s="122" t="str">
        <v>Socioambiental</v>
      </c>
      <c r="C717" s="329" t="str">
        <v>7</v>
      </c>
      <c r="D717" s="329" t="str">
        <v>7.3</v>
      </c>
      <c r="E717" s="329">
        <v>0</v>
      </c>
      <c r="F717" s="329">
        <v>0</v>
      </c>
      <c r="G717" s="122" t="str">
        <v>Sistema De Gestão Ambiental - Iso-14001</v>
      </c>
      <c r="H717" s="122" t="b">
        <v>0</v>
      </c>
      <c r="I717" s="122" t="b">
        <v>0</v>
      </c>
      <c r="J717" s="122" t="b">
        <v>0</v>
      </c>
      <c r="K717" s="122" t="b">
        <v>1</v>
      </c>
      <c r="L717" s="147">
        <v>63390.209007250945</v>
      </c>
      <c r="M717" s="147">
        <v>82000</v>
      </c>
      <c r="N717" s="147">
        <v>87996.937502117653</v>
      </c>
      <c r="O717" s="147">
        <v>87996.937502117653</v>
      </c>
      <c r="P717" s="147">
        <v>147996.93750211765</v>
      </c>
      <c r="Q717" s="147">
        <v>87996.937502117653</v>
      </c>
      <c r="R717" s="147">
        <v>87996.937502117653</v>
      </c>
      <c r="S717" s="147">
        <v>147996.93750211765</v>
      </c>
      <c r="T717" s="147">
        <v>87996.937502117653</v>
      </c>
      <c r="U717" s="147">
        <v>87996.937502117653</v>
      </c>
      <c r="V717" s="147">
        <v>147996.93750211765</v>
      </c>
      <c r="W717" s="147">
        <v>87996.937502117653</v>
      </c>
      <c r="X717" s="147">
        <v>87996.937502117653</v>
      </c>
      <c r="Y717" s="147">
        <v>147996.93750211765</v>
      </c>
      <c r="Z717" s="147">
        <v>87996.937502117653</v>
      </c>
      <c r="AA717" s="147">
        <v>87996.937502117653</v>
      </c>
      <c r="AB717" s="147">
        <v>147996.93750211765</v>
      </c>
      <c r="AC717" s="147">
        <v>87996.937502117653</v>
      </c>
      <c r="AD717" s="147">
        <v>87996.937502117653</v>
      </c>
      <c r="AE717" s="147">
        <v>147996.93750211765</v>
      </c>
      <c r="AF717" s="147">
        <v>87996.937502117653</v>
      </c>
      <c r="AG717" s="147">
        <v>87996.937502117653</v>
      </c>
      <c r="AH717" s="147">
        <v>147996.93750211765</v>
      </c>
      <c r="AI717" s="147">
        <v>87996.937502117653</v>
      </c>
      <c r="AJ717" s="147">
        <v>87996.937502117653</v>
      </c>
      <c r="AK717" s="147">
        <v>147996.93750211765</v>
      </c>
      <c r="AL717" s="147">
        <v>87996.937502117653</v>
      </c>
      <c r="AM717" s="147">
        <v>87996.937502117653</v>
      </c>
      <c r="AN717" s="147">
        <v>147996.93750211765</v>
      </c>
      <c r="AO717" s="147">
        <v>87996.937502117653</v>
      </c>
      <c r="AP717" s="147">
        <v>3149304.4590665461</v>
      </c>
    </row>
    <row r="718" spans="2:42" ht="12.75" customHeight="1">
      <c r="B718" s="122" t="str">
        <v>Socioambiental</v>
      </c>
      <c r="C718" s="329" t="str">
        <v>7</v>
      </c>
      <c r="D718" s="329" t="str">
        <v>7.4</v>
      </c>
      <c r="E718" s="329">
        <v>1</v>
      </c>
      <c r="F718" s="329">
        <v>0</v>
      </c>
      <c r="G718" s="122" t="str">
        <v>Passivos Ambientais</v>
      </c>
      <c r="H718" s="122" t="b">
        <v>0</v>
      </c>
      <c r="I718" s="122" t="b">
        <v>0</v>
      </c>
      <c r="J718" s="122" t="b">
        <v>0</v>
      </c>
      <c r="K718" s="122" t="b">
        <v>1</v>
      </c>
      <c r="L718" s="147">
        <v>18917833.291986074</v>
      </c>
      <c r="M718" s="147">
        <v>18917833.291986074</v>
      </c>
      <c r="N718" s="147">
        <v>18917833.291986074</v>
      </c>
      <c r="O718" s="147">
        <v>18917833.291986074</v>
      </c>
      <c r="P718" s="147">
        <v>18917833.291986074</v>
      </c>
      <c r="Q718" s="147">
        <v>0</v>
      </c>
      <c r="R718" s="147">
        <v>0</v>
      </c>
      <c r="S718" s="147">
        <v>0</v>
      </c>
      <c r="T718" s="147">
        <v>0</v>
      </c>
      <c r="U718" s="147">
        <v>0</v>
      </c>
      <c r="V718" s="147">
        <v>0</v>
      </c>
      <c r="W718" s="147">
        <v>0</v>
      </c>
      <c r="X718" s="147">
        <v>0</v>
      </c>
      <c r="Y718" s="147">
        <v>0</v>
      </c>
      <c r="Z718" s="147">
        <v>0</v>
      </c>
      <c r="AA718" s="147">
        <v>0</v>
      </c>
      <c r="AB718" s="147">
        <v>0</v>
      </c>
      <c r="AC718" s="147">
        <v>0</v>
      </c>
      <c r="AD718" s="147">
        <v>0</v>
      </c>
      <c r="AE718" s="147">
        <v>0</v>
      </c>
      <c r="AF718" s="147">
        <v>0</v>
      </c>
      <c r="AG718" s="147">
        <v>0</v>
      </c>
      <c r="AH718" s="147">
        <v>0</v>
      </c>
      <c r="AI718" s="147">
        <v>0</v>
      </c>
      <c r="AJ718" s="147">
        <v>0</v>
      </c>
      <c r="AK718" s="147">
        <v>0</v>
      </c>
      <c r="AL718" s="147">
        <v>0</v>
      </c>
      <c r="AM718" s="147">
        <v>0</v>
      </c>
      <c r="AN718" s="147">
        <v>0</v>
      </c>
      <c r="AO718" s="147">
        <v>0</v>
      </c>
      <c r="AP718" s="147">
        <v>94589166.459930375</v>
      </c>
    </row>
    <row r="719" spans="2:42" ht="12.75" customHeight="1">
      <c r="B719" s="122" t="str">
        <v>Socioambiental</v>
      </c>
      <c r="C719" s="329" t="str">
        <v>7</v>
      </c>
      <c r="D719" s="329" t="str">
        <v>7.5</v>
      </c>
      <c r="E719" s="329">
        <v>1</v>
      </c>
      <c r="F719" s="329">
        <v>0</v>
      </c>
      <c r="G719" s="122" t="str">
        <v>Obras De Engenharia Para Mitigação Ambiental</v>
      </c>
      <c r="H719" s="122" t="b">
        <v>0</v>
      </c>
      <c r="I719" s="122" t="b">
        <v>0</v>
      </c>
      <c r="J719" s="122" t="b">
        <v>0</v>
      </c>
      <c r="K719" s="122" t="b">
        <v>1</v>
      </c>
      <c r="L719" s="147">
        <v>0</v>
      </c>
      <c r="M719" s="147">
        <v>0</v>
      </c>
      <c r="N719" s="147">
        <v>2366135.543892744</v>
      </c>
      <c r="O719" s="147">
        <v>0</v>
      </c>
      <c r="P719" s="147">
        <v>1156200</v>
      </c>
      <c r="Q719" s="147">
        <v>0</v>
      </c>
      <c r="R719" s="147">
        <v>0</v>
      </c>
      <c r="S719" s="147">
        <v>0</v>
      </c>
      <c r="T719" s="147">
        <v>0</v>
      </c>
      <c r="U719" s="147">
        <v>0</v>
      </c>
      <c r="V719" s="147">
        <v>0</v>
      </c>
      <c r="W719" s="147">
        <v>0</v>
      </c>
      <c r="X719" s="147">
        <v>0</v>
      </c>
      <c r="Y719" s="147">
        <v>0</v>
      </c>
      <c r="Z719" s="147">
        <v>0</v>
      </c>
      <c r="AA719" s="147">
        <v>0</v>
      </c>
      <c r="AB719" s="147">
        <v>0</v>
      </c>
      <c r="AC719" s="147">
        <v>0</v>
      </c>
      <c r="AD719" s="147">
        <v>0</v>
      </c>
      <c r="AE719" s="147">
        <v>0</v>
      </c>
      <c r="AF719" s="147">
        <v>0</v>
      </c>
      <c r="AG719" s="147">
        <v>0</v>
      </c>
      <c r="AH719" s="147">
        <v>0</v>
      </c>
      <c r="AI719" s="147">
        <v>0</v>
      </c>
      <c r="AJ719" s="147">
        <v>0</v>
      </c>
      <c r="AK719" s="147">
        <v>0</v>
      </c>
      <c r="AL719" s="147">
        <v>0</v>
      </c>
      <c r="AM719" s="147">
        <v>0</v>
      </c>
      <c r="AN719" s="147">
        <v>0</v>
      </c>
      <c r="AO719" s="147">
        <v>0</v>
      </c>
      <c r="AP719" s="147">
        <v>3522335.543892744</v>
      </c>
    </row>
    <row r="720" spans="2:42" ht="12.75" customHeight="1">
      <c r="B720" s="122" t="str">
        <v>Socioambiental</v>
      </c>
      <c r="C720" s="329" t="str">
        <v>7</v>
      </c>
      <c r="D720" s="329" t="str">
        <v>7.6</v>
      </c>
      <c r="E720" s="329">
        <v>0</v>
      </c>
      <c r="F720" s="329">
        <v>0</v>
      </c>
      <c r="G720" s="122" t="str">
        <v>Plantio Compensatório</v>
      </c>
      <c r="H720" s="122" t="b">
        <v>0</v>
      </c>
      <c r="I720" s="122" t="b">
        <v>0</v>
      </c>
      <c r="J720" s="122" t="b">
        <v>0</v>
      </c>
      <c r="K720" s="122" t="b">
        <v>1</v>
      </c>
      <c r="L720" s="147">
        <v>0</v>
      </c>
      <c r="M720" s="147">
        <v>0</v>
      </c>
      <c r="N720" s="147">
        <v>1830227.9370406021</v>
      </c>
      <c r="O720" s="147">
        <v>2803654.7250245307</v>
      </c>
      <c r="P720" s="147">
        <v>2803654.7250245307</v>
      </c>
      <c r="Q720" s="147">
        <v>2803654.7250245307</v>
      </c>
      <c r="R720" s="147">
        <v>2803654.7250245307</v>
      </c>
      <c r="S720" s="147">
        <v>973426.78798392857</v>
      </c>
      <c r="T720" s="147">
        <v>973426.78798392857</v>
      </c>
      <c r="U720" s="147">
        <v>973426.78798392857</v>
      </c>
      <c r="V720" s="147">
        <v>0</v>
      </c>
      <c r="W720" s="147">
        <v>0</v>
      </c>
      <c r="X720" s="147">
        <v>0</v>
      </c>
      <c r="Y720" s="147">
        <v>0</v>
      </c>
      <c r="Z720" s="147">
        <v>0</v>
      </c>
      <c r="AA720" s="147">
        <v>0</v>
      </c>
      <c r="AB720" s="147">
        <v>0</v>
      </c>
      <c r="AC720" s="147">
        <v>0</v>
      </c>
      <c r="AD720" s="147">
        <v>0</v>
      </c>
      <c r="AE720" s="147">
        <v>0</v>
      </c>
      <c r="AF720" s="147">
        <v>0</v>
      </c>
      <c r="AG720" s="147">
        <v>0</v>
      </c>
      <c r="AH720" s="147">
        <v>0</v>
      </c>
      <c r="AI720" s="147">
        <v>0</v>
      </c>
      <c r="AJ720" s="147">
        <v>0</v>
      </c>
      <c r="AK720" s="147">
        <v>0</v>
      </c>
      <c r="AL720" s="147">
        <v>0</v>
      </c>
      <c r="AM720" s="147">
        <v>0</v>
      </c>
      <c r="AN720" s="147">
        <v>0</v>
      </c>
      <c r="AO720" s="147">
        <v>0</v>
      </c>
      <c r="AP720" s="147">
        <v>15965127.201090509</v>
      </c>
    </row>
    <row r="721" spans="2:42" ht="12.75" customHeight="1">
      <c r="B721" s="122" t="str">
        <v>Socioambiental</v>
      </c>
      <c r="C721" s="329" t="str">
        <v>7</v>
      </c>
      <c r="D721" s="329" t="str">
        <v>7.7</v>
      </c>
      <c r="E721" s="329">
        <v>0</v>
      </c>
      <c r="F721" s="329">
        <v>0</v>
      </c>
      <c r="G721" s="122" t="str">
        <v>Desocupação</v>
      </c>
      <c r="H721" s="122" t="b">
        <v>0</v>
      </c>
      <c r="I721" s="122" t="b">
        <v>0</v>
      </c>
      <c r="J721" s="122" t="b">
        <v>0</v>
      </c>
      <c r="K721" s="122" t="b">
        <v>1</v>
      </c>
      <c r="L721" s="147">
        <v>0</v>
      </c>
      <c r="M721" s="147">
        <v>3580238.9889180008</v>
      </c>
      <c r="N721" s="147">
        <v>7330339.7439360013</v>
      </c>
      <c r="O721" s="147">
        <v>29521015.383696001</v>
      </c>
      <c r="P721" s="147">
        <v>0</v>
      </c>
      <c r="Q721" s="147">
        <v>0</v>
      </c>
      <c r="R721" s="147">
        <v>0</v>
      </c>
      <c r="S721" s="147">
        <v>0</v>
      </c>
      <c r="T721" s="147">
        <v>0</v>
      </c>
      <c r="U721" s="147">
        <v>0</v>
      </c>
      <c r="V721" s="147">
        <v>0</v>
      </c>
      <c r="W721" s="147">
        <v>0</v>
      </c>
      <c r="X721" s="147">
        <v>0</v>
      </c>
      <c r="Y721" s="147">
        <v>0</v>
      </c>
      <c r="Z721" s="147">
        <v>0</v>
      </c>
      <c r="AA721" s="147">
        <v>0</v>
      </c>
      <c r="AB721" s="147">
        <v>0</v>
      </c>
      <c r="AC721" s="147">
        <v>0</v>
      </c>
      <c r="AD721" s="147">
        <v>0</v>
      </c>
      <c r="AE721" s="147">
        <v>0</v>
      </c>
      <c r="AF721" s="147">
        <v>0</v>
      </c>
      <c r="AG721" s="147">
        <v>0</v>
      </c>
      <c r="AH721" s="147">
        <v>0</v>
      </c>
      <c r="AI721" s="147">
        <v>0</v>
      </c>
      <c r="AJ721" s="147">
        <v>0</v>
      </c>
      <c r="AK721" s="147">
        <v>0</v>
      </c>
      <c r="AL721" s="147">
        <v>0</v>
      </c>
      <c r="AM721" s="147">
        <v>0</v>
      </c>
      <c r="AN721" s="147">
        <v>0</v>
      </c>
      <c r="AO721" s="147">
        <v>0</v>
      </c>
      <c r="AP721" s="147">
        <v>40431594.116549999</v>
      </c>
    </row>
    <row r="722" spans="2:42" ht="12.75" customHeight="1">
      <c r="B722" s="122"/>
      <c r="C722" s="329"/>
      <c r="D722" s="329"/>
      <c r="E722" s="329"/>
      <c r="F722" s="329"/>
      <c r="G722" s="122"/>
      <c r="H722" s="122"/>
      <c r="I722" s="122"/>
      <c r="J722" s="122"/>
      <c r="K722" s="122"/>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c r="AL722" s="147"/>
      <c r="AM722" s="147"/>
      <c r="AN722" s="147"/>
      <c r="AO722" s="147"/>
      <c r="AP722" s="147"/>
    </row>
    <row r="723" spans="2:42" ht="12.75" customHeight="1">
      <c r="B723" s="122"/>
      <c r="C723" s="329"/>
      <c r="D723" s="329"/>
      <c r="E723" s="329"/>
      <c r="F723" s="329"/>
      <c r="G723" s="122"/>
      <c r="H723" s="122"/>
      <c r="I723" s="122"/>
      <c r="J723" s="122"/>
      <c r="K723" s="122"/>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c r="AL723" s="147"/>
      <c r="AM723" s="147"/>
      <c r="AN723" s="147"/>
      <c r="AO723" s="147"/>
      <c r="AP723" s="147"/>
    </row>
    <row r="724" spans="2:42" ht="12.75" customHeight="1">
      <c r="B724" s="122"/>
      <c r="C724" s="329"/>
      <c r="D724" s="329"/>
      <c r="E724" s="329"/>
      <c r="F724" s="329"/>
      <c r="G724" s="122"/>
      <c r="H724" s="122"/>
      <c r="I724" s="122"/>
      <c r="J724" s="122"/>
      <c r="K724" s="122"/>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c r="AL724" s="147"/>
      <c r="AM724" s="147"/>
      <c r="AN724" s="147"/>
      <c r="AO724" s="147"/>
      <c r="AP724" s="147"/>
    </row>
    <row r="725" spans="2:42" ht="12.75" customHeight="1">
      <c r="B725" s="122"/>
      <c r="C725" s="329"/>
      <c r="D725" s="329"/>
      <c r="E725" s="329"/>
      <c r="F725" s="329"/>
      <c r="G725" s="122"/>
      <c r="H725" s="122"/>
      <c r="I725" s="122"/>
      <c r="J725" s="122"/>
      <c r="K725" s="122"/>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c r="AL725" s="147"/>
      <c r="AM725" s="147"/>
      <c r="AN725" s="147"/>
      <c r="AO725" s="147"/>
      <c r="AP725" s="147"/>
    </row>
    <row r="726" spans="2:42" ht="12.75" customHeight="1">
      <c r="B726" s="122"/>
      <c r="C726" s="329"/>
      <c r="D726" s="329"/>
      <c r="E726" s="329"/>
      <c r="F726" s="329"/>
      <c r="G726" s="122"/>
      <c r="H726" s="122"/>
      <c r="I726" s="122"/>
      <c r="J726" s="122"/>
      <c r="K726" s="122"/>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c r="AL726" s="147"/>
      <c r="AM726" s="147"/>
      <c r="AN726" s="147"/>
      <c r="AO726" s="147"/>
      <c r="AP726" s="147"/>
    </row>
    <row r="727" spans="2:42" ht="12.75" customHeight="1">
      <c r="B727" s="122"/>
      <c r="C727" s="329"/>
      <c r="D727" s="329"/>
      <c r="E727" s="329"/>
      <c r="F727" s="329"/>
      <c r="G727" s="122"/>
      <c r="H727" s="122"/>
      <c r="I727" s="122"/>
      <c r="J727" s="122"/>
      <c r="K727" s="122"/>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c r="AL727" s="147"/>
      <c r="AM727" s="147"/>
      <c r="AN727" s="147"/>
      <c r="AO727" s="147"/>
      <c r="AP727" s="147"/>
    </row>
    <row r="728" spans="2:42" ht="12.75" customHeight="1">
      <c r="B728" s="122"/>
      <c r="C728" s="329"/>
      <c r="D728" s="329"/>
      <c r="E728" s="329"/>
      <c r="F728" s="329"/>
      <c r="G728" s="122"/>
      <c r="H728" s="122"/>
      <c r="I728" s="122"/>
      <c r="J728" s="122"/>
      <c r="K728" s="122"/>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c r="AL728" s="147"/>
      <c r="AM728" s="147"/>
      <c r="AN728" s="147"/>
      <c r="AO728" s="147"/>
      <c r="AP728" s="147"/>
    </row>
    <row r="729" spans="2:42" ht="12.75" customHeight="1">
      <c r="B729" s="122"/>
      <c r="C729" s="329"/>
      <c r="D729" s="329"/>
      <c r="E729" s="329"/>
      <c r="F729" s="329"/>
      <c r="G729" s="122"/>
      <c r="H729" s="122"/>
      <c r="I729" s="122"/>
      <c r="J729" s="122"/>
      <c r="K729" s="122"/>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c r="AL729" s="147"/>
      <c r="AM729" s="147"/>
      <c r="AN729" s="147"/>
      <c r="AO729" s="147"/>
      <c r="AP729" s="147"/>
    </row>
    <row r="730" spans="2:42" ht="12.75" customHeight="1">
      <c r="B730" s="122"/>
      <c r="C730" s="329"/>
      <c r="D730" s="329"/>
      <c r="E730" s="329"/>
      <c r="F730" s="329"/>
      <c r="G730" s="122"/>
      <c r="H730" s="122"/>
      <c r="I730" s="122"/>
      <c r="J730" s="122"/>
      <c r="K730" s="122"/>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c r="AL730" s="147"/>
      <c r="AM730" s="147"/>
      <c r="AN730" s="147"/>
      <c r="AO730" s="147"/>
      <c r="AP730" s="147"/>
    </row>
    <row r="731" spans="2:42" ht="12.75" customHeight="1">
      <c r="B731" s="122"/>
      <c r="C731" s="329"/>
      <c r="D731" s="329"/>
      <c r="E731" s="329"/>
      <c r="F731" s="329"/>
      <c r="G731" s="122"/>
      <c r="H731" s="122"/>
      <c r="I731" s="122"/>
      <c r="J731" s="122"/>
      <c r="K731" s="122"/>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c r="AL731" s="147"/>
      <c r="AM731" s="147"/>
      <c r="AN731" s="147"/>
      <c r="AO731" s="147"/>
      <c r="AP731" s="147"/>
    </row>
    <row r="732" spans="2:42" ht="12.75" customHeight="1">
      <c r="B732" s="122"/>
      <c r="C732" s="329"/>
      <c r="D732" s="329"/>
      <c r="E732" s="329"/>
      <c r="F732" s="329"/>
      <c r="G732" s="122"/>
      <c r="H732" s="122"/>
      <c r="I732" s="122"/>
      <c r="J732" s="122"/>
      <c r="K732" s="122"/>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c r="AL732" s="147"/>
      <c r="AM732" s="147"/>
      <c r="AN732" s="147"/>
      <c r="AO732" s="147"/>
      <c r="AP732" s="147"/>
    </row>
    <row r="733" spans="2:42" ht="12.75" customHeight="1">
      <c r="B733" s="122"/>
      <c r="C733" s="329"/>
      <c r="D733" s="329"/>
      <c r="E733" s="329"/>
      <c r="F733" s="329"/>
      <c r="G733" s="122"/>
      <c r="H733" s="122"/>
      <c r="I733" s="122"/>
      <c r="J733" s="122"/>
      <c r="K733" s="122"/>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c r="AL733" s="147"/>
      <c r="AM733" s="147"/>
      <c r="AN733" s="147"/>
      <c r="AO733" s="147"/>
      <c r="AP733" s="147"/>
    </row>
    <row r="734" spans="2:42" ht="12.75" customHeight="1">
      <c r="B734" s="385" t="s">
        <v>106</v>
      </c>
      <c r="C734" s="6"/>
      <c r="D734" s="6"/>
      <c r="E734" s="6"/>
      <c r="F734" s="6"/>
      <c r="G734" s="6"/>
      <c r="H734" s="6"/>
      <c r="I734" s="6"/>
      <c r="J734" s="6"/>
      <c r="K734" s="6"/>
      <c r="L734" s="386">
        <f t="shared" ref="L734:AP734" si="29">SUM(L433:L733)</f>
        <v>169538812.00037712</v>
      </c>
      <c r="M734" s="386">
        <f t="shared" si="29"/>
        <v>115586051.64563799</v>
      </c>
      <c r="N734" s="386">
        <f t="shared" si="29"/>
        <v>304891252.3932023</v>
      </c>
      <c r="O734" s="386">
        <f t="shared" si="29"/>
        <v>833369878.69682133</v>
      </c>
      <c r="P734" s="386">
        <f t="shared" si="29"/>
        <v>409828408.42118913</v>
      </c>
      <c r="Q734" s="386">
        <f t="shared" si="29"/>
        <v>489659353.49074179</v>
      </c>
      <c r="R734" s="386">
        <f t="shared" si="29"/>
        <v>3824511.6308319326</v>
      </c>
      <c r="S734" s="386">
        <f t="shared" si="29"/>
        <v>61044159.782113895</v>
      </c>
      <c r="T734" s="386">
        <f t="shared" si="29"/>
        <v>59962040.846558429</v>
      </c>
      <c r="U734" s="386">
        <f t="shared" si="29"/>
        <v>36904673.612920783</v>
      </c>
      <c r="V734" s="386">
        <f t="shared" si="29"/>
        <v>20144280.260724865</v>
      </c>
      <c r="W734" s="386">
        <f t="shared" si="29"/>
        <v>9805388.5124066658</v>
      </c>
      <c r="X734" s="386">
        <f t="shared" si="29"/>
        <v>1528502.7332409446</v>
      </c>
      <c r="Y734" s="386">
        <f t="shared" si="29"/>
        <v>147996.93750211765</v>
      </c>
      <c r="Z734" s="386">
        <f t="shared" si="29"/>
        <v>286762743.1357128</v>
      </c>
      <c r="AA734" s="386">
        <f t="shared" si="29"/>
        <v>46488563.183715098</v>
      </c>
      <c r="AB734" s="386">
        <f t="shared" si="29"/>
        <v>110640395.82136701</v>
      </c>
      <c r="AC734" s="386">
        <f t="shared" si="29"/>
        <v>112305278.50161055</v>
      </c>
      <c r="AD734" s="386">
        <f t="shared" si="29"/>
        <v>67886886.197131529</v>
      </c>
      <c r="AE734" s="386">
        <f t="shared" si="29"/>
        <v>22992452.681358647</v>
      </c>
      <c r="AF734" s="386">
        <f t="shared" si="29"/>
        <v>7211455.9744459148</v>
      </c>
      <c r="AG734" s="386">
        <f t="shared" si="29"/>
        <v>2592756.69042543</v>
      </c>
      <c r="AH734" s="386">
        <f t="shared" si="29"/>
        <v>21152524.375688139</v>
      </c>
      <c r="AI734" s="386">
        <f t="shared" si="29"/>
        <v>29796608.724573009</v>
      </c>
      <c r="AJ734" s="386">
        <f t="shared" si="29"/>
        <v>47237360.167516485</v>
      </c>
      <c r="AK734" s="386">
        <f t="shared" si="29"/>
        <v>51606254.54439196</v>
      </c>
      <c r="AL734" s="386">
        <f t="shared" si="29"/>
        <v>26052264.511539001</v>
      </c>
      <c r="AM734" s="386">
        <f t="shared" si="29"/>
        <v>12250766.93960496</v>
      </c>
      <c r="AN734" s="386">
        <f t="shared" si="29"/>
        <v>19728016.339359876</v>
      </c>
      <c r="AO734" s="386">
        <f t="shared" si="29"/>
        <v>33866530.0542612</v>
      </c>
      <c r="AP734" s="386">
        <f t="shared" si="29"/>
        <v>3414806168.8069701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FA6F-D361-4A3E-A91A-2DDF9ED1F319}">
  <sheetPr>
    <tabColor theme="5"/>
  </sheetPr>
  <dimension ref="B2:AL426"/>
  <sheetViews>
    <sheetView showGridLines="0" topLeftCell="G1" zoomScale="85" zoomScaleNormal="85" workbookViewId="0">
      <selection activeCell="I5" sqref="I5"/>
    </sheetView>
  </sheetViews>
  <sheetFormatPr defaultColWidth="11.85546875" defaultRowHeight="12.75" customHeight="1"/>
  <cols>
    <col min="1" max="1" width="2.42578125" customWidth="1"/>
    <col min="2" max="2" width="33" customWidth="1"/>
    <col min="3" max="3" width="31.85546875" customWidth="1"/>
    <col min="4" max="5" width="9.140625"/>
    <col min="6" max="6" width="53.42578125" bestFit="1" customWidth="1"/>
    <col min="7" max="7" width="53.42578125" customWidth="1"/>
    <col min="8" max="8" width="57" customWidth="1"/>
    <col min="9" max="9" width="21.7109375" customWidth="1"/>
    <col min="10" max="38" width="17.85546875" customWidth="1"/>
  </cols>
  <sheetData>
    <row r="2" spans="2:38">
      <c r="B2" s="2" t="s">
        <v>781</v>
      </c>
    </row>
    <row r="3" spans="2:38">
      <c r="B3" s="10" t="s">
        <v>541</v>
      </c>
      <c r="C3" s="176" t="s">
        <v>782</v>
      </c>
      <c r="D3" s="10" t="s">
        <v>783</v>
      </c>
      <c r="E3" s="10" t="s">
        <v>784</v>
      </c>
      <c r="F3" s="10" t="s">
        <v>785</v>
      </c>
      <c r="G3" s="10" t="s">
        <v>786</v>
      </c>
      <c r="H3" s="10" t="s">
        <v>787</v>
      </c>
      <c r="I3" s="173" t="s">
        <v>43</v>
      </c>
      <c r="J3" s="173" t="s">
        <v>44</v>
      </c>
      <c r="K3" s="173" t="s">
        <v>45</v>
      </c>
      <c r="L3" s="173" t="s">
        <v>46</v>
      </c>
      <c r="M3" s="173" t="s">
        <v>47</v>
      </c>
      <c r="N3" s="173" t="s">
        <v>48</v>
      </c>
      <c r="O3" s="173" t="s">
        <v>49</v>
      </c>
      <c r="P3" s="173" t="s">
        <v>50</v>
      </c>
      <c r="Q3" s="173" t="s">
        <v>51</v>
      </c>
      <c r="R3" s="173" t="s">
        <v>52</v>
      </c>
      <c r="S3" s="173" t="s">
        <v>53</v>
      </c>
      <c r="T3" s="173" t="s">
        <v>54</v>
      </c>
      <c r="U3" s="173" t="s">
        <v>55</v>
      </c>
      <c r="V3" s="173" t="s">
        <v>56</v>
      </c>
      <c r="W3" s="173" t="s">
        <v>57</v>
      </c>
      <c r="X3" s="173" t="s">
        <v>58</v>
      </c>
      <c r="Y3" s="173" t="s">
        <v>59</v>
      </c>
      <c r="Z3" s="173" t="s">
        <v>60</v>
      </c>
      <c r="AA3" s="173" t="s">
        <v>61</v>
      </c>
      <c r="AB3" s="173" t="s">
        <v>62</v>
      </c>
      <c r="AC3" s="173" t="s">
        <v>63</v>
      </c>
      <c r="AD3" s="173" t="s">
        <v>64</v>
      </c>
      <c r="AE3" s="173" t="s">
        <v>65</v>
      </c>
      <c r="AF3" s="173" t="s">
        <v>66</v>
      </c>
      <c r="AG3" s="173" t="s">
        <v>67</v>
      </c>
      <c r="AH3" s="173" t="s">
        <v>68</v>
      </c>
      <c r="AI3" s="173" t="s">
        <v>69</v>
      </c>
      <c r="AJ3" s="173" t="s">
        <v>70</v>
      </c>
      <c r="AK3" s="173" t="s">
        <v>71</v>
      </c>
      <c r="AL3" s="173" t="s">
        <v>72</v>
      </c>
    </row>
    <row r="4" spans="2:38">
      <c r="B4" s="351" t="str" cm="1">
        <f t="array" ref="B4:AL419">_xlfn._xlws.FILTER('Capex Input - Todos os cenários'!B4:AL8338,'Capex Input - Todos os cenários'!B4:B8338='Painel Controle'!C8)</f>
        <v>Cenário 20/03/2025 com IFC</v>
      </c>
      <c r="C4" s="448" t="str">
        <v>Pórticos 1 e 2 (BR-356)</v>
      </c>
      <c r="D4" s="149" t="str">
        <v>1</v>
      </c>
      <c r="E4" s="149">
        <v>1</v>
      </c>
      <c r="F4" s="149">
        <v>0</v>
      </c>
      <c r="G4" s="149">
        <v>0</v>
      </c>
      <c r="H4" s="267" t="str">
        <v>Trabalhos iniciais</v>
      </c>
      <c r="I4" s="192">
        <v>0</v>
      </c>
      <c r="J4" s="192">
        <v>0</v>
      </c>
      <c r="K4" s="192">
        <v>0</v>
      </c>
      <c r="L4" s="192">
        <v>0</v>
      </c>
      <c r="M4" s="192">
        <v>0</v>
      </c>
      <c r="N4" s="192">
        <v>0</v>
      </c>
      <c r="O4" s="192">
        <v>0</v>
      </c>
      <c r="P4" s="192">
        <v>0</v>
      </c>
      <c r="Q4" s="192">
        <v>0</v>
      </c>
      <c r="R4" s="192">
        <v>0</v>
      </c>
      <c r="S4" s="192">
        <v>0</v>
      </c>
      <c r="T4" s="192">
        <v>0</v>
      </c>
      <c r="U4" s="192">
        <v>0</v>
      </c>
      <c r="V4" s="192">
        <v>0</v>
      </c>
      <c r="W4" s="192">
        <v>0</v>
      </c>
      <c r="X4" s="192">
        <v>0</v>
      </c>
      <c r="Y4" s="192">
        <v>0</v>
      </c>
      <c r="Z4" s="192">
        <v>0</v>
      </c>
      <c r="AA4" s="192">
        <v>0</v>
      </c>
      <c r="AB4" s="192">
        <v>0</v>
      </c>
      <c r="AC4" s="192">
        <v>0</v>
      </c>
      <c r="AD4" s="192">
        <v>0</v>
      </c>
      <c r="AE4" s="192">
        <v>0</v>
      </c>
      <c r="AF4" s="192">
        <v>0</v>
      </c>
      <c r="AG4" s="192">
        <v>0</v>
      </c>
      <c r="AH4" s="192">
        <v>0</v>
      </c>
      <c r="AI4" s="192">
        <v>0</v>
      </c>
      <c r="AJ4" s="192">
        <v>0</v>
      </c>
      <c r="AK4" s="192">
        <v>0</v>
      </c>
      <c r="AL4" s="192">
        <v>0</v>
      </c>
    </row>
    <row r="5" spans="2:38">
      <c r="B5" s="122" t="str">
        <v>Cenário 20/03/2025 com IFC</v>
      </c>
      <c r="C5" s="448" t="str">
        <v>Pórticos 1 e 2 (BR-356)</v>
      </c>
      <c r="D5" s="149" t="str">
        <v>1</v>
      </c>
      <c r="E5" s="149" t="str">
        <v>1.1</v>
      </c>
      <c r="F5" s="149">
        <v>1</v>
      </c>
      <c r="G5" s="149">
        <v>0</v>
      </c>
      <c r="H5" s="267" t="str">
        <v>Pavimento</v>
      </c>
      <c r="I5" s="192">
        <v>16039523.934561891</v>
      </c>
      <c r="J5" s="192">
        <v>0</v>
      </c>
      <c r="K5" s="192">
        <v>0</v>
      </c>
      <c r="L5" s="192">
        <v>0</v>
      </c>
      <c r="M5" s="192">
        <v>0</v>
      </c>
      <c r="N5" s="192">
        <v>0</v>
      </c>
      <c r="O5" s="192">
        <v>0</v>
      </c>
      <c r="P5" s="192">
        <v>0</v>
      </c>
      <c r="Q5" s="192">
        <v>0</v>
      </c>
      <c r="R5" s="192">
        <v>0</v>
      </c>
      <c r="S5" s="192">
        <v>0</v>
      </c>
      <c r="T5" s="192">
        <v>0</v>
      </c>
      <c r="U5" s="192">
        <v>0</v>
      </c>
      <c r="V5" s="192">
        <v>0</v>
      </c>
      <c r="W5" s="192">
        <v>0</v>
      </c>
      <c r="X5" s="192">
        <v>0</v>
      </c>
      <c r="Y5" s="192">
        <v>0</v>
      </c>
      <c r="Z5" s="192">
        <v>0</v>
      </c>
      <c r="AA5" s="192">
        <v>0</v>
      </c>
      <c r="AB5" s="192">
        <v>0</v>
      </c>
      <c r="AC5" s="192">
        <v>0</v>
      </c>
      <c r="AD5" s="192">
        <v>0</v>
      </c>
      <c r="AE5" s="192">
        <v>0</v>
      </c>
      <c r="AF5" s="192">
        <v>0</v>
      </c>
      <c r="AG5" s="192">
        <v>0</v>
      </c>
      <c r="AH5" s="192">
        <v>0</v>
      </c>
      <c r="AI5" s="192">
        <v>0</v>
      </c>
      <c r="AJ5" s="192">
        <v>0</v>
      </c>
      <c r="AK5" s="192">
        <v>0</v>
      </c>
      <c r="AL5" s="192">
        <v>0</v>
      </c>
    </row>
    <row r="6" spans="2:38">
      <c r="B6" s="122" t="str">
        <v>Cenário 20/03/2025 com IFC</v>
      </c>
      <c r="C6" s="448" t="str">
        <v>Pórticos 1 e 2 (BR-356)</v>
      </c>
      <c r="D6" s="149" t="str">
        <v>1</v>
      </c>
      <c r="E6" s="149" t="str">
        <v>1.2</v>
      </c>
      <c r="F6" s="149">
        <v>1</v>
      </c>
      <c r="G6" s="149">
        <v>0</v>
      </c>
      <c r="H6" s="267" t="str">
        <v>Obras de arte especiais</v>
      </c>
      <c r="I6" s="192">
        <v>0</v>
      </c>
      <c r="J6" s="192">
        <v>0</v>
      </c>
      <c r="K6" s="192">
        <v>0</v>
      </c>
      <c r="L6" s="192">
        <v>0</v>
      </c>
      <c r="M6" s="192">
        <v>0</v>
      </c>
      <c r="N6" s="192">
        <v>0</v>
      </c>
      <c r="O6" s="192">
        <v>0</v>
      </c>
      <c r="P6" s="192">
        <v>0</v>
      </c>
      <c r="Q6" s="192">
        <v>0</v>
      </c>
      <c r="R6" s="192">
        <v>0</v>
      </c>
      <c r="S6" s="192">
        <v>0</v>
      </c>
      <c r="T6" s="192">
        <v>0</v>
      </c>
      <c r="U6" s="192">
        <v>0</v>
      </c>
      <c r="V6" s="192">
        <v>0</v>
      </c>
      <c r="W6" s="192">
        <v>0</v>
      </c>
      <c r="X6" s="192">
        <v>0</v>
      </c>
      <c r="Y6" s="192">
        <v>0</v>
      </c>
      <c r="Z6" s="192">
        <v>0</v>
      </c>
      <c r="AA6" s="192">
        <v>0</v>
      </c>
      <c r="AB6" s="192">
        <v>0</v>
      </c>
      <c r="AC6" s="192">
        <v>0</v>
      </c>
      <c r="AD6" s="192">
        <v>0</v>
      </c>
      <c r="AE6" s="192">
        <v>0</v>
      </c>
      <c r="AF6" s="192">
        <v>0</v>
      </c>
      <c r="AG6" s="192">
        <v>0</v>
      </c>
      <c r="AH6" s="192">
        <v>0</v>
      </c>
      <c r="AI6" s="192">
        <v>0</v>
      </c>
      <c r="AJ6" s="192">
        <v>0</v>
      </c>
      <c r="AK6" s="192">
        <v>0</v>
      </c>
      <c r="AL6" s="192">
        <v>0</v>
      </c>
    </row>
    <row r="7" spans="2:38">
      <c r="B7" s="122" t="str">
        <v>Cenário 20/03/2025 com IFC</v>
      </c>
      <c r="C7" s="448" t="str">
        <v>Pórticos 1 e 2 (BR-356)</v>
      </c>
      <c r="D7" s="149" t="str">
        <v>1</v>
      </c>
      <c r="E7" s="149" t="str">
        <v>1.3</v>
      </c>
      <c r="F7" s="149">
        <v>1</v>
      </c>
      <c r="G7" s="149">
        <v>0</v>
      </c>
      <c r="H7" s="267" t="str">
        <v>Drenagem e obras de arte correntes</v>
      </c>
      <c r="I7" s="192">
        <v>963585.00123726949</v>
      </c>
      <c r="J7" s="192">
        <v>0</v>
      </c>
      <c r="K7" s="192">
        <v>0</v>
      </c>
      <c r="L7" s="192">
        <v>0</v>
      </c>
      <c r="M7" s="192">
        <v>0</v>
      </c>
      <c r="N7" s="192">
        <v>0</v>
      </c>
      <c r="O7" s="192">
        <v>0</v>
      </c>
      <c r="P7" s="192">
        <v>0</v>
      </c>
      <c r="Q7" s="192">
        <v>0</v>
      </c>
      <c r="R7" s="192">
        <v>0</v>
      </c>
      <c r="S7" s="192">
        <v>0</v>
      </c>
      <c r="T7" s="192">
        <v>0</v>
      </c>
      <c r="U7" s="192">
        <v>0</v>
      </c>
      <c r="V7" s="192">
        <v>0</v>
      </c>
      <c r="W7" s="192">
        <v>0</v>
      </c>
      <c r="X7" s="192">
        <v>0</v>
      </c>
      <c r="Y7" s="192">
        <v>0</v>
      </c>
      <c r="Z7" s="192">
        <v>0</v>
      </c>
      <c r="AA7" s="192">
        <v>0</v>
      </c>
      <c r="AB7" s="192">
        <v>0</v>
      </c>
      <c r="AC7" s="192">
        <v>0</v>
      </c>
      <c r="AD7" s="192">
        <v>0</v>
      </c>
      <c r="AE7" s="192">
        <v>0</v>
      </c>
      <c r="AF7" s="192">
        <v>0</v>
      </c>
      <c r="AG7" s="192">
        <v>0</v>
      </c>
      <c r="AH7" s="192">
        <v>0</v>
      </c>
      <c r="AI7" s="192">
        <v>0</v>
      </c>
      <c r="AJ7" s="192">
        <v>0</v>
      </c>
      <c r="AK7" s="192">
        <v>0</v>
      </c>
      <c r="AL7" s="192">
        <v>0</v>
      </c>
    </row>
    <row r="8" spans="2:38">
      <c r="B8" s="122" t="str">
        <v>Cenário 20/03/2025 com IFC</v>
      </c>
      <c r="C8" s="448" t="str">
        <v>Pórticos 1 e 2 (BR-356)</v>
      </c>
      <c r="D8" s="149" t="str">
        <v>1</v>
      </c>
      <c r="E8" s="149" t="str">
        <v>1.4</v>
      </c>
      <c r="F8" s="149">
        <v>1</v>
      </c>
      <c r="G8" s="149">
        <v>0</v>
      </c>
      <c r="H8" s="267" t="str">
        <v xml:space="preserve">Sinalização e dispositivos de proteção e segurança </v>
      </c>
      <c r="I8" s="192">
        <v>6590428.9698317982</v>
      </c>
      <c r="J8" s="192">
        <v>0</v>
      </c>
      <c r="K8" s="192">
        <v>0</v>
      </c>
      <c r="L8" s="192">
        <v>0</v>
      </c>
      <c r="M8" s="192">
        <v>0</v>
      </c>
      <c r="N8" s="192">
        <v>0</v>
      </c>
      <c r="O8" s="192">
        <v>0</v>
      </c>
      <c r="P8" s="192">
        <v>0</v>
      </c>
      <c r="Q8" s="192">
        <v>0</v>
      </c>
      <c r="R8" s="192">
        <v>0</v>
      </c>
      <c r="S8" s="192">
        <v>0</v>
      </c>
      <c r="T8" s="192">
        <v>0</v>
      </c>
      <c r="U8" s="192">
        <v>0</v>
      </c>
      <c r="V8" s="192">
        <v>0</v>
      </c>
      <c r="W8" s="192">
        <v>0</v>
      </c>
      <c r="X8" s="192">
        <v>0</v>
      </c>
      <c r="Y8" s="192">
        <v>0</v>
      </c>
      <c r="Z8" s="192">
        <v>0</v>
      </c>
      <c r="AA8" s="192">
        <v>0</v>
      </c>
      <c r="AB8" s="192">
        <v>0</v>
      </c>
      <c r="AC8" s="192">
        <v>0</v>
      </c>
      <c r="AD8" s="192">
        <v>0</v>
      </c>
      <c r="AE8" s="192">
        <v>0</v>
      </c>
      <c r="AF8" s="192">
        <v>0</v>
      </c>
      <c r="AG8" s="192">
        <v>0</v>
      </c>
      <c r="AH8" s="192">
        <v>0</v>
      </c>
      <c r="AI8" s="192">
        <v>0</v>
      </c>
      <c r="AJ8" s="192">
        <v>0</v>
      </c>
      <c r="AK8" s="192">
        <v>0</v>
      </c>
      <c r="AL8" s="192">
        <v>0</v>
      </c>
    </row>
    <row r="9" spans="2:38">
      <c r="B9" s="122" t="str">
        <v>Cenário 20/03/2025 com IFC</v>
      </c>
      <c r="C9" s="448" t="str">
        <v>Pórticos 1 e 2 (BR-356)</v>
      </c>
      <c r="D9" s="149" t="str">
        <v>1</v>
      </c>
      <c r="E9" s="149" t="str">
        <v>1.5</v>
      </c>
      <c r="F9" s="149">
        <v>1</v>
      </c>
      <c r="G9" s="149">
        <v>0</v>
      </c>
      <c r="H9" s="267" t="str">
        <v>Terraplenos e estrutura de contenção</v>
      </c>
      <c r="I9" s="192">
        <v>0</v>
      </c>
      <c r="J9" s="192">
        <v>0</v>
      </c>
      <c r="K9" s="192">
        <v>0</v>
      </c>
      <c r="L9" s="192">
        <v>0</v>
      </c>
      <c r="M9" s="192">
        <v>0</v>
      </c>
      <c r="N9" s="192">
        <v>0</v>
      </c>
      <c r="O9" s="192">
        <v>0</v>
      </c>
      <c r="P9" s="192">
        <v>0</v>
      </c>
      <c r="Q9" s="192">
        <v>0</v>
      </c>
      <c r="R9" s="192">
        <v>0</v>
      </c>
      <c r="S9" s="192">
        <v>0</v>
      </c>
      <c r="T9" s="192">
        <v>0</v>
      </c>
      <c r="U9" s="192">
        <v>0</v>
      </c>
      <c r="V9" s="192">
        <v>0</v>
      </c>
      <c r="W9" s="192">
        <v>0</v>
      </c>
      <c r="X9" s="192">
        <v>0</v>
      </c>
      <c r="Y9" s="192">
        <v>0</v>
      </c>
      <c r="Z9" s="192">
        <v>0</v>
      </c>
      <c r="AA9" s="192">
        <v>0</v>
      </c>
      <c r="AB9" s="192">
        <v>0</v>
      </c>
      <c r="AC9" s="192">
        <v>0</v>
      </c>
      <c r="AD9" s="192">
        <v>0</v>
      </c>
      <c r="AE9" s="192">
        <v>0</v>
      </c>
      <c r="AF9" s="192">
        <v>0</v>
      </c>
      <c r="AG9" s="192">
        <v>0</v>
      </c>
      <c r="AH9" s="192">
        <v>0</v>
      </c>
      <c r="AI9" s="192">
        <v>0</v>
      </c>
      <c r="AJ9" s="192">
        <v>0</v>
      </c>
      <c r="AK9" s="192">
        <v>0</v>
      </c>
      <c r="AL9" s="192">
        <v>0</v>
      </c>
    </row>
    <row r="10" spans="2:38">
      <c r="B10" s="122" t="str">
        <v>Cenário 20/03/2025 com IFC</v>
      </c>
      <c r="C10" s="448" t="str">
        <v>Pórticos 1 e 2 (BR-356)</v>
      </c>
      <c r="D10" s="149" t="str">
        <v>1</v>
      </c>
      <c r="E10" s="149" t="str">
        <v>1.6</v>
      </c>
      <c r="F10" s="149">
        <v>1</v>
      </c>
      <c r="G10" s="149">
        <v>0</v>
      </c>
      <c r="H10" s="267" t="str">
        <v>Sistemas elétricos e de iluminação</v>
      </c>
      <c r="I10" s="192">
        <v>202264.96340718286</v>
      </c>
      <c r="J10" s="192">
        <v>0</v>
      </c>
      <c r="K10" s="192">
        <v>0</v>
      </c>
      <c r="L10" s="192">
        <v>0</v>
      </c>
      <c r="M10" s="192">
        <v>0</v>
      </c>
      <c r="N10" s="192">
        <v>0</v>
      </c>
      <c r="O10" s="192">
        <v>0</v>
      </c>
      <c r="P10" s="192">
        <v>0</v>
      </c>
      <c r="Q10" s="192">
        <v>0</v>
      </c>
      <c r="R10" s="192">
        <v>0</v>
      </c>
      <c r="S10" s="192">
        <v>0</v>
      </c>
      <c r="T10" s="192">
        <v>0</v>
      </c>
      <c r="U10" s="192">
        <v>0</v>
      </c>
      <c r="V10" s="192">
        <v>0</v>
      </c>
      <c r="W10" s="192">
        <v>0</v>
      </c>
      <c r="X10" s="192">
        <v>0</v>
      </c>
      <c r="Y10" s="192">
        <v>0</v>
      </c>
      <c r="Z10" s="192">
        <v>0</v>
      </c>
      <c r="AA10" s="192">
        <v>0</v>
      </c>
      <c r="AB10" s="192">
        <v>0</v>
      </c>
      <c r="AC10" s="192">
        <v>0</v>
      </c>
      <c r="AD10" s="192">
        <v>0</v>
      </c>
      <c r="AE10" s="192">
        <v>0</v>
      </c>
      <c r="AF10" s="192">
        <v>0</v>
      </c>
      <c r="AG10" s="192">
        <v>0</v>
      </c>
      <c r="AH10" s="192">
        <v>0</v>
      </c>
      <c r="AI10" s="192">
        <v>0</v>
      </c>
      <c r="AJ10" s="192">
        <v>0</v>
      </c>
      <c r="AK10" s="192">
        <v>0</v>
      </c>
      <c r="AL10" s="192">
        <v>0</v>
      </c>
    </row>
    <row r="11" spans="2:38">
      <c r="B11" s="122" t="str">
        <v>Cenário 20/03/2025 com IFC</v>
      </c>
      <c r="C11" s="448" t="str">
        <v>Pórticos 1 e 2 (BR-356)</v>
      </c>
      <c r="D11" s="149" t="str">
        <v>1</v>
      </c>
      <c r="E11" s="149" t="str">
        <v>1.7</v>
      </c>
      <c r="F11" s="149">
        <v>1</v>
      </c>
      <c r="G11" s="149">
        <v>0</v>
      </c>
      <c r="H11" s="267" t="str">
        <v>Canteiro central e faixa de domínio</v>
      </c>
      <c r="I11" s="192">
        <v>217665.66209340666</v>
      </c>
      <c r="J11" s="192">
        <v>0</v>
      </c>
      <c r="K11" s="192">
        <v>0</v>
      </c>
      <c r="L11" s="192">
        <v>0</v>
      </c>
      <c r="M11" s="192">
        <v>0</v>
      </c>
      <c r="N11" s="192">
        <v>0</v>
      </c>
      <c r="O11" s="192">
        <v>0</v>
      </c>
      <c r="P11" s="192">
        <v>0</v>
      </c>
      <c r="Q11" s="192">
        <v>0</v>
      </c>
      <c r="R11" s="192">
        <v>0</v>
      </c>
      <c r="S11" s="192">
        <v>0</v>
      </c>
      <c r="T11" s="192">
        <v>0</v>
      </c>
      <c r="U11" s="192">
        <v>0</v>
      </c>
      <c r="V11" s="192">
        <v>0</v>
      </c>
      <c r="W11" s="192">
        <v>0</v>
      </c>
      <c r="X11" s="192">
        <v>0</v>
      </c>
      <c r="Y11" s="192">
        <v>0</v>
      </c>
      <c r="Z11" s="192">
        <v>0</v>
      </c>
      <c r="AA11" s="192">
        <v>0</v>
      </c>
      <c r="AB11" s="192">
        <v>0</v>
      </c>
      <c r="AC11" s="192">
        <v>0</v>
      </c>
      <c r="AD11" s="192">
        <v>0</v>
      </c>
      <c r="AE11" s="192">
        <v>0</v>
      </c>
      <c r="AF11" s="192">
        <v>0</v>
      </c>
      <c r="AG11" s="192">
        <v>0</v>
      </c>
      <c r="AH11" s="192">
        <v>0</v>
      </c>
      <c r="AI11" s="192">
        <v>0</v>
      </c>
      <c r="AJ11" s="192">
        <v>0</v>
      </c>
      <c r="AK11" s="192">
        <v>0</v>
      </c>
      <c r="AL11" s="192">
        <v>0</v>
      </c>
    </row>
    <row r="12" spans="2:38">
      <c r="B12" s="122" t="str">
        <v>Cenário 20/03/2025 com IFC</v>
      </c>
      <c r="C12" s="448" t="str">
        <v>Pórticos 1 e 2 (BR-356)</v>
      </c>
      <c r="D12" s="149" t="str">
        <v>1</v>
      </c>
      <c r="E12" s="149" t="str">
        <v>1.8</v>
      </c>
      <c r="F12" s="149">
        <v>1</v>
      </c>
      <c r="G12" s="149">
        <v>0</v>
      </c>
      <c r="H12" s="267" t="str">
        <v>Administração local (%)</v>
      </c>
      <c r="I12" s="192">
        <v>295365.66293291806</v>
      </c>
      <c r="J12" s="192">
        <v>0</v>
      </c>
      <c r="K12" s="192">
        <v>0</v>
      </c>
      <c r="L12" s="192">
        <v>0</v>
      </c>
      <c r="M12" s="192">
        <v>0</v>
      </c>
      <c r="N12" s="192">
        <v>0</v>
      </c>
      <c r="O12" s="192">
        <v>0</v>
      </c>
      <c r="P12" s="192">
        <v>0</v>
      </c>
      <c r="Q12" s="192">
        <v>0</v>
      </c>
      <c r="R12" s="192">
        <v>0</v>
      </c>
      <c r="S12" s="192">
        <v>0</v>
      </c>
      <c r="T12" s="192">
        <v>0</v>
      </c>
      <c r="U12" s="192">
        <v>0</v>
      </c>
      <c r="V12" s="192">
        <v>0</v>
      </c>
      <c r="W12" s="192">
        <v>0</v>
      </c>
      <c r="X12" s="192">
        <v>0</v>
      </c>
      <c r="Y12" s="192">
        <v>0</v>
      </c>
      <c r="Z12" s="192">
        <v>0</v>
      </c>
      <c r="AA12" s="192">
        <v>0</v>
      </c>
      <c r="AB12" s="192">
        <v>0</v>
      </c>
      <c r="AC12" s="192">
        <v>0</v>
      </c>
      <c r="AD12" s="192">
        <v>0</v>
      </c>
      <c r="AE12" s="192">
        <v>0</v>
      </c>
      <c r="AF12" s="192">
        <v>0</v>
      </c>
      <c r="AG12" s="192">
        <v>0</v>
      </c>
      <c r="AH12" s="192">
        <v>0</v>
      </c>
      <c r="AI12" s="192">
        <v>0</v>
      </c>
      <c r="AJ12" s="192">
        <v>0</v>
      </c>
      <c r="AK12" s="192">
        <v>0</v>
      </c>
      <c r="AL12" s="192">
        <v>0</v>
      </c>
    </row>
    <row r="13" spans="2:38">
      <c r="B13" s="122" t="str">
        <v>Cenário 20/03/2025 com IFC</v>
      </c>
      <c r="C13" s="448" t="str">
        <v>Pórticos 1 e 2 (BR-356)</v>
      </c>
      <c r="D13" s="149" t="str">
        <v>1</v>
      </c>
      <c r="E13" s="149" t="str">
        <v>1.9</v>
      </c>
      <c r="F13" s="149">
        <v>1</v>
      </c>
      <c r="G13" s="149">
        <v>0</v>
      </c>
      <c r="H13" s="267" t="str">
        <v>Canteiro de obras (%)</v>
      </c>
      <c r="I13" s="192">
        <v>74441.752446507788</v>
      </c>
      <c r="J13" s="192">
        <v>0</v>
      </c>
      <c r="K13" s="192">
        <v>0</v>
      </c>
      <c r="L13" s="192">
        <v>0</v>
      </c>
      <c r="M13" s="192">
        <v>0</v>
      </c>
      <c r="N13" s="192">
        <v>0</v>
      </c>
      <c r="O13" s="192">
        <v>0</v>
      </c>
      <c r="P13" s="192">
        <v>0</v>
      </c>
      <c r="Q13" s="192">
        <v>0</v>
      </c>
      <c r="R13" s="192">
        <v>0</v>
      </c>
      <c r="S13" s="192">
        <v>0</v>
      </c>
      <c r="T13" s="192">
        <v>0</v>
      </c>
      <c r="U13" s="192">
        <v>0</v>
      </c>
      <c r="V13" s="192">
        <v>0</v>
      </c>
      <c r="W13" s="192">
        <v>0</v>
      </c>
      <c r="X13" s="192">
        <v>0</v>
      </c>
      <c r="Y13" s="192">
        <v>0</v>
      </c>
      <c r="Z13" s="192">
        <v>0</v>
      </c>
      <c r="AA13" s="192">
        <v>0</v>
      </c>
      <c r="AB13" s="192">
        <v>0</v>
      </c>
      <c r="AC13" s="192">
        <v>0</v>
      </c>
      <c r="AD13" s="192">
        <v>0</v>
      </c>
      <c r="AE13" s="192">
        <v>0</v>
      </c>
      <c r="AF13" s="192">
        <v>0</v>
      </c>
      <c r="AG13" s="192">
        <v>0</v>
      </c>
      <c r="AH13" s="192">
        <v>0</v>
      </c>
      <c r="AI13" s="192">
        <v>0</v>
      </c>
      <c r="AJ13" s="192">
        <v>0</v>
      </c>
      <c r="AK13" s="192">
        <v>0</v>
      </c>
      <c r="AL13" s="192">
        <v>0</v>
      </c>
    </row>
    <row r="14" spans="2:38">
      <c r="B14" s="122" t="str">
        <v>Cenário 20/03/2025 com IFC</v>
      </c>
      <c r="C14" s="448" t="str">
        <v>Pórticos 1 e 2 (BR-356)</v>
      </c>
      <c r="D14" s="149" t="str">
        <v>1</v>
      </c>
      <c r="E14" s="149" t="str">
        <v>1.10</v>
      </c>
      <c r="F14" s="149">
        <v>1</v>
      </c>
      <c r="G14" s="149">
        <v>0</v>
      </c>
      <c r="H14" s="267" t="str">
        <v>Mobilização e desmobilização (%)</v>
      </c>
      <c r="I14" s="192">
        <v>1392.7811748056297</v>
      </c>
      <c r="J14" s="192">
        <v>0</v>
      </c>
      <c r="K14" s="192">
        <v>0</v>
      </c>
      <c r="L14" s="192">
        <v>0</v>
      </c>
      <c r="M14" s="192">
        <v>0</v>
      </c>
      <c r="N14" s="192">
        <v>0</v>
      </c>
      <c r="O14" s="192">
        <v>0</v>
      </c>
      <c r="P14" s="192">
        <v>0</v>
      </c>
      <c r="Q14" s="192">
        <v>0</v>
      </c>
      <c r="R14" s="192">
        <v>0</v>
      </c>
      <c r="S14" s="192">
        <v>0</v>
      </c>
      <c r="T14" s="192">
        <v>0</v>
      </c>
      <c r="U14" s="192">
        <v>0</v>
      </c>
      <c r="V14" s="192">
        <v>0</v>
      </c>
      <c r="W14" s="192">
        <v>0</v>
      </c>
      <c r="X14" s="192">
        <v>0</v>
      </c>
      <c r="Y14" s="192">
        <v>0</v>
      </c>
      <c r="Z14" s="192">
        <v>0</v>
      </c>
      <c r="AA14" s="192">
        <v>0</v>
      </c>
      <c r="AB14" s="192">
        <v>0</v>
      </c>
      <c r="AC14" s="192">
        <v>0</v>
      </c>
      <c r="AD14" s="192">
        <v>0</v>
      </c>
      <c r="AE14" s="192">
        <v>0</v>
      </c>
      <c r="AF14" s="192">
        <v>0</v>
      </c>
      <c r="AG14" s="192">
        <v>0</v>
      </c>
      <c r="AH14" s="192">
        <v>0</v>
      </c>
      <c r="AI14" s="192">
        <v>0</v>
      </c>
      <c r="AJ14" s="192">
        <v>0</v>
      </c>
      <c r="AK14" s="192">
        <v>0</v>
      </c>
      <c r="AL14" s="192">
        <v>0</v>
      </c>
    </row>
    <row r="15" spans="2:38">
      <c r="B15" s="122" t="str">
        <v>Cenário 20/03/2025 com IFC</v>
      </c>
      <c r="C15" s="448" t="str">
        <v>Pórticos 1 e 2 (BR-356)</v>
      </c>
      <c r="D15" s="149" t="str">
        <v>1</v>
      </c>
      <c r="E15" s="149" t="str">
        <v>1.11</v>
      </c>
      <c r="F15" s="149">
        <v>1</v>
      </c>
      <c r="G15" s="149">
        <v>0</v>
      </c>
      <c r="H15" s="267" t="str">
        <v>Projetos (%)</v>
      </c>
      <c r="I15" s="192">
        <v>600336.71327828872</v>
      </c>
      <c r="J15" s="192">
        <v>0</v>
      </c>
      <c r="K15" s="192">
        <v>0</v>
      </c>
      <c r="L15" s="192">
        <v>0</v>
      </c>
      <c r="M15" s="192">
        <v>0</v>
      </c>
      <c r="N15" s="192">
        <v>0</v>
      </c>
      <c r="O15" s="192">
        <v>0</v>
      </c>
      <c r="P15" s="192">
        <v>0</v>
      </c>
      <c r="Q15" s="192">
        <v>0</v>
      </c>
      <c r="R15" s="192">
        <v>0</v>
      </c>
      <c r="S15" s="192">
        <v>0</v>
      </c>
      <c r="T15" s="192">
        <v>0</v>
      </c>
      <c r="U15" s="192">
        <v>0</v>
      </c>
      <c r="V15" s="192">
        <v>0</v>
      </c>
      <c r="W15" s="192">
        <v>0</v>
      </c>
      <c r="X15" s="192">
        <v>0</v>
      </c>
      <c r="Y15" s="192">
        <v>0</v>
      </c>
      <c r="Z15" s="192">
        <v>0</v>
      </c>
      <c r="AA15" s="192">
        <v>0</v>
      </c>
      <c r="AB15" s="192">
        <v>0</v>
      </c>
      <c r="AC15" s="192">
        <v>0</v>
      </c>
      <c r="AD15" s="192">
        <v>0</v>
      </c>
      <c r="AE15" s="192">
        <v>0</v>
      </c>
      <c r="AF15" s="192">
        <v>0</v>
      </c>
      <c r="AG15" s="192">
        <v>0</v>
      </c>
      <c r="AH15" s="192">
        <v>0</v>
      </c>
      <c r="AI15" s="192">
        <v>0</v>
      </c>
      <c r="AJ15" s="192">
        <v>0</v>
      </c>
      <c r="AK15" s="192">
        <v>0</v>
      </c>
      <c r="AL15" s="192">
        <v>0</v>
      </c>
    </row>
    <row r="16" spans="2:38">
      <c r="B16" s="122" t="str">
        <v>Cenário 20/03/2025 com IFC</v>
      </c>
      <c r="C16" s="448" t="str">
        <v>Pórticos 1 e 2 (BR-356)</v>
      </c>
      <c r="D16" s="149" t="str">
        <v>2</v>
      </c>
      <c r="E16" s="149">
        <v>2</v>
      </c>
      <c r="F16" s="149">
        <v>0</v>
      </c>
      <c r="G16" s="149">
        <v>0</v>
      </c>
      <c r="H16" s="267" t="str">
        <v>Recuperação do sistema rodoviário</v>
      </c>
      <c r="I16" s="192">
        <v>0</v>
      </c>
      <c r="J16" s="192">
        <v>0</v>
      </c>
      <c r="K16" s="192">
        <v>0</v>
      </c>
      <c r="L16" s="192">
        <v>0</v>
      </c>
      <c r="M16" s="192">
        <v>0</v>
      </c>
      <c r="N16" s="192">
        <v>0</v>
      </c>
      <c r="O16" s="192">
        <v>0</v>
      </c>
      <c r="P16" s="192">
        <v>0</v>
      </c>
      <c r="Q16" s="192">
        <v>0</v>
      </c>
      <c r="R16" s="192">
        <v>0</v>
      </c>
      <c r="S16" s="192">
        <v>0</v>
      </c>
      <c r="T16" s="192">
        <v>0</v>
      </c>
      <c r="U16" s="192">
        <v>0</v>
      </c>
      <c r="V16" s="192">
        <v>0</v>
      </c>
      <c r="W16" s="192">
        <v>0</v>
      </c>
      <c r="X16" s="192">
        <v>0</v>
      </c>
      <c r="Y16" s="192">
        <v>0</v>
      </c>
      <c r="Z16" s="192">
        <v>0</v>
      </c>
      <c r="AA16" s="192">
        <v>0</v>
      </c>
      <c r="AB16" s="192">
        <v>0</v>
      </c>
      <c r="AC16" s="192">
        <v>0</v>
      </c>
      <c r="AD16" s="192">
        <v>0</v>
      </c>
      <c r="AE16" s="192">
        <v>0</v>
      </c>
      <c r="AF16" s="192">
        <v>0</v>
      </c>
      <c r="AG16" s="192">
        <v>0</v>
      </c>
      <c r="AH16" s="192">
        <v>0</v>
      </c>
      <c r="AI16" s="192">
        <v>0</v>
      </c>
      <c r="AJ16" s="192">
        <v>0</v>
      </c>
      <c r="AK16" s="192">
        <v>0</v>
      </c>
      <c r="AL16" s="192">
        <v>0</v>
      </c>
    </row>
    <row r="17" spans="2:38">
      <c r="B17" s="122" t="str">
        <v>Cenário 20/03/2025 com IFC</v>
      </c>
      <c r="C17" s="448" t="str">
        <v>Pórticos 1 e 2 (BR-356)</v>
      </c>
      <c r="D17" s="149" t="str">
        <v>2</v>
      </c>
      <c r="E17" s="149" t="str">
        <v>2.1</v>
      </c>
      <c r="F17" s="149">
        <v>1</v>
      </c>
      <c r="G17" s="149">
        <v>0</v>
      </c>
      <c r="H17" s="267" t="str">
        <v>Pavimento</v>
      </c>
      <c r="I17" s="192">
        <v>0</v>
      </c>
      <c r="J17" s="192">
        <v>16974091.099283185</v>
      </c>
      <c r="K17" s="192">
        <v>18561557.519360438</v>
      </c>
      <c r="L17" s="192">
        <v>23431967.062616576</v>
      </c>
      <c r="M17" s="192">
        <v>14784354.44434241</v>
      </c>
      <c r="N17" s="192">
        <v>0</v>
      </c>
      <c r="O17" s="192">
        <v>0</v>
      </c>
      <c r="P17" s="192">
        <v>0</v>
      </c>
      <c r="Q17" s="192">
        <v>0</v>
      </c>
      <c r="R17" s="192">
        <v>0</v>
      </c>
      <c r="S17" s="192">
        <v>0</v>
      </c>
      <c r="T17" s="192">
        <v>0</v>
      </c>
      <c r="U17" s="192">
        <v>0</v>
      </c>
      <c r="V17" s="192">
        <v>0</v>
      </c>
      <c r="W17" s="192">
        <v>0</v>
      </c>
      <c r="X17" s="192">
        <v>0</v>
      </c>
      <c r="Y17" s="192">
        <v>0</v>
      </c>
      <c r="Z17" s="192">
        <v>0</v>
      </c>
      <c r="AA17" s="192">
        <v>0</v>
      </c>
      <c r="AB17" s="192">
        <v>0</v>
      </c>
      <c r="AC17" s="192">
        <v>0</v>
      </c>
      <c r="AD17" s="192">
        <v>0</v>
      </c>
      <c r="AE17" s="192">
        <v>0</v>
      </c>
      <c r="AF17" s="192">
        <v>0</v>
      </c>
      <c r="AG17" s="192">
        <v>0</v>
      </c>
      <c r="AH17" s="192">
        <v>0</v>
      </c>
      <c r="AI17" s="192">
        <v>0</v>
      </c>
      <c r="AJ17" s="192">
        <v>0</v>
      </c>
      <c r="AK17" s="192">
        <v>0</v>
      </c>
      <c r="AL17" s="192">
        <v>0</v>
      </c>
    </row>
    <row r="18" spans="2:38">
      <c r="B18" s="122" t="str">
        <v>Cenário 20/03/2025 com IFC</v>
      </c>
      <c r="C18" s="448" t="str">
        <v>Pórticos 1 e 2 (BR-356)</v>
      </c>
      <c r="D18" s="149" t="str">
        <v>2</v>
      </c>
      <c r="E18" s="149" t="str">
        <v>2.2</v>
      </c>
      <c r="F18" s="149">
        <v>1</v>
      </c>
      <c r="G18" s="149">
        <v>0</v>
      </c>
      <c r="H18" s="267" t="str">
        <v>Obras de arte especiais</v>
      </c>
      <c r="I18" s="192">
        <v>0</v>
      </c>
      <c r="J18" s="192">
        <v>16949978.711169764</v>
      </c>
      <c r="K18" s="192">
        <v>2129309.289135824</v>
      </c>
      <c r="L18" s="192">
        <v>57730.545285999993</v>
      </c>
      <c r="M18" s="192">
        <v>0</v>
      </c>
      <c r="N18" s="192">
        <v>0</v>
      </c>
      <c r="O18" s="192">
        <v>0</v>
      </c>
      <c r="P18" s="192">
        <v>0</v>
      </c>
      <c r="Q18" s="192">
        <v>0</v>
      </c>
      <c r="R18" s="192">
        <v>0</v>
      </c>
      <c r="S18" s="192">
        <v>0</v>
      </c>
      <c r="T18" s="192">
        <v>0</v>
      </c>
      <c r="U18" s="192">
        <v>0</v>
      </c>
      <c r="V18" s="192">
        <v>0</v>
      </c>
      <c r="W18" s="192">
        <v>0</v>
      </c>
      <c r="X18" s="192">
        <v>0</v>
      </c>
      <c r="Y18" s="192">
        <v>0</v>
      </c>
      <c r="Z18" s="192">
        <v>0</v>
      </c>
      <c r="AA18" s="192">
        <v>0</v>
      </c>
      <c r="AB18" s="192">
        <v>0</v>
      </c>
      <c r="AC18" s="192">
        <v>0</v>
      </c>
      <c r="AD18" s="192">
        <v>0</v>
      </c>
      <c r="AE18" s="192">
        <v>0</v>
      </c>
      <c r="AF18" s="192">
        <v>0</v>
      </c>
      <c r="AG18" s="192">
        <v>0</v>
      </c>
      <c r="AH18" s="192">
        <v>0</v>
      </c>
      <c r="AI18" s="192">
        <v>0</v>
      </c>
      <c r="AJ18" s="192">
        <v>0</v>
      </c>
      <c r="AK18" s="192">
        <v>0</v>
      </c>
      <c r="AL18" s="192">
        <v>0</v>
      </c>
    </row>
    <row r="19" spans="2:38">
      <c r="B19" s="122" t="str">
        <v>Cenário 20/03/2025 com IFC</v>
      </c>
      <c r="C19" s="448" t="str">
        <v>Pórticos 1 e 2 (BR-356)</v>
      </c>
      <c r="D19" s="149" t="str">
        <v>2</v>
      </c>
      <c r="E19" s="149" t="str">
        <v>2.3</v>
      </c>
      <c r="F19" s="149">
        <v>1</v>
      </c>
      <c r="G19" s="149">
        <v>0</v>
      </c>
      <c r="H19" s="267" t="str">
        <v>Drenagem e obras de arte correntes</v>
      </c>
      <c r="I19" s="192">
        <v>0</v>
      </c>
      <c r="J19" s="192">
        <v>595188.46965080302</v>
      </c>
      <c r="K19" s="192">
        <v>595188.46965080302</v>
      </c>
      <c r="L19" s="192">
        <v>595188.46965080302</v>
      </c>
      <c r="M19" s="192">
        <v>595188.46965080302</v>
      </c>
      <c r="N19" s="192">
        <v>0</v>
      </c>
      <c r="O19" s="192">
        <v>0</v>
      </c>
      <c r="P19" s="192">
        <v>0</v>
      </c>
      <c r="Q19" s="192">
        <v>0</v>
      </c>
      <c r="R19" s="192">
        <v>0</v>
      </c>
      <c r="S19" s="192">
        <v>0</v>
      </c>
      <c r="T19" s="192">
        <v>0</v>
      </c>
      <c r="U19" s="192">
        <v>0</v>
      </c>
      <c r="V19" s="192">
        <v>0</v>
      </c>
      <c r="W19" s="192">
        <v>0</v>
      </c>
      <c r="X19" s="192">
        <v>0</v>
      </c>
      <c r="Y19" s="192">
        <v>0</v>
      </c>
      <c r="Z19" s="192">
        <v>0</v>
      </c>
      <c r="AA19" s="192">
        <v>0</v>
      </c>
      <c r="AB19" s="192">
        <v>0</v>
      </c>
      <c r="AC19" s="192">
        <v>0</v>
      </c>
      <c r="AD19" s="192">
        <v>0</v>
      </c>
      <c r="AE19" s="192">
        <v>0</v>
      </c>
      <c r="AF19" s="192">
        <v>0</v>
      </c>
      <c r="AG19" s="192">
        <v>0</v>
      </c>
      <c r="AH19" s="192">
        <v>0</v>
      </c>
      <c r="AI19" s="192">
        <v>0</v>
      </c>
      <c r="AJ19" s="192">
        <v>0</v>
      </c>
      <c r="AK19" s="192">
        <v>0</v>
      </c>
      <c r="AL19" s="192">
        <v>0</v>
      </c>
    </row>
    <row r="20" spans="2:38">
      <c r="B20" s="122" t="str">
        <v>Cenário 20/03/2025 com IFC</v>
      </c>
      <c r="C20" s="448" t="str">
        <v>Pórticos 1 e 2 (BR-356)</v>
      </c>
      <c r="D20" s="149" t="str">
        <v>2</v>
      </c>
      <c r="E20" s="149" t="str">
        <v>2.4</v>
      </c>
      <c r="F20" s="149">
        <v>1</v>
      </c>
      <c r="G20" s="149">
        <v>0</v>
      </c>
      <c r="H20" s="267" t="str">
        <v xml:space="preserve">Sinalização e dispositivos de proteção e segurança </v>
      </c>
      <c r="I20" s="192">
        <v>0</v>
      </c>
      <c r="J20" s="192">
        <v>3650114.1152433529</v>
      </c>
      <c r="K20" s="192">
        <v>3650114.1152433529</v>
      </c>
      <c r="L20" s="192">
        <v>3650114.1152433529</v>
      </c>
      <c r="M20" s="192">
        <v>3591651.7652433529</v>
      </c>
      <c r="N20" s="192">
        <v>0</v>
      </c>
      <c r="O20" s="192">
        <v>0</v>
      </c>
      <c r="P20" s="192">
        <v>0</v>
      </c>
      <c r="Q20" s="192">
        <v>0</v>
      </c>
      <c r="R20" s="192">
        <v>0</v>
      </c>
      <c r="S20" s="192">
        <v>0</v>
      </c>
      <c r="T20" s="192">
        <v>0</v>
      </c>
      <c r="U20" s="192">
        <v>0</v>
      </c>
      <c r="V20" s="192">
        <v>0</v>
      </c>
      <c r="W20" s="192">
        <v>0</v>
      </c>
      <c r="X20" s="192">
        <v>0</v>
      </c>
      <c r="Y20" s="192">
        <v>0</v>
      </c>
      <c r="Z20" s="192">
        <v>0</v>
      </c>
      <c r="AA20" s="192">
        <v>0</v>
      </c>
      <c r="AB20" s="192">
        <v>0</v>
      </c>
      <c r="AC20" s="192">
        <v>0</v>
      </c>
      <c r="AD20" s="192">
        <v>0</v>
      </c>
      <c r="AE20" s="192">
        <v>0</v>
      </c>
      <c r="AF20" s="192">
        <v>0</v>
      </c>
      <c r="AG20" s="192">
        <v>0</v>
      </c>
      <c r="AH20" s="192">
        <v>0</v>
      </c>
      <c r="AI20" s="192">
        <v>0</v>
      </c>
      <c r="AJ20" s="192">
        <v>0</v>
      </c>
      <c r="AK20" s="192">
        <v>0</v>
      </c>
      <c r="AL20" s="192">
        <v>0</v>
      </c>
    </row>
    <row r="21" spans="2:38">
      <c r="B21" s="122" t="str">
        <v>Cenário 20/03/2025 com IFC</v>
      </c>
      <c r="C21" s="448" t="str">
        <v>Pórticos 1 e 2 (BR-356)</v>
      </c>
      <c r="D21" s="149" t="str">
        <v>2</v>
      </c>
      <c r="E21" s="149" t="str">
        <v>2.6</v>
      </c>
      <c r="F21" s="149">
        <v>1</v>
      </c>
      <c r="G21" s="149">
        <v>0</v>
      </c>
      <c r="H21" s="267" t="str">
        <v>Terraplenos e estrutura de contenção</v>
      </c>
      <c r="I21" s="192">
        <v>0</v>
      </c>
      <c r="J21" s="192">
        <v>0</v>
      </c>
      <c r="K21" s="192">
        <v>0</v>
      </c>
      <c r="L21" s="192">
        <v>0</v>
      </c>
      <c r="M21" s="192">
        <v>0</v>
      </c>
      <c r="N21" s="192">
        <v>0</v>
      </c>
      <c r="O21" s="192">
        <v>0</v>
      </c>
      <c r="P21" s="192">
        <v>0</v>
      </c>
      <c r="Q21" s="192">
        <v>0</v>
      </c>
      <c r="R21" s="192">
        <v>0</v>
      </c>
      <c r="S21" s="192">
        <v>0</v>
      </c>
      <c r="T21" s="192">
        <v>0</v>
      </c>
      <c r="U21" s="192">
        <v>0</v>
      </c>
      <c r="V21" s="192">
        <v>0</v>
      </c>
      <c r="W21" s="192">
        <v>0</v>
      </c>
      <c r="X21" s="192">
        <v>0</v>
      </c>
      <c r="Y21" s="192">
        <v>0</v>
      </c>
      <c r="Z21" s="192">
        <v>0</v>
      </c>
      <c r="AA21" s="192">
        <v>0</v>
      </c>
      <c r="AB21" s="192">
        <v>0</v>
      </c>
      <c r="AC21" s="192">
        <v>0</v>
      </c>
      <c r="AD21" s="192">
        <v>0</v>
      </c>
      <c r="AE21" s="192">
        <v>0</v>
      </c>
      <c r="AF21" s="192">
        <v>0</v>
      </c>
      <c r="AG21" s="192">
        <v>0</v>
      </c>
      <c r="AH21" s="192">
        <v>0</v>
      </c>
      <c r="AI21" s="192">
        <v>0</v>
      </c>
      <c r="AJ21" s="192">
        <v>0</v>
      </c>
      <c r="AK21" s="192">
        <v>0</v>
      </c>
      <c r="AL21" s="192">
        <v>0</v>
      </c>
    </row>
    <row r="22" spans="2:38">
      <c r="B22" s="122" t="str">
        <v>Cenário 20/03/2025 com IFC</v>
      </c>
      <c r="C22" s="448" t="str">
        <v>Pórticos 1 e 2 (BR-356)</v>
      </c>
      <c r="D22" s="149" t="str">
        <v>2</v>
      </c>
      <c r="E22" s="149" t="str">
        <v>2.7</v>
      </c>
      <c r="F22" s="149">
        <v>1</v>
      </c>
      <c r="G22" s="149">
        <v>0</v>
      </c>
      <c r="H22" s="267" t="str">
        <v>Sistemas elétricos e de iluminação</v>
      </c>
      <c r="I22" s="192">
        <v>0</v>
      </c>
      <c r="J22" s="192">
        <v>168369.18</v>
      </c>
      <c r="K22" s="192">
        <v>168369.18</v>
      </c>
      <c r="L22" s="192">
        <v>29566.129999999997</v>
      </c>
      <c r="M22" s="192">
        <v>21123.214799999998</v>
      </c>
      <c r="N22" s="192">
        <v>0</v>
      </c>
      <c r="O22" s="192">
        <v>0</v>
      </c>
      <c r="P22" s="192">
        <v>0</v>
      </c>
      <c r="Q22" s="192">
        <v>0</v>
      </c>
      <c r="R22" s="192">
        <v>0</v>
      </c>
      <c r="S22" s="192">
        <v>0</v>
      </c>
      <c r="T22" s="192">
        <v>0</v>
      </c>
      <c r="U22" s="192">
        <v>0</v>
      </c>
      <c r="V22" s="192">
        <v>0</v>
      </c>
      <c r="W22" s="192">
        <v>0</v>
      </c>
      <c r="X22" s="192">
        <v>0</v>
      </c>
      <c r="Y22" s="192">
        <v>0</v>
      </c>
      <c r="Z22" s="192">
        <v>0</v>
      </c>
      <c r="AA22" s="192">
        <v>0</v>
      </c>
      <c r="AB22" s="192">
        <v>0</v>
      </c>
      <c r="AC22" s="192">
        <v>0</v>
      </c>
      <c r="AD22" s="192">
        <v>0</v>
      </c>
      <c r="AE22" s="192">
        <v>0</v>
      </c>
      <c r="AF22" s="192">
        <v>0</v>
      </c>
      <c r="AG22" s="192">
        <v>0</v>
      </c>
      <c r="AH22" s="192">
        <v>0</v>
      </c>
      <c r="AI22" s="192">
        <v>0</v>
      </c>
      <c r="AJ22" s="192">
        <v>0</v>
      </c>
      <c r="AK22" s="192">
        <v>0</v>
      </c>
      <c r="AL22" s="192">
        <v>0</v>
      </c>
    </row>
    <row r="23" spans="2:38">
      <c r="B23" s="122" t="str">
        <v>Cenário 20/03/2025 com IFC</v>
      </c>
      <c r="C23" s="448" t="str">
        <v>Pórticos 1 e 2 (BR-356)</v>
      </c>
      <c r="D23" s="149" t="str">
        <v>2</v>
      </c>
      <c r="E23" s="149" t="str">
        <v>2.8</v>
      </c>
      <c r="F23" s="149">
        <v>1</v>
      </c>
      <c r="G23" s="149">
        <v>0</v>
      </c>
      <c r="H23" s="267" t="str">
        <v>Canteiro central e faixa de domínio</v>
      </c>
      <c r="I23" s="192">
        <v>0</v>
      </c>
      <c r="J23" s="192">
        <v>809350.1067289745</v>
      </c>
      <c r="K23" s="192">
        <v>809350.1067289745</v>
      </c>
      <c r="L23" s="192">
        <v>809350.1067289745</v>
      </c>
      <c r="M23" s="192">
        <v>809350.1067289745</v>
      </c>
      <c r="N23" s="192">
        <v>2.8539302409572982E-2</v>
      </c>
      <c r="O23" s="192">
        <v>0</v>
      </c>
      <c r="P23" s="192">
        <v>0</v>
      </c>
      <c r="Q23" s="192">
        <v>0</v>
      </c>
      <c r="R23" s="192">
        <v>0</v>
      </c>
      <c r="S23" s="192">
        <v>0</v>
      </c>
      <c r="T23" s="192">
        <v>0</v>
      </c>
      <c r="U23" s="192">
        <v>0</v>
      </c>
      <c r="V23" s="192">
        <v>0</v>
      </c>
      <c r="W23" s="192">
        <v>0</v>
      </c>
      <c r="X23" s="192">
        <v>0</v>
      </c>
      <c r="Y23" s="192">
        <v>0</v>
      </c>
      <c r="Z23" s="192">
        <v>0</v>
      </c>
      <c r="AA23" s="192">
        <v>0</v>
      </c>
      <c r="AB23" s="192">
        <v>0</v>
      </c>
      <c r="AC23" s="192">
        <v>0</v>
      </c>
      <c r="AD23" s="192">
        <v>0</v>
      </c>
      <c r="AE23" s="192">
        <v>0</v>
      </c>
      <c r="AF23" s="192">
        <v>0</v>
      </c>
      <c r="AG23" s="192">
        <v>0</v>
      </c>
      <c r="AH23" s="192">
        <v>0</v>
      </c>
      <c r="AI23" s="192">
        <v>0</v>
      </c>
      <c r="AJ23" s="192">
        <v>0</v>
      </c>
      <c r="AK23" s="192">
        <v>0</v>
      </c>
      <c r="AL23" s="192">
        <v>0</v>
      </c>
    </row>
    <row r="24" spans="2:38">
      <c r="B24" s="122" t="str">
        <v>Cenário 20/03/2025 com IFC</v>
      </c>
      <c r="C24" s="448" t="str">
        <v>Pórticos 1 e 2 (BR-356)</v>
      </c>
      <c r="D24" s="149" t="str">
        <v>2</v>
      </c>
      <c r="E24" s="149" t="str">
        <v>2.9</v>
      </c>
      <c r="F24" s="149">
        <v>1</v>
      </c>
      <c r="G24" s="149">
        <v>0</v>
      </c>
      <c r="H24" s="267" t="str">
        <v>Administração local (%)</v>
      </c>
      <c r="I24" s="192">
        <v>0</v>
      </c>
      <c r="J24" s="192">
        <v>481509.22768953582</v>
      </c>
      <c r="K24" s="192">
        <v>318740.83076546853</v>
      </c>
      <c r="L24" s="192">
        <v>351459.17208316614</v>
      </c>
      <c r="M24" s="192">
        <v>243560.51640941613</v>
      </c>
      <c r="N24" s="192">
        <v>0</v>
      </c>
      <c r="O24" s="192">
        <v>0</v>
      </c>
      <c r="P24" s="192">
        <v>0</v>
      </c>
      <c r="Q24" s="192">
        <v>0</v>
      </c>
      <c r="R24" s="192">
        <v>0</v>
      </c>
      <c r="S24" s="192">
        <v>0</v>
      </c>
      <c r="T24" s="192">
        <v>0</v>
      </c>
      <c r="U24" s="192">
        <v>0</v>
      </c>
      <c r="V24" s="192">
        <v>0</v>
      </c>
      <c r="W24" s="192">
        <v>0</v>
      </c>
      <c r="X24" s="192">
        <v>0</v>
      </c>
      <c r="Y24" s="192">
        <v>0</v>
      </c>
      <c r="Z24" s="192">
        <v>0</v>
      </c>
      <c r="AA24" s="192">
        <v>0</v>
      </c>
      <c r="AB24" s="192">
        <v>0</v>
      </c>
      <c r="AC24" s="192">
        <v>0</v>
      </c>
      <c r="AD24" s="192">
        <v>0</v>
      </c>
      <c r="AE24" s="192">
        <v>0</v>
      </c>
      <c r="AF24" s="192">
        <v>0</v>
      </c>
      <c r="AG24" s="192">
        <v>0</v>
      </c>
      <c r="AH24" s="192">
        <v>0</v>
      </c>
      <c r="AI24" s="192">
        <v>0</v>
      </c>
      <c r="AJ24" s="192">
        <v>0</v>
      </c>
      <c r="AK24" s="192">
        <v>0</v>
      </c>
      <c r="AL24" s="192">
        <v>0</v>
      </c>
    </row>
    <row r="25" spans="2:38">
      <c r="B25" s="122" t="str">
        <v>Cenário 20/03/2025 com IFC</v>
      </c>
      <c r="C25" s="448" t="str">
        <v>Pórticos 1 e 2 (BR-356)</v>
      </c>
      <c r="D25" s="149" t="str">
        <v>2</v>
      </c>
      <c r="E25" s="149" t="str">
        <v>2.10</v>
      </c>
      <c r="F25" s="149">
        <v>1</v>
      </c>
      <c r="G25" s="149">
        <v>0</v>
      </c>
      <c r="H25" s="267" t="str">
        <v>Canteiro de obras (%)</v>
      </c>
      <c r="I25" s="192">
        <v>0</v>
      </c>
      <c r="J25" s="192">
        <v>121355.98421443586</v>
      </c>
      <c r="K25" s="192">
        <v>80333.054908370104</v>
      </c>
      <c r="L25" s="192">
        <v>88579.140931529677</v>
      </c>
      <c r="M25" s="192">
        <v>61385.17080237317</v>
      </c>
      <c r="N25" s="192">
        <v>0</v>
      </c>
      <c r="O25" s="192">
        <v>0</v>
      </c>
      <c r="P25" s="192">
        <v>0</v>
      </c>
      <c r="Q25" s="192">
        <v>0</v>
      </c>
      <c r="R25" s="192">
        <v>0</v>
      </c>
      <c r="S25" s="192">
        <v>0</v>
      </c>
      <c r="T25" s="192">
        <v>0</v>
      </c>
      <c r="U25" s="192">
        <v>0</v>
      </c>
      <c r="V25" s="192">
        <v>0</v>
      </c>
      <c r="W25" s="192">
        <v>0</v>
      </c>
      <c r="X25" s="192">
        <v>0</v>
      </c>
      <c r="Y25" s="192">
        <v>0</v>
      </c>
      <c r="Z25" s="192">
        <v>0</v>
      </c>
      <c r="AA25" s="192">
        <v>0</v>
      </c>
      <c r="AB25" s="192">
        <v>0</v>
      </c>
      <c r="AC25" s="192">
        <v>0</v>
      </c>
      <c r="AD25" s="192">
        <v>0</v>
      </c>
      <c r="AE25" s="192">
        <v>0</v>
      </c>
      <c r="AF25" s="192">
        <v>0</v>
      </c>
      <c r="AG25" s="192">
        <v>0</v>
      </c>
      <c r="AH25" s="192">
        <v>0</v>
      </c>
      <c r="AI25" s="192">
        <v>0</v>
      </c>
      <c r="AJ25" s="192">
        <v>0</v>
      </c>
      <c r="AK25" s="192">
        <v>0</v>
      </c>
      <c r="AL25" s="192">
        <v>0</v>
      </c>
    </row>
    <row r="26" spans="2:38">
      <c r="B26" s="122" t="str">
        <v>Cenário 20/03/2025 com IFC</v>
      </c>
      <c r="C26" s="448" t="str">
        <v>Pórticos 1 e 2 (BR-356)</v>
      </c>
      <c r="D26" s="149" t="str">
        <v>2</v>
      </c>
      <c r="E26" s="149" t="str">
        <v>2.11</v>
      </c>
      <c r="F26" s="149">
        <v>1</v>
      </c>
      <c r="G26" s="149">
        <v>0</v>
      </c>
      <c r="H26" s="267" t="str">
        <v>Mobilização e desmobilização (%)</v>
      </c>
      <c r="I26" s="192">
        <v>0</v>
      </c>
      <c r="J26" s="192">
        <v>2270.5313175604128</v>
      </c>
      <c r="K26" s="192">
        <v>1503.0055434469248</v>
      </c>
      <c r="L26" s="192">
        <v>1657.2871529124907</v>
      </c>
      <c r="M26" s="192">
        <v>1148.4967440444013</v>
      </c>
      <c r="N26" s="192">
        <v>0</v>
      </c>
      <c r="O26" s="192">
        <v>0</v>
      </c>
      <c r="P26" s="192">
        <v>0</v>
      </c>
      <c r="Q26" s="192">
        <v>0</v>
      </c>
      <c r="R26" s="192">
        <v>0</v>
      </c>
      <c r="S26" s="192">
        <v>0</v>
      </c>
      <c r="T26" s="192">
        <v>0</v>
      </c>
      <c r="U26" s="192">
        <v>0</v>
      </c>
      <c r="V26" s="192">
        <v>0</v>
      </c>
      <c r="W26" s="192">
        <v>0</v>
      </c>
      <c r="X26" s="192">
        <v>0</v>
      </c>
      <c r="Y26" s="192">
        <v>0</v>
      </c>
      <c r="Z26" s="192">
        <v>0</v>
      </c>
      <c r="AA26" s="192">
        <v>0</v>
      </c>
      <c r="AB26" s="192">
        <v>0</v>
      </c>
      <c r="AC26" s="192">
        <v>0</v>
      </c>
      <c r="AD26" s="192">
        <v>0</v>
      </c>
      <c r="AE26" s="192">
        <v>0</v>
      </c>
      <c r="AF26" s="192">
        <v>0</v>
      </c>
      <c r="AG26" s="192">
        <v>0</v>
      </c>
      <c r="AH26" s="192">
        <v>0</v>
      </c>
      <c r="AI26" s="192">
        <v>0</v>
      </c>
      <c r="AJ26" s="192">
        <v>0</v>
      </c>
      <c r="AK26" s="192">
        <v>0</v>
      </c>
      <c r="AL26" s="192">
        <v>0</v>
      </c>
    </row>
    <row r="27" spans="2:38">
      <c r="B27" s="122" t="str">
        <v>Cenário 20/03/2025 com IFC</v>
      </c>
      <c r="C27" s="448" t="str">
        <v>Pórticos 1 e 2 (BR-356)</v>
      </c>
      <c r="D27" s="149" t="str">
        <v>2</v>
      </c>
      <c r="E27" s="149" t="str">
        <v>2.12</v>
      </c>
      <c r="F27" s="149">
        <v>1</v>
      </c>
      <c r="G27" s="149">
        <v>0</v>
      </c>
      <c r="H27" s="267" t="str">
        <v>Projetos (%)</v>
      </c>
      <c r="I27" s="192">
        <v>0</v>
      </c>
      <c r="J27" s="192">
        <v>978677.29205190204</v>
      </c>
      <c r="K27" s="192">
        <v>647847.21700298483</v>
      </c>
      <c r="L27" s="192">
        <v>714347.91073814267</v>
      </c>
      <c r="M27" s="192">
        <v>495041.70001913852</v>
      </c>
      <c r="N27" s="192">
        <v>0</v>
      </c>
      <c r="O27" s="192">
        <v>0</v>
      </c>
      <c r="P27" s="192">
        <v>0</v>
      </c>
      <c r="Q27" s="192">
        <v>0</v>
      </c>
      <c r="R27" s="192">
        <v>0</v>
      </c>
      <c r="S27" s="192">
        <v>0</v>
      </c>
      <c r="T27" s="192">
        <v>0</v>
      </c>
      <c r="U27" s="192">
        <v>0</v>
      </c>
      <c r="V27" s="192">
        <v>0</v>
      </c>
      <c r="W27" s="192">
        <v>0</v>
      </c>
      <c r="X27" s="192">
        <v>0</v>
      </c>
      <c r="Y27" s="192">
        <v>0</v>
      </c>
      <c r="Z27" s="192">
        <v>0</v>
      </c>
      <c r="AA27" s="192">
        <v>0</v>
      </c>
      <c r="AB27" s="192">
        <v>0</v>
      </c>
      <c r="AC27" s="192">
        <v>0</v>
      </c>
      <c r="AD27" s="192">
        <v>0</v>
      </c>
      <c r="AE27" s="192">
        <v>0</v>
      </c>
      <c r="AF27" s="192">
        <v>0</v>
      </c>
      <c r="AG27" s="192">
        <v>0</v>
      </c>
      <c r="AH27" s="192">
        <v>0</v>
      </c>
      <c r="AI27" s="192">
        <v>0</v>
      </c>
      <c r="AJ27" s="192">
        <v>0</v>
      </c>
      <c r="AK27" s="192">
        <v>0</v>
      </c>
      <c r="AL27" s="192">
        <v>0</v>
      </c>
    </row>
    <row r="28" spans="2:38">
      <c r="B28" s="122" t="str">
        <v>Cenário 20/03/2025 com IFC</v>
      </c>
      <c r="C28" s="448" t="str">
        <v>Pórticos 1 e 2 (BR-356)</v>
      </c>
      <c r="D28" s="149" t="str">
        <v>4</v>
      </c>
      <c r="E28" s="149">
        <v>4</v>
      </c>
      <c r="F28" s="149">
        <v>0</v>
      </c>
      <c r="G28" s="149">
        <v>0</v>
      </c>
      <c r="H28" s="267" t="str">
        <v>Obras de ampliação da capacidade e outras melhorias</v>
      </c>
      <c r="I28" s="192">
        <v>0</v>
      </c>
      <c r="J28" s="192">
        <v>0</v>
      </c>
      <c r="K28" s="192">
        <v>0</v>
      </c>
      <c r="L28" s="192">
        <v>0</v>
      </c>
      <c r="M28" s="192">
        <v>0</v>
      </c>
      <c r="N28" s="192">
        <v>0</v>
      </c>
      <c r="O28" s="192">
        <v>0</v>
      </c>
      <c r="P28" s="192">
        <v>0</v>
      </c>
      <c r="Q28" s="192">
        <v>0</v>
      </c>
      <c r="R28" s="192">
        <v>0</v>
      </c>
      <c r="S28" s="192">
        <v>0</v>
      </c>
      <c r="T28" s="192">
        <v>0</v>
      </c>
      <c r="U28" s="192">
        <v>0</v>
      </c>
      <c r="V28" s="192">
        <v>0</v>
      </c>
      <c r="W28" s="192">
        <v>0</v>
      </c>
      <c r="X28" s="192">
        <v>0</v>
      </c>
      <c r="Y28" s="192">
        <v>0</v>
      </c>
      <c r="Z28" s="192">
        <v>0</v>
      </c>
      <c r="AA28" s="192">
        <v>0</v>
      </c>
      <c r="AB28" s="192">
        <v>0</v>
      </c>
      <c r="AC28" s="192">
        <v>0</v>
      </c>
      <c r="AD28" s="192">
        <v>0</v>
      </c>
      <c r="AE28" s="192">
        <v>0</v>
      </c>
      <c r="AF28" s="192">
        <v>0</v>
      </c>
      <c r="AG28" s="192">
        <v>0</v>
      </c>
      <c r="AH28" s="192">
        <v>0</v>
      </c>
      <c r="AI28" s="192">
        <v>0</v>
      </c>
      <c r="AJ28" s="192">
        <v>0</v>
      </c>
      <c r="AK28" s="192">
        <v>0</v>
      </c>
      <c r="AL28" s="192">
        <v>0</v>
      </c>
    </row>
    <row r="29" spans="2:38">
      <c r="B29" s="122" t="str">
        <v>Cenário 20/03/2025 com IFC</v>
      </c>
      <c r="C29" s="448" t="str">
        <v>Pórticos 1 e 2 (BR-356)</v>
      </c>
      <c r="D29" s="149" t="str">
        <v>4</v>
      </c>
      <c r="E29" s="149" t="str">
        <v>4.1</v>
      </c>
      <c r="F29" s="149">
        <v>1</v>
      </c>
      <c r="G29" s="149">
        <v>0</v>
      </c>
      <c r="H29" s="267" t="str">
        <v xml:space="preserve">Duplicação </v>
      </c>
      <c r="I29" s="192">
        <v>0</v>
      </c>
      <c r="J29" s="192">
        <v>0</v>
      </c>
      <c r="K29" s="192">
        <v>108588708.11081421</v>
      </c>
      <c r="L29" s="192">
        <v>138356371.71635652</v>
      </c>
      <c r="M29" s="192">
        <v>128826485.76586966</v>
      </c>
      <c r="N29" s="192">
        <v>151459474.19400674</v>
      </c>
      <c r="O29" s="192">
        <v>0</v>
      </c>
      <c r="P29" s="192">
        <v>0</v>
      </c>
      <c r="Q29" s="192">
        <v>0</v>
      </c>
      <c r="R29" s="192">
        <v>0</v>
      </c>
      <c r="S29" s="192">
        <v>0</v>
      </c>
      <c r="T29" s="192">
        <v>0</v>
      </c>
      <c r="U29" s="192">
        <v>0</v>
      </c>
      <c r="V29" s="192">
        <v>0</v>
      </c>
      <c r="W29" s="192">
        <v>0</v>
      </c>
      <c r="X29" s="192">
        <v>0</v>
      </c>
      <c r="Y29" s="192">
        <v>0</v>
      </c>
      <c r="Z29" s="192">
        <v>0</v>
      </c>
      <c r="AA29" s="192">
        <v>0</v>
      </c>
      <c r="AB29" s="192">
        <v>0</v>
      </c>
      <c r="AC29" s="192">
        <v>0</v>
      </c>
      <c r="AD29" s="192">
        <v>0</v>
      </c>
      <c r="AE29" s="192">
        <v>0</v>
      </c>
      <c r="AF29" s="192">
        <v>0</v>
      </c>
      <c r="AG29" s="192">
        <v>0</v>
      </c>
      <c r="AH29" s="192">
        <v>0</v>
      </c>
      <c r="AI29" s="192">
        <v>0</v>
      </c>
      <c r="AJ29" s="192">
        <v>0</v>
      </c>
      <c r="AK29" s="192">
        <v>0</v>
      </c>
      <c r="AL29" s="192">
        <v>0</v>
      </c>
    </row>
    <row r="30" spans="2:38">
      <c r="B30" s="122" t="str">
        <v>Cenário 20/03/2025 com IFC</v>
      </c>
      <c r="C30" s="448" t="str">
        <v>Pórticos 1 e 2 (BR-356)</v>
      </c>
      <c r="D30" s="149" t="str">
        <v>4</v>
      </c>
      <c r="E30" s="149" t="str">
        <v>4.2</v>
      </c>
      <c r="F30" s="149">
        <v>1</v>
      </c>
      <c r="G30" s="149">
        <v>0</v>
      </c>
      <c r="H30" s="267" t="str">
        <v xml:space="preserve">Vias marginais </v>
      </c>
      <c r="I30" s="192">
        <v>0</v>
      </c>
      <c r="J30" s="192">
        <v>0</v>
      </c>
      <c r="K30" s="192">
        <v>0</v>
      </c>
      <c r="L30" s="192">
        <v>0</v>
      </c>
      <c r="M30" s="192">
        <v>0</v>
      </c>
      <c r="N30" s="192">
        <v>0</v>
      </c>
      <c r="O30" s="192">
        <v>0</v>
      </c>
      <c r="P30" s="192">
        <v>0</v>
      </c>
      <c r="Q30" s="192">
        <v>0</v>
      </c>
      <c r="R30" s="192">
        <v>0</v>
      </c>
      <c r="S30" s="192">
        <v>0</v>
      </c>
      <c r="T30" s="192">
        <v>0</v>
      </c>
      <c r="U30" s="192">
        <v>0</v>
      </c>
      <c r="V30" s="192">
        <v>0</v>
      </c>
      <c r="W30" s="192">
        <v>0</v>
      </c>
      <c r="X30" s="192">
        <v>0</v>
      </c>
      <c r="Y30" s="192">
        <v>0</v>
      </c>
      <c r="Z30" s="192">
        <v>0</v>
      </c>
      <c r="AA30" s="192">
        <v>0</v>
      </c>
      <c r="AB30" s="192">
        <v>0</v>
      </c>
      <c r="AC30" s="192">
        <v>0</v>
      </c>
      <c r="AD30" s="192">
        <v>0</v>
      </c>
      <c r="AE30" s="192">
        <v>0</v>
      </c>
      <c r="AF30" s="192">
        <v>0</v>
      </c>
      <c r="AG30" s="192">
        <v>0</v>
      </c>
      <c r="AH30" s="192">
        <v>0</v>
      </c>
      <c r="AI30" s="192">
        <v>0</v>
      </c>
      <c r="AJ30" s="192">
        <v>0</v>
      </c>
      <c r="AK30" s="192">
        <v>0</v>
      </c>
      <c r="AL30" s="192">
        <v>0</v>
      </c>
    </row>
    <row r="31" spans="2:38">
      <c r="B31" s="122" t="str">
        <v>Cenário 20/03/2025 com IFC</v>
      </c>
      <c r="C31" s="448" t="str">
        <v>Pórticos 1 e 2 (BR-356)</v>
      </c>
      <c r="D31" s="149" t="str">
        <v>4</v>
      </c>
      <c r="E31" s="149" t="str">
        <v>4.3</v>
      </c>
      <c r="F31" s="149">
        <v>1</v>
      </c>
      <c r="G31" s="149">
        <v>0</v>
      </c>
      <c r="H31" s="267" t="str">
        <v xml:space="preserve">Contornos urbanos e travessias urbanas </v>
      </c>
      <c r="I31" s="192">
        <v>0</v>
      </c>
      <c r="J31" s="192">
        <v>0</v>
      </c>
      <c r="K31" s="192">
        <v>2921230.0382519136</v>
      </c>
      <c r="L31" s="192">
        <v>192943605.96959457</v>
      </c>
      <c r="M31" s="192">
        <v>37846924.14011883</v>
      </c>
      <c r="N31" s="192">
        <v>153857661.90589383</v>
      </c>
      <c r="O31" s="192">
        <v>0</v>
      </c>
      <c r="P31" s="192">
        <v>0</v>
      </c>
      <c r="Q31" s="192">
        <v>0</v>
      </c>
      <c r="R31" s="192">
        <v>0</v>
      </c>
      <c r="S31" s="192">
        <v>0</v>
      </c>
      <c r="T31" s="192">
        <v>0</v>
      </c>
      <c r="U31" s="192">
        <v>0</v>
      </c>
      <c r="V31" s="192">
        <v>0</v>
      </c>
      <c r="W31" s="192">
        <v>0</v>
      </c>
      <c r="X31" s="192">
        <v>0</v>
      </c>
      <c r="Y31" s="192">
        <v>0</v>
      </c>
      <c r="Z31" s="192">
        <v>0</v>
      </c>
      <c r="AA31" s="192">
        <v>0</v>
      </c>
      <c r="AB31" s="192">
        <v>0</v>
      </c>
      <c r="AC31" s="192">
        <v>0</v>
      </c>
      <c r="AD31" s="192">
        <v>0</v>
      </c>
      <c r="AE31" s="192">
        <v>0</v>
      </c>
      <c r="AF31" s="192">
        <v>0</v>
      </c>
      <c r="AG31" s="192">
        <v>0</v>
      </c>
      <c r="AH31" s="192">
        <v>0</v>
      </c>
      <c r="AI31" s="192">
        <v>0</v>
      </c>
      <c r="AJ31" s="192">
        <v>0</v>
      </c>
      <c r="AK31" s="192">
        <v>0</v>
      </c>
      <c r="AL31" s="192">
        <v>0</v>
      </c>
    </row>
    <row r="32" spans="2:38">
      <c r="B32" s="122" t="str">
        <v>Cenário 20/03/2025 com IFC</v>
      </c>
      <c r="C32" s="448" t="str">
        <v>Pórticos 1 e 2 (BR-356)</v>
      </c>
      <c r="D32" s="149" t="str">
        <v>4</v>
      </c>
      <c r="E32" s="149" t="str">
        <v>4.4</v>
      </c>
      <c r="F32" s="149">
        <v>1</v>
      </c>
      <c r="G32" s="149">
        <v>0</v>
      </c>
      <c r="H32" s="267" t="str">
        <v xml:space="preserve">Faixas adicionais </v>
      </c>
      <c r="I32" s="192">
        <v>0</v>
      </c>
      <c r="J32" s="192">
        <v>0</v>
      </c>
      <c r="K32" s="192">
        <v>0</v>
      </c>
      <c r="L32" s="192">
        <v>0</v>
      </c>
      <c r="M32" s="192">
        <v>0</v>
      </c>
      <c r="N32" s="192">
        <v>0</v>
      </c>
      <c r="O32" s="192">
        <v>0</v>
      </c>
      <c r="P32" s="192">
        <v>0</v>
      </c>
      <c r="Q32" s="192">
        <v>0</v>
      </c>
      <c r="R32" s="192">
        <v>0</v>
      </c>
      <c r="S32" s="192">
        <v>0</v>
      </c>
      <c r="T32" s="192">
        <v>0</v>
      </c>
      <c r="U32" s="192">
        <v>0</v>
      </c>
      <c r="V32" s="192">
        <v>0</v>
      </c>
      <c r="W32" s="192">
        <v>0</v>
      </c>
      <c r="X32" s="192">
        <v>0</v>
      </c>
      <c r="Y32" s="192">
        <v>0</v>
      </c>
      <c r="Z32" s="192">
        <v>0</v>
      </c>
      <c r="AA32" s="192">
        <v>0</v>
      </c>
      <c r="AB32" s="192">
        <v>0</v>
      </c>
      <c r="AC32" s="192">
        <v>0</v>
      </c>
      <c r="AD32" s="192">
        <v>0</v>
      </c>
      <c r="AE32" s="192">
        <v>0</v>
      </c>
      <c r="AF32" s="192">
        <v>0</v>
      </c>
      <c r="AG32" s="192">
        <v>0</v>
      </c>
      <c r="AH32" s="192">
        <v>0</v>
      </c>
      <c r="AI32" s="192">
        <v>0</v>
      </c>
      <c r="AJ32" s="192">
        <v>0</v>
      </c>
      <c r="AK32" s="192">
        <v>0</v>
      </c>
      <c r="AL32" s="192">
        <v>0</v>
      </c>
    </row>
    <row r="33" spans="2:38">
      <c r="B33" s="122" t="str">
        <v>Cenário 20/03/2025 com IFC</v>
      </c>
      <c r="C33" s="448" t="str">
        <v>Pórticos 1 e 2 (BR-356)</v>
      </c>
      <c r="D33" s="149" t="str">
        <v>4</v>
      </c>
      <c r="E33" s="149" t="str">
        <v>4.5</v>
      </c>
      <c r="F33" s="149">
        <v>1</v>
      </c>
      <c r="G33" s="149">
        <v>0</v>
      </c>
      <c r="H33" s="267" t="str">
        <v xml:space="preserve">Acostamentos e adequação de plataforma </v>
      </c>
      <c r="I33" s="192">
        <v>0</v>
      </c>
      <c r="J33" s="192">
        <v>0</v>
      </c>
      <c r="K33" s="192">
        <v>0</v>
      </c>
      <c r="L33" s="192">
        <v>0</v>
      </c>
      <c r="M33" s="192">
        <v>0</v>
      </c>
      <c r="N33" s="192">
        <v>0</v>
      </c>
      <c r="O33" s="192">
        <v>0</v>
      </c>
      <c r="P33" s="192">
        <v>0</v>
      </c>
      <c r="Q33" s="192">
        <v>0</v>
      </c>
      <c r="R33" s="192">
        <v>0</v>
      </c>
      <c r="S33" s="192">
        <v>0</v>
      </c>
      <c r="T33" s="192">
        <v>0</v>
      </c>
      <c r="U33" s="192">
        <v>0</v>
      </c>
      <c r="V33" s="192">
        <v>0</v>
      </c>
      <c r="W33" s="192">
        <v>0</v>
      </c>
      <c r="X33" s="192">
        <v>0</v>
      </c>
      <c r="Y33" s="192">
        <v>0</v>
      </c>
      <c r="Z33" s="192">
        <v>0</v>
      </c>
      <c r="AA33" s="192">
        <v>0</v>
      </c>
      <c r="AB33" s="192">
        <v>0</v>
      </c>
      <c r="AC33" s="192">
        <v>0</v>
      </c>
      <c r="AD33" s="192">
        <v>0</v>
      </c>
      <c r="AE33" s="192">
        <v>0</v>
      </c>
      <c r="AF33" s="192">
        <v>0</v>
      </c>
      <c r="AG33" s="192">
        <v>0</v>
      </c>
      <c r="AH33" s="192">
        <v>0</v>
      </c>
      <c r="AI33" s="192">
        <v>0</v>
      </c>
      <c r="AJ33" s="192">
        <v>0</v>
      </c>
      <c r="AK33" s="192">
        <v>0</v>
      </c>
      <c r="AL33" s="192">
        <v>0</v>
      </c>
    </row>
    <row r="34" spans="2:38">
      <c r="B34" s="122" t="str">
        <v>Cenário 20/03/2025 com IFC</v>
      </c>
      <c r="C34" s="448" t="str">
        <v>Pórticos 1 e 2 (BR-356)</v>
      </c>
      <c r="D34" s="149" t="str">
        <v>4</v>
      </c>
      <c r="E34" s="149" t="str">
        <v>4.6</v>
      </c>
      <c r="F34" s="149">
        <v>1</v>
      </c>
      <c r="G34" s="149">
        <v>0</v>
      </c>
      <c r="H34" s="267" t="str">
        <v>Implantação de oae</v>
      </c>
      <c r="I34" s="192">
        <v>0</v>
      </c>
      <c r="J34" s="192">
        <v>0</v>
      </c>
      <c r="K34" s="192">
        <v>3617775.6581008798</v>
      </c>
      <c r="L34" s="192">
        <v>23517832.286967032</v>
      </c>
      <c r="M34" s="192">
        <v>5612083.0092063062</v>
      </c>
      <c r="N34" s="192">
        <v>7207171.347173756</v>
      </c>
      <c r="O34" s="192">
        <v>0</v>
      </c>
      <c r="P34" s="192">
        <v>0</v>
      </c>
      <c r="Q34" s="192">
        <v>0</v>
      </c>
      <c r="R34" s="192">
        <v>0</v>
      </c>
      <c r="S34" s="192">
        <v>0</v>
      </c>
      <c r="T34" s="192">
        <v>0</v>
      </c>
      <c r="U34" s="192">
        <v>0</v>
      </c>
      <c r="V34" s="192">
        <v>0</v>
      </c>
      <c r="W34" s="192">
        <v>0</v>
      </c>
      <c r="X34" s="192">
        <v>0</v>
      </c>
      <c r="Y34" s="192">
        <v>0</v>
      </c>
      <c r="Z34" s="192">
        <v>0</v>
      </c>
      <c r="AA34" s="192">
        <v>0</v>
      </c>
      <c r="AB34" s="192">
        <v>0</v>
      </c>
      <c r="AC34" s="192">
        <v>0</v>
      </c>
      <c r="AD34" s="192">
        <v>0</v>
      </c>
      <c r="AE34" s="192">
        <v>0</v>
      </c>
      <c r="AF34" s="192">
        <v>0</v>
      </c>
      <c r="AG34" s="192">
        <v>0</v>
      </c>
      <c r="AH34" s="192">
        <v>0</v>
      </c>
      <c r="AI34" s="192">
        <v>0</v>
      </c>
      <c r="AJ34" s="192">
        <v>0</v>
      </c>
      <c r="AK34" s="192">
        <v>0</v>
      </c>
      <c r="AL34" s="192">
        <v>0</v>
      </c>
    </row>
    <row r="35" spans="2:38">
      <c r="B35" s="122" t="str">
        <v>Cenário 20/03/2025 com IFC</v>
      </c>
      <c r="C35" s="448" t="str">
        <v>Pórticos 1 e 2 (BR-356)</v>
      </c>
      <c r="D35" s="149" t="str">
        <v>4</v>
      </c>
      <c r="E35" s="149" t="str">
        <v>4.7</v>
      </c>
      <c r="F35" s="149">
        <v>1</v>
      </c>
      <c r="G35" s="149">
        <v>0</v>
      </c>
      <c r="H35" s="267" t="str">
        <v xml:space="preserve">Implantação de dispositivo em nível </v>
      </c>
      <c r="I35" s="192">
        <v>0</v>
      </c>
      <c r="J35" s="192">
        <v>0</v>
      </c>
      <c r="K35" s="192">
        <v>13245884.070541775</v>
      </c>
      <c r="L35" s="192">
        <v>33114710.176354446</v>
      </c>
      <c r="M35" s="192">
        <v>46360594.246896215</v>
      </c>
      <c r="N35" s="192">
        <v>22361480.736075822</v>
      </c>
      <c r="O35" s="192">
        <v>0</v>
      </c>
      <c r="P35" s="192">
        <v>0</v>
      </c>
      <c r="Q35" s="192">
        <v>0</v>
      </c>
      <c r="R35" s="192">
        <v>0</v>
      </c>
      <c r="S35" s="192">
        <v>0</v>
      </c>
      <c r="T35" s="192">
        <v>0</v>
      </c>
      <c r="U35" s="192">
        <v>0</v>
      </c>
      <c r="V35" s="192">
        <v>0</v>
      </c>
      <c r="W35" s="192">
        <v>0</v>
      </c>
      <c r="X35" s="192">
        <v>0</v>
      </c>
      <c r="Y35" s="192">
        <v>0</v>
      </c>
      <c r="Z35" s="192">
        <v>0</v>
      </c>
      <c r="AA35" s="192">
        <v>0</v>
      </c>
      <c r="AB35" s="192">
        <v>0</v>
      </c>
      <c r="AC35" s="192">
        <v>0</v>
      </c>
      <c r="AD35" s="192">
        <v>0</v>
      </c>
      <c r="AE35" s="192">
        <v>0</v>
      </c>
      <c r="AF35" s="192">
        <v>0</v>
      </c>
      <c r="AG35" s="192">
        <v>0</v>
      </c>
      <c r="AH35" s="192">
        <v>0</v>
      </c>
      <c r="AI35" s="192">
        <v>0</v>
      </c>
      <c r="AJ35" s="192">
        <v>0</v>
      </c>
      <c r="AK35" s="192">
        <v>0</v>
      </c>
      <c r="AL35" s="192">
        <v>0</v>
      </c>
    </row>
    <row r="36" spans="2:38">
      <c r="B36" s="122" t="str">
        <v>Cenário 20/03/2025 com IFC</v>
      </c>
      <c r="C36" s="448" t="str">
        <v>Pórticos 1 e 2 (BR-356)</v>
      </c>
      <c r="D36" s="149" t="str">
        <v>4</v>
      </c>
      <c r="E36" s="149" t="str">
        <v>4.8</v>
      </c>
      <c r="F36" s="149">
        <v>1</v>
      </c>
      <c r="G36" s="149">
        <v>0</v>
      </c>
      <c r="H36" s="267" t="str">
        <v>Adequação oae - alargamento e trem tipo</v>
      </c>
      <c r="I36" s="192">
        <v>0</v>
      </c>
      <c r="J36" s="192">
        <v>0</v>
      </c>
      <c r="K36" s="192">
        <v>2524251.5892884168</v>
      </c>
      <c r="L36" s="192">
        <v>3052942.0610449351</v>
      </c>
      <c r="M36" s="192">
        <v>4908266.9791719252</v>
      </c>
      <c r="N36" s="192">
        <v>0</v>
      </c>
      <c r="O36" s="192">
        <v>0</v>
      </c>
      <c r="P36" s="192">
        <v>0</v>
      </c>
      <c r="Q36" s="192">
        <v>0</v>
      </c>
      <c r="R36" s="192">
        <v>0</v>
      </c>
      <c r="S36" s="192">
        <v>0</v>
      </c>
      <c r="T36" s="192">
        <v>0</v>
      </c>
      <c r="U36" s="192">
        <v>0</v>
      </c>
      <c r="V36" s="192">
        <v>0</v>
      </c>
      <c r="W36" s="192">
        <v>0</v>
      </c>
      <c r="X36" s="192">
        <v>0</v>
      </c>
      <c r="Y36" s="192">
        <v>0</v>
      </c>
      <c r="Z36" s="192">
        <v>0</v>
      </c>
      <c r="AA36" s="192">
        <v>0</v>
      </c>
      <c r="AB36" s="192">
        <v>0</v>
      </c>
      <c r="AC36" s="192">
        <v>0</v>
      </c>
      <c r="AD36" s="192">
        <v>0</v>
      </c>
      <c r="AE36" s="192">
        <v>0</v>
      </c>
      <c r="AF36" s="192">
        <v>0</v>
      </c>
      <c r="AG36" s="192">
        <v>0</v>
      </c>
      <c r="AH36" s="192">
        <v>0</v>
      </c>
      <c r="AI36" s="192">
        <v>0</v>
      </c>
      <c r="AJ36" s="192">
        <v>0</v>
      </c>
      <c r="AK36" s="192">
        <v>0</v>
      </c>
      <c r="AL36" s="192">
        <v>0</v>
      </c>
    </row>
    <row r="37" spans="2:38">
      <c r="B37" s="122" t="str">
        <v>Cenário 20/03/2025 com IFC</v>
      </c>
      <c r="C37" s="448" t="str">
        <v>Pórticos 1 e 2 (BR-356)</v>
      </c>
      <c r="D37" s="149" t="str">
        <v>4</v>
      </c>
      <c r="E37" s="149" t="str">
        <v>4.9</v>
      </c>
      <c r="F37" s="149">
        <v>1</v>
      </c>
      <c r="G37" s="149">
        <v>0</v>
      </c>
      <c r="H37" s="267" t="str">
        <v xml:space="preserve">Adequação de acessos existentes simples </v>
      </c>
      <c r="I37" s="192">
        <v>0</v>
      </c>
      <c r="J37" s="192">
        <v>0</v>
      </c>
      <c r="K37" s="192">
        <v>396355.63508923614</v>
      </c>
      <c r="L37" s="192">
        <v>1387244.7228123264</v>
      </c>
      <c r="M37" s="192">
        <v>693622.36140616331</v>
      </c>
      <c r="N37" s="192">
        <v>297266.72631692706</v>
      </c>
      <c r="O37" s="192">
        <v>0</v>
      </c>
      <c r="P37" s="192">
        <v>0</v>
      </c>
      <c r="Q37" s="192">
        <v>0</v>
      </c>
      <c r="R37" s="192">
        <v>0</v>
      </c>
      <c r="S37" s="192">
        <v>0</v>
      </c>
      <c r="T37" s="192">
        <v>0</v>
      </c>
      <c r="U37" s="192">
        <v>0</v>
      </c>
      <c r="V37" s="192">
        <v>0</v>
      </c>
      <c r="W37" s="192">
        <v>0</v>
      </c>
      <c r="X37" s="192">
        <v>0</v>
      </c>
      <c r="Y37" s="192">
        <v>0</v>
      </c>
      <c r="Z37" s="192">
        <v>0</v>
      </c>
      <c r="AA37" s="192">
        <v>0</v>
      </c>
      <c r="AB37" s="192">
        <v>0</v>
      </c>
      <c r="AC37" s="192">
        <v>0</v>
      </c>
      <c r="AD37" s="192">
        <v>0</v>
      </c>
      <c r="AE37" s="192">
        <v>0</v>
      </c>
      <c r="AF37" s="192">
        <v>0</v>
      </c>
      <c r="AG37" s="192">
        <v>0</v>
      </c>
      <c r="AH37" s="192">
        <v>0</v>
      </c>
      <c r="AI37" s="192">
        <v>0</v>
      </c>
      <c r="AJ37" s="192">
        <v>0</v>
      </c>
      <c r="AK37" s="192">
        <v>0</v>
      </c>
      <c r="AL37" s="192">
        <v>0</v>
      </c>
    </row>
    <row r="38" spans="2:38">
      <c r="B38" s="122" t="str">
        <v>Cenário 20/03/2025 com IFC</v>
      </c>
      <c r="C38" s="448" t="str">
        <v>Pórticos 1 e 2 (BR-356)</v>
      </c>
      <c r="D38" s="149" t="str">
        <v>4</v>
      </c>
      <c r="E38" s="149" t="str">
        <v>4.10</v>
      </c>
      <c r="F38" s="149">
        <v>1</v>
      </c>
      <c r="G38" s="149">
        <v>0</v>
      </c>
      <c r="H38" s="267" t="str">
        <v xml:space="preserve">Adequação de acessos existentes com faixa de aceleração </v>
      </c>
      <c r="I38" s="192">
        <v>0</v>
      </c>
      <c r="J38" s="192">
        <v>0</v>
      </c>
      <c r="K38" s="192">
        <v>660755.98584188172</v>
      </c>
      <c r="L38" s="192">
        <v>0</v>
      </c>
      <c r="M38" s="192">
        <v>7268315.8442606982</v>
      </c>
      <c r="N38" s="192">
        <v>660755.98584188172</v>
      </c>
      <c r="O38" s="192">
        <v>0</v>
      </c>
      <c r="P38" s="192">
        <v>0</v>
      </c>
      <c r="Q38" s="192">
        <v>0</v>
      </c>
      <c r="R38" s="192">
        <v>0</v>
      </c>
      <c r="S38" s="192">
        <v>0</v>
      </c>
      <c r="T38" s="192">
        <v>0</v>
      </c>
      <c r="U38" s="192">
        <v>0</v>
      </c>
      <c r="V38" s="192">
        <v>0</v>
      </c>
      <c r="W38" s="192">
        <v>0</v>
      </c>
      <c r="X38" s="192">
        <v>0</v>
      </c>
      <c r="Y38" s="192">
        <v>0</v>
      </c>
      <c r="Z38" s="192">
        <v>0</v>
      </c>
      <c r="AA38" s="192">
        <v>0</v>
      </c>
      <c r="AB38" s="192">
        <v>0</v>
      </c>
      <c r="AC38" s="192">
        <v>0</v>
      </c>
      <c r="AD38" s="192">
        <v>0</v>
      </c>
      <c r="AE38" s="192">
        <v>0</v>
      </c>
      <c r="AF38" s="192">
        <v>0</v>
      </c>
      <c r="AG38" s="192">
        <v>0</v>
      </c>
      <c r="AH38" s="192">
        <v>0</v>
      </c>
      <c r="AI38" s="192">
        <v>0</v>
      </c>
      <c r="AJ38" s="192">
        <v>0</v>
      </c>
      <c r="AK38" s="192">
        <v>0</v>
      </c>
      <c r="AL38" s="192">
        <v>0</v>
      </c>
    </row>
    <row r="39" spans="2:38">
      <c r="B39" s="122" t="str">
        <v>Cenário 20/03/2025 com IFC</v>
      </c>
      <c r="C39" s="448" t="str">
        <v>Pórticos 1 e 2 (BR-356)</v>
      </c>
      <c r="D39" s="149" t="str">
        <v>4</v>
      </c>
      <c r="E39" s="149" t="str">
        <v>4.12</v>
      </c>
      <c r="F39" s="149">
        <v>1</v>
      </c>
      <c r="G39" s="149">
        <v>0</v>
      </c>
      <c r="H39" s="267" t="str">
        <v>Correções de curvas</v>
      </c>
      <c r="I39" s="192">
        <v>0</v>
      </c>
      <c r="J39" s="192">
        <v>0</v>
      </c>
      <c r="K39" s="192">
        <v>5527205.6148170512</v>
      </c>
      <c r="L39" s="192">
        <v>47899791.36360357</v>
      </c>
      <c r="M39" s="192">
        <v>14413793.067279939</v>
      </c>
      <c r="N39" s="192">
        <v>30583048.921658203</v>
      </c>
      <c r="O39" s="192">
        <v>0</v>
      </c>
      <c r="P39" s="192">
        <v>0</v>
      </c>
      <c r="Q39" s="192">
        <v>0</v>
      </c>
      <c r="R39" s="192">
        <v>0</v>
      </c>
      <c r="S39" s="192">
        <v>0</v>
      </c>
      <c r="T39" s="192">
        <v>0</v>
      </c>
      <c r="U39" s="192">
        <v>0</v>
      </c>
      <c r="V39" s="192">
        <v>0</v>
      </c>
      <c r="W39" s="192">
        <v>0</v>
      </c>
      <c r="X39" s="192">
        <v>0</v>
      </c>
      <c r="Y39" s="192">
        <v>0</v>
      </c>
      <c r="Z39" s="192">
        <v>0</v>
      </c>
      <c r="AA39" s="192">
        <v>0</v>
      </c>
      <c r="AB39" s="192">
        <v>0</v>
      </c>
      <c r="AC39" s="192">
        <v>0</v>
      </c>
      <c r="AD39" s="192">
        <v>0</v>
      </c>
      <c r="AE39" s="192">
        <v>0</v>
      </c>
      <c r="AF39" s="192">
        <v>0</v>
      </c>
      <c r="AG39" s="192">
        <v>0</v>
      </c>
      <c r="AH39" s="192">
        <v>0</v>
      </c>
      <c r="AI39" s="192">
        <v>0</v>
      </c>
      <c r="AJ39" s="192">
        <v>0</v>
      </c>
      <c r="AK39" s="192">
        <v>0</v>
      </c>
      <c r="AL39" s="192">
        <v>0</v>
      </c>
    </row>
    <row r="40" spans="2:38">
      <c r="B40" s="122" t="str">
        <v>Cenário 20/03/2025 com IFC</v>
      </c>
      <c r="C40" s="448" t="str">
        <v>Pórticos 1 e 2 (BR-356)</v>
      </c>
      <c r="D40" s="149" t="str">
        <v>4</v>
      </c>
      <c r="E40" s="149" t="str">
        <v>4.13</v>
      </c>
      <c r="F40" s="149">
        <v>1</v>
      </c>
      <c r="G40" s="149">
        <v>0</v>
      </c>
      <c r="H40" s="267" t="str">
        <v>Passarelas</v>
      </c>
      <c r="I40" s="192">
        <v>0</v>
      </c>
      <c r="J40" s="192">
        <v>0</v>
      </c>
      <c r="K40" s="192">
        <v>2190923.1700000004</v>
      </c>
      <c r="L40" s="192">
        <v>6572769.5100000016</v>
      </c>
      <c r="M40" s="192">
        <v>2190923.1700000004</v>
      </c>
      <c r="N40" s="192">
        <v>10954615.850000001</v>
      </c>
      <c r="O40" s="192">
        <v>0</v>
      </c>
      <c r="P40" s="192">
        <v>0</v>
      </c>
      <c r="Q40" s="192">
        <v>0</v>
      </c>
      <c r="R40" s="192">
        <v>0</v>
      </c>
      <c r="S40" s="192">
        <v>0</v>
      </c>
      <c r="T40" s="192">
        <v>0</v>
      </c>
      <c r="U40" s="192">
        <v>0</v>
      </c>
      <c r="V40" s="192">
        <v>0</v>
      </c>
      <c r="W40" s="192">
        <v>0</v>
      </c>
      <c r="X40" s="192">
        <v>0</v>
      </c>
      <c r="Y40" s="192">
        <v>0</v>
      </c>
      <c r="Z40" s="192">
        <v>0</v>
      </c>
      <c r="AA40" s="192">
        <v>0</v>
      </c>
      <c r="AB40" s="192">
        <v>0</v>
      </c>
      <c r="AC40" s="192">
        <v>0</v>
      </c>
      <c r="AD40" s="192">
        <v>0</v>
      </c>
      <c r="AE40" s="192">
        <v>0</v>
      </c>
      <c r="AF40" s="192">
        <v>0</v>
      </c>
      <c r="AG40" s="192">
        <v>0</v>
      </c>
      <c r="AH40" s="192">
        <v>0</v>
      </c>
      <c r="AI40" s="192">
        <v>0</v>
      </c>
      <c r="AJ40" s="192">
        <v>0</v>
      </c>
      <c r="AK40" s="192">
        <v>0</v>
      </c>
      <c r="AL40" s="192">
        <v>0</v>
      </c>
    </row>
    <row r="41" spans="2:38">
      <c r="B41" s="122" t="str">
        <v>Cenário 20/03/2025 com IFC</v>
      </c>
      <c r="C41" s="448" t="str">
        <v>Pórticos 1 e 2 (BR-356)</v>
      </c>
      <c r="D41" s="149" t="str">
        <v>4</v>
      </c>
      <c r="E41" s="149" t="str">
        <v>4.14</v>
      </c>
      <c r="F41" s="149">
        <v>1</v>
      </c>
      <c r="G41" s="149">
        <v>0</v>
      </c>
      <c r="H41" s="267" t="str">
        <v>Área de Escape</v>
      </c>
      <c r="I41" s="192">
        <v>0</v>
      </c>
      <c r="J41" s="192">
        <v>0</v>
      </c>
      <c r="K41" s="192">
        <v>2423156</v>
      </c>
      <c r="L41" s="192">
        <v>0</v>
      </c>
      <c r="M41" s="192">
        <v>0</v>
      </c>
      <c r="N41" s="192">
        <v>0</v>
      </c>
      <c r="O41" s="192">
        <v>0</v>
      </c>
      <c r="P41" s="192">
        <v>0</v>
      </c>
      <c r="Q41" s="192">
        <v>0</v>
      </c>
      <c r="R41" s="192">
        <v>0</v>
      </c>
      <c r="S41" s="192">
        <v>0</v>
      </c>
      <c r="T41" s="192">
        <v>0</v>
      </c>
      <c r="U41" s="192">
        <v>0</v>
      </c>
      <c r="V41" s="192">
        <v>0</v>
      </c>
      <c r="W41" s="192">
        <v>0</v>
      </c>
      <c r="X41" s="192">
        <v>0</v>
      </c>
      <c r="Y41" s="192">
        <v>0</v>
      </c>
      <c r="Z41" s="192">
        <v>0</v>
      </c>
      <c r="AA41" s="192">
        <v>0</v>
      </c>
      <c r="AB41" s="192">
        <v>0</v>
      </c>
      <c r="AC41" s="192">
        <v>0</v>
      </c>
      <c r="AD41" s="192">
        <v>0</v>
      </c>
      <c r="AE41" s="192">
        <v>0</v>
      </c>
      <c r="AF41" s="192">
        <v>0</v>
      </c>
      <c r="AG41" s="192">
        <v>0</v>
      </c>
      <c r="AH41" s="192">
        <v>0</v>
      </c>
      <c r="AI41" s="192">
        <v>0</v>
      </c>
      <c r="AJ41" s="192">
        <v>0</v>
      </c>
      <c r="AK41" s="192">
        <v>0</v>
      </c>
      <c r="AL41" s="192">
        <v>0</v>
      </c>
    </row>
    <row r="42" spans="2:38">
      <c r="B42" s="122" t="str">
        <v>Cenário 20/03/2025 com IFC</v>
      </c>
      <c r="C42" s="448" t="str">
        <v>Pórticos 1 e 2 (BR-356)</v>
      </c>
      <c r="D42" s="149" t="str">
        <v>4</v>
      </c>
      <c r="E42" s="149" t="str">
        <v>4.15</v>
      </c>
      <c r="F42" s="149">
        <v>1</v>
      </c>
      <c r="G42" s="149">
        <v>0</v>
      </c>
      <c r="H42" s="267" t="str">
        <v xml:space="preserve">Paradas de ônibus com baia </v>
      </c>
      <c r="I42" s="192">
        <v>0</v>
      </c>
      <c r="J42" s="192">
        <v>0</v>
      </c>
      <c r="K42" s="192">
        <v>2940434.2863696236</v>
      </c>
      <c r="L42" s="192">
        <v>3360496.3272795705</v>
      </c>
      <c r="M42" s="192">
        <v>4616142.8796113292</v>
      </c>
      <c r="N42" s="192">
        <v>6300930.6136491941</v>
      </c>
      <c r="O42" s="192">
        <v>0</v>
      </c>
      <c r="P42" s="192">
        <v>0</v>
      </c>
      <c r="Q42" s="192">
        <v>0</v>
      </c>
      <c r="R42" s="192">
        <v>0</v>
      </c>
      <c r="S42" s="192">
        <v>0</v>
      </c>
      <c r="T42" s="192">
        <v>0</v>
      </c>
      <c r="U42" s="192">
        <v>0</v>
      </c>
      <c r="V42" s="192">
        <v>0</v>
      </c>
      <c r="W42" s="192">
        <v>0</v>
      </c>
      <c r="X42" s="192">
        <v>0</v>
      </c>
      <c r="Y42" s="192">
        <v>0</v>
      </c>
      <c r="Z42" s="192">
        <v>0</v>
      </c>
      <c r="AA42" s="192">
        <v>0</v>
      </c>
      <c r="AB42" s="192">
        <v>0</v>
      </c>
      <c r="AC42" s="192">
        <v>0</v>
      </c>
      <c r="AD42" s="192">
        <v>0</v>
      </c>
      <c r="AE42" s="192">
        <v>0</v>
      </c>
      <c r="AF42" s="192">
        <v>0</v>
      </c>
      <c r="AG42" s="192">
        <v>0</v>
      </c>
      <c r="AH42" s="192">
        <v>0</v>
      </c>
      <c r="AI42" s="192">
        <v>0</v>
      </c>
      <c r="AJ42" s="192">
        <v>0</v>
      </c>
      <c r="AK42" s="192">
        <v>0</v>
      </c>
      <c r="AL42" s="192">
        <v>0</v>
      </c>
    </row>
    <row r="43" spans="2:38">
      <c r="B43" s="122" t="str">
        <v>Cenário 20/03/2025 com IFC</v>
      </c>
      <c r="C43" s="448" t="str">
        <v>Pórticos 1 e 2 (BR-356)</v>
      </c>
      <c r="D43" s="149" t="str">
        <v>4</v>
      </c>
      <c r="E43" s="149" t="str">
        <v>4.16</v>
      </c>
      <c r="F43" s="149">
        <v>0</v>
      </c>
      <c r="G43" s="149">
        <v>0</v>
      </c>
      <c r="H43" s="267" t="str">
        <v>Desapropriações</v>
      </c>
      <c r="I43" s="192">
        <v>0</v>
      </c>
      <c r="J43" s="192">
        <v>245995.98546907841</v>
      </c>
      <c r="K43" s="192">
        <v>26461665.400405653</v>
      </c>
      <c r="L43" s="192">
        <v>3072567.3605121733</v>
      </c>
      <c r="M43" s="192">
        <v>79320462.322629422</v>
      </c>
      <c r="N43" s="192">
        <v>0</v>
      </c>
      <c r="O43" s="192">
        <v>0</v>
      </c>
      <c r="P43" s="192">
        <v>0</v>
      </c>
      <c r="Q43" s="192">
        <v>0</v>
      </c>
      <c r="R43" s="192">
        <v>0</v>
      </c>
      <c r="S43" s="192">
        <v>0</v>
      </c>
      <c r="T43" s="192">
        <v>0</v>
      </c>
      <c r="U43" s="192">
        <v>0</v>
      </c>
      <c r="V43" s="192">
        <v>0</v>
      </c>
      <c r="W43" s="192">
        <v>0</v>
      </c>
      <c r="X43" s="192">
        <v>0</v>
      </c>
      <c r="Y43" s="192">
        <v>0</v>
      </c>
      <c r="Z43" s="192">
        <v>0</v>
      </c>
      <c r="AA43" s="192">
        <v>0</v>
      </c>
      <c r="AB43" s="192">
        <v>0</v>
      </c>
      <c r="AC43" s="192">
        <v>0</v>
      </c>
      <c r="AD43" s="192">
        <v>0</v>
      </c>
      <c r="AE43" s="192">
        <v>0</v>
      </c>
      <c r="AF43" s="192">
        <v>0</v>
      </c>
      <c r="AG43" s="192">
        <v>0</v>
      </c>
      <c r="AH43" s="192">
        <v>0</v>
      </c>
      <c r="AI43" s="192">
        <v>0</v>
      </c>
      <c r="AJ43" s="192">
        <v>0</v>
      </c>
      <c r="AK43" s="192">
        <v>0</v>
      </c>
      <c r="AL43" s="192">
        <v>0</v>
      </c>
    </row>
    <row r="44" spans="2:38">
      <c r="B44" s="122" t="str">
        <v>Cenário 20/03/2025 com IFC</v>
      </c>
      <c r="C44" s="448" t="str">
        <v>Pórticos 1 e 2 (BR-356)</v>
      </c>
      <c r="D44" s="149" t="str">
        <v>4</v>
      </c>
      <c r="E44" s="149" t="str">
        <v>4.17</v>
      </c>
      <c r="F44" s="149">
        <v>1</v>
      </c>
      <c r="G44" s="149">
        <v>0</v>
      </c>
      <c r="H44" s="267" t="str">
        <v>Administração local (%)</v>
      </c>
      <c r="I44" s="192">
        <v>0</v>
      </c>
      <c r="J44" s="192">
        <v>3025.7506212696644</v>
      </c>
      <c r="K44" s="192">
        <v>2109429.6503821034</v>
      </c>
      <c r="L44" s="192">
        <v>5575323.4773826608</v>
      </c>
      <c r="M44" s="192">
        <v>4084308.6495733415</v>
      </c>
      <c r="N44" s="192">
        <v>4719293.597251582</v>
      </c>
      <c r="O44" s="192">
        <v>0</v>
      </c>
      <c r="P44" s="192">
        <v>0</v>
      </c>
      <c r="Q44" s="192">
        <v>0</v>
      </c>
      <c r="R44" s="192">
        <v>0</v>
      </c>
      <c r="S44" s="192">
        <v>0</v>
      </c>
      <c r="T44" s="192">
        <v>0</v>
      </c>
      <c r="U44" s="192">
        <v>0</v>
      </c>
      <c r="V44" s="192">
        <v>0</v>
      </c>
      <c r="W44" s="192">
        <v>0</v>
      </c>
      <c r="X44" s="192">
        <v>0</v>
      </c>
      <c r="Y44" s="192">
        <v>0</v>
      </c>
      <c r="Z44" s="192">
        <v>0</v>
      </c>
      <c r="AA44" s="192">
        <v>0</v>
      </c>
      <c r="AB44" s="192">
        <v>0</v>
      </c>
      <c r="AC44" s="192">
        <v>0</v>
      </c>
      <c r="AD44" s="192">
        <v>0</v>
      </c>
      <c r="AE44" s="192">
        <v>0</v>
      </c>
      <c r="AF44" s="192">
        <v>0</v>
      </c>
      <c r="AG44" s="192">
        <v>0</v>
      </c>
      <c r="AH44" s="192">
        <v>0</v>
      </c>
      <c r="AI44" s="192">
        <v>0</v>
      </c>
      <c r="AJ44" s="192">
        <v>0</v>
      </c>
      <c r="AK44" s="192">
        <v>0</v>
      </c>
      <c r="AL44" s="192">
        <v>0</v>
      </c>
    </row>
    <row r="45" spans="2:38">
      <c r="B45" s="122" t="str">
        <v>Cenário 20/03/2025 com IFC</v>
      </c>
      <c r="C45" s="448" t="str">
        <v>Pórticos 1 e 2 (BR-356)</v>
      </c>
      <c r="D45" s="149" t="str">
        <v>4</v>
      </c>
      <c r="E45" s="149" t="str">
        <v>4.18</v>
      </c>
      <c r="F45" s="149">
        <v>1</v>
      </c>
      <c r="G45" s="149">
        <v>0</v>
      </c>
      <c r="H45" s="267" t="str">
        <v>Canteiro de obras (%)</v>
      </c>
      <c r="I45" s="192">
        <v>0</v>
      </c>
      <c r="J45" s="192">
        <v>762.587554954143</v>
      </c>
      <c r="K45" s="192">
        <v>531644.87123451382</v>
      </c>
      <c r="L45" s="192">
        <v>1405162.8276330282</v>
      </c>
      <c r="M45" s="192">
        <v>1029378.6027379965</v>
      </c>
      <c r="N45" s="192">
        <v>1189415.4594699107</v>
      </c>
      <c r="O45" s="192">
        <v>0</v>
      </c>
      <c r="P45" s="192">
        <v>0</v>
      </c>
      <c r="Q45" s="192">
        <v>0</v>
      </c>
      <c r="R45" s="192">
        <v>0</v>
      </c>
      <c r="S45" s="192">
        <v>0</v>
      </c>
      <c r="T45" s="192">
        <v>0</v>
      </c>
      <c r="U45" s="192">
        <v>0</v>
      </c>
      <c r="V45" s="192">
        <v>0</v>
      </c>
      <c r="W45" s="192">
        <v>0</v>
      </c>
      <c r="X45" s="192">
        <v>0</v>
      </c>
      <c r="Y45" s="192">
        <v>0</v>
      </c>
      <c r="Z45" s="192">
        <v>0</v>
      </c>
      <c r="AA45" s="192">
        <v>0</v>
      </c>
      <c r="AB45" s="192">
        <v>0</v>
      </c>
      <c r="AC45" s="192">
        <v>0</v>
      </c>
      <c r="AD45" s="192">
        <v>0</v>
      </c>
      <c r="AE45" s="192">
        <v>0</v>
      </c>
      <c r="AF45" s="192">
        <v>0</v>
      </c>
      <c r="AG45" s="192">
        <v>0</v>
      </c>
      <c r="AH45" s="192">
        <v>0</v>
      </c>
      <c r="AI45" s="192">
        <v>0</v>
      </c>
      <c r="AJ45" s="192">
        <v>0</v>
      </c>
      <c r="AK45" s="192">
        <v>0</v>
      </c>
      <c r="AL45" s="192">
        <v>0</v>
      </c>
    </row>
    <row r="46" spans="2:38">
      <c r="B46" s="122" t="str">
        <v>Cenário 20/03/2025 com IFC</v>
      </c>
      <c r="C46" s="448" t="str">
        <v>Pórticos 1 e 2 (BR-356)</v>
      </c>
      <c r="D46" s="149" t="str">
        <v>4</v>
      </c>
      <c r="E46" s="149" t="str">
        <v>4.19</v>
      </c>
      <c r="F46" s="149">
        <v>1</v>
      </c>
      <c r="G46" s="149">
        <v>0</v>
      </c>
      <c r="H46" s="267" t="str">
        <v>Mobilização e desmobilização (%)</v>
      </c>
      <c r="I46" s="192">
        <v>0</v>
      </c>
      <c r="J46" s="192">
        <v>14.267767157206547</v>
      </c>
      <c r="K46" s="192">
        <v>9946.9040424521954</v>
      </c>
      <c r="L46" s="192">
        <v>26290.143226682463</v>
      </c>
      <c r="M46" s="192">
        <v>19259.34159961413</v>
      </c>
      <c r="N46" s="192">
        <v>22253.579564275751</v>
      </c>
      <c r="O46" s="192">
        <v>0</v>
      </c>
      <c r="P46" s="192">
        <v>0</v>
      </c>
      <c r="Q46" s="192">
        <v>0</v>
      </c>
      <c r="R46" s="192">
        <v>0</v>
      </c>
      <c r="S46" s="192">
        <v>0</v>
      </c>
      <c r="T46" s="192">
        <v>0</v>
      </c>
      <c r="U46" s="192">
        <v>0</v>
      </c>
      <c r="V46" s="192">
        <v>0</v>
      </c>
      <c r="W46" s="192">
        <v>0</v>
      </c>
      <c r="X46" s="192">
        <v>0</v>
      </c>
      <c r="Y46" s="192">
        <v>0</v>
      </c>
      <c r="Z46" s="192">
        <v>0</v>
      </c>
      <c r="AA46" s="192">
        <v>0</v>
      </c>
      <c r="AB46" s="192">
        <v>0</v>
      </c>
      <c r="AC46" s="192">
        <v>0</v>
      </c>
      <c r="AD46" s="192">
        <v>0</v>
      </c>
      <c r="AE46" s="192">
        <v>0</v>
      </c>
      <c r="AF46" s="192">
        <v>0</v>
      </c>
      <c r="AG46" s="192">
        <v>0</v>
      </c>
      <c r="AH46" s="192">
        <v>0</v>
      </c>
      <c r="AI46" s="192">
        <v>0</v>
      </c>
      <c r="AJ46" s="192">
        <v>0</v>
      </c>
      <c r="AK46" s="192">
        <v>0</v>
      </c>
      <c r="AL46" s="192">
        <v>0</v>
      </c>
    </row>
    <row r="47" spans="2:38">
      <c r="B47" s="122" t="str">
        <v>Cenário 20/03/2025 com IFC</v>
      </c>
      <c r="C47" s="448" t="str">
        <v>Pórticos 1 e 2 (BR-356)</v>
      </c>
      <c r="D47" s="149" t="str">
        <v>4</v>
      </c>
      <c r="E47" s="149" t="str">
        <v>4.20</v>
      </c>
      <c r="F47" s="149">
        <v>1</v>
      </c>
      <c r="G47" s="149">
        <v>0</v>
      </c>
      <c r="H47" s="267" t="str">
        <v>Projetos (%)</v>
      </c>
      <c r="I47" s="192">
        <v>0</v>
      </c>
      <c r="J47" s="192">
        <v>6149.899636726961</v>
      </c>
      <c r="K47" s="192">
        <v>4287458.6389880152</v>
      </c>
      <c r="L47" s="192">
        <v>11331958.287363132</v>
      </c>
      <c r="M47" s="192">
        <v>8301440.3446612628</v>
      </c>
      <c r="N47" s="192">
        <v>9592060.1570154112</v>
      </c>
      <c r="O47" s="192">
        <v>0</v>
      </c>
      <c r="P47" s="192">
        <v>0</v>
      </c>
      <c r="Q47" s="192">
        <v>0</v>
      </c>
      <c r="R47" s="192">
        <v>0</v>
      </c>
      <c r="S47" s="192">
        <v>0</v>
      </c>
      <c r="T47" s="192">
        <v>0</v>
      </c>
      <c r="U47" s="192">
        <v>0</v>
      </c>
      <c r="V47" s="192">
        <v>0</v>
      </c>
      <c r="W47" s="192">
        <v>0</v>
      </c>
      <c r="X47" s="192">
        <v>0</v>
      </c>
      <c r="Y47" s="192">
        <v>0</v>
      </c>
      <c r="Z47" s="192">
        <v>0</v>
      </c>
      <c r="AA47" s="192">
        <v>0</v>
      </c>
      <c r="AB47" s="192">
        <v>0</v>
      </c>
      <c r="AC47" s="192">
        <v>0</v>
      </c>
      <c r="AD47" s="192">
        <v>0</v>
      </c>
      <c r="AE47" s="192">
        <v>0</v>
      </c>
      <c r="AF47" s="192">
        <v>0</v>
      </c>
      <c r="AG47" s="192">
        <v>0</v>
      </c>
      <c r="AH47" s="192">
        <v>0</v>
      </c>
      <c r="AI47" s="192">
        <v>0</v>
      </c>
      <c r="AJ47" s="192">
        <v>0</v>
      </c>
      <c r="AK47" s="192">
        <v>0</v>
      </c>
      <c r="AL47" s="192">
        <v>0</v>
      </c>
    </row>
    <row r="48" spans="2:38">
      <c r="B48" s="122" t="str">
        <v>Cenário 20/03/2025 com IFC</v>
      </c>
      <c r="C48" s="448" t="str">
        <v>Pórticos 1 e 2 (BR-356)</v>
      </c>
      <c r="D48" s="149" t="str">
        <v>3</v>
      </c>
      <c r="E48" s="149">
        <v>3</v>
      </c>
      <c r="F48" s="149">
        <v>0</v>
      </c>
      <c r="G48" s="149">
        <v>0</v>
      </c>
      <c r="H48" s="267" t="str">
        <v>Manutenção do sistema rodoviário</v>
      </c>
      <c r="I48" s="192">
        <v>0</v>
      </c>
      <c r="J48" s="192">
        <v>0</v>
      </c>
      <c r="K48" s="192">
        <v>0</v>
      </c>
      <c r="L48" s="192">
        <v>0</v>
      </c>
      <c r="M48" s="192">
        <v>0</v>
      </c>
      <c r="N48" s="192">
        <v>0</v>
      </c>
      <c r="O48" s="192">
        <v>0</v>
      </c>
      <c r="P48" s="192">
        <v>0</v>
      </c>
      <c r="Q48" s="192">
        <v>0</v>
      </c>
      <c r="R48" s="192">
        <v>0</v>
      </c>
      <c r="S48" s="192">
        <v>0</v>
      </c>
      <c r="T48" s="192">
        <v>0</v>
      </c>
      <c r="U48" s="192">
        <v>0</v>
      </c>
      <c r="V48" s="192">
        <v>0</v>
      </c>
      <c r="W48" s="192">
        <v>0</v>
      </c>
      <c r="X48" s="192">
        <v>0</v>
      </c>
      <c r="Y48" s="192">
        <v>0</v>
      </c>
      <c r="Z48" s="192">
        <v>0</v>
      </c>
      <c r="AA48" s="192">
        <v>0</v>
      </c>
      <c r="AB48" s="192">
        <v>0</v>
      </c>
      <c r="AC48" s="192">
        <v>0</v>
      </c>
      <c r="AD48" s="192">
        <v>0</v>
      </c>
      <c r="AE48" s="192">
        <v>0</v>
      </c>
      <c r="AF48" s="192">
        <v>0</v>
      </c>
      <c r="AG48" s="192">
        <v>0</v>
      </c>
      <c r="AH48" s="192">
        <v>0</v>
      </c>
      <c r="AI48" s="192">
        <v>0</v>
      </c>
      <c r="AJ48" s="192">
        <v>0</v>
      </c>
      <c r="AK48" s="192">
        <v>0</v>
      </c>
      <c r="AL48" s="192">
        <v>0</v>
      </c>
    </row>
    <row r="49" spans="2:38">
      <c r="B49" s="122" t="str">
        <v>Cenário 20/03/2025 com IFC</v>
      </c>
      <c r="C49" s="448" t="str">
        <v>Pórticos 1 e 2 (BR-356)</v>
      </c>
      <c r="D49" s="149" t="str">
        <v>3</v>
      </c>
      <c r="E49" s="149" t="str">
        <v>3.1</v>
      </c>
      <c r="F49" s="149">
        <v>1</v>
      </c>
      <c r="G49" s="149">
        <v>0</v>
      </c>
      <c r="H49" s="267" t="str">
        <v>Pavimento</v>
      </c>
      <c r="I49" s="192">
        <v>0</v>
      </c>
      <c r="J49" s="192">
        <v>0</v>
      </c>
      <c r="K49" s="192">
        <v>0</v>
      </c>
      <c r="L49" s="192">
        <v>0</v>
      </c>
      <c r="M49" s="192">
        <v>0</v>
      </c>
      <c r="N49" s="192">
        <v>0</v>
      </c>
      <c r="O49" s="192">
        <v>0</v>
      </c>
      <c r="P49" s="192">
        <v>14727525.624542724</v>
      </c>
      <c r="Q49" s="192">
        <v>5775307.4610185605</v>
      </c>
      <c r="R49" s="192">
        <v>22781598.076123841</v>
      </c>
      <c r="S49" s="192">
        <v>16509842.918651201</v>
      </c>
      <c r="T49" s="192">
        <v>7904465.1326412801</v>
      </c>
      <c r="U49" s="192">
        <v>0</v>
      </c>
      <c r="V49" s="192">
        <v>0</v>
      </c>
      <c r="W49" s="192">
        <v>0</v>
      </c>
      <c r="X49" s="192">
        <v>44923386.381301276</v>
      </c>
      <c r="Y49" s="192">
        <v>44229947.455595434</v>
      </c>
      <c r="Z49" s="192">
        <v>36338707.5690744</v>
      </c>
      <c r="AA49" s="192">
        <v>24077501.480932478</v>
      </c>
      <c r="AB49" s="192">
        <v>0</v>
      </c>
      <c r="AC49" s="192">
        <v>0</v>
      </c>
      <c r="AD49" s="192">
        <v>0</v>
      </c>
      <c r="AE49" s="192">
        <v>19163673.475826878</v>
      </c>
      <c r="AF49" s="192">
        <v>21443265.461691841</v>
      </c>
      <c r="AG49" s="192">
        <v>14246721.276936004</v>
      </c>
      <c r="AH49" s="192">
        <v>12845078.99852288</v>
      </c>
      <c r="AI49" s="192">
        <v>0</v>
      </c>
      <c r="AJ49" s="192">
        <v>0</v>
      </c>
      <c r="AK49" s="192">
        <v>17801312.844270721</v>
      </c>
      <c r="AL49" s="192">
        <v>15476999.62013888</v>
      </c>
    </row>
    <row r="50" spans="2:38">
      <c r="B50" s="122" t="str">
        <v>Cenário 20/03/2025 com IFC</v>
      </c>
      <c r="C50" s="448" t="str">
        <v>Pórticos 1 e 2 (BR-356)</v>
      </c>
      <c r="D50" s="149" t="str">
        <v>3</v>
      </c>
      <c r="E50" s="149" t="str">
        <v>3.2</v>
      </c>
      <c r="F50" s="149">
        <v>1</v>
      </c>
      <c r="G50" s="149">
        <v>0</v>
      </c>
      <c r="H50" s="267" t="str">
        <v>Obras de arte especiais</v>
      </c>
      <c r="I50" s="192">
        <v>0</v>
      </c>
      <c r="J50" s="192">
        <v>0</v>
      </c>
      <c r="K50" s="192">
        <v>0</v>
      </c>
      <c r="L50" s="192">
        <v>0</v>
      </c>
      <c r="M50" s="192">
        <v>0</v>
      </c>
      <c r="N50" s="192">
        <v>0</v>
      </c>
      <c r="O50" s="192">
        <v>0</v>
      </c>
      <c r="P50" s="192">
        <v>0</v>
      </c>
      <c r="Q50" s="192">
        <v>0</v>
      </c>
      <c r="R50" s="192">
        <v>0</v>
      </c>
      <c r="S50" s="192">
        <v>0</v>
      </c>
      <c r="T50" s="192">
        <v>0</v>
      </c>
      <c r="U50" s="192">
        <v>0</v>
      </c>
      <c r="V50" s="192">
        <v>0</v>
      </c>
      <c r="W50" s="192">
        <v>0</v>
      </c>
      <c r="X50" s="192">
        <v>0</v>
      </c>
      <c r="Y50" s="192">
        <v>0</v>
      </c>
      <c r="Z50" s="192">
        <v>0</v>
      </c>
      <c r="AA50" s="192">
        <v>0</v>
      </c>
      <c r="AB50" s="192">
        <v>0</v>
      </c>
      <c r="AC50" s="192">
        <v>0</v>
      </c>
      <c r="AD50" s="192">
        <v>0</v>
      </c>
      <c r="AE50" s="192">
        <v>0</v>
      </c>
      <c r="AF50" s="192">
        <v>0</v>
      </c>
      <c r="AG50" s="192">
        <v>0</v>
      </c>
      <c r="AH50" s="192">
        <v>0</v>
      </c>
      <c r="AI50" s="192">
        <v>0</v>
      </c>
      <c r="AJ50" s="192">
        <v>0</v>
      </c>
      <c r="AK50" s="192">
        <v>0</v>
      </c>
      <c r="AL50" s="192">
        <v>0</v>
      </c>
    </row>
    <row r="51" spans="2:38">
      <c r="B51" s="122" t="str">
        <v>Cenário 20/03/2025 com IFC</v>
      </c>
      <c r="C51" s="448" t="str">
        <v>Pórticos 1 e 2 (BR-356)</v>
      </c>
      <c r="D51" s="149" t="str">
        <v>3</v>
      </c>
      <c r="E51" s="149" t="str">
        <v>3.3</v>
      </c>
      <c r="F51" s="149">
        <v>1</v>
      </c>
      <c r="G51" s="149">
        <v>0</v>
      </c>
      <c r="H51" s="267" t="str">
        <v>Drenagem e obras de arte correntes</v>
      </c>
      <c r="I51" s="192">
        <v>0</v>
      </c>
      <c r="J51" s="192">
        <v>0</v>
      </c>
      <c r="K51" s="192">
        <v>0</v>
      </c>
      <c r="L51" s="192">
        <v>0</v>
      </c>
      <c r="M51" s="192">
        <v>0</v>
      </c>
      <c r="N51" s="192">
        <v>0</v>
      </c>
      <c r="O51" s="192">
        <v>0</v>
      </c>
      <c r="P51" s="192">
        <v>0</v>
      </c>
      <c r="Q51" s="192">
        <v>0</v>
      </c>
      <c r="R51" s="192">
        <v>0</v>
      </c>
      <c r="S51" s="192">
        <v>0</v>
      </c>
      <c r="T51" s="192">
        <v>0</v>
      </c>
      <c r="U51" s="192">
        <v>0</v>
      </c>
      <c r="V51" s="192">
        <v>0</v>
      </c>
      <c r="W51" s="192">
        <v>0</v>
      </c>
      <c r="X51" s="192">
        <v>0</v>
      </c>
      <c r="Y51" s="192">
        <v>0</v>
      </c>
      <c r="Z51" s="192">
        <v>0</v>
      </c>
      <c r="AA51" s="192">
        <v>0</v>
      </c>
      <c r="AB51" s="192">
        <v>0</v>
      </c>
      <c r="AC51" s="192">
        <v>0</v>
      </c>
      <c r="AD51" s="192">
        <v>0</v>
      </c>
      <c r="AE51" s="192">
        <v>0</v>
      </c>
      <c r="AF51" s="192">
        <v>0</v>
      </c>
      <c r="AG51" s="192">
        <v>0</v>
      </c>
      <c r="AH51" s="192">
        <v>0</v>
      </c>
      <c r="AI51" s="192">
        <v>0</v>
      </c>
      <c r="AJ51" s="192">
        <v>0</v>
      </c>
      <c r="AK51" s="192">
        <v>0</v>
      </c>
      <c r="AL51" s="192">
        <v>0</v>
      </c>
    </row>
    <row r="52" spans="2:38">
      <c r="B52" s="122" t="str">
        <v>Cenário 20/03/2025 com IFC</v>
      </c>
      <c r="C52" s="448" t="str">
        <v>Pórticos 1 e 2 (BR-356)</v>
      </c>
      <c r="D52" s="149" t="str">
        <v>3</v>
      </c>
      <c r="E52" s="149" t="str">
        <v>3.4</v>
      </c>
      <c r="F52" s="149">
        <v>1</v>
      </c>
      <c r="G52" s="149">
        <v>0</v>
      </c>
      <c r="H52" s="267" t="str">
        <v xml:space="preserve">Sinalização e dispositivos de proteção e segurança </v>
      </c>
      <c r="I52" s="192">
        <v>0</v>
      </c>
      <c r="J52" s="192">
        <v>0</v>
      </c>
      <c r="K52" s="192">
        <v>0</v>
      </c>
      <c r="L52" s="192">
        <v>0</v>
      </c>
      <c r="M52" s="192">
        <v>0</v>
      </c>
      <c r="N52" s="192">
        <v>0</v>
      </c>
      <c r="O52" s="192">
        <v>0</v>
      </c>
      <c r="P52" s="192">
        <v>729903.80999999994</v>
      </c>
      <c r="Q52" s="192">
        <v>248703.82500000004</v>
      </c>
      <c r="R52" s="192">
        <v>857702.18</v>
      </c>
      <c r="S52" s="192">
        <v>736889.87250000006</v>
      </c>
      <c r="T52" s="192">
        <v>359921.93999999994</v>
      </c>
      <c r="U52" s="192">
        <v>0</v>
      </c>
      <c r="V52" s="192">
        <v>0</v>
      </c>
      <c r="W52" s="192">
        <v>0</v>
      </c>
      <c r="X52" s="192">
        <v>978607.63500000001</v>
      </c>
      <c r="Y52" s="192">
        <v>721706.83000000007</v>
      </c>
      <c r="Z52" s="192">
        <v>755519.37250000006</v>
      </c>
      <c r="AA52" s="192">
        <v>477287.78999999986</v>
      </c>
      <c r="AB52" s="192">
        <v>0</v>
      </c>
      <c r="AC52" s="192">
        <v>0</v>
      </c>
      <c r="AD52" s="192">
        <v>0</v>
      </c>
      <c r="AE52" s="192">
        <v>741081.51000000013</v>
      </c>
      <c r="AF52" s="192">
        <v>959232.95500000007</v>
      </c>
      <c r="AG52" s="192">
        <v>658645.97250000015</v>
      </c>
      <c r="AH52" s="192">
        <v>574161.18999999994</v>
      </c>
      <c r="AI52" s="192">
        <v>0</v>
      </c>
      <c r="AJ52" s="192">
        <v>0</v>
      </c>
      <c r="AK52" s="192">
        <v>1532648.9650000003</v>
      </c>
      <c r="AL52" s="192">
        <v>1400472.6625000001</v>
      </c>
    </row>
    <row r="53" spans="2:38">
      <c r="B53" s="122" t="str">
        <v>Cenário 20/03/2025 com IFC</v>
      </c>
      <c r="C53" s="448" t="str">
        <v>Pórticos 1 e 2 (BR-356)</v>
      </c>
      <c r="D53" s="149" t="str">
        <v>3</v>
      </c>
      <c r="E53" s="149" t="str">
        <v>3.5</v>
      </c>
      <c r="F53" s="149">
        <v>1</v>
      </c>
      <c r="G53" s="149">
        <v>0</v>
      </c>
      <c r="H53" s="267" t="str">
        <v>Administração local (%)</v>
      </c>
      <c r="I53" s="192">
        <v>0</v>
      </c>
      <c r="J53" s="192">
        <v>0</v>
      </c>
      <c r="K53" s="192">
        <v>0</v>
      </c>
      <c r="L53" s="192">
        <v>0</v>
      </c>
      <c r="M53" s="192">
        <v>0</v>
      </c>
      <c r="N53" s="192">
        <v>0</v>
      </c>
      <c r="O53" s="192">
        <v>0</v>
      </c>
      <c r="P53" s="192">
        <v>190126.38204487553</v>
      </c>
      <c r="Q53" s="192">
        <v>74095.338818028293</v>
      </c>
      <c r="R53" s="192">
        <v>290763.39315032325</v>
      </c>
      <c r="S53" s="192">
        <v>212134.81333115976</v>
      </c>
      <c r="T53" s="192">
        <v>101651.96099348774</v>
      </c>
      <c r="U53" s="192">
        <v>0</v>
      </c>
      <c r="V53" s="192">
        <v>0</v>
      </c>
      <c r="W53" s="192">
        <v>0</v>
      </c>
      <c r="X53" s="192">
        <v>564594.52640050568</v>
      </c>
      <c r="Y53" s="192">
        <v>552905.34771282377</v>
      </c>
      <c r="Z53" s="192">
        <v>456258.99138136517</v>
      </c>
      <c r="AA53" s="192">
        <v>302023.90803246945</v>
      </c>
      <c r="AB53" s="192">
        <v>0</v>
      </c>
      <c r="AC53" s="192">
        <v>0</v>
      </c>
      <c r="AD53" s="192">
        <v>0</v>
      </c>
      <c r="AE53" s="192">
        <v>244828.48632567062</v>
      </c>
      <c r="AF53" s="192">
        <v>275550.73052530963</v>
      </c>
      <c r="AG53" s="192">
        <v>183336.01716806286</v>
      </c>
      <c r="AH53" s="192">
        <v>165056.65431883142</v>
      </c>
      <c r="AI53" s="192">
        <v>0</v>
      </c>
      <c r="AJ53" s="192">
        <v>0</v>
      </c>
      <c r="AK53" s="192">
        <v>237807.73025402988</v>
      </c>
      <c r="AL53" s="192">
        <v>207592.90907645825</v>
      </c>
    </row>
    <row r="54" spans="2:38">
      <c r="B54" s="122" t="str">
        <v>Cenário 20/03/2025 com IFC</v>
      </c>
      <c r="C54" s="448" t="str">
        <v>Pórticos 1 e 2 (BR-356)</v>
      </c>
      <c r="D54" s="149" t="str">
        <v>3</v>
      </c>
      <c r="E54" s="149" t="str">
        <v>3.6</v>
      </c>
      <c r="F54" s="149">
        <v>1</v>
      </c>
      <c r="G54" s="149">
        <v>0</v>
      </c>
      <c r="H54" s="267" t="str">
        <v>Canteiro de obras (%)</v>
      </c>
      <c r="I54" s="192">
        <v>0</v>
      </c>
      <c r="J54" s="192">
        <v>0</v>
      </c>
      <c r="K54" s="192">
        <v>0</v>
      </c>
      <c r="L54" s="192">
        <v>0</v>
      </c>
      <c r="M54" s="192">
        <v>0</v>
      </c>
      <c r="N54" s="192">
        <v>0</v>
      </c>
      <c r="O54" s="192">
        <v>0</v>
      </c>
      <c r="P54" s="192">
        <v>47918.031247082443</v>
      </c>
      <c r="Q54" s="192">
        <v>18674.434986657536</v>
      </c>
      <c r="R54" s="192">
        <v>73281.8307939839</v>
      </c>
      <c r="S54" s="192">
        <v>53464.87165256872</v>
      </c>
      <c r="T54" s="192">
        <v>25619.599925187966</v>
      </c>
      <c r="U54" s="192">
        <v>0</v>
      </c>
      <c r="V54" s="192">
        <v>0</v>
      </c>
      <c r="W54" s="192">
        <v>0</v>
      </c>
      <c r="X54" s="192">
        <v>142296.18145053394</v>
      </c>
      <c r="Y54" s="192">
        <v>139350.12828534583</v>
      </c>
      <c r="Z54" s="192">
        <v>114992.10351888064</v>
      </c>
      <c r="AA54" s="192">
        <v>76119.84673989068</v>
      </c>
      <c r="AB54" s="192">
        <v>0</v>
      </c>
      <c r="AC54" s="192">
        <v>0</v>
      </c>
      <c r="AD54" s="192">
        <v>0</v>
      </c>
      <c r="AE54" s="192">
        <v>61704.740456063322</v>
      </c>
      <c r="AF54" s="192">
        <v>69447.745091744699</v>
      </c>
      <c r="AG54" s="192">
        <v>46206.638473251609</v>
      </c>
      <c r="AH54" s="192">
        <v>41599.644584420923</v>
      </c>
      <c r="AI54" s="192">
        <v>0</v>
      </c>
      <c r="AJ54" s="192">
        <v>0</v>
      </c>
      <c r="AK54" s="192">
        <v>59935.281608739235</v>
      </c>
      <c r="AL54" s="192">
        <v>52320.164076180532</v>
      </c>
    </row>
    <row r="55" spans="2:38">
      <c r="B55" s="122" t="str">
        <v>Cenário 20/03/2025 com IFC</v>
      </c>
      <c r="C55" s="448" t="str">
        <v>Pórticos 1 e 2 (BR-356)</v>
      </c>
      <c r="D55" s="149" t="str">
        <v>3</v>
      </c>
      <c r="E55" s="149" t="str">
        <v>3.7</v>
      </c>
      <c r="F55" s="149">
        <v>1</v>
      </c>
      <c r="G55" s="149">
        <v>0</v>
      </c>
      <c r="H55" s="267" t="str">
        <v>Mobilização e desmobilização (%)</v>
      </c>
      <c r="I55" s="192">
        <v>0</v>
      </c>
      <c r="J55" s="192">
        <v>0</v>
      </c>
      <c r="K55" s="192">
        <v>0</v>
      </c>
      <c r="L55" s="192">
        <v>0</v>
      </c>
      <c r="M55" s="192">
        <v>0</v>
      </c>
      <c r="N55" s="192">
        <v>0</v>
      </c>
      <c r="O55" s="192">
        <v>0</v>
      </c>
      <c r="P55" s="192">
        <v>896.53090720347802</v>
      </c>
      <c r="Q55" s="192">
        <v>349.39265458907653</v>
      </c>
      <c r="R55" s="192">
        <v>1371.0794148551827</v>
      </c>
      <c r="S55" s="192">
        <v>1000.3105018867695</v>
      </c>
      <c r="T55" s="192">
        <v>479.3344502131942</v>
      </c>
      <c r="U55" s="192">
        <v>0</v>
      </c>
      <c r="V55" s="192">
        <v>0</v>
      </c>
      <c r="W55" s="192">
        <v>0</v>
      </c>
      <c r="X55" s="192">
        <v>2662.3156529454741</v>
      </c>
      <c r="Y55" s="192">
        <v>2607.1959485645352</v>
      </c>
      <c r="Z55" s="192">
        <v>2151.4651626113155</v>
      </c>
      <c r="AA55" s="192">
        <v>1424.1777777140837</v>
      </c>
      <c r="AB55" s="192">
        <v>0</v>
      </c>
      <c r="AC55" s="192">
        <v>0</v>
      </c>
      <c r="AD55" s="192">
        <v>0</v>
      </c>
      <c r="AE55" s="192">
        <v>1154.4757891779591</v>
      </c>
      <c r="AF55" s="192">
        <v>1299.3449081681267</v>
      </c>
      <c r="AG55" s="192">
        <v>864.51130046728827</v>
      </c>
      <c r="AH55" s="192">
        <v>778.31593093432696</v>
      </c>
      <c r="AI55" s="192">
        <v>0</v>
      </c>
      <c r="AJ55" s="192">
        <v>0</v>
      </c>
      <c r="AK55" s="192">
        <v>1121.3697849377018</v>
      </c>
      <c r="AL55" s="192">
        <v>978.89339239305514</v>
      </c>
    </row>
    <row r="56" spans="2:38">
      <c r="B56" s="122" t="str">
        <v>Cenário 20/03/2025 com IFC</v>
      </c>
      <c r="C56" s="448" t="str">
        <v>Pórticos 1 e 2 (BR-356)</v>
      </c>
      <c r="D56" s="149" t="str">
        <v>3</v>
      </c>
      <c r="E56" s="149" t="str">
        <v>3.8</v>
      </c>
      <c r="F56" s="149">
        <v>1</v>
      </c>
      <c r="G56" s="149">
        <v>0</v>
      </c>
      <c r="H56" s="267" t="str">
        <v>Projetos (%)</v>
      </c>
      <c r="I56" s="192">
        <v>0</v>
      </c>
      <c r="J56" s="192">
        <v>0</v>
      </c>
      <c r="K56" s="192">
        <v>0</v>
      </c>
      <c r="L56" s="192">
        <v>0</v>
      </c>
      <c r="M56" s="192">
        <v>0</v>
      </c>
      <c r="N56" s="192">
        <v>0</v>
      </c>
      <c r="O56" s="192">
        <v>0</v>
      </c>
      <c r="P56" s="192">
        <v>386435.73586356814</v>
      </c>
      <c r="Q56" s="192">
        <v>150600.28215046402</v>
      </c>
      <c r="R56" s="192">
        <v>590982.50640309602</v>
      </c>
      <c r="S56" s="192">
        <v>431168.31977877999</v>
      </c>
      <c r="T56" s="192">
        <v>206609.67681603201</v>
      </c>
      <c r="U56" s="192">
        <v>0</v>
      </c>
      <c r="V56" s="192">
        <v>0</v>
      </c>
      <c r="W56" s="192">
        <v>0</v>
      </c>
      <c r="X56" s="192">
        <v>1147549.850407532</v>
      </c>
      <c r="Y56" s="192">
        <v>1123791.3571398859</v>
      </c>
      <c r="Z56" s="192">
        <v>927355.67353936005</v>
      </c>
      <c r="AA56" s="192">
        <v>613869.73177331197</v>
      </c>
      <c r="AB56" s="192">
        <v>0</v>
      </c>
      <c r="AC56" s="192">
        <v>0</v>
      </c>
      <c r="AD56" s="192">
        <v>0</v>
      </c>
      <c r="AE56" s="192">
        <v>497618.87464567204</v>
      </c>
      <c r="AF56" s="192">
        <v>560062.46041729604</v>
      </c>
      <c r="AG56" s="192">
        <v>372634.18123590015</v>
      </c>
      <c r="AH56" s="192">
        <v>335481.00471307198</v>
      </c>
      <c r="AI56" s="192">
        <v>0</v>
      </c>
      <c r="AJ56" s="192">
        <v>0</v>
      </c>
      <c r="AK56" s="192">
        <v>483349.04523176805</v>
      </c>
      <c r="AL56" s="192">
        <v>421936.80706597207</v>
      </c>
    </row>
    <row r="57" spans="2:38">
      <c r="B57" s="122" t="str">
        <v>Cenário 20/03/2025 com IFC</v>
      </c>
      <c r="C57" s="448" t="str">
        <v>Pórticos 1 e 2 (BR-356)</v>
      </c>
      <c r="D57" s="149" t="str">
        <v>3</v>
      </c>
      <c r="E57" s="149" t="str">
        <v>3a</v>
      </c>
      <c r="F57" s="149">
        <v>0</v>
      </c>
      <c r="G57" s="149">
        <v>0</v>
      </c>
      <c r="H57" s="267" t="str">
        <v>Manutenção Do Sistema Rodoviário (Contornos)</v>
      </c>
      <c r="I57" s="192">
        <v>0</v>
      </c>
      <c r="J57" s="192">
        <v>0</v>
      </c>
      <c r="K57" s="192">
        <v>0</v>
      </c>
      <c r="L57" s="192">
        <v>0</v>
      </c>
      <c r="M57" s="192">
        <v>0</v>
      </c>
      <c r="N57" s="192">
        <v>0</v>
      </c>
      <c r="O57" s="192">
        <v>0</v>
      </c>
      <c r="P57" s="192">
        <v>0</v>
      </c>
      <c r="Q57" s="192">
        <v>0</v>
      </c>
      <c r="R57" s="192">
        <v>0</v>
      </c>
      <c r="S57" s="192">
        <v>0</v>
      </c>
      <c r="T57" s="192">
        <v>0</v>
      </c>
      <c r="U57" s="192">
        <v>0</v>
      </c>
      <c r="V57" s="192">
        <v>0</v>
      </c>
      <c r="W57" s="192">
        <v>0</v>
      </c>
      <c r="X57" s="192">
        <v>0</v>
      </c>
      <c r="Y57" s="192">
        <v>0</v>
      </c>
      <c r="Z57" s="192">
        <v>0</v>
      </c>
      <c r="AA57" s="192">
        <v>0</v>
      </c>
      <c r="AB57" s="192">
        <v>0</v>
      </c>
      <c r="AC57" s="192">
        <v>0</v>
      </c>
      <c r="AD57" s="192">
        <v>0</v>
      </c>
      <c r="AE57" s="192">
        <v>0</v>
      </c>
      <c r="AF57" s="192">
        <v>0</v>
      </c>
      <c r="AG57" s="192">
        <v>0</v>
      </c>
      <c r="AH57" s="192">
        <v>0</v>
      </c>
      <c r="AI57" s="192">
        <v>0</v>
      </c>
      <c r="AJ57" s="192">
        <v>0</v>
      </c>
      <c r="AK57" s="192">
        <v>0</v>
      </c>
      <c r="AL57" s="192">
        <v>0</v>
      </c>
    </row>
    <row r="58" spans="2:38">
      <c r="B58" s="122" t="str">
        <v>Cenário 20/03/2025 com IFC</v>
      </c>
      <c r="C58" s="448" t="str">
        <v>Pórticos 1 e 2 (BR-356)</v>
      </c>
      <c r="D58" s="149" t="str">
        <v>3</v>
      </c>
      <c r="E58" s="149" t="str">
        <v>3.1</v>
      </c>
      <c r="F58" s="149">
        <v>1</v>
      </c>
      <c r="G58" s="149">
        <v>0</v>
      </c>
      <c r="H58" s="267" t="str">
        <v xml:space="preserve">Pavimento </v>
      </c>
      <c r="I58" s="192">
        <v>0</v>
      </c>
      <c r="J58" s="192">
        <v>0</v>
      </c>
      <c r="K58" s="192">
        <v>0</v>
      </c>
      <c r="L58" s="192">
        <v>0</v>
      </c>
      <c r="M58" s="192">
        <v>0</v>
      </c>
      <c r="N58" s="192">
        <v>0</v>
      </c>
      <c r="O58" s="192">
        <v>0</v>
      </c>
      <c r="P58" s="192">
        <v>0</v>
      </c>
      <c r="Q58" s="192">
        <v>0</v>
      </c>
      <c r="R58" s="192">
        <v>0</v>
      </c>
      <c r="S58" s="192">
        <v>0</v>
      </c>
      <c r="T58" s="192">
        <v>1336736.5583615988</v>
      </c>
      <c r="U58" s="192">
        <v>0</v>
      </c>
      <c r="V58" s="192">
        <v>0</v>
      </c>
      <c r="W58" s="192">
        <v>0</v>
      </c>
      <c r="X58" s="192">
        <v>383724.26399999973</v>
      </c>
      <c r="Y58" s="192">
        <v>0</v>
      </c>
      <c r="Z58" s="192">
        <v>0</v>
      </c>
      <c r="AA58" s="192">
        <v>0</v>
      </c>
      <c r="AB58" s="192">
        <v>1336736.5583615988</v>
      </c>
      <c r="AC58" s="192">
        <v>0</v>
      </c>
      <c r="AD58" s="192">
        <v>0</v>
      </c>
      <c r="AE58" s="192">
        <v>0</v>
      </c>
      <c r="AF58" s="192">
        <v>1460266.8629999987</v>
      </c>
      <c r="AG58" s="192">
        <v>0</v>
      </c>
      <c r="AH58" s="192">
        <v>0</v>
      </c>
      <c r="AI58" s="192">
        <v>0</v>
      </c>
      <c r="AJ58" s="192">
        <v>1336736.5583615988</v>
      </c>
      <c r="AK58" s="192">
        <v>0</v>
      </c>
      <c r="AL58" s="192">
        <v>0</v>
      </c>
    </row>
    <row r="59" spans="2:38">
      <c r="B59" s="122" t="str">
        <v>Cenário 20/03/2025 com IFC</v>
      </c>
      <c r="C59" s="448" t="str">
        <v>Pórticos 1 e 2 (BR-356)</v>
      </c>
      <c r="D59" s="149" t="str">
        <v>3</v>
      </c>
      <c r="E59" s="149" t="str">
        <v>3.2</v>
      </c>
      <c r="F59" s="149">
        <v>1</v>
      </c>
      <c r="G59" s="149">
        <v>0</v>
      </c>
      <c r="H59" s="267" t="str">
        <v>Obras De Arte Especiais</v>
      </c>
      <c r="I59" s="192">
        <v>0</v>
      </c>
      <c r="J59" s="192">
        <v>0</v>
      </c>
      <c r="K59" s="192">
        <v>0</v>
      </c>
      <c r="L59" s="192">
        <v>0</v>
      </c>
      <c r="M59" s="192">
        <v>0</v>
      </c>
      <c r="N59" s="192">
        <v>0</v>
      </c>
      <c r="O59" s="192">
        <v>0</v>
      </c>
      <c r="P59" s="192">
        <v>0</v>
      </c>
      <c r="Q59" s="192">
        <v>0</v>
      </c>
      <c r="R59" s="192">
        <v>0</v>
      </c>
      <c r="S59" s="192">
        <v>0</v>
      </c>
      <c r="T59" s="192">
        <v>0</v>
      </c>
      <c r="U59" s="192">
        <v>0</v>
      </c>
      <c r="V59" s="192">
        <v>0</v>
      </c>
      <c r="W59" s="192">
        <v>0</v>
      </c>
      <c r="X59" s="192">
        <v>0</v>
      </c>
      <c r="Y59" s="192">
        <v>0</v>
      </c>
      <c r="Z59" s="192">
        <v>0</v>
      </c>
      <c r="AA59" s="192">
        <v>0</v>
      </c>
      <c r="AB59" s="192">
        <v>0</v>
      </c>
      <c r="AC59" s="192">
        <v>0</v>
      </c>
      <c r="AD59" s="192">
        <v>0</v>
      </c>
      <c r="AE59" s="192">
        <v>0</v>
      </c>
      <c r="AF59" s="192">
        <v>0</v>
      </c>
      <c r="AG59" s="192">
        <v>0</v>
      </c>
      <c r="AH59" s="192">
        <v>0</v>
      </c>
      <c r="AI59" s="192">
        <v>0</v>
      </c>
      <c r="AJ59" s="192">
        <v>0</v>
      </c>
      <c r="AK59" s="192">
        <v>0</v>
      </c>
      <c r="AL59" s="192">
        <v>0</v>
      </c>
    </row>
    <row r="60" spans="2:38">
      <c r="B60" s="122" t="str">
        <v>Cenário 20/03/2025 com IFC</v>
      </c>
      <c r="C60" s="448" t="str">
        <v>Pórticos 1 e 2 (BR-356)</v>
      </c>
      <c r="D60" s="149" t="str">
        <v>3</v>
      </c>
      <c r="E60" s="149" t="str">
        <v>3.3</v>
      </c>
      <c r="F60" s="149">
        <v>1</v>
      </c>
      <c r="G60" s="149">
        <v>0</v>
      </c>
      <c r="H60" s="267" t="str">
        <v>Drenagem E Obras De Arte Correntes</v>
      </c>
      <c r="I60" s="192">
        <v>0</v>
      </c>
      <c r="J60" s="192">
        <v>0</v>
      </c>
      <c r="K60" s="192">
        <v>0</v>
      </c>
      <c r="L60" s="192">
        <v>0</v>
      </c>
      <c r="M60" s="192">
        <v>0</v>
      </c>
      <c r="N60" s="192">
        <v>0</v>
      </c>
      <c r="O60" s="192">
        <v>0</v>
      </c>
      <c r="P60" s="192">
        <v>0</v>
      </c>
      <c r="Q60" s="192">
        <v>0</v>
      </c>
      <c r="R60" s="192">
        <v>0</v>
      </c>
      <c r="S60" s="192">
        <v>0</v>
      </c>
      <c r="T60" s="192">
        <v>0</v>
      </c>
      <c r="U60" s="192">
        <v>0</v>
      </c>
      <c r="V60" s="192">
        <v>0</v>
      </c>
      <c r="W60" s="192">
        <v>0</v>
      </c>
      <c r="X60" s="192">
        <v>0</v>
      </c>
      <c r="Y60" s="192">
        <v>0</v>
      </c>
      <c r="Z60" s="192">
        <v>0</v>
      </c>
      <c r="AA60" s="192">
        <v>0</v>
      </c>
      <c r="AB60" s="192">
        <v>0</v>
      </c>
      <c r="AC60" s="192">
        <v>0</v>
      </c>
      <c r="AD60" s="192">
        <v>0</v>
      </c>
      <c r="AE60" s="192">
        <v>0</v>
      </c>
      <c r="AF60" s="192">
        <v>0</v>
      </c>
      <c r="AG60" s="192">
        <v>0</v>
      </c>
      <c r="AH60" s="192">
        <v>0</v>
      </c>
      <c r="AI60" s="192">
        <v>0</v>
      </c>
      <c r="AJ60" s="192">
        <v>0</v>
      </c>
      <c r="AK60" s="192">
        <v>0</v>
      </c>
      <c r="AL60" s="192">
        <v>0</v>
      </c>
    </row>
    <row r="61" spans="2:38">
      <c r="B61" s="122" t="str">
        <v>Cenário 20/03/2025 com IFC</v>
      </c>
      <c r="C61" s="448" t="str">
        <v>Pórticos 1 e 2 (BR-356)</v>
      </c>
      <c r="D61" s="149" t="str">
        <v>3</v>
      </c>
      <c r="E61" s="149" t="str">
        <v>3.4</v>
      </c>
      <c r="F61" s="149">
        <v>1</v>
      </c>
      <c r="G61" s="149">
        <v>0</v>
      </c>
      <c r="H61" s="267" t="str">
        <v xml:space="preserve">Sinalização E Dispositivos De Proteção E Segurança </v>
      </c>
      <c r="I61" s="192">
        <v>0</v>
      </c>
      <c r="J61" s="192">
        <v>0</v>
      </c>
      <c r="K61" s="192">
        <v>0</v>
      </c>
      <c r="L61" s="192">
        <v>0</v>
      </c>
      <c r="M61" s="192">
        <v>0</v>
      </c>
      <c r="N61" s="192">
        <v>0</v>
      </c>
      <c r="O61" s="192">
        <v>0</v>
      </c>
      <c r="P61" s="192">
        <v>0</v>
      </c>
      <c r="Q61" s="192">
        <v>0</v>
      </c>
      <c r="R61" s="192">
        <v>0</v>
      </c>
      <c r="S61" s="192">
        <v>0</v>
      </c>
      <c r="T61" s="192">
        <v>92216.024999999921</v>
      </c>
      <c r="U61" s="192">
        <v>0</v>
      </c>
      <c r="V61" s="192">
        <v>0</v>
      </c>
      <c r="W61" s="192">
        <v>0</v>
      </c>
      <c r="X61" s="192">
        <v>0</v>
      </c>
      <c r="Y61" s="192">
        <v>0</v>
      </c>
      <c r="Z61" s="192">
        <v>0</v>
      </c>
      <c r="AA61" s="192">
        <v>0</v>
      </c>
      <c r="AB61" s="192">
        <v>92216.024999999921</v>
      </c>
      <c r="AC61" s="192">
        <v>0</v>
      </c>
      <c r="AD61" s="192">
        <v>0</v>
      </c>
      <c r="AE61" s="192">
        <v>0</v>
      </c>
      <c r="AF61" s="192">
        <v>0</v>
      </c>
      <c r="AG61" s="192">
        <v>0</v>
      </c>
      <c r="AH61" s="192">
        <v>0</v>
      </c>
      <c r="AI61" s="192">
        <v>0</v>
      </c>
      <c r="AJ61" s="192">
        <v>92216.024999999921</v>
      </c>
      <c r="AK61" s="192">
        <v>0</v>
      </c>
      <c r="AL61" s="192">
        <v>0</v>
      </c>
    </row>
    <row r="62" spans="2:38">
      <c r="B62" s="122" t="str">
        <v>Cenário 20/03/2025 com IFC</v>
      </c>
      <c r="C62" s="448" t="str">
        <v>Pórticos 1 e 2 (BR-356)</v>
      </c>
      <c r="D62" s="149" t="str">
        <v>3</v>
      </c>
      <c r="E62" s="149" t="str">
        <v>3.7</v>
      </c>
      <c r="F62" s="149">
        <v>1</v>
      </c>
      <c r="G62" s="149">
        <v>0</v>
      </c>
      <c r="H62" s="267" t="str">
        <v>Administração local (%)</v>
      </c>
      <c r="I62" s="192">
        <v>0</v>
      </c>
      <c r="J62" s="192">
        <v>0</v>
      </c>
      <c r="K62" s="192">
        <v>0</v>
      </c>
      <c r="L62" s="192">
        <v>0</v>
      </c>
      <c r="M62" s="192">
        <v>0</v>
      </c>
      <c r="N62" s="192">
        <v>0</v>
      </c>
      <c r="O62" s="192">
        <v>0</v>
      </c>
      <c r="P62" s="192">
        <v>0</v>
      </c>
      <c r="Q62" s="192">
        <v>0</v>
      </c>
      <c r="R62" s="192">
        <v>0</v>
      </c>
      <c r="S62" s="192">
        <v>0</v>
      </c>
      <c r="T62" s="192">
        <v>17576.116775347662</v>
      </c>
      <c r="U62" s="192">
        <v>0</v>
      </c>
      <c r="V62" s="192">
        <v>0</v>
      </c>
      <c r="W62" s="192">
        <v>0</v>
      </c>
      <c r="X62" s="192">
        <v>4719.8084471999964</v>
      </c>
      <c r="Y62" s="192">
        <v>0</v>
      </c>
      <c r="Z62" s="192">
        <v>0</v>
      </c>
      <c r="AA62" s="192">
        <v>0</v>
      </c>
      <c r="AB62" s="192">
        <v>17576.116775347662</v>
      </c>
      <c r="AC62" s="192">
        <v>0</v>
      </c>
      <c r="AD62" s="192">
        <v>0</v>
      </c>
      <c r="AE62" s="192">
        <v>0</v>
      </c>
      <c r="AF62" s="192">
        <v>17961.282414899986</v>
      </c>
      <c r="AG62" s="192">
        <v>0</v>
      </c>
      <c r="AH62" s="192">
        <v>0</v>
      </c>
      <c r="AI62" s="192">
        <v>0</v>
      </c>
      <c r="AJ62" s="192">
        <v>17576.116775347662</v>
      </c>
      <c r="AK62" s="192">
        <v>0</v>
      </c>
      <c r="AL62" s="192">
        <v>0</v>
      </c>
    </row>
    <row r="63" spans="2:38">
      <c r="B63" s="122" t="str">
        <v>Cenário 20/03/2025 com IFC</v>
      </c>
      <c r="C63" s="448" t="str">
        <v>Pórticos 1 e 2 (BR-356)</v>
      </c>
      <c r="D63" s="149" t="str">
        <v>3</v>
      </c>
      <c r="E63" s="149" t="str">
        <v>3.8</v>
      </c>
      <c r="F63" s="149">
        <v>1</v>
      </c>
      <c r="G63" s="149">
        <v>0</v>
      </c>
      <c r="H63" s="267" t="str">
        <v>Canteiro de obras (%)</v>
      </c>
      <c r="I63" s="192">
        <v>0</v>
      </c>
      <c r="J63" s="192">
        <v>0</v>
      </c>
      <c r="K63" s="192">
        <v>0</v>
      </c>
      <c r="L63" s="192">
        <v>0</v>
      </c>
      <c r="M63" s="192">
        <v>0</v>
      </c>
      <c r="N63" s="192">
        <v>0</v>
      </c>
      <c r="O63" s="192">
        <v>0</v>
      </c>
      <c r="P63" s="192">
        <v>0</v>
      </c>
      <c r="Q63" s="192">
        <v>0</v>
      </c>
      <c r="R63" s="192">
        <v>0</v>
      </c>
      <c r="S63" s="192">
        <v>0</v>
      </c>
      <c r="T63" s="192">
        <v>4429.7530084209557</v>
      </c>
      <c r="U63" s="192">
        <v>0</v>
      </c>
      <c r="V63" s="192">
        <v>0</v>
      </c>
      <c r="W63" s="192">
        <v>0</v>
      </c>
      <c r="X63" s="192">
        <v>1189.5452183999992</v>
      </c>
      <c r="Y63" s="192">
        <v>0</v>
      </c>
      <c r="Z63" s="192">
        <v>0</v>
      </c>
      <c r="AA63" s="192">
        <v>0</v>
      </c>
      <c r="AB63" s="192">
        <v>4429.7530084209557</v>
      </c>
      <c r="AC63" s="192">
        <v>0</v>
      </c>
      <c r="AD63" s="192">
        <v>0</v>
      </c>
      <c r="AE63" s="192">
        <v>0</v>
      </c>
      <c r="AF63" s="192">
        <v>4526.8272752999956</v>
      </c>
      <c r="AG63" s="192">
        <v>0</v>
      </c>
      <c r="AH63" s="192">
        <v>0</v>
      </c>
      <c r="AI63" s="192">
        <v>0</v>
      </c>
      <c r="AJ63" s="192">
        <v>4429.7530084209557</v>
      </c>
      <c r="AK63" s="192">
        <v>0</v>
      </c>
      <c r="AL63" s="192">
        <v>0</v>
      </c>
    </row>
    <row r="64" spans="2:38">
      <c r="B64" s="122" t="str">
        <v>Cenário 20/03/2025 com IFC</v>
      </c>
      <c r="C64" s="448" t="str">
        <v>Pórticos 1 e 2 (BR-356)</v>
      </c>
      <c r="D64" s="149" t="str">
        <v>3</v>
      </c>
      <c r="E64" s="149" t="str">
        <v>3.9</v>
      </c>
      <c r="F64" s="149">
        <v>1</v>
      </c>
      <c r="G64" s="149">
        <v>0</v>
      </c>
      <c r="H64" s="267" t="str">
        <v>Mobilização e desmobilização (%)</v>
      </c>
      <c r="I64" s="192">
        <v>0</v>
      </c>
      <c r="J64" s="192">
        <v>0</v>
      </c>
      <c r="K64" s="192">
        <v>0</v>
      </c>
      <c r="L64" s="192">
        <v>0</v>
      </c>
      <c r="M64" s="192">
        <v>0</v>
      </c>
      <c r="N64" s="192">
        <v>0</v>
      </c>
      <c r="O64" s="192">
        <v>0</v>
      </c>
      <c r="P64" s="192">
        <v>0</v>
      </c>
      <c r="Q64" s="192">
        <v>0</v>
      </c>
      <c r="R64" s="192">
        <v>0</v>
      </c>
      <c r="S64" s="192">
        <v>0</v>
      </c>
      <c r="T64" s="192">
        <v>82.879249834972725</v>
      </c>
      <c r="U64" s="192">
        <v>0</v>
      </c>
      <c r="V64" s="192">
        <v>0</v>
      </c>
      <c r="W64" s="192">
        <v>0</v>
      </c>
      <c r="X64" s="192">
        <v>22.256007311999984</v>
      </c>
      <c r="Y64" s="192">
        <v>0</v>
      </c>
      <c r="Z64" s="192">
        <v>0</v>
      </c>
      <c r="AA64" s="192">
        <v>0</v>
      </c>
      <c r="AB64" s="192">
        <v>82.879249834972725</v>
      </c>
      <c r="AC64" s="192">
        <v>0</v>
      </c>
      <c r="AD64" s="192">
        <v>0</v>
      </c>
      <c r="AE64" s="192">
        <v>0</v>
      </c>
      <c r="AF64" s="192">
        <v>84.695478053999921</v>
      </c>
      <c r="AG64" s="192">
        <v>0</v>
      </c>
      <c r="AH64" s="192">
        <v>0</v>
      </c>
      <c r="AI64" s="192">
        <v>0</v>
      </c>
      <c r="AJ64" s="192">
        <v>82.879249834972725</v>
      </c>
      <c r="AK64" s="192">
        <v>0</v>
      </c>
      <c r="AL64" s="192">
        <v>0</v>
      </c>
    </row>
    <row r="65" spans="2:38">
      <c r="B65" s="122" t="str">
        <v>Cenário 20/03/2025 com IFC</v>
      </c>
      <c r="C65" s="448" t="str">
        <v>Pórticos 1 e 2 (BR-356)</v>
      </c>
      <c r="D65" s="149" t="str">
        <v>3</v>
      </c>
      <c r="E65" s="149" t="str">
        <v>3.10</v>
      </c>
      <c r="F65" s="149">
        <v>1</v>
      </c>
      <c r="G65" s="149">
        <v>0</v>
      </c>
      <c r="H65" s="267" t="str">
        <v>Projetos (%)</v>
      </c>
      <c r="I65" s="192">
        <v>0</v>
      </c>
      <c r="J65" s="192">
        <v>0</v>
      </c>
      <c r="K65" s="192">
        <v>0</v>
      </c>
      <c r="L65" s="192">
        <v>0</v>
      </c>
      <c r="M65" s="192">
        <v>0</v>
      </c>
      <c r="N65" s="192">
        <v>0</v>
      </c>
      <c r="O65" s="192">
        <v>0</v>
      </c>
      <c r="P65" s="192">
        <v>0</v>
      </c>
      <c r="Q65" s="192">
        <v>0</v>
      </c>
      <c r="R65" s="192">
        <v>0</v>
      </c>
      <c r="S65" s="192">
        <v>0</v>
      </c>
      <c r="T65" s="192">
        <v>35723.814584039967</v>
      </c>
      <c r="U65" s="192">
        <v>0</v>
      </c>
      <c r="V65" s="192">
        <v>0</v>
      </c>
      <c r="W65" s="192">
        <v>0</v>
      </c>
      <c r="X65" s="192">
        <v>9593.1065999999937</v>
      </c>
      <c r="Y65" s="192">
        <v>0</v>
      </c>
      <c r="Z65" s="192">
        <v>0</v>
      </c>
      <c r="AA65" s="192">
        <v>0</v>
      </c>
      <c r="AB65" s="192">
        <v>35723.814584039967</v>
      </c>
      <c r="AC65" s="192">
        <v>0</v>
      </c>
      <c r="AD65" s="192">
        <v>0</v>
      </c>
      <c r="AE65" s="192">
        <v>0</v>
      </c>
      <c r="AF65" s="192">
        <v>36506.671574999971</v>
      </c>
      <c r="AG65" s="192">
        <v>0</v>
      </c>
      <c r="AH65" s="192">
        <v>0</v>
      </c>
      <c r="AI65" s="192">
        <v>0</v>
      </c>
      <c r="AJ65" s="192">
        <v>35723.814584039967</v>
      </c>
      <c r="AK65" s="192">
        <v>0</v>
      </c>
      <c r="AL65" s="192">
        <v>0</v>
      </c>
    </row>
    <row r="66" spans="2:38">
      <c r="B66" s="122" t="str">
        <v>Cenário 20/03/2025 com IFC</v>
      </c>
      <c r="C66" s="448" t="str">
        <v>Pórtico 3 (MG-262)</v>
      </c>
      <c r="D66" s="149" t="str">
        <v>1</v>
      </c>
      <c r="E66" s="149">
        <v>1</v>
      </c>
      <c r="F66" s="149">
        <v>0</v>
      </c>
      <c r="G66" s="149">
        <v>0</v>
      </c>
      <c r="H66" s="267" t="str">
        <v>Trabalhos iniciais</v>
      </c>
      <c r="I66" s="192">
        <v>0</v>
      </c>
      <c r="J66" s="192">
        <v>0</v>
      </c>
      <c r="K66" s="192">
        <v>0</v>
      </c>
      <c r="L66" s="192">
        <v>0</v>
      </c>
      <c r="M66" s="192">
        <v>0</v>
      </c>
      <c r="N66" s="192">
        <v>0</v>
      </c>
      <c r="O66" s="192">
        <v>0</v>
      </c>
      <c r="P66" s="192">
        <v>0</v>
      </c>
      <c r="Q66" s="192">
        <v>0</v>
      </c>
      <c r="R66" s="192">
        <v>0</v>
      </c>
      <c r="S66" s="192">
        <v>0</v>
      </c>
      <c r="T66" s="192">
        <v>0</v>
      </c>
      <c r="U66" s="192">
        <v>0</v>
      </c>
      <c r="V66" s="192">
        <v>0</v>
      </c>
      <c r="W66" s="192">
        <v>0</v>
      </c>
      <c r="X66" s="192">
        <v>0</v>
      </c>
      <c r="Y66" s="192">
        <v>0</v>
      </c>
      <c r="Z66" s="192">
        <v>0</v>
      </c>
      <c r="AA66" s="192">
        <v>0</v>
      </c>
      <c r="AB66" s="192">
        <v>0</v>
      </c>
      <c r="AC66" s="192">
        <v>0</v>
      </c>
      <c r="AD66" s="192">
        <v>0</v>
      </c>
      <c r="AE66" s="192">
        <v>0</v>
      </c>
      <c r="AF66" s="192">
        <v>0</v>
      </c>
      <c r="AG66" s="192">
        <v>0</v>
      </c>
      <c r="AH66" s="192">
        <v>0</v>
      </c>
      <c r="AI66" s="192">
        <v>0</v>
      </c>
      <c r="AJ66" s="192">
        <v>0</v>
      </c>
      <c r="AK66" s="192">
        <v>0</v>
      </c>
      <c r="AL66" s="192">
        <v>0</v>
      </c>
    </row>
    <row r="67" spans="2:38">
      <c r="B67" s="122" t="str">
        <v>Cenário 20/03/2025 com IFC</v>
      </c>
      <c r="C67" s="448" t="str">
        <v>Pórtico 3 (MG-262)</v>
      </c>
      <c r="D67" s="149" t="str">
        <v>1</v>
      </c>
      <c r="E67" s="149" t="str">
        <v>1.1</v>
      </c>
      <c r="F67" s="149">
        <v>1</v>
      </c>
      <c r="G67" s="149">
        <v>0</v>
      </c>
      <c r="H67" s="267" t="str">
        <v>Pavimento</v>
      </c>
      <c r="I67" s="192">
        <v>60736869.311251029</v>
      </c>
      <c r="J67" s="192">
        <v>0</v>
      </c>
      <c r="K67" s="192">
        <v>0</v>
      </c>
      <c r="L67" s="192">
        <v>0</v>
      </c>
      <c r="M67" s="192">
        <v>0</v>
      </c>
      <c r="N67" s="192">
        <v>0</v>
      </c>
      <c r="O67" s="192">
        <v>0</v>
      </c>
      <c r="P67" s="192">
        <v>0</v>
      </c>
      <c r="Q67" s="192">
        <v>0</v>
      </c>
      <c r="R67" s="192">
        <v>0</v>
      </c>
      <c r="S67" s="192">
        <v>0</v>
      </c>
      <c r="T67" s="192">
        <v>0</v>
      </c>
      <c r="U67" s="192">
        <v>0</v>
      </c>
      <c r="V67" s="192">
        <v>0</v>
      </c>
      <c r="W67" s="192">
        <v>0</v>
      </c>
      <c r="X67" s="192">
        <v>0</v>
      </c>
      <c r="Y67" s="192">
        <v>0</v>
      </c>
      <c r="Z67" s="192">
        <v>0</v>
      </c>
      <c r="AA67" s="192">
        <v>0</v>
      </c>
      <c r="AB67" s="192">
        <v>0</v>
      </c>
      <c r="AC67" s="192">
        <v>0</v>
      </c>
      <c r="AD67" s="192">
        <v>0</v>
      </c>
      <c r="AE67" s="192">
        <v>0</v>
      </c>
      <c r="AF67" s="192">
        <v>0</v>
      </c>
      <c r="AG67" s="192">
        <v>0</v>
      </c>
      <c r="AH67" s="192">
        <v>0</v>
      </c>
      <c r="AI67" s="192">
        <v>0</v>
      </c>
      <c r="AJ67" s="192">
        <v>0</v>
      </c>
      <c r="AK67" s="192">
        <v>0</v>
      </c>
      <c r="AL67" s="192">
        <v>0</v>
      </c>
    </row>
    <row r="68" spans="2:38">
      <c r="B68" s="122" t="str">
        <v>Cenário 20/03/2025 com IFC</v>
      </c>
      <c r="C68" s="448" t="str">
        <v>Pórtico 3 (MG-262)</v>
      </c>
      <c r="D68" s="149" t="str">
        <v>1</v>
      </c>
      <c r="E68" s="149" t="str">
        <v>1.2</v>
      </c>
      <c r="F68" s="149">
        <v>1</v>
      </c>
      <c r="G68" s="149">
        <v>0</v>
      </c>
      <c r="H68" s="267" t="str">
        <v>Obras de arte especiais</v>
      </c>
      <c r="I68" s="192">
        <v>2029907.5349227323</v>
      </c>
      <c r="J68" s="192">
        <v>0</v>
      </c>
      <c r="K68" s="192">
        <v>0</v>
      </c>
      <c r="L68" s="192">
        <v>0</v>
      </c>
      <c r="M68" s="192">
        <v>0</v>
      </c>
      <c r="N68" s="192">
        <v>0</v>
      </c>
      <c r="O68" s="192">
        <v>0</v>
      </c>
      <c r="P68" s="192">
        <v>0</v>
      </c>
      <c r="Q68" s="192">
        <v>0</v>
      </c>
      <c r="R68" s="192">
        <v>0</v>
      </c>
      <c r="S68" s="192">
        <v>0</v>
      </c>
      <c r="T68" s="192">
        <v>0</v>
      </c>
      <c r="U68" s="192">
        <v>0</v>
      </c>
      <c r="V68" s="192">
        <v>0</v>
      </c>
      <c r="W68" s="192">
        <v>0</v>
      </c>
      <c r="X68" s="192">
        <v>0</v>
      </c>
      <c r="Y68" s="192">
        <v>0</v>
      </c>
      <c r="Z68" s="192">
        <v>0</v>
      </c>
      <c r="AA68" s="192">
        <v>0</v>
      </c>
      <c r="AB68" s="192">
        <v>0</v>
      </c>
      <c r="AC68" s="192">
        <v>0</v>
      </c>
      <c r="AD68" s="192">
        <v>0</v>
      </c>
      <c r="AE68" s="192">
        <v>0</v>
      </c>
      <c r="AF68" s="192">
        <v>0</v>
      </c>
      <c r="AG68" s="192">
        <v>0</v>
      </c>
      <c r="AH68" s="192">
        <v>0</v>
      </c>
      <c r="AI68" s="192">
        <v>0</v>
      </c>
      <c r="AJ68" s="192">
        <v>0</v>
      </c>
      <c r="AK68" s="192">
        <v>0</v>
      </c>
      <c r="AL68" s="192">
        <v>0</v>
      </c>
    </row>
    <row r="69" spans="2:38">
      <c r="B69" s="122" t="str">
        <v>Cenário 20/03/2025 com IFC</v>
      </c>
      <c r="C69" s="448" t="str">
        <v>Pórtico 3 (MG-262)</v>
      </c>
      <c r="D69" s="149" t="str">
        <v>1</v>
      </c>
      <c r="E69" s="149" t="str">
        <v>1.3</v>
      </c>
      <c r="F69" s="149">
        <v>1</v>
      </c>
      <c r="G69" s="149">
        <v>0</v>
      </c>
      <c r="H69" s="267" t="str">
        <v>Drenagem e obras de arte correntes</v>
      </c>
      <c r="I69" s="192">
        <v>2065431.2119534635</v>
      </c>
      <c r="J69" s="192">
        <v>0</v>
      </c>
      <c r="K69" s="192">
        <v>0</v>
      </c>
      <c r="L69" s="192">
        <v>0</v>
      </c>
      <c r="M69" s="192">
        <v>0</v>
      </c>
      <c r="N69" s="192">
        <v>0</v>
      </c>
      <c r="O69" s="192">
        <v>0</v>
      </c>
      <c r="P69" s="192">
        <v>0</v>
      </c>
      <c r="Q69" s="192">
        <v>0</v>
      </c>
      <c r="R69" s="192">
        <v>0</v>
      </c>
      <c r="S69" s="192">
        <v>0</v>
      </c>
      <c r="T69" s="192">
        <v>0</v>
      </c>
      <c r="U69" s="192">
        <v>0</v>
      </c>
      <c r="V69" s="192">
        <v>0</v>
      </c>
      <c r="W69" s="192">
        <v>0</v>
      </c>
      <c r="X69" s="192">
        <v>0</v>
      </c>
      <c r="Y69" s="192">
        <v>0</v>
      </c>
      <c r="Z69" s="192">
        <v>0</v>
      </c>
      <c r="AA69" s="192">
        <v>0</v>
      </c>
      <c r="AB69" s="192">
        <v>0</v>
      </c>
      <c r="AC69" s="192">
        <v>0</v>
      </c>
      <c r="AD69" s="192">
        <v>0</v>
      </c>
      <c r="AE69" s="192">
        <v>0</v>
      </c>
      <c r="AF69" s="192">
        <v>0</v>
      </c>
      <c r="AG69" s="192">
        <v>0</v>
      </c>
      <c r="AH69" s="192">
        <v>0</v>
      </c>
      <c r="AI69" s="192">
        <v>0</v>
      </c>
      <c r="AJ69" s="192">
        <v>0</v>
      </c>
      <c r="AK69" s="192">
        <v>0</v>
      </c>
      <c r="AL69" s="192">
        <v>0</v>
      </c>
    </row>
    <row r="70" spans="2:38">
      <c r="B70" s="122" t="str">
        <v>Cenário 20/03/2025 com IFC</v>
      </c>
      <c r="C70" s="448" t="str">
        <v>Pórtico 3 (MG-262)</v>
      </c>
      <c r="D70" s="149" t="str">
        <v>1</v>
      </c>
      <c r="E70" s="149" t="str">
        <v>1.4</v>
      </c>
      <c r="F70" s="149">
        <v>1</v>
      </c>
      <c r="G70" s="149">
        <v>0</v>
      </c>
      <c r="H70" s="267" t="str">
        <v xml:space="preserve">Sinalização e dispositivos de proteção e segurança </v>
      </c>
      <c r="I70" s="192">
        <v>7276110.6179859452</v>
      </c>
      <c r="J70" s="192">
        <v>0</v>
      </c>
      <c r="K70" s="192">
        <v>0</v>
      </c>
      <c r="L70" s="192">
        <v>0</v>
      </c>
      <c r="M70" s="192">
        <v>0</v>
      </c>
      <c r="N70" s="192">
        <v>0</v>
      </c>
      <c r="O70" s="192">
        <v>0</v>
      </c>
      <c r="P70" s="192">
        <v>0</v>
      </c>
      <c r="Q70" s="192">
        <v>0</v>
      </c>
      <c r="R70" s="192">
        <v>0</v>
      </c>
      <c r="S70" s="192">
        <v>0</v>
      </c>
      <c r="T70" s="192">
        <v>0</v>
      </c>
      <c r="U70" s="192">
        <v>0</v>
      </c>
      <c r="V70" s="192">
        <v>0</v>
      </c>
      <c r="W70" s="192">
        <v>0</v>
      </c>
      <c r="X70" s="192">
        <v>0</v>
      </c>
      <c r="Y70" s="192">
        <v>0</v>
      </c>
      <c r="Z70" s="192">
        <v>0</v>
      </c>
      <c r="AA70" s="192">
        <v>0</v>
      </c>
      <c r="AB70" s="192">
        <v>0</v>
      </c>
      <c r="AC70" s="192">
        <v>0</v>
      </c>
      <c r="AD70" s="192">
        <v>0</v>
      </c>
      <c r="AE70" s="192">
        <v>0</v>
      </c>
      <c r="AF70" s="192">
        <v>0</v>
      </c>
      <c r="AG70" s="192">
        <v>0</v>
      </c>
      <c r="AH70" s="192">
        <v>0</v>
      </c>
      <c r="AI70" s="192">
        <v>0</v>
      </c>
      <c r="AJ70" s="192">
        <v>0</v>
      </c>
      <c r="AK70" s="192">
        <v>0</v>
      </c>
      <c r="AL70" s="192">
        <v>0</v>
      </c>
    </row>
    <row r="71" spans="2:38">
      <c r="B71" s="122" t="str">
        <v>Cenário 20/03/2025 com IFC</v>
      </c>
      <c r="C71" s="448" t="str">
        <v>Pórtico 3 (MG-262)</v>
      </c>
      <c r="D71" s="149" t="str">
        <v>1</v>
      </c>
      <c r="E71" s="149" t="str">
        <v>1.5</v>
      </c>
      <c r="F71" s="149">
        <v>1</v>
      </c>
      <c r="G71" s="149">
        <v>0</v>
      </c>
      <c r="H71" s="267" t="str">
        <v>Terraplenos e estrutura de contenção</v>
      </c>
      <c r="I71" s="192">
        <v>0</v>
      </c>
      <c r="J71" s="192">
        <v>0</v>
      </c>
      <c r="K71" s="192">
        <v>0</v>
      </c>
      <c r="L71" s="192">
        <v>0</v>
      </c>
      <c r="M71" s="192">
        <v>0</v>
      </c>
      <c r="N71" s="192">
        <v>0</v>
      </c>
      <c r="O71" s="192">
        <v>0</v>
      </c>
      <c r="P71" s="192">
        <v>0</v>
      </c>
      <c r="Q71" s="192">
        <v>0</v>
      </c>
      <c r="R71" s="192">
        <v>0</v>
      </c>
      <c r="S71" s="192">
        <v>0</v>
      </c>
      <c r="T71" s="192">
        <v>0</v>
      </c>
      <c r="U71" s="192">
        <v>0</v>
      </c>
      <c r="V71" s="192">
        <v>0</v>
      </c>
      <c r="W71" s="192">
        <v>0</v>
      </c>
      <c r="X71" s="192">
        <v>0</v>
      </c>
      <c r="Y71" s="192">
        <v>0</v>
      </c>
      <c r="Z71" s="192">
        <v>0</v>
      </c>
      <c r="AA71" s="192">
        <v>0</v>
      </c>
      <c r="AB71" s="192">
        <v>0</v>
      </c>
      <c r="AC71" s="192">
        <v>0</v>
      </c>
      <c r="AD71" s="192">
        <v>0</v>
      </c>
      <c r="AE71" s="192">
        <v>0</v>
      </c>
      <c r="AF71" s="192">
        <v>0</v>
      </c>
      <c r="AG71" s="192">
        <v>0</v>
      </c>
      <c r="AH71" s="192">
        <v>0</v>
      </c>
      <c r="AI71" s="192">
        <v>0</v>
      </c>
      <c r="AJ71" s="192">
        <v>0</v>
      </c>
      <c r="AK71" s="192">
        <v>0</v>
      </c>
      <c r="AL71" s="192">
        <v>0</v>
      </c>
    </row>
    <row r="72" spans="2:38">
      <c r="B72" s="122" t="str">
        <v>Cenário 20/03/2025 com IFC</v>
      </c>
      <c r="C72" s="448" t="str">
        <v>Pórtico 3 (MG-262)</v>
      </c>
      <c r="D72" s="149" t="str">
        <v>1</v>
      </c>
      <c r="E72" s="149" t="str">
        <v>1.6</v>
      </c>
      <c r="F72" s="149">
        <v>1</v>
      </c>
      <c r="G72" s="149">
        <v>0</v>
      </c>
      <c r="H72" s="267" t="str">
        <v>Sistemas elétricos e de iluminação</v>
      </c>
      <c r="I72" s="192">
        <v>71828.396397195451</v>
      </c>
      <c r="J72" s="192">
        <v>0</v>
      </c>
      <c r="K72" s="192">
        <v>0</v>
      </c>
      <c r="L72" s="192">
        <v>0</v>
      </c>
      <c r="M72" s="192">
        <v>0</v>
      </c>
      <c r="N72" s="192">
        <v>0</v>
      </c>
      <c r="O72" s="192">
        <v>0</v>
      </c>
      <c r="P72" s="192">
        <v>0</v>
      </c>
      <c r="Q72" s="192">
        <v>0</v>
      </c>
      <c r="R72" s="192">
        <v>0</v>
      </c>
      <c r="S72" s="192">
        <v>0</v>
      </c>
      <c r="T72" s="192">
        <v>0</v>
      </c>
      <c r="U72" s="192">
        <v>0</v>
      </c>
      <c r="V72" s="192">
        <v>0</v>
      </c>
      <c r="W72" s="192">
        <v>0</v>
      </c>
      <c r="X72" s="192">
        <v>0</v>
      </c>
      <c r="Y72" s="192">
        <v>0</v>
      </c>
      <c r="Z72" s="192">
        <v>0</v>
      </c>
      <c r="AA72" s="192">
        <v>0</v>
      </c>
      <c r="AB72" s="192">
        <v>0</v>
      </c>
      <c r="AC72" s="192">
        <v>0</v>
      </c>
      <c r="AD72" s="192">
        <v>0</v>
      </c>
      <c r="AE72" s="192">
        <v>0</v>
      </c>
      <c r="AF72" s="192">
        <v>0</v>
      </c>
      <c r="AG72" s="192">
        <v>0</v>
      </c>
      <c r="AH72" s="192">
        <v>0</v>
      </c>
      <c r="AI72" s="192">
        <v>0</v>
      </c>
      <c r="AJ72" s="192">
        <v>0</v>
      </c>
      <c r="AK72" s="192">
        <v>0</v>
      </c>
      <c r="AL72" s="192">
        <v>0</v>
      </c>
    </row>
    <row r="73" spans="2:38">
      <c r="B73" s="122" t="str">
        <v>Cenário 20/03/2025 com IFC</v>
      </c>
      <c r="C73" s="448" t="str">
        <v>Pórtico 3 (MG-262)</v>
      </c>
      <c r="D73" s="149" t="str">
        <v>1</v>
      </c>
      <c r="E73" s="149" t="str">
        <v>1.7</v>
      </c>
      <c r="F73" s="149">
        <v>1</v>
      </c>
      <c r="G73" s="149">
        <v>0</v>
      </c>
      <c r="H73" s="267" t="str">
        <v>Canteiro central e faixa de domínio</v>
      </c>
      <c r="I73" s="192">
        <v>587943.7312509371</v>
      </c>
      <c r="J73" s="192">
        <v>0</v>
      </c>
      <c r="K73" s="192">
        <v>0</v>
      </c>
      <c r="L73" s="192">
        <v>0</v>
      </c>
      <c r="M73" s="192">
        <v>0</v>
      </c>
      <c r="N73" s="192">
        <v>0</v>
      </c>
      <c r="O73" s="192">
        <v>0</v>
      </c>
      <c r="P73" s="192">
        <v>0</v>
      </c>
      <c r="Q73" s="192">
        <v>0</v>
      </c>
      <c r="R73" s="192">
        <v>0</v>
      </c>
      <c r="S73" s="192">
        <v>0</v>
      </c>
      <c r="T73" s="192">
        <v>0</v>
      </c>
      <c r="U73" s="192">
        <v>0</v>
      </c>
      <c r="V73" s="192">
        <v>0</v>
      </c>
      <c r="W73" s="192">
        <v>0</v>
      </c>
      <c r="X73" s="192">
        <v>0</v>
      </c>
      <c r="Y73" s="192">
        <v>0</v>
      </c>
      <c r="Z73" s="192">
        <v>0</v>
      </c>
      <c r="AA73" s="192">
        <v>0</v>
      </c>
      <c r="AB73" s="192">
        <v>0</v>
      </c>
      <c r="AC73" s="192">
        <v>0</v>
      </c>
      <c r="AD73" s="192">
        <v>0</v>
      </c>
      <c r="AE73" s="192">
        <v>0</v>
      </c>
      <c r="AF73" s="192">
        <v>0</v>
      </c>
      <c r="AG73" s="192">
        <v>0</v>
      </c>
      <c r="AH73" s="192">
        <v>0</v>
      </c>
      <c r="AI73" s="192">
        <v>0</v>
      </c>
      <c r="AJ73" s="192">
        <v>0</v>
      </c>
      <c r="AK73" s="192">
        <v>0</v>
      </c>
      <c r="AL73" s="192">
        <v>0</v>
      </c>
    </row>
    <row r="74" spans="2:38">
      <c r="B74" s="122" t="str">
        <v>Cenário 20/03/2025 com IFC</v>
      </c>
      <c r="C74" s="448" t="str">
        <v>Pórtico 3 (MG-262)</v>
      </c>
      <c r="D74" s="149" t="str">
        <v>1</v>
      </c>
      <c r="E74" s="149" t="str">
        <v>1.8</v>
      </c>
      <c r="F74" s="149">
        <v>1</v>
      </c>
      <c r="G74" s="149">
        <v>0</v>
      </c>
      <c r="H74" s="267" t="str">
        <v>Administração local (%)</v>
      </c>
      <c r="I74" s="192">
        <v>895047.51688626409</v>
      </c>
      <c r="J74" s="192">
        <v>0</v>
      </c>
      <c r="K74" s="192">
        <v>0</v>
      </c>
      <c r="L74" s="192">
        <v>0</v>
      </c>
      <c r="M74" s="192">
        <v>0</v>
      </c>
      <c r="N74" s="192">
        <v>0</v>
      </c>
      <c r="O74" s="192">
        <v>0</v>
      </c>
      <c r="P74" s="192">
        <v>0</v>
      </c>
      <c r="Q74" s="192">
        <v>0</v>
      </c>
      <c r="R74" s="192">
        <v>0</v>
      </c>
      <c r="S74" s="192">
        <v>0</v>
      </c>
      <c r="T74" s="192">
        <v>0</v>
      </c>
      <c r="U74" s="192">
        <v>0</v>
      </c>
      <c r="V74" s="192">
        <v>0</v>
      </c>
      <c r="W74" s="192">
        <v>0</v>
      </c>
      <c r="X74" s="192">
        <v>0</v>
      </c>
      <c r="Y74" s="192">
        <v>0</v>
      </c>
      <c r="Z74" s="192">
        <v>0</v>
      </c>
      <c r="AA74" s="192">
        <v>0</v>
      </c>
      <c r="AB74" s="192">
        <v>0</v>
      </c>
      <c r="AC74" s="192">
        <v>0</v>
      </c>
      <c r="AD74" s="192">
        <v>0</v>
      </c>
      <c r="AE74" s="192">
        <v>0</v>
      </c>
      <c r="AF74" s="192">
        <v>0</v>
      </c>
      <c r="AG74" s="192">
        <v>0</v>
      </c>
      <c r="AH74" s="192">
        <v>0</v>
      </c>
      <c r="AI74" s="192">
        <v>0</v>
      </c>
      <c r="AJ74" s="192">
        <v>0</v>
      </c>
      <c r="AK74" s="192">
        <v>0</v>
      </c>
      <c r="AL74" s="192">
        <v>0</v>
      </c>
    </row>
    <row r="75" spans="2:38">
      <c r="B75" s="122" t="str">
        <v>Cenário 20/03/2025 com IFC</v>
      </c>
      <c r="C75" s="448" t="str">
        <v>Pórtico 3 (MG-262)</v>
      </c>
      <c r="D75" s="149" t="str">
        <v>1</v>
      </c>
      <c r="E75" s="149" t="str">
        <v>1.9</v>
      </c>
      <c r="F75" s="149">
        <v>1</v>
      </c>
      <c r="G75" s="149">
        <v>0</v>
      </c>
      <c r="H75" s="267" t="str">
        <v>Canteiro de obras (%)</v>
      </c>
      <c r="I75" s="192">
        <v>225581.08149166004</v>
      </c>
      <c r="J75" s="192">
        <v>0</v>
      </c>
      <c r="K75" s="192">
        <v>0</v>
      </c>
      <c r="L75" s="192">
        <v>0</v>
      </c>
      <c r="M75" s="192">
        <v>0</v>
      </c>
      <c r="N75" s="192">
        <v>0</v>
      </c>
      <c r="O75" s="192">
        <v>0</v>
      </c>
      <c r="P75" s="192">
        <v>0</v>
      </c>
      <c r="Q75" s="192">
        <v>0</v>
      </c>
      <c r="R75" s="192">
        <v>0</v>
      </c>
      <c r="S75" s="192">
        <v>0</v>
      </c>
      <c r="T75" s="192">
        <v>0</v>
      </c>
      <c r="U75" s="192">
        <v>0</v>
      </c>
      <c r="V75" s="192">
        <v>0</v>
      </c>
      <c r="W75" s="192">
        <v>0</v>
      </c>
      <c r="X75" s="192">
        <v>0</v>
      </c>
      <c r="Y75" s="192">
        <v>0</v>
      </c>
      <c r="Z75" s="192">
        <v>0</v>
      </c>
      <c r="AA75" s="192">
        <v>0</v>
      </c>
      <c r="AB75" s="192">
        <v>0</v>
      </c>
      <c r="AC75" s="192">
        <v>0</v>
      </c>
      <c r="AD75" s="192">
        <v>0</v>
      </c>
      <c r="AE75" s="192">
        <v>0</v>
      </c>
      <c r="AF75" s="192">
        <v>0</v>
      </c>
      <c r="AG75" s="192">
        <v>0</v>
      </c>
      <c r="AH75" s="192">
        <v>0</v>
      </c>
      <c r="AI75" s="192">
        <v>0</v>
      </c>
      <c r="AJ75" s="192">
        <v>0</v>
      </c>
      <c r="AK75" s="192">
        <v>0</v>
      </c>
      <c r="AL75" s="192">
        <v>0</v>
      </c>
    </row>
    <row r="76" spans="2:38">
      <c r="B76" s="122" t="str">
        <v>Cenário 20/03/2025 com IFC</v>
      </c>
      <c r="C76" s="448" t="str">
        <v>Pórtico 3 (MG-262)</v>
      </c>
      <c r="D76" s="149" t="str">
        <v>1</v>
      </c>
      <c r="E76" s="149" t="str">
        <v>1.10</v>
      </c>
      <c r="F76" s="149">
        <v>1</v>
      </c>
      <c r="G76" s="149">
        <v>0</v>
      </c>
      <c r="H76" s="267" t="str">
        <v>Mobilização e desmobilização (%)</v>
      </c>
      <c r="I76" s="192">
        <v>4220.5492666181553</v>
      </c>
      <c r="J76" s="192">
        <v>0</v>
      </c>
      <c r="K76" s="192">
        <v>0</v>
      </c>
      <c r="L76" s="192">
        <v>0</v>
      </c>
      <c r="M76" s="192">
        <v>0</v>
      </c>
      <c r="N76" s="192">
        <v>0</v>
      </c>
      <c r="O76" s="192">
        <v>0</v>
      </c>
      <c r="P76" s="192">
        <v>0</v>
      </c>
      <c r="Q76" s="192">
        <v>0</v>
      </c>
      <c r="R76" s="192">
        <v>0</v>
      </c>
      <c r="S76" s="192">
        <v>0</v>
      </c>
      <c r="T76" s="192">
        <v>0</v>
      </c>
      <c r="U76" s="192">
        <v>0</v>
      </c>
      <c r="V76" s="192">
        <v>0</v>
      </c>
      <c r="W76" s="192">
        <v>0</v>
      </c>
      <c r="X76" s="192">
        <v>0</v>
      </c>
      <c r="Y76" s="192">
        <v>0</v>
      </c>
      <c r="Z76" s="192">
        <v>0</v>
      </c>
      <c r="AA76" s="192">
        <v>0</v>
      </c>
      <c r="AB76" s="192">
        <v>0</v>
      </c>
      <c r="AC76" s="192">
        <v>0</v>
      </c>
      <c r="AD76" s="192">
        <v>0</v>
      </c>
      <c r="AE76" s="192">
        <v>0</v>
      </c>
      <c r="AF76" s="192">
        <v>0</v>
      </c>
      <c r="AG76" s="192">
        <v>0</v>
      </c>
      <c r="AH76" s="192">
        <v>0</v>
      </c>
      <c r="AI76" s="192">
        <v>0</v>
      </c>
      <c r="AJ76" s="192">
        <v>0</v>
      </c>
      <c r="AK76" s="192">
        <v>0</v>
      </c>
      <c r="AL76" s="192">
        <v>0</v>
      </c>
    </row>
    <row r="77" spans="2:38">
      <c r="B77" s="122" t="str">
        <v>Cenário 20/03/2025 com IFC</v>
      </c>
      <c r="C77" s="448" t="str">
        <v>Pórtico 3 (MG-262)</v>
      </c>
      <c r="D77" s="149" t="str">
        <v>1</v>
      </c>
      <c r="E77" s="149" t="str">
        <v>1.11</v>
      </c>
      <c r="F77" s="149">
        <v>1</v>
      </c>
      <c r="G77" s="149">
        <v>0</v>
      </c>
      <c r="H77" s="267" t="str">
        <v>Projetos (%)</v>
      </c>
      <c r="I77" s="192">
        <v>1819202.2700940326</v>
      </c>
      <c r="J77" s="192">
        <v>0</v>
      </c>
      <c r="K77" s="192">
        <v>0</v>
      </c>
      <c r="L77" s="192">
        <v>0</v>
      </c>
      <c r="M77" s="192">
        <v>0</v>
      </c>
      <c r="N77" s="192">
        <v>0</v>
      </c>
      <c r="O77" s="192">
        <v>0</v>
      </c>
      <c r="P77" s="192">
        <v>0</v>
      </c>
      <c r="Q77" s="192">
        <v>0</v>
      </c>
      <c r="R77" s="192">
        <v>0</v>
      </c>
      <c r="S77" s="192">
        <v>0</v>
      </c>
      <c r="T77" s="192">
        <v>0</v>
      </c>
      <c r="U77" s="192">
        <v>0</v>
      </c>
      <c r="V77" s="192">
        <v>0</v>
      </c>
      <c r="W77" s="192">
        <v>0</v>
      </c>
      <c r="X77" s="192">
        <v>0</v>
      </c>
      <c r="Y77" s="192">
        <v>0</v>
      </c>
      <c r="Z77" s="192">
        <v>0</v>
      </c>
      <c r="AA77" s="192">
        <v>0</v>
      </c>
      <c r="AB77" s="192">
        <v>0</v>
      </c>
      <c r="AC77" s="192">
        <v>0</v>
      </c>
      <c r="AD77" s="192">
        <v>0</v>
      </c>
      <c r="AE77" s="192">
        <v>0</v>
      </c>
      <c r="AF77" s="192">
        <v>0</v>
      </c>
      <c r="AG77" s="192">
        <v>0</v>
      </c>
      <c r="AH77" s="192">
        <v>0</v>
      </c>
      <c r="AI77" s="192">
        <v>0</v>
      </c>
      <c r="AJ77" s="192">
        <v>0</v>
      </c>
      <c r="AK77" s="192">
        <v>0</v>
      </c>
      <c r="AL77" s="192">
        <v>0</v>
      </c>
    </row>
    <row r="78" spans="2:38">
      <c r="B78" s="122" t="str">
        <v>Cenário 20/03/2025 com IFC</v>
      </c>
      <c r="C78" s="448" t="str">
        <v>Pórtico 3 (MG-262)</v>
      </c>
      <c r="D78" s="149" t="str">
        <v>2</v>
      </c>
      <c r="E78" s="149">
        <v>2</v>
      </c>
      <c r="F78" s="149">
        <v>0</v>
      </c>
      <c r="G78" s="149">
        <v>0</v>
      </c>
      <c r="H78" s="267" t="str">
        <v>Recuperação do sistema rodoviário</v>
      </c>
      <c r="I78" s="192">
        <v>0</v>
      </c>
      <c r="J78" s="192">
        <v>0</v>
      </c>
      <c r="K78" s="192">
        <v>0</v>
      </c>
      <c r="L78" s="192">
        <v>0</v>
      </c>
      <c r="M78" s="192">
        <v>0</v>
      </c>
      <c r="N78" s="192">
        <v>0</v>
      </c>
      <c r="O78" s="192">
        <v>0</v>
      </c>
      <c r="P78" s="192">
        <v>0</v>
      </c>
      <c r="Q78" s="192">
        <v>0</v>
      </c>
      <c r="R78" s="192">
        <v>0</v>
      </c>
      <c r="S78" s="192">
        <v>0</v>
      </c>
      <c r="T78" s="192">
        <v>0</v>
      </c>
      <c r="U78" s="192">
        <v>0</v>
      </c>
      <c r="V78" s="192">
        <v>0</v>
      </c>
      <c r="W78" s="192">
        <v>0</v>
      </c>
      <c r="X78" s="192">
        <v>0</v>
      </c>
      <c r="Y78" s="192">
        <v>0</v>
      </c>
      <c r="Z78" s="192">
        <v>0</v>
      </c>
      <c r="AA78" s="192">
        <v>0</v>
      </c>
      <c r="AB78" s="192">
        <v>0</v>
      </c>
      <c r="AC78" s="192">
        <v>0</v>
      </c>
      <c r="AD78" s="192">
        <v>0</v>
      </c>
      <c r="AE78" s="192">
        <v>0</v>
      </c>
      <c r="AF78" s="192">
        <v>0</v>
      </c>
      <c r="AG78" s="192">
        <v>0</v>
      </c>
      <c r="AH78" s="192">
        <v>0</v>
      </c>
      <c r="AI78" s="192">
        <v>0</v>
      </c>
      <c r="AJ78" s="192">
        <v>0</v>
      </c>
      <c r="AK78" s="192">
        <v>0</v>
      </c>
      <c r="AL78" s="192">
        <v>0</v>
      </c>
    </row>
    <row r="79" spans="2:38">
      <c r="B79" s="122" t="str">
        <v>Cenário 20/03/2025 com IFC</v>
      </c>
      <c r="C79" s="448" t="str">
        <v>Pórtico 3 (MG-262)</v>
      </c>
      <c r="D79" s="149" t="str">
        <v>2</v>
      </c>
      <c r="E79" s="149" t="str">
        <v>2.1</v>
      </c>
      <c r="F79" s="149">
        <v>1</v>
      </c>
      <c r="G79" s="149">
        <v>0</v>
      </c>
      <c r="H79" s="267" t="str">
        <v>Pavimento</v>
      </c>
      <c r="I79" s="192">
        <v>0</v>
      </c>
      <c r="J79" s="192">
        <v>21212599.928130414</v>
      </c>
      <c r="K79" s="192">
        <v>19914033.361871835</v>
      </c>
      <c r="L79" s="192">
        <v>11846155.561305376</v>
      </c>
      <c r="M79" s="192">
        <v>14989619.078588087</v>
      </c>
      <c r="N79" s="192">
        <v>0</v>
      </c>
      <c r="O79" s="192">
        <v>0</v>
      </c>
      <c r="P79" s="192">
        <v>0</v>
      </c>
      <c r="Q79" s="192">
        <v>0</v>
      </c>
      <c r="R79" s="192">
        <v>0</v>
      </c>
      <c r="S79" s="192">
        <v>0</v>
      </c>
      <c r="T79" s="192">
        <v>0</v>
      </c>
      <c r="U79" s="192">
        <v>0</v>
      </c>
      <c r="V79" s="192">
        <v>0</v>
      </c>
      <c r="W79" s="192">
        <v>0</v>
      </c>
      <c r="X79" s="192">
        <v>0</v>
      </c>
      <c r="Y79" s="192">
        <v>0</v>
      </c>
      <c r="Z79" s="192">
        <v>0</v>
      </c>
      <c r="AA79" s="192">
        <v>0</v>
      </c>
      <c r="AB79" s="192">
        <v>0</v>
      </c>
      <c r="AC79" s="192">
        <v>0</v>
      </c>
      <c r="AD79" s="192">
        <v>0</v>
      </c>
      <c r="AE79" s="192">
        <v>0</v>
      </c>
      <c r="AF79" s="192">
        <v>0</v>
      </c>
      <c r="AG79" s="192">
        <v>0</v>
      </c>
      <c r="AH79" s="192">
        <v>0</v>
      </c>
      <c r="AI79" s="192">
        <v>0</v>
      </c>
      <c r="AJ79" s="192">
        <v>0</v>
      </c>
      <c r="AK79" s="192">
        <v>0</v>
      </c>
      <c r="AL79" s="192">
        <v>0</v>
      </c>
    </row>
    <row r="80" spans="2:38">
      <c r="B80" s="122" t="str">
        <v>Cenário 20/03/2025 com IFC</v>
      </c>
      <c r="C80" s="448" t="str">
        <v>Pórtico 3 (MG-262)</v>
      </c>
      <c r="D80" s="149" t="str">
        <v>2</v>
      </c>
      <c r="E80" s="149" t="str">
        <v>2.2</v>
      </c>
      <c r="F80" s="149">
        <v>1</v>
      </c>
      <c r="G80" s="149">
        <v>0</v>
      </c>
      <c r="H80" s="267" t="str">
        <v>Obras de arte especiais</v>
      </c>
      <c r="I80" s="192">
        <v>0</v>
      </c>
      <c r="J80" s="192">
        <v>5197606.5188686112</v>
      </c>
      <c r="K80" s="192">
        <v>902908.64096017205</v>
      </c>
      <c r="L80" s="192">
        <v>0</v>
      </c>
      <c r="M80" s="192">
        <v>0</v>
      </c>
      <c r="N80" s="192">
        <v>0</v>
      </c>
      <c r="O80" s="192">
        <v>0</v>
      </c>
      <c r="P80" s="192">
        <v>0</v>
      </c>
      <c r="Q80" s="192">
        <v>0</v>
      </c>
      <c r="R80" s="192">
        <v>0</v>
      </c>
      <c r="S80" s="192">
        <v>0</v>
      </c>
      <c r="T80" s="192">
        <v>0</v>
      </c>
      <c r="U80" s="192">
        <v>0</v>
      </c>
      <c r="V80" s="192">
        <v>0</v>
      </c>
      <c r="W80" s="192">
        <v>0</v>
      </c>
      <c r="X80" s="192">
        <v>0</v>
      </c>
      <c r="Y80" s="192">
        <v>0</v>
      </c>
      <c r="Z80" s="192">
        <v>0</v>
      </c>
      <c r="AA80" s="192">
        <v>0</v>
      </c>
      <c r="AB80" s="192">
        <v>0</v>
      </c>
      <c r="AC80" s="192">
        <v>0</v>
      </c>
      <c r="AD80" s="192">
        <v>0</v>
      </c>
      <c r="AE80" s="192">
        <v>0</v>
      </c>
      <c r="AF80" s="192">
        <v>0</v>
      </c>
      <c r="AG80" s="192">
        <v>0</v>
      </c>
      <c r="AH80" s="192">
        <v>0</v>
      </c>
      <c r="AI80" s="192">
        <v>0</v>
      </c>
      <c r="AJ80" s="192">
        <v>0</v>
      </c>
      <c r="AK80" s="192">
        <v>0</v>
      </c>
      <c r="AL80" s="192">
        <v>0</v>
      </c>
    </row>
    <row r="81" spans="2:38">
      <c r="B81" s="122" t="str">
        <v>Cenário 20/03/2025 com IFC</v>
      </c>
      <c r="C81" s="448" t="str">
        <v>Pórtico 3 (MG-262)</v>
      </c>
      <c r="D81" s="149" t="str">
        <v>2</v>
      </c>
      <c r="E81" s="149" t="str">
        <v>2.3</v>
      </c>
      <c r="F81" s="149">
        <v>1</v>
      </c>
      <c r="G81" s="149">
        <v>0</v>
      </c>
      <c r="H81" s="267" t="str">
        <v>Drenagem e obras de arte correntes</v>
      </c>
      <c r="I81" s="192">
        <v>0</v>
      </c>
      <c r="J81" s="192">
        <v>590984.42126961343</v>
      </c>
      <c r="K81" s="192">
        <v>590984.42126961343</v>
      </c>
      <c r="L81" s="192">
        <v>590984.42126961343</v>
      </c>
      <c r="M81" s="192">
        <v>590984.42126961343</v>
      </c>
      <c r="N81" s="192">
        <v>0</v>
      </c>
      <c r="O81" s="192">
        <v>0</v>
      </c>
      <c r="P81" s="192">
        <v>0</v>
      </c>
      <c r="Q81" s="192">
        <v>0</v>
      </c>
      <c r="R81" s="192">
        <v>0</v>
      </c>
      <c r="S81" s="192">
        <v>0</v>
      </c>
      <c r="T81" s="192">
        <v>0</v>
      </c>
      <c r="U81" s="192">
        <v>0</v>
      </c>
      <c r="V81" s="192">
        <v>0</v>
      </c>
      <c r="W81" s="192">
        <v>0</v>
      </c>
      <c r="X81" s="192">
        <v>0</v>
      </c>
      <c r="Y81" s="192">
        <v>0</v>
      </c>
      <c r="Z81" s="192">
        <v>0</v>
      </c>
      <c r="AA81" s="192">
        <v>0</v>
      </c>
      <c r="AB81" s="192">
        <v>0</v>
      </c>
      <c r="AC81" s="192">
        <v>0</v>
      </c>
      <c r="AD81" s="192">
        <v>0</v>
      </c>
      <c r="AE81" s="192">
        <v>0</v>
      </c>
      <c r="AF81" s="192">
        <v>0</v>
      </c>
      <c r="AG81" s="192">
        <v>0</v>
      </c>
      <c r="AH81" s="192">
        <v>0</v>
      </c>
      <c r="AI81" s="192">
        <v>0</v>
      </c>
      <c r="AJ81" s="192">
        <v>0</v>
      </c>
      <c r="AK81" s="192">
        <v>0</v>
      </c>
      <c r="AL81" s="192">
        <v>0</v>
      </c>
    </row>
    <row r="82" spans="2:38">
      <c r="B82" s="122" t="str">
        <v>Cenário 20/03/2025 com IFC</v>
      </c>
      <c r="C82" s="448" t="str">
        <v>Pórtico 3 (MG-262)</v>
      </c>
      <c r="D82" s="149" t="str">
        <v>2</v>
      </c>
      <c r="E82" s="149" t="str">
        <v>2.4</v>
      </c>
      <c r="F82" s="149">
        <v>1</v>
      </c>
      <c r="G82" s="149">
        <v>0</v>
      </c>
      <c r="H82" s="267" t="str">
        <v xml:space="preserve">Sinalização e dispositivos de proteção e segurança </v>
      </c>
      <c r="I82" s="192">
        <v>0</v>
      </c>
      <c r="J82" s="192">
        <v>3244649.6941295676</v>
      </c>
      <c r="K82" s="192">
        <v>3244649.6941295676</v>
      </c>
      <c r="L82" s="192">
        <v>3244649.6941295676</v>
      </c>
      <c r="M82" s="192">
        <v>3186322.7841295679</v>
      </c>
      <c r="N82" s="192">
        <v>0</v>
      </c>
      <c r="O82" s="192">
        <v>0</v>
      </c>
      <c r="P82" s="192">
        <v>0</v>
      </c>
      <c r="Q82" s="192">
        <v>0</v>
      </c>
      <c r="R82" s="192">
        <v>0</v>
      </c>
      <c r="S82" s="192">
        <v>0</v>
      </c>
      <c r="T82" s="192">
        <v>0</v>
      </c>
      <c r="U82" s="192">
        <v>0</v>
      </c>
      <c r="V82" s="192">
        <v>0</v>
      </c>
      <c r="W82" s="192">
        <v>0</v>
      </c>
      <c r="X82" s="192">
        <v>0</v>
      </c>
      <c r="Y82" s="192">
        <v>0</v>
      </c>
      <c r="Z82" s="192">
        <v>0</v>
      </c>
      <c r="AA82" s="192">
        <v>0</v>
      </c>
      <c r="AB82" s="192">
        <v>0</v>
      </c>
      <c r="AC82" s="192">
        <v>0</v>
      </c>
      <c r="AD82" s="192">
        <v>0</v>
      </c>
      <c r="AE82" s="192">
        <v>0</v>
      </c>
      <c r="AF82" s="192">
        <v>0</v>
      </c>
      <c r="AG82" s="192">
        <v>0</v>
      </c>
      <c r="AH82" s="192">
        <v>0</v>
      </c>
      <c r="AI82" s="192">
        <v>0</v>
      </c>
      <c r="AJ82" s="192">
        <v>0</v>
      </c>
      <c r="AK82" s="192">
        <v>0</v>
      </c>
      <c r="AL82" s="192">
        <v>0</v>
      </c>
    </row>
    <row r="83" spans="2:38">
      <c r="B83" s="122" t="str">
        <v>Cenário 20/03/2025 com IFC</v>
      </c>
      <c r="C83" s="448" t="str">
        <v>Pórtico 3 (MG-262)</v>
      </c>
      <c r="D83" s="149" t="str">
        <v>2</v>
      </c>
      <c r="E83" s="149" t="str">
        <v>2.6</v>
      </c>
      <c r="F83" s="149">
        <v>1</v>
      </c>
      <c r="G83" s="149">
        <v>0</v>
      </c>
      <c r="H83" s="267" t="str">
        <v>Terraplenos e estrutura de contenção</v>
      </c>
      <c r="I83" s="192">
        <v>0</v>
      </c>
      <c r="J83" s="192">
        <v>0</v>
      </c>
      <c r="K83" s="192">
        <v>0</v>
      </c>
      <c r="L83" s="192">
        <v>0</v>
      </c>
      <c r="M83" s="192">
        <v>0</v>
      </c>
      <c r="N83" s="192">
        <v>0</v>
      </c>
      <c r="O83" s="192">
        <v>0</v>
      </c>
      <c r="P83" s="192">
        <v>0</v>
      </c>
      <c r="Q83" s="192">
        <v>0</v>
      </c>
      <c r="R83" s="192">
        <v>0</v>
      </c>
      <c r="S83" s="192">
        <v>0</v>
      </c>
      <c r="T83" s="192">
        <v>0</v>
      </c>
      <c r="U83" s="192">
        <v>0</v>
      </c>
      <c r="V83" s="192">
        <v>0</v>
      </c>
      <c r="W83" s="192">
        <v>0</v>
      </c>
      <c r="X83" s="192">
        <v>0</v>
      </c>
      <c r="Y83" s="192">
        <v>0</v>
      </c>
      <c r="Z83" s="192">
        <v>0</v>
      </c>
      <c r="AA83" s="192">
        <v>0</v>
      </c>
      <c r="AB83" s="192">
        <v>0</v>
      </c>
      <c r="AC83" s="192">
        <v>0</v>
      </c>
      <c r="AD83" s="192">
        <v>0</v>
      </c>
      <c r="AE83" s="192">
        <v>0</v>
      </c>
      <c r="AF83" s="192">
        <v>0</v>
      </c>
      <c r="AG83" s="192">
        <v>0</v>
      </c>
      <c r="AH83" s="192">
        <v>0</v>
      </c>
      <c r="AI83" s="192">
        <v>0</v>
      </c>
      <c r="AJ83" s="192">
        <v>0</v>
      </c>
      <c r="AK83" s="192">
        <v>0</v>
      </c>
      <c r="AL83" s="192">
        <v>0</v>
      </c>
    </row>
    <row r="84" spans="2:38">
      <c r="B84" s="122" t="str">
        <v>Cenário 20/03/2025 com IFC</v>
      </c>
      <c r="C84" s="448" t="str">
        <v>Pórtico 3 (MG-262)</v>
      </c>
      <c r="D84" s="149" t="str">
        <v>2</v>
      </c>
      <c r="E84" s="149" t="str">
        <v>2.7</v>
      </c>
      <c r="F84" s="149">
        <v>1</v>
      </c>
      <c r="G84" s="149">
        <v>0</v>
      </c>
      <c r="H84" s="267" t="str">
        <v>Sistemas elétricos e de iluminação</v>
      </c>
      <c r="I84" s="192">
        <v>0</v>
      </c>
      <c r="J84" s="192">
        <v>46442.919999999991</v>
      </c>
      <c r="K84" s="192">
        <v>5103.28</v>
      </c>
      <c r="L84" s="192">
        <v>5103.28</v>
      </c>
      <c r="M84" s="192">
        <v>2551.64</v>
      </c>
      <c r="N84" s="192">
        <v>0</v>
      </c>
      <c r="O84" s="192">
        <v>0</v>
      </c>
      <c r="P84" s="192">
        <v>0</v>
      </c>
      <c r="Q84" s="192">
        <v>0</v>
      </c>
      <c r="R84" s="192">
        <v>0</v>
      </c>
      <c r="S84" s="192">
        <v>0</v>
      </c>
      <c r="T84" s="192">
        <v>0</v>
      </c>
      <c r="U84" s="192">
        <v>0</v>
      </c>
      <c r="V84" s="192">
        <v>0</v>
      </c>
      <c r="W84" s="192">
        <v>0</v>
      </c>
      <c r="X84" s="192">
        <v>0</v>
      </c>
      <c r="Y84" s="192">
        <v>0</v>
      </c>
      <c r="Z84" s="192">
        <v>0</v>
      </c>
      <c r="AA84" s="192">
        <v>0</v>
      </c>
      <c r="AB84" s="192">
        <v>0</v>
      </c>
      <c r="AC84" s="192">
        <v>0</v>
      </c>
      <c r="AD84" s="192">
        <v>0</v>
      </c>
      <c r="AE84" s="192">
        <v>0</v>
      </c>
      <c r="AF84" s="192">
        <v>0</v>
      </c>
      <c r="AG84" s="192">
        <v>0</v>
      </c>
      <c r="AH84" s="192">
        <v>0</v>
      </c>
      <c r="AI84" s="192">
        <v>0</v>
      </c>
      <c r="AJ84" s="192">
        <v>0</v>
      </c>
      <c r="AK84" s="192">
        <v>0</v>
      </c>
      <c r="AL84" s="192">
        <v>0</v>
      </c>
    </row>
    <row r="85" spans="2:38">
      <c r="B85" s="122" t="str">
        <v>Cenário 20/03/2025 com IFC</v>
      </c>
      <c r="C85" s="448" t="str">
        <v>Pórtico 3 (MG-262)</v>
      </c>
      <c r="D85" s="149" t="str">
        <v>2</v>
      </c>
      <c r="E85" s="149" t="str">
        <v>2.8</v>
      </c>
      <c r="F85" s="149">
        <v>1</v>
      </c>
      <c r="G85" s="149">
        <v>0</v>
      </c>
      <c r="H85" s="267" t="str">
        <v>Canteiro central e faixa de domínio</v>
      </c>
      <c r="I85" s="192">
        <v>0</v>
      </c>
      <c r="J85" s="192">
        <v>403492.1948743207</v>
      </c>
      <c r="K85" s="192">
        <v>403492.1948743207</v>
      </c>
      <c r="L85" s="192">
        <v>403492.1948743207</v>
      </c>
      <c r="M85" s="192">
        <v>403492.1948743207</v>
      </c>
      <c r="N85" s="192">
        <v>0</v>
      </c>
      <c r="O85" s="192">
        <v>0</v>
      </c>
      <c r="P85" s="192">
        <v>0</v>
      </c>
      <c r="Q85" s="192">
        <v>0</v>
      </c>
      <c r="R85" s="192">
        <v>0</v>
      </c>
      <c r="S85" s="192">
        <v>0</v>
      </c>
      <c r="T85" s="192">
        <v>0</v>
      </c>
      <c r="U85" s="192">
        <v>0</v>
      </c>
      <c r="V85" s="192">
        <v>0</v>
      </c>
      <c r="W85" s="192">
        <v>0</v>
      </c>
      <c r="X85" s="192">
        <v>0</v>
      </c>
      <c r="Y85" s="192">
        <v>0</v>
      </c>
      <c r="Z85" s="192">
        <v>0</v>
      </c>
      <c r="AA85" s="192">
        <v>0</v>
      </c>
      <c r="AB85" s="192">
        <v>0</v>
      </c>
      <c r="AC85" s="192">
        <v>0</v>
      </c>
      <c r="AD85" s="192">
        <v>0</v>
      </c>
      <c r="AE85" s="192">
        <v>0</v>
      </c>
      <c r="AF85" s="192">
        <v>0</v>
      </c>
      <c r="AG85" s="192">
        <v>0</v>
      </c>
      <c r="AH85" s="192">
        <v>0</v>
      </c>
      <c r="AI85" s="192">
        <v>0</v>
      </c>
      <c r="AJ85" s="192">
        <v>0</v>
      </c>
      <c r="AK85" s="192">
        <v>0</v>
      </c>
      <c r="AL85" s="192">
        <v>0</v>
      </c>
    </row>
    <row r="86" spans="2:38">
      <c r="B86" s="122" t="str">
        <v>Cenário 20/03/2025 com IFC</v>
      </c>
      <c r="C86" s="448" t="str">
        <v>Pórtico 3 (MG-262)</v>
      </c>
      <c r="D86" s="149" t="str">
        <v>2</v>
      </c>
      <c r="E86" s="149" t="str">
        <v>2.9</v>
      </c>
      <c r="F86" s="149">
        <v>1</v>
      </c>
      <c r="G86" s="149">
        <v>0</v>
      </c>
      <c r="H86" s="267" t="str">
        <v>Administração local (%)</v>
      </c>
      <c r="I86" s="192">
        <v>0</v>
      </c>
      <c r="J86" s="192">
        <v>377558.04083045211</v>
      </c>
      <c r="K86" s="192">
        <v>308252.41059519775</v>
      </c>
      <c r="L86" s="192">
        <v>197911.7373644202</v>
      </c>
      <c r="M86" s="192">
        <v>235827.53246199756</v>
      </c>
      <c r="N86" s="192">
        <v>0</v>
      </c>
      <c r="O86" s="192">
        <v>0</v>
      </c>
      <c r="P86" s="192">
        <v>0</v>
      </c>
      <c r="Q86" s="192">
        <v>0</v>
      </c>
      <c r="R86" s="192">
        <v>0</v>
      </c>
      <c r="S86" s="192">
        <v>0</v>
      </c>
      <c r="T86" s="192">
        <v>0</v>
      </c>
      <c r="U86" s="192">
        <v>0</v>
      </c>
      <c r="V86" s="192">
        <v>0</v>
      </c>
      <c r="W86" s="192">
        <v>0</v>
      </c>
      <c r="X86" s="192">
        <v>0</v>
      </c>
      <c r="Y86" s="192">
        <v>0</v>
      </c>
      <c r="Z86" s="192">
        <v>0</v>
      </c>
      <c r="AA86" s="192">
        <v>0</v>
      </c>
      <c r="AB86" s="192">
        <v>0</v>
      </c>
      <c r="AC86" s="192">
        <v>0</v>
      </c>
      <c r="AD86" s="192">
        <v>0</v>
      </c>
      <c r="AE86" s="192">
        <v>0</v>
      </c>
      <c r="AF86" s="192">
        <v>0</v>
      </c>
      <c r="AG86" s="192">
        <v>0</v>
      </c>
      <c r="AH86" s="192">
        <v>0</v>
      </c>
      <c r="AI86" s="192">
        <v>0</v>
      </c>
      <c r="AJ86" s="192">
        <v>0</v>
      </c>
      <c r="AK86" s="192">
        <v>0</v>
      </c>
      <c r="AL86" s="192">
        <v>0</v>
      </c>
    </row>
    <row r="87" spans="2:38">
      <c r="B87" s="122" t="str">
        <v>Cenário 20/03/2025 com IFC</v>
      </c>
      <c r="C87" s="448" t="str">
        <v>Pórtico 3 (MG-262)</v>
      </c>
      <c r="D87" s="149" t="str">
        <v>2</v>
      </c>
      <c r="E87" s="149" t="str">
        <v>2.10</v>
      </c>
      <c r="F87" s="149">
        <v>1</v>
      </c>
      <c r="G87" s="149">
        <v>0</v>
      </c>
      <c r="H87" s="267" t="str">
        <v>Canteiro de obras (%)</v>
      </c>
      <c r="I87" s="192">
        <v>0</v>
      </c>
      <c r="J87" s="192">
        <v>95156.90459954484</v>
      </c>
      <c r="K87" s="192">
        <v>77689.631938627077</v>
      </c>
      <c r="L87" s="192">
        <v>49880.193969894521</v>
      </c>
      <c r="M87" s="192">
        <v>59436.207368470925</v>
      </c>
      <c r="N87" s="192">
        <v>0</v>
      </c>
      <c r="O87" s="192">
        <v>0</v>
      </c>
      <c r="P87" s="192">
        <v>0</v>
      </c>
      <c r="Q87" s="192">
        <v>0</v>
      </c>
      <c r="R87" s="192">
        <v>0</v>
      </c>
      <c r="S87" s="192">
        <v>0</v>
      </c>
      <c r="T87" s="192">
        <v>0</v>
      </c>
      <c r="U87" s="192">
        <v>0</v>
      </c>
      <c r="V87" s="192">
        <v>0</v>
      </c>
      <c r="W87" s="192">
        <v>0</v>
      </c>
      <c r="X87" s="192">
        <v>0</v>
      </c>
      <c r="Y87" s="192">
        <v>0</v>
      </c>
      <c r="Z87" s="192">
        <v>0</v>
      </c>
      <c r="AA87" s="192">
        <v>0</v>
      </c>
      <c r="AB87" s="192">
        <v>0</v>
      </c>
      <c r="AC87" s="192">
        <v>0</v>
      </c>
      <c r="AD87" s="192">
        <v>0</v>
      </c>
      <c r="AE87" s="192">
        <v>0</v>
      </c>
      <c r="AF87" s="192">
        <v>0</v>
      </c>
      <c r="AG87" s="192">
        <v>0</v>
      </c>
      <c r="AH87" s="192">
        <v>0</v>
      </c>
      <c r="AI87" s="192">
        <v>0</v>
      </c>
      <c r="AJ87" s="192">
        <v>0</v>
      </c>
      <c r="AK87" s="192">
        <v>0</v>
      </c>
      <c r="AL87" s="192">
        <v>0</v>
      </c>
    </row>
    <row r="88" spans="2:38">
      <c r="B88" s="122" t="str">
        <v>Cenário 20/03/2025 com IFC</v>
      </c>
      <c r="C88" s="448" t="str">
        <v>Pórtico 3 (MG-262)</v>
      </c>
      <c r="D88" s="149" t="str">
        <v>2</v>
      </c>
      <c r="E88" s="149" t="str">
        <v>2.11</v>
      </c>
      <c r="F88" s="149">
        <v>1</v>
      </c>
      <c r="G88" s="149">
        <v>0</v>
      </c>
      <c r="H88" s="267" t="str">
        <v>Mobilização e desmobilização (%)</v>
      </c>
      <c r="I88" s="192">
        <v>0</v>
      </c>
      <c r="J88" s="192">
        <v>1780.3549892818066</v>
      </c>
      <c r="K88" s="192">
        <v>1453.5479524001196</v>
      </c>
      <c r="L88" s="192">
        <v>933.24233879157487</v>
      </c>
      <c r="M88" s="192">
        <v>1112.0322668939723</v>
      </c>
      <c r="N88" s="192">
        <v>0</v>
      </c>
      <c r="O88" s="192">
        <v>0</v>
      </c>
      <c r="P88" s="192">
        <v>0</v>
      </c>
      <c r="Q88" s="192">
        <v>0</v>
      </c>
      <c r="R88" s="192">
        <v>0</v>
      </c>
      <c r="S88" s="192">
        <v>0</v>
      </c>
      <c r="T88" s="192">
        <v>0</v>
      </c>
      <c r="U88" s="192">
        <v>0</v>
      </c>
      <c r="V88" s="192">
        <v>0</v>
      </c>
      <c r="W88" s="192">
        <v>0</v>
      </c>
      <c r="X88" s="192">
        <v>0</v>
      </c>
      <c r="Y88" s="192">
        <v>0</v>
      </c>
      <c r="Z88" s="192">
        <v>0</v>
      </c>
      <c r="AA88" s="192">
        <v>0</v>
      </c>
      <c r="AB88" s="192">
        <v>0</v>
      </c>
      <c r="AC88" s="192">
        <v>0</v>
      </c>
      <c r="AD88" s="192">
        <v>0</v>
      </c>
      <c r="AE88" s="192">
        <v>0</v>
      </c>
      <c r="AF88" s="192">
        <v>0</v>
      </c>
      <c r="AG88" s="192">
        <v>0</v>
      </c>
      <c r="AH88" s="192">
        <v>0</v>
      </c>
      <c r="AI88" s="192">
        <v>0</v>
      </c>
      <c r="AJ88" s="192">
        <v>0</v>
      </c>
      <c r="AK88" s="192">
        <v>0</v>
      </c>
      <c r="AL88" s="192">
        <v>0</v>
      </c>
    </row>
    <row r="89" spans="2:38">
      <c r="B89" s="122" t="str">
        <v>Cenário 20/03/2025 com IFC</v>
      </c>
      <c r="C89" s="448" t="str">
        <v>Pórtico 3 (MG-262)</v>
      </c>
      <c r="D89" s="149" t="str">
        <v>2</v>
      </c>
      <c r="E89" s="149" t="str">
        <v>2.12</v>
      </c>
      <c r="F89" s="149">
        <v>1</v>
      </c>
      <c r="G89" s="149">
        <v>0</v>
      </c>
      <c r="H89" s="267" t="str">
        <v>Projetos (%)</v>
      </c>
      <c r="I89" s="192">
        <v>0</v>
      </c>
      <c r="J89" s="192">
        <v>767394.39193181321</v>
      </c>
      <c r="K89" s="192">
        <v>626529.28982763772</v>
      </c>
      <c r="L89" s="192">
        <v>402259.62878947193</v>
      </c>
      <c r="M89" s="192">
        <v>479324.25297153974</v>
      </c>
      <c r="N89" s="192">
        <v>0</v>
      </c>
      <c r="O89" s="192">
        <v>0</v>
      </c>
      <c r="P89" s="192">
        <v>0</v>
      </c>
      <c r="Q89" s="192">
        <v>0</v>
      </c>
      <c r="R89" s="192">
        <v>0</v>
      </c>
      <c r="S89" s="192">
        <v>0</v>
      </c>
      <c r="T89" s="192">
        <v>0</v>
      </c>
      <c r="U89" s="192">
        <v>0</v>
      </c>
      <c r="V89" s="192">
        <v>0</v>
      </c>
      <c r="W89" s="192">
        <v>0</v>
      </c>
      <c r="X89" s="192">
        <v>0</v>
      </c>
      <c r="Y89" s="192">
        <v>0</v>
      </c>
      <c r="Z89" s="192">
        <v>0</v>
      </c>
      <c r="AA89" s="192">
        <v>0</v>
      </c>
      <c r="AB89" s="192">
        <v>0</v>
      </c>
      <c r="AC89" s="192">
        <v>0</v>
      </c>
      <c r="AD89" s="192">
        <v>0</v>
      </c>
      <c r="AE89" s="192">
        <v>0</v>
      </c>
      <c r="AF89" s="192">
        <v>0</v>
      </c>
      <c r="AG89" s="192">
        <v>0</v>
      </c>
      <c r="AH89" s="192">
        <v>0</v>
      </c>
      <c r="AI89" s="192">
        <v>0</v>
      </c>
      <c r="AJ89" s="192">
        <v>0</v>
      </c>
      <c r="AK89" s="192">
        <v>0</v>
      </c>
      <c r="AL89" s="192">
        <v>0</v>
      </c>
    </row>
    <row r="90" spans="2:38">
      <c r="B90" s="122" t="str">
        <v>Cenário 20/03/2025 com IFC</v>
      </c>
      <c r="C90" s="448" t="str">
        <v>Pórtico 3 (MG-262)</v>
      </c>
      <c r="D90" s="149" t="str">
        <v>4</v>
      </c>
      <c r="E90" s="149">
        <v>4</v>
      </c>
      <c r="F90" s="149">
        <v>0</v>
      </c>
      <c r="G90" s="149">
        <v>0</v>
      </c>
      <c r="H90" s="267" t="str">
        <v>Obras de ampliação da capacidade e outras melhorias</v>
      </c>
      <c r="I90" s="192">
        <v>0</v>
      </c>
      <c r="J90" s="192">
        <v>0</v>
      </c>
      <c r="K90" s="192">
        <v>0</v>
      </c>
      <c r="L90" s="192">
        <v>0</v>
      </c>
      <c r="M90" s="192">
        <v>0</v>
      </c>
      <c r="N90" s="192">
        <v>0</v>
      </c>
      <c r="O90" s="192">
        <v>0</v>
      </c>
      <c r="P90" s="192">
        <v>0</v>
      </c>
      <c r="Q90" s="192">
        <v>0</v>
      </c>
      <c r="R90" s="192">
        <v>0</v>
      </c>
      <c r="S90" s="192">
        <v>0</v>
      </c>
      <c r="T90" s="192">
        <v>0</v>
      </c>
      <c r="U90" s="192">
        <v>0</v>
      </c>
      <c r="V90" s="192">
        <v>0</v>
      </c>
      <c r="W90" s="192">
        <v>0</v>
      </c>
      <c r="X90" s="192">
        <v>0</v>
      </c>
      <c r="Y90" s="192">
        <v>0</v>
      </c>
      <c r="Z90" s="192">
        <v>0</v>
      </c>
      <c r="AA90" s="192">
        <v>0</v>
      </c>
      <c r="AB90" s="192">
        <v>0</v>
      </c>
      <c r="AC90" s="192">
        <v>0</v>
      </c>
      <c r="AD90" s="192">
        <v>0</v>
      </c>
      <c r="AE90" s="192">
        <v>0</v>
      </c>
      <c r="AF90" s="192">
        <v>0</v>
      </c>
      <c r="AG90" s="192">
        <v>0</v>
      </c>
      <c r="AH90" s="192">
        <v>0</v>
      </c>
      <c r="AI90" s="192">
        <v>0</v>
      </c>
      <c r="AJ90" s="192">
        <v>0</v>
      </c>
      <c r="AK90" s="192">
        <v>0</v>
      </c>
      <c r="AL90" s="192">
        <v>0</v>
      </c>
    </row>
    <row r="91" spans="2:38">
      <c r="B91" s="122" t="str">
        <v>Cenário 20/03/2025 com IFC</v>
      </c>
      <c r="C91" s="448" t="str">
        <v>Pórtico 3 (MG-262)</v>
      </c>
      <c r="D91" s="149" t="str">
        <v>4</v>
      </c>
      <c r="E91" s="149" t="str">
        <v>4.1</v>
      </c>
      <c r="F91" s="149">
        <v>1</v>
      </c>
      <c r="G91" s="149">
        <v>0</v>
      </c>
      <c r="H91" s="267" t="str">
        <v xml:space="preserve">Duplicação </v>
      </c>
      <c r="I91" s="192">
        <v>0</v>
      </c>
      <c r="J91" s="192">
        <v>0</v>
      </c>
      <c r="K91" s="192">
        <v>0</v>
      </c>
      <c r="L91" s="192">
        <v>0</v>
      </c>
      <c r="M91" s="192">
        <v>0</v>
      </c>
      <c r="N91" s="192">
        <v>0</v>
      </c>
      <c r="O91" s="192">
        <v>0</v>
      </c>
      <c r="P91" s="192">
        <v>0</v>
      </c>
      <c r="Q91" s="192">
        <v>0</v>
      </c>
      <c r="R91" s="192">
        <v>0</v>
      </c>
      <c r="S91" s="192">
        <v>0</v>
      </c>
      <c r="T91" s="192">
        <v>0</v>
      </c>
      <c r="U91" s="192">
        <v>0</v>
      </c>
      <c r="V91" s="192">
        <v>0</v>
      </c>
      <c r="W91" s="192">
        <v>43400000</v>
      </c>
      <c r="X91" s="192">
        <v>0</v>
      </c>
      <c r="Y91" s="192">
        <v>0</v>
      </c>
      <c r="Z91" s="192">
        <v>0</v>
      </c>
      <c r="AA91" s="192">
        <v>0</v>
      </c>
      <c r="AB91" s="192">
        <v>0</v>
      </c>
      <c r="AC91" s="192">
        <v>0</v>
      </c>
      <c r="AD91" s="192">
        <v>0</v>
      </c>
      <c r="AE91" s="192">
        <v>0</v>
      </c>
      <c r="AF91" s="192">
        <v>0</v>
      </c>
      <c r="AG91" s="192">
        <v>0</v>
      </c>
      <c r="AH91" s="192">
        <v>0</v>
      </c>
      <c r="AI91" s="192">
        <v>0</v>
      </c>
      <c r="AJ91" s="192">
        <v>0</v>
      </c>
      <c r="AK91" s="192">
        <v>0</v>
      </c>
      <c r="AL91" s="192">
        <v>0</v>
      </c>
    </row>
    <row r="92" spans="2:38">
      <c r="B92" s="122" t="str">
        <v>Cenário 20/03/2025 com IFC</v>
      </c>
      <c r="C92" s="448" t="str">
        <v>Pórtico 3 (MG-262)</v>
      </c>
      <c r="D92" s="149" t="str">
        <v>4</v>
      </c>
      <c r="E92" s="149" t="str">
        <v>4.2</v>
      </c>
      <c r="F92" s="149">
        <v>1</v>
      </c>
      <c r="G92" s="149">
        <v>0</v>
      </c>
      <c r="H92" s="267" t="str">
        <v xml:space="preserve">Vias marginais </v>
      </c>
      <c r="I92" s="192">
        <v>0</v>
      </c>
      <c r="J92" s="192">
        <v>0</v>
      </c>
      <c r="K92" s="192">
        <v>0</v>
      </c>
      <c r="L92" s="192">
        <v>0</v>
      </c>
      <c r="M92" s="192">
        <v>0</v>
      </c>
      <c r="N92" s="192">
        <v>0</v>
      </c>
      <c r="O92" s="192">
        <v>0</v>
      </c>
      <c r="P92" s="192">
        <v>0</v>
      </c>
      <c r="Q92" s="192">
        <v>0</v>
      </c>
      <c r="R92" s="192">
        <v>0</v>
      </c>
      <c r="S92" s="192">
        <v>0</v>
      </c>
      <c r="T92" s="192">
        <v>0</v>
      </c>
      <c r="U92" s="192">
        <v>0</v>
      </c>
      <c r="V92" s="192">
        <v>0</v>
      </c>
      <c r="W92" s="192">
        <v>0</v>
      </c>
      <c r="X92" s="192">
        <v>0</v>
      </c>
      <c r="Y92" s="192">
        <v>0</v>
      </c>
      <c r="Z92" s="192">
        <v>0</v>
      </c>
      <c r="AA92" s="192">
        <v>0</v>
      </c>
      <c r="AB92" s="192">
        <v>0</v>
      </c>
      <c r="AC92" s="192">
        <v>0</v>
      </c>
      <c r="AD92" s="192">
        <v>0</v>
      </c>
      <c r="AE92" s="192">
        <v>0</v>
      </c>
      <c r="AF92" s="192">
        <v>0</v>
      </c>
      <c r="AG92" s="192">
        <v>0</v>
      </c>
      <c r="AH92" s="192">
        <v>0</v>
      </c>
      <c r="AI92" s="192">
        <v>0</v>
      </c>
      <c r="AJ92" s="192">
        <v>0</v>
      </c>
      <c r="AK92" s="192">
        <v>0</v>
      </c>
      <c r="AL92" s="192">
        <v>0</v>
      </c>
    </row>
    <row r="93" spans="2:38">
      <c r="B93" s="122" t="str">
        <v>Cenário 20/03/2025 com IFC</v>
      </c>
      <c r="C93" s="448" t="str">
        <v>Pórtico 3 (MG-262)</v>
      </c>
      <c r="D93" s="149" t="str">
        <v>4</v>
      </c>
      <c r="E93" s="149" t="str">
        <v>4.3</v>
      </c>
      <c r="F93" s="149">
        <v>1</v>
      </c>
      <c r="G93" s="149">
        <v>0</v>
      </c>
      <c r="H93" s="267" t="str">
        <v xml:space="preserve">Contornos urbanos e travessias urbanas </v>
      </c>
      <c r="I93" s="192">
        <v>0</v>
      </c>
      <c r="J93" s="192">
        <v>0</v>
      </c>
      <c r="K93" s="192">
        <v>0</v>
      </c>
      <c r="L93" s="192">
        <v>0</v>
      </c>
      <c r="M93" s="192">
        <v>0</v>
      </c>
      <c r="N93" s="192">
        <v>0</v>
      </c>
      <c r="O93" s="192">
        <v>0</v>
      </c>
      <c r="P93" s="192">
        <v>0</v>
      </c>
      <c r="Q93" s="192">
        <v>0</v>
      </c>
      <c r="R93" s="192">
        <v>0</v>
      </c>
      <c r="S93" s="192">
        <v>0</v>
      </c>
      <c r="T93" s="192">
        <v>0</v>
      </c>
      <c r="U93" s="192">
        <v>0</v>
      </c>
      <c r="V93" s="192">
        <v>0</v>
      </c>
      <c r="W93" s="192">
        <v>0</v>
      </c>
      <c r="X93" s="192">
        <v>0</v>
      </c>
      <c r="Y93" s="192">
        <v>0</v>
      </c>
      <c r="Z93" s="192">
        <v>0</v>
      </c>
      <c r="AA93" s="192">
        <v>0</v>
      </c>
      <c r="AB93" s="192">
        <v>0</v>
      </c>
      <c r="AC93" s="192">
        <v>0</v>
      </c>
      <c r="AD93" s="192">
        <v>0</v>
      </c>
      <c r="AE93" s="192">
        <v>0</v>
      </c>
      <c r="AF93" s="192">
        <v>0</v>
      </c>
      <c r="AG93" s="192">
        <v>0</v>
      </c>
      <c r="AH93" s="192">
        <v>0</v>
      </c>
      <c r="AI93" s="192">
        <v>0</v>
      </c>
      <c r="AJ93" s="192">
        <v>0</v>
      </c>
      <c r="AK93" s="192">
        <v>0</v>
      </c>
      <c r="AL93" s="192">
        <v>0</v>
      </c>
    </row>
    <row r="94" spans="2:38">
      <c r="B94" s="122" t="str">
        <v>Cenário 20/03/2025 com IFC</v>
      </c>
      <c r="C94" s="448" t="str">
        <v>Pórtico 3 (MG-262)</v>
      </c>
      <c r="D94" s="149" t="str">
        <v>4</v>
      </c>
      <c r="E94" s="149" t="str">
        <v>4.4</v>
      </c>
      <c r="F94" s="149">
        <v>1</v>
      </c>
      <c r="G94" s="149">
        <v>0</v>
      </c>
      <c r="H94" s="267" t="str">
        <v xml:space="preserve">Faixas adicionais </v>
      </c>
      <c r="I94" s="192">
        <v>0</v>
      </c>
      <c r="J94" s="192">
        <v>0</v>
      </c>
      <c r="K94" s="192">
        <v>9365154.5243594348</v>
      </c>
      <c r="L94" s="192">
        <v>43104431.003006816</v>
      </c>
      <c r="M94" s="192">
        <v>37027253.046051025</v>
      </c>
      <c r="N94" s="192">
        <v>30455733.23578744</v>
      </c>
      <c r="O94" s="192">
        <v>0</v>
      </c>
      <c r="P94" s="192">
        <v>0</v>
      </c>
      <c r="Q94" s="192">
        <v>0</v>
      </c>
      <c r="R94" s="192">
        <v>0</v>
      </c>
      <c r="S94" s="192">
        <v>0</v>
      </c>
      <c r="T94" s="192">
        <v>0</v>
      </c>
      <c r="U94" s="192">
        <v>0</v>
      </c>
      <c r="V94" s="192">
        <v>0</v>
      </c>
      <c r="W94" s="192">
        <v>0</v>
      </c>
      <c r="X94" s="192">
        <v>0</v>
      </c>
      <c r="Y94" s="192">
        <v>0</v>
      </c>
      <c r="Z94" s="192">
        <v>0</v>
      </c>
      <c r="AA94" s="192">
        <v>0</v>
      </c>
      <c r="AB94" s="192">
        <v>0</v>
      </c>
      <c r="AC94" s="192">
        <v>0</v>
      </c>
      <c r="AD94" s="192">
        <v>0</v>
      </c>
      <c r="AE94" s="192">
        <v>0</v>
      </c>
      <c r="AF94" s="192">
        <v>0</v>
      </c>
      <c r="AG94" s="192">
        <v>0</v>
      </c>
      <c r="AH94" s="192">
        <v>0</v>
      </c>
      <c r="AI94" s="192">
        <v>0</v>
      </c>
      <c r="AJ94" s="192">
        <v>0</v>
      </c>
      <c r="AK94" s="192">
        <v>0</v>
      </c>
      <c r="AL94" s="192">
        <v>0</v>
      </c>
    </row>
    <row r="95" spans="2:38">
      <c r="B95" s="122" t="str">
        <v>Cenário 20/03/2025 com IFC</v>
      </c>
      <c r="C95" s="448" t="str">
        <v>Pórtico 3 (MG-262)</v>
      </c>
      <c r="D95" s="149" t="str">
        <v>4</v>
      </c>
      <c r="E95" s="149" t="str">
        <v>4.5</v>
      </c>
      <c r="F95" s="149">
        <v>1</v>
      </c>
      <c r="G95" s="149">
        <v>0</v>
      </c>
      <c r="H95" s="267" t="str">
        <v xml:space="preserve">Acostamentos e adequação de plataforma </v>
      </c>
      <c r="I95" s="192">
        <v>0</v>
      </c>
      <c r="J95" s="192">
        <v>0</v>
      </c>
      <c r="K95" s="192">
        <v>14812002.987045698</v>
      </c>
      <c r="L95" s="192">
        <v>34566449.198726259</v>
      </c>
      <c r="M95" s="192">
        <v>27244076.961715195</v>
      </c>
      <c r="N95" s="192">
        <v>52075024.70078671</v>
      </c>
      <c r="O95" s="192">
        <v>0</v>
      </c>
      <c r="P95" s="192">
        <v>0</v>
      </c>
      <c r="Q95" s="192">
        <v>0</v>
      </c>
      <c r="R95" s="192">
        <v>0</v>
      </c>
      <c r="S95" s="192">
        <v>0</v>
      </c>
      <c r="T95" s="192">
        <v>0</v>
      </c>
      <c r="U95" s="192">
        <v>0</v>
      </c>
      <c r="V95" s="192">
        <v>0</v>
      </c>
      <c r="W95" s="192">
        <v>0</v>
      </c>
      <c r="X95" s="192">
        <v>0</v>
      </c>
      <c r="Y95" s="192">
        <v>0</v>
      </c>
      <c r="Z95" s="192">
        <v>0</v>
      </c>
      <c r="AA95" s="192">
        <v>0</v>
      </c>
      <c r="AB95" s="192">
        <v>0</v>
      </c>
      <c r="AC95" s="192">
        <v>0</v>
      </c>
      <c r="AD95" s="192">
        <v>0</v>
      </c>
      <c r="AE95" s="192">
        <v>0</v>
      </c>
      <c r="AF95" s="192">
        <v>0</v>
      </c>
      <c r="AG95" s="192">
        <v>0</v>
      </c>
      <c r="AH95" s="192">
        <v>0</v>
      </c>
      <c r="AI95" s="192">
        <v>0</v>
      </c>
      <c r="AJ95" s="192">
        <v>0</v>
      </c>
      <c r="AK95" s="192">
        <v>0</v>
      </c>
      <c r="AL95" s="192">
        <v>0</v>
      </c>
    </row>
    <row r="96" spans="2:38">
      <c r="B96" s="122" t="str">
        <v>Cenário 20/03/2025 com IFC</v>
      </c>
      <c r="C96" s="448" t="str">
        <v>Pórtico 3 (MG-262)</v>
      </c>
      <c r="D96" s="149" t="str">
        <v>4</v>
      </c>
      <c r="E96" s="149" t="str">
        <v>4.6</v>
      </c>
      <c r="F96" s="149">
        <v>1</v>
      </c>
      <c r="G96" s="149">
        <v>0</v>
      </c>
      <c r="H96" s="267" t="str">
        <v>Implantação de oae</v>
      </c>
      <c r="I96" s="192">
        <v>0</v>
      </c>
      <c r="J96" s="192">
        <v>0</v>
      </c>
      <c r="K96" s="192">
        <v>0</v>
      </c>
      <c r="L96" s="192">
        <v>0</v>
      </c>
      <c r="M96" s="192">
        <v>0</v>
      </c>
      <c r="N96" s="192">
        <v>0</v>
      </c>
      <c r="O96" s="192">
        <v>0</v>
      </c>
      <c r="P96" s="192">
        <v>0</v>
      </c>
      <c r="Q96" s="192">
        <v>0</v>
      </c>
      <c r="R96" s="192">
        <v>0</v>
      </c>
      <c r="S96" s="192">
        <v>0</v>
      </c>
      <c r="T96" s="192">
        <v>0</v>
      </c>
      <c r="U96" s="192">
        <v>0</v>
      </c>
      <c r="V96" s="192">
        <v>0</v>
      </c>
      <c r="W96" s="192">
        <v>0</v>
      </c>
      <c r="X96" s="192">
        <v>0</v>
      </c>
      <c r="Y96" s="192">
        <v>0</v>
      </c>
      <c r="Z96" s="192">
        <v>0</v>
      </c>
      <c r="AA96" s="192">
        <v>0</v>
      </c>
      <c r="AB96" s="192">
        <v>0</v>
      </c>
      <c r="AC96" s="192">
        <v>0</v>
      </c>
      <c r="AD96" s="192">
        <v>0</v>
      </c>
      <c r="AE96" s="192">
        <v>0</v>
      </c>
      <c r="AF96" s="192">
        <v>0</v>
      </c>
      <c r="AG96" s="192">
        <v>0</v>
      </c>
      <c r="AH96" s="192">
        <v>0</v>
      </c>
      <c r="AI96" s="192">
        <v>0</v>
      </c>
      <c r="AJ96" s="192">
        <v>0</v>
      </c>
      <c r="AK96" s="192">
        <v>0</v>
      </c>
      <c r="AL96" s="192">
        <v>0</v>
      </c>
    </row>
    <row r="97" spans="2:38">
      <c r="B97" s="122" t="str">
        <v>Cenário 20/03/2025 com IFC</v>
      </c>
      <c r="C97" s="448" t="str">
        <v>Pórtico 3 (MG-262)</v>
      </c>
      <c r="D97" s="149" t="str">
        <v>4</v>
      </c>
      <c r="E97" s="149" t="str">
        <v>4.7</v>
      </c>
      <c r="F97" s="149">
        <v>1</v>
      </c>
      <c r="G97" s="149">
        <v>0</v>
      </c>
      <c r="H97" s="267" t="str">
        <v xml:space="preserve">Implantação de dispositivo em nível </v>
      </c>
      <c r="I97" s="192">
        <v>0</v>
      </c>
      <c r="J97" s="192">
        <v>0</v>
      </c>
      <c r="K97" s="192">
        <v>19175314.511710402</v>
      </c>
      <c r="L97" s="192">
        <v>6083865.6654329123</v>
      </c>
      <c r="M97" s="192">
        <v>12167731.330865825</v>
      </c>
      <c r="N97" s="192">
        <v>6083865.6654329123</v>
      </c>
      <c r="O97" s="192">
        <v>0</v>
      </c>
      <c r="P97" s="192">
        <v>0</v>
      </c>
      <c r="Q97" s="192">
        <v>0</v>
      </c>
      <c r="R97" s="192">
        <v>0</v>
      </c>
      <c r="S97" s="192">
        <v>0</v>
      </c>
      <c r="T97" s="192">
        <v>0</v>
      </c>
      <c r="U97" s="192">
        <v>0</v>
      </c>
      <c r="V97" s="192">
        <v>0</v>
      </c>
      <c r="W97" s="192">
        <v>6705016.1418952104</v>
      </c>
      <c r="X97" s="192">
        <v>0</v>
      </c>
      <c r="Y97" s="192">
        <v>0</v>
      </c>
      <c r="Z97" s="192">
        <v>0</v>
      </c>
      <c r="AA97" s="192">
        <v>0</v>
      </c>
      <c r="AB97" s="192">
        <v>0</v>
      </c>
      <c r="AC97" s="192">
        <v>0</v>
      </c>
      <c r="AD97" s="192">
        <v>0</v>
      </c>
      <c r="AE97" s="192">
        <v>0</v>
      </c>
      <c r="AF97" s="192">
        <v>0</v>
      </c>
      <c r="AG97" s="192">
        <v>0</v>
      </c>
      <c r="AH97" s="192">
        <v>0</v>
      </c>
      <c r="AI97" s="192">
        <v>0</v>
      </c>
      <c r="AJ97" s="192">
        <v>0</v>
      </c>
      <c r="AK97" s="192">
        <v>0</v>
      </c>
      <c r="AL97" s="192">
        <v>0</v>
      </c>
    </row>
    <row r="98" spans="2:38">
      <c r="B98" s="122" t="str">
        <v>Cenário 20/03/2025 com IFC</v>
      </c>
      <c r="C98" s="448" t="str">
        <v>Pórtico 3 (MG-262)</v>
      </c>
      <c r="D98" s="149" t="str">
        <v>4</v>
      </c>
      <c r="E98" s="149" t="str">
        <v>4.8</v>
      </c>
      <c r="F98" s="149">
        <v>1</v>
      </c>
      <c r="G98" s="149">
        <v>0</v>
      </c>
      <c r="H98" s="267" t="str">
        <v>Adequação oae - alargamento e trem tipo</v>
      </c>
      <c r="I98" s="192">
        <v>0</v>
      </c>
      <c r="J98" s="192">
        <v>0</v>
      </c>
      <c r="K98" s="192">
        <v>0</v>
      </c>
      <c r="L98" s="192">
        <v>5807900.6504859366</v>
      </c>
      <c r="M98" s="192">
        <v>0</v>
      </c>
      <c r="N98" s="192">
        <v>3289535.2911462234</v>
      </c>
      <c r="O98" s="192">
        <v>0</v>
      </c>
      <c r="P98" s="192">
        <v>0</v>
      </c>
      <c r="Q98" s="192">
        <v>0</v>
      </c>
      <c r="R98" s="192">
        <v>0</v>
      </c>
      <c r="S98" s="192">
        <v>0</v>
      </c>
      <c r="T98" s="192">
        <v>0</v>
      </c>
      <c r="U98" s="192">
        <v>0</v>
      </c>
      <c r="V98" s="192">
        <v>0</v>
      </c>
      <c r="W98" s="192">
        <v>0</v>
      </c>
      <c r="X98" s="192">
        <v>0</v>
      </c>
      <c r="Y98" s="192">
        <v>0</v>
      </c>
      <c r="Z98" s="192">
        <v>0</v>
      </c>
      <c r="AA98" s="192">
        <v>0</v>
      </c>
      <c r="AB98" s="192">
        <v>0</v>
      </c>
      <c r="AC98" s="192">
        <v>0</v>
      </c>
      <c r="AD98" s="192">
        <v>0</v>
      </c>
      <c r="AE98" s="192">
        <v>0</v>
      </c>
      <c r="AF98" s="192">
        <v>0</v>
      </c>
      <c r="AG98" s="192">
        <v>0</v>
      </c>
      <c r="AH98" s="192">
        <v>0</v>
      </c>
      <c r="AI98" s="192">
        <v>0</v>
      </c>
      <c r="AJ98" s="192">
        <v>0</v>
      </c>
      <c r="AK98" s="192">
        <v>0</v>
      </c>
      <c r="AL98" s="192">
        <v>0</v>
      </c>
    </row>
    <row r="99" spans="2:38">
      <c r="B99" s="122" t="str">
        <v>Cenário 20/03/2025 com IFC</v>
      </c>
      <c r="C99" s="448" t="str">
        <v>Pórtico 3 (MG-262)</v>
      </c>
      <c r="D99" s="149" t="str">
        <v>4</v>
      </c>
      <c r="E99" s="149" t="str">
        <v>4.9</v>
      </c>
      <c r="F99" s="149">
        <v>1</v>
      </c>
      <c r="G99" s="149">
        <v>0</v>
      </c>
      <c r="H99" s="267" t="str">
        <v xml:space="preserve">Adequação de acessos existentes simples </v>
      </c>
      <c r="I99" s="192">
        <v>0</v>
      </c>
      <c r="J99" s="192">
        <v>0</v>
      </c>
      <c r="K99" s="192">
        <v>86583.227034681811</v>
      </c>
      <c r="L99" s="192">
        <v>519499.3622080909</v>
      </c>
      <c r="M99" s="192">
        <v>606082.58924277255</v>
      </c>
      <c r="N99" s="192">
        <v>346332.90813872725</v>
      </c>
      <c r="O99" s="192">
        <v>0</v>
      </c>
      <c r="P99" s="192">
        <v>0</v>
      </c>
      <c r="Q99" s="192">
        <v>0</v>
      </c>
      <c r="R99" s="192">
        <v>0</v>
      </c>
      <c r="S99" s="192">
        <v>0</v>
      </c>
      <c r="T99" s="192">
        <v>0</v>
      </c>
      <c r="U99" s="192">
        <v>0</v>
      </c>
      <c r="V99" s="192">
        <v>0</v>
      </c>
      <c r="W99" s="192">
        <v>0</v>
      </c>
      <c r="X99" s="192">
        <v>0</v>
      </c>
      <c r="Y99" s="192">
        <v>0</v>
      </c>
      <c r="Z99" s="192">
        <v>0</v>
      </c>
      <c r="AA99" s="192">
        <v>0</v>
      </c>
      <c r="AB99" s="192">
        <v>0</v>
      </c>
      <c r="AC99" s="192">
        <v>0</v>
      </c>
      <c r="AD99" s="192">
        <v>0</v>
      </c>
      <c r="AE99" s="192">
        <v>0</v>
      </c>
      <c r="AF99" s="192">
        <v>0</v>
      </c>
      <c r="AG99" s="192">
        <v>0</v>
      </c>
      <c r="AH99" s="192">
        <v>0</v>
      </c>
      <c r="AI99" s="192">
        <v>0</v>
      </c>
      <c r="AJ99" s="192">
        <v>0</v>
      </c>
      <c r="AK99" s="192">
        <v>0</v>
      </c>
      <c r="AL99" s="192">
        <v>0</v>
      </c>
    </row>
    <row r="100" spans="2:38">
      <c r="B100" s="122" t="str">
        <v>Cenário 20/03/2025 com IFC</v>
      </c>
      <c r="C100" s="448" t="str">
        <v>Pórtico 3 (MG-262)</v>
      </c>
      <c r="D100" s="149" t="str">
        <v>4</v>
      </c>
      <c r="E100" s="149" t="str">
        <v>4.10</v>
      </c>
      <c r="F100" s="149">
        <v>1</v>
      </c>
      <c r="G100" s="149">
        <v>0</v>
      </c>
      <c r="H100" s="267" t="str">
        <v xml:space="preserve">Adequação de acessos existentes com faixa de aceleração </v>
      </c>
      <c r="I100" s="192">
        <v>0</v>
      </c>
      <c r="J100" s="192">
        <v>0</v>
      </c>
      <c r="K100" s="192">
        <v>2341262.8261096445</v>
      </c>
      <c r="L100" s="192">
        <v>1755947.1195822335</v>
      </c>
      <c r="M100" s="192">
        <v>3511894.239164467</v>
      </c>
      <c r="N100" s="192">
        <v>4097209.9456918789</v>
      </c>
      <c r="O100" s="192">
        <v>0</v>
      </c>
      <c r="P100" s="192">
        <v>0</v>
      </c>
      <c r="Q100" s="192">
        <v>0</v>
      </c>
      <c r="R100" s="192">
        <v>0</v>
      </c>
      <c r="S100" s="192">
        <v>0</v>
      </c>
      <c r="T100" s="192">
        <v>0</v>
      </c>
      <c r="U100" s="192">
        <v>0</v>
      </c>
      <c r="V100" s="192">
        <v>0</v>
      </c>
      <c r="W100" s="192">
        <v>0</v>
      </c>
      <c r="X100" s="192">
        <v>0</v>
      </c>
      <c r="Y100" s="192">
        <v>0</v>
      </c>
      <c r="Z100" s="192">
        <v>0</v>
      </c>
      <c r="AA100" s="192">
        <v>0</v>
      </c>
      <c r="AB100" s="192">
        <v>0</v>
      </c>
      <c r="AC100" s="192">
        <v>0</v>
      </c>
      <c r="AD100" s="192">
        <v>0</v>
      </c>
      <c r="AE100" s="192">
        <v>0</v>
      </c>
      <c r="AF100" s="192">
        <v>0</v>
      </c>
      <c r="AG100" s="192">
        <v>0</v>
      </c>
      <c r="AH100" s="192">
        <v>0</v>
      </c>
      <c r="AI100" s="192">
        <v>0</v>
      </c>
      <c r="AJ100" s="192">
        <v>0</v>
      </c>
      <c r="AK100" s="192">
        <v>0</v>
      </c>
      <c r="AL100" s="192">
        <v>0</v>
      </c>
    </row>
    <row r="101" spans="2:38">
      <c r="B101" s="122" t="str">
        <v>Cenário 20/03/2025 com IFC</v>
      </c>
      <c r="C101" s="448" t="str">
        <v>Pórtico 3 (MG-262)</v>
      </c>
      <c r="D101" s="149" t="str">
        <v>4</v>
      </c>
      <c r="E101" s="149" t="str">
        <v>4.12</v>
      </c>
      <c r="F101" s="149">
        <v>1</v>
      </c>
      <c r="G101" s="149">
        <v>0</v>
      </c>
      <c r="H101" s="267" t="str">
        <v>Correções de curvas</v>
      </c>
      <c r="I101" s="192">
        <v>0</v>
      </c>
      <c r="J101" s="192">
        <v>0</v>
      </c>
      <c r="K101" s="192">
        <v>19506801.733958043</v>
      </c>
      <c r="L101" s="192">
        <v>10945228.16183869</v>
      </c>
      <c r="M101" s="192">
        <v>2789822.9039513776</v>
      </c>
      <c r="N101" s="192">
        <v>2373816.8524546949</v>
      </c>
      <c r="O101" s="192">
        <v>0</v>
      </c>
      <c r="P101" s="192">
        <v>0</v>
      </c>
      <c r="Q101" s="192">
        <v>0</v>
      </c>
      <c r="R101" s="192">
        <v>0</v>
      </c>
      <c r="S101" s="192">
        <v>0</v>
      </c>
      <c r="T101" s="192">
        <v>0</v>
      </c>
      <c r="U101" s="192">
        <v>0</v>
      </c>
      <c r="V101" s="192">
        <v>0</v>
      </c>
      <c r="W101" s="192">
        <v>0</v>
      </c>
      <c r="X101" s="192">
        <v>0</v>
      </c>
      <c r="Y101" s="192">
        <v>0</v>
      </c>
      <c r="Z101" s="192">
        <v>0</v>
      </c>
      <c r="AA101" s="192">
        <v>0</v>
      </c>
      <c r="AB101" s="192">
        <v>0</v>
      </c>
      <c r="AC101" s="192">
        <v>0</v>
      </c>
      <c r="AD101" s="192">
        <v>0</v>
      </c>
      <c r="AE101" s="192">
        <v>0</v>
      </c>
      <c r="AF101" s="192">
        <v>0</v>
      </c>
      <c r="AG101" s="192">
        <v>0</v>
      </c>
      <c r="AH101" s="192">
        <v>0</v>
      </c>
      <c r="AI101" s="192">
        <v>0</v>
      </c>
      <c r="AJ101" s="192">
        <v>0</v>
      </c>
      <c r="AK101" s="192">
        <v>0</v>
      </c>
      <c r="AL101" s="192">
        <v>0</v>
      </c>
    </row>
    <row r="102" spans="2:38">
      <c r="B102" s="122" t="str">
        <v>Cenário 20/03/2025 com IFC</v>
      </c>
      <c r="C102" s="448" t="str">
        <v>Pórtico 3 (MG-262)</v>
      </c>
      <c r="D102" s="149" t="str">
        <v>4</v>
      </c>
      <c r="E102" s="149" t="str">
        <v>4.13</v>
      </c>
      <c r="F102" s="149">
        <v>1</v>
      </c>
      <c r="G102" s="149">
        <v>0</v>
      </c>
      <c r="H102" s="267" t="str">
        <v>Passarelas</v>
      </c>
      <c r="I102" s="192">
        <v>0</v>
      </c>
      <c r="J102" s="192">
        <v>0</v>
      </c>
      <c r="K102" s="192">
        <v>0</v>
      </c>
      <c r="L102" s="192">
        <v>0</v>
      </c>
      <c r="M102" s="192">
        <v>0</v>
      </c>
      <c r="N102" s="192">
        <v>0</v>
      </c>
      <c r="O102" s="192">
        <v>0</v>
      </c>
      <c r="P102" s="192">
        <v>0</v>
      </c>
      <c r="Q102" s="192">
        <v>0</v>
      </c>
      <c r="R102" s="192">
        <v>0</v>
      </c>
      <c r="S102" s="192">
        <v>0</v>
      </c>
      <c r="T102" s="192">
        <v>0</v>
      </c>
      <c r="U102" s="192">
        <v>0</v>
      </c>
      <c r="V102" s="192">
        <v>0</v>
      </c>
      <c r="W102" s="192">
        <v>0</v>
      </c>
      <c r="X102" s="192">
        <v>0</v>
      </c>
      <c r="Y102" s="192">
        <v>0</v>
      </c>
      <c r="Z102" s="192">
        <v>0</v>
      </c>
      <c r="AA102" s="192">
        <v>0</v>
      </c>
      <c r="AB102" s="192">
        <v>0</v>
      </c>
      <c r="AC102" s="192">
        <v>0</v>
      </c>
      <c r="AD102" s="192">
        <v>0</v>
      </c>
      <c r="AE102" s="192">
        <v>0</v>
      </c>
      <c r="AF102" s="192">
        <v>0</v>
      </c>
      <c r="AG102" s="192">
        <v>0</v>
      </c>
      <c r="AH102" s="192">
        <v>0</v>
      </c>
      <c r="AI102" s="192">
        <v>0</v>
      </c>
      <c r="AJ102" s="192">
        <v>0</v>
      </c>
      <c r="AK102" s="192">
        <v>0</v>
      </c>
      <c r="AL102" s="192">
        <v>0</v>
      </c>
    </row>
    <row r="103" spans="2:38">
      <c r="B103" s="122" t="str">
        <v>Cenário 20/03/2025 com IFC</v>
      </c>
      <c r="C103" s="448" t="str">
        <v>Pórtico 3 (MG-262)</v>
      </c>
      <c r="D103" s="149" t="str">
        <v>4</v>
      </c>
      <c r="E103" s="149" t="str">
        <v>4.14</v>
      </c>
      <c r="F103" s="149">
        <v>1</v>
      </c>
      <c r="G103" s="149">
        <v>0</v>
      </c>
      <c r="H103" s="267" t="str">
        <v xml:space="preserve">Paradas de ônibus sem baia </v>
      </c>
      <c r="I103" s="192">
        <v>0</v>
      </c>
      <c r="J103" s="192">
        <v>0</v>
      </c>
      <c r="K103" s="192">
        <v>0</v>
      </c>
      <c r="L103" s="192">
        <v>0</v>
      </c>
      <c r="M103" s="192">
        <v>0</v>
      </c>
      <c r="N103" s="192">
        <v>0</v>
      </c>
      <c r="O103" s="192">
        <v>0</v>
      </c>
      <c r="P103" s="192">
        <v>0</v>
      </c>
      <c r="Q103" s="192">
        <v>0</v>
      </c>
      <c r="R103" s="192">
        <v>0</v>
      </c>
      <c r="S103" s="192">
        <v>0</v>
      </c>
      <c r="T103" s="192">
        <v>0</v>
      </c>
      <c r="U103" s="192">
        <v>0</v>
      </c>
      <c r="V103" s="192">
        <v>0</v>
      </c>
      <c r="W103" s="192">
        <v>0</v>
      </c>
      <c r="X103" s="192">
        <v>0</v>
      </c>
      <c r="Y103" s="192">
        <v>0</v>
      </c>
      <c r="Z103" s="192">
        <v>0</v>
      </c>
      <c r="AA103" s="192">
        <v>0</v>
      </c>
      <c r="AB103" s="192">
        <v>0</v>
      </c>
      <c r="AC103" s="192">
        <v>0</v>
      </c>
      <c r="AD103" s="192">
        <v>0</v>
      </c>
      <c r="AE103" s="192">
        <v>0</v>
      </c>
      <c r="AF103" s="192">
        <v>0</v>
      </c>
      <c r="AG103" s="192">
        <v>0</v>
      </c>
      <c r="AH103" s="192">
        <v>0</v>
      </c>
      <c r="AI103" s="192">
        <v>0</v>
      </c>
      <c r="AJ103" s="192">
        <v>0</v>
      </c>
      <c r="AK103" s="192">
        <v>0</v>
      </c>
      <c r="AL103" s="192">
        <v>0</v>
      </c>
    </row>
    <row r="104" spans="2:38">
      <c r="B104" s="122" t="str">
        <v>Cenário 20/03/2025 com IFC</v>
      </c>
      <c r="C104" s="448" t="str">
        <v>Pórtico 3 (MG-262)</v>
      </c>
      <c r="D104" s="149" t="str">
        <v>4</v>
      </c>
      <c r="E104" s="149" t="str">
        <v>4.15</v>
      </c>
      <c r="F104" s="149">
        <v>1</v>
      </c>
      <c r="G104" s="149">
        <v>0</v>
      </c>
      <c r="H104" s="267" t="str">
        <v xml:space="preserve">Paradas de ônibus com baia </v>
      </c>
      <c r="I104" s="192">
        <v>0</v>
      </c>
      <c r="J104" s="192">
        <v>0</v>
      </c>
      <c r="K104" s="192">
        <v>981986.43193973112</v>
      </c>
      <c r="L104" s="192">
        <v>196397.28638794625</v>
      </c>
      <c r="M104" s="192">
        <v>1178383.7183276773</v>
      </c>
      <c r="N104" s="192">
        <v>981986.43193973135</v>
      </c>
      <c r="O104" s="192">
        <v>0</v>
      </c>
      <c r="P104" s="192">
        <v>0</v>
      </c>
      <c r="Q104" s="192">
        <v>0</v>
      </c>
      <c r="R104" s="192">
        <v>0</v>
      </c>
      <c r="S104" s="192">
        <v>0</v>
      </c>
      <c r="T104" s="192">
        <v>0</v>
      </c>
      <c r="U104" s="192">
        <v>0</v>
      </c>
      <c r="V104" s="192">
        <v>0</v>
      </c>
      <c r="W104" s="192">
        <v>0</v>
      </c>
      <c r="X104" s="192">
        <v>0</v>
      </c>
      <c r="Y104" s="192">
        <v>0</v>
      </c>
      <c r="Z104" s="192">
        <v>0</v>
      </c>
      <c r="AA104" s="192">
        <v>0</v>
      </c>
      <c r="AB104" s="192">
        <v>0</v>
      </c>
      <c r="AC104" s="192">
        <v>0</v>
      </c>
      <c r="AD104" s="192">
        <v>0</v>
      </c>
      <c r="AE104" s="192">
        <v>0</v>
      </c>
      <c r="AF104" s="192">
        <v>0</v>
      </c>
      <c r="AG104" s="192">
        <v>0</v>
      </c>
      <c r="AH104" s="192">
        <v>0</v>
      </c>
      <c r="AI104" s="192">
        <v>0</v>
      </c>
      <c r="AJ104" s="192">
        <v>0</v>
      </c>
      <c r="AK104" s="192">
        <v>0</v>
      </c>
      <c r="AL104" s="192">
        <v>0</v>
      </c>
    </row>
    <row r="105" spans="2:38">
      <c r="B105" s="122" t="str">
        <v>Cenário 20/03/2025 com IFC</v>
      </c>
      <c r="C105" s="448" t="str">
        <v>Pórtico 3 (MG-262)</v>
      </c>
      <c r="D105" s="149" t="str">
        <v>4</v>
      </c>
      <c r="E105" s="149" t="str">
        <v>4.16</v>
      </c>
      <c r="F105" s="149">
        <v>1</v>
      </c>
      <c r="G105" s="149">
        <v>0</v>
      </c>
      <c r="H105" s="267" t="str">
        <v>Desapropriações</v>
      </c>
      <c r="I105" s="192">
        <v>0</v>
      </c>
      <c r="J105" s="192">
        <v>141039.69309830599</v>
      </c>
      <c r="K105" s="192">
        <v>119954.33388414134</v>
      </c>
      <c r="L105" s="192">
        <v>419690.84252592898</v>
      </c>
      <c r="M105" s="192">
        <v>7649984.1925017219</v>
      </c>
      <c r="N105" s="192">
        <v>0</v>
      </c>
      <c r="O105" s="192">
        <v>0</v>
      </c>
      <c r="P105" s="192">
        <v>0</v>
      </c>
      <c r="Q105" s="192">
        <v>0</v>
      </c>
      <c r="R105" s="192">
        <v>0</v>
      </c>
      <c r="S105" s="192">
        <v>0</v>
      </c>
      <c r="T105" s="192">
        <v>0</v>
      </c>
      <c r="U105" s="192">
        <v>0</v>
      </c>
      <c r="V105" s="192">
        <v>0</v>
      </c>
      <c r="W105" s="192">
        <v>0</v>
      </c>
      <c r="X105" s="192">
        <v>0</v>
      </c>
      <c r="Y105" s="192">
        <v>0</v>
      </c>
      <c r="Z105" s="192">
        <v>0</v>
      </c>
      <c r="AA105" s="192">
        <v>0</v>
      </c>
      <c r="AB105" s="192">
        <v>0</v>
      </c>
      <c r="AC105" s="192">
        <v>0</v>
      </c>
      <c r="AD105" s="192">
        <v>0</v>
      </c>
      <c r="AE105" s="192">
        <v>0</v>
      </c>
      <c r="AF105" s="192">
        <v>0</v>
      </c>
      <c r="AG105" s="192">
        <v>0</v>
      </c>
      <c r="AH105" s="192">
        <v>0</v>
      </c>
      <c r="AI105" s="192">
        <v>0</v>
      </c>
      <c r="AJ105" s="192">
        <v>0</v>
      </c>
      <c r="AK105" s="192">
        <v>0</v>
      </c>
      <c r="AL105" s="192">
        <v>0</v>
      </c>
    </row>
    <row r="106" spans="2:38">
      <c r="B106" s="122" t="str">
        <v>Cenário 20/03/2025 com IFC</v>
      </c>
      <c r="C106" s="448" t="str">
        <v>Pórtico 3 (MG-262)</v>
      </c>
      <c r="D106" s="149" t="str">
        <v>4</v>
      </c>
      <c r="E106" s="149" t="str">
        <v>4.17</v>
      </c>
      <c r="F106" s="149">
        <v>1</v>
      </c>
      <c r="G106" s="149">
        <v>0</v>
      </c>
      <c r="H106" s="267" t="str">
        <v>Administração local (%)</v>
      </c>
      <c r="I106" s="192">
        <v>0</v>
      </c>
      <c r="J106" s="192">
        <v>1734.7882251091637</v>
      </c>
      <c r="K106" s="192">
        <v>816585.44508531387</v>
      </c>
      <c r="L106" s="192">
        <v>1271812.7342693966</v>
      </c>
      <c r="M106" s="192">
        <v>1133755.3164763867</v>
      </c>
      <c r="N106" s="192">
        <v>1226353.1118859532</v>
      </c>
      <c r="O106" s="192">
        <v>0</v>
      </c>
      <c r="P106" s="192">
        <v>0</v>
      </c>
      <c r="Q106" s="192">
        <v>0</v>
      </c>
      <c r="R106" s="192">
        <v>0</v>
      </c>
      <c r="S106" s="192">
        <v>0</v>
      </c>
      <c r="T106" s="192">
        <v>0</v>
      </c>
      <c r="U106" s="192">
        <v>0</v>
      </c>
      <c r="V106" s="192">
        <v>0</v>
      </c>
      <c r="W106" s="192">
        <v>616291.69854531111</v>
      </c>
      <c r="X106" s="192">
        <v>0</v>
      </c>
      <c r="Y106" s="192">
        <v>0</v>
      </c>
      <c r="Z106" s="192">
        <v>0</v>
      </c>
      <c r="AA106" s="192">
        <v>0</v>
      </c>
      <c r="AB106" s="192">
        <v>0</v>
      </c>
      <c r="AC106" s="192">
        <v>0</v>
      </c>
      <c r="AD106" s="192">
        <v>0</v>
      </c>
      <c r="AE106" s="192">
        <v>0</v>
      </c>
      <c r="AF106" s="192">
        <v>0</v>
      </c>
      <c r="AG106" s="192">
        <v>0</v>
      </c>
      <c r="AH106" s="192">
        <v>0</v>
      </c>
      <c r="AI106" s="192">
        <v>0</v>
      </c>
      <c r="AJ106" s="192">
        <v>0</v>
      </c>
      <c r="AK106" s="192">
        <v>0</v>
      </c>
      <c r="AL106" s="192">
        <v>0</v>
      </c>
    </row>
    <row r="107" spans="2:38">
      <c r="B107" s="122" t="str">
        <v>Cenário 20/03/2025 com IFC</v>
      </c>
      <c r="C107" s="448" t="str">
        <v>Pórtico 3 (MG-262)</v>
      </c>
      <c r="D107" s="149" t="str">
        <v>4</v>
      </c>
      <c r="E107" s="149" t="str">
        <v>4.18</v>
      </c>
      <c r="F107" s="149">
        <v>1</v>
      </c>
      <c r="G107" s="149">
        <v>0</v>
      </c>
      <c r="H107" s="267" t="str">
        <v>Canteiro de obras (%)</v>
      </c>
      <c r="I107" s="192">
        <v>0</v>
      </c>
      <c r="J107" s="192">
        <v>437.22304860474856</v>
      </c>
      <c r="K107" s="192">
        <v>205806.0877857295</v>
      </c>
      <c r="L107" s="192">
        <v>320538.168799604</v>
      </c>
      <c r="M107" s="192">
        <v>285743.20984364219</v>
      </c>
      <c r="N107" s="192">
        <v>309080.86559727276</v>
      </c>
      <c r="O107" s="192">
        <v>0</v>
      </c>
      <c r="P107" s="192">
        <v>0</v>
      </c>
      <c r="Q107" s="192">
        <v>0</v>
      </c>
      <c r="R107" s="192">
        <v>0</v>
      </c>
      <c r="S107" s="192">
        <v>0</v>
      </c>
      <c r="T107" s="192">
        <v>0</v>
      </c>
      <c r="U107" s="192">
        <v>0</v>
      </c>
      <c r="V107" s="192">
        <v>0</v>
      </c>
      <c r="W107" s="192">
        <v>155325.55003987515</v>
      </c>
      <c r="X107" s="192">
        <v>0</v>
      </c>
      <c r="Y107" s="192">
        <v>0</v>
      </c>
      <c r="Z107" s="192">
        <v>0</v>
      </c>
      <c r="AA107" s="192">
        <v>0</v>
      </c>
      <c r="AB107" s="192">
        <v>0</v>
      </c>
      <c r="AC107" s="192">
        <v>0</v>
      </c>
      <c r="AD107" s="192">
        <v>0</v>
      </c>
      <c r="AE107" s="192">
        <v>0</v>
      </c>
      <c r="AF107" s="192">
        <v>0</v>
      </c>
      <c r="AG107" s="192">
        <v>0</v>
      </c>
      <c r="AH107" s="192">
        <v>0</v>
      </c>
      <c r="AI107" s="192">
        <v>0</v>
      </c>
      <c r="AJ107" s="192">
        <v>0</v>
      </c>
      <c r="AK107" s="192">
        <v>0</v>
      </c>
      <c r="AL107" s="192">
        <v>0</v>
      </c>
    </row>
    <row r="108" spans="2:38">
      <c r="B108" s="122" t="str">
        <v>Cenário 20/03/2025 com IFC</v>
      </c>
      <c r="C108" s="448" t="str">
        <v>Pórtico 3 (MG-262)</v>
      </c>
      <c r="D108" s="149" t="str">
        <v>4</v>
      </c>
      <c r="E108" s="149" t="str">
        <v>4.19</v>
      </c>
      <c r="F108" s="149">
        <v>1</v>
      </c>
      <c r="G108" s="149">
        <v>0</v>
      </c>
      <c r="H108" s="267" t="str">
        <v>Mobilização e desmobilização (%)</v>
      </c>
      <c r="I108" s="192">
        <v>0</v>
      </c>
      <c r="J108" s="192">
        <v>8.1803021997017478</v>
      </c>
      <c r="K108" s="192">
        <v>3850.5655134104227</v>
      </c>
      <c r="L108" s="192">
        <v>5997.1657388313006</v>
      </c>
      <c r="M108" s="192">
        <v>5346.1632809455632</v>
      </c>
      <c r="N108" s="192">
        <v>5782.8032918199424</v>
      </c>
      <c r="O108" s="192">
        <v>0</v>
      </c>
      <c r="P108" s="192">
        <v>0</v>
      </c>
      <c r="Q108" s="192">
        <v>0</v>
      </c>
      <c r="R108" s="192">
        <v>0</v>
      </c>
      <c r="S108" s="192">
        <v>0</v>
      </c>
      <c r="T108" s="192">
        <v>0</v>
      </c>
      <c r="U108" s="192">
        <v>0</v>
      </c>
      <c r="V108" s="192">
        <v>0</v>
      </c>
      <c r="W108" s="192">
        <v>2906.0909362299221</v>
      </c>
      <c r="X108" s="192">
        <v>0</v>
      </c>
      <c r="Y108" s="192">
        <v>0</v>
      </c>
      <c r="Z108" s="192">
        <v>0</v>
      </c>
      <c r="AA108" s="192">
        <v>0</v>
      </c>
      <c r="AB108" s="192">
        <v>0</v>
      </c>
      <c r="AC108" s="192">
        <v>0</v>
      </c>
      <c r="AD108" s="192">
        <v>0</v>
      </c>
      <c r="AE108" s="192">
        <v>0</v>
      </c>
      <c r="AF108" s="192">
        <v>0</v>
      </c>
      <c r="AG108" s="192">
        <v>0</v>
      </c>
      <c r="AH108" s="192">
        <v>0</v>
      </c>
      <c r="AI108" s="192">
        <v>0</v>
      </c>
      <c r="AJ108" s="192">
        <v>0</v>
      </c>
      <c r="AK108" s="192">
        <v>0</v>
      </c>
      <c r="AL108" s="192">
        <v>0</v>
      </c>
    </row>
    <row r="109" spans="2:38">
      <c r="B109" s="122" t="str">
        <v>Cenário 20/03/2025 com IFC</v>
      </c>
      <c r="C109" s="448" t="str">
        <v>Pórtico 3 (MG-262)</v>
      </c>
      <c r="D109" s="149" t="str">
        <v>4</v>
      </c>
      <c r="E109" s="149" t="str">
        <v>4.20</v>
      </c>
      <c r="F109" s="149">
        <v>1</v>
      </c>
      <c r="G109" s="149">
        <v>0</v>
      </c>
      <c r="H109" s="267" t="str">
        <v>Projetos (%)</v>
      </c>
      <c r="I109" s="192">
        <v>0</v>
      </c>
      <c r="J109" s="192">
        <v>3525.9923274576499</v>
      </c>
      <c r="K109" s="192">
        <v>1659726.5144010445</v>
      </c>
      <c r="L109" s="192">
        <v>2584985.2322548712</v>
      </c>
      <c r="M109" s="192">
        <v>2304380.7245455016</v>
      </c>
      <c r="N109" s="192">
        <v>2492587.6257844581</v>
      </c>
      <c r="O109" s="192">
        <v>0</v>
      </c>
      <c r="P109" s="192">
        <v>0</v>
      </c>
      <c r="Q109" s="192">
        <v>0</v>
      </c>
      <c r="R109" s="192">
        <v>0</v>
      </c>
      <c r="S109" s="192">
        <v>0</v>
      </c>
      <c r="T109" s="192">
        <v>0</v>
      </c>
      <c r="U109" s="192">
        <v>0</v>
      </c>
      <c r="V109" s="192">
        <v>0</v>
      </c>
      <c r="W109" s="192">
        <v>1252625.4035473804</v>
      </c>
      <c r="X109" s="192">
        <v>0</v>
      </c>
      <c r="Y109" s="192">
        <v>0</v>
      </c>
      <c r="Z109" s="192">
        <v>0</v>
      </c>
      <c r="AA109" s="192">
        <v>0</v>
      </c>
      <c r="AB109" s="192">
        <v>0</v>
      </c>
      <c r="AC109" s="192">
        <v>0</v>
      </c>
      <c r="AD109" s="192">
        <v>0</v>
      </c>
      <c r="AE109" s="192">
        <v>0</v>
      </c>
      <c r="AF109" s="192">
        <v>0</v>
      </c>
      <c r="AG109" s="192">
        <v>0</v>
      </c>
      <c r="AH109" s="192">
        <v>0</v>
      </c>
      <c r="AI109" s="192">
        <v>0</v>
      </c>
      <c r="AJ109" s="192">
        <v>0</v>
      </c>
      <c r="AK109" s="192">
        <v>0</v>
      </c>
      <c r="AL109" s="192">
        <v>0</v>
      </c>
    </row>
    <row r="110" spans="2:38">
      <c r="B110" s="122" t="str">
        <v>Cenário 20/03/2025 com IFC</v>
      </c>
      <c r="C110" s="448" t="str">
        <v>Pórtico 3 (MG-262)</v>
      </c>
      <c r="D110" s="149" t="str">
        <v>3</v>
      </c>
      <c r="E110" s="149">
        <v>3</v>
      </c>
      <c r="F110" s="149">
        <v>1</v>
      </c>
      <c r="G110" s="149">
        <v>0</v>
      </c>
      <c r="H110" s="267" t="str">
        <v>Manutenção da rodovia</v>
      </c>
      <c r="I110" s="192">
        <v>0</v>
      </c>
      <c r="J110" s="192">
        <v>0</v>
      </c>
      <c r="K110" s="192">
        <v>0</v>
      </c>
      <c r="L110" s="192">
        <v>0</v>
      </c>
      <c r="M110" s="192">
        <v>0</v>
      </c>
      <c r="N110" s="192">
        <v>0</v>
      </c>
      <c r="O110" s="192">
        <v>0</v>
      </c>
      <c r="P110" s="192">
        <v>0</v>
      </c>
      <c r="Q110" s="192">
        <v>0</v>
      </c>
      <c r="R110" s="192">
        <v>0</v>
      </c>
      <c r="S110" s="192">
        <v>0</v>
      </c>
      <c r="T110" s="192">
        <v>0</v>
      </c>
      <c r="U110" s="192">
        <v>0</v>
      </c>
      <c r="V110" s="192">
        <v>0</v>
      </c>
      <c r="W110" s="192">
        <v>0</v>
      </c>
      <c r="X110" s="192">
        <v>0</v>
      </c>
      <c r="Y110" s="192">
        <v>0</v>
      </c>
      <c r="Z110" s="192">
        <v>0</v>
      </c>
      <c r="AA110" s="192">
        <v>0</v>
      </c>
      <c r="AB110" s="192">
        <v>0</v>
      </c>
      <c r="AC110" s="192">
        <v>0</v>
      </c>
      <c r="AD110" s="192">
        <v>0</v>
      </c>
      <c r="AE110" s="192">
        <v>0</v>
      </c>
      <c r="AF110" s="192">
        <v>0</v>
      </c>
      <c r="AG110" s="192">
        <v>0</v>
      </c>
      <c r="AH110" s="192">
        <v>0</v>
      </c>
      <c r="AI110" s="192">
        <v>0</v>
      </c>
      <c r="AJ110" s="192">
        <v>0</v>
      </c>
      <c r="AK110" s="192">
        <v>0</v>
      </c>
      <c r="AL110" s="192">
        <v>0</v>
      </c>
    </row>
    <row r="111" spans="2:38">
      <c r="B111" s="122" t="str">
        <v>Cenário 20/03/2025 com IFC</v>
      </c>
      <c r="C111" s="448" t="str">
        <v>Pórtico 3 (MG-262)</v>
      </c>
      <c r="D111" s="149" t="str">
        <v>3</v>
      </c>
      <c r="E111" s="149" t="str">
        <v>3.1</v>
      </c>
      <c r="F111" s="149">
        <v>1</v>
      </c>
      <c r="G111" s="149">
        <v>0</v>
      </c>
      <c r="H111" s="267" t="str">
        <v>Pavimento</v>
      </c>
      <c r="I111" s="192">
        <v>0</v>
      </c>
      <c r="J111" s="192">
        <v>0</v>
      </c>
      <c r="K111" s="192">
        <v>0</v>
      </c>
      <c r="L111" s="192">
        <v>0</v>
      </c>
      <c r="M111" s="192">
        <v>0</v>
      </c>
      <c r="N111" s="192">
        <v>0</v>
      </c>
      <c r="O111" s="192">
        <v>0</v>
      </c>
      <c r="P111" s="192">
        <v>9669870.2016424015</v>
      </c>
      <c r="Q111" s="192">
        <v>39535614.714957118</v>
      </c>
      <c r="R111" s="192">
        <v>11686148.558218079</v>
      </c>
      <c r="S111" s="192">
        <v>2606443.6644015992</v>
      </c>
      <c r="T111" s="192">
        <v>0</v>
      </c>
      <c r="U111" s="192">
        <v>0</v>
      </c>
      <c r="V111" s="192">
        <v>0</v>
      </c>
      <c r="W111" s="192">
        <v>0</v>
      </c>
      <c r="X111" s="192">
        <v>0</v>
      </c>
      <c r="Y111" s="192">
        <v>4932003.8800215991</v>
      </c>
      <c r="Z111" s="192">
        <v>59716264.907557681</v>
      </c>
      <c r="AA111" s="192">
        <v>32201023.666953441</v>
      </c>
      <c r="AB111" s="192">
        <v>20956422.979392879</v>
      </c>
      <c r="AC111" s="192">
        <v>6975886.7055464005</v>
      </c>
      <c r="AD111" s="192">
        <v>2411932.9431775999</v>
      </c>
      <c r="AE111" s="192">
        <v>1011455.7503648001</v>
      </c>
      <c r="AF111" s="192">
        <v>0</v>
      </c>
      <c r="AG111" s="192">
        <v>1856734.3514399999</v>
      </c>
      <c r="AH111" s="192">
        <v>27505796.514878884</v>
      </c>
      <c r="AI111" s="192">
        <v>19638108.551711198</v>
      </c>
      <c r="AJ111" s="192">
        <v>10011673.491025921</v>
      </c>
      <c r="AK111" s="192">
        <v>0</v>
      </c>
      <c r="AL111" s="192">
        <v>889974.00744000007</v>
      </c>
    </row>
    <row r="112" spans="2:38">
      <c r="B112" s="122" t="str">
        <v>Cenário 20/03/2025 com IFC</v>
      </c>
      <c r="C112" s="448" t="str">
        <v>Pórtico 3 (MG-262)</v>
      </c>
      <c r="D112" s="149" t="str">
        <v>3</v>
      </c>
      <c r="E112" s="149" t="str">
        <v>3.2</v>
      </c>
      <c r="F112" s="149">
        <v>1</v>
      </c>
      <c r="G112" s="149">
        <v>0</v>
      </c>
      <c r="H112" s="267" t="str">
        <v>Obras de arte especiais</v>
      </c>
      <c r="I112" s="192">
        <v>0</v>
      </c>
      <c r="J112" s="192">
        <v>0</v>
      </c>
      <c r="K112" s="192">
        <v>0</v>
      </c>
      <c r="L112" s="192">
        <v>0</v>
      </c>
      <c r="M112" s="192">
        <v>0</v>
      </c>
      <c r="N112" s="192">
        <v>0</v>
      </c>
      <c r="O112" s="192">
        <v>0</v>
      </c>
      <c r="P112" s="192">
        <v>0</v>
      </c>
      <c r="Q112" s="192">
        <v>0</v>
      </c>
      <c r="R112" s="192">
        <v>0</v>
      </c>
      <c r="S112" s="192">
        <v>0</v>
      </c>
      <c r="T112" s="192">
        <v>0</v>
      </c>
      <c r="U112" s="192">
        <v>0</v>
      </c>
      <c r="V112" s="192">
        <v>0</v>
      </c>
      <c r="W112" s="192">
        <v>0</v>
      </c>
      <c r="X112" s="192">
        <v>0</v>
      </c>
      <c r="Y112" s="192">
        <v>0</v>
      </c>
      <c r="Z112" s="192">
        <v>0</v>
      </c>
      <c r="AA112" s="192">
        <v>0</v>
      </c>
      <c r="AB112" s="192">
        <v>0</v>
      </c>
      <c r="AC112" s="192">
        <v>0</v>
      </c>
      <c r="AD112" s="192">
        <v>0</v>
      </c>
      <c r="AE112" s="192">
        <v>0</v>
      </c>
      <c r="AF112" s="192">
        <v>0</v>
      </c>
      <c r="AG112" s="192">
        <v>0</v>
      </c>
      <c r="AH112" s="192">
        <v>0</v>
      </c>
      <c r="AI112" s="192">
        <v>0</v>
      </c>
      <c r="AJ112" s="192">
        <v>0</v>
      </c>
      <c r="AK112" s="192">
        <v>0</v>
      </c>
      <c r="AL112" s="192">
        <v>0</v>
      </c>
    </row>
    <row r="113" spans="2:38">
      <c r="B113" s="122" t="str">
        <v>Cenário 20/03/2025 com IFC</v>
      </c>
      <c r="C113" s="448" t="str">
        <v>Pórtico 3 (MG-262)</v>
      </c>
      <c r="D113" s="149" t="str">
        <v>3</v>
      </c>
      <c r="E113" s="149" t="str">
        <v>3.3</v>
      </c>
      <c r="F113" s="149">
        <v>1</v>
      </c>
      <c r="G113" s="149">
        <v>0</v>
      </c>
      <c r="H113" s="267" t="str">
        <v>Drenagem e obras de arte correntes</v>
      </c>
      <c r="I113" s="192">
        <v>0</v>
      </c>
      <c r="J113" s="192">
        <v>0</v>
      </c>
      <c r="K113" s="192">
        <v>0</v>
      </c>
      <c r="L113" s="192">
        <v>0</v>
      </c>
      <c r="M113" s="192">
        <v>0</v>
      </c>
      <c r="N113" s="192">
        <v>0</v>
      </c>
      <c r="O113" s="192">
        <v>0</v>
      </c>
      <c r="P113" s="192">
        <v>0</v>
      </c>
      <c r="Q113" s="192">
        <v>0</v>
      </c>
      <c r="R113" s="192">
        <v>0</v>
      </c>
      <c r="S113" s="192">
        <v>0</v>
      </c>
      <c r="T113" s="192">
        <v>0</v>
      </c>
      <c r="U113" s="192">
        <v>0</v>
      </c>
      <c r="V113" s="192">
        <v>0</v>
      </c>
      <c r="W113" s="192">
        <v>0</v>
      </c>
      <c r="X113" s="192">
        <v>0</v>
      </c>
      <c r="Y113" s="192">
        <v>0</v>
      </c>
      <c r="Z113" s="192">
        <v>0</v>
      </c>
      <c r="AA113" s="192">
        <v>0</v>
      </c>
      <c r="AB113" s="192">
        <v>0</v>
      </c>
      <c r="AC113" s="192">
        <v>0</v>
      </c>
      <c r="AD113" s="192">
        <v>0</v>
      </c>
      <c r="AE113" s="192">
        <v>0</v>
      </c>
      <c r="AF113" s="192">
        <v>0</v>
      </c>
      <c r="AG113" s="192">
        <v>0</v>
      </c>
      <c r="AH113" s="192">
        <v>0</v>
      </c>
      <c r="AI113" s="192">
        <v>0</v>
      </c>
      <c r="AJ113" s="192">
        <v>0</v>
      </c>
      <c r="AK113" s="192">
        <v>0</v>
      </c>
      <c r="AL113" s="192">
        <v>0</v>
      </c>
    </row>
    <row r="114" spans="2:38">
      <c r="B114" s="122" t="str">
        <v>Cenário 20/03/2025 com IFC</v>
      </c>
      <c r="C114" s="448" t="str">
        <v>Pórtico 3 (MG-262)</v>
      </c>
      <c r="D114" s="149" t="str">
        <v>3</v>
      </c>
      <c r="E114" s="149" t="str">
        <v>3.4</v>
      </c>
      <c r="F114" s="149">
        <v>1</v>
      </c>
      <c r="G114" s="149">
        <v>0</v>
      </c>
      <c r="H114" s="267" t="str">
        <v xml:space="preserve">Sinalização e dispositivos de proteção e segurança </v>
      </c>
      <c r="I114" s="192">
        <v>0</v>
      </c>
      <c r="J114" s="192">
        <v>0</v>
      </c>
      <c r="K114" s="192">
        <v>0</v>
      </c>
      <c r="L114" s="192">
        <v>0</v>
      </c>
      <c r="M114" s="192">
        <v>0</v>
      </c>
      <c r="N114" s="192">
        <v>0</v>
      </c>
      <c r="O114" s="192">
        <v>0</v>
      </c>
      <c r="P114" s="192">
        <v>338125.42499999999</v>
      </c>
      <c r="Q114" s="192">
        <v>1356181.0262500003</v>
      </c>
      <c r="R114" s="192">
        <v>429083.95874999999</v>
      </c>
      <c r="S114" s="192">
        <v>93613.237500000003</v>
      </c>
      <c r="T114" s="192">
        <v>0</v>
      </c>
      <c r="U114" s="192">
        <v>0</v>
      </c>
      <c r="V114" s="192">
        <v>0</v>
      </c>
      <c r="W114" s="192">
        <v>0</v>
      </c>
      <c r="X114" s="192">
        <v>0</v>
      </c>
      <c r="Y114" s="192">
        <v>93613.237500000017</v>
      </c>
      <c r="Z114" s="192">
        <v>1082979.4087499999</v>
      </c>
      <c r="AA114" s="192">
        <v>590601.72374999989</v>
      </c>
      <c r="AB114" s="192">
        <v>402536.92124999996</v>
      </c>
      <c r="AC114" s="192">
        <v>129940.7625</v>
      </c>
      <c r="AD114" s="192">
        <v>86627.175000000003</v>
      </c>
      <c r="AE114" s="192">
        <v>36327.525000000009</v>
      </c>
      <c r="AF114" s="192">
        <v>0</v>
      </c>
      <c r="AG114" s="192">
        <v>69860.625</v>
      </c>
      <c r="AH114" s="192">
        <v>953504.38375000004</v>
      </c>
      <c r="AI114" s="192">
        <v>707222.39375000005</v>
      </c>
      <c r="AJ114" s="192">
        <v>692039.35125000007</v>
      </c>
      <c r="AK114" s="192">
        <v>0</v>
      </c>
      <c r="AL114" s="192">
        <v>69860.625</v>
      </c>
    </row>
    <row r="115" spans="2:38">
      <c r="B115" s="122" t="str">
        <v>Cenário 20/03/2025 com IFC</v>
      </c>
      <c r="C115" s="448" t="str">
        <v>Pórtico 3 (MG-262)</v>
      </c>
      <c r="D115" s="149" t="str">
        <v>3</v>
      </c>
      <c r="E115" s="149" t="str">
        <v>3.5</v>
      </c>
      <c r="F115" s="149">
        <v>1</v>
      </c>
      <c r="G115" s="149">
        <v>0</v>
      </c>
      <c r="H115" s="267" t="str">
        <v>Administração local (%)</v>
      </c>
      <c r="I115" s="192">
        <v>0</v>
      </c>
      <c r="J115" s="192">
        <v>0</v>
      </c>
      <c r="K115" s="192">
        <v>0</v>
      </c>
      <c r="L115" s="192">
        <v>0</v>
      </c>
      <c r="M115" s="192">
        <v>0</v>
      </c>
      <c r="N115" s="192">
        <v>0</v>
      </c>
      <c r="O115" s="192">
        <v>0</v>
      </c>
      <c r="P115" s="192">
        <v>123098.34620770154</v>
      </c>
      <c r="Q115" s="192">
        <v>502969.08761684754</v>
      </c>
      <c r="R115" s="192">
        <v>149017.35995870738</v>
      </c>
      <c r="S115" s="192">
        <v>33210.699893389668</v>
      </c>
      <c r="T115" s="192">
        <v>0</v>
      </c>
      <c r="U115" s="192">
        <v>0</v>
      </c>
      <c r="V115" s="192">
        <v>0</v>
      </c>
      <c r="W115" s="192">
        <v>0</v>
      </c>
      <c r="X115" s="192">
        <v>0</v>
      </c>
      <c r="Y115" s="192">
        <v>61815.090545515668</v>
      </c>
      <c r="Z115" s="192">
        <v>747830.70509058447</v>
      </c>
      <c r="AA115" s="192">
        <v>403336.9923056523</v>
      </c>
      <c r="AB115" s="192">
        <v>262715.20677790744</v>
      </c>
      <c r="AC115" s="192">
        <v>87401.677856970724</v>
      </c>
      <c r="AD115" s="192">
        <v>30732.289453584479</v>
      </c>
      <c r="AE115" s="192">
        <v>12887.734286987041</v>
      </c>
      <c r="AF115" s="192">
        <v>0</v>
      </c>
      <c r="AG115" s="192">
        <v>23697.118210212</v>
      </c>
      <c r="AH115" s="192">
        <v>350049.40105313528</v>
      </c>
      <c r="AI115" s="192">
        <v>250247.57062917275</v>
      </c>
      <c r="AJ115" s="192">
        <v>131655.66795999382</v>
      </c>
      <c r="AK115" s="192">
        <v>0</v>
      </c>
      <c r="AL115" s="192">
        <v>11805.965979012</v>
      </c>
    </row>
    <row r="116" spans="2:38">
      <c r="B116" s="122" t="str">
        <v>Cenário 20/03/2025 com IFC</v>
      </c>
      <c r="C116" s="448" t="str">
        <v>Pórtico 3 (MG-262)</v>
      </c>
      <c r="D116" s="149" t="str">
        <v>3</v>
      </c>
      <c r="E116" s="149" t="str">
        <v>3.6</v>
      </c>
      <c r="F116" s="149">
        <v>1</v>
      </c>
      <c r="G116" s="149">
        <v>0</v>
      </c>
      <c r="H116" s="267" t="str">
        <v>Canteiro de obras (%)</v>
      </c>
      <c r="I116" s="192">
        <v>0</v>
      </c>
      <c r="J116" s="192">
        <v>0</v>
      </c>
      <c r="K116" s="192">
        <v>0</v>
      </c>
      <c r="L116" s="192">
        <v>0</v>
      </c>
      <c r="M116" s="192">
        <v>0</v>
      </c>
      <c r="N116" s="192">
        <v>0</v>
      </c>
      <c r="O116" s="192">
        <v>0</v>
      </c>
      <c r="P116" s="192">
        <v>31024.786442591445</v>
      </c>
      <c r="Q116" s="192">
        <v>126764.56679774205</v>
      </c>
      <c r="R116" s="192">
        <v>37557.220802601041</v>
      </c>
      <c r="S116" s="192">
        <v>8370.1763958949559</v>
      </c>
      <c r="T116" s="192">
        <v>0</v>
      </c>
      <c r="U116" s="192">
        <v>0</v>
      </c>
      <c r="V116" s="192">
        <v>0</v>
      </c>
      <c r="W116" s="192">
        <v>0</v>
      </c>
      <c r="X116" s="192">
        <v>0</v>
      </c>
      <c r="Y116" s="192">
        <v>15579.413064316956</v>
      </c>
      <c r="Z116" s="192">
        <v>188477.65738055381</v>
      </c>
      <c r="AA116" s="192">
        <v>101654.03871118066</v>
      </c>
      <c r="AB116" s="192">
        <v>66212.775691992923</v>
      </c>
      <c r="AC116" s="192">
        <v>22028.065150943843</v>
      </c>
      <c r="AD116" s="192">
        <v>7745.5363663505586</v>
      </c>
      <c r="AE116" s="192">
        <v>3248.1281536308802</v>
      </c>
      <c r="AF116" s="192">
        <v>0</v>
      </c>
      <c r="AG116" s="192">
        <v>5972.4444269639998</v>
      </c>
      <c r="AH116" s="192">
        <v>88223.832785749531</v>
      </c>
      <c r="AI116" s="192">
        <v>63070.525930929711</v>
      </c>
      <c r="AJ116" s="192">
        <v>33181.509811055352</v>
      </c>
      <c r="AK116" s="192">
        <v>0</v>
      </c>
      <c r="AL116" s="192">
        <v>2975.487360564</v>
      </c>
    </row>
    <row r="117" spans="2:38">
      <c r="B117" s="122" t="str">
        <v>Cenário 20/03/2025 com IFC</v>
      </c>
      <c r="C117" s="448" t="str">
        <v>Pórtico 3 (MG-262)</v>
      </c>
      <c r="D117" s="149" t="str">
        <v>3</v>
      </c>
      <c r="E117" s="149" t="str">
        <v>3.7</v>
      </c>
      <c r="F117" s="149">
        <v>1</v>
      </c>
      <c r="G117" s="149">
        <v>0</v>
      </c>
      <c r="H117" s="267" t="str">
        <v>Mobilização e desmobilização (%)</v>
      </c>
      <c r="I117" s="192">
        <v>0</v>
      </c>
      <c r="J117" s="192">
        <v>0</v>
      </c>
      <c r="K117" s="192">
        <v>0</v>
      </c>
      <c r="L117" s="192">
        <v>0</v>
      </c>
      <c r="M117" s="192">
        <v>0</v>
      </c>
      <c r="N117" s="192">
        <v>0</v>
      </c>
      <c r="O117" s="192">
        <v>0</v>
      </c>
      <c r="P117" s="192">
        <v>580.46374634525932</v>
      </c>
      <c r="Q117" s="192">
        <v>2371.7241529900125</v>
      </c>
      <c r="R117" s="192">
        <v>702.68348598414855</v>
      </c>
      <c r="S117" s="192">
        <v>156.60330031029275</v>
      </c>
      <c r="T117" s="192">
        <v>0</v>
      </c>
      <c r="U117" s="192">
        <v>0</v>
      </c>
      <c r="V117" s="192">
        <v>0</v>
      </c>
      <c r="W117" s="192">
        <v>0</v>
      </c>
      <c r="X117" s="192">
        <v>0</v>
      </c>
      <c r="Y117" s="192">
        <v>291.48579281625274</v>
      </c>
      <c r="Z117" s="192">
        <v>3526.3561703458454</v>
      </c>
      <c r="AA117" s="192">
        <v>1901.9142726607995</v>
      </c>
      <c r="AB117" s="192">
        <v>1238.819674237287</v>
      </c>
      <c r="AC117" s="192">
        <v>412.13799314669126</v>
      </c>
      <c r="AD117" s="192">
        <v>144.91648685430079</v>
      </c>
      <c r="AE117" s="192">
        <v>60.771429971158405</v>
      </c>
      <c r="AF117" s="192">
        <v>0</v>
      </c>
      <c r="AG117" s="192">
        <v>111.74250863351999</v>
      </c>
      <c r="AH117" s="192">
        <v>1650.6394521204752</v>
      </c>
      <c r="AI117" s="192">
        <v>1180.0291948367496</v>
      </c>
      <c r="AJ117" s="192">
        <v>620.81534485200348</v>
      </c>
      <c r="AK117" s="192">
        <v>0</v>
      </c>
      <c r="AL117" s="192">
        <v>55.670408681520001</v>
      </c>
    </row>
    <row r="118" spans="2:38">
      <c r="B118" s="122" t="str">
        <v>Cenário 20/03/2025 com IFC</v>
      </c>
      <c r="C118" s="448" t="str">
        <v>Pórtico 3 (MG-262)</v>
      </c>
      <c r="D118" s="149" t="str">
        <v>3</v>
      </c>
      <c r="E118" s="149" t="str">
        <v>3.8</v>
      </c>
      <c r="F118" s="149">
        <v>1</v>
      </c>
      <c r="G118" s="149">
        <v>0</v>
      </c>
      <c r="H118" s="267" t="str">
        <v>Projetos (%)</v>
      </c>
      <c r="I118" s="192">
        <v>0</v>
      </c>
      <c r="J118" s="192">
        <v>0</v>
      </c>
      <c r="K118" s="192">
        <v>0</v>
      </c>
      <c r="L118" s="192">
        <v>0</v>
      </c>
      <c r="M118" s="192">
        <v>0</v>
      </c>
      <c r="N118" s="192">
        <v>0</v>
      </c>
      <c r="O118" s="192">
        <v>0</v>
      </c>
      <c r="P118" s="192">
        <v>250199.89066606006</v>
      </c>
      <c r="Q118" s="192">
        <v>1022294.8935301779</v>
      </c>
      <c r="R118" s="192">
        <v>302880.81292420201</v>
      </c>
      <c r="S118" s="192">
        <v>67501.422547539973</v>
      </c>
      <c r="T118" s="192">
        <v>0</v>
      </c>
      <c r="U118" s="192">
        <v>0</v>
      </c>
      <c r="V118" s="192">
        <v>0</v>
      </c>
      <c r="W118" s="192">
        <v>0</v>
      </c>
      <c r="X118" s="192">
        <v>0</v>
      </c>
      <c r="Y118" s="192">
        <v>125640.42793803998</v>
      </c>
      <c r="Z118" s="192">
        <v>1519981.107907692</v>
      </c>
      <c r="AA118" s="192">
        <v>819790.63476758602</v>
      </c>
      <c r="AB118" s="192">
        <v>533973.99751607201</v>
      </c>
      <c r="AC118" s="192">
        <v>177645.68670116004</v>
      </c>
      <c r="AD118" s="192">
        <v>62464.002954439995</v>
      </c>
      <c r="AE118" s="192">
        <v>26194.581884120005</v>
      </c>
      <c r="AF118" s="192">
        <v>0</v>
      </c>
      <c r="AG118" s="192">
        <v>48164.874410999997</v>
      </c>
      <c r="AH118" s="192">
        <v>711482.52246572217</v>
      </c>
      <c r="AI118" s="192">
        <v>508633.27363652998</v>
      </c>
      <c r="AJ118" s="192">
        <v>267592.82105689804</v>
      </c>
      <c r="AK118" s="192">
        <v>0</v>
      </c>
      <c r="AL118" s="192">
        <v>23995.865811000003</v>
      </c>
    </row>
    <row r="119" spans="2:38">
      <c r="B119" s="122" t="str">
        <v>Cenário 20/03/2025 com IFC</v>
      </c>
      <c r="C119" s="448" t="str">
        <v>Pórtico 3 (MG-262)</v>
      </c>
      <c r="D119" s="149" t="str">
        <v>3</v>
      </c>
      <c r="E119" s="149" t="str">
        <v>3a</v>
      </c>
      <c r="F119" s="149">
        <v>1</v>
      </c>
      <c r="G119" s="149">
        <v>0</v>
      </c>
      <c r="H119" s="267" t="str">
        <v>Manutenção Do Sistema Rodoviário (Contornos)</v>
      </c>
      <c r="I119" s="192">
        <v>0</v>
      </c>
      <c r="J119" s="192">
        <v>0</v>
      </c>
      <c r="K119" s="192">
        <v>0</v>
      </c>
      <c r="L119" s="192">
        <v>0</v>
      </c>
      <c r="M119" s="192">
        <v>0</v>
      </c>
      <c r="N119" s="192">
        <v>0</v>
      </c>
      <c r="O119" s="192">
        <v>0</v>
      </c>
      <c r="P119" s="192">
        <v>0</v>
      </c>
      <c r="Q119" s="192">
        <v>0</v>
      </c>
      <c r="R119" s="192">
        <v>0</v>
      </c>
      <c r="S119" s="192">
        <v>0</v>
      </c>
      <c r="T119" s="192">
        <v>0</v>
      </c>
      <c r="U119" s="192">
        <v>0</v>
      </c>
      <c r="V119" s="192">
        <v>0</v>
      </c>
      <c r="W119" s="192">
        <v>0</v>
      </c>
      <c r="X119" s="192">
        <v>0</v>
      </c>
      <c r="Y119" s="192">
        <v>0</v>
      </c>
      <c r="Z119" s="192">
        <v>0</v>
      </c>
      <c r="AA119" s="192">
        <v>0</v>
      </c>
      <c r="AB119" s="192">
        <v>0</v>
      </c>
      <c r="AC119" s="192">
        <v>0</v>
      </c>
      <c r="AD119" s="192">
        <v>0</v>
      </c>
      <c r="AE119" s="192">
        <v>0</v>
      </c>
      <c r="AF119" s="192">
        <v>0</v>
      </c>
      <c r="AG119" s="192">
        <v>0</v>
      </c>
      <c r="AH119" s="192">
        <v>0</v>
      </c>
      <c r="AI119" s="192">
        <v>0</v>
      </c>
      <c r="AJ119" s="192">
        <v>0</v>
      </c>
      <c r="AK119" s="192">
        <v>0</v>
      </c>
      <c r="AL119" s="192">
        <v>0</v>
      </c>
    </row>
    <row r="120" spans="2:38">
      <c r="B120" s="122" t="str">
        <v>Cenário 20/03/2025 com IFC</v>
      </c>
      <c r="C120" s="448" t="str">
        <v>Pórtico 3 (MG-262)</v>
      </c>
      <c r="D120" s="149" t="str">
        <v>3</v>
      </c>
      <c r="E120" s="149" t="str">
        <v>3.1</v>
      </c>
      <c r="F120" s="149">
        <v>1</v>
      </c>
      <c r="G120" s="149">
        <v>0</v>
      </c>
      <c r="H120" s="267" t="str">
        <v>Pavimento</v>
      </c>
      <c r="I120" s="192">
        <v>0</v>
      </c>
      <c r="J120" s="192">
        <v>0</v>
      </c>
      <c r="K120" s="192">
        <v>0</v>
      </c>
      <c r="L120" s="192">
        <v>0</v>
      </c>
      <c r="M120" s="192">
        <v>0</v>
      </c>
      <c r="N120" s="192">
        <v>0</v>
      </c>
      <c r="O120" s="192">
        <v>0</v>
      </c>
      <c r="P120" s="192">
        <v>0</v>
      </c>
      <c r="Q120" s="192">
        <v>0</v>
      </c>
      <c r="R120" s="192">
        <v>0</v>
      </c>
      <c r="S120" s="192">
        <v>0</v>
      </c>
      <c r="T120" s="192">
        <v>0</v>
      </c>
      <c r="U120" s="192">
        <v>0</v>
      </c>
      <c r="V120" s="192">
        <v>0</v>
      </c>
      <c r="W120" s="192">
        <v>0</v>
      </c>
      <c r="X120" s="192">
        <v>0</v>
      </c>
      <c r="Y120" s="192">
        <v>0</v>
      </c>
      <c r="Z120" s="192">
        <v>0</v>
      </c>
      <c r="AA120" s="192">
        <v>0</v>
      </c>
      <c r="AB120" s="192">
        <v>0</v>
      </c>
      <c r="AC120" s="192">
        <v>0</v>
      </c>
      <c r="AD120" s="192">
        <v>0</v>
      </c>
      <c r="AE120" s="192">
        <v>0</v>
      </c>
      <c r="AF120" s="192">
        <v>0</v>
      </c>
      <c r="AG120" s="192">
        <v>0</v>
      </c>
      <c r="AH120" s="192">
        <v>0</v>
      </c>
      <c r="AI120" s="192">
        <v>0</v>
      </c>
      <c r="AJ120" s="192">
        <v>0</v>
      </c>
      <c r="AK120" s="192">
        <v>0</v>
      </c>
      <c r="AL120" s="192">
        <v>0</v>
      </c>
    </row>
    <row r="121" spans="2:38">
      <c r="B121" s="122" t="str">
        <v>Cenário 20/03/2025 com IFC</v>
      </c>
      <c r="C121" s="448" t="str">
        <v>Pórtico 3 (MG-262)</v>
      </c>
      <c r="D121" s="149" t="str">
        <v>3</v>
      </c>
      <c r="E121" s="149" t="str">
        <v>3.2</v>
      </c>
      <c r="F121" s="149">
        <v>1</v>
      </c>
      <c r="G121" s="149">
        <v>0</v>
      </c>
      <c r="H121" s="267" t="str">
        <v>Obras de arte especiais</v>
      </c>
      <c r="I121" s="192">
        <v>0</v>
      </c>
      <c r="J121" s="192">
        <v>0</v>
      </c>
      <c r="K121" s="192">
        <v>0</v>
      </c>
      <c r="L121" s="192">
        <v>0</v>
      </c>
      <c r="M121" s="192">
        <v>0</v>
      </c>
      <c r="N121" s="192">
        <v>0</v>
      </c>
      <c r="O121" s="192">
        <v>0</v>
      </c>
      <c r="P121" s="192">
        <v>0</v>
      </c>
      <c r="Q121" s="192">
        <v>0</v>
      </c>
      <c r="R121" s="192">
        <v>0</v>
      </c>
      <c r="S121" s="192">
        <v>0</v>
      </c>
      <c r="T121" s="192">
        <v>0</v>
      </c>
      <c r="U121" s="192">
        <v>0</v>
      </c>
      <c r="V121" s="192">
        <v>0</v>
      </c>
      <c r="W121" s="192">
        <v>0</v>
      </c>
      <c r="X121" s="192">
        <v>0</v>
      </c>
      <c r="Y121" s="192">
        <v>0</v>
      </c>
      <c r="Z121" s="192">
        <v>0</v>
      </c>
      <c r="AA121" s="192">
        <v>0</v>
      </c>
      <c r="AB121" s="192">
        <v>0</v>
      </c>
      <c r="AC121" s="192">
        <v>0</v>
      </c>
      <c r="AD121" s="192">
        <v>0</v>
      </c>
      <c r="AE121" s="192">
        <v>0</v>
      </c>
      <c r="AF121" s="192">
        <v>0</v>
      </c>
      <c r="AG121" s="192">
        <v>0</v>
      </c>
      <c r="AH121" s="192">
        <v>0</v>
      </c>
      <c r="AI121" s="192">
        <v>0</v>
      </c>
      <c r="AJ121" s="192">
        <v>0</v>
      </c>
      <c r="AK121" s="192">
        <v>0</v>
      </c>
      <c r="AL121" s="192">
        <v>0</v>
      </c>
    </row>
    <row r="122" spans="2:38">
      <c r="B122" s="122" t="str">
        <v>Cenário 20/03/2025 com IFC</v>
      </c>
      <c r="C122" s="448" t="str">
        <v>Pórtico 3 (MG-262)</v>
      </c>
      <c r="D122" s="149" t="str">
        <v>3</v>
      </c>
      <c r="E122" s="149" t="str">
        <v>3.3</v>
      </c>
      <c r="F122" s="149">
        <v>1</v>
      </c>
      <c r="G122" s="149">
        <v>0</v>
      </c>
      <c r="H122" s="267" t="str">
        <v>Drenagem e obras de arte correntes</v>
      </c>
      <c r="I122" s="192">
        <v>0</v>
      </c>
      <c r="J122" s="192">
        <v>0</v>
      </c>
      <c r="K122" s="192">
        <v>0</v>
      </c>
      <c r="L122" s="192">
        <v>0</v>
      </c>
      <c r="M122" s="192">
        <v>0</v>
      </c>
      <c r="N122" s="192">
        <v>0</v>
      </c>
      <c r="O122" s="192">
        <v>0</v>
      </c>
      <c r="P122" s="192">
        <v>0</v>
      </c>
      <c r="Q122" s="192">
        <v>0</v>
      </c>
      <c r="R122" s="192">
        <v>0</v>
      </c>
      <c r="S122" s="192">
        <v>0</v>
      </c>
      <c r="T122" s="192">
        <v>0</v>
      </c>
      <c r="U122" s="192">
        <v>0</v>
      </c>
      <c r="V122" s="192">
        <v>0</v>
      </c>
      <c r="W122" s="192">
        <v>0</v>
      </c>
      <c r="X122" s="192">
        <v>0</v>
      </c>
      <c r="Y122" s="192">
        <v>0</v>
      </c>
      <c r="Z122" s="192">
        <v>0</v>
      </c>
      <c r="AA122" s="192">
        <v>0</v>
      </c>
      <c r="AB122" s="192">
        <v>0</v>
      </c>
      <c r="AC122" s="192">
        <v>0</v>
      </c>
      <c r="AD122" s="192">
        <v>0</v>
      </c>
      <c r="AE122" s="192">
        <v>0</v>
      </c>
      <c r="AF122" s="192">
        <v>0</v>
      </c>
      <c r="AG122" s="192">
        <v>0</v>
      </c>
      <c r="AH122" s="192">
        <v>0</v>
      </c>
      <c r="AI122" s="192">
        <v>0</v>
      </c>
      <c r="AJ122" s="192">
        <v>0</v>
      </c>
      <c r="AK122" s="192">
        <v>0</v>
      </c>
      <c r="AL122" s="192">
        <v>0</v>
      </c>
    </row>
    <row r="123" spans="2:38">
      <c r="B123" s="122" t="str">
        <v>Cenário 20/03/2025 com IFC</v>
      </c>
      <c r="C123" s="448" t="str">
        <v>Pórtico 3 (MG-262)</v>
      </c>
      <c r="D123" s="149" t="str">
        <v>3</v>
      </c>
      <c r="E123" s="149" t="str">
        <v>3.4</v>
      </c>
      <c r="F123" s="149">
        <v>0</v>
      </c>
      <c r="G123" s="149">
        <v>0</v>
      </c>
      <c r="H123" s="267" t="str">
        <v xml:space="preserve">Sinalização e dispositivos de proteção e segurança </v>
      </c>
      <c r="I123" s="192">
        <v>0</v>
      </c>
      <c r="J123" s="192">
        <v>0</v>
      </c>
      <c r="K123" s="192">
        <v>0</v>
      </c>
      <c r="L123" s="192">
        <v>0</v>
      </c>
      <c r="M123" s="192">
        <v>0</v>
      </c>
      <c r="N123" s="192">
        <v>0</v>
      </c>
      <c r="O123" s="192">
        <v>0</v>
      </c>
      <c r="P123" s="192">
        <v>0</v>
      </c>
      <c r="Q123" s="192">
        <v>0</v>
      </c>
      <c r="R123" s="192">
        <v>0</v>
      </c>
      <c r="S123" s="192">
        <v>0</v>
      </c>
      <c r="T123" s="192">
        <v>0</v>
      </c>
      <c r="U123" s="192">
        <v>0</v>
      </c>
      <c r="V123" s="192">
        <v>0</v>
      </c>
      <c r="W123" s="192">
        <v>0</v>
      </c>
      <c r="X123" s="192">
        <v>0</v>
      </c>
      <c r="Y123" s="192">
        <v>0</v>
      </c>
      <c r="Z123" s="192">
        <v>0</v>
      </c>
      <c r="AA123" s="192">
        <v>0</v>
      </c>
      <c r="AB123" s="192">
        <v>0</v>
      </c>
      <c r="AC123" s="192">
        <v>0</v>
      </c>
      <c r="AD123" s="192">
        <v>0</v>
      </c>
      <c r="AE123" s="192">
        <v>0</v>
      </c>
      <c r="AF123" s="192">
        <v>0</v>
      </c>
      <c r="AG123" s="192">
        <v>0</v>
      </c>
      <c r="AH123" s="192">
        <v>0</v>
      </c>
      <c r="AI123" s="192">
        <v>0</v>
      </c>
      <c r="AJ123" s="192">
        <v>0</v>
      </c>
      <c r="AK123" s="192">
        <v>0</v>
      </c>
      <c r="AL123" s="192">
        <v>0</v>
      </c>
    </row>
    <row r="124" spans="2:38">
      <c r="B124" s="122" t="str">
        <v>Cenário 20/03/2025 com IFC</v>
      </c>
      <c r="C124" s="448" t="str">
        <v>Pórtico 3 (MG-262)</v>
      </c>
      <c r="D124" s="149" t="str">
        <v>3</v>
      </c>
      <c r="E124" s="149" t="str">
        <v>3.5</v>
      </c>
      <c r="F124" s="149">
        <v>1</v>
      </c>
      <c r="G124" s="149">
        <v>0</v>
      </c>
      <c r="H124" s="267" t="str">
        <v>Administração local (%)</v>
      </c>
      <c r="I124" s="192">
        <v>0</v>
      </c>
      <c r="J124" s="192">
        <v>0</v>
      </c>
      <c r="K124" s="192">
        <v>0</v>
      </c>
      <c r="L124" s="192">
        <v>0</v>
      </c>
      <c r="M124" s="192">
        <v>0</v>
      </c>
      <c r="N124" s="192">
        <v>0</v>
      </c>
      <c r="O124" s="192">
        <v>0</v>
      </c>
      <c r="P124" s="192">
        <v>0</v>
      </c>
      <c r="Q124" s="192">
        <v>0</v>
      </c>
      <c r="R124" s="192">
        <v>0</v>
      </c>
      <c r="S124" s="192">
        <v>0</v>
      </c>
      <c r="T124" s="192">
        <v>0</v>
      </c>
      <c r="U124" s="192">
        <v>0</v>
      </c>
      <c r="V124" s="192">
        <v>0</v>
      </c>
      <c r="W124" s="192">
        <v>0</v>
      </c>
      <c r="X124" s="192">
        <v>0</v>
      </c>
      <c r="Y124" s="192">
        <v>0</v>
      </c>
      <c r="Z124" s="192">
        <v>0</v>
      </c>
      <c r="AA124" s="192">
        <v>0</v>
      </c>
      <c r="AB124" s="192">
        <v>0</v>
      </c>
      <c r="AC124" s="192">
        <v>0</v>
      </c>
      <c r="AD124" s="192">
        <v>0</v>
      </c>
      <c r="AE124" s="192">
        <v>0</v>
      </c>
      <c r="AF124" s="192">
        <v>0</v>
      </c>
      <c r="AG124" s="192">
        <v>0</v>
      </c>
      <c r="AH124" s="192">
        <v>0</v>
      </c>
      <c r="AI124" s="192">
        <v>0</v>
      </c>
      <c r="AJ124" s="192">
        <v>0</v>
      </c>
      <c r="AK124" s="192">
        <v>0</v>
      </c>
      <c r="AL124" s="192">
        <v>0</v>
      </c>
    </row>
    <row r="125" spans="2:38">
      <c r="B125" s="122" t="str">
        <v>Cenário 20/03/2025 com IFC</v>
      </c>
      <c r="C125" s="448" t="str">
        <v>Pórtico 3 (MG-262)</v>
      </c>
      <c r="D125" s="149" t="str">
        <v>3</v>
      </c>
      <c r="E125" s="149" t="str">
        <v>3.6</v>
      </c>
      <c r="F125" s="149">
        <v>1</v>
      </c>
      <c r="G125" s="149">
        <v>0</v>
      </c>
      <c r="H125" s="267" t="str">
        <v>Canteiro de obras (%)</v>
      </c>
      <c r="I125" s="192">
        <v>0</v>
      </c>
      <c r="J125" s="192">
        <v>0</v>
      </c>
      <c r="K125" s="192">
        <v>0</v>
      </c>
      <c r="L125" s="192">
        <v>0</v>
      </c>
      <c r="M125" s="192">
        <v>0</v>
      </c>
      <c r="N125" s="192">
        <v>0</v>
      </c>
      <c r="O125" s="192">
        <v>0</v>
      </c>
      <c r="P125" s="192">
        <v>0</v>
      </c>
      <c r="Q125" s="192">
        <v>0</v>
      </c>
      <c r="R125" s="192">
        <v>0</v>
      </c>
      <c r="S125" s="192">
        <v>0</v>
      </c>
      <c r="T125" s="192">
        <v>0</v>
      </c>
      <c r="U125" s="192">
        <v>0</v>
      </c>
      <c r="V125" s="192">
        <v>0</v>
      </c>
      <c r="W125" s="192">
        <v>0</v>
      </c>
      <c r="X125" s="192">
        <v>0</v>
      </c>
      <c r="Y125" s="192">
        <v>0</v>
      </c>
      <c r="Z125" s="192">
        <v>0</v>
      </c>
      <c r="AA125" s="192">
        <v>0</v>
      </c>
      <c r="AB125" s="192">
        <v>0</v>
      </c>
      <c r="AC125" s="192">
        <v>0</v>
      </c>
      <c r="AD125" s="192">
        <v>0</v>
      </c>
      <c r="AE125" s="192">
        <v>0</v>
      </c>
      <c r="AF125" s="192">
        <v>0</v>
      </c>
      <c r="AG125" s="192">
        <v>0</v>
      </c>
      <c r="AH125" s="192">
        <v>0</v>
      </c>
      <c r="AI125" s="192">
        <v>0</v>
      </c>
      <c r="AJ125" s="192">
        <v>0</v>
      </c>
      <c r="AK125" s="192">
        <v>0</v>
      </c>
      <c r="AL125" s="192">
        <v>0</v>
      </c>
    </row>
    <row r="126" spans="2:38">
      <c r="B126" s="122" t="str">
        <v>Cenário 20/03/2025 com IFC</v>
      </c>
      <c r="C126" s="448" t="str">
        <v>Pórtico 3 (MG-262)</v>
      </c>
      <c r="D126" s="149" t="str">
        <v>3</v>
      </c>
      <c r="E126" s="149" t="str">
        <v>3.7</v>
      </c>
      <c r="F126" s="149">
        <v>1</v>
      </c>
      <c r="G126" s="149">
        <v>0</v>
      </c>
      <c r="H126" s="267" t="str">
        <v>Mobilização e desmobilização (%)</v>
      </c>
      <c r="I126" s="192">
        <v>0</v>
      </c>
      <c r="J126" s="192">
        <v>0</v>
      </c>
      <c r="K126" s="192">
        <v>0</v>
      </c>
      <c r="L126" s="192">
        <v>0</v>
      </c>
      <c r="M126" s="192">
        <v>0</v>
      </c>
      <c r="N126" s="192">
        <v>0</v>
      </c>
      <c r="O126" s="192">
        <v>0</v>
      </c>
      <c r="P126" s="192">
        <v>0</v>
      </c>
      <c r="Q126" s="192">
        <v>0</v>
      </c>
      <c r="R126" s="192">
        <v>0</v>
      </c>
      <c r="S126" s="192">
        <v>0</v>
      </c>
      <c r="T126" s="192">
        <v>0</v>
      </c>
      <c r="U126" s="192">
        <v>0</v>
      </c>
      <c r="V126" s="192">
        <v>0</v>
      </c>
      <c r="W126" s="192">
        <v>0</v>
      </c>
      <c r="X126" s="192">
        <v>0</v>
      </c>
      <c r="Y126" s="192">
        <v>0</v>
      </c>
      <c r="Z126" s="192">
        <v>0</v>
      </c>
      <c r="AA126" s="192">
        <v>0</v>
      </c>
      <c r="AB126" s="192">
        <v>0</v>
      </c>
      <c r="AC126" s="192">
        <v>0</v>
      </c>
      <c r="AD126" s="192">
        <v>0</v>
      </c>
      <c r="AE126" s="192">
        <v>0</v>
      </c>
      <c r="AF126" s="192">
        <v>0</v>
      </c>
      <c r="AG126" s="192">
        <v>0</v>
      </c>
      <c r="AH126" s="192">
        <v>0</v>
      </c>
      <c r="AI126" s="192">
        <v>0</v>
      </c>
      <c r="AJ126" s="192">
        <v>0</v>
      </c>
      <c r="AK126" s="192">
        <v>0</v>
      </c>
      <c r="AL126" s="192">
        <v>0</v>
      </c>
    </row>
    <row r="127" spans="2:38">
      <c r="B127" s="122" t="str">
        <v>Cenário 20/03/2025 com IFC</v>
      </c>
      <c r="C127" s="448" t="str">
        <v>Pórtico 3 (MG-262)</v>
      </c>
      <c r="D127" s="149" t="str">
        <v>3</v>
      </c>
      <c r="E127" s="149" t="str">
        <v>3.8</v>
      </c>
      <c r="F127" s="149">
        <v>1</v>
      </c>
      <c r="G127" s="149">
        <v>0</v>
      </c>
      <c r="H127" s="267" t="str">
        <v>Projetos (%)</v>
      </c>
      <c r="I127" s="192">
        <v>0</v>
      </c>
      <c r="J127" s="192">
        <v>0</v>
      </c>
      <c r="K127" s="192">
        <v>0</v>
      </c>
      <c r="L127" s="192">
        <v>0</v>
      </c>
      <c r="M127" s="192">
        <v>0</v>
      </c>
      <c r="N127" s="192">
        <v>0</v>
      </c>
      <c r="O127" s="192">
        <v>0</v>
      </c>
      <c r="P127" s="192">
        <v>0</v>
      </c>
      <c r="Q127" s="192">
        <v>0</v>
      </c>
      <c r="R127" s="192">
        <v>0</v>
      </c>
      <c r="S127" s="192">
        <v>0</v>
      </c>
      <c r="T127" s="192">
        <v>0</v>
      </c>
      <c r="U127" s="192">
        <v>0</v>
      </c>
      <c r="V127" s="192">
        <v>0</v>
      </c>
      <c r="W127" s="192">
        <v>0</v>
      </c>
      <c r="X127" s="192">
        <v>0</v>
      </c>
      <c r="Y127" s="192">
        <v>0</v>
      </c>
      <c r="Z127" s="192">
        <v>0</v>
      </c>
      <c r="AA127" s="192">
        <v>0</v>
      </c>
      <c r="AB127" s="192">
        <v>0</v>
      </c>
      <c r="AC127" s="192">
        <v>0</v>
      </c>
      <c r="AD127" s="192">
        <v>0</v>
      </c>
      <c r="AE127" s="192">
        <v>0</v>
      </c>
      <c r="AF127" s="192">
        <v>0</v>
      </c>
      <c r="AG127" s="192">
        <v>0</v>
      </c>
      <c r="AH127" s="192">
        <v>0</v>
      </c>
      <c r="AI127" s="192">
        <v>0</v>
      </c>
      <c r="AJ127" s="192">
        <v>0</v>
      </c>
      <c r="AK127" s="192">
        <v>0</v>
      </c>
      <c r="AL127" s="192">
        <v>0</v>
      </c>
    </row>
    <row r="128" spans="2:38">
      <c r="B128" s="122" t="str">
        <v>Cenário 20/03/2025 com IFC</v>
      </c>
      <c r="C128" s="448" t="str">
        <v>Pórtico 4 (MG-329)</v>
      </c>
      <c r="D128" s="149" t="str">
        <v>1</v>
      </c>
      <c r="E128" s="149">
        <v>1</v>
      </c>
      <c r="F128" s="149">
        <v>0</v>
      </c>
      <c r="G128" s="149">
        <v>0</v>
      </c>
      <c r="H128" s="267" t="str">
        <v>Trabalhos iniciais</v>
      </c>
      <c r="I128" s="192">
        <v>0</v>
      </c>
      <c r="J128" s="192">
        <v>0</v>
      </c>
      <c r="K128" s="192">
        <v>0</v>
      </c>
      <c r="L128" s="192">
        <v>0</v>
      </c>
      <c r="M128" s="192">
        <v>0</v>
      </c>
      <c r="N128" s="192">
        <v>0</v>
      </c>
      <c r="O128" s="192">
        <v>0</v>
      </c>
      <c r="P128" s="192">
        <v>0</v>
      </c>
      <c r="Q128" s="192">
        <v>0</v>
      </c>
      <c r="R128" s="192">
        <v>0</v>
      </c>
      <c r="S128" s="192">
        <v>0</v>
      </c>
      <c r="T128" s="192">
        <v>0</v>
      </c>
      <c r="U128" s="192">
        <v>0</v>
      </c>
      <c r="V128" s="192">
        <v>0</v>
      </c>
      <c r="W128" s="192">
        <v>0</v>
      </c>
      <c r="X128" s="192">
        <v>0</v>
      </c>
      <c r="Y128" s="192">
        <v>0</v>
      </c>
      <c r="Z128" s="192">
        <v>0</v>
      </c>
      <c r="AA128" s="192">
        <v>0</v>
      </c>
      <c r="AB128" s="192">
        <v>0</v>
      </c>
      <c r="AC128" s="192">
        <v>0</v>
      </c>
      <c r="AD128" s="192">
        <v>0</v>
      </c>
      <c r="AE128" s="192">
        <v>0</v>
      </c>
      <c r="AF128" s="192">
        <v>0</v>
      </c>
      <c r="AG128" s="192">
        <v>0</v>
      </c>
      <c r="AH128" s="192">
        <v>0</v>
      </c>
      <c r="AI128" s="192">
        <v>0</v>
      </c>
      <c r="AJ128" s="192">
        <v>0</v>
      </c>
      <c r="AK128" s="192">
        <v>0</v>
      </c>
      <c r="AL128" s="192">
        <v>0</v>
      </c>
    </row>
    <row r="129" spans="2:38">
      <c r="B129" s="122" t="str">
        <v>Cenário 20/03/2025 com IFC</v>
      </c>
      <c r="C129" s="448" t="str">
        <v>Pórtico 4 (MG-329)</v>
      </c>
      <c r="D129" s="149" t="str">
        <v>1</v>
      </c>
      <c r="E129" s="149" t="str">
        <v>1.1</v>
      </c>
      <c r="F129" s="149">
        <v>1</v>
      </c>
      <c r="G129" s="149">
        <v>0</v>
      </c>
      <c r="H129" s="267" t="str">
        <v>Pavimento</v>
      </c>
      <c r="I129" s="192">
        <v>13571972.195844503</v>
      </c>
      <c r="J129" s="192">
        <v>0</v>
      </c>
      <c r="K129" s="192">
        <v>0</v>
      </c>
      <c r="L129" s="192">
        <v>0</v>
      </c>
      <c r="M129" s="192">
        <v>0</v>
      </c>
      <c r="N129" s="192">
        <v>0</v>
      </c>
      <c r="O129" s="192">
        <v>0</v>
      </c>
      <c r="P129" s="192">
        <v>0</v>
      </c>
      <c r="Q129" s="192">
        <v>0</v>
      </c>
      <c r="R129" s="192">
        <v>0</v>
      </c>
      <c r="S129" s="192">
        <v>0</v>
      </c>
      <c r="T129" s="192">
        <v>0</v>
      </c>
      <c r="U129" s="192">
        <v>0</v>
      </c>
      <c r="V129" s="192">
        <v>0</v>
      </c>
      <c r="W129" s="192">
        <v>0</v>
      </c>
      <c r="X129" s="192">
        <v>0</v>
      </c>
      <c r="Y129" s="192">
        <v>0</v>
      </c>
      <c r="Z129" s="192">
        <v>0</v>
      </c>
      <c r="AA129" s="192">
        <v>0</v>
      </c>
      <c r="AB129" s="192">
        <v>0</v>
      </c>
      <c r="AC129" s="192">
        <v>0</v>
      </c>
      <c r="AD129" s="192">
        <v>0</v>
      </c>
      <c r="AE129" s="192">
        <v>0</v>
      </c>
      <c r="AF129" s="192">
        <v>0</v>
      </c>
      <c r="AG129" s="192">
        <v>0</v>
      </c>
      <c r="AH129" s="192">
        <v>0</v>
      </c>
      <c r="AI129" s="192">
        <v>0</v>
      </c>
      <c r="AJ129" s="192">
        <v>0</v>
      </c>
      <c r="AK129" s="192">
        <v>0</v>
      </c>
      <c r="AL129" s="192">
        <v>0</v>
      </c>
    </row>
    <row r="130" spans="2:38">
      <c r="B130" s="122" t="str">
        <v>Cenário 20/03/2025 com IFC</v>
      </c>
      <c r="C130" s="448" t="str">
        <v>Pórtico 4 (MG-329)</v>
      </c>
      <c r="D130" s="149" t="str">
        <v>1</v>
      </c>
      <c r="E130" s="149" t="str">
        <v>1.2</v>
      </c>
      <c r="F130" s="149">
        <v>1</v>
      </c>
      <c r="G130" s="149">
        <v>0</v>
      </c>
      <c r="H130" s="267" t="str">
        <v>Obras de arte especiais</v>
      </c>
      <c r="I130" s="192">
        <v>0</v>
      </c>
      <c r="J130" s="192">
        <v>0</v>
      </c>
      <c r="K130" s="192">
        <v>0</v>
      </c>
      <c r="L130" s="192">
        <v>0</v>
      </c>
      <c r="M130" s="192">
        <v>0</v>
      </c>
      <c r="N130" s="192">
        <v>0</v>
      </c>
      <c r="O130" s="192">
        <v>0</v>
      </c>
      <c r="P130" s="192">
        <v>0</v>
      </c>
      <c r="Q130" s="192">
        <v>0</v>
      </c>
      <c r="R130" s="192">
        <v>0</v>
      </c>
      <c r="S130" s="192">
        <v>0</v>
      </c>
      <c r="T130" s="192">
        <v>0</v>
      </c>
      <c r="U130" s="192">
        <v>0</v>
      </c>
      <c r="V130" s="192">
        <v>0</v>
      </c>
      <c r="W130" s="192">
        <v>0</v>
      </c>
      <c r="X130" s="192">
        <v>0</v>
      </c>
      <c r="Y130" s="192">
        <v>0</v>
      </c>
      <c r="Z130" s="192">
        <v>0</v>
      </c>
      <c r="AA130" s="192">
        <v>0</v>
      </c>
      <c r="AB130" s="192">
        <v>0</v>
      </c>
      <c r="AC130" s="192">
        <v>0</v>
      </c>
      <c r="AD130" s="192">
        <v>0</v>
      </c>
      <c r="AE130" s="192">
        <v>0</v>
      </c>
      <c r="AF130" s="192">
        <v>0</v>
      </c>
      <c r="AG130" s="192">
        <v>0</v>
      </c>
      <c r="AH130" s="192">
        <v>0</v>
      </c>
      <c r="AI130" s="192">
        <v>0</v>
      </c>
      <c r="AJ130" s="192">
        <v>0</v>
      </c>
      <c r="AK130" s="192">
        <v>0</v>
      </c>
      <c r="AL130" s="192">
        <v>0</v>
      </c>
    </row>
    <row r="131" spans="2:38">
      <c r="B131" s="122" t="str">
        <v>Cenário 20/03/2025 com IFC</v>
      </c>
      <c r="C131" s="448" t="str">
        <v>Pórtico 4 (MG-329)</v>
      </c>
      <c r="D131" s="149" t="str">
        <v>1</v>
      </c>
      <c r="E131" s="149" t="str">
        <v>1.3</v>
      </c>
      <c r="F131" s="149">
        <v>1</v>
      </c>
      <c r="G131" s="149">
        <v>0</v>
      </c>
      <c r="H131" s="267" t="str">
        <v>Drenagem e obras de arte correntes</v>
      </c>
      <c r="I131" s="192">
        <v>644773.88657256006</v>
      </c>
      <c r="J131" s="192">
        <v>0</v>
      </c>
      <c r="K131" s="192">
        <v>0</v>
      </c>
      <c r="L131" s="192">
        <v>0</v>
      </c>
      <c r="M131" s="192">
        <v>0</v>
      </c>
      <c r="N131" s="192">
        <v>0</v>
      </c>
      <c r="O131" s="192">
        <v>0</v>
      </c>
      <c r="P131" s="192">
        <v>0</v>
      </c>
      <c r="Q131" s="192">
        <v>0</v>
      </c>
      <c r="R131" s="192">
        <v>0</v>
      </c>
      <c r="S131" s="192">
        <v>0</v>
      </c>
      <c r="T131" s="192">
        <v>0</v>
      </c>
      <c r="U131" s="192">
        <v>0</v>
      </c>
      <c r="V131" s="192">
        <v>0</v>
      </c>
      <c r="W131" s="192">
        <v>0</v>
      </c>
      <c r="X131" s="192">
        <v>0</v>
      </c>
      <c r="Y131" s="192">
        <v>0</v>
      </c>
      <c r="Z131" s="192">
        <v>0</v>
      </c>
      <c r="AA131" s="192">
        <v>0</v>
      </c>
      <c r="AB131" s="192">
        <v>0</v>
      </c>
      <c r="AC131" s="192">
        <v>0</v>
      </c>
      <c r="AD131" s="192">
        <v>0</v>
      </c>
      <c r="AE131" s="192">
        <v>0</v>
      </c>
      <c r="AF131" s="192">
        <v>0</v>
      </c>
      <c r="AG131" s="192">
        <v>0</v>
      </c>
      <c r="AH131" s="192">
        <v>0</v>
      </c>
      <c r="AI131" s="192">
        <v>0</v>
      </c>
      <c r="AJ131" s="192">
        <v>0</v>
      </c>
      <c r="AK131" s="192">
        <v>0</v>
      </c>
      <c r="AL131" s="192">
        <v>0</v>
      </c>
    </row>
    <row r="132" spans="2:38">
      <c r="B132" s="122" t="str">
        <v>Cenário 20/03/2025 com IFC</v>
      </c>
      <c r="C132" s="448" t="str">
        <v>Pórtico 4 (MG-329)</v>
      </c>
      <c r="D132" s="149" t="str">
        <v>1</v>
      </c>
      <c r="E132" s="149" t="str">
        <v>1.4</v>
      </c>
      <c r="F132" s="149">
        <v>1</v>
      </c>
      <c r="G132" s="149">
        <v>0</v>
      </c>
      <c r="H132" s="267" t="str">
        <v xml:space="preserve">Sinalização e dispositivos de proteção e segurança </v>
      </c>
      <c r="I132" s="192">
        <v>3179964.1067059804</v>
      </c>
      <c r="J132" s="192">
        <v>0</v>
      </c>
      <c r="K132" s="192">
        <v>0</v>
      </c>
      <c r="L132" s="192">
        <v>0</v>
      </c>
      <c r="M132" s="192">
        <v>0</v>
      </c>
      <c r="N132" s="192">
        <v>0</v>
      </c>
      <c r="O132" s="192">
        <v>0</v>
      </c>
      <c r="P132" s="192">
        <v>0</v>
      </c>
      <c r="Q132" s="192">
        <v>0</v>
      </c>
      <c r="R132" s="192">
        <v>0</v>
      </c>
      <c r="S132" s="192">
        <v>0</v>
      </c>
      <c r="T132" s="192">
        <v>0</v>
      </c>
      <c r="U132" s="192">
        <v>0</v>
      </c>
      <c r="V132" s="192">
        <v>0</v>
      </c>
      <c r="W132" s="192">
        <v>0</v>
      </c>
      <c r="X132" s="192">
        <v>0</v>
      </c>
      <c r="Y132" s="192">
        <v>0</v>
      </c>
      <c r="Z132" s="192">
        <v>0</v>
      </c>
      <c r="AA132" s="192">
        <v>0</v>
      </c>
      <c r="AB132" s="192">
        <v>0</v>
      </c>
      <c r="AC132" s="192">
        <v>0</v>
      </c>
      <c r="AD132" s="192">
        <v>0</v>
      </c>
      <c r="AE132" s="192">
        <v>0</v>
      </c>
      <c r="AF132" s="192">
        <v>0</v>
      </c>
      <c r="AG132" s="192">
        <v>0</v>
      </c>
      <c r="AH132" s="192">
        <v>0</v>
      </c>
      <c r="AI132" s="192">
        <v>0</v>
      </c>
      <c r="AJ132" s="192">
        <v>0</v>
      </c>
      <c r="AK132" s="192">
        <v>0</v>
      </c>
      <c r="AL132" s="192">
        <v>0</v>
      </c>
    </row>
    <row r="133" spans="2:38">
      <c r="B133" s="122" t="str">
        <v>Cenário 20/03/2025 com IFC</v>
      </c>
      <c r="C133" s="448" t="str">
        <v>Pórtico 4 (MG-329)</v>
      </c>
      <c r="D133" s="149" t="str">
        <v>1</v>
      </c>
      <c r="E133" s="149" t="str">
        <v>1.5</v>
      </c>
      <c r="F133" s="149">
        <v>1</v>
      </c>
      <c r="G133" s="149">
        <v>0</v>
      </c>
      <c r="H133" s="267" t="str">
        <v>Terraplenos e estrutura de contenção</v>
      </c>
      <c r="I133" s="192">
        <v>0</v>
      </c>
      <c r="J133" s="192">
        <v>0</v>
      </c>
      <c r="K133" s="192">
        <v>0</v>
      </c>
      <c r="L133" s="192">
        <v>0</v>
      </c>
      <c r="M133" s="192">
        <v>0</v>
      </c>
      <c r="N133" s="192">
        <v>0</v>
      </c>
      <c r="O133" s="192">
        <v>0</v>
      </c>
      <c r="P133" s="192">
        <v>0</v>
      </c>
      <c r="Q133" s="192">
        <v>0</v>
      </c>
      <c r="R133" s="192">
        <v>0</v>
      </c>
      <c r="S133" s="192">
        <v>0</v>
      </c>
      <c r="T133" s="192">
        <v>0</v>
      </c>
      <c r="U133" s="192">
        <v>0</v>
      </c>
      <c r="V133" s="192">
        <v>0</v>
      </c>
      <c r="W133" s="192">
        <v>0</v>
      </c>
      <c r="X133" s="192">
        <v>0</v>
      </c>
      <c r="Y133" s="192">
        <v>0</v>
      </c>
      <c r="Z133" s="192">
        <v>0</v>
      </c>
      <c r="AA133" s="192">
        <v>0</v>
      </c>
      <c r="AB133" s="192">
        <v>0</v>
      </c>
      <c r="AC133" s="192">
        <v>0</v>
      </c>
      <c r="AD133" s="192">
        <v>0</v>
      </c>
      <c r="AE133" s="192">
        <v>0</v>
      </c>
      <c r="AF133" s="192">
        <v>0</v>
      </c>
      <c r="AG133" s="192">
        <v>0</v>
      </c>
      <c r="AH133" s="192">
        <v>0</v>
      </c>
      <c r="AI133" s="192">
        <v>0</v>
      </c>
      <c r="AJ133" s="192">
        <v>0</v>
      </c>
      <c r="AK133" s="192">
        <v>0</v>
      </c>
      <c r="AL133" s="192">
        <v>0</v>
      </c>
    </row>
    <row r="134" spans="2:38">
      <c r="B134" s="122" t="str">
        <v>Cenário 20/03/2025 com IFC</v>
      </c>
      <c r="C134" s="448" t="str">
        <v>Pórtico 4 (MG-329)</v>
      </c>
      <c r="D134" s="149" t="str">
        <v>1</v>
      </c>
      <c r="E134" s="149" t="str">
        <v>1.6</v>
      </c>
      <c r="F134" s="149">
        <v>1</v>
      </c>
      <c r="G134" s="149">
        <v>0</v>
      </c>
      <c r="H134" s="267" t="str">
        <v>Sistemas elétricos e de iluminação</v>
      </c>
      <c r="I134" s="192">
        <v>1082898.7381054426</v>
      </c>
      <c r="J134" s="192">
        <v>0</v>
      </c>
      <c r="K134" s="192">
        <v>0</v>
      </c>
      <c r="L134" s="192">
        <v>0</v>
      </c>
      <c r="M134" s="192">
        <v>0</v>
      </c>
      <c r="N134" s="192">
        <v>0</v>
      </c>
      <c r="O134" s="192">
        <v>0</v>
      </c>
      <c r="P134" s="192">
        <v>0</v>
      </c>
      <c r="Q134" s="192">
        <v>0</v>
      </c>
      <c r="R134" s="192">
        <v>0</v>
      </c>
      <c r="S134" s="192">
        <v>0</v>
      </c>
      <c r="T134" s="192">
        <v>0</v>
      </c>
      <c r="U134" s="192">
        <v>0</v>
      </c>
      <c r="V134" s="192">
        <v>0</v>
      </c>
      <c r="W134" s="192">
        <v>0</v>
      </c>
      <c r="X134" s="192">
        <v>0</v>
      </c>
      <c r="Y134" s="192">
        <v>0</v>
      </c>
      <c r="Z134" s="192">
        <v>0</v>
      </c>
      <c r="AA134" s="192">
        <v>0</v>
      </c>
      <c r="AB134" s="192">
        <v>0</v>
      </c>
      <c r="AC134" s="192">
        <v>0</v>
      </c>
      <c r="AD134" s="192">
        <v>0</v>
      </c>
      <c r="AE134" s="192">
        <v>0</v>
      </c>
      <c r="AF134" s="192">
        <v>0</v>
      </c>
      <c r="AG134" s="192">
        <v>0</v>
      </c>
      <c r="AH134" s="192">
        <v>0</v>
      </c>
      <c r="AI134" s="192">
        <v>0</v>
      </c>
      <c r="AJ134" s="192">
        <v>0</v>
      </c>
      <c r="AK134" s="192">
        <v>0</v>
      </c>
      <c r="AL134" s="192">
        <v>0</v>
      </c>
    </row>
    <row r="135" spans="2:38">
      <c r="B135" s="122" t="str">
        <v>Cenário 20/03/2025 com IFC</v>
      </c>
      <c r="C135" s="448" t="str">
        <v>Pórtico 4 (MG-329)</v>
      </c>
      <c r="D135" s="149" t="str">
        <v>1</v>
      </c>
      <c r="E135" s="149" t="str">
        <v>1.7</v>
      </c>
      <c r="F135" s="149">
        <v>1</v>
      </c>
      <c r="G135" s="149">
        <v>0</v>
      </c>
      <c r="H135" s="267" t="str">
        <v>Canteiro central e faixa de domínio</v>
      </c>
      <c r="I135" s="192">
        <v>212808.41504363908</v>
      </c>
      <c r="J135" s="192">
        <v>0</v>
      </c>
      <c r="K135" s="192">
        <v>0</v>
      </c>
      <c r="L135" s="192">
        <v>0</v>
      </c>
      <c r="M135" s="192">
        <v>0</v>
      </c>
      <c r="N135" s="192">
        <v>0</v>
      </c>
      <c r="O135" s="192">
        <v>0</v>
      </c>
      <c r="P135" s="192">
        <v>0</v>
      </c>
      <c r="Q135" s="192">
        <v>0</v>
      </c>
      <c r="R135" s="192">
        <v>0</v>
      </c>
      <c r="S135" s="192">
        <v>0</v>
      </c>
      <c r="T135" s="192">
        <v>0</v>
      </c>
      <c r="U135" s="192">
        <v>0</v>
      </c>
      <c r="V135" s="192">
        <v>0</v>
      </c>
      <c r="W135" s="192">
        <v>0</v>
      </c>
      <c r="X135" s="192">
        <v>0</v>
      </c>
      <c r="Y135" s="192">
        <v>0</v>
      </c>
      <c r="Z135" s="192">
        <v>0</v>
      </c>
      <c r="AA135" s="192">
        <v>0</v>
      </c>
      <c r="AB135" s="192">
        <v>0</v>
      </c>
      <c r="AC135" s="192">
        <v>0</v>
      </c>
      <c r="AD135" s="192">
        <v>0</v>
      </c>
      <c r="AE135" s="192">
        <v>0</v>
      </c>
      <c r="AF135" s="192">
        <v>0</v>
      </c>
      <c r="AG135" s="192">
        <v>0</v>
      </c>
      <c r="AH135" s="192">
        <v>0</v>
      </c>
      <c r="AI135" s="192">
        <v>0</v>
      </c>
      <c r="AJ135" s="192">
        <v>0</v>
      </c>
      <c r="AK135" s="192">
        <v>0</v>
      </c>
      <c r="AL135" s="192">
        <v>0</v>
      </c>
    </row>
    <row r="136" spans="2:38">
      <c r="B136" s="122" t="str">
        <v>Cenário 20/03/2025 com IFC</v>
      </c>
      <c r="C136" s="448" t="str">
        <v>Pórtico 4 (MG-329)</v>
      </c>
      <c r="D136" s="149" t="str">
        <v>1</v>
      </c>
      <c r="E136" s="149" t="str">
        <v>1.8</v>
      </c>
      <c r="F136" s="149">
        <v>1</v>
      </c>
      <c r="G136" s="149">
        <v>0</v>
      </c>
      <c r="H136" s="267" t="str">
        <v>Administração local (%)</v>
      </c>
      <c r="I136" s="192">
        <v>229916.73330994713</v>
      </c>
      <c r="J136" s="192">
        <v>0</v>
      </c>
      <c r="K136" s="192">
        <v>0</v>
      </c>
      <c r="L136" s="192">
        <v>0</v>
      </c>
      <c r="M136" s="192">
        <v>0</v>
      </c>
      <c r="N136" s="192">
        <v>0</v>
      </c>
      <c r="O136" s="192">
        <v>0</v>
      </c>
      <c r="P136" s="192">
        <v>0</v>
      </c>
      <c r="Q136" s="192">
        <v>0</v>
      </c>
      <c r="R136" s="192">
        <v>0</v>
      </c>
      <c r="S136" s="192">
        <v>0</v>
      </c>
      <c r="T136" s="192">
        <v>0</v>
      </c>
      <c r="U136" s="192">
        <v>0</v>
      </c>
      <c r="V136" s="192">
        <v>0</v>
      </c>
      <c r="W136" s="192">
        <v>0</v>
      </c>
      <c r="X136" s="192">
        <v>0</v>
      </c>
      <c r="Y136" s="192">
        <v>0</v>
      </c>
      <c r="Z136" s="192">
        <v>0</v>
      </c>
      <c r="AA136" s="192">
        <v>0</v>
      </c>
      <c r="AB136" s="192">
        <v>0</v>
      </c>
      <c r="AC136" s="192">
        <v>0</v>
      </c>
      <c r="AD136" s="192">
        <v>0</v>
      </c>
      <c r="AE136" s="192">
        <v>0</v>
      </c>
      <c r="AF136" s="192">
        <v>0</v>
      </c>
      <c r="AG136" s="192">
        <v>0</v>
      </c>
      <c r="AH136" s="192">
        <v>0</v>
      </c>
      <c r="AI136" s="192">
        <v>0</v>
      </c>
      <c r="AJ136" s="192">
        <v>0</v>
      </c>
      <c r="AK136" s="192">
        <v>0</v>
      </c>
      <c r="AL136" s="192">
        <v>0</v>
      </c>
    </row>
    <row r="137" spans="2:38">
      <c r="B137" s="122" t="str">
        <v>Cenário 20/03/2025 com IFC</v>
      </c>
      <c r="C137" s="448" t="str">
        <v>Pórtico 4 (MG-329)</v>
      </c>
      <c r="D137" s="149" t="str">
        <v>1</v>
      </c>
      <c r="E137" s="149" t="str">
        <v>1.9</v>
      </c>
      <c r="F137" s="149">
        <v>1</v>
      </c>
      <c r="G137" s="149">
        <v>0</v>
      </c>
      <c r="H137" s="267" t="str">
        <v>Canteiro de obras (%)</v>
      </c>
      <c r="I137" s="192">
        <v>57946.493761043588</v>
      </c>
      <c r="J137" s="192">
        <v>0</v>
      </c>
      <c r="K137" s="192">
        <v>0</v>
      </c>
      <c r="L137" s="192">
        <v>0</v>
      </c>
      <c r="M137" s="192">
        <v>0</v>
      </c>
      <c r="N137" s="192">
        <v>0</v>
      </c>
      <c r="O137" s="192">
        <v>0</v>
      </c>
      <c r="P137" s="192">
        <v>0</v>
      </c>
      <c r="Q137" s="192">
        <v>0</v>
      </c>
      <c r="R137" s="192">
        <v>0</v>
      </c>
      <c r="S137" s="192">
        <v>0</v>
      </c>
      <c r="T137" s="192">
        <v>0</v>
      </c>
      <c r="U137" s="192">
        <v>0</v>
      </c>
      <c r="V137" s="192">
        <v>0</v>
      </c>
      <c r="W137" s="192">
        <v>0</v>
      </c>
      <c r="X137" s="192">
        <v>0</v>
      </c>
      <c r="Y137" s="192">
        <v>0</v>
      </c>
      <c r="Z137" s="192">
        <v>0</v>
      </c>
      <c r="AA137" s="192">
        <v>0</v>
      </c>
      <c r="AB137" s="192">
        <v>0</v>
      </c>
      <c r="AC137" s="192">
        <v>0</v>
      </c>
      <c r="AD137" s="192">
        <v>0</v>
      </c>
      <c r="AE137" s="192">
        <v>0</v>
      </c>
      <c r="AF137" s="192">
        <v>0</v>
      </c>
      <c r="AG137" s="192">
        <v>0</v>
      </c>
      <c r="AH137" s="192">
        <v>0</v>
      </c>
      <c r="AI137" s="192">
        <v>0</v>
      </c>
      <c r="AJ137" s="192">
        <v>0</v>
      </c>
      <c r="AK137" s="192">
        <v>0</v>
      </c>
      <c r="AL137" s="192">
        <v>0</v>
      </c>
    </row>
    <row r="138" spans="2:38">
      <c r="B138" s="122" t="str">
        <v>Cenário 20/03/2025 com IFC</v>
      </c>
      <c r="C138" s="448" t="str">
        <v>Pórtico 4 (MG-329)</v>
      </c>
      <c r="D138" s="149" t="str">
        <v>1</v>
      </c>
      <c r="E138" s="149" t="str">
        <v>1.10</v>
      </c>
      <c r="F138" s="149">
        <v>1</v>
      </c>
      <c r="G138" s="149">
        <v>0</v>
      </c>
      <c r="H138" s="267" t="str">
        <v>Mobilização e desmobilização (%)</v>
      </c>
      <c r="I138" s="192">
        <v>1084.1602058517833</v>
      </c>
      <c r="J138" s="192">
        <v>0</v>
      </c>
      <c r="K138" s="192">
        <v>0</v>
      </c>
      <c r="L138" s="192">
        <v>0</v>
      </c>
      <c r="M138" s="192">
        <v>0</v>
      </c>
      <c r="N138" s="192">
        <v>0</v>
      </c>
      <c r="O138" s="192">
        <v>0</v>
      </c>
      <c r="P138" s="192">
        <v>0</v>
      </c>
      <c r="Q138" s="192">
        <v>0</v>
      </c>
      <c r="R138" s="192">
        <v>0</v>
      </c>
      <c r="S138" s="192">
        <v>0</v>
      </c>
      <c r="T138" s="192">
        <v>0</v>
      </c>
      <c r="U138" s="192">
        <v>0</v>
      </c>
      <c r="V138" s="192">
        <v>0</v>
      </c>
      <c r="W138" s="192">
        <v>0</v>
      </c>
      <c r="X138" s="192">
        <v>0</v>
      </c>
      <c r="Y138" s="192">
        <v>0</v>
      </c>
      <c r="Z138" s="192">
        <v>0</v>
      </c>
      <c r="AA138" s="192">
        <v>0</v>
      </c>
      <c r="AB138" s="192">
        <v>0</v>
      </c>
      <c r="AC138" s="192">
        <v>0</v>
      </c>
      <c r="AD138" s="192">
        <v>0</v>
      </c>
      <c r="AE138" s="192">
        <v>0</v>
      </c>
      <c r="AF138" s="192">
        <v>0</v>
      </c>
      <c r="AG138" s="192">
        <v>0</v>
      </c>
      <c r="AH138" s="192">
        <v>0</v>
      </c>
      <c r="AI138" s="192">
        <v>0</v>
      </c>
      <c r="AJ138" s="192">
        <v>0</v>
      </c>
      <c r="AK138" s="192">
        <v>0</v>
      </c>
      <c r="AL138" s="192">
        <v>0</v>
      </c>
    </row>
    <row r="139" spans="2:38">
      <c r="B139" s="122" t="str">
        <v>Cenário 20/03/2025 com IFC</v>
      </c>
      <c r="C139" s="448" t="str">
        <v>Pórtico 4 (MG-329)</v>
      </c>
      <c r="D139" s="149" t="str">
        <v>1</v>
      </c>
      <c r="E139" s="149" t="str">
        <v>1.11</v>
      </c>
      <c r="F139" s="149">
        <v>1</v>
      </c>
      <c r="G139" s="149">
        <v>0</v>
      </c>
      <c r="H139" s="267" t="str">
        <v>Projetos (%)</v>
      </c>
      <c r="I139" s="192">
        <v>467310.43355680315</v>
      </c>
      <c r="J139" s="192">
        <v>0</v>
      </c>
      <c r="K139" s="192">
        <v>0</v>
      </c>
      <c r="L139" s="192">
        <v>0</v>
      </c>
      <c r="M139" s="192">
        <v>0</v>
      </c>
      <c r="N139" s="192">
        <v>0</v>
      </c>
      <c r="O139" s="192">
        <v>0</v>
      </c>
      <c r="P139" s="192">
        <v>0</v>
      </c>
      <c r="Q139" s="192">
        <v>0</v>
      </c>
      <c r="R139" s="192">
        <v>0</v>
      </c>
      <c r="S139" s="192">
        <v>0</v>
      </c>
      <c r="T139" s="192">
        <v>0</v>
      </c>
      <c r="U139" s="192">
        <v>0</v>
      </c>
      <c r="V139" s="192">
        <v>0</v>
      </c>
      <c r="W139" s="192">
        <v>0</v>
      </c>
      <c r="X139" s="192">
        <v>0</v>
      </c>
      <c r="Y139" s="192">
        <v>0</v>
      </c>
      <c r="Z139" s="192">
        <v>0</v>
      </c>
      <c r="AA139" s="192">
        <v>0</v>
      </c>
      <c r="AB139" s="192">
        <v>0</v>
      </c>
      <c r="AC139" s="192">
        <v>0</v>
      </c>
      <c r="AD139" s="192">
        <v>0</v>
      </c>
      <c r="AE139" s="192">
        <v>0</v>
      </c>
      <c r="AF139" s="192">
        <v>0</v>
      </c>
      <c r="AG139" s="192">
        <v>0</v>
      </c>
      <c r="AH139" s="192">
        <v>0</v>
      </c>
      <c r="AI139" s="192">
        <v>0</v>
      </c>
      <c r="AJ139" s="192">
        <v>0</v>
      </c>
      <c r="AK139" s="192">
        <v>0</v>
      </c>
      <c r="AL139" s="192">
        <v>0</v>
      </c>
    </row>
    <row r="140" spans="2:38">
      <c r="B140" s="122" t="str">
        <v>Cenário 20/03/2025 com IFC</v>
      </c>
      <c r="C140" s="448" t="str">
        <v>Pórtico 4 (MG-329)</v>
      </c>
      <c r="D140" s="149" t="str">
        <v>2</v>
      </c>
      <c r="E140" s="149">
        <v>2</v>
      </c>
      <c r="F140" s="149">
        <v>0</v>
      </c>
      <c r="G140" s="149">
        <v>0</v>
      </c>
      <c r="H140" s="267" t="str">
        <v>Recuperação do sistema rodoviário</v>
      </c>
      <c r="I140" s="192">
        <v>0</v>
      </c>
      <c r="J140" s="192">
        <v>0</v>
      </c>
      <c r="K140" s="192">
        <v>0</v>
      </c>
      <c r="L140" s="192">
        <v>0</v>
      </c>
      <c r="M140" s="192">
        <v>0</v>
      </c>
      <c r="N140" s="192">
        <v>0</v>
      </c>
      <c r="O140" s="192">
        <v>0</v>
      </c>
      <c r="P140" s="192">
        <v>0</v>
      </c>
      <c r="Q140" s="192">
        <v>0</v>
      </c>
      <c r="R140" s="192">
        <v>0</v>
      </c>
      <c r="S140" s="192">
        <v>0</v>
      </c>
      <c r="T140" s="192">
        <v>0</v>
      </c>
      <c r="U140" s="192">
        <v>0</v>
      </c>
      <c r="V140" s="192">
        <v>0</v>
      </c>
      <c r="W140" s="192">
        <v>0</v>
      </c>
      <c r="X140" s="192">
        <v>0</v>
      </c>
      <c r="Y140" s="192">
        <v>0</v>
      </c>
      <c r="Z140" s="192">
        <v>0</v>
      </c>
      <c r="AA140" s="192">
        <v>0</v>
      </c>
      <c r="AB140" s="192">
        <v>0</v>
      </c>
      <c r="AC140" s="192">
        <v>0</v>
      </c>
      <c r="AD140" s="192">
        <v>0</v>
      </c>
      <c r="AE140" s="192">
        <v>0</v>
      </c>
      <c r="AF140" s="192">
        <v>0</v>
      </c>
      <c r="AG140" s="192">
        <v>0</v>
      </c>
      <c r="AH140" s="192">
        <v>0</v>
      </c>
      <c r="AI140" s="192">
        <v>0</v>
      </c>
      <c r="AJ140" s="192">
        <v>0</v>
      </c>
      <c r="AK140" s="192">
        <v>0</v>
      </c>
      <c r="AL140" s="192">
        <v>0</v>
      </c>
    </row>
    <row r="141" spans="2:38">
      <c r="B141" s="122" t="str">
        <v>Cenário 20/03/2025 com IFC</v>
      </c>
      <c r="C141" s="448" t="str">
        <v>Pórtico 4 (MG-329)</v>
      </c>
      <c r="D141" s="149" t="str">
        <v>2</v>
      </c>
      <c r="E141" s="149" t="str">
        <v>2.1</v>
      </c>
      <c r="F141" s="149">
        <v>1</v>
      </c>
      <c r="G141" s="149">
        <v>0</v>
      </c>
      <c r="H141" s="267" t="str">
        <v>Pavimento</v>
      </c>
      <c r="I141" s="192">
        <v>0</v>
      </c>
      <c r="J141" s="192">
        <v>11199993.876346059</v>
      </c>
      <c r="K141" s="192">
        <v>6692772.0110106496</v>
      </c>
      <c r="L141" s="192">
        <v>7824125.9058188936</v>
      </c>
      <c r="M141" s="192">
        <v>3701034.9171656203</v>
      </c>
      <c r="N141" s="192">
        <v>0</v>
      </c>
      <c r="O141" s="192">
        <v>0</v>
      </c>
      <c r="P141" s="192">
        <v>0</v>
      </c>
      <c r="Q141" s="192">
        <v>0</v>
      </c>
      <c r="R141" s="192">
        <v>0</v>
      </c>
      <c r="S141" s="192">
        <v>0</v>
      </c>
      <c r="T141" s="192">
        <v>0</v>
      </c>
      <c r="U141" s="192">
        <v>0</v>
      </c>
      <c r="V141" s="192">
        <v>0</v>
      </c>
      <c r="W141" s="192">
        <v>0</v>
      </c>
      <c r="X141" s="192">
        <v>0</v>
      </c>
      <c r="Y141" s="192">
        <v>0</v>
      </c>
      <c r="Z141" s="192">
        <v>0</v>
      </c>
      <c r="AA141" s="192">
        <v>0</v>
      </c>
      <c r="AB141" s="192">
        <v>0</v>
      </c>
      <c r="AC141" s="192">
        <v>0</v>
      </c>
      <c r="AD141" s="192">
        <v>0</v>
      </c>
      <c r="AE141" s="192">
        <v>0</v>
      </c>
      <c r="AF141" s="192">
        <v>0</v>
      </c>
      <c r="AG141" s="192">
        <v>0</v>
      </c>
      <c r="AH141" s="192">
        <v>0</v>
      </c>
      <c r="AI141" s="192">
        <v>0</v>
      </c>
      <c r="AJ141" s="192">
        <v>0</v>
      </c>
      <c r="AK141" s="192">
        <v>0</v>
      </c>
      <c r="AL141" s="192">
        <v>0</v>
      </c>
    </row>
    <row r="142" spans="2:38">
      <c r="B142" s="122" t="str">
        <v>Cenário 20/03/2025 com IFC</v>
      </c>
      <c r="C142" s="448" t="str">
        <v>Pórtico 4 (MG-329)</v>
      </c>
      <c r="D142" s="149" t="str">
        <v>2</v>
      </c>
      <c r="E142" s="149" t="str">
        <v>2.2</v>
      </c>
      <c r="F142" s="149">
        <v>1</v>
      </c>
      <c r="G142" s="149">
        <v>0</v>
      </c>
      <c r="H142" s="267" t="str">
        <v>Obras de arte especiais</v>
      </c>
      <c r="I142" s="192">
        <v>0</v>
      </c>
      <c r="J142" s="192">
        <v>1308429.1298830048</v>
      </c>
      <c r="K142" s="192">
        <v>0</v>
      </c>
      <c r="L142" s="192">
        <v>212219.90614540401</v>
      </c>
      <c r="M142" s="192">
        <v>0</v>
      </c>
      <c r="N142" s="192">
        <v>0</v>
      </c>
      <c r="O142" s="192">
        <v>0</v>
      </c>
      <c r="P142" s="192">
        <v>0</v>
      </c>
      <c r="Q142" s="192">
        <v>0</v>
      </c>
      <c r="R142" s="192">
        <v>0</v>
      </c>
      <c r="S142" s="192">
        <v>0</v>
      </c>
      <c r="T142" s="192">
        <v>0</v>
      </c>
      <c r="U142" s="192">
        <v>0</v>
      </c>
      <c r="V142" s="192">
        <v>0</v>
      </c>
      <c r="W142" s="192">
        <v>0</v>
      </c>
      <c r="X142" s="192">
        <v>0</v>
      </c>
      <c r="Y142" s="192">
        <v>0</v>
      </c>
      <c r="Z142" s="192">
        <v>0</v>
      </c>
      <c r="AA142" s="192">
        <v>0</v>
      </c>
      <c r="AB142" s="192">
        <v>0</v>
      </c>
      <c r="AC142" s="192">
        <v>0</v>
      </c>
      <c r="AD142" s="192">
        <v>0</v>
      </c>
      <c r="AE142" s="192">
        <v>0</v>
      </c>
      <c r="AF142" s="192">
        <v>0</v>
      </c>
      <c r="AG142" s="192">
        <v>0</v>
      </c>
      <c r="AH142" s="192">
        <v>0</v>
      </c>
      <c r="AI142" s="192">
        <v>0</v>
      </c>
      <c r="AJ142" s="192">
        <v>0</v>
      </c>
      <c r="AK142" s="192">
        <v>0</v>
      </c>
      <c r="AL142" s="192">
        <v>0</v>
      </c>
    </row>
    <row r="143" spans="2:38">
      <c r="B143" s="122" t="str">
        <v>Cenário 20/03/2025 com IFC</v>
      </c>
      <c r="C143" s="448" t="str">
        <v>Pórtico 4 (MG-329)</v>
      </c>
      <c r="D143" s="149" t="str">
        <v>2</v>
      </c>
      <c r="E143" s="149" t="str">
        <v>2.3</v>
      </c>
      <c r="F143" s="149">
        <v>1</v>
      </c>
      <c r="G143" s="149">
        <v>0</v>
      </c>
      <c r="H143" s="267" t="str">
        <v>Drenagem e obras de arte correntes</v>
      </c>
      <c r="I143" s="192">
        <v>0</v>
      </c>
      <c r="J143" s="192">
        <v>428595.27421819867</v>
      </c>
      <c r="K143" s="192">
        <v>428595.27421819867</v>
      </c>
      <c r="L143" s="192">
        <v>428595.27421819867</v>
      </c>
      <c r="M143" s="192">
        <v>428595.27421819867</v>
      </c>
      <c r="N143" s="192">
        <v>0</v>
      </c>
      <c r="O143" s="192">
        <v>0</v>
      </c>
      <c r="P143" s="192">
        <v>0</v>
      </c>
      <c r="Q143" s="192">
        <v>0</v>
      </c>
      <c r="R143" s="192">
        <v>0</v>
      </c>
      <c r="S143" s="192">
        <v>0</v>
      </c>
      <c r="T143" s="192">
        <v>0</v>
      </c>
      <c r="U143" s="192">
        <v>0</v>
      </c>
      <c r="V143" s="192">
        <v>0</v>
      </c>
      <c r="W143" s="192">
        <v>0</v>
      </c>
      <c r="X143" s="192">
        <v>0</v>
      </c>
      <c r="Y143" s="192">
        <v>0</v>
      </c>
      <c r="Z143" s="192">
        <v>0</v>
      </c>
      <c r="AA143" s="192">
        <v>0</v>
      </c>
      <c r="AB143" s="192">
        <v>0</v>
      </c>
      <c r="AC143" s="192">
        <v>0</v>
      </c>
      <c r="AD143" s="192">
        <v>0</v>
      </c>
      <c r="AE143" s="192">
        <v>0</v>
      </c>
      <c r="AF143" s="192">
        <v>0</v>
      </c>
      <c r="AG143" s="192">
        <v>0</v>
      </c>
      <c r="AH143" s="192">
        <v>0</v>
      </c>
      <c r="AI143" s="192">
        <v>0</v>
      </c>
      <c r="AJ143" s="192">
        <v>0</v>
      </c>
      <c r="AK143" s="192">
        <v>0</v>
      </c>
      <c r="AL143" s="192">
        <v>0</v>
      </c>
    </row>
    <row r="144" spans="2:38">
      <c r="B144" s="122" t="str">
        <v>Cenário 20/03/2025 com IFC</v>
      </c>
      <c r="C144" s="448" t="str">
        <v>Pórtico 4 (MG-329)</v>
      </c>
      <c r="D144" s="149" t="str">
        <v>2</v>
      </c>
      <c r="E144" s="149" t="str">
        <v>2.4</v>
      </c>
      <c r="F144" s="149">
        <v>1</v>
      </c>
      <c r="G144" s="149">
        <v>0</v>
      </c>
      <c r="H144" s="267" t="str">
        <v xml:space="preserve">Sinalização e dispositivos de proteção e segurança </v>
      </c>
      <c r="I144" s="192">
        <v>0</v>
      </c>
      <c r="J144" s="192">
        <v>1484741.2050102041</v>
      </c>
      <c r="K144" s="192">
        <v>1484741.2050102041</v>
      </c>
      <c r="L144" s="192">
        <v>1484741.2050102041</v>
      </c>
      <c r="M144" s="192">
        <v>1484673.4850102041</v>
      </c>
      <c r="N144" s="192">
        <v>0</v>
      </c>
      <c r="O144" s="192">
        <v>0</v>
      </c>
      <c r="P144" s="192">
        <v>0</v>
      </c>
      <c r="Q144" s="192">
        <v>0</v>
      </c>
      <c r="R144" s="192">
        <v>0</v>
      </c>
      <c r="S144" s="192">
        <v>0</v>
      </c>
      <c r="T144" s="192">
        <v>0</v>
      </c>
      <c r="U144" s="192">
        <v>0</v>
      </c>
      <c r="V144" s="192">
        <v>0</v>
      </c>
      <c r="W144" s="192">
        <v>0</v>
      </c>
      <c r="X144" s="192">
        <v>0</v>
      </c>
      <c r="Y144" s="192">
        <v>0</v>
      </c>
      <c r="Z144" s="192">
        <v>0</v>
      </c>
      <c r="AA144" s="192">
        <v>0</v>
      </c>
      <c r="AB144" s="192">
        <v>0</v>
      </c>
      <c r="AC144" s="192">
        <v>0</v>
      </c>
      <c r="AD144" s="192">
        <v>0</v>
      </c>
      <c r="AE144" s="192">
        <v>0</v>
      </c>
      <c r="AF144" s="192">
        <v>0</v>
      </c>
      <c r="AG144" s="192">
        <v>0</v>
      </c>
      <c r="AH144" s="192">
        <v>0</v>
      </c>
      <c r="AI144" s="192">
        <v>0</v>
      </c>
      <c r="AJ144" s="192">
        <v>0</v>
      </c>
      <c r="AK144" s="192">
        <v>0</v>
      </c>
      <c r="AL144" s="192">
        <v>0</v>
      </c>
    </row>
    <row r="145" spans="2:38">
      <c r="B145" s="122" t="str">
        <v>Cenário 20/03/2025 com IFC</v>
      </c>
      <c r="C145" s="448" t="str">
        <v>Pórtico 4 (MG-329)</v>
      </c>
      <c r="D145" s="149" t="str">
        <v>2</v>
      </c>
      <c r="E145" s="149" t="str">
        <v>2.6</v>
      </c>
      <c r="F145" s="149">
        <v>1</v>
      </c>
      <c r="G145" s="149">
        <v>0</v>
      </c>
      <c r="H145" s="267" t="str">
        <v>Terraplenos e estrutura de contenção</v>
      </c>
      <c r="I145" s="192">
        <v>0</v>
      </c>
      <c r="J145" s="192">
        <v>0</v>
      </c>
      <c r="K145" s="192">
        <v>0</v>
      </c>
      <c r="L145" s="192">
        <v>0</v>
      </c>
      <c r="M145" s="192">
        <v>0</v>
      </c>
      <c r="N145" s="192">
        <v>0</v>
      </c>
      <c r="O145" s="192">
        <v>0</v>
      </c>
      <c r="P145" s="192">
        <v>0</v>
      </c>
      <c r="Q145" s="192">
        <v>0</v>
      </c>
      <c r="R145" s="192">
        <v>0</v>
      </c>
      <c r="S145" s="192">
        <v>0</v>
      </c>
      <c r="T145" s="192">
        <v>0</v>
      </c>
      <c r="U145" s="192">
        <v>0</v>
      </c>
      <c r="V145" s="192">
        <v>0</v>
      </c>
      <c r="W145" s="192">
        <v>0</v>
      </c>
      <c r="X145" s="192">
        <v>0</v>
      </c>
      <c r="Y145" s="192">
        <v>0</v>
      </c>
      <c r="Z145" s="192">
        <v>0</v>
      </c>
      <c r="AA145" s="192">
        <v>0</v>
      </c>
      <c r="AB145" s="192">
        <v>0</v>
      </c>
      <c r="AC145" s="192">
        <v>0</v>
      </c>
      <c r="AD145" s="192">
        <v>0</v>
      </c>
      <c r="AE145" s="192">
        <v>0</v>
      </c>
      <c r="AF145" s="192">
        <v>0</v>
      </c>
      <c r="AG145" s="192">
        <v>0</v>
      </c>
      <c r="AH145" s="192">
        <v>0</v>
      </c>
      <c r="AI145" s="192">
        <v>0</v>
      </c>
      <c r="AJ145" s="192">
        <v>0</v>
      </c>
      <c r="AK145" s="192">
        <v>0</v>
      </c>
      <c r="AL145" s="192">
        <v>0</v>
      </c>
    </row>
    <row r="146" spans="2:38">
      <c r="B146" s="122" t="str">
        <v>Cenário 20/03/2025 com IFC</v>
      </c>
      <c r="C146" s="448" t="str">
        <v>Pórtico 4 (MG-329)</v>
      </c>
      <c r="D146" s="149" t="str">
        <v>2</v>
      </c>
      <c r="E146" s="149" t="str">
        <v>2.7</v>
      </c>
      <c r="F146" s="149">
        <v>1</v>
      </c>
      <c r="G146" s="149">
        <v>0</v>
      </c>
      <c r="H146" s="267" t="str">
        <v>Sistemas elétricos e de iluminação</v>
      </c>
      <c r="I146" s="192">
        <v>0</v>
      </c>
      <c r="J146" s="192">
        <v>3827.46</v>
      </c>
      <c r="K146" s="192">
        <v>3827.46</v>
      </c>
      <c r="L146" s="192">
        <v>3827.46</v>
      </c>
      <c r="M146" s="192">
        <v>3827.46</v>
      </c>
      <c r="N146" s="192">
        <v>0</v>
      </c>
      <c r="O146" s="192">
        <v>0</v>
      </c>
      <c r="P146" s="192">
        <v>0</v>
      </c>
      <c r="Q146" s="192">
        <v>0</v>
      </c>
      <c r="R146" s="192">
        <v>0</v>
      </c>
      <c r="S146" s="192">
        <v>0</v>
      </c>
      <c r="T146" s="192">
        <v>0</v>
      </c>
      <c r="U146" s="192">
        <v>0</v>
      </c>
      <c r="V146" s="192">
        <v>0</v>
      </c>
      <c r="W146" s="192">
        <v>0</v>
      </c>
      <c r="X146" s="192">
        <v>0</v>
      </c>
      <c r="Y146" s="192">
        <v>0</v>
      </c>
      <c r="Z146" s="192">
        <v>0</v>
      </c>
      <c r="AA146" s="192">
        <v>0</v>
      </c>
      <c r="AB146" s="192">
        <v>0</v>
      </c>
      <c r="AC146" s="192">
        <v>0</v>
      </c>
      <c r="AD146" s="192">
        <v>0</v>
      </c>
      <c r="AE146" s="192">
        <v>0</v>
      </c>
      <c r="AF146" s="192">
        <v>0</v>
      </c>
      <c r="AG146" s="192">
        <v>0</v>
      </c>
      <c r="AH146" s="192">
        <v>0</v>
      </c>
      <c r="AI146" s="192">
        <v>0</v>
      </c>
      <c r="AJ146" s="192">
        <v>0</v>
      </c>
      <c r="AK146" s="192">
        <v>0</v>
      </c>
      <c r="AL146" s="192">
        <v>0</v>
      </c>
    </row>
    <row r="147" spans="2:38">
      <c r="B147" s="122" t="str">
        <v>Cenário 20/03/2025 com IFC</v>
      </c>
      <c r="C147" s="448" t="str">
        <v>Pórtico 4 (MG-329)</v>
      </c>
      <c r="D147" s="149" t="str">
        <v>2</v>
      </c>
      <c r="E147" s="149" t="str">
        <v>2.8</v>
      </c>
      <c r="F147" s="149">
        <v>1</v>
      </c>
      <c r="G147" s="149">
        <v>0</v>
      </c>
      <c r="H147" s="267" t="str">
        <v>Canteiro central e faixa de domínio</v>
      </c>
      <c r="I147" s="192">
        <v>0</v>
      </c>
      <c r="J147" s="192">
        <v>247241.91133787885</v>
      </c>
      <c r="K147" s="192">
        <v>247241.91133787885</v>
      </c>
      <c r="L147" s="192">
        <v>247241.91133787885</v>
      </c>
      <c r="M147" s="192">
        <v>247241.91133787885</v>
      </c>
      <c r="N147" s="192">
        <v>0</v>
      </c>
      <c r="O147" s="192">
        <v>0</v>
      </c>
      <c r="P147" s="192">
        <v>0</v>
      </c>
      <c r="Q147" s="192">
        <v>0</v>
      </c>
      <c r="R147" s="192">
        <v>0</v>
      </c>
      <c r="S147" s="192">
        <v>0</v>
      </c>
      <c r="T147" s="192">
        <v>0</v>
      </c>
      <c r="U147" s="192">
        <v>0</v>
      </c>
      <c r="V147" s="192">
        <v>0</v>
      </c>
      <c r="W147" s="192">
        <v>0</v>
      </c>
      <c r="X147" s="192">
        <v>0</v>
      </c>
      <c r="Y147" s="192">
        <v>0</v>
      </c>
      <c r="Z147" s="192">
        <v>0</v>
      </c>
      <c r="AA147" s="192">
        <v>0</v>
      </c>
      <c r="AB147" s="192">
        <v>0</v>
      </c>
      <c r="AC147" s="192">
        <v>0</v>
      </c>
      <c r="AD147" s="192">
        <v>0</v>
      </c>
      <c r="AE147" s="192">
        <v>0</v>
      </c>
      <c r="AF147" s="192">
        <v>0</v>
      </c>
      <c r="AG147" s="192">
        <v>0</v>
      </c>
      <c r="AH147" s="192">
        <v>0</v>
      </c>
      <c r="AI147" s="192">
        <v>0</v>
      </c>
      <c r="AJ147" s="192">
        <v>0</v>
      </c>
      <c r="AK147" s="192">
        <v>0</v>
      </c>
      <c r="AL147" s="192">
        <v>0</v>
      </c>
    </row>
    <row r="148" spans="2:38">
      <c r="B148" s="122" t="str">
        <v>Cenário 20/03/2025 com IFC</v>
      </c>
      <c r="C148" s="448" t="str">
        <v>Pórtico 4 (MG-329)</v>
      </c>
      <c r="D148" s="149" t="str">
        <v>2</v>
      </c>
      <c r="E148" s="149" t="str">
        <v>2.9</v>
      </c>
      <c r="F148" s="149">
        <v>1</v>
      </c>
      <c r="G148" s="149">
        <v>0</v>
      </c>
      <c r="H148" s="267" t="str">
        <v>Administração local (%)</v>
      </c>
      <c r="I148" s="192">
        <v>0</v>
      </c>
      <c r="J148" s="192">
        <v>180475.79493858275</v>
      </c>
      <c r="K148" s="192">
        <v>108943.28769739626</v>
      </c>
      <c r="L148" s="192">
        <v>125469.24544912612</v>
      </c>
      <c r="M148" s="192">
        <v>72144.088487102388</v>
      </c>
      <c r="N148" s="192">
        <v>0</v>
      </c>
      <c r="O148" s="192">
        <v>0</v>
      </c>
      <c r="P148" s="192">
        <v>0</v>
      </c>
      <c r="Q148" s="192">
        <v>0</v>
      </c>
      <c r="R148" s="192">
        <v>0</v>
      </c>
      <c r="S148" s="192">
        <v>0</v>
      </c>
      <c r="T148" s="192">
        <v>0</v>
      </c>
      <c r="U148" s="192">
        <v>0</v>
      </c>
      <c r="V148" s="192">
        <v>0</v>
      </c>
      <c r="W148" s="192">
        <v>0</v>
      </c>
      <c r="X148" s="192">
        <v>0</v>
      </c>
      <c r="Y148" s="192">
        <v>0</v>
      </c>
      <c r="Z148" s="192">
        <v>0</v>
      </c>
      <c r="AA148" s="192">
        <v>0</v>
      </c>
      <c r="AB148" s="192">
        <v>0</v>
      </c>
      <c r="AC148" s="192">
        <v>0</v>
      </c>
      <c r="AD148" s="192">
        <v>0</v>
      </c>
      <c r="AE148" s="192">
        <v>0</v>
      </c>
      <c r="AF148" s="192">
        <v>0</v>
      </c>
      <c r="AG148" s="192">
        <v>0</v>
      </c>
      <c r="AH148" s="192">
        <v>0</v>
      </c>
      <c r="AI148" s="192">
        <v>0</v>
      </c>
      <c r="AJ148" s="192">
        <v>0</v>
      </c>
      <c r="AK148" s="192">
        <v>0</v>
      </c>
      <c r="AL148" s="192">
        <v>0</v>
      </c>
    </row>
    <row r="149" spans="2:38">
      <c r="B149" s="122" t="str">
        <v>Cenário 20/03/2025 com IFC</v>
      </c>
      <c r="C149" s="448" t="str">
        <v>Pórtico 4 (MG-329)</v>
      </c>
      <c r="D149" s="149" t="str">
        <v>2</v>
      </c>
      <c r="E149" s="149" t="str">
        <v>2.10</v>
      </c>
      <c r="F149" s="149">
        <v>1</v>
      </c>
      <c r="G149" s="149">
        <v>0</v>
      </c>
      <c r="H149" s="267" t="str">
        <v>Canteiro de obras (%)</v>
      </c>
      <c r="I149" s="192">
        <v>0</v>
      </c>
      <c r="J149" s="192">
        <v>45485.769456065565</v>
      </c>
      <c r="K149" s="192">
        <v>27457.251370888487</v>
      </c>
      <c r="L149" s="192">
        <v>31622.330153844792</v>
      </c>
      <c r="M149" s="192">
        <v>18182.656447968893</v>
      </c>
      <c r="N149" s="192">
        <v>0</v>
      </c>
      <c r="O149" s="192">
        <v>0</v>
      </c>
      <c r="P149" s="192">
        <v>0</v>
      </c>
      <c r="Q149" s="192">
        <v>0</v>
      </c>
      <c r="R149" s="192">
        <v>0</v>
      </c>
      <c r="S149" s="192">
        <v>0</v>
      </c>
      <c r="T149" s="192">
        <v>0</v>
      </c>
      <c r="U149" s="192">
        <v>0</v>
      </c>
      <c r="V149" s="192">
        <v>0</v>
      </c>
      <c r="W149" s="192">
        <v>0</v>
      </c>
      <c r="X149" s="192">
        <v>0</v>
      </c>
      <c r="Y149" s="192">
        <v>0</v>
      </c>
      <c r="Z149" s="192">
        <v>0</v>
      </c>
      <c r="AA149" s="192">
        <v>0</v>
      </c>
      <c r="AB149" s="192">
        <v>0</v>
      </c>
      <c r="AC149" s="192">
        <v>0</v>
      </c>
      <c r="AD149" s="192">
        <v>0</v>
      </c>
      <c r="AE149" s="192">
        <v>0</v>
      </c>
      <c r="AF149" s="192">
        <v>0</v>
      </c>
      <c r="AG149" s="192">
        <v>0</v>
      </c>
      <c r="AH149" s="192">
        <v>0</v>
      </c>
      <c r="AI149" s="192">
        <v>0</v>
      </c>
      <c r="AJ149" s="192">
        <v>0</v>
      </c>
      <c r="AK149" s="192">
        <v>0</v>
      </c>
      <c r="AL149" s="192">
        <v>0</v>
      </c>
    </row>
    <row r="150" spans="2:38">
      <c r="B150" s="122" t="str">
        <v>Cenário 20/03/2025 com IFC</v>
      </c>
      <c r="C150" s="448" t="str">
        <v>Pórtico 4 (MG-329)</v>
      </c>
      <c r="D150" s="149" t="str">
        <v>2</v>
      </c>
      <c r="E150" s="149" t="str">
        <v>2.11</v>
      </c>
      <c r="F150" s="149">
        <v>1</v>
      </c>
      <c r="G150" s="149">
        <v>0</v>
      </c>
      <c r="H150" s="267" t="str">
        <v>Mobilização e desmobilização (%)</v>
      </c>
      <c r="I150" s="192">
        <v>0</v>
      </c>
      <c r="J150" s="192">
        <v>851.02407369413004</v>
      </c>
      <c r="K150" s="192">
        <v>513.716315971462</v>
      </c>
      <c r="L150" s="192">
        <v>591.64359642677357</v>
      </c>
      <c r="M150" s="192">
        <v>340.19163676845028</v>
      </c>
      <c r="N150" s="192">
        <v>0</v>
      </c>
      <c r="O150" s="192">
        <v>0</v>
      </c>
      <c r="P150" s="192">
        <v>0</v>
      </c>
      <c r="Q150" s="192">
        <v>0</v>
      </c>
      <c r="R150" s="192">
        <v>0</v>
      </c>
      <c r="S150" s="192">
        <v>0</v>
      </c>
      <c r="T150" s="192">
        <v>0</v>
      </c>
      <c r="U150" s="192">
        <v>0</v>
      </c>
      <c r="V150" s="192">
        <v>0</v>
      </c>
      <c r="W150" s="192">
        <v>0</v>
      </c>
      <c r="X150" s="192">
        <v>0</v>
      </c>
      <c r="Y150" s="192">
        <v>0</v>
      </c>
      <c r="Z150" s="192">
        <v>0</v>
      </c>
      <c r="AA150" s="192">
        <v>0</v>
      </c>
      <c r="AB150" s="192">
        <v>0</v>
      </c>
      <c r="AC150" s="192">
        <v>0</v>
      </c>
      <c r="AD150" s="192">
        <v>0</v>
      </c>
      <c r="AE150" s="192">
        <v>0</v>
      </c>
      <c r="AF150" s="192">
        <v>0</v>
      </c>
      <c r="AG150" s="192">
        <v>0</v>
      </c>
      <c r="AH150" s="192">
        <v>0</v>
      </c>
      <c r="AI150" s="192">
        <v>0</v>
      </c>
      <c r="AJ150" s="192">
        <v>0</v>
      </c>
      <c r="AK150" s="192">
        <v>0</v>
      </c>
      <c r="AL150" s="192">
        <v>0</v>
      </c>
    </row>
    <row r="151" spans="2:38">
      <c r="B151" s="122" t="str">
        <v>Cenário 20/03/2025 com IFC</v>
      </c>
      <c r="C151" s="448" t="str">
        <v>Pórtico 4 (MG-329)</v>
      </c>
      <c r="D151" s="149" t="str">
        <v>2</v>
      </c>
      <c r="E151" s="149" t="str">
        <v>2.12</v>
      </c>
      <c r="F151" s="149">
        <v>1</v>
      </c>
      <c r="G151" s="149">
        <v>0</v>
      </c>
      <c r="H151" s="267" t="str">
        <v>Projetos (%)</v>
      </c>
      <c r="I151" s="192">
        <v>0</v>
      </c>
      <c r="J151" s="192">
        <v>366820.72141988366</v>
      </c>
      <c r="K151" s="192">
        <v>221429.44653942331</v>
      </c>
      <c r="L151" s="192">
        <v>255018.79156326447</v>
      </c>
      <c r="M151" s="192">
        <v>146634.32619329754</v>
      </c>
      <c r="N151" s="192">
        <v>0</v>
      </c>
      <c r="O151" s="192">
        <v>0</v>
      </c>
      <c r="P151" s="192">
        <v>0</v>
      </c>
      <c r="Q151" s="192">
        <v>0</v>
      </c>
      <c r="R151" s="192">
        <v>0</v>
      </c>
      <c r="S151" s="192">
        <v>0</v>
      </c>
      <c r="T151" s="192">
        <v>0</v>
      </c>
      <c r="U151" s="192">
        <v>0</v>
      </c>
      <c r="V151" s="192">
        <v>0</v>
      </c>
      <c r="W151" s="192">
        <v>0</v>
      </c>
      <c r="X151" s="192">
        <v>0</v>
      </c>
      <c r="Y151" s="192">
        <v>0</v>
      </c>
      <c r="Z151" s="192">
        <v>0</v>
      </c>
      <c r="AA151" s="192">
        <v>0</v>
      </c>
      <c r="AB151" s="192">
        <v>0</v>
      </c>
      <c r="AC151" s="192">
        <v>0</v>
      </c>
      <c r="AD151" s="192">
        <v>0</v>
      </c>
      <c r="AE151" s="192">
        <v>0</v>
      </c>
      <c r="AF151" s="192">
        <v>0</v>
      </c>
      <c r="AG151" s="192">
        <v>0</v>
      </c>
      <c r="AH151" s="192">
        <v>0</v>
      </c>
      <c r="AI151" s="192">
        <v>0</v>
      </c>
      <c r="AJ151" s="192">
        <v>0</v>
      </c>
      <c r="AK151" s="192">
        <v>0</v>
      </c>
      <c r="AL151" s="192">
        <v>0</v>
      </c>
    </row>
    <row r="152" spans="2:38">
      <c r="B152" s="122" t="str">
        <v>Cenário 20/03/2025 com IFC</v>
      </c>
      <c r="C152" s="448" t="str">
        <v>Pórtico 4 (MG-329)</v>
      </c>
      <c r="D152" s="149" t="str">
        <v>4</v>
      </c>
      <c r="E152" s="149">
        <v>4</v>
      </c>
      <c r="F152" s="149">
        <v>0</v>
      </c>
      <c r="G152" s="149">
        <v>0</v>
      </c>
      <c r="H152" s="267" t="str">
        <v>Obras de ampliação da capacidade e outras melhorias</v>
      </c>
      <c r="I152" s="192">
        <v>0</v>
      </c>
      <c r="J152" s="192">
        <v>0</v>
      </c>
      <c r="K152" s="192">
        <v>0</v>
      </c>
      <c r="L152" s="192">
        <v>0</v>
      </c>
      <c r="M152" s="192">
        <v>0</v>
      </c>
      <c r="N152" s="192">
        <v>0</v>
      </c>
      <c r="O152" s="192">
        <v>0</v>
      </c>
      <c r="P152" s="192">
        <v>0</v>
      </c>
      <c r="Q152" s="192">
        <v>0</v>
      </c>
      <c r="R152" s="192">
        <v>0</v>
      </c>
      <c r="S152" s="192">
        <v>0</v>
      </c>
      <c r="T152" s="192">
        <v>0</v>
      </c>
      <c r="U152" s="192">
        <v>0</v>
      </c>
      <c r="V152" s="192">
        <v>0</v>
      </c>
      <c r="W152" s="192">
        <v>0</v>
      </c>
      <c r="X152" s="192">
        <v>0</v>
      </c>
      <c r="Y152" s="192">
        <v>0</v>
      </c>
      <c r="Z152" s="192">
        <v>0</v>
      </c>
      <c r="AA152" s="192">
        <v>0</v>
      </c>
      <c r="AB152" s="192">
        <v>0</v>
      </c>
      <c r="AC152" s="192">
        <v>0</v>
      </c>
      <c r="AD152" s="192">
        <v>0</v>
      </c>
      <c r="AE152" s="192">
        <v>0</v>
      </c>
      <c r="AF152" s="192">
        <v>0</v>
      </c>
      <c r="AG152" s="192">
        <v>0</v>
      </c>
      <c r="AH152" s="192">
        <v>0</v>
      </c>
      <c r="AI152" s="192">
        <v>0</v>
      </c>
      <c r="AJ152" s="192">
        <v>0</v>
      </c>
      <c r="AK152" s="192">
        <v>0</v>
      </c>
      <c r="AL152" s="192">
        <v>0</v>
      </c>
    </row>
    <row r="153" spans="2:38">
      <c r="B153" s="122" t="str">
        <v>Cenário 20/03/2025 com IFC</v>
      </c>
      <c r="C153" s="448" t="str">
        <v>Pórtico 4 (MG-329)</v>
      </c>
      <c r="D153" s="149" t="str">
        <v>4</v>
      </c>
      <c r="E153" s="149" t="str">
        <v>4.1</v>
      </c>
      <c r="F153" s="149">
        <v>1</v>
      </c>
      <c r="G153" s="149">
        <v>0</v>
      </c>
      <c r="H153" s="267" t="str">
        <v xml:space="preserve">Duplicação </v>
      </c>
      <c r="I153" s="192">
        <v>0</v>
      </c>
      <c r="J153" s="192">
        <v>0</v>
      </c>
      <c r="K153" s="192">
        <v>0</v>
      </c>
      <c r="L153" s="192">
        <v>47047000</v>
      </c>
      <c r="M153" s="192">
        <v>0</v>
      </c>
      <c r="N153" s="192">
        <v>0</v>
      </c>
      <c r="O153" s="192">
        <v>0</v>
      </c>
      <c r="P153" s="192">
        <v>0</v>
      </c>
      <c r="Q153" s="192">
        <v>0</v>
      </c>
      <c r="R153" s="192">
        <v>0</v>
      </c>
      <c r="S153" s="192">
        <v>0</v>
      </c>
      <c r="T153" s="192">
        <v>0</v>
      </c>
      <c r="U153" s="192">
        <v>0</v>
      </c>
      <c r="V153" s="192">
        <v>0</v>
      </c>
      <c r="W153" s="192">
        <v>190953000</v>
      </c>
      <c r="X153" s="192">
        <v>0</v>
      </c>
      <c r="Y153" s="192">
        <v>0</v>
      </c>
      <c r="Z153" s="192">
        <v>0</v>
      </c>
      <c r="AA153" s="192">
        <v>0</v>
      </c>
      <c r="AB153" s="192">
        <v>0</v>
      </c>
      <c r="AC153" s="192">
        <v>0</v>
      </c>
      <c r="AD153" s="192">
        <v>0</v>
      </c>
      <c r="AE153" s="192">
        <v>0</v>
      </c>
      <c r="AF153" s="192">
        <v>0</v>
      </c>
      <c r="AG153" s="192">
        <v>0</v>
      </c>
      <c r="AH153" s="192">
        <v>0</v>
      </c>
      <c r="AI153" s="192">
        <v>0</v>
      </c>
      <c r="AJ153" s="192">
        <v>0</v>
      </c>
      <c r="AK153" s="192">
        <v>0</v>
      </c>
      <c r="AL153" s="192">
        <v>0</v>
      </c>
    </row>
    <row r="154" spans="2:38">
      <c r="B154" s="122" t="str">
        <v>Cenário 20/03/2025 com IFC</v>
      </c>
      <c r="C154" s="448" t="str">
        <v>Pórtico 4 (MG-329)</v>
      </c>
      <c r="D154" s="149" t="str">
        <v>4</v>
      </c>
      <c r="E154" s="149" t="str">
        <v>4.2</v>
      </c>
      <c r="F154" s="149">
        <v>1</v>
      </c>
      <c r="G154" s="149">
        <v>0</v>
      </c>
      <c r="H154" s="267" t="str">
        <v xml:space="preserve">Vias marginais </v>
      </c>
      <c r="I154" s="192">
        <v>0</v>
      </c>
      <c r="J154" s="192">
        <v>0</v>
      </c>
      <c r="K154" s="192">
        <v>0</v>
      </c>
      <c r="L154" s="192">
        <v>0</v>
      </c>
      <c r="M154" s="192">
        <v>0</v>
      </c>
      <c r="N154" s="192">
        <v>0</v>
      </c>
      <c r="O154" s="192">
        <v>0</v>
      </c>
      <c r="P154" s="192">
        <v>0</v>
      </c>
      <c r="Q154" s="192">
        <v>0</v>
      </c>
      <c r="R154" s="192">
        <v>0</v>
      </c>
      <c r="S154" s="192">
        <v>0</v>
      </c>
      <c r="T154" s="192">
        <v>0</v>
      </c>
      <c r="U154" s="192">
        <v>0</v>
      </c>
      <c r="V154" s="192">
        <v>0</v>
      </c>
      <c r="W154" s="192">
        <v>0</v>
      </c>
      <c r="X154" s="192">
        <v>0</v>
      </c>
      <c r="Y154" s="192">
        <v>0</v>
      </c>
      <c r="Z154" s="192">
        <v>0</v>
      </c>
      <c r="AA154" s="192">
        <v>0</v>
      </c>
      <c r="AB154" s="192">
        <v>0</v>
      </c>
      <c r="AC154" s="192">
        <v>0</v>
      </c>
      <c r="AD154" s="192">
        <v>0</v>
      </c>
      <c r="AE154" s="192">
        <v>0</v>
      </c>
      <c r="AF154" s="192">
        <v>0</v>
      </c>
      <c r="AG154" s="192">
        <v>0</v>
      </c>
      <c r="AH154" s="192">
        <v>0</v>
      </c>
      <c r="AI154" s="192">
        <v>0</v>
      </c>
      <c r="AJ154" s="192">
        <v>0</v>
      </c>
      <c r="AK154" s="192">
        <v>0</v>
      </c>
      <c r="AL154" s="192">
        <v>0</v>
      </c>
    </row>
    <row r="155" spans="2:38">
      <c r="B155" s="122" t="str">
        <v>Cenário 20/03/2025 com IFC</v>
      </c>
      <c r="C155" s="448" t="str">
        <v>Pórtico 4 (MG-329)</v>
      </c>
      <c r="D155" s="149" t="str">
        <v>4</v>
      </c>
      <c r="E155" s="149" t="str">
        <v>4.3</v>
      </c>
      <c r="F155" s="149">
        <v>1</v>
      </c>
      <c r="G155" s="149">
        <v>0</v>
      </c>
      <c r="H155" s="267" t="str">
        <v xml:space="preserve">Contornos urbanos e travessias urbanas </v>
      </c>
      <c r="I155" s="192">
        <v>0</v>
      </c>
      <c r="J155" s="192">
        <v>0</v>
      </c>
      <c r="K155" s="192">
        <v>0</v>
      </c>
      <c r="L155" s="192">
        <v>0</v>
      </c>
      <c r="M155" s="192">
        <v>0</v>
      </c>
      <c r="N155" s="192">
        <v>0</v>
      </c>
      <c r="O155" s="192">
        <v>0</v>
      </c>
      <c r="P155" s="192">
        <v>0</v>
      </c>
      <c r="Q155" s="192">
        <v>0</v>
      </c>
      <c r="R155" s="192">
        <v>0</v>
      </c>
      <c r="S155" s="192">
        <v>0</v>
      </c>
      <c r="T155" s="192">
        <v>0</v>
      </c>
      <c r="U155" s="192">
        <v>0</v>
      </c>
      <c r="V155" s="192">
        <v>0</v>
      </c>
      <c r="W155" s="192">
        <v>0</v>
      </c>
      <c r="X155" s="192">
        <v>0</v>
      </c>
      <c r="Y155" s="192">
        <v>0</v>
      </c>
      <c r="Z155" s="192">
        <v>0</v>
      </c>
      <c r="AA155" s="192">
        <v>0</v>
      </c>
      <c r="AB155" s="192">
        <v>0</v>
      </c>
      <c r="AC155" s="192">
        <v>0</v>
      </c>
      <c r="AD155" s="192">
        <v>0</v>
      </c>
      <c r="AE155" s="192">
        <v>0</v>
      </c>
      <c r="AF155" s="192">
        <v>0</v>
      </c>
      <c r="AG155" s="192">
        <v>0</v>
      </c>
      <c r="AH155" s="192">
        <v>0</v>
      </c>
      <c r="AI155" s="192">
        <v>0</v>
      </c>
      <c r="AJ155" s="192">
        <v>0</v>
      </c>
      <c r="AK155" s="192">
        <v>0</v>
      </c>
      <c r="AL155" s="192">
        <v>0</v>
      </c>
    </row>
    <row r="156" spans="2:38">
      <c r="B156" s="122" t="str">
        <v>Cenário 20/03/2025 com IFC</v>
      </c>
      <c r="C156" s="448" t="str">
        <v>Pórtico 4 (MG-329)</v>
      </c>
      <c r="D156" s="149" t="str">
        <v>4</v>
      </c>
      <c r="E156" s="149" t="str">
        <v>4.4</v>
      </c>
      <c r="F156" s="149">
        <v>1</v>
      </c>
      <c r="G156" s="149">
        <v>0</v>
      </c>
      <c r="H156" s="267" t="str">
        <v xml:space="preserve">Faixas adicionais </v>
      </c>
      <c r="I156" s="192">
        <v>0</v>
      </c>
      <c r="J156" s="192">
        <v>0</v>
      </c>
      <c r="K156" s="192">
        <v>0</v>
      </c>
      <c r="L156" s="192">
        <v>0</v>
      </c>
      <c r="M156" s="192">
        <v>0</v>
      </c>
      <c r="N156" s="192">
        <v>0</v>
      </c>
      <c r="O156" s="192">
        <v>0</v>
      </c>
      <c r="P156" s="192">
        <v>0</v>
      </c>
      <c r="Q156" s="192">
        <v>0</v>
      </c>
      <c r="R156" s="192">
        <v>0</v>
      </c>
      <c r="S156" s="192">
        <v>0</v>
      </c>
      <c r="T156" s="192">
        <v>0</v>
      </c>
      <c r="U156" s="192">
        <v>0</v>
      </c>
      <c r="V156" s="192">
        <v>0</v>
      </c>
      <c r="W156" s="192">
        <v>0</v>
      </c>
      <c r="X156" s="192">
        <v>0</v>
      </c>
      <c r="Y156" s="192">
        <v>0</v>
      </c>
      <c r="Z156" s="192">
        <v>0</v>
      </c>
      <c r="AA156" s="192">
        <v>0</v>
      </c>
      <c r="AB156" s="192">
        <v>0</v>
      </c>
      <c r="AC156" s="192">
        <v>0</v>
      </c>
      <c r="AD156" s="192">
        <v>0</v>
      </c>
      <c r="AE156" s="192">
        <v>0</v>
      </c>
      <c r="AF156" s="192">
        <v>0</v>
      </c>
      <c r="AG156" s="192">
        <v>0</v>
      </c>
      <c r="AH156" s="192">
        <v>0</v>
      </c>
      <c r="AI156" s="192">
        <v>0</v>
      </c>
      <c r="AJ156" s="192">
        <v>0</v>
      </c>
      <c r="AK156" s="192">
        <v>0</v>
      </c>
      <c r="AL156" s="192">
        <v>0</v>
      </c>
    </row>
    <row r="157" spans="2:38">
      <c r="B157" s="122" t="str">
        <v>Cenário 20/03/2025 com IFC</v>
      </c>
      <c r="C157" s="448" t="str">
        <v>Pórtico 4 (MG-329)</v>
      </c>
      <c r="D157" s="149" t="str">
        <v>4</v>
      </c>
      <c r="E157" s="149" t="str">
        <v>4.5</v>
      </c>
      <c r="F157" s="149">
        <v>1</v>
      </c>
      <c r="G157" s="149">
        <v>0</v>
      </c>
      <c r="H157" s="267" t="str">
        <v xml:space="preserve">Acostamentos e adequação de plataforma </v>
      </c>
      <c r="I157" s="192">
        <v>0</v>
      </c>
      <c r="J157" s="192">
        <v>0</v>
      </c>
      <c r="K157" s="192">
        <v>0</v>
      </c>
      <c r="L157" s="192">
        <v>72836050.106118813</v>
      </c>
      <c r="M157" s="192">
        <v>0</v>
      </c>
      <c r="N157" s="192">
        <v>0</v>
      </c>
      <c r="O157" s="192">
        <v>0</v>
      </c>
      <c r="P157" s="192">
        <v>0</v>
      </c>
      <c r="Q157" s="192">
        <v>0</v>
      </c>
      <c r="R157" s="192">
        <v>0</v>
      </c>
      <c r="S157" s="192">
        <v>0</v>
      </c>
      <c r="T157" s="192">
        <v>0</v>
      </c>
      <c r="U157" s="192">
        <v>0</v>
      </c>
      <c r="V157" s="192">
        <v>0</v>
      </c>
      <c r="W157" s="192">
        <v>0</v>
      </c>
      <c r="X157" s="192">
        <v>0</v>
      </c>
      <c r="Y157" s="192">
        <v>0</v>
      </c>
      <c r="Z157" s="192">
        <v>0</v>
      </c>
      <c r="AA157" s="192">
        <v>0</v>
      </c>
      <c r="AB157" s="192">
        <v>0</v>
      </c>
      <c r="AC157" s="192">
        <v>0</v>
      </c>
      <c r="AD157" s="192">
        <v>0</v>
      </c>
      <c r="AE157" s="192">
        <v>0</v>
      </c>
      <c r="AF157" s="192">
        <v>0</v>
      </c>
      <c r="AG157" s="192">
        <v>0</v>
      </c>
      <c r="AH157" s="192">
        <v>0</v>
      </c>
      <c r="AI157" s="192">
        <v>0</v>
      </c>
      <c r="AJ157" s="192">
        <v>0</v>
      </c>
      <c r="AK157" s="192">
        <v>0</v>
      </c>
      <c r="AL157" s="192">
        <v>0</v>
      </c>
    </row>
    <row r="158" spans="2:38">
      <c r="B158" s="122" t="str">
        <v>Cenário 20/03/2025 com IFC</v>
      </c>
      <c r="C158" s="448" t="str">
        <v>Pórtico 4 (MG-329)</v>
      </c>
      <c r="D158" s="149" t="str">
        <v>4</v>
      </c>
      <c r="E158" s="149" t="str">
        <v>4.6</v>
      </c>
      <c r="F158" s="149">
        <v>1</v>
      </c>
      <c r="G158" s="149">
        <v>0</v>
      </c>
      <c r="H158" s="267" t="str">
        <v>Implantação de oae</v>
      </c>
      <c r="I158" s="192">
        <v>0</v>
      </c>
      <c r="J158" s="192">
        <v>0</v>
      </c>
      <c r="K158" s="192">
        <v>0</v>
      </c>
      <c r="L158" s="192">
        <v>0</v>
      </c>
      <c r="M158" s="192">
        <v>0</v>
      </c>
      <c r="N158" s="192">
        <v>0</v>
      </c>
      <c r="O158" s="192">
        <v>0</v>
      </c>
      <c r="P158" s="192">
        <v>0</v>
      </c>
      <c r="Q158" s="192">
        <v>0</v>
      </c>
      <c r="R158" s="192">
        <v>0</v>
      </c>
      <c r="S158" s="192">
        <v>0</v>
      </c>
      <c r="T158" s="192">
        <v>0</v>
      </c>
      <c r="U158" s="192">
        <v>0</v>
      </c>
      <c r="V158" s="192">
        <v>0</v>
      </c>
      <c r="W158" s="192">
        <v>5993089.6800152902</v>
      </c>
      <c r="X158" s="192">
        <v>0</v>
      </c>
      <c r="Y158" s="192">
        <v>0</v>
      </c>
      <c r="Z158" s="192">
        <v>0</v>
      </c>
      <c r="AA158" s="192">
        <v>0</v>
      </c>
      <c r="AB158" s="192">
        <v>0</v>
      </c>
      <c r="AC158" s="192">
        <v>0</v>
      </c>
      <c r="AD158" s="192">
        <v>0</v>
      </c>
      <c r="AE158" s="192">
        <v>0</v>
      </c>
      <c r="AF158" s="192">
        <v>0</v>
      </c>
      <c r="AG158" s="192">
        <v>0</v>
      </c>
      <c r="AH158" s="192">
        <v>0</v>
      </c>
      <c r="AI158" s="192">
        <v>0</v>
      </c>
      <c r="AJ158" s="192">
        <v>0</v>
      </c>
      <c r="AK158" s="192">
        <v>0</v>
      </c>
      <c r="AL158" s="192">
        <v>0</v>
      </c>
    </row>
    <row r="159" spans="2:38">
      <c r="B159" s="122" t="str">
        <v>Cenário 20/03/2025 com IFC</v>
      </c>
      <c r="C159" s="448" t="str">
        <v>Pórtico 4 (MG-329)</v>
      </c>
      <c r="D159" s="149" t="str">
        <v>4</v>
      </c>
      <c r="E159" s="149" t="str">
        <v>4.7</v>
      </c>
      <c r="F159" s="149">
        <v>1</v>
      </c>
      <c r="G159" s="149">
        <v>0</v>
      </c>
      <c r="H159" s="267" t="str">
        <v xml:space="preserve">Implantação de dispositivo em nível </v>
      </c>
      <c r="I159" s="192">
        <v>0</v>
      </c>
      <c r="J159" s="192">
        <v>0</v>
      </c>
      <c r="K159" s="192">
        <v>0</v>
      </c>
      <c r="L159" s="192">
        <v>18998248.668709166</v>
      </c>
      <c r="M159" s="192">
        <v>0</v>
      </c>
      <c r="N159" s="192">
        <v>0</v>
      </c>
      <c r="O159" s="192">
        <v>0</v>
      </c>
      <c r="P159" s="192">
        <v>0</v>
      </c>
      <c r="Q159" s="192">
        <v>0</v>
      </c>
      <c r="R159" s="192">
        <v>0</v>
      </c>
      <c r="S159" s="192">
        <v>0</v>
      </c>
      <c r="T159" s="192">
        <v>0</v>
      </c>
      <c r="U159" s="192">
        <v>0</v>
      </c>
      <c r="V159" s="192">
        <v>0</v>
      </c>
      <c r="W159" s="192">
        <v>33525080.709476054</v>
      </c>
      <c r="X159" s="192">
        <v>0</v>
      </c>
      <c r="Y159" s="192">
        <v>0</v>
      </c>
      <c r="Z159" s="192">
        <v>0</v>
      </c>
      <c r="AA159" s="192">
        <v>0</v>
      </c>
      <c r="AB159" s="192">
        <v>0</v>
      </c>
      <c r="AC159" s="192">
        <v>0</v>
      </c>
      <c r="AD159" s="192">
        <v>0</v>
      </c>
      <c r="AE159" s="192">
        <v>0</v>
      </c>
      <c r="AF159" s="192">
        <v>0</v>
      </c>
      <c r="AG159" s="192">
        <v>0</v>
      </c>
      <c r="AH159" s="192">
        <v>0</v>
      </c>
      <c r="AI159" s="192">
        <v>0</v>
      </c>
      <c r="AJ159" s="192">
        <v>0</v>
      </c>
      <c r="AK159" s="192">
        <v>0</v>
      </c>
      <c r="AL159" s="192">
        <v>0</v>
      </c>
    </row>
    <row r="160" spans="2:38">
      <c r="B160" s="122" t="str">
        <v>Cenário 20/03/2025 com IFC</v>
      </c>
      <c r="C160" s="448" t="str">
        <v>Pórtico 4 (MG-329)</v>
      </c>
      <c r="D160" s="149" t="str">
        <v>4</v>
      </c>
      <c r="E160" s="149" t="str">
        <v>4.8</v>
      </c>
      <c r="F160" s="149">
        <v>1</v>
      </c>
      <c r="G160" s="149">
        <v>0</v>
      </c>
      <c r="H160" s="267" t="str">
        <v>Adequação oae - alargamento e trem tipo</v>
      </c>
      <c r="I160" s="192">
        <v>0</v>
      </c>
      <c r="J160" s="192">
        <v>0</v>
      </c>
      <c r="K160" s="192">
        <v>0</v>
      </c>
      <c r="L160" s="192">
        <v>5377081.9599269582</v>
      </c>
      <c r="M160" s="192">
        <v>0</v>
      </c>
      <c r="N160" s="192">
        <v>0</v>
      </c>
      <c r="O160" s="192">
        <v>0</v>
      </c>
      <c r="P160" s="192">
        <v>0</v>
      </c>
      <c r="Q160" s="192">
        <v>0</v>
      </c>
      <c r="R160" s="192">
        <v>0</v>
      </c>
      <c r="S160" s="192">
        <v>0</v>
      </c>
      <c r="T160" s="192">
        <v>0</v>
      </c>
      <c r="U160" s="192">
        <v>0</v>
      </c>
      <c r="V160" s="192">
        <v>0</v>
      </c>
      <c r="W160" s="192">
        <v>0</v>
      </c>
      <c r="X160" s="192">
        <v>0</v>
      </c>
      <c r="Y160" s="192">
        <v>0</v>
      </c>
      <c r="Z160" s="192">
        <v>0</v>
      </c>
      <c r="AA160" s="192">
        <v>0</v>
      </c>
      <c r="AB160" s="192">
        <v>0</v>
      </c>
      <c r="AC160" s="192">
        <v>0</v>
      </c>
      <c r="AD160" s="192">
        <v>0</v>
      </c>
      <c r="AE160" s="192">
        <v>0</v>
      </c>
      <c r="AF160" s="192">
        <v>0</v>
      </c>
      <c r="AG160" s="192">
        <v>0</v>
      </c>
      <c r="AH160" s="192">
        <v>0</v>
      </c>
      <c r="AI160" s="192">
        <v>0</v>
      </c>
      <c r="AJ160" s="192">
        <v>0</v>
      </c>
      <c r="AK160" s="192">
        <v>0</v>
      </c>
      <c r="AL160" s="192">
        <v>0</v>
      </c>
    </row>
    <row r="161" spans="2:38">
      <c r="B161" s="122" t="str">
        <v>Cenário 20/03/2025 com IFC</v>
      </c>
      <c r="C161" s="448" t="str">
        <v>Pórtico 4 (MG-329)</v>
      </c>
      <c r="D161" s="149" t="str">
        <v>4</v>
      </c>
      <c r="E161" s="149" t="str">
        <v>4.9</v>
      </c>
      <c r="F161" s="149">
        <v>1</v>
      </c>
      <c r="G161" s="149">
        <v>0</v>
      </c>
      <c r="H161" s="267" t="str">
        <v xml:space="preserve">Adequação de acessos existentes simples </v>
      </c>
      <c r="I161" s="192">
        <v>0</v>
      </c>
      <c r="J161" s="192">
        <v>0</v>
      </c>
      <c r="K161" s="192">
        <v>0</v>
      </c>
      <c r="L161" s="192">
        <v>999142.99852279993</v>
      </c>
      <c r="M161" s="192">
        <v>0</v>
      </c>
      <c r="N161" s="192">
        <v>0</v>
      </c>
      <c r="O161" s="192">
        <v>0</v>
      </c>
      <c r="P161" s="192">
        <v>0</v>
      </c>
      <c r="Q161" s="192">
        <v>0</v>
      </c>
      <c r="R161" s="192">
        <v>0</v>
      </c>
      <c r="S161" s="192">
        <v>0</v>
      </c>
      <c r="T161" s="192">
        <v>0</v>
      </c>
      <c r="U161" s="192">
        <v>0</v>
      </c>
      <c r="V161" s="192">
        <v>0</v>
      </c>
      <c r="W161" s="192">
        <v>0</v>
      </c>
      <c r="X161" s="192">
        <v>0</v>
      </c>
      <c r="Y161" s="192">
        <v>0</v>
      </c>
      <c r="Z161" s="192">
        <v>0</v>
      </c>
      <c r="AA161" s="192">
        <v>0</v>
      </c>
      <c r="AB161" s="192">
        <v>0</v>
      </c>
      <c r="AC161" s="192">
        <v>0</v>
      </c>
      <c r="AD161" s="192">
        <v>0</v>
      </c>
      <c r="AE161" s="192">
        <v>0</v>
      </c>
      <c r="AF161" s="192">
        <v>0</v>
      </c>
      <c r="AG161" s="192">
        <v>0</v>
      </c>
      <c r="AH161" s="192">
        <v>0</v>
      </c>
      <c r="AI161" s="192">
        <v>0</v>
      </c>
      <c r="AJ161" s="192">
        <v>0</v>
      </c>
      <c r="AK161" s="192">
        <v>0</v>
      </c>
      <c r="AL161" s="192">
        <v>0</v>
      </c>
    </row>
    <row r="162" spans="2:38">
      <c r="B162" s="122" t="str">
        <v>Cenário 20/03/2025 com IFC</v>
      </c>
      <c r="C162" s="448" t="str">
        <v>Pórtico 4 (MG-329)</v>
      </c>
      <c r="D162" s="149" t="str">
        <v>4</v>
      </c>
      <c r="E162" s="149" t="str">
        <v>4.10</v>
      </c>
      <c r="F162" s="149">
        <v>1</v>
      </c>
      <c r="G162" s="149">
        <v>0</v>
      </c>
      <c r="H162" s="267" t="str">
        <v xml:space="preserve">Adequação de acessos existentes com faixa de aceleração </v>
      </c>
      <c r="I162" s="192">
        <v>0</v>
      </c>
      <c r="J162" s="192">
        <v>0</v>
      </c>
      <c r="K162" s="192">
        <v>0</v>
      </c>
      <c r="L162" s="192">
        <v>5494452.5664501116</v>
      </c>
      <c r="M162" s="192">
        <v>0</v>
      </c>
      <c r="N162" s="192">
        <v>0</v>
      </c>
      <c r="O162" s="192">
        <v>0</v>
      </c>
      <c r="P162" s="192">
        <v>0</v>
      </c>
      <c r="Q162" s="192">
        <v>0</v>
      </c>
      <c r="R162" s="192">
        <v>0</v>
      </c>
      <c r="S162" s="192">
        <v>0</v>
      </c>
      <c r="T162" s="192">
        <v>0</v>
      </c>
      <c r="U162" s="192">
        <v>0</v>
      </c>
      <c r="V162" s="192">
        <v>0</v>
      </c>
      <c r="W162" s="192">
        <v>0</v>
      </c>
      <c r="X162" s="192">
        <v>0</v>
      </c>
      <c r="Y162" s="192">
        <v>0</v>
      </c>
      <c r="Z162" s="192">
        <v>0</v>
      </c>
      <c r="AA162" s="192">
        <v>0</v>
      </c>
      <c r="AB162" s="192">
        <v>0</v>
      </c>
      <c r="AC162" s="192">
        <v>0</v>
      </c>
      <c r="AD162" s="192">
        <v>0</v>
      </c>
      <c r="AE162" s="192">
        <v>0</v>
      </c>
      <c r="AF162" s="192">
        <v>0</v>
      </c>
      <c r="AG162" s="192">
        <v>0</v>
      </c>
      <c r="AH162" s="192">
        <v>0</v>
      </c>
      <c r="AI162" s="192">
        <v>0</v>
      </c>
      <c r="AJ162" s="192">
        <v>0</v>
      </c>
      <c r="AK162" s="192">
        <v>0</v>
      </c>
      <c r="AL162" s="192">
        <v>0</v>
      </c>
    </row>
    <row r="163" spans="2:38">
      <c r="B163" s="122" t="str">
        <v>Cenário 20/03/2025 com IFC</v>
      </c>
      <c r="C163" s="448" t="str">
        <v>Pórtico 4 (MG-329)</v>
      </c>
      <c r="D163" s="149" t="str">
        <v>4</v>
      </c>
      <c r="E163" s="149" t="str">
        <v>4.12</v>
      </c>
      <c r="F163" s="149">
        <v>1</v>
      </c>
      <c r="G163" s="149">
        <v>0</v>
      </c>
      <c r="H163" s="267" t="str">
        <v>Correções de curvas</v>
      </c>
      <c r="I163" s="192">
        <v>0</v>
      </c>
      <c r="J163" s="192">
        <v>0</v>
      </c>
      <c r="K163" s="192">
        <v>0</v>
      </c>
      <c r="L163" s="192">
        <v>1343880.8518177164</v>
      </c>
      <c r="M163" s="192">
        <v>0</v>
      </c>
      <c r="N163" s="192">
        <v>0</v>
      </c>
      <c r="O163" s="192">
        <v>0</v>
      </c>
      <c r="P163" s="192">
        <v>0</v>
      </c>
      <c r="Q163" s="192">
        <v>0</v>
      </c>
      <c r="R163" s="192">
        <v>0</v>
      </c>
      <c r="S163" s="192">
        <v>0</v>
      </c>
      <c r="T163" s="192">
        <v>0</v>
      </c>
      <c r="U163" s="192">
        <v>0</v>
      </c>
      <c r="V163" s="192">
        <v>0</v>
      </c>
      <c r="W163" s="192">
        <v>0</v>
      </c>
      <c r="X163" s="192">
        <v>0</v>
      </c>
      <c r="Y163" s="192">
        <v>0</v>
      </c>
      <c r="Z163" s="192">
        <v>0</v>
      </c>
      <c r="AA163" s="192">
        <v>0</v>
      </c>
      <c r="AB163" s="192">
        <v>0</v>
      </c>
      <c r="AC163" s="192">
        <v>0</v>
      </c>
      <c r="AD163" s="192">
        <v>0</v>
      </c>
      <c r="AE163" s="192">
        <v>0</v>
      </c>
      <c r="AF163" s="192">
        <v>0</v>
      </c>
      <c r="AG163" s="192">
        <v>0</v>
      </c>
      <c r="AH163" s="192">
        <v>0</v>
      </c>
      <c r="AI163" s="192">
        <v>0</v>
      </c>
      <c r="AJ163" s="192">
        <v>0</v>
      </c>
      <c r="AK163" s="192">
        <v>0</v>
      </c>
      <c r="AL163" s="192">
        <v>0</v>
      </c>
    </row>
    <row r="164" spans="2:38">
      <c r="B164" s="122" t="str">
        <v>Cenário 20/03/2025 com IFC</v>
      </c>
      <c r="C164" s="448" t="str">
        <v>Pórtico 4 (MG-329)</v>
      </c>
      <c r="D164" s="149" t="str">
        <v>4</v>
      </c>
      <c r="E164" s="149" t="str">
        <v>4.13</v>
      </c>
      <c r="F164" s="149">
        <v>1</v>
      </c>
      <c r="G164" s="149">
        <v>0</v>
      </c>
      <c r="H164" s="267" t="str">
        <v>Passarelas</v>
      </c>
      <c r="I164" s="192">
        <v>0</v>
      </c>
      <c r="J164" s="192">
        <v>0</v>
      </c>
      <c r="K164" s="192">
        <v>0</v>
      </c>
      <c r="L164" s="192">
        <v>0</v>
      </c>
      <c r="M164" s="192">
        <v>0</v>
      </c>
      <c r="N164" s="192">
        <v>0</v>
      </c>
      <c r="O164" s="192">
        <v>0</v>
      </c>
      <c r="P164" s="192">
        <v>0</v>
      </c>
      <c r="Q164" s="192">
        <v>0</v>
      </c>
      <c r="R164" s="192">
        <v>0</v>
      </c>
      <c r="S164" s="192">
        <v>0</v>
      </c>
      <c r="T164" s="192">
        <v>0</v>
      </c>
      <c r="U164" s="192">
        <v>0</v>
      </c>
      <c r="V164" s="192">
        <v>0</v>
      </c>
      <c r="W164" s="192">
        <v>2190534.37</v>
      </c>
      <c r="X164" s="192">
        <v>0</v>
      </c>
      <c r="Y164" s="192">
        <v>0</v>
      </c>
      <c r="Z164" s="192">
        <v>0</v>
      </c>
      <c r="AA164" s="192">
        <v>0</v>
      </c>
      <c r="AB164" s="192">
        <v>0</v>
      </c>
      <c r="AC164" s="192">
        <v>0</v>
      </c>
      <c r="AD164" s="192">
        <v>0</v>
      </c>
      <c r="AE164" s="192">
        <v>0</v>
      </c>
      <c r="AF164" s="192">
        <v>0</v>
      </c>
      <c r="AG164" s="192">
        <v>0</v>
      </c>
      <c r="AH164" s="192">
        <v>0</v>
      </c>
      <c r="AI164" s="192">
        <v>0</v>
      </c>
      <c r="AJ164" s="192">
        <v>0</v>
      </c>
      <c r="AK164" s="192">
        <v>0</v>
      </c>
      <c r="AL164" s="192">
        <v>0</v>
      </c>
    </row>
    <row r="165" spans="2:38">
      <c r="B165" s="122" t="str">
        <v>Cenário 20/03/2025 com IFC</v>
      </c>
      <c r="C165" s="448" t="str">
        <v>Pórtico 4 (MG-329)</v>
      </c>
      <c r="D165" s="149" t="str">
        <v>4</v>
      </c>
      <c r="E165" s="149" t="str">
        <v>4.14</v>
      </c>
      <c r="F165" s="149">
        <v>1</v>
      </c>
      <c r="G165" s="149">
        <v>0</v>
      </c>
      <c r="H165" s="267" t="str">
        <v xml:space="preserve">Paradas de ônibus sem baia </v>
      </c>
      <c r="I165" s="192">
        <v>0</v>
      </c>
      <c r="J165" s="192">
        <v>0</v>
      </c>
      <c r="K165" s="192">
        <v>0</v>
      </c>
      <c r="L165" s="192">
        <v>0</v>
      </c>
      <c r="M165" s="192">
        <v>0</v>
      </c>
      <c r="N165" s="192">
        <v>0</v>
      </c>
      <c r="O165" s="192">
        <v>0</v>
      </c>
      <c r="P165" s="192">
        <v>0</v>
      </c>
      <c r="Q165" s="192">
        <v>0</v>
      </c>
      <c r="R165" s="192">
        <v>0</v>
      </c>
      <c r="S165" s="192">
        <v>0</v>
      </c>
      <c r="T165" s="192">
        <v>0</v>
      </c>
      <c r="U165" s="192">
        <v>0</v>
      </c>
      <c r="V165" s="192">
        <v>0</v>
      </c>
      <c r="W165" s="192">
        <v>0</v>
      </c>
      <c r="X165" s="192">
        <v>0</v>
      </c>
      <c r="Y165" s="192">
        <v>0</v>
      </c>
      <c r="Z165" s="192">
        <v>0</v>
      </c>
      <c r="AA165" s="192">
        <v>0</v>
      </c>
      <c r="AB165" s="192">
        <v>0</v>
      </c>
      <c r="AC165" s="192">
        <v>0</v>
      </c>
      <c r="AD165" s="192">
        <v>0</v>
      </c>
      <c r="AE165" s="192">
        <v>0</v>
      </c>
      <c r="AF165" s="192">
        <v>0</v>
      </c>
      <c r="AG165" s="192">
        <v>0</v>
      </c>
      <c r="AH165" s="192">
        <v>0</v>
      </c>
      <c r="AI165" s="192">
        <v>0</v>
      </c>
      <c r="AJ165" s="192">
        <v>0</v>
      </c>
      <c r="AK165" s="192">
        <v>0</v>
      </c>
      <c r="AL165" s="192">
        <v>0</v>
      </c>
    </row>
    <row r="166" spans="2:38">
      <c r="B166" s="122" t="str">
        <v>Cenário 20/03/2025 com IFC</v>
      </c>
      <c r="C166" s="448" t="str">
        <v>Pórtico 4 (MG-329)</v>
      </c>
      <c r="D166" s="149" t="str">
        <v>4</v>
      </c>
      <c r="E166" s="149" t="str">
        <v>4.15</v>
      </c>
      <c r="F166" s="149">
        <v>1</v>
      </c>
      <c r="G166" s="149">
        <v>0</v>
      </c>
      <c r="H166" s="267" t="str">
        <v xml:space="preserve">Paradas de ônibus com baia </v>
      </c>
      <c r="I166" s="192">
        <v>0</v>
      </c>
      <c r="J166" s="192">
        <v>0</v>
      </c>
      <c r="K166" s="192">
        <v>0</v>
      </c>
      <c r="L166" s="192">
        <v>1573748.2695035702</v>
      </c>
      <c r="M166" s="192">
        <v>0</v>
      </c>
      <c r="N166" s="192">
        <v>0</v>
      </c>
      <c r="O166" s="192">
        <v>0</v>
      </c>
      <c r="P166" s="192">
        <v>0</v>
      </c>
      <c r="Q166" s="192">
        <v>0</v>
      </c>
      <c r="R166" s="192">
        <v>0</v>
      </c>
      <c r="S166" s="192">
        <v>0</v>
      </c>
      <c r="T166" s="192">
        <v>0</v>
      </c>
      <c r="U166" s="192">
        <v>0</v>
      </c>
      <c r="V166" s="192">
        <v>0</v>
      </c>
      <c r="W166" s="192">
        <v>0</v>
      </c>
      <c r="X166" s="192">
        <v>0</v>
      </c>
      <c r="Y166" s="192">
        <v>0</v>
      </c>
      <c r="Z166" s="192">
        <v>0</v>
      </c>
      <c r="AA166" s="192">
        <v>0</v>
      </c>
      <c r="AB166" s="192">
        <v>0</v>
      </c>
      <c r="AC166" s="192">
        <v>0</v>
      </c>
      <c r="AD166" s="192">
        <v>0</v>
      </c>
      <c r="AE166" s="192">
        <v>0</v>
      </c>
      <c r="AF166" s="192">
        <v>0</v>
      </c>
      <c r="AG166" s="192">
        <v>0</v>
      </c>
      <c r="AH166" s="192">
        <v>0</v>
      </c>
      <c r="AI166" s="192">
        <v>0</v>
      </c>
      <c r="AJ166" s="192">
        <v>0</v>
      </c>
      <c r="AK166" s="192">
        <v>0</v>
      </c>
      <c r="AL166" s="192">
        <v>0</v>
      </c>
    </row>
    <row r="167" spans="2:38">
      <c r="B167" s="122" t="str">
        <v>Cenário 20/03/2025 com IFC</v>
      </c>
      <c r="C167" s="448" t="str">
        <v>Pórtico 4 (MG-329)</v>
      </c>
      <c r="D167" s="149" t="str">
        <v>4</v>
      </c>
      <c r="E167" s="149" t="str">
        <v>4.16</v>
      </c>
      <c r="F167" s="149">
        <v>1</v>
      </c>
      <c r="G167" s="149">
        <v>0</v>
      </c>
      <c r="H167" s="267" t="str">
        <v>Desapropriações</v>
      </c>
      <c r="I167" s="192">
        <v>0</v>
      </c>
      <c r="J167" s="192">
        <v>0</v>
      </c>
      <c r="K167" s="192">
        <v>1011179.7345074214</v>
      </c>
      <c r="L167" s="192">
        <v>0</v>
      </c>
      <c r="M167" s="192">
        <v>0</v>
      </c>
      <c r="N167" s="192">
        <v>0</v>
      </c>
      <c r="O167" s="192">
        <v>0</v>
      </c>
      <c r="P167" s="192">
        <v>0</v>
      </c>
      <c r="Q167" s="192">
        <v>0</v>
      </c>
      <c r="R167" s="192">
        <v>0</v>
      </c>
      <c r="S167" s="192">
        <v>0</v>
      </c>
      <c r="T167" s="192">
        <v>0</v>
      </c>
      <c r="U167" s="192">
        <v>0</v>
      </c>
      <c r="V167" s="192">
        <v>0</v>
      </c>
      <c r="W167" s="192">
        <v>0</v>
      </c>
      <c r="X167" s="192">
        <v>0</v>
      </c>
      <c r="Y167" s="192">
        <v>0</v>
      </c>
      <c r="Z167" s="192">
        <v>0</v>
      </c>
      <c r="AA167" s="192">
        <v>0</v>
      </c>
      <c r="AB167" s="192">
        <v>0</v>
      </c>
      <c r="AC167" s="192">
        <v>0</v>
      </c>
      <c r="AD167" s="192">
        <v>0</v>
      </c>
      <c r="AE167" s="192">
        <v>0</v>
      </c>
      <c r="AF167" s="192">
        <v>0</v>
      </c>
      <c r="AG167" s="192">
        <v>0</v>
      </c>
      <c r="AH167" s="192">
        <v>0</v>
      </c>
      <c r="AI167" s="192">
        <v>0</v>
      </c>
      <c r="AJ167" s="192">
        <v>0</v>
      </c>
      <c r="AK167" s="192">
        <v>0</v>
      </c>
      <c r="AL167" s="192">
        <v>0</v>
      </c>
    </row>
    <row r="168" spans="2:38">
      <c r="B168" s="122" t="str">
        <v>Cenário 20/03/2025 com IFC</v>
      </c>
      <c r="C168" s="448" t="str">
        <v>Pórtico 4 (MG-329)</v>
      </c>
      <c r="D168" s="149" t="str">
        <v>4</v>
      </c>
      <c r="E168" s="149" t="str">
        <v>4.17</v>
      </c>
      <c r="F168" s="149">
        <v>1</v>
      </c>
      <c r="G168" s="149">
        <v>0</v>
      </c>
      <c r="H168" s="267" t="str">
        <v>Administração local (%)</v>
      </c>
      <c r="I168" s="192">
        <v>0</v>
      </c>
      <c r="J168" s="192">
        <v>0</v>
      </c>
      <c r="K168" s="192">
        <v>12437.510734441283</v>
      </c>
      <c r="L168" s="192">
        <v>1890136.1466789045</v>
      </c>
      <c r="M168" s="192">
        <v>0</v>
      </c>
      <c r="N168" s="192">
        <v>0</v>
      </c>
      <c r="O168" s="192">
        <v>0</v>
      </c>
      <c r="P168" s="192">
        <v>0</v>
      </c>
      <c r="Q168" s="192">
        <v>0</v>
      </c>
      <c r="R168" s="192">
        <v>0</v>
      </c>
      <c r="S168" s="192">
        <v>0</v>
      </c>
      <c r="T168" s="192">
        <v>0</v>
      </c>
      <c r="U168" s="192">
        <v>0</v>
      </c>
      <c r="V168" s="192">
        <v>0</v>
      </c>
      <c r="W168" s="192">
        <v>2861738.9685417437</v>
      </c>
      <c r="X168" s="192">
        <v>0</v>
      </c>
      <c r="Y168" s="192">
        <v>0</v>
      </c>
      <c r="Z168" s="192">
        <v>0</v>
      </c>
      <c r="AA168" s="192">
        <v>0</v>
      </c>
      <c r="AB168" s="192">
        <v>0</v>
      </c>
      <c r="AC168" s="192">
        <v>0</v>
      </c>
      <c r="AD168" s="192">
        <v>0</v>
      </c>
      <c r="AE168" s="192">
        <v>0</v>
      </c>
      <c r="AF168" s="192">
        <v>0</v>
      </c>
      <c r="AG168" s="192">
        <v>0</v>
      </c>
      <c r="AH168" s="192">
        <v>0</v>
      </c>
      <c r="AI168" s="192">
        <v>0</v>
      </c>
      <c r="AJ168" s="192">
        <v>0</v>
      </c>
      <c r="AK168" s="192">
        <v>0</v>
      </c>
      <c r="AL168" s="192">
        <v>0</v>
      </c>
    </row>
    <row r="169" spans="2:38">
      <c r="B169" s="122" t="str">
        <v>Cenário 20/03/2025 com IFC</v>
      </c>
      <c r="C169" s="448" t="str">
        <v>Pórtico 4 (MG-329)</v>
      </c>
      <c r="D169" s="149" t="str">
        <v>4</v>
      </c>
      <c r="E169" s="149" t="str">
        <v>4.18</v>
      </c>
      <c r="F169" s="149">
        <v>1</v>
      </c>
      <c r="G169" s="149">
        <v>0</v>
      </c>
      <c r="H169" s="267" t="str">
        <v>Canteiro de obras (%)</v>
      </c>
      <c r="I169" s="192">
        <v>0</v>
      </c>
      <c r="J169" s="192">
        <v>0</v>
      </c>
      <c r="K169" s="192">
        <v>3134.6571769730062</v>
      </c>
      <c r="L169" s="192">
        <v>476375.77680525236</v>
      </c>
      <c r="M169" s="192">
        <v>0</v>
      </c>
      <c r="N169" s="192">
        <v>0</v>
      </c>
      <c r="O169" s="192">
        <v>0</v>
      </c>
      <c r="P169" s="192">
        <v>0</v>
      </c>
      <c r="Q169" s="192">
        <v>0</v>
      </c>
      <c r="R169" s="192">
        <v>0</v>
      </c>
      <c r="S169" s="192">
        <v>0</v>
      </c>
      <c r="T169" s="192">
        <v>0</v>
      </c>
      <c r="U169" s="192">
        <v>0</v>
      </c>
      <c r="V169" s="192">
        <v>0</v>
      </c>
      <c r="W169" s="192">
        <v>721251.28475442319</v>
      </c>
      <c r="X169" s="192">
        <v>0</v>
      </c>
      <c r="Y169" s="192">
        <v>0</v>
      </c>
      <c r="Z169" s="192">
        <v>0</v>
      </c>
      <c r="AA169" s="192">
        <v>0</v>
      </c>
      <c r="AB169" s="192">
        <v>0</v>
      </c>
      <c r="AC169" s="192">
        <v>0</v>
      </c>
      <c r="AD169" s="192">
        <v>0</v>
      </c>
      <c r="AE169" s="192">
        <v>0</v>
      </c>
      <c r="AF169" s="192">
        <v>0</v>
      </c>
      <c r="AG169" s="192">
        <v>0</v>
      </c>
      <c r="AH169" s="192">
        <v>0</v>
      </c>
      <c r="AI169" s="192">
        <v>0</v>
      </c>
      <c r="AJ169" s="192">
        <v>0</v>
      </c>
      <c r="AK169" s="192">
        <v>0</v>
      </c>
      <c r="AL169" s="192">
        <v>0</v>
      </c>
    </row>
    <row r="170" spans="2:38">
      <c r="B170" s="122" t="str">
        <v>Cenário 20/03/2025 com IFC</v>
      </c>
      <c r="C170" s="448" t="str">
        <v>Pórtico 4 (MG-329)</v>
      </c>
      <c r="D170" s="149" t="str">
        <v>4</v>
      </c>
      <c r="E170" s="149" t="str">
        <v>4.19</v>
      </c>
      <c r="F170" s="149">
        <v>1</v>
      </c>
      <c r="G170" s="149">
        <v>0</v>
      </c>
      <c r="H170" s="267" t="str">
        <v>Mobilização e desmobilização (%)</v>
      </c>
      <c r="I170" s="192">
        <v>0</v>
      </c>
      <c r="J170" s="192">
        <v>0</v>
      </c>
      <c r="K170" s="192">
        <v>58.648424601430442</v>
      </c>
      <c r="L170" s="192">
        <v>8912.8371144208504</v>
      </c>
      <c r="M170" s="192">
        <v>0</v>
      </c>
      <c r="N170" s="192">
        <v>0</v>
      </c>
      <c r="O170" s="192">
        <v>0</v>
      </c>
      <c r="P170" s="192">
        <v>0</v>
      </c>
      <c r="Q170" s="192">
        <v>0</v>
      </c>
      <c r="R170" s="192">
        <v>0</v>
      </c>
      <c r="S170" s="192">
        <v>0</v>
      </c>
      <c r="T170" s="192">
        <v>0</v>
      </c>
      <c r="U170" s="192">
        <v>0</v>
      </c>
      <c r="V170" s="192">
        <v>0</v>
      </c>
      <c r="W170" s="192">
        <v>13494.378876050499</v>
      </c>
      <c r="X170" s="192">
        <v>0</v>
      </c>
      <c r="Y170" s="192">
        <v>0</v>
      </c>
      <c r="Z170" s="192">
        <v>0</v>
      </c>
      <c r="AA170" s="192">
        <v>0</v>
      </c>
      <c r="AB170" s="192">
        <v>0</v>
      </c>
      <c r="AC170" s="192">
        <v>0</v>
      </c>
      <c r="AD170" s="192">
        <v>0</v>
      </c>
      <c r="AE170" s="192">
        <v>0</v>
      </c>
      <c r="AF170" s="192">
        <v>0</v>
      </c>
      <c r="AG170" s="192">
        <v>0</v>
      </c>
      <c r="AH170" s="192">
        <v>0</v>
      </c>
      <c r="AI170" s="192">
        <v>0</v>
      </c>
      <c r="AJ170" s="192">
        <v>0</v>
      </c>
      <c r="AK170" s="192">
        <v>0</v>
      </c>
      <c r="AL170" s="192">
        <v>0</v>
      </c>
    </row>
    <row r="171" spans="2:38">
      <c r="B171" s="122" t="str">
        <v>Cenário 20/03/2025 com IFC</v>
      </c>
      <c r="C171" s="448" t="str">
        <v>Pórtico 4 (MG-329)</v>
      </c>
      <c r="D171" s="149" t="str">
        <v>4</v>
      </c>
      <c r="E171" s="149" t="str">
        <v>4.20</v>
      </c>
      <c r="F171" s="149">
        <v>1</v>
      </c>
      <c r="G171" s="149">
        <v>0</v>
      </c>
      <c r="H171" s="267" t="str">
        <v>Projetos (%)</v>
      </c>
      <c r="I171" s="192">
        <v>0</v>
      </c>
      <c r="J171" s="192">
        <v>0</v>
      </c>
      <c r="K171" s="192">
        <v>25279.493362685535</v>
      </c>
      <c r="L171" s="192">
        <v>3841740.1355262287</v>
      </c>
      <c r="M171" s="192">
        <v>0</v>
      </c>
      <c r="N171" s="192">
        <v>0</v>
      </c>
      <c r="O171" s="192">
        <v>0</v>
      </c>
      <c r="P171" s="192">
        <v>0</v>
      </c>
      <c r="Q171" s="192">
        <v>0</v>
      </c>
      <c r="R171" s="192">
        <v>0</v>
      </c>
      <c r="S171" s="192">
        <v>0</v>
      </c>
      <c r="T171" s="192">
        <v>0</v>
      </c>
      <c r="U171" s="192">
        <v>0</v>
      </c>
      <c r="V171" s="192">
        <v>0</v>
      </c>
      <c r="W171" s="192">
        <v>5816542.6189872846</v>
      </c>
      <c r="X171" s="192">
        <v>0</v>
      </c>
      <c r="Y171" s="192">
        <v>0</v>
      </c>
      <c r="Z171" s="192">
        <v>0</v>
      </c>
      <c r="AA171" s="192">
        <v>0</v>
      </c>
      <c r="AB171" s="192">
        <v>0</v>
      </c>
      <c r="AC171" s="192">
        <v>0</v>
      </c>
      <c r="AD171" s="192">
        <v>0</v>
      </c>
      <c r="AE171" s="192">
        <v>0</v>
      </c>
      <c r="AF171" s="192">
        <v>0</v>
      </c>
      <c r="AG171" s="192">
        <v>0</v>
      </c>
      <c r="AH171" s="192">
        <v>0</v>
      </c>
      <c r="AI171" s="192">
        <v>0</v>
      </c>
      <c r="AJ171" s="192">
        <v>0</v>
      </c>
      <c r="AK171" s="192">
        <v>0</v>
      </c>
      <c r="AL171" s="192">
        <v>0</v>
      </c>
    </row>
    <row r="172" spans="2:38">
      <c r="B172" s="122" t="str">
        <v>Cenário 20/03/2025 com IFC</v>
      </c>
      <c r="C172" s="448" t="str">
        <v>Pórtico 4 (MG-329)</v>
      </c>
      <c r="D172" s="149" t="str">
        <v>3</v>
      </c>
      <c r="E172" s="149">
        <v>3</v>
      </c>
      <c r="F172" s="149">
        <v>1</v>
      </c>
      <c r="G172" s="149">
        <v>0</v>
      </c>
      <c r="H172" s="267" t="str">
        <v>Manutenção do sistema rodoviário</v>
      </c>
      <c r="I172" s="192">
        <v>0</v>
      </c>
      <c r="J172" s="192">
        <v>0</v>
      </c>
      <c r="K172" s="192">
        <v>0</v>
      </c>
      <c r="L172" s="192">
        <v>0</v>
      </c>
      <c r="M172" s="192">
        <v>0</v>
      </c>
      <c r="N172" s="192">
        <v>0</v>
      </c>
      <c r="O172" s="192">
        <v>0</v>
      </c>
      <c r="P172" s="192">
        <v>0</v>
      </c>
      <c r="Q172" s="192">
        <v>0</v>
      </c>
      <c r="R172" s="192">
        <v>0</v>
      </c>
      <c r="S172" s="192">
        <v>0</v>
      </c>
      <c r="T172" s="192">
        <v>0</v>
      </c>
      <c r="U172" s="192">
        <v>0</v>
      </c>
      <c r="V172" s="192">
        <v>0</v>
      </c>
      <c r="W172" s="192">
        <v>0</v>
      </c>
      <c r="X172" s="192">
        <v>0</v>
      </c>
      <c r="Y172" s="192">
        <v>0</v>
      </c>
      <c r="Z172" s="192">
        <v>0</v>
      </c>
      <c r="AA172" s="192">
        <v>0</v>
      </c>
      <c r="AB172" s="192">
        <v>0</v>
      </c>
      <c r="AC172" s="192">
        <v>0</v>
      </c>
      <c r="AD172" s="192">
        <v>0</v>
      </c>
      <c r="AE172" s="192">
        <v>0</v>
      </c>
      <c r="AF172" s="192">
        <v>0</v>
      </c>
      <c r="AG172" s="192">
        <v>0</v>
      </c>
      <c r="AH172" s="192">
        <v>0</v>
      </c>
      <c r="AI172" s="192">
        <v>0</v>
      </c>
      <c r="AJ172" s="192">
        <v>0</v>
      </c>
      <c r="AK172" s="192">
        <v>0</v>
      </c>
      <c r="AL172" s="192">
        <v>0</v>
      </c>
    </row>
    <row r="173" spans="2:38">
      <c r="B173" s="122" t="str">
        <v>Cenário 20/03/2025 com IFC</v>
      </c>
      <c r="C173" s="448" t="str">
        <v>Pórtico 4 (MG-329)</v>
      </c>
      <c r="D173" s="149" t="str">
        <v>3</v>
      </c>
      <c r="E173" s="149" t="str">
        <v>3.1</v>
      </c>
      <c r="F173" s="149">
        <v>1</v>
      </c>
      <c r="G173" s="149">
        <v>0</v>
      </c>
      <c r="H173" s="267" t="str">
        <v>Pavimento</v>
      </c>
      <c r="I173" s="192">
        <v>0</v>
      </c>
      <c r="J173" s="192">
        <v>0</v>
      </c>
      <c r="K173" s="192">
        <v>0</v>
      </c>
      <c r="L173" s="192">
        <v>0</v>
      </c>
      <c r="M173" s="192">
        <v>0</v>
      </c>
      <c r="N173" s="192">
        <v>0</v>
      </c>
      <c r="O173" s="192">
        <v>0</v>
      </c>
      <c r="P173" s="192">
        <v>33136724.755950399</v>
      </c>
      <c r="Q173" s="192">
        <v>11036001.289251518</v>
      </c>
      <c r="R173" s="192">
        <v>0</v>
      </c>
      <c r="S173" s="192">
        <v>0</v>
      </c>
      <c r="T173" s="192">
        <v>0</v>
      </c>
      <c r="U173" s="192">
        <v>0</v>
      </c>
      <c r="V173" s="192">
        <v>0</v>
      </c>
      <c r="W173" s="192">
        <v>2658165.8225008002</v>
      </c>
      <c r="X173" s="192">
        <v>0</v>
      </c>
      <c r="Y173" s="192">
        <v>59251019.499259584</v>
      </c>
      <c r="Z173" s="192">
        <v>13782449.2335792</v>
      </c>
      <c r="AA173" s="192">
        <v>10093617.232827121</v>
      </c>
      <c r="AB173" s="192">
        <v>0</v>
      </c>
      <c r="AC173" s="192">
        <v>0</v>
      </c>
      <c r="AD173" s="192">
        <v>0</v>
      </c>
      <c r="AE173" s="192">
        <v>0</v>
      </c>
      <c r="AF173" s="192">
        <v>5607861.5789735997</v>
      </c>
      <c r="AG173" s="192">
        <v>29295305.959756799</v>
      </c>
      <c r="AH173" s="192">
        <v>9118882.0021791998</v>
      </c>
      <c r="AI173" s="192">
        <v>5363625.8705731202</v>
      </c>
      <c r="AJ173" s="192">
        <v>0</v>
      </c>
      <c r="AK173" s="192">
        <v>182224.93701280002</v>
      </c>
      <c r="AL173" s="192">
        <v>14803143.279697601</v>
      </c>
    </row>
    <row r="174" spans="2:38">
      <c r="B174" s="122" t="str">
        <v>Cenário 20/03/2025 com IFC</v>
      </c>
      <c r="C174" s="448" t="str">
        <v>Pórtico 4 (MG-329)</v>
      </c>
      <c r="D174" s="149" t="str">
        <v>3</v>
      </c>
      <c r="E174" s="149" t="str">
        <v>3.2</v>
      </c>
      <c r="F174" s="149">
        <v>1</v>
      </c>
      <c r="G174" s="149">
        <v>0</v>
      </c>
      <c r="H174" s="267" t="str">
        <v>Obras de arte especiais</v>
      </c>
      <c r="I174" s="192">
        <v>0</v>
      </c>
      <c r="J174" s="192">
        <v>0</v>
      </c>
      <c r="K174" s="192">
        <v>0</v>
      </c>
      <c r="L174" s="192">
        <v>0</v>
      </c>
      <c r="M174" s="192">
        <v>0</v>
      </c>
      <c r="N174" s="192">
        <v>0</v>
      </c>
      <c r="O174" s="192">
        <v>0</v>
      </c>
      <c r="P174" s="192">
        <v>0</v>
      </c>
      <c r="Q174" s="192">
        <v>0</v>
      </c>
      <c r="R174" s="192">
        <v>0</v>
      </c>
      <c r="S174" s="192">
        <v>0</v>
      </c>
      <c r="T174" s="192">
        <v>0</v>
      </c>
      <c r="U174" s="192">
        <v>0</v>
      </c>
      <c r="V174" s="192">
        <v>0</v>
      </c>
      <c r="W174" s="192">
        <v>0</v>
      </c>
      <c r="X174" s="192">
        <v>0</v>
      </c>
      <c r="Y174" s="192">
        <v>0</v>
      </c>
      <c r="Z174" s="192">
        <v>0</v>
      </c>
      <c r="AA174" s="192">
        <v>0</v>
      </c>
      <c r="AB174" s="192">
        <v>0</v>
      </c>
      <c r="AC174" s="192">
        <v>0</v>
      </c>
      <c r="AD174" s="192">
        <v>0</v>
      </c>
      <c r="AE174" s="192">
        <v>0</v>
      </c>
      <c r="AF174" s="192">
        <v>0</v>
      </c>
      <c r="AG174" s="192">
        <v>0</v>
      </c>
      <c r="AH174" s="192">
        <v>0</v>
      </c>
      <c r="AI174" s="192">
        <v>0</v>
      </c>
      <c r="AJ174" s="192">
        <v>0</v>
      </c>
      <c r="AK174" s="192">
        <v>0</v>
      </c>
      <c r="AL174" s="192">
        <v>0</v>
      </c>
    </row>
    <row r="175" spans="2:38">
      <c r="B175" s="122" t="str">
        <v>Cenário 20/03/2025 com IFC</v>
      </c>
      <c r="C175" s="448" t="str">
        <v>Pórtico 4 (MG-329)</v>
      </c>
      <c r="D175" s="149" t="str">
        <v>3</v>
      </c>
      <c r="E175" s="149" t="str">
        <v>3.3</v>
      </c>
      <c r="F175" s="149">
        <v>1</v>
      </c>
      <c r="G175" s="149">
        <v>0</v>
      </c>
      <c r="H175" s="267" t="str">
        <v>Drenagem e obras de arte correntes</v>
      </c>
      <c r="I175" s="192">
        <v>0</v>
      </c>
      <c r="J175" s="192">
        <v>0</v>
      </c>
      <c r="K175" s="192">
        <v>0</v>
      </c>
      <c r="L175" s="192">
        <v>0</v>
      </c>
      <c r="M175" s="192">
        <v>0</v>
      </c>
      <c r="N175" s="192">
        <v>0</v>
      </c>
      <c r="O175" s="192">
        <v>0</v>
      </c>
      <c r="P175" s="192">
        <v>0</v>
      </c>
      <c r="Q175" s="192">
        <v>0</v>
      </c>
      <c r="R175" s="192">
        <v>0</v>
      </c>
      <c r="S175" s="192">
        <v>0</v>
      </c>
      <c r="T175" s="192">
        <v>0</v>
      </c>
      <c r="U175" s="192">
        <v>0</v>
      </c>
      <c r="V175" s="192">
        <v>0</v>
      </c>
      <c r="W175" s="192">
        <v>0</v>
      </c>
      <c r="X175" s="192">
        <v>0</v>
      </c>
      <c r="Y175" s="192">
        <v>0</v>
      </c>
      <c r="Z175" s="192">
        <v>0</v>
      </c>
      <c r="AA175" s="192">
        <v>0</v>
      </c>
      <c r="AB175" s="192">
        <v>0</v>
      </c>
      <c r="AC175" s="192">
        <v>0</v>
      </c>
      <c r="AD175" s="192">
        <v>0</v>
      </c>
      <c r="AE175" s="192">
        <v>0</v>
      </c>
      <c r="AF175" s="192">
        <v>0</v>
      </c>
      <c r="AG175" s="192">
        <v>0</v>
      </c>
      <c r="AH175" s="192">
        <v>0</v>
      </c>
      <c r="AI175" s="192">
        <v>0</v>
      </c>
      <c r="AJ175" s="192">
        <v>0</v>
      </c>
      <c r="AK175" s="192">
        <v>0</v>
      </c>
      <c r="AL175" s="192">
        <v>0</v>
      </c>
    </row>
    <row r="176" spans="2:38">
      <c r="B176" s="122" t="str">
        <v>Cenário 20/03/2025 com IFC</v>
      </c>
      <c r="C176" s="448" t="str">
        <v>Pórtico 4 (MG-329)</v>
      </c>
      <c r="D176" s="149" t="str">
        <v>3</v>
      </c>
      <c r="E176" s="149" t="str">
        <v>3.4</v>
      </c>
      <c r="F176" s="149">
        <v>1</v>
      </c>
      <c r="G176" s="149">
        <v>0</v>
      </c>
      <c r="H176" s="267" t="str">
        <v xml:space="preserve">Sinalização e dispositivos de proteção e segurança </v>
      </c>
      <c r="I176" s="192">
        <v>0</v>
      </c>
      <c r="J176" s="192">
        <v>0</v>
      </c>
      <c r="K176" s="192">
        <v>0</v>
      </c>
      <c r="L176" s="192">
        <v>0</v>
      </c>
      <c r="M176" s="192">
        <v>0</v>
      </c>
      <c r="N176" s="192">
        <v>0</v>
      </c>
      <c r="O176" s="192">
        <v>0</v>
      </c>
      <c r="P176" s="192">
        <v>1033471.5125000002</v>
      </c>
      <c r="Q176" s="192">
        <v>411805.09750000009</v>
      </c>
      <c r="R176" s="192">
        <v>0</v>
      </c>
      <c r="S176" s="192">
        <v>0</v>
      </c>
      <c r="T176" s="192">
        <v>0</v>
      </c>
      <c r="U176" s="192">
        <v>0</v>
      </c>
      <c r="V176" s="192">
        <v>0</v>
      </c>
      <c r="W176" s="192">
        <v>149082.57375000001</v>
      </c>
      <c r="X176" s="192">
        <v>0</v>
      </c>
      <c r="Y176" s="192">
        <v>990623.66249999986</v>
      </c>
      <c r="Z176" s="192">
        <v>263607.42499999999</v>
      </c>
      <c r="AA176" s="192">
        <v>191045.52249999996</v>
      </c>
      <c r="AB176" s="192">
        <v>0</v>
      </c>
      <c r="AC176" s="192">
        <v>0</v>
      </c>
      <c r="AD176" s="192">
        <v>0</v>
      </c>
      <c r="AE176" s="192">
        <v>0</v>
      </c>
      <c r="AF176" s="192">
        <v>164451.91125</v>
      </c>
      <c r="AG176" s="192">
        <v>905393.7</v>
      </c>
      <c r="AH176" s="192">
        <v>333468.05</v>
      </c>
      <c r="AI176" s="192">
        <v>191045.52249999996</v>
      </c>
      <c r="AJ176" s="192">
        <v>0</v>
      </c>
      <c r="AK176" s="192">
        <v>15369.3375</v>
      </c>
      <c r="AL176" s="192">
        <v>1054476.2737500002</v>
      </c>
    </row>
    <row r="177" spans="2:38">
      <c r="B177" s="122" t="str">
        <v>Cenário 20/03/2025 com IFC</v>
      </c>
      <c r="C177" s="448" t="str">
        <v>Pórtico 4 (MG-329)</v>
      </c>
      <c r="D177" s="149" t="str">
        <v>3</v>
      </c>
      <c r="E177" s="149" t="str">
        <v>3.5</v>
      </c>
      <c r="F177" s="149">
        <v>1</v>
      </c>
      <c r="G177" s="149">
        <v>0</v>
      </c>
      <c r="H177" s="267" t="str">
        <v>Administração local (%)</v>
      </c>
      <c r="I177" s="192">
        <v>0</v>
      </c>
      <c r="J177" s="192">
        <v>0</v>
      </c>
      <c r="K177" s="192">
        <v>0</v>
      </c>
      <c r="L177" s="192">
        <v>0</v>
      </c>
      <c r="M177" s="192">
        <v>0</v>
      </c>
      <c r="N177" s="192">
        <v>0</v>
      </c>
      <c r="O177" s="192">
        <v>0</v>
      </c>
      <c r="P177" s="192">
        <v>420293.41410193994</v>
      </c>
      <c r="Q177" s="192">
        <v>140808.01855704366</v>
      </c>
      <c r="R177" s="192">
        <v>0</v>
      </c>
      <c r="S177" s="192">
        <v>0</v>
      </c>
      <c r="T177" s="192">
        <v>0</v>
      </c>
      <c r="U177" s="192">
        <v>0</v>
      </c>
      <c r="V177" s="192">
        <v>0</v>
      </c>
      <c r="W177" s="192">
        <v>34529.15527388484</v>
      </c>
      <c r="X177" s="192">
        <v>0</v>
      </c>
      <c r="Y177" s="192">
        <v>740972.21088964294</v>
      </c>
      <c r="Z177" s="192">
        <v>172766.49690052416</v>
      </c>
      <c r="AA177" s="192">
        <v>126501.35189052358</v>
      </c>
      <c r="AB177" s="192">
        <v>0</v>
      </c>
      <c r="AC177" s="192">
        <v>0</v>
      </c>
      <c r="AD177" s="192">
        <v>0</v>
      </c>
      <c r="AE177" s="192">
        <v>0</v>
      </c>
      <c r="AF177" s="192">
        <v>70999.455929750271</v>
      </c>
      <c r="AG177" s="192">
        <v>371468.60581500863</v>
      </c>
      <c r="AH177" s="192">
        <v>116263.90564180417</v>
      </c>
      <c r="AI177" s="192">
        <v>68322.458134799381</v>
      </c>
      <c r="AJ177" s="192">
        <v>0</v>
      </c>
      <c r="AK177" s="192">
        <v>2430.4095765074403</v>
      </c>
      <c r="AL177" s="192">
        <v>195048.72050740549</v>
      </c>
    </row>
    <row r="178" spans="2:38">
      <c r="B178" s="122" t="str">
        <v>Cenário 20/03/2025 com IFC</v>
      </c>
      <c r="C178" s="448" t="str">
        <v>Pórtico 4 (MG-329)</v>
      </c>
      <c r="D178" s="149" t="str">
        <v>3</v>
      </c>
      <c r="E178" s="149" t="str">
        <v>3.6</v>
      </c>
      <c r="F178" s="149">
        <v>1</v>
      </c>
      <c r="G178" s="149">
        <v>0</v>
      </c>
      <c r="H178" s="267" t="str">
        <v>Canteiro de obras (%)</v>
      </c>
      <c r="I178" s="192">
        <v>0</v>
      </c>
      <c r="J178" s="192">
        <v>0</v>
      </c>
      <c r="K178" s="192">
        <v>0</v>
      </c>
      <c r="L178" s="192">
        <v>0</v>
      </c>
      <c r="M178" s="192">
        <v>0</v>
      </c>
      <c r="N178" s="192">
        <v>0</v>
      </c>
      <c r="O178" s="192">
        <v>0</v>
      </c>
      <c r="P178" s="192">
        <v>105927.60843219624</v>
      </c>
      <c r="Q178" s="192">
        <v>35488.199798929702</v>
      </c>
      <c r="R178" s="192">
        <v>0</v>
      </c>
      <c r="S178" s="192">
        <v>0</v>
      </c>
      <c r="T178" s="192">
        <v>0</v>
      </c>
      <c r="U178" s="192">
        <v>0</v>
      </c>
      <c r="V178" s="192">
        <v>0</v>
      </c>
      <c r="W178" s="192">
        <v>8702.47002837748</v>
      </c>
      <c r="X178" s="192">
        <v>0</v>
      </c>
      <c r="Y178" s="192">
        <v>186749.0938014547</v>
      </c>
      <c r="Z178" s="192">
        <v>43542.775641595523</v>
      </c>
      <c r="AA178" s="192">
        <v>31882.454541514071</v>
      </c>
      <c r="AB178" s="192">
        <v>0</v>
      </c>
      <c r="AC178" s="192">
        <v>0</v>
      </c>
      <c r="AD178" s="192">
        <v>0</v>
      </c>
      <c r="AE178" s="192">
        <v>0</v>
      </c>
      <c r="AF178" s="192">
        <v>17894.171819693158</v>
      </c>
      <c r="AG178" s="192">
        <v>93622.168945246071</v>
      </c>
      <c r="AH178" s="192">
        <v>29302.285161755521</v>
      </c>
      <c r="AI178" s="192">
        <v>17219.481318526672</v>
      </c>
      <c r="AJ178" s="192">
        <v>0</v>
      </c>
      <c r="AK178" s="192">
        <v>612.54225098968004</v>
      </c>
      <c r="AL178" s="192">
        <v>49158.620615687563</v>
      </c>
    </row>
    <row r="179" spans="2:38">
      <c r="B179" s="122" t="str">
        <v>Cenário 20/03/2025 com IFC</v>
      </c>
      <c r="C179" s="448" t="str">
        <v>Pórtico 4 (MG-329)</v>
      </c>
      <c r="D179" s="149" t="str">
        <v>3</v>
      </c>
      <c r="E179" s="149" t="str">
        <v>3.7</v>
      </c>
      <c r="F179" s="149">
        <v>1</v>
      </c>
      <c r="G179" s="149">
        <v>0</v>
      </c>
      <c r="H179" s="267" t="str">
        <v>Mobilização e desmobilização (%)</v>
      </c>
      <c r="I179" s="192">
        <v>0</v>
      </c>
      <c r="J179" s="192">
        <v>0</v>
      </c>
      <c r="K179" s="192">
        <v>0</v>
      </c>
      <c r="L179" s="192">
        <v>0</v>
      </c>
      <c r="M179" s="192">
        <v>0</v>
      </c>
      <c r="N179" s="192">
        <v>0</v>
      </c>
      <c r="O179" s="192">
        <v>0</v>
      </c>
      <c r="P179" s="192">
        <v>1981.8713835701233</v>
      </c>
      <c r="Q179" s="192">
        <v>663.97277043158806</v>
      </c>
      <c r="R179" s="192">
        <v>0</v>
      </c>
      <c r="S179" s="192">
        <v>0</v>
      </c>
      <c r="T179" s="192">
        <v>0</v>
      </c>
      <c r="U179" s="192">
        <v>0</v>
      </c>
      <c r="V179" s="192">
        <v>0</v>
      </c>
      <c r="W179" s="192">
        <v>162.82040698254642</v>
      </c>
      <c r="X179" s="192">
        <v>0</v>
      </c>
      <c r="Y179" s="192">
        <v>3494.0153033820561</v>
      </c>
      <c r="Z179" s="192">
        <v>814.67128619759364</v>
      </c>
      <c r="AA179" s="192">
        <v>596.51043980897293</v>
      </c>
      <c r="AB179" s="192">
        <v>0</v>
      </c>
      <c r="AC179" s="192">
        <v>0</v>
      </c>
      <c r="AD179" s="192">
        <v>0</v>
      </c>
      <c r="AE179" s="192">
        <v>0</v>
      </c>
      <c r="AF179" s="192">
        <v>334.7941824329688</v>
      </c>
      <c r="AG179" s="192">
        <v>1751.6405802658944</v>
      </c>
      <c r="AH179" s="192">
        <v>548.23630302639367</v>
      </c>
      <c r="AI179" s="192">
        <v>322.17094079824096</v>
      </c>
      <c r="AJ179" s="192">
        <v>0</v>
      </c>
      <c r="AK179" s="192">
        <v>11.460467921742401</v>
      </c>
      <c r="AL179" s="192">
        <v>919.74193409996087</v>
      </c>
    </row>
    <row r="180" spans="2:38">
      <c r="B180" s="122" t="str">
        <v>Cenário 20/03/2025 com IFC</v>
      </c>
      <c r="C180" s="448" t="str">
        <v>Pórtico 4 (MG-329)</v>
      </c>
      <c r="D180" s="149" t="str">
        <v>3</v>
      </c>
      <c r="E180" s="149" t="str">
        <v>3.8</v>
      </c>
      <c r="F180" s="149">
        <v>1</v>
      </c>
      <c r="G180" s="149">
        <v>0</v>
      </c>
      <c r="H180" s="267" t="str">
        <v>Projetos (%)</v>
      </c>
      <c r="I180" s="192">
        <v>0</v>
      </c>
      <c r="J180" s="192">
        <v>0</v>
      </c>
      <c r="K180" s="192">
        <v>0</v>
      </c>
      <c r="L180" s="192">
        <v>0</v>
      </c>
      <c r="M180" s="192">
        <v>0</v>
      </c>
      <c r="N180" s="192">
        <v>0</v>
      </c>
      <c r="O180" s="192">
        <v>0</v>
      </c>
      <c r="P180" s="192">
        <v>854254.90671126009</v>
      </c>
      <c r="Q180" s="192">
        <v>286195.15966878796</v>
      </c>
      <c r="R180" s="192">
        <v>0</v>
      </c>
      <c r="S180" s="192">
        <v>0</v>
      </c>
      <c r="T180" s="192">
        <v>0</v>
      </c>
      <c r="U180" s="192">
        <v>0</v>
      </c>
      <c r="V180" s="192">
        <v>0</v>
      </c>
      <c r="W180" s="192">
        <v>70181.209906270014</v>
      </c>
      <c r="X180" s="192">
        <v>0</v>
      </c>
      <c r="Y180" s="192">
        <v>1506041.0790439898</v>
      </c>
      <c r="Z180" s="192">
        <v>351151.41646448005</v>
      </c>
      <c r="AA180" s="192">
        <v>257116.56888317803</v>
      </c>
      <c r="AB180" s="192">
        <v>0</v>
      </c>
      <c r="AC180" s="192">
        <v>0</v>
      </c>
      <c r="AD180" s="192">
        <v>0</v>
      </c>
      <c r="AE180" s="192">
        <v>0</v>
      </c>
      <c r="AF180" s="192">
        <v>144307.83725558998</v>
      </c>
      <c r="AG180" s="192">
        <v>755017.49149391998</v>
      </c>
      <c r="AH180" s="192">
        <v>236308.75130448001</v>
      </c>
      <c r="AI180" s="192">
        <v>138866.78482682802</v>
      </c>
      <c r="AJ180" s="192">
        <v>0</v>
      </c>
      <c r="AK180" s="192">
        <v>4939.856862820001</v>
      </c>
      <c r="AL180" s="192">
        <v>396440.48883619002</v>
      </c>
    </row>
    <row r="181" spans="2:38">
      <c r="B181" s="122" t="str">
        <v>Cenário 20/03/2025 com IFC</v>
      </c>
      <c r="C181" s="448" t="str">
        <v>Pórtico 4 (MG-329)</v>
      </c>
      <c r="D181" s="149" t="str">
        <v>3</v>
      </c>
      <c r="E181" s="149" t="str">
        <v>3a</v>
      </c>
      <c r="F181" s="149">
        <v>1</v>
      </c>
      <c r="G181" s="149">
        <v>0</v>
      </c>
      <c r="H181" s="267" t="str">
        <v>Manutenção Do Sistema Rodoviário (Contornos)</v>
      </c>
      <c r="I181" s="192">
        <v>0</v>
      </c>
      <c r="J181" s="192">
        <v>0</v>
      </c>
      <c r="K181" s="192">
        <v>0</v>
      </c>
      <c r="L181" s="192">
        <v>0</v>
      </c>
      <c r="M181" s="192">
        <v>0</v>
      </c>
      <c r="N181" s="192">
        <v>0</v>
      </c>
      <c r="O181" s="192">
        <v>0</v>
      </c>
      <c r="P181" s="192">
        <v>0</v>
      </c>
      <c r="Q181" s="192">
        <v>0</v>
      </c>
      <c r="R181" s="192">
        <v>0</v>
      </c>
      <c r="S181" s="192">
        <v>0</v>
      </c>
      <c r="T181" s="192">
        <v>0</v>
      </c>
      <c r="U181" s="192">
        <v>0</v>
      </c>
      <c r="V181" s="192">
        <v>0</v>
      </c>
      <c r="W181" s="192">
        <v>0</v>
      </c>
      <c r="X181" s="192">
        <v>0</v>
      </c>
      <c r="Y181" s="192">
        <v>0</v>
      </c>
      <c r="Z181" s="192">
        <v>0</v>
      </c>
      <c r="AA181" s="192">
        <v>0</v>
      </c>
      <c r="AB181" s="192">
        <v>0</v>
      </c>
      <c r="AC181" s="192">
        <v>0</v>
      </c>
      <c r="AD181" s="192">
        <v>0</v>
      </c>
      <c r="AE181" s="192">
        <v>0</v>
      </c>
      <c r="AF181" s="192">
        <v>0</v>
      </c>
      <c r="AG181" s="192">
        <v>0</v>
      </c>
      <c r="AH181" s="192">
        <v>0</v>
      </c>
      <c r="AI181" s="192">
        <v>0</v>
      </c>
      <c r="AJ181" s="192">
        <v>0</v>
      </c>
      <c r="AK181" s="192">
        <v>0</v>
      </c>
      <c r="AL181" s="192">
        <v>0</v>
      </c>
    </row>
    <row r="182" spans="2:38">
      <c r="B182" s="122" t="str">
        <v>Cenário 20/03/2025 com IFC</v>
      </c>
      <c r="C182" s="448" t="str">
        <v>Pórtico 4 (MG-329)</v>
      </c>
      <c r="D182" s="149" t="str">
        <v>3</v>
      </c>
      <c r="E182" s="149" t="str">
        <v>3.1</v>
      </c>
      <c r="F182" s="149">
        <v>1</v>
      </c>
      <c r="G182" s="149">
        <v>0</v>
      </c>
      <c r="H182" s="267" t="str">
        <v xml:space="preserve">Pavimento </v>
      </c>
      <c r="I182" s="192">
        <v>0</v>
      </c>
      <c r="J182" s="192">
        <v>0</v>
      </c>
      <c r="K182" s="192">
        <v>0</v>
      </c>
      <c r="L182" s="192">
        <v>0</v>
      </c>
      <c r="M182" s="192">
        <v>0</v>
      </c>
      <c r="N182" s="192">
        <v>0</v>
      </c>
      <c r="O182" s="192">
        <v>0</v>
      </c>
      <c r="P182" s="192">
        <v>0</v>
      </c>
      <c r="Q182" s="192">
        <v>0</v>
      </c>
      <c r="R182" s="192">
        <v>0</v>
      </c>
      <c r="S182" s="192">
        <v>0</v>
      </c>
      <c r="T182" s="192">
        <v>0</v>
      </c>
      <c r="U182" s="192">
        <v>0</v>
      </c>
      <c r="V182" s="192">
        <v>0</v>
      </c>
      <c r="W182" s="192">
        <v>0</v>
      </c>
      <c r="X182" s="192">
        <v>0</v>
      </c>
      <c r="Y182" s="192">
        <v>0</v>
      </c>
      <c r="Z182" s="192">
        <v>0</v>
      </c>
      <c r="AA182" s="192">
        <v>0</v>
      </c>
      <c r="AB182" s="192">
        <v>0</v>
      </c>
      <c r="AC182" s="192">
        <v>0</v>
      </c>
      <c r="AD182" s="192">
        <v>0</v>
      </c>
      <c r="AE182" s="192">
        <v>0</v>
      </c>
      <c r="AF182" s="192">
        <v>0</v>
      </c>
      <c r="AG182" s="192">
        <v>0</v>
      </c>
      <c r="AH182" s="192">
        <v>0</v>
      </c>
      <c r="AI182" s="192">
        <v>0</v>
      </c>
      <c r="AJ182" s="192">
        <v>0</v>
      </c>
      <c r="AK182" s="192">
        <v>0</v>
      </c>
      <c r="AL182" s="192">
        <v>0</v>
      </c>
    </row>
    <row r="183" spans="2:38">
      <c r="B183" s="122" t="str">
        <v>Cenário 20/03/2025 com IFC</v>
      </c>
      <c r="C183" s="448" t="str">
        <v>Pórtico 4 (MG-329)</v>
      </c>
      <c r="D183" s="149" t="str">
        <v>3</v>
      </c>
      <c r="E183" s="149" t="str">
        <v>3.2</v>
      </c>
      <c r="F183" s="149">
        <v>1</v>
      </c>
      <c r="G183" s="149">
        <v>0</v>
      </c>
      <c r="H183" s="267" t="str">
        <v>Obras De Arte Especiais</v>
      </c>
      <c r="I183" s="192">
        <v>0</v>
      </c>
      <c r="J183" s="192">
        <v>0</v>
      </c>
      <c r="K183" s="192">
        <v>0</v>
      </c>
      <c r="L183" s="192">
        <v>0</v>
      </c>
      <c r="M183" s="192">
        <v>0</v>
      </c>
      <c r="N183" s="192">
        <v>0</v>
      </c>
      <c r="O183" s="192">
        <v>0</v>
      </c>
      <c r="P183" s="192">
        <v>0</v>
      </c>
      <c r="Q183" s="192">
        <v>0</v>
      </c>
      <c r="R183" s="192">
        <v>0</v>
      </c>
      <c r="S183" s="192">
        <v>0</v>
      </c>
      <c r="T183" s="192">
        <v>0</v>
      </c>
      <c r="U183" s="192">
        <v>0</v>
      </c>
      <c r="V183" s="192">
        <v>0</v>
      </c>
      <c r="W183" s="192">
        <v>0</v>
      </c>
      <c r="X183" s="192">
        <v>0</v>
      </c>
      <c r="Y183" s="192">
        <v>0</v>
      </c>
      <c r="Z183" s="192">
        <v>0</v>
      </c>
      <c r="AA183" s="192">
        <v>0</v>
      </c>
      <c r="AB183" s="192">
        <v>0</v>
      </c>
      <c r="AC183" s="192">
        <v>0</v>
      </c>
      <c r="AD183" s="192">
        <v>0</v>
      </c>
      <c r="AE183" s="192">
        <v>0</v>
      </c>
      <c r="AF183" s="192">
        <v>0</v>
      </c>
      <c r="AG183" s="192">
        <v>0</v>
      </c>
      <c r="AH183" s="192">
        <v>0</v>
      </c>
      <c r="AI183" s="192">
        <v>0</v>
      </c>
      <c r="AJ183" s="192">
        <v>0</v>
      </c>
      <c r="AK183" s="192">
        <v>0</v>
      </c>
      <c r="AL183" s="192">
        <v>0</v>
      </c>
    </row>
    <row r="184" spans="2:38">
      <c r="B184" s="122" t="str">
        <v>Cenário 20/03/2025 com IFC</v>
      </c>
      <c r="C184" s="448" t="str">
        <v>Pórtico 4 (MG-329)</v>
      </c>
      <c r="D184" s="149" t="str">
        <v>3</v>
      </c>
      <c r="E184" s="149" t="str">
        <v>3.3</v>
      </c>
      <c r="F184" s="149">
        <v>1</v>
      </c>
      <c r="G184" s="149">
        <v>0</v>
      </c>
      <c r="H184" s="267" t="str">
        <v>Drenagem E Obras De Arte Correntes</v>
      </c>
      <c r="I184" s="192">
        <v>0</v>
      </c>
      <c r="J184" s="192">
        <v>0</v>
      </c>
      <c r="K184" s="192">
        <v>0</v>
      </c>
      <c r="L184" s="192">
        <v>0</v>
      </c>
      <c r="M184" s="192">
        <v>0</v>
      </c>
      <c r="N184" s="192">
        <v>0</v>
      </c>
      <c r="O184" s="192">
        <v>0</v>
      </c>
      <c r="P184" s="192">
        <v>0</v>
      </c>
      <c r="Q184" s="192">
        <v>0</v>
      </c>
      <c r="R184" s="192">
        <v>0</v>
      </c>
      <c r="S184" s="192">
        <v>0</v>
      </c>
      <c r="T184" s="192">
        <v>0</v>
      </c>
      <c r="U184" s="192">
        <v>0</v>
      </c>
      <c r="V184" s="192">
        <v>0</v>
      </c>
      <c r="W184" s="192">
        <v>0</v>
      </c>
      <c r="X184" s="192">
        <v>0</v>
      </c>
      <c r="Y184" s="192">
        <v>0</v>
      </c>
      <c r="Z184" s="192">
        <v>0</v>
      </c>
      <c r="AA184" s="192">
        <v>0</v>
      </c>
      <c r="AB184" s="192">
        <v>0</v>
      </c>
      <c r="AC184" s="192">
        <v>0</v>
      </c>
      <c r="AD184" s="192">
        <v>0</v>
      </c>
      <c r="AE184" s="192">
        <v>0</v>
      </c>
      <c r="AF184" s="192">
        <v>0</v>
      </c>
      <c r="AG184" s="192">
        <v>0</v>
      </c>
      <c r="AH184" s="192">
        <v>0</v>
      </c>
      <c r="AI184" s="192">
        <v>0</v>
      </c>
      <c r="AJ184" s="192">
        <v>0</v>
      </c>
      <c r="AK184" s="192">
        <v>0</v>
      </c>
      <c r="AL184" s="192">
        <v>0</v>
      </c>
    </row>
    <row r="185" spans="2:38">
      <c r="B185" s="122" t="str">
        <v>Cenário 20/03/2025 com IFC</v>
      </c>
      <c r="C185" s="448" t="str">
        <v>Pórtico 4 (MG-329)</v>
      </c>
      <c r="D185" s="149" t="str">
        <v>3</v>
      </c>
      <c r="E185" s="149" t="str">
        <v>3.4</v>
      </c>
      <c r="F185" s="149">
        <v>0</v>
      </c>
      <c r="G185" s="149">
        <v>0</v>
      </c>
      <c r="H185" s="267" t="str">
        <v xml:space="preserve">Sinalização E Dispositivos De Proteção E Segurança </v>
      </c>
      <c r="I185" s="192">
        <v>0</v>
      </c>
      <c r="J185" s="192">
        <v>0</v>
      </c>
      <c r="K185" s="192">
        <v>0</v>
      </c>
      <c r="L185" s="192">
        <v>0</v>
      </c>
      <c r="M185" s="192">
        <v>0</v>
      </c>
      <c r="N185" s="192">
        <v>0</v>
      </c>
      <c r="O185" s="192">
        <v>0</v>
      </c>
      <c r="P185" s="192">
        <v>0</v>
      </c>
      <c r="Q185" s="192">
        <v>0</v>
      </c>
      <c r="R185" s="192">
        <v>0</v>
      </c>
      <c r="S185" s="192">
        <v>0</v>
      </c>
      <c r="T185" s="192">
        <v>0</v>
      </c>
      <c r="U185" s="192">
        <v>0</v>
      </c>
      <c r="V185" s="192">
        <v>0</v>
      </c>
      <c r="W185" s="192">
        <v>0</v>
      </c>
      <c r="X185" s="192">
        <v>0</v>
      </c>
      <c r="Y185" s="192">
        <v>0</v>
      </c>
      <c r="Z185" s="192">
        <v>0</v>
      </c>
      <c r="AA185" s="192">
        <v>0</v>
      </c>
      <c r="AB185" s="192">
        <v>0</v>
      </c>
      <c r="AC185" s="192">
        <v>0</v>
      </c>
      <c r="AD185" s="192">
        <v>0</v>
      </c>
      <c r="AE185" s="192">
        <v>0</v>
      </c>
      <c r="AF185" s="192">
        <v>0</v>
      </c>
      <c r="AG185" s="192">
        <v>0</v>
      </c>
      <c r="AH185" s="192">
        <v>0</v>
      </c>
      <c r="AI185" s="192">
        <v>0</v>
      </c>
      <c r="AJ185" s="192">
        <v>0</v>
      </c>
      <c r="AK185" s="192">
        <v>0</v>
      </c>
      <c r="AL185" s="192">
        <v>0</v>
      </c>
    </row>
    <row r="186" spans="2:38">
      <c r="B186" s="122" t="str">
        <v>Cenário 20/03/2025 com IFC</v>
      </c>
      <c r="C186" s="448" t="str">
        <v>Pórtico 4 (MG-329)</v>
      </c>
      <c r="D186" s="149" t="str">
        <v>3</v>
      </c>
      <c r="E186" s="149" t="str">
        <v>3.7</v>
      </c>
      <c r="F186" s="149">
        <v>1</v>
      </c>
      <c r="G186" s="149">
        <v>0</v>
      </c>
      <c r="H186" s="267" t="str">
        <v>Administração Local (4,0%)</v>
      </c>
      <c r="I186" s="192">
        <v>0</v>
      </c>
      <c r="J186" s="192">
        <v>0</v>
      </c>
      <c r="K186" s="192">
        <v>0</v>
      </c>
      <c r="L186" s="192">
        <v>0</v>
      </c>
      <c r="M186" s="192">
        <v>0</v>
      </c>
      <c r="N186" s="192">
        <v>0</v>
      </c>
      <c r="O186" s="192">
        <v>0</v>
      </c>
      <c r="P186" s="192">
        <v>0</v>
      </c>
      <c r="Q186" s="192">
        <v>0</v>
      </c>
      <c r="R186" s="192">
        <v>0</v>
      </c>
      <c r="S186" s="192">
        <v>0</v>
      </c>
      <c r="T186" s="192">
        <v>0</v>
      </c>
      <c r="U186" s="192">
        <v>0</v>
      </c>
      <c r="V186" s="192">
        <v>0</v>
      </c>
      <c r="W186" s="192">
        <v>0</v>
      </c>
      <c r="X186" s="192">
        <v>0</v>
      </c>
      <c r="Y186" s="192">
        <v>0</v>
      </c>
      <c r="Z186" s="192">
        <v>0</v>
      </c>
      <c r="AA186" s="192">
        <v>0</v>
      </c>
      <c r="AB186" s="192">
        <v>0</v>
      </c>
      <c r="AC186" s="192">
        <v>0</v>
      </c>
      <c r="AD186" s="192">
        <v>0</v>
      </c>
      <c r="AE186" s="192">
        <v>0</v>
      </c>
      <c r="AF186" s="192">
        <v>0</v>
      </c>
      <c r="AG186" s="192">
        <v>0</v>
      </c>
      <c r="AH186" s="192">
        <v>0</v>
      </c>
      <c r="AI186" s="192">
        <v>0</v>
      </c>
      <c r="AJ186" s="192">
        <v>0</v>
      </c>
      <c r="AK186" s="192">
        <v>0</v>
      </c>
      <c r="AL186" s="192">
        <v>0</v>
      </c>
    </row>
    <row r="187" spans="2:38">
      <c r="B187" s="122" t="str">
        <v>Cenário 20/03/2025 com IFC</v>
      </c>
      <c r="C187" s="448" t="str">
        <v>Pórtico 4 (MG-329)</v>
      </c>
      <c r="D187" s="149" t="str">
        <v>3</v>
      </c>
      <c r="E187" s="149" t="str">
        <v>3.8</v>
      </c>
      <c r="F187" s="149">
        <v>1</v>
      </c>
      <c r="G187" s="149">
        <v>0</v>
      </c>
      <c r="H187" s="267" t="str">
        <v>Canteiro De Obras (2,0%)</v>
      </c>
      <c r="I187" s="192">
        <v>0</v>
      </c>
      <c r="J187" s="192">
        <v>0</v>
      </c>
      <c r="K187" s="192">
        <v>0</v>
      </c>
      <c r="L187" s="192">
        <v>0</v>
      </c>
      <c r="M187" s="192">
        <v>0</v>
      </c>
      <c r="N187" s="192">
        <v>0</v>
      </c>
      <c r="O187" s="192">
        <v>0</v>
      </c>
      <c r="P187" s="192">
        <v>0</v>
      </c>
      <c r="Q187" s="192">
        <v>0</v>
      </c>
      <c r="R187" s="192">
        <v>0</v>
      </c>
      <c r="S187" s="192">
        <v>0</v>
      </c>
      <c r="T187" s="192">
        <v>0</v>
      </c>
      <c r="U187" s="192">
        <v>0</v>
      </c>
      <c r="V187" s="192">
        <v>0</v>
      </c>
      <c r="W187" s="192">
        <v>0</v>
      </c>
      <c r="X187" s="192">
        <v>0</v>
      </c>
      <c r="Y187" s="192">
        <v>0</v>
      </c>
      <c r="Z187" s="192">
        <v>0</v>
      </c>
      <c r="AA187" s="192">
        <v>0</v>
      </c>
      <c r="AB187" s="192">
        <v>0</v>
      </c>
      <c r="AC187" s="192">
        <v>0</v>
      </c>
      <c r="AD187" s="192">
        <v>0</v>
      </c>
      <c r="AE187" s="192">
        <v>0</v>
      </c>
      <c r="AF187" s="192">
        <v>0</v>
      </c>
      <c r="AG187" s="192">
        <v>0</v>
      </c>
      <c r="AH187" s="192">
        <v>0</v>
      </c>
      <c r="AI187" s="192">
        <v>0</v>
      </c>
      <c r="AJ187" s="192">
        <v>0</v>
      </c>
      <c r="AK187" s="192">
        <v>0</v>
      </c>
      <c r="AL187" s="192">
        <v>0</v>
      </c>
    </row>
    <row r="188" spans="2:38">
      <c r="B188" s="122" t="str">
        <v>Cenário 20/03/2025 com IFC</v>
      </c>
      <c r="C188" s="448" t="str">
        <v>Pórtico 4 (MG-329)</v>
      </c>
      <c r="D188" s="149" t="str">
        <v>3</v>
      </c>
      <c r="E188" s="149" t="str">
        <v>3.9</v>
      </c>
      <c r="F188" s="149">
        <v>1</v>
      </c>
      <c r="G188" s="149">
        <v>0</v>
      </c>
      <c r="H188" s="267" t="str">
        <v>Mobilização E Desmobilização (0,5%)</v>
      </c>
      <c r="I188" s="192">
        <v>0</v>
      </c>
      <c r="J188" s="192">
        <v>0</v>
      </c>
      <c r="K188" s="192">
        <v>0</v>
      </c>
      <c r="L188" s="192">
        <v>0</v>
      </c>
      <c r="M188" s="192">
        <v>0</v>
      </c>
      <c r="N188" s="192">
        <v>0</v>
      </c>
      <c r="O188" s="192">
        <v>0</v>
      </c>
      <c r="P188" s="192">
        <v>0</v>
      </c>
      <c r="Q188" s="192">
        <v>0</v>
      </c>
      <c r="R188" s="192">
        <v>0</v>
      </c>
      <c r="S188" s="192">
        <v>0</v>
      </c>
      <c r="T188" s="192">
        <v>0</v>
      </c>
      <c r="U188" s="192">
        <v>0</v>
      </c>
      <c r="V188" s="192">
        <v>0</v>
      </c>
      <c r="W188" s="192">
        <v>0</v>
      </c>
      <c r="X188" s="192">
        <v>0</v>
      </c>
      <c r="Y188" s="192">
        <v>0</v>
      </c>
      <c r="Z188" s="192">
        <v>0</v>
      </c>
      <c r="AA188" s="192">
        <v>0</v>
      </c>
      <c r="AB188" s="192">
        <v>0</v>
      </c>
      <c r="AC188" s="192">
        <v>0</v>
      </c>
      <c r="AD188" s="192">
        <v>0</v>
      </c>
      <c r="AE188" s="192">
        <v>0</v>
      </c>
      <c r="AF188" s="192">
        <v>0</v>
      </c>
      <c r="AG188" s="192">
        <v>0</v>
      </c>
      <c r="AH188" s="192">
        <v>0</v>
      </c>
      <c r="AI188" s="192">
        <v>0</v>
      </c>
      <c r="AJ188" s="192">
        <v>0</v>
      </c>
      <c r="AK188" s="192">
        <v>0</v>
      </c>
      <c r="AL188" s="192">
        <v>0</v>
      </c>
    </row>
    <row r="189" spans="2:38">
      <c r="B189" s="122" t="str">
        <v>Cenário 20/03/2025 com IFC</v>
      </c>
      <c r="C189" s="448" t="str">
        <v>Pórtico 4 (MG-329)</v>
      </c>
      <c r="D189" s="149" t="str">
        <v>3</v>
      </c>
      <c r="E189" s="149" t="str">
        <v>3.10</v>
      </c>
      <c r="F189" s="149">
        <v>1</v>
      </c>
      <c r="G189" s="149">
        <v>0</v>
      </c>
      <c r="H189" s="267" t="str">
        <v>Projetos (2,5%)</v>
      </c>
      <c r="I189" s="192">
        <v>0</v>
      </c>
      <c r="J189" s="192">
        <v>0</v>
      </c>
      <c r="K189" s="192">
        <v>0</v>
      </c>
      <c r="L189" s="192">
        <v>0</v>
      </c>
      <c r="M189" s="192">
        <v>0</v>
      </c>
      <c r="N189" s="192">
        <v>0</v>
      </c>
      <c r="O189" s="192">
        <v>0</v>
      </c>
      <c r="P189" s="192">
        <v>0</v>
      </c>
      <c r="Q189" s="192">
        <v>0</v>
      </c>
      <c r="R189" s="192">
        <v>0</v>
      </c>
      <c r="S189" s="192">
        <v>0</v>
      </c>
      <c r="T189" s="192">
        <v>0</v>
      </c>
      <c r="U189" s="192">
        <v>0</v>
      </c>
      <c r="V189" s="192">
        <v>0</v>
      </c>
      <c r="W189" s="192">
        <v>0</v>
      </c>
      <c r="X189" s="192">
        <v>0</v>
      </c>
      <c r="Y189" s="192">
        <v>0</v>
      </c>
      <c r="Z189" s="192">
        <v>0</v>
      </c>
      <c r="AA189" s="192">
        <v>0</v>
      </c>
      <c r="AB189" s="192">
        <v>0</v>
      </c>
      <c r="AC189" s="192">
        <v>0</v>
      </c>
      <c r="AD189" s="192">
        <v>0</v>
      </c>
      <c r="AE189" s="192">
        <v>0</v>
      </c>
      <c r="AF189" s="192">
        <v>0</v>
      </c>
      <c r="AG189" s="192">
        <v>0</v>
      </c>
      <c r="AH189" s="192">
        <v>0</v>
      </c>
      <c r="AI189" s="192">
        <v>0</v>
      </c>
      <c r="AJ189" s="192">
        <v>0</v>
      </c>
      <c r="AK189" s="192">
        <v>0</v>
      </c>
      <c r="AL189" s="192">
        <v>0</v>
      </c>
    </row>
    <row r="190" spans="2:38">
      <c r="B190" s="122" t="str">
        <v>Cenário 20/03/2025 com IFC</v>
      </c>
      <c r="C190" s="448" t="str">
        <v>Operação Geral</v>
      </c>
      <c r="D190" s="149" t="str">
        <v>6</v>
      </c>
      <c r="E190" s="149">
        <v>6</v>
      </c>
      <c r="F190" s="149">
        <v>0</v>
      </c>
      <c r="G190" s="149">
        <v>0</v>
      </c>
      <c r="H190" s="267" t="str">
        <v>Equipamentos, sistemas e edificações operacionais</v>
      </c>
      <c r="I190" s="192">
        <v>0</v>
      </c>
      <c r="J190" s="192">
        <v>0</v>
      </c>
      <c r="K190" s="192">
        <v>0</v>
      </c>
      <c r="L190" s="192">
        <v>0</v>
      </c>
      <c r="M190" s="192">
        <v>0</v>
      </c>
      <c r="N190" s="192">
        <v>0</v>
      </c>
      <c r="O190" s="192">
        <v>0</v>
      </c>
      <c r="P190" s="192">
        <v>0</v>
      </c>
      <c r="Q190" s="192">
        <v>0</v>
      </c>
      <c r="R190" s="192">
        <v>0</v>
      </c>
      <c r="S190" s="192">
        <v>0</v>
      </c>
      <c r="T190" s="192">
        <v>0</v>
      </c>
      <c r="U190" s="192">
        <v>0</v>
      </c>
      <c r="V190" s="192">
        <v>0</v>
      </c>
      <c r="W190" s="192">
        <v>0</v>
      </c>
      <c r="X190" s="192">
        <v>0</v>
      </c>
      <c r="Y190" s="192">
        <v>0</v>
      </c>
      <c r="Z190" s="192">
        <v>0</v>
      </c>
      <c r="AA190" s="192">
        <v>0</v>
      </c>
      <c r="AB190" s="192">
        <v>0</v>
      </c>
      <c r="AC190" s="192">
        <v>0</v>
      </c>
      <c r="AD190" s="192">
        <v>0</v>
      </c>
      <c r="AE190" s="192">
        <v>0</v>
      </c>
      <c r="AF190" s="192">
        <v>0</v>
      </c>
      <c r="AG190" s="192">
        <v>0</v>
      </c>
      <c r="AH190" s="192">
        <v>0</v>
      </c>
      <c r="AI190" s="192">
        <v>0</v>
      </c>
      <c r="AJ190" s="192">
        <v>0</v>
      </c>
      <c r="AK190" s="192">
        <v>0</v>
      </c>
      <c r="AL190" s="192">
        <v>0</v>
      </c>
    </row>
    <row r="191" spans="2:38">
      <c r="B191" s="122" t="str">
        <v>Cenário 20/03/2025 com IFC</v>
      </c>
      <c r="C191" s="448" t="str">
        <v>Operação Geral</v>
      </c>
      <c r="D191" s="149">
        <v>6</v>
      </c>
      <c r="E191" s="149" t="str">
        <v>6.1</v>
      </c>
      <c r="F191" s="149">
        <v>0</v>
      </c>
      <c r="G191" s="149">
        <v>0</v>
      </c>
      <c r="H191" s="267" t="str">
        <v>IMPLANTAÇÃO E INSTALAÇÃO DOS EQUIPAMENTOS E SISTEMAS</v>
      </c>
      <c r="I191" s="192">
        <v>0</v>
      </c>
      <c r="J191" s="192">
        <v>0</v>
      </c>
      <c r="K191" s="192">
        <v>0</v>
      </c>
      <c r="L191" s="192">
        <v>0</v>
      </c>
      <c r="M191" s="192">
        <v>0</v>
      </c>
      <c r="N191" s="192">
        <v>0</v>
      </c>
      <c r="O191" s="192">
        <v>0</v>
      </c>
      <c r="P191" s="192">
        <v>0</v>
      </c>
      <c r="Q191" s="192">
        <v>0</v>
      </c>
      <c r="R191" s="192">
        <v>0</v>
      </c>
      <c r="S191" s="192">
        <v>0</v>
      </c>
      <c r="T191" s="192">
        <v>0</v>
      </c>
      <c r="U191" s="192">
        <v>0</v>
      </c>
      <c r="V191" s="192">
        <v>0</v>
      </c>
      <c r="W191" s="192">
        <v>0</v>
      </c>
      <c r="X191" s="192">
        <v>0</v>
      </c>
      <c r="Y191" s="192">
        <v>0</v>
      </c>
      <c r="Z191" s="192">
        <v>0</v>
      </c>
      <c r="AA191" s="192">
        <v>0</v>
      </c>
      <c r="AB191" s="192">
        <v>0</v>
      </c>
      <c r="AC191" s="192">
        <v>0</v>
      </c>
      <c r="AD191" s="192">
        <v>0</v>
      </c>
      <c r="AE191" s="192">
        <v>0</v>
      </c>
      <c r="AF191" s="192">
        <v>0</v>
      </c>
      <c r="AG191" s="192">
        <v>0</v>
      </c>
      <c r="AH191" s="192">
        <v>0</v>
      </c>
      <c r="AI191" s="192">
        <v>0</v>
      </c>
      <c r="AJ191" s="192">
        <v>0</v>
      </c>
      <c r="AK191" s="192">
        <v>0</v>
      </c>
      <c r="AL191" s="192">
        <v>0</v>
      </c>
    </row>
    <row r="192" spans="2:38">
      <c r="B192" s="122" t="str">
        <v>Cenário 20/03/2025 com IFC</v>
      </c>
      <c r="C192" s="448" t="str">
        <v>Operação Geral</v>
      </c>
      <c r="D192" s="149" t="str">
        <v>6</v>
      </c>
      <c r="E192" s="149" t="str">
        <v>6.1.1</v>
      </c>
      <c r="F192" s="149">
        <v>0</v>
      </c>
      <c r="G192" s="149">
        <v>0</v>
      </c>
      <c r="H192" s="267" t="str">
        <v>Aquisição de veículos</v>
      </c>
      <c r="I192" s="192">
        <v>7353231.752922561</v>
      </c>
      <c r="J192" s="192">
        <v>0</v>
      </c>
      <c r="K192" s="192">
        <v>0</v>
      </c>
      <c r="L192" s="192">
        <v>0</v>
      </c>
      <c r="M192" s="192">
        <v>0</v>
      </c>
      <c r="N192" s="192">
        <v>0</v>
      </c>
      <c r="O192" s="192">
        <v>684652.18848000001</v>
      </c>
      <c r="P192" s="192">
        <v>0</v>
      </c>
      <c r="Q192" s="192">
        <v>0</v>
      </c>
      <c r="R192" s="192">
        <v>0</v>
      </c>
      <c r="S192" s="192">
        <v>0</v>
      </c>
      <c r="T192" s="192">
        <v>0</v>
      </c>
      <c r="U192" s="192">
        <v>0</v>
      </c>
      <c r="V192" s="192">
        <v>0</v>
      </c>
      <c r="W192" s="192">
        <v>0</v>
      </c>
      <c r="X192" s="192">
        <v>0</v>
      </c>
      <c r="Y192" s="192">
        <v>0</v>
      </c>
      <c r="Z192" s="192">
        <v>0</v>
      </c>
      <c r="AA192" s="192">
        <v>0</v>
      </c>
      <c r="AB192" s="192">
        <v>0</v>
      </c>
      <c r="AC192" s="192">
        <v>0</v>
      </c>
      <c r="AD192" s="192">
        <v>0</v>
      </c>
      <c r="AE192" s="192">
        <v>0</v>
      </c>
      <c r="AF192" s="192">
        <v>0</v>
      </c>
      <c r="AG192" s="192">
        <v>0</v>
      </c>
      <c r="AH192" s="192">
        <v>0</v>
      </c>
      <c r="AI192" s="192">
        <v>0</v>
      </c>
      <c r="AJ192" s="192">
        <v>0</v>
      </c>
      <c r="AK192" s="192">
        <v>0</v>
      </c>
      <c r="AL192" s="192">
        <v>0</v>
      </c>
    </row>
    <row r="193" spans="2:38">
      <c r="B193" s="122" t="str">
        <v>Cenário 20/03/2025 com IFC</v>
      </c>
      <c r="C193" s="448" t="str">
        <v>Operação Geral</v>
      </c>
      <c r="D193" s="149" t="str">
        <v>6</v>
      </c>
      <c r="E193" s="149" t="str">
        <v>6.1.2</v>
      </c>
      <c r="F193" s="149">
        <v>0</v>
      </c>
      <c r="G193" s="149">
        <v>0</v>
      </c>
      <c r="H193" s="267" t="str">
        <v>Sede/Centro Administrativo</v>
      </c>
      <c r="I193" s="192">
        <v>0</v>
      </c>
      <c r="J193" s="192">
        <v>0</v>
      </c>
      <c r="K193" s="192">
        <v>0</v>
      </c>
      <c r="L193" s="192">
        <v>0</v>
      </c>
      <c r="M193" s="192">
        <v>0</v>
      </c>
      <c r="N193" s="192">
        <v>0</v>
      </c>
      <c r="O193" s="192">
        <v>0</v>
      </c>
      <c r="P193" s="192">
        <v>0</v>
      </c>
      <c r="Q193" s="192">
        <v>0</v>
      </c>
      <c r="R193" s="192">
        <v>0</v>
      </c>
      <c r="S193" s="192">
        <v>0</v>
      </c>
      <c r="T193" s="192">
        <v>0</v>
      </c>
      <c r="U193" s="192">
        <v>0</v>
      </c>
      <c r="V193" s="192">
        <v>0</v>
      </c>
      <c r="W193" s="192">
        <v>0</v>
      </c>
      <c r="X193" s="192">
        <v>0</v>
      </c>
      <c r="Y193" s="192">
        <v>0</v>
      </c>
      <c r="Z193" s="192">
        <v>0</v>
      </c>
      <c r="AA193" s="192">
        <v>0</v>
      </c>
      <c r="AB193" s="192">
        <v>0</v>
      </c>
      <c r="AC193" s="192">
        <v>0</v>
      </c>
      <c r="AD193" s="192">
        <v>0</v>
      </c>
      <c r="AE193" s="192">
        <v>0</v>
      </c>
      <c r="AF193" s="192">
        <v>0</v>
      </c>
      <c r="AG193" s="192">
        <v>0</v>
      </c>
      <c r="AH193" s="192">
        <v>0</v>
      </c>
      <c r="AI193" s="192">
        <v>0</v>
      </c>
      <c r="AJ193" s="192">
        <v>0</v>
      </c>
      <c r="AK193" s="192">
        <v>0</v>
      </c>
      <c r="AL193" s="192">
        <v>0</v>
      </c>
    </row>
    <row r="194" spans="2:38">
      <c r="B194" s="122" t="str">
        <v>Cenário 20/03/2025 com IFC</v>
      </c>
      <c r="C194" s="448" t="str">
        <v>Operação Geral</v>
      </c>
      <c r="D194" s="149" t="str">
        <v>6</v>
      </c>
      <c r="E194" s="149" t="str">
        <v>6.1.2</v>
      </c>
      <c r="F194" s="149">
        <v>0</v>
      </c>
      <c r="G194" s="149">
        <v>0</v>
      </c>
      <c r="H194" s="267" t="str">
        <v>ISO 9001:2008</v>
      </c>
      <c r="I194" s="192">
        <v>81875</v>
      </c>
      <c r="J194" s="192">
        <v>0</v>
      </c>
      <c r="K194" s="192">
        <v>0</v>
      </c>
      <c r="L194" s="192">
        <v>0</v>
      </c>
      <c r="M194" s="192">
        <v>0</v>
      </c>
      <c r="N194" s="192">
        <v>0</v>
      </c>
      <c r="O194" s="192">
        <v>0</v>
      </c>
      <c r="P194" s="192">
        <v>0</v>
      </c>
      <c r="Q194" s="192">
        <v>0</v>
      </c>
      <c r="R194" s="192">
        <v>0</v>
      </c>
      <c r="S194" s="192">
        <v>0</v>
      </c>
      <c r="T194" s="192">
        <v>0</v>
      </c>
      <c r="U194" s="192">
        <v>0</v>
      </c>
      <c r="V194" s="192">
        <v>0</v>
      </c>
      <c r="W194" s="192">
        <v>0</v>
      </c>
      <c r="X194" s="192">
        <v>0</v>
      </c>
      <c r="Y194" s="192">
        <v>0</v>
      </c>
      <c r="Z194" s="192">
        <v>0</v>
      </c>
      <c r="AA194" s="192">
        <v>0</v>
      </c>
      <c r="AB194" s="192">
        <v>0</v>
      </c>
      <c r="AC194" s="192">
        <v>0</v>
      </c>
      <c r="AD194" s="192">
        <v>0</v>
      </c>
      <c r="AE194" s="192">
        <v>0</v>
      </c>
      <c r="AF194" s="192">
        <v>0</v>
      </c>
      <c r="AG194" s="192">
        <v>0</v>
      </c>
      <c r="AH194" s="192">
        <v>0</v>
      </c>
      <c r="AI194" s="192">
        <v>0</v>
      </c>
      <c r="AJ194" s="192">
        <v>0</v>
      </c>
      <c r="AK194" s="192">
        <v>0</v>
      </c>
      <c r="AL194" s="192">
        <v>0</v>
      </c>
    </row>
    <row r="195" spans="2:38">
      <c r="B195" s="122" t="str">
        <v>Cenário 20/03/2025 com IFC</v>
      </c>
      <c r="C195" s="448" t="str">
        <v>Operação Geral</v>
      </c>
      <c r="D195" s="149" t="str">
        <v>6</v>
      </c>
      <c r="E195" s="149" t="str">
        <v>6.1.2</v>
      </c>
      <c r="F195" s="149">
        <v>0</v>
      </c>
      <c r="G195" s="149">
        <v>0</v>
      </c>
      <c r="H195" s="267" t="str">
        <v>Tecnologia da Informação</v>
      </c>
      <c r="I195" s="192">
        <v>0</v>
      </c>
      <c r="J195" s="192">
        <v>0</v>
      </c>
      <c r="K195" s="192">
        <v>0</v>
      </c>
      <c r="L195" s="192">
        <v>0</v>
      </c>
      <c r="M195" s="192">
        <v>0</v>
      </c>
      <c r="N195" s="192">
        <v>0</v>
      </c>
      <c r="O195" s="192">
        <v>0</v>
      </c>
      <c r="P195" s="192">
        <v>0</v>
      </c>
      <c r="Q195" s="192">
        <v>0</v>
      </c>
      <c r="R195" s="192">
        <v>0</v>
      </c>
      <c r="S195" s="192">
        <v>0</v>
      </c>
      <c r="T195" s="192">
        <v>0</v>
      </c>
      <c r="U195" s="192">
        <v>0</v>
      </c>
      <c r="V195" s="192">
        <v>0</v>
      </c>
      <c r="W195" s="192">
        <v>0</v>
      </c>
      <c r="X195" s="192">
        <v>0</v>
      </c>
      <c r="Y195" s="192">
        <v>0</v>
      </c>
      <c r="Z195" s="192">
        <v>0</v>
      </c>
      <c r="AA195" s="192">
        <v>0</v>
      </c>
      <c r="AB195" s="192">
        <v>0</v>
      </c>
      <c r="AC195" s="192">
        <v>0</v>
      </c>
      <c r="AD195" s="192">
        <v>0</v>
      </c>
      <c r="AE195" s="192">
        <v>0</v>
      </c>
      <c r="AF195" s="192">
        <v>0</v>
      </c>
      <c r="AG195" s="192">
        <v>0</v>
      </c>
      <c r="AH195" s="192">
        <v>0</v>
      </c>
      <c r="AI195" s="192">
        <v>0</v>
      </c>
      <c r="AJ195" s="192">
        <v>0</v>
      </c>
      <c r="AK195" s="192">
        <v>0</v>
      </c>
      <c r="AL195" s="192">
        <v>0</v>
      </c>
    </row>
    <row r="196" spans="2:38">
      <c r="B196" s="122" t="str">
        <v>Cenário 20/03/2025 com IFC</v>
      </c>
      <c r="C196" s="448" t="str">
        <v>Operação Geral</v>
      </c>
      <c r="D196" s="149" t="str">
        <v>6</v>
      </c>
      <c r="E196" s="149" t="str">
        <v>6.1.2</v>
      </c>
      <c r="F196" s="149">
        <v>1</v>
      </c>
      <c r="G196" s="149">
        <v>0</v>
      </c>
      <c r="H196" s="267" t="str">
        <v>Servidor de Gerenciamento/Virtualização</v>
      </c>
      <c r="I196" s="192">
        <v>41526.740455325264</v>
      </c>
      <c r="J196" s="192">
        <v>0</v>
      </c>
      <c r="K196" s="192">
        <v>0</v>
      </c>
      <c r="L196" s="192">
        <v>0</v>
      </c>
      <c r="M196" s="192">
        <v>0</v>
      </c>
      <c r="N196" s="192">
        <v>0</v>
      </c>
      <c r="O196" s="192">
        <v>0</v>
      </c>
      <c r="P196" s="192">
        <v>0</v>
      </c>
      <c r="Q196" s="192">
        <v>0</v>
      </c>
      <c r="R196" s="192">
        <v>0</v>
      </c>
      <c r="S196" s="192">
        <v>0</v>
      </c>
      <c r="T196" s="192">
        <v>0</v>
      </c>
      <c r="U196" s="192">
        <v>0</v>
      </c>
      <c r="V196" s="192">
        <v>0</v>
      </c>
      <c r="W196" s="192">
        <v>0</v>
      </c>
      <c r="X196" s="192">
        <v>0</v>
      </c>
      <c r="Y196" s="192">
        <v>0</v>
      </c>
      <c r="Z196" s="192">
        <v>0</v>
      </c>
      <c r="AA196" s="192">
        <v>0</v>
      </c>
      <c r="AB196" s="192">
        <v>0</v>
      </c>
      <c r="AC196" s="192">
        <v>0</v>
      </c>
      <c r="AD196" s="192">
        <v>0</v>
      </c>
      <c r="AE196" s="192">
        <v>0</v>
      </c>
      <c r="AF196" s="192">
        <v>0</v>
      </c>
      <c r="AG196" s="192">
        <v>0</v>
      </c>
      <c r="AH196" s="192">
        <v>0</v>
      </c>
      <c r="AI196" s="192">
        <v>0</v>
      </c>
      <c r="AJ196" s="192">
        <v>0</v>
      </c>
      <c r="AK196" s="192">
        <v>0</v>
      </c>
      <c r="AL196" s="192">
        <v>0</v>
      </c>
    </row>
    <row r="197" spans="2:38">
      <c r="B197" s="122" t="str">
        <v>Cenário 20/03/2025 com IFC</v>
      </c>
      <c r="C197" s="448" t="str">
        <v>Operação Geral</v>
      </c>
      <c r="D197" s="149" t="str">
        <v>6</v>
      </c>
      <c r="E197" s="149" t="str">
        <v>6.1.2</v>
      </c>
      <c r="F197" s="149">
        <v>1</v>
      </c>
      <c r="G197" s="149">
        <v>0</v>
      </c>
      <c r="H197" s="267" t="str">
        <v>Servidor de Backup</v>
      </c>
      <c r="I197" s="192">
        <v>41526.740455325264</v>
      </c>
      <c r="J197" s="192">
        <v>0</v>
      </c>
      <c r="K197" s="192">
        <v>0</v>
      </c>
      <c r="L197" s="192">
        <v>0</v>
      </c>
      <c r="M197" s="192">
        <v>0</v>
      </c>
      <c r="N197" s="192">
        <v>0</v>
      </c>
      <c r="O197" s="192">
        <v>0</v>
      </c>
      <c r="P197" s="192">
        <v>0</v>
      </c>
      <c r="Q197" s="192">
        <v>0</v>
      </c>
      <c r="R197" s="192">
        <v>0</v>
      </c>
      <c r="S197" s="192">
        <v>0</v>
      </c>
      <c r="T197" s="192">
        <v>0</v>
      </c>
      <c r="U197" s="192">
        <v>0</v>
      </c>
      <c r="V197" s="192">
        <v>0</v>
      </c>
      <c r="W197" s="192">
        <v>0</v>
      </c>
      <c r="X197" s="192">
        <v>0</v>
      </c>
      <c r="Y197" s="192">
        <v>0</v>
      </c>
      <c r="Z197" s="192">
        <v>0</v>
      </c>
      <c r="AA197" s="192">
        <v>0</v>
      </c>
      <c r="AB197" s="192">
        <v>0</v>
      </c>
      <c r="AC197" s="192">
        <v>0</v>
      </c>
      <c r="AD197" s="192">
        <v>0</v>
      </c>
      <c r="AE197" s="192">
        <v>0</v>
      </c>
      <c r="AF197" s="192">
        <v>0</v>
      </c>
      <c r="AG197" s="192">
        <v>0</v>
      </c>
      <c r="AH197" s="192">
        <v>0</v>
      </c>
      <c r="AI197" s="192">
        <v>0</v>
      </c>
      <c r="AJ197" s="192">
        <v>0</v>
      </c>
      <c r="AK197" s="192">
        <v>0</v>
      </c>
      <c r="AL197" s="192">
        <v>0</v>
      </c>
    </row>
    <row r="198" spans="2:38">
      <c r="B198" s="122" t="str">
        <v>Cenário 20/03/2025 com IFC</v>
      </c>
      <c r="C198" s="448" t="str">
        <v>Operação Geral</v>
      </c>
      <c r="D198" s="149" t="str">
        <v>6</v>
      </c>
      <c r="E198" s="149" t="str">
        <v>6.1.2</v>
      </c>
      <c r="F198" s="149">
        <v>1</v>
      </c>
      <c r="G198" s="149">
        <v>0</v>
      </c>
      <c r="H198" s="267" t="str">
        <v>Unidade de Fita para Backup</v>
      </c>
      <c r="I198" s="192">
        <v>80157.782716557704</v>
      </c>
      <c r="J198" s="192">
        <v>0</v>
      </c>
      <c r="K198" s="192">
        <v>0</v>
      </c>
      <c r="L198" s="192">
        <v>0</v>
      </c>
      <c r="M198" s="192">
        <v>0</v>
      </c>
      <c r="N198" s="192">
        <v>0</v>
      </c>
      <c r="O198" s="192">
        <v>0</v>
      </c>
      <c r="P198" s="192">
        <v>0</v>
      </c>
      <c r="Q198" s="192">
        <v>0</v>
      </c>
      <c r="R198" s="192">
        <v>0</v>
      </c>
      <c r="S198" s="192">
        <v>0</v>
      </c>
      <c r="T198" s="192">
        <v>0</v>
      </c>
      <c r="U198" s="192">
        <v>0</v>
      </c>
      <c r="V198" s="192">
        <v>0</v>
      </c>
      <c r="W198" s="192">
        <v>0</v>
      </c>
      <c r="X198" s="192">
        <v>0</v>
      </c>
      <c r="Y198" s="192">
        <v>0</v>
      </c>
      <c r="Z198" s="192">
        <v>0</v>
      </c>
      <c r="AA198" s="192">
        <v>0</v>
      </c>
      <c r="AB198" s="192">
        <v>0</v>
      </c>
      <c r="AC198" s="192">
        <v>0</v>
      </c>
      <c r="AD198" s="192">
        <v>0</v>
      </c>
      <c r="AE198" s="192">
        <v>0</v>
      </c>
      <c r="AF198" s="192">
        <v>0</v>
      </c>
      <c r="AG198" s="192">
        <v>0</v>
      </c>
      <c r="AH198" s="192">
        <v>0</v>
      </c>
      <c r="AI198" s="192">
        <v>0</v>
      </c>
      <c r="AJ198" s="192">
        <v>0</v>
      </c>
      <c r="AK198" s="192">
        <v>0</v>
      </c>
      <c r="AL198" s="192">
        <v>0</v>
      </c>
    </row>
    <row r="199" spans="2:38">
      <c r="B199" s="122" t="str">
        <v>Cenário 20/03/2025 com IFC</v>
      </c>
      <c r="C199" s="448" t="str">
        <v>Operação Geral</v>
      </c>
      <c r="D199" s="149" t="str">
        <v>6</v>
      </c>
      <c r="E199" s="149" t="str">
        <v>6.1.2</v>
      </c>
      <c r="F199" s="149">
        <v>1</v>
      </c>
      <c r="G199" s="149">
        <v>0</v>
      </c>
      <c r="H199" s="267" t="str">
        <v>Servidores</v>
      </c>
      <c r="I199" s="192">
        <v>646280.0945889554</v>
      </c>
      <c r="J199" s="192">
        <v>0</v>
      </c>
      <c r="K199" s="192">
        <v>0</v>
      </c>
      <c r="L199" s="192">
        <v>0</v>
      </c>
      <c r="M199" s="192">
        <v>0</v>
      </c>
      <c r="N199" s="192">
        <v>0</v>
      </c>
      <c r="O199" s="192">
        <v>0</v>
      </c>
      <c r="P199" s="192">
        <v>0</v>
      </c>
      <c r="Q199" s="192">
        <v>0</v>
      </c>
      <c r="R199" s="192">
        <v>0</v>
      </c>
      <c r="S199" s="192">
        <v>0</v>
      </c>
      <c r="T199" s="192">
        <v>0</v>
      </c>
      <c r="U199" s="192">
        <v>0</v>
      </c>
      <c r="V199" s="192">
        <v>0</v>
      </c>
      <c r="W199" s="192">
        <v>0</v>
      </c>
      <c r="X199" s="192">
        <v>0</v>
      </c>
      <c r="Y199" s="192">
        <v>0</v>
      </c>
      <c r="Z199" s="192">
        <v>0</v>
      </c>
      <c r="AA199" s="192">
        <v>0</v>
      </c>
      <c r="AB199" s="192">
        <v>0</v>
      </c>
      <c r="AC199" s="192">
        <v>0</v>
      </c>
      <c r="AD199" s="192">
        <v>0</v>
      </c>
      <c r="AE199" s="192">
        <v>0</v>
      </c>
      <c r="AF199" s="192">
        <v>0</v>
      </c>
      <c r="AG199" s="192">
        <v>0</v>
      </c>
      <c r="AH199" s="192">
        <v>0</v>
      </c>
      <c r="AI199" s="192">
        <v>0</v>
      </c>
      <c r="AJ199" s="192">
        <v>0</v>
      </c>
      <c r="AK199" s="192">
        <v>0</v>
      </c>
      <c r="AL199" s="192">
        <v>0</v>
      </c>
    </row>
    <row r="200" spans="2:38">
      <c r="B200" s="122" t="str">
        <v>Cenário 20/03/2025 com IFC</v>
      </c>
      <c r="C200" s="448" t="str">
        <v>Operação Geral</v>
      </c>
      <c r="D200" s="149" t="str">
        <v>6</v>
      </c>
      <c r="E200" s="149" t="str">
        <v>6.1.2</v>
      </c>
      <c r="F200" s="149">
        <v>1</v>
      </c>
      <c r="G200" s="149">
        <v>0</v>
      </c>
      <c r="H200" s="267" t="str">
        <v>Storage</v>
      </c>
      <c r="I200" s="192">
        <v>253491.38888694256</v>
      </c>
      <c r="J200" s="192">
        <v>0</v>
      </c>
      <c r="K200" s="192">
        <v>0</v>
      </c>
      <c r="L200" s="192">
        <v>0</v>
      </c>
      <c r="M200" s="192">
        <v>0</v>
      </c>
      <c r="N200" s="192">
        <v>0</v>
      </c>
      <c r="O200" s="192">
        <v>0</v>
      </c>
      <c r="P200" s="192">
        <v>0</v>
      </c>
      <c r="Q200" s="192">
        <v>0</v>
      </c>
      <c r="R200" s="192">
        <v>0</v>
      </c>
      <c r="S200" s="192">
        <v>0</v>
      </c>
      <c r="T200" s="192">
        <v>0</v>
      </c>
      <c r="U200" s="192">
        <v>0</v>
      </c>
      <c r="V200" s="192">
        <v>0</v>
      </c>
      <c r="W200" s="192">
        <v>0</v>
      </c>
      <c r="X200" s="192">
        <v>0</v>
      </c>
      <c r="Y200" s="192">
        <v>0</v>
      </c>
      <c r="Z200" s="192">
        <v>0</v>
      </c>
      <c r="AA200" s="192">
        <v>0</v>
      </c>
      <c r="AB200" s="192">
        <v>0</v>
      </c>
      <c r="AC200" s="192">
        <v>0</v>
      </c>
      <c r="AD200" s="192">
        <v>0</v>
      </c>
      <c r="AE200" s="192">
        <v>0</v>
      </c>
      <c r="AF200" s="192">
        <v>0</v>
      </c>
      <c r="AG200" s="192">
        <v>0</v>
      </c>
      <c r="AH200" s="192">
        <v>0</v>
      </c>
      <c r="AI200" s="192">
        <v>0</v>
      </c>
      <c r="AJ200" s="192">
        <v>0</v>
      </c>
      <c r="AK200" s="192">
        <v>0</v>
      </c>
      <c r="AL200" s="192">
        <v>0</v>
      </c>
    </row>
    <row r="201" spans="2:38">
      <c r="B201" s="122" t="str">
        <v>Cenário 20/03/2025 com IFC</v>
      </c>
      <c r="C201" s="448" t="str">
        <v>Operação Geral</v>
      </c>
      <c r="D201" s="149" t="str">
        <v>6</v>
      </c>
      <c r="E201" s="149" t="str">
        <v>6.1.2</v>
      </c>
      <c r="F201" s="149">
        <v>1</v>
      </c>
      <c r="G201" s="149">
        <v>0</v>
      </c>
      <c r="H201" s="267" t="str">
        <v>Rack</v>
      </c>
      <c r="I201" s="192">
        <v>9368.4658691519453</v>
      </c>
      <c r="J201" s="192">
        <v>0</v>
      </c>
      <c r="K201" s="192">
        <v>0</v>
      </c>
      <c r="L201" s="192">
        <v>0</v>
      </c>
      <c r="M201" s="192">
        <v>0</v>
      </c>
      <c r="N201" s="192">
        <v>0</v>
      </c>
      <c r="O201" s="192">
        <v>0</v>
      </c>
      <c r="P201" s="192">
        <v>0</v>
      </c>
      <c r="Q201" s="192">
        <v>0</v>
      </c>
      <c r="R201" s="192">
        <v>0</v>
      </c>
      <c r="S201" s="192">
        <v>0</v>
      </c>
      <c r="T201" s="192">
        <v>0</v>
      </c>
      <c r="U201" s="192">
        <v>0</v>
      </c>
      <c r="V201" s="192">
        <v>0</v>
      </c>
      <c r="W201" s="192">
        <v>0</v>
      </c>
      <c r="X201" s="192">
        <v>0</v>
      </c>
      <c r="Y201" s="192">
        <v>0</v>
      </c>
      <c r="Z201" s="192">
        <v>0</v>
      </c>
      <c r="AA201" s="192">
        <v>0</v>
      </c>
      <c r="AB201" s="192">
        <v>0</v>
      </c>
      <c r="AC201" s="192">
        <v>0</v>
      </c>
      <c r="AD201" s="192">
        <v>0</v>
      </c>
      <c r="AE201" s="192">
        <v>0</v>
      </c>
      <c r="AF201" s="192">
        <v>0</v>
      </c>
      <c r="AG201" s="192">
        <v>0</v>
      </c>
      <c r="AH201" s="192">
        <v>0</v>
      </c>
      <c r="AI201" s="192">
        <v>0</v>
      </c>
      <c r="AJ201" s="192">
        <v>0</v>
      </c>
      <c r="AK201" s="192">
        <v>0</v>
      </c>
      <c r="AL201" s="192">
        <v>0</v>
      </c>
    </row>
    <row r="202" spans="2:38">
      <c r="B202" s="122" t="str">
        <v>Cenário 20/03/2025 com IFC</v>
      </c>
      <c r="C202" s="448" t="str">
        <v>Operação Geral</v>
      </c>
      <c r="D202" s="149" t="str">
        <v>6</v>
      </c>
      <c r="E202" s="149" t="str">
        <v>6.1.2</v>
      </c>
      <c r="F202" s="149">
        <v>1</v>
      </c>
      <c r="G202" s="149">
        <v>0</v>
      </c>
      <c r="H202" s="267" t="str">
        <v>Nobreak</v>
      </c>
      <c r="I202" s="192">
        <v>45493.316979644827</v>
      </c>
      <c r="J202" s="192">
        <v>0</v>
      </c>
      <c r="K202" s="192">
        <v>0</v>
      </c>
      <c r="L202" s="192">
        <v>0</v>
      </c>
      <c r="M202" s="192">
        <v>0</v>
      </c>
      <c r="N202" s="192">
        <v>0</v>
      </c>
      <c r="O202" s="192">
        <v>0</v>
      </c>
      <c r="P202" s="192">
        <v>0</v>
      </c>
      <c r="Q202" s="192">
        <v>0</v>
      </c>
      <c r="R202" s="192">
        <v>0</v>
      </c>
      <c r="S202" s="192">
        <v>0</v>
      </c>
      <c r="T202" s="192">
        <v>0</v>
      </c>
      <c r="U202" s="192">
        <v>0</v>
      </c>
      <c r="V202" s="192">
        <v>0</v>
      </c>
      <c r="W202" s="192">
        <v>0</v>
      </c>
      <c r="X202" s="192">
        <v>0</v>
      </c>
      <c r="Y202" s="192">
        <v>0</v>
      </c>
      <c r="Z202" s="192">
        <v>0</v>
      </c>
      <c r="AA202" s="192">
        <v>0</v>
      </c>
      <c r="AB202" s="192">
        <v>0</v>
      </c>
      <c r="AC202" s="192">
        <v>0</v>
      </c>
      <c r="AD202" s="192">
        <v>0</v>
      </c>
      <c r="AE202" s="192">
        <v>0</v>
      </c>
      <c r="AF202" s="192">
        <v>0</v>
      </c>
      <c r="AG202" s="192">
        <v>0</v>
      </c>
      <c r="AH202" s="192">
        <v>0</v>
      </c>
      <c r="AI202" s="192">
        <v>0</v>
      </c>
      <c r="AJ202" s="192">
        <v>0</v>
      </c>
      <c r="AK202" s="192">
        <v>0</v>
      </c>
      <c r="AL202" s="192">
        <v>0</v>
      </c>
    </row>
    <row r="203" spans="2:38">
      <c r="B203" s="122" t="str">
        <v>Cenário 20/03/2025 com IFC</v>
      </c>
      <c r="C203" s="448" t="str">
        <v>Operação Geral</v>
      </c>
      <c r="D203" s="149" t="str">
        <v>6</v>
      </c>
      <c r="E203" s="149" t="str">
        <v>6.1.2</v>
      </c>
      <c r="F203" s="149">
        <v>0</v>
      </c>
      <c r="G203" s="149">
        <v>0</v>
      </c>
      <c r="H203" s="267" t="str">
        <v>Computador e Periféricos</v>
      </c>
      <c r="I203" s="192">
        <v>756372.22162563179</v>
      </c>
      <c r="J203" s="192">
        <v>0</v>
      </c>
      <c r="K203" s="192">
        <v>0</v>
      </c>
      <c r="L203" s="192">
        <v>0</v>
      </c>
      <c r="M203" s="192">
        <v>0</v>
      </c>
      <c r="N203" s="192">
        <v>0</v>
      </c>
      <c r="O203" s="192">
        <v>56445.688181017293</v>
      </c>
      <c r="P203" s="192">
        <v>0</v>
      </c>
      <c r="Q203" s="192">
        <v>0</v>
      </c>
      <c r="R203" s="192">
        <v>0</v>
      </c>
      <c r="S203" s="192">
        <v>0</v>
      </c>
      <c r="T203" s="192">
        <v>0</v>
      </c>
      <c r="U203" s="192">
        <v>0</v>
      </c>
      <c r="V203" s="192">
        <v>0</v>
      </c>
      <c r="W203" s="192">
        <v>0</v>
      </c>
      <c r="X203" s="192">
        <v>0</v>
      </c>
      <c r="Y203" s="192">
        <v>0</v>
      </c>
      <c r="Z203" s="192">
        <v>0</v>
      </c>
      <c r="AA203" s="192">
        <v>0</v>
      </c>
      <c r="AB203" s="192">
        <v>0</v>
      </c>
      <c r="AC203" s="192">
        <v>0</v>
      </c>
      <c r="AD203" s="192">
        <v>0</v>
      </c>
      <c r="AE203" s="192">
        <v>0</v>
      </c>
      <c r="AF203" s="192">
        <v>0</v>
      </c>
      <c r="AG203" s="192">
        <v>0</v>
      </c>
      <c r="AH203" s="192">
        <v>0</v>
      </c>
      <c r="AI203" s="192">
        <v>0</v>
      </c>
      <c r="AJ203" s="192">
        <v>0</v>
      </c>
      <c r="AK203" s="192">
        <v>0</v>
      </c>
      <c r="AL203" s="192">
        <v>0</v>
      </c>
    </row>
    <row r="204" spans="2:38">
      <c r="B204" s="122" t="str">
        <v>Cenário 20/03/2025 com IFC</v>
      </c>
      <c r="C204" s="448" t="str">
        <v>Operação Geral</v>
      </c>
      <c r="D204" s="149" t="str">
        <v>6</v>
      </c>
      <c r="E204" s="149" t="str">
        <v>6.1.2</v>
      </c>
      <c r="F204" s="149">
        <v>0</v>
      </c>
      <c r="G204" s="149">
        <v>0</v>
      </c>
      <c r="H204" s="267" t="str">
        <v>Impressora Multifuncional - A4</v>
      </c>
      <c r="I204" s="192">
        <v>19159.479527055224</v>
      </c>
      <c r="J204" s="192">
        <v>0</v>
      </c>
      <c r="K204" s="192">
        <v>0</v>
      </c>
      <c r="L204" s="192">
        <v>0</v>
      </c>
      <c r="M204" s="192">
        <v>0</v>
      </c>
      <c r="N204" s="192">
        <v>0</v>
      </c>
      <c r="O204" s="192">
        <v>0</v>
      </c>
      <c r="P204" s="192">
        <v>0</v>
      </c>
      <c r="Q204" s="192">
        <v>0</v>
      </c>
      <c r="R204" s="192">
        <v>0</v>
      </c>
      <c r="S204" s="192">
        <v>0</v>
      </c>
      <c r="T204" s="192">
        <v>0</v>
      </c>
      <c r="U204" s="192">
        <v>0</v>
      </c>
      <c r="V204" s="192">
        <v>0</v>
      </c>
      <c r="W204" s="192">
        <v>0</v>
      </c>
      <c r="X204" s="192">
        <v>0</v>
      </c>
      <c r="Y204" s="192">
        <v>0</v>
      </c>
      <c r="Z204" s="192">
        <v>0</v>
      </c>
      <c r="AA204" s="192">
        <v>0</v>
      </c>
      <c r="AB204" s="192">
        <v>0</v>
      </c>
      <c r="AC204" s="192">
        <v>0</v>
      </c>
      <c r="AD204" s="192">
        <v>0</v>
      </c>
      <c r="AE204" s="192">
        <v>0</v>
      </c>
      <c r="AF204" s="192">
        <v>0</v>
      </c>
      <c r="AG204" s="192">
        <v>0</v>
      </c>
      <c r="AH204" s="192">
        <v>0</v>
      </c>
      <c r="AI204" s="192">
        <v>0</v>
      </c>
      <c r="AJ204" s="192">
        <v>0</v>
      </c>
      <c r="AK204" s="192">
        <v>0</v>
      </c>
      <c r="AL204" s="192">
        <v>0</v>
      </c>
    </row>
    <row r="205" spans="2:38">
      <c r="B205" s="122" t="str">
        <v>Cenário 20/03/2025 com IFC</v>
      </c>
      <c r="C205" s="448" t="str">
        <v>Operação Geral</v>
      </c>
      <c r="D205" s="149" t="str">
        <v>6</v>
      </c>
      <c r="E205" s="149" t="str">
        <v>6.1.2</v>
      </c>
      <c r="F205" s="149">
        <v>0</v>
      </c>
      <c r="G205" s="149">
        <v>0</v>
      </c>
      <c r="H205" s="267" t="str">
        <v>Impressora A3</v>
      </c>
      <c r="I205" s="192">
        <v>22355.062067046878</v>
      </c>
      <c r="J205" s="192">
        <v>0</v>
      </c>
      <c r="K205" s="192">
        <v>0</v>
      </c>
      <c r="L205" s="192">
        <v>0</v>
      </c>
      <c r="M205" s="192">
        <v>0</v>
      </c>
      <c r="N205" s="192">
        <v>0</v>
      </c>
      <c r="O205" s="192">
        <v>0</v>
      </c>
      <c r="P205" s="192">
        <v>0</v>
      </c>
      <c r="Q205" s="192">
        <v>0</v>
      </c>
      <c r="R205" s="192">
        <v>0</v>
      </c>
      <c r="S205" s="192">
        <v>0</v>
      </c>
      <c r="T205" s="192">
        <v>0</v>
      </c>
      <c r="U205" s="192">
        <v>0</v>
      </c>
      <c r="V205" s="192">
        <v>0</v>
      </c>
      <c r="W205" s="192">
        <v>0</v>
      </c>
      <c r="X205" s="192">
        <v>0</v>
      </c>
      <c r="Y205" s="192">
        <v>0</v>
      </c>
      <c r="Z205" s="192">
        <v>0</v>
      </c>
      <c r="AA205" s="192">
        <v>0</v>
      </c>
      <c r="AB205" s="192">
        <v>0</v>
      </c>
      <c r="AC205" s="192">
        <v>0</v>
      </c>
      <c r="AD205" s="192">
        <v>0</v>
      </c>
      <c r="AE205" s="192">
        <v>0</v>
      </c>
      <c r="AF205" s="192">
        <v>0</v>
      </c>
      <c r="AG205" s="192">
        <v>0</v>
      </c>
      <c r="AH205" s="192">
        <v>0</v>
      </c>
      <c r="AI205" s="192">
        <v>0</v>
      </c>
      <c r="AJ205" s="192">
        <v>0</v>
      </c>
      <c r="AK205" s="192">
        <v>0</v>
      </c>
      <c r="AL205" s="192">
        <v>0</v>
      </c>
    </row>
    <row r="206" spans="2:38">
      <c r="B206" s="122" t="str">
        <v>Cenário 20/03/2025 com IFC</v>
      </c>
      <c r="C206" s="448" t="str">
        <v>Operação Geral</v>
      </c>
      <c r="D206" s="149" t="str">
        <v>6</v>
      </c>
      <c r="E206" s="149" t="str">
        <v>6.1.2</v>
      </c>
      <c r="F206" s="149">
        <v>0</v>
      </c>
      <c r="G206" s="149">
        <v>0</v>
      </c>
      <c r="H206" s="267" t="str">
        <v>Software</v>
      </c>
      <c r="I206" s="192">
        <v>0</v>
      </c>
      <c r="J206" s="192">
        <v>0</v>
      </c>
      <c r="K206" s="192">
        <v>0</v>
      </c>
      <c r="L206" s="192">
        <v>0</v>
      </c>
      <c r="M206" s="192">
        <v>0</v>
      </c>
      <c r="N206" s="192">
        <v>0</v>
      </c>
      <c r="O206" s="192">
        <v>0</v>
      </c>
      <c r="P206" s="192">
        <v>0</v>
      </c>
      <c r="Q206" s="192">
        <v>0</v>
      </c>
      <c r="R206" s="192">
        <v>0</v>
      </c>
      <c r="S206" s="192">
        <v>0</v>
      </c>
      <c r="T206" s="192">
        <v>0</v>
      </c>
      <c r="U206" s="192">
        <v>0</v>
      </c>
      <c r="V206" s="192">
        <v>0</v>
      </c>
      <c r="W206" s="192">
        <v>0</v>
      </c>
      <c r="X206" s="192">
        <v>0</v>
      </c>
      <c r="Y206" s="192">
        <v>0</v>
      </c>
      <c r="Z206" s="192">
        <v>0</v>
      </c>
      <c r="AA206" s="192">
        <v>0</v>
      </c>
      <c r="AB206" s="192">
        <v>0</v>
      </c>
      <c r="AC206" s="192">
        <v>0</v>
      </c>
      <c r="AD206" s="192">
        <v>0</v>
      </c>
      <c r="AE206" s="192">
        <v>0</v>
      </c>
      <c r="AF206" s="192">
        <v>0</v>
      </c>
      <c r="AG206" s="192">
        <v>0</v>
      </c>
      <c r="AH206" s="192">
        <v>0</v>
      </c>
      <c r="AI206" s="192">
        <v>0</v>
      </c>
      <c r="AJ206" s="192">
        <v>0</v>
      </c>
      <c r="AK206" s="192">
        <v>0</v>
      </c>
      <c r="AL206" s="192">
        <v>0</v>
      </c>
    </row>
    <row r="207" spans="2:38">
      <c r="B207" s="122" t="str">
        <v>Cenário 20/03/2025 com IFC</v>
      </c>
      <c r="C207" s="448" t="str">
        <v>Operação Geral</v>
      </c>
      <c r="D207" s="149" t="str">
        <v>6</v>
      </c>
      <c r="E207" s="149" t="str">
        <v>6.1.2</v>
      </c>
      <c r="F207" s="149">
        <v>0</v>
      </c>
      <c r="G207" s="149">
        <v>0</v>
      </c>
      <c r="H207" s="267" t="str">
        <v>Antivirus</v>
      </c>
      <c r="I207" s="192">
        <v>5456.0704571799506</v>
      </c>
      <c r="J207" s="192">
        <v>0</v>
      </c>
      <c r="K207" s="192">
        <v>0</v>
      </c>
      <c r="L207" s="192">
        <v>0</v>
      </c>
      <c r="M207" s="192">
        <v>0</v>
      </c>
      <c r="N207" s="192">
        <v>0</v>
      </c>
      <c r="O207" s="192">
        <v>407.16943710298142</v>
      </c>
      <c r="P207" s="192">
        <v>0</v>
      </c>
      <c r="Q207" s="192">
        <v>0</v>
      </c>
      <c r="R207" s="192">
        <v>0</v>
      </c>
      <c r="S207" s="192">
        <v>0</v>
      </c>
      <c r="T207" s="192">
        <v>0</v>
      </c>
      <c r="U207" s="192">
        <v>0</v>
      </c>
      <c r="V207" s="192">
        <v>0</v>
      </c>
      <c r="W207" s="192">
        <v>0</v>
      </c>
      <c r="X207" s="192">
        <v>0</v>
      </c>
      <c r="Y207" s="192">
        <v>0</v>
      </c>
      <c r="Z207" s="192">
        <v>0</v>
      </c>
      <c r="AA207" s="192">
        <v>0</v>
      </c>
      <c r="AB207" s="192">
        <v>0</v>
      </c>
      <c r="AC207" s="192">
        <v>0</v>
      </c>
      <c r="AD207" s="192">
        <v>0</v>
      </c>
      <c r="AE207" s="192">
        <v>0</v>
      </c>
      <c r="AF207" s="192">
        <v>0</v>
      </c>
      <c r="AG207" s="192">
        <v>0</v>
      </c>
      <c r="AH207" s="192">
        <v>0</v>
      </c>
      <c r="AI207" s="192">
        <v>0</v>
      </c>
      <c r="AJ207" s="192">
        <v>0</v>
      </c>
      <c r="AK207" s="192">
        <v>0</v>
      </c>
      <c r="AL207" s="192">
        <v>0</v>
      </c>
    </row>
    <row r="208" spans="2:38">
      <c r="B208" s="122" t="str">
        <v>Cenário 20/03/2025 com IFC</v>
      </c>
      <c r="C208" s="448" t="str">
        <v>Operação Geral</v>
      </c>
      <c r="D208" s="149" t="str">
        <v>6</v>
      </c>
      <c r="E208" s="149" t="str">
        <v>6.1.2</v>
      </c>
      <c r="F208" s="149">
        <v>0</v>
      </c>
      <c r="G208" s="149">
        <v>0</v>
      </c>
      <c r="H208" s="267" t="str">
        <v>Microsoft Office 365</v>
      </c>
      <c r="I208" s="192">
        <v>48267.312066768674</v>
      </c>
      <c r="J208" s="192">
        <v>0</v>
      </c>
      <c r="K208" s="192">
        <v>0</v>
      </c>
      <c r="L208" s="192">
        <v>0</v>
      </c>
      <c r="M208" s="192">
        <v>0</v>
      </c>
      <c r="N208" s="192">
        <v>0</v>
      </c>
      <c r="O208" s="192">
        <v>3602.0382139379608</v>
      </c>
      <c r="P208" s="192">
        <v>0</v>
      </c>
      <c r="Q208" s="192">
        <v>0</v>
      </c>
      <c r="R208" s="192">
        <v>0</v>
      </c>
      <c r="S208" s="192">
        <v>0</v>
      </c>
      <c r="T208" s="192">
        <v>0</v>
      </c>
      <c r="U208" s="192">
        <v>0</v>
      </c>
      <c r="V208" s="192">
        <v>0</v>
      </c>
      <c r="W208" s="192">
        <v>0</v>
      </c>
      <c r="X208" s="192">
        <v>0</v>
      </c>
      <c r="Y208" s="192">
        <v>0</v>
      </c>
      <c r="Z208" s="192">
        <v>0</v>
      </c>
      <c r="AA208" s="192">
        <v>0</v>
      </c>
      <c r="AB208" s="192">
        <v>0</v>
      </c>
      <c r="AC208" s="192">
        <v>0</v>
      </c>
      <c r="AD208" s="192">
        <v>0</v>
      </c>
      <c r="AE208" s="192">
        <v>0</v>
      </c>
      <c r="AF208" s="192">
        <v>0</v>
      </c>
      <c r="AG208" s="192">
        <v>0</v>
      </c>
      <c r="AH208" s="192">
        <v>0</v>
      </c>
      <c r="AI208" s="192">
        <v>0</v>
      </c>
      <c r="AJ208" s="192">
        <v>0</v>
      </c>
      <c r="AK208" s="192">
        <v>0</v>
      </c>
      <c r="AL208" s="192">
        <v>0</v>
      </c>
    </row>
    <row r="209" spans="2:38">
      <c r="B209" s="122" t="str">
        <v>Cenário 20/03/2025 com IFC</v>
      </c>
      <c r="C209" s="448" t="str">
        <v>Operação Geral</v>
      </c>
      <c r="D209" s="149" t="str">
        <v>6</v>
      </c>
      <c r="E209" s="149" t="str">
        <v>6.1.2</v>
      </c>
      <c r="F209" s="149">
        <v>0</v>
      </c>
      <c r="G209" s="149">
        <v>0</v>
      </c>
      <c r="H209" s="267" t="str">
        <v>Windows Server</v>
      </c>
      <c r="I209" s="192">
        <v>38932.535818611766</v>
      </c>
      <c r="J209" s="192">
        <v>0</v>
      </c>
      <c r="K209" s="192">
        <v>0</v>
      </c>
      <c r="L209" s="192">
        <v>0</v>
      </c>
      <c r="M209" s="192">
        <v>0</v>
      </c>
      <c r="N209" s="192">
        <v>0</v>
      </c>
      <c r="O209" s="192">
        <v>0</v>
      </c>
      <c r="P209" s="192">
        <v>0</v>
      </c>
      <c r="Q209" s="192">
        <v>0</v>
      </c>
      <c r="R209" s="192">
        <v>0</v>
      </c>
      <c r="S209" s="192">
        <v>0</v>
      </c>
      <c r="T209" s="192">
        <v>0</v>
      </c>
      <c r="U209" s="192">
        <v>0</v>
      </c>
      <c r="V209" s="192">
        <v>0</v>
      </c>
      <c r="W209" s="192">
        <v>0</v>
      </c>
      <c r="X209" s="192">
        <v>0</v>
      </c>
      <c r="Y209" s="192">
        <v>0</v>
      </c>
      <c r="Z209" s="192">
        <v>0</v>
      </c>
      <c r="AA209" s="192">
        <v>0</v>
      </c>
      <c r="AB209" s="192">
        <v>0</v>
      </c>
      <c r="AC209" s="192">
        <v>0</v>
      </c>
      <c r="AD209" s="192">
        <v>0</v>
      </c>
      <c r="AE209" s="192">
        <v>0</v>
      </c>
      <c r="AF209" s="192">
        <v>0</v>
      </c>
      <c r="AG209" s="192">
        <v>0</v>
      </c>
      <c r="AH209" s="192">
        <v>0</v>
      </c>
      <c r="AI209" s="192">
        <v>0</v>
      </c>
      <c r="AJ209" s="192">
        <v>0</v>
      </c>
      <c r="AK209" s="192">
        <v>0</v>
      </c>
      <c r="AL209" s="192">
        <v>0</v>
      </c>
    </row>
    <row r="210" spans="2:38">
      <c r="B210" s="122" t="str">
        <v>Cenário 20/03/2025 com IFC</v>
      </c>
      <c r="C210" s="448" t="str">
        <v>Operação Geral</v>
      </c>
      <c r="D210" s="149" t="str">
        <v>6</v>
      </c>
      <c r="E210" s="149" t="str">
        <v>6.1.2</v>
      </c>
      <c r="F210" s="149">
        <v>0</v>
      </c>
      <c r="G210" s="149">
        <v>0</v>
      </c>
      <c r="H210" s="267" t="str">
        <v>Banco de Dados</v>
      </c>
      <c r="I210" s="192">
        <v>36337.033430704316</v>
      </c>
      <c r="J210" s="192">
        <v>0</v>
      </c>
      <c r="K210" s="192">
        <v>0</v>
      </c>
      <c r="L210" s="192">
        <v>0</v>
      </c>
      <c r="M210" s="192">
        <v>0</v>
      </c>
      <c r="N210" s="192">
        <v>0</v>
      </c>
      <c r="O210" s="192">
        <v>0</v>
      </c>
      <c r="P210" s="192">
        <v>0</v>
      </c>
      <c r="Q210" s="192">
        <v>0</v>
      </c>
      <c r="R210" s="192">
        <v>0</v>
      </c>
      <c r="S210" s="192">
        <v>0</v>
      </c>
      <c r="T210" s="192">
        <v>0</v>
      </c>
      <c r="U210" s="192">
        <v>0</v>
      </c>
      <c r="V210" s="192">
        <v>0</v>
      </c>
      <c r="W210" s="192">
        <v>0</v>
      </c>
      <c r="X210" s="192">
        <v>0</v>
      </c>
      <c r="Y210" s="192">
        <v>0</v>
      </c>
      <c r="Z210" s="192">
        <v>0</v>
      </c>
      <c r="AA210" s="192">
        <v>0</v>
      </c>
      <c r="AB210" s="192">
        <v>0</v>
      </c>
      <c r="AC210" s="192">
        <v>0</v>
      </c>
      <c r="AD210" s="192">
        <v>0</v>
      </c>
      <c r="AE210" s="192">
        <v>0</v>
      </c>
      <c r="AF210" s="192">
        <v>0</v>
      </c>
      <c r="AG210" s="192">
        <v>0</v>
      </c>
      <c r="AH210" s="192">
        <v>0</v>
      </c>
      <c r="AI210" s="192">
        <v>0</v>
      </c>
      <c r="AJ210" s="192">
        <v>0</v>
      </c>
      <c r="AK210" s="192">
        <v>0</v>
      </c>
      <c r="AL210" s="192">
        <v>0</v>
      </c>
    </row>
    <row r="211" spans="2:38">
      <c r="B211" s="122" t="str">
        <v>Cenário 20/03/2025 com IFC</v>
      </c>
      <c r="C211" s="448" t="str">
        <v>Operação Geral</v>
      </c>
      <c r="D211" s="149" t="str">
        <v>6</v>
      </c>
      <c r="E211" s="149" t="str">
        <v>6.1.2</v>
      </c>
      <c r="F211" s="149">
        <v>0</v>
      </c>
      <c r="G211" s="149">
        <v>0</v>
      </c>
      <c r="H211" s="267" t="str">
        <v>ERP</v>
      </c>
      <c r="I211" s="192">
        <v>0</v>
      </c>
      <c r="J211" s="192">
        <v>0</v>
      </c>
      <c r="K211" s="192">
        <v>0</v>
      </c>
      <c r="L211" s="192">
        <v>0</v>
      </c>
      <c r="M211" s="192">
        <v>0</v>
      </c>
      <c r="N211" s="192">
        <v>0</v>
      </c>
      <c r="O211" s="192">
        <v>0</v>
      </c>
      <c r="P211" s="192">
        <v>0</v>
      </c>
      <c r="Q211" s="192">
        <v>0</v>
      </c>
      <c r="R211" s="192">
        <v>0</v>
      </c>
      <c r="S211" s="192">
        <v>0</v>
      </c>
      <c r="T211" s="192">
        <v>0</v>
      </c>
      <c r="U211" s="192">
        <v>0</v>
      </c>
      <c r="V211" s="192">
        <v>0</v>
      </c>
      <c r="W211" s="192">
        <v>0</v>
      </c>
      <c r="X211" s="192">
        <v>0</v>
      </c>
      <c r="Y211" s="192">
        <v>0</v>
      </c>
      <c r="Z211" s="192">
        <v>0</v>
      </c>
      <c r="AA211" s="192">
        <v>0</v>
      </c>
      <c r="AB211" s="192">
        <v>0</v>
      </c>
      <c r="AC211" s="192">
        <v>0</v>
      </c>
      <c r="AD211" s="192">
        <v>0</v>
      </c>
      <c r="AE211" s="192">
        <v>0</v>
      </c>
      <c r="AF211" s="192">
        <v>0</v>
      </c>
      <c r="AG211" s="192">
        <v>0</v>
      </c>
      <c r="AH211" s="192">
        <v>0</v>
      </c>
      <c r="AI211" s="192">
        <v>0</v>
      </c>
      <c r="AJ211" s="192">
        <v>0</v>
      </c>
      <c r="AK211" s="192">
        <v>0</v>
      </c>
      <c r="AL211" s="192">
        <v>0</v>
      </c>
    </row>
    <row r="212" spans="2:38">
      <c r="B212" s="122" t="str">
        <v>Cenário 20/03/2025 com IFC</v>
      </c>
      <c r="C212" s="448" t="str">
        <v>Operação Geral</v>
      </c>
      <c r="D212" s="149" t="str">
        <v>6</v>
      </c>
      <c r="E212" s="149" t="str">
        <v>6.1.2</v>
      </c>
      <c r="F212" s="149">
        <v>0</v>
      </c>
      <c r="G212" s="149">
        <v>0</v>
      </c>
      <c r="H212" s="267" t="str">
        <v>Correio eletrônico</v>
      </c>
      <c r="I212" s="192">
        <v>49028.988197523991</v>
      </c>
      <c r="J212" s="192">
        <v>0</v>
      </c>
      <c r="K212" s="192">
        <v>0</v>
      </c>
      <c r="L212" s="192">
        <v>0</v>
      </c>
      <c r="M212" s="192">
        <v>0</v>
      </c>
      <c r="N212" s="192">
        <v>0</v>
      </c>
      <c r="O212" s="192">
        <v>3658.8797162331339</v>
      </c>
      <c r="P212" s="192">
        <v>0</v>
      </c>
      <c r="Q212" s="192">
        <v>0</v>
      </c>
      <c r="R212" s="192">
        <v>0</v>
      </c>
      <c r="S212" s="192">
        <v>0</v>
      </c>
      <c r="T212" s="192">
        <v>0</v>
      </c>
      <c r="U212" s="192">
        <v>0</v>
      </c>
      <c r="V212" s="192">
        <v>0</v>
      </c>
      <c r="W212" s="192">
        <v>0</v>
      </c>
      <c r="X212" s="192">
        <v>0</v>
      </c>
      <c r="Y212" s="192">
        <v>0</v>
      </c>
      <c r="Z212" s="192">
        <v>0</v>
      </c>
      <c r="AA212" s="192">
        <v>0</v>
      </c>
      <c r="AB212" s="192">
        <v>0</v>
      </c>
      <c r="AC212" s="192">
        <v>0</v>
      </c>
      <c r="AD212" s="192">
        <v>0</v>
      </c>
      <c r="AE212" s="192">
        <v>0</v>
      </c>
      <c r="AF212" s="192">
        <v>0</v>
      </c>
      <c r="AG212" s="192">
        <v>0</v>
      </c>
      <c r="AH212" s="192">
        <v>0</v>
      </c>
      <c r="AI212" s="192">
        <v>0</v>
      </c>
      <c r="AJ212" s="192">
        <v>0</v>
      </c>
      <c r="AK212" s="192">
        <v>0</v>
      </c>
      <c r="AL212" s="192">
        <v>0</v>
      </c>
    </row>
    <row r="213" spans="2:38">
      <c r="B213" s="122" t="str">
        <v>Cenário 20/03/2025 com IFC</v>
      </c>
      <c r="C213" s="448" t="str">
        <v>Operação Geral</v>
      </c>
      <c r="D213" s="149" t="str">
        <v>6</v>
      </c>
      <c r="E213" s="149" t="str">
        <v>6.1.2</v>
      </c>
      <c r="F213" s="149">
        <v>0</v>
      </c>
      <c r="G213" s="149">
        <v>0</v>
      </c>
      <c r="H213" s="267" t="str">
        <v>Backup</v>
      </c>
      <c r="I213" s="192">
        <v>19466.267909305883</v>
      </c>
      <c r="J213" s="192">
        <v>0</v>
      </c>
      <c r="K213" s="192">
        <v>0</v>
      </c>
      <c r="L213" s="192">
        <v>0</v>
      </c>
      <c r="M213" s="192">
        <v>0</v>
      </c>
      <c r="N213" s="192">
        <v>0</v>
      </c>
      <c r="O213" s="192">
        <v>0</v>
      </c>
      <c r="P213" s="192">
        <v>0</v>
      </c>
      <c r="Q213" s="192">
        <v>0</v>
      </c>
      <c r="R213" s="192">
        <v>0</v>
      </c>
      <c r="S213" s="192">
        <v>0</v>
      </c>
      <c r="T213" s="192">
        <v>0</v>
      </c>
      <c r="U213" s="192">
        <v>0</v>
      </c>
      <c r="V213" s="192">
        <v>0</v>
      </c>
      <c r="W213" s="192">
        <v>0</v>
      </c>
      <c r="X213" s="192">
        <v>0</v>
      </c>
      <c r="Y213" s="192">
        <v>0</v>
      </c>
      <c r="Z213" s="192">
        <v>0</v>
      </c>
      <c r="AA213" s="192">
        <v>0</v>
      </c>
      <c r="AB213" s="192">
        <v>0</v>
      </c>
      <c r="AC213" s="192">
        <v>0</v>
      </c>
      <c r="AD213" s="192">
        <v>0</v>
      </c>
      <c r="AE213" s="192">
        <v>0</v>
      </c>
      <c r="AF213" s="192">
        <v>0</v>
      </c>
      <c r="AG213" s="192">
        <v>0</v>
      </c>
      <c r="AH213" s="192">
        <v>0</v>
      </c>
      <c r="AI213" s="192">
        <v>0</v>
      </c>
      <c r="AJ213" s="192">
        <v>0</v>
      </c>
      <c r="AK213" s="192">
        <v>0</v>
      </c>
      <c r="AL213" s="192">
        <v>0</v>
      </c>
    </row>
    <row r="214" spans="2:38">
      <c r="B214" s="122" t="str">
        <v>Cenário 20/03/2025 com IFC</v>
      </c>
      <c r="C214" s="448" t="str">
        <v>Operação Geral</v>
      </c>
      <c r="D214" s="149" t="str">
        <v>6</v>
      </c>
      <c r="E214" s="149" t="str">
        <v>6.1.2</v>
      </c>
      <c r="F214" s="149">
        <v>0</v>
      </c>
      <c r="G214" s="149">
        <v>0</v>
      </c>
      <c r="H214" s="267" t="str">
        <v>Implantação Sistema da Qualidade</v>
      </c>
      <c r="I214" s="192">
        <v>0</v>
      </c>
      <c r="J214" s="192">
        <v>0</v>
      </c>
      <c r="K214" s="192">
        <v>0</v>
      </c>
      <c r="L214" s="192">
        <v>0</v>
      </c>
      <c r="M214" s="192">
        <v>0</v>
      </c>
      <c r="N214" s="192">
        <v>0</v>
      </c>
      <c r="O214" s="192">
        <v>0</v>
      </c>
      <c r="P214" s="192">
        <v>0</v>
      </c>
      <c r="Q214" s="192">
        <v>0</v>
      </c>
      <c r="R214" s="192">
        <v>0</v>
      </c>
      <c r="S214" s="192">
        <v>0</v>
      </c>
      <c r="T214" s="192">
        <v>0</v>
      </c>
      <c r="U214" s="192">
        <v>0</v>
      </c>
      <c r="V214" s="192">
        <v>0</v>
      </c>
      <c r="W214" s="192">
        <v>0</v>
      </c>
      <c r="X214" s="192">
        <v>0</v>
      </c>
      <c r="Y214" s="192">
        <v>0</v>
      </c>
      <c r="Z214" s="192">
        <v>0</v>
      </c>
      <c r="AA214" s="192">
        <v>0</v>
      </c>
      <c r="AB214" s="192">
        <v>0</v>
      </c>
      <c r="AC214" s="192">
        <v>0</v>
      </c>
      <c r="AD214" s="192">
        <v>0</v>
      </c>
      <c r="AE214" s="192">
        <v>0</v>
      </c>
      <c r="AF214" s="192">
        <v>0</v>
      </c>
      <c r="AG214" s="192">
        <v>0</v>
      </c>
      <c r="AH214" s="192">
        <v>0</v>
      </c>
      <c r="AI214" s="192">
        <v>0</v>
      </c>
      <c r="AJ214" s="192">
        <v>0</v>
      </c>
      <c r="AK214" s="192">
        <v>0</v>
      </c>
      <c r="AL214" s="192">
        <v>0</v>
      </c>
    </row>
    <row r="215" spans="2:38">
      <c r="B215" s="122" t="str">
        <v>Cenário 20/03/2025 com IFC</v>
      </c>
      <c r="C215" s="448" t="str">
        <v>Operação Geral</v>
      </c>
      <c r="D215" s="149" t="str">
        <v>6</v>
      </c>
      <c r="E215" s="149" t="str">
        <v>6.1.2</v>
      </c>
      <c r="F215" s="149">
        <v>0</v>
      </c>
      <c r="G215" s="149">
        <v>0</v>
      </c>
      <c r="H215" s="267" t="str">
        <v>Software Gestão Ambiental</v>
      </c>
      <c r="I215" s="192">
        <v>0</v>
      </c>
      <c r="J215" s="192">
        <v>0</v>
      </c>
      <c r="K215" s="192">
        <v>0</v>
      </c>
      <c r="L215" s="192">
        <v>0</v>
      </c>
      <c r="M215" s="192">
        <v>0</v>
      </c>
      <c r="N215" s="192">
        <v>0</v>
      </c>
      <c r="O215" s="192">
        <v>0</v>
      </c>
      <c r="P215" s="192">
        <v>0</v>
      </c>
      <c r="Q215" s="192">
        <v>0</v>
      </c>
      <c r="R215" s="192">
        <v>0</v>
      </c>
      <c r="S215" s="192">
        <v>0</v>
      </c>
      <c r="T215" s="192">
        <v>0</v>
      </c>
      <c r="U215" s="192">
        <v>0</v>
      </c>
      <c r="V215" s="192">
        <v>0</v>
      </c>
      <c r="W215" s="192">
        <v>0</v>
      </c>
      <c r="X215" s="192">
        <v>0</v>
      </c>
      <c r="Y215" s="192">
        <v>0</v>
      </c>
      <c r="Z215" s="192">
        <v>0</v>
      </c>
      <c r="AA215" s="192">
        <v>0</v>
      </c>
      <c r="AB215" s="192">
        <v>0</v>
      </c>
      <c r="AC215" s="192">
        <v>0</v>
      </c>
      <c r="AD215" s="192">
        <v>0</v>
      </c>
      <c r="AE215" s="192">
        <v>0</v>
      </c>
      <c r="AF215" s="192">
        <v>0</v>
      </c>
      <c r="AG215" s="192">
        <v>0</v>
      </c>
      <c r="AH215" s="192">
        <v>0</v>
      </c>
      <c r="AI215" s="192">
        <v>0</v>
      </c>
      <c r="AJ215" s="192">
        <v>0</v>
      </c>
      <c r="AK215" s="192">
        <v>0</v>
      </c>
      <c r="AL215" s="192">
        <v>0</v>
      </c>
    </row>
    <row r="216" spans="2:38">
      <c r="B216" s="122" t="str">
        <v>Cenário 20/03/2025 com IFC</v>
      </c>
      <c r="C216" s="448" t="str">
        <v>Operação Geral</v>
      </c>
      <c r="D216" s="149" t="str">
        <v>6</v>
      </c>
      <c r="E216" s="149" t="str">
        <v>6.1.2</v>
      </c>
      <c r="F216" s="149">
        <v>0</v>
      </c>
      <c r="G216" s="149">
        <v>0</v>
      </c>
      <c r="H216" s="267" t="str">
        <v>Centro de Controle Operacional</v>
      </c>
      <c r="I216" s="192">
        <v>0</v>
      </c>
      <c r="J216" s="192">
        <v>0</v>
      </c>
      <c r="K216" s="192">
        <v>0</v>
      </c>
      <c r="L216" s="192">
        <v>0</v>
      </c>
      <c r="M216" s="192">
        <v>0</v>
      </c>
      <c r="N216" s="192">
        <v>0</v>
      </c>
      <c r="O216" s="192">
        <v>0</v>
      </c>
      <c r="P216" s="192">
        <v>0</v>
      </c>
      <c r="Q216" s="192">
        <v>0</v>
      </c>
      <c r="R216" s="192">
        <v>0</v>
      </c>
      <c r="S216" s="192">
        <v>0</v>
      </c>
      <c r="T216" s="192">
        <v>0</v>
      </c>
      <c r="U216" s="192">
        <v>0</v>
      </c>
      <c r="V216" s="192">
        <v>0</v>
      </c>
      <c r="W216" s="192">
        <v>0</v>
      </c>
      <c r="X216" s="192">
        <v>0</v>
      </c>
      <c r="Y216" s="192">
        <v>0</v>
      </c>
      <c r="Z216" s="192">
        <v>0</v>
      </c>
      <c r="AA216" s="192">
        <v>0</v>
      </c>
      <c r="AB216" s="192">
        <v>0</v>
      </c>
      <c r="AC216" s="192">
        <v>0</v>
      </c>
      <c r="AD216" s="192">
        <v>0</v>
      </c>
      <c r="AE216" s="192">
        <v>0</v>
      </c>
      <c r="AF216" s="192">
        <v>0</v>
      </c>
      <c r="AG216" s="192">
        <v>0</v>
      </c>
      <c r="AH216" s="192">
        <v>0</v>
      </c>
      <c r="AI216" s="192">
        <v>0</v>
      </c>
      <c r="AJ216" s="192">
        <v>0</v>
      </c>
      <c r="AK216" s="192">
        <v>0</v>
      </c>
      <c r="AL216" s="192">
        <v>0</v>
      </c>
    </row>
    <row r="217" spans="2:38">
      <c r="B217" s="122" t="str">
        <v>Cenário 20/03/2025 com IFC</v>
      </c>
      <c r="C217" s="448" t="str">
        <v>Operação Geral</v>
      </c>
      <c r="D217" s="149" t="str">
        <v>6</v>
      </c>
      <c r="E217" s="149" t="str">
        <v>6.1.2</v>
      </c>
      <c r="F217" s="149">
        <v>0</v>
      </c>
      <c r="G217" s="149">
        <v>0</v>
      </c>
      <c r="H217" s="267" t="str">
        <v>Tecnologia da Informação</v>
      </c>
      <c r="I217" s="192">
        <v>0</v>
      </c>
      <c r="J217" s="192">
        <v>0</v>
      </c>
      <c r="K217" s="192">
        <v>0</v>
      </c>
      <c r="L217" s="192">
        <v>0</v>
      </c>
      <c r="M217" s="192">
        <v>0</v>
      </c>
      <c r="N217" s="192">
        <v>0</v>
      </c>
      <c r="O217" s="192">
        <v>0</v>
      </c>
      <c r="P217" s="192">
        <v>0</v>
      </c>
      <c r="Q217" s="192">
        <v>0</v>
      </c>
      <c r="R217" s="192">
        <v>0</v>
      </c>
      <c r="S217" s="192">
        <v>0</v>
      </c>
      <c r="T217" s="192">
        <v>0</v>
      </c>
      <c r="U217" s="192">
        <v>0</v>
      </c>
      <c r="V217" s="192">
        <v>0</v>
      </c>
      <c r="W217" s="192">
        <v>0</v>
      </c>
      <c r="X217" s="192">
        <v>0</v>
      </c>
      <c r="Y217" s="192">
        <v>0</v>
      </c>
      <c r="Z217" s="192">
        <v>0</v>
      </c>
      <c r="AA217" s="192">
        <v>0</v>
      </c>
      <c r="AB217" s="192">
        <v>0</v>
      </c>
      <c r="AC217" s="192">
        <v>0</v>
      </c>
      <c r="AD217" s="192">
        <v>0</v>
      </c>
      <c r="AE217" s="192">
        <v>0</v>
      </c>
      <c r="AF217" s="192">
        <v>0</v>
      </c>
      <c r="AG217" s="192">
        <v>0</v>
      </c>
      <c r="AH217" s="192">
        <v>0</v>
      </c>
      <c r="AI217" s="192">
        <v>0</v>
      </c>
      <c r="AJ217" s="192">
        <v>0</v>
      </c>
      <c r="AK217" s="192">
        <v>0</v>
      </c>
      <c r="AL217" s="192">
        <v>0</v>
      </c>
    </row>
    <row r="218" spans="2:38">
      <c r="B218" s="122" t="str">
        <v>Cenário 20/03/2025 com IFC</v>
      </c>
      <c r="C218" s="448" t="str">
        <v>Operação Geral</v>
      </c>
      <c r="D218" s="149" t="str">
        <v>6</v>
      </c>
      <c r="E218" s="149" t="str">
        <v>6.1.2</v>
      </c>
      <c r="F218" s="149">
        <v>1</v>
      </c>
      <c r="G218" s="149">
        <v>0</v>
      </c>
      <c r="H218" s="267" t="str">
        <v>Video Wall 49"</v>
      </c>
      <c r="I218" s="192">
        <v>1786825.8658912261</v>
      </c>
      <c r="J218" s="192">
        <v>0</v>
      </c>
      <c r="K218" s="192">
        <v>0</v>
      </c>
      <c r="L218" s="192">
        <v>0</v>
      </c>
      <c r="M218" s="192">
        <v>0</v>
      </c>
      <c r="N218" s="192">
        <v>0</v>
      </c>
      <c r="O218" s="192">
        <v>0</v>
      </c>
      <c r="P218" s="192">
        <v>0</v>
      </c>
      <c r="Q218" s="192">
        <v>0</v>
      </c>
      <c r="R218" s="192">
        <v>0</v>
      </c>
      <c r="S218" s="192">
        <v>0</v>
      </c>
      <c r="T218" s="192">
        <v>0</v>
      </c>
      <c r="U218" s="192">
        <v>0</v>
      </c>
      <c r="V218" s="192">
        <v>0</v>
      </c>
      <c r="W218" s="192">
        <v>0</v>
      </c>
      <c r="X218" s="192">
        <v>0</v>
      </c>
      <c r="Y218" s="192">
        <v>0</v>
      </c>
      <c r="Z218" s="192">
        <v>0</v>
      </c>
      <c r="AA218" s="192">
        <v>0</v>
      </c>
      <c r="AB218" s="192">
        <v>0</v>
      </c>
      <c r="AC218" s="192">
        <v>0</v>
      </c>
      <c r="AD218" s="192">
        <v>0</v>
      </c>
      <c r="AE218" s="192">
        <v>0</v>
      </c>
      <c r="AF218" s="192">
        <v>0</v>
      </c>
      <c r="AG218" s="192">
        <v>0</v>
      </c>
      <c r="AH218" s="192">
        <v>0</v>
      </c>
      <c r="AI218" s="192">
        <v>0</v>
      </c>
      <c r="AJ218" s="192">
        <v>0</v>
      </c>
      <c r="AK218" s="192">
        <v>0</v>
      </c>
      <c r="AL218" s="192">
        <v>0</v>
      </c>
    </row>
    <row r="219" spans="2:38">
      <c r="B219" s="122" t="str">
        <v>Cenário 20/03/2025 com IFC</v>
      </c>
      <c r="C219" s="448" t="str">
        <v>Operação Geral</v>
      </c>
      <c r="D219" s="149" t="str">
        <v>6</v>
      </c>
      <c r="E219" s="149" t="str">
        <v>6.1.2</v>
      </c>
      <c r="F219" s="149">
        <v>1</v>
      </c>
      <c r="G219" s="149">
        <v>0</v>
      </c>
      <c r="H219" s="267" t="str">
        <v>Servidor de Gerenciamento/Virtualização</v>
      </c>
      <c r="I219" s="192">
        <v>83053.480910650527</v>
      </c>
      <c r="J219" s="192">
        <v>0</v>
      </c>
      <c r="K219" s="192">
        <v>0</v>
      </c>
      <c r="L219" s="192">
        <v>0</v>
      </c>
      <c r="M219" s="192">
        <v>0</v>
      </c>
      <c r="N219" s="192">
        <v>0</v>
      </c>
      <c r="O219" s="192">
        <v>0</v>
      </c>
      <c r="P219" s="192">
        <v>0</v>
      </c>
      <c r="Q219" s="192">
        <v>0</v>
      </c>
      <c r="R219" s="192">
        <v>0</v>
      </c>
      <c r="S219" s="192">
        <v>0</v>
      </c>
      <c r="T219" s="192">
        <v>0</v>
      </c>
      <c r="U219" s="192">
        <v>0</v>
      </c>
      <c r="V219" s="192">
        <v>0</v>
      </c>
      <c r="W219" s="192">
        <v>0</v>
      </c>
      <c r="X219" s="192">
        <v>0</v>
      </c>
      <c r="Y219" s="192">
        <v>0</v>
      </c>
      <c r="Z219" s="192">
        <v>0</v>
      </c>
      <c r="AA219" s="192">
        <v>0</v>
      </c>
      <c r="AB219" s="192">
        <v>0</v>
      </c>
      <c r="AC219" s="192">
        <v>0</v>
      </c>
      <c r="AD219" s="192">
        <v>0</v>
      </c>
      <c r="AE219" s="192">
        <v>0</v>
      </c>
      <c r="AF219" s="192">
        <v>0</v>
      </c>
      <c r="AG219" s="192">
        <v>0</v>
      </c>
      <c r="AH219" s="192">
        <v>0</v>
      </c>
      <c r="AI219" s="192">
        <v>0</v>
      </c>
      <c r="AJ219" s="192">
        <v>0</v>
      </c>
      <c r="AK219" s="192">
        <v>0</v>
      </c>
      <c r="AL219" s="192">
        <v>0</v>
      </c>
    </row>
    <row r="220" spans="2:38">
      <c r="B220" s="122" t="str">
        <v>Cenário 20/03/2025 com IFC</v>
      </c>
      <c r="C220" s="448" t="str">
        <v>Operação Geral</v>
      </c>
      <c r="D220" s="149" t="str">
        <v>6</v>
      </c>
      <c r="E220" s="149" t="str">
        <v>6.1.2</v>
      </c>
      <c r="F220" s="149">
        <v>1</v>
      </c>
      <c r="G220" s="149">
        <v>0</v>
      </c>
      <c r="H220" s="267" t="str">
        <v>Servidor de Backup</v>
      </c>
      <c r="I220" s="192">
        <v>41526.740455325264</v>
      </c>
      <c r="J220" s="192">
        <v>0</v>
      </c>
      <c r="K220" s="192">
        <v>0</v>
      </c>
      <c r="L220" s="192">
        <v>0</v>
      </c>
      <c r="M220" s="192">
        <v>0</v>
      </c>
      <c r="N220" s="192">
        <v>0</v>
      </c>
      <c r="O220" s="192">
        <v>0</v>
      </c>
      <c r="P220" s="192">
        <v>0</v>
      </c>
      <c r="Q220" s="192">
        <v>0</v>
      </c>
      <c r="R220" s="192">
        <v>0</v>
      </c>
      <c r="S220" s="192">
        <v>0</v>
      </c>
      <c r="T220" s="192">
        <v>0</v>
      </c>
      <c r="U220" s="192">
        <v>0</v>
      </c>
      <c r="V220" s="192">
        <v>0</v>
      </c>
      <c r="W220" s="192">
        <v>0</v>
      </c>
      <c r="X220" s="192">
        <v>0</v>
      </c>
      <c r="Y220" s="192">
        <v>0</v>
      </c>
      <c r="Z220" s="192">
        <v>0</v>
      </c>
      <c r="AA220" s="192">
        <v>0</v>
      </c>
      <c r="AB220" s="192">
        <v>0</v>
      </c>
      <c r="AC220" s="192">
        <v>0</v>
      </c>
      <c r="AD220" s="192">
        <v>0</v>
      </c>
      <c r="AE220" s="192">
        <v>0</v>
      </c>
      <c r="AF220" s="192">
        <v>0</v>
      </c>
      <c r="AG220" s="192">
        <v>0</v>
      </c>
      <c r="AH220" s="192">
        <v>0</v>
      </c>
      <c r="AI220" s="192">
        <v>0</v>
      </c>
      <c r="AJ220" s="192">
        <v>0</v>
      </c>
      <c r="AK220" s="192">
        <v>0</v>
      </c>
      <c r="AL220" s="192">
        <v>0</v>
      </c>
    </row>
    <row r="221" spans="2:38">
      <c r="B221" s="122" t="str">
        <v>Cenário 20/03/2025 com IFC</v>
      </c>
      <c r="C221" s="448" t="str">
        <v>Operação Geral</v>
      </c>
      <c r="D221" s="149" t="str">
        <v>6</v>
      </c>
      <c r="E221" s="149" t="str">
        <v>6.1.2</v>
      </c>
      <c r="F221" s="149">
        <v>1</v>
      </c>
      <c r="G221" s="149">
        <v>0</v>
      </c>
      <c r="H221" s="267" t="str">
        <v>Unidade de Fita para Backup</v>
      </c>
      <c r="I221" s="192">
        <v>40078.891358278852</v>
      </c>
      <c r="J221" s="192">
        <v>0</v>
      </c>
      <c r="K221" s="192">
        <v>0</v>
      </c>
      <c r="L221" s="192">
        <v>0</v>
      </c>
      <c r="M221" s="192">
        <v>0</v>
      </c>
      <c r="N221" s="192">
        <v>0</v>
      </c>
      <c r="O221" s="192">
        <v>0</v>
      </c>
      <c r="P221" s="192">
        <v>0</v>
      </c>
      <c r="Q221" s="192">
        <v>0</v>
      </c>
      <c r="R221" s="192">
        <v>0</v>
      </c>
      <c r="S221" s="192">
        <v>0</v>
      </c>
      <c r="T221" s="192">
        <v>0</v>
      </c>
      <c r="U221" s="192">
        <v>0</v>
      </c>
      <c r="V221" s="192">
        <v>0</v>
      </c>
      <c r="W221" s="192">
        <v>0</v>
      </c>
      <c r="X221" s="192">
        <v>0</v>
      </c>
      <c r="Y221" s="192">
        <v>0</v>
      </c>
      <c r="Z221" s="192">
        <v>0</v>
      </c>
      <c r="AA221" s="192">
        <v>0</v>
      </c>
      <c r="AB221" s="192">
        <v>0</v>
      </c>
      <c r="AC221" s="192">
        <v>0</v>
      </c>
      <c r="AD221" s="192">
        <v>0</v>
      </c>
      <c r="AE221" s="192">
        <v>0</v>
      </c>
      <c r="AF221" s="192">
        <v>0</v>
      </c>
      <c r="AG221" s="192">
        <v>0</v>
      </c>
      <c r="AH221" s="192">
        <v>0</v>
      </c>
      <c r="AI221" s="192">
        <v>0</v>
      </c>
      <c r="AJ221" s="192">
        <v>0</v>
      </c>
      <c r="AK221" s="192">
        <v>0</v>
      </c>
      <c r="AL221" s="192">
        <v>0</v>
      </c>
    </row>
    <row r="222" spans="2:38">
      <c r="B222" s="122" t="str">
        <v>Cenário 20/03/2025 com IFC</v>
      </c>
      <c r="C222" s="448" t="str">
        <v>Operação Geral</v>
      </c>
      <c r="D222" s="149" t="str">
        <v>6</v>
      </c>
      <c r="E222" s="149" t="str">
        <v>6.1.2</v>
      </c>
      <c r="F222" s="149">
        <v>1</v>
      </c>
      <c r="G222" s="149">
        <v>0</v>
      </c>
      <c r="H222" s="267" t="str">
        <v>Servidores</v>
      </c>
      <c r="I222" s="192">
        <v>108997.82429739881</v>
      </c>
      <c r="J222" s="192">
        <v>0</v>
      </c>
      <c r="K222" s="192">
        <v>0</v>
      </c>
      <c r="L222" s="192">
        <v>0</v>
      </c>
      <c r="M222" s="192">
        <v>0</v>
      </c>
      <c r="N222" s="192">
        <v>0</v>
      </c>
      <c r="O222" s="192">
        <v>0</v>
      </c>
      <c r="P222" s="192">
        <v>0</v>
      </c>
      <c r="Q222" s="192">
        <v>0</v>
      </c>
      <c r="R222" s="192">
        <v>0</v>
      </c>
      <c r="S222" s="192">
        <v>0</v>
      </c>
      <c r="T222" s="192">
        <v>0</v>
      </c>
      <c r="U222" s="192">
        <v>0</v>
      </c>
      <c r="V222" s="192">
        <v>0</v>
      </c>
      <c r="W222" s="192">
        <v>0</v>
      </c>
      <c r="X222" s="192">
        <v>0</v>
      </c>
      <c r="Y222" s="192">
        <v>0</v>
      </c>
      <c r="Z222" s="192">
        <v>0</v>
      </c>
      <c r="AA222" s="192">
        <v>0</v>
      </c>
      <c r="AB222" s="192">
        <v>0</v>
      </c>
      <c r="AC222" s="192">
        <v>0</v>
      </c>
      <c r="AD222" s="192">
        <v>0</v>
      </c>
      <c r="AE222" s="192">
        <v>0</v>
      </c>
      <c r="AF222" s="192">
        <v>0</v>
      </c>
      <c r="AG222" s="192">
        <v>0</v>
      </c>
      <c r="AH222" s="192">
        <v>0</v>
      </c>
      <c r="AI222" s="192">
        <v>0</v>
      </c>
      <c r="AJ222" s="192">
        <v>0</v>
      </c>
      <c r="AK222" s="192">
        <v>0</v>
      </c>
      <c r="AL222" s="192">
        <v>0</v>
      </c>
    </row>
    <row r="223" spans="2:38">
      <c r="B223" s="122" t="str">
        <v>Cenário 20/03/2025 com IFC</v>
      </c>
      <c r="C223" s="448" t="str">
        <v>Operação Geral</v>
      </c>
      <c r="D223" s="149" t="str">
        <v>6</v>
      </c>
      <c r="E223" s="149" t="str">
        <v>6.1.2</v>
      </c>
      <c r="F223" s="149">
        <v>0</v>
      </c>
      <c r="G223" s="149">
        <v>0</v>
      </c>
      <c r="H223" s="267" t="str">
        <v>Computador e Periféricos</v>
      </c>
      <c r="I223" s="192">
        <v>0</v>
      </c>
      <c r="J223" s="192">
        <v>0</v>
      </c>
      <c r="K223" s="192">
        <v>0</v>
      </c>
      <c r="L223" s="192">
        <v>0</v>
      </c>
      <c r="M223" s="192">
        <v>0</v>
      </c>
      <c r="N223" s="192">
        <v>0</v>
      </c>
      <c r="O223" s="192">
        <v>0</v>
      </c>
      <c r="P223" s="192">
        <v>0</v>
      </c>
      <c r="Q223" s="192">
        <v>0</v>
      </c>
      <c r="R223" s="192">
        <v>0</v>
      </c>
      <c r="S223" s="192">
        <v>0</v>
      </c>
      <c r="T223" s="192">
        <v>0</v>
      </c>
      <c r="U223" s="192">
        <v>0</v>
      </c>
      <c r="V223" s="192">
        <v>0</v>
      </c>
      <c r="W223" s="192">
        <v>0</v>
      </c>
      <c r="X223" s="192">
        <v>0</v>
      </c>
      <c r="Y223" s="192">
        <v>0</v>
      </c>
      <c r="Z223" s="192">
        <v>0</v>
      </c>
      <c r="AA223" s="192">
        <v>0</v>
      </c>
      <c r="AB223" s="192">
        <v>0</v>
      </c>
      <c r="AC223" s="192">
        <v>0</v>
      </c>
      <c r="AD223" s="192">
        <v>0</v>
      </c>
      <c r="AE223" s="192">
        <v>0</v>
      </c>
      <c r="AF223" s="192">
        <v>0</v>
      </c>
      <c r="AG223" s="192">
        <v>0</v>
      </c>
      <c r="AH223" s="192">
        <v>0</v>
      </c>
      <c r="AI223" s="192">
        <v>0</v>
      </c>
      <c r="AJ223" s="192">
        <v>0</v>
      </c>
      <c r="AK223" s="192">
        <v>0</v>
      </c>
      <c r="AL223" s="192">
        <v>0</v>
      </c>
    </row>
    <row r="224" spans="2:38">
      <c r="B224" s="122" t="str">
        <v>Cenário 20/03/2025 com IFC</v>
      </c>
      <c r="C224" s="448" t="str">
        <v>Operação Geral</v>
      </c>
      <c r="D224" s="149" t="str">
        <v>6</v>
      </c>
      <c r="E224" s="149" t="str">
        <v>6.1.2</v>
      </c>
      <c r="F224" s="149">
        <v>0</v>
      </c>
      <c r="G224" s="149">
        <v>0</v>
      </c>
      <c r="H224" s="267" t="str">
        <v>Impressora Multifuncional - A4</v>
      </c>
      <c r="I224" s="192">
        <v>0</v>
      </c>
      <c r="J224" s="192">
        <v>0</v>
      </c>
      <c r="K224" s="192">
        <v>0</v>
      </c>
      <c r="L224" s="192">
        <v>0</v>
      </c>
      <c r="M224" s="192">
        <v>0</v>
      </c>
      <c r="N224" s="192">
        <v>0</v>
      </c>
      <c r="O224" s="192">
        <v>0</v>
      </c>
      <c r="P224" s="192">
        <v>0</v>
      </c>
      <c r="Q224" s="192">
        <v>0</v>
      </c>
      <c r="R224" s="192">
        <v>0</v>
      </c>
      <c r="S224" s="192">
        <v>0</v>
      </c>
      <c r="T224" s="192">
        <v>0</v>
      </c>
      <c r="U224" s="192">
        <v>0</v>
      </c>
      <c r="V224" s="192">
        <v>0</v>
      </c>
      <c r="W224" s="192">
        <v>0</v>
      </c>
      <c r="X224" s="192">
        <v>0</v>
      </c>
      <c r="Y224" s="192">
        <v>0</v>
      </c>
      <c r="Z224" s="192">
        <v>0</v>
      </c>
      <c r="AA224" s="192">
        <v>0</v>
      </c>
      <c r="AB224" s="192">
        <v>0</v>
      </c>
      <c r="AC224" s="192">
        <v>0</v>
      </c>
      <c r="AD224" s="192">
        <v>0</v>
      </c>
      <c r="AE224" s="192">
        <v>0</v>
      </c>
      <c r="AF224" s="192">
        <v>0</v>
      </c>
      <c r="AG224" s="192">
        <v>0</v>
      </c>
      <c r="AH224" s="192">
        <v>0</v>
      </c>
      <c r="AI224" s="192">
        <v>0</v>
      </c>
      <c r="AJ224" s="192">
        <v>0</v>
      </c>
      <c r="AK224" s="192">
        <v>0</v>
      </c>
      <c r="AL224" s="192">
        <v>0</v>
      </c>
    </row>
    <row r="225" spans="2:38">
      <c r="B225" s="122" t="str">
        <v>Cenário 20/03/2025 com IFC</v>
      </c>
      <c r="C225" s="448" t="str">
        <v>Operação Geral</v>
      </c>
      <c r="D225" s="149" t="str">
        <v>6</v>
      </c>
      <c r="E225" s="149" t="str">
        <v>6.1.2</v>
      </c>
      <c r="F225" s="149">
        <v>0</v>
      </c>
      <c r="G225" s="149">
        <v>0</v>
      </c>
      <c r="H225" s="267" t="str">
        <v>Programas e Sistemas Operacionais</v>
      </c>
      <c r="I225" s="192">
        <v>0</v>
      </c>
      <c r="J225" s="192">
        <v>0</v>
      </c>
      <c r="K225" s="192">
        <v>0</v>
      </c>
      <c r="L225" s="192">
        <v>0</v>
      </c>
      <c r="M225" s="192">
        <v>0</v>
      </c>
      <c r="N225" s="192">
        <v>0</v>
      </c>
      <c r="O225" s="192">
        <v>0</v>
      </c>
      <c r="P225" s="192">
        <v>0</v>
      </c>
      <c r="Q225" s="192">
        <v>0</v>
      </c>
      <c r="R225" s="192">
        <v>0</v>
      </c>
      <c r="S225" s="192">
        <v>0</v>
      </c>
      <c r="T225" s="192">
        <v>0</v>
      </c>
      <c r="U225" s="192">
        <v>0</v>
      </c>
      <c r="V225" s="192">
        <v>0</v>
      </c>
      <c r="W225" s="192">
        <v>0</v>
      </c>
      <c r="X225" s="192">
        <v>0</v>
      </c>
      <c r="Y225" s="192">
        <v>0</v>
      </c>
      <c r="Z225" s="192">
        <v>0</v>
      </c>
      <c r="AA225" s="192">
        <v>0</v>
      </c>
      <c r="AB225" s="192">
        <v>0</v>
      </c>
      <c r="AC225" s="192">
        <v>0</v>
      </c>
      <c r="AD225" s="192">
        <v>0</v>
      </c>
      <c r="AE225" s="192">
        <v>0</v>
      </c>
      <c r="AF225" s="192">
        <v>0</v>
      </c>
      <c r="AG225" s="192">
        <v>0</v>
      </c>
      <c r="AH225" s="192">
        <v>0</v>
      </c>
      <c r="AI225" s="192">
        <v>0</v>
      </c>
      <c r="AJ225" s="192">
        <v>0</v>
      </c>
      <c r="AK225" s="192">
        <v>0</v>
      </c>
      <c r="AL225" s="192">
        <v>0</v>
      </c>
    </row>
    <row r="226" spans="2:38">
      <c r="B226" s="122" t="str">
        <v>Cenário 20/03/2025 com IFC</v>
      </c>
      <c r="C226" s="448" t="str">
        <v>Operação Geral</v>
      </c>
      <c r="D226" s="149" t="str">
        <v>6</v>
      </c>
      <c r="E226" s="149" t="str">
        <v>6.1.2</v>
      </c>
      <c r="F226" s="149">
        <v>0</v>
      </c>
      <c r="G226" s="149">
        <v>0</v>
      </c>
      <c r="H226" s="267" t="str">
        <v>Sistema de Gestão da Operação - KCOR</v>
      </c>
      <c r="I226" s="192">
        <v>0</v>
      </c>
      <c r="J226" s="192">
        <v>0</v>
      </c>
      <c r="K226" s="192">
        <v>0</v>
      </c>
      <c r="L226" s="192">
        <v>0</v>
      </c>
      <c r="M226" s="192">
        <v>0</v>
      </c>
      <c r="N226" s="192">
        <v>0</v>
      </c>
      <c r="O226" s="192">
        <v>0</v>
      </c>
      <c r="P226" s="192">
        <v>0</v>
      </c>
      <c r="Q226" s="192">
        <v>0</v>
      </c>
      <c r="R226" s="192">
        <v>0</v>
      </c>
      <c r="S226" s="192">
        <v>0</v>
      </c>
      <c r="T226" s="192">
        <v>0</v>
      </c>
      <c r="U226" s="192">
        <v>0</v>
      </c>
      <c r="V226" s="192">
        <v>0</v>
      </c>
      <c r="W226" s="192">
        <v>0</v>
      </c>
      <c r="X226" s="192">
        <v>0</v>
      </c>
      <c r="Y226" s="192">
        <v>0</v>
      </c>
      <c r="Z226" s="192">
        <v>0</v>
      </c>
      <c r="AA226" s="192">
        <v>0</v>
      </c>
      <c r="AB226" s="192">
        <v>0</v>
      </c>
      <c r="AC226" s="192">
        <v>0</v>
      </c>
      <c r="AD226" s="192">
        <v>0</v>
      </c>
      <c r="AE226" s="192">
        <v>0</v>
      </c>
      <c r="AF226" s="192">
        <v>0</v>
      </c>
      <c r="AG226" s="192">
        <v>0</v>
      </c>
      <c r="AH226" s="192">
        <v>0</v>
      </c>
      <c r="AI226" s="192">
        <v>0</v>
      </c>
      <c r="AJ226" s="192">
        <v>0</v>
      </c>
      <c r="AK226" s="192">
        <v>0</v>
      </c>
      <c r="AL226" s="192">
        <v>0</v>
      </c>
    </row>
    <row r="227" spans="2:38">
      <c r="B227" s="122" t="str">
        <v>Cenário 20/03/2025 com IFC</v>
      </c>
      <c r="C227" s="448" t="str">
        <v>Operação Geral</v>
      </c>
      <c r="D227" s="149" t="str">
        <v>6</v>
      </c>
      <c r="E227" s="149" t="str">
        <v>6.1.2</v>
      </c>
      <c r="F227" s="149">
        <v>0</v>
      </c>
      <c r="G227" s="149">
        <v>0</v>
      </c>
      <c r="H227" s="267" t="str">
        <v>SIG - Sistema de Informações Georreferenciadas</v>
      </c>
      <c r="I227" s="192">
        <v>184275.62411130866</v>
      </c>
      <c r="J227" s="192">
        <v>0</v>
      </c>
      <c r="K227" s="192">
        <v>0</v>
      </c>
      <c r="L227" s="192">
        <v>0</v>
      </c>
      <c r="M227" s="192">
        <v>0</v>
      </c>
      <c r="N227" s="192">
        <v>0</v>
      </c>
      <c r="O227" s="192">
        <v>0</v>
      </c>
      <c r="P227" s="192">
        <v>0</v>
      </c>
      <c r="Q227" s="192">
        <v>0</v>
      </c>
      <c r="R227" s="192">
        <v>0</v>
      </c>
      <c r="S227" s="192">
        <v>0</v>
      </c>
      <c r="T227" s="192">
        <v>0</v>
      </c>
      <c r="U227" s="192">
        <v>0</v>
      </c>
      <c r="V227" s="192">
        <v>0</v>
      </c>
      <c r="W227" s="192">
        <v>0</v>
      </c>
      <c r="X227" s="192">
        <v>0</v>
      </c>
      <c r="Y227" s="192">
        <v>0</v>
      </c>
      <c r="Z227" s="192">
        <v>0</v>
      </c>
      <c r="AA227" s="192">
        <v>0</v>
      </c>
      <c r="AB227" s="192">
        <v>0</v>
      </c>
      <c r="AC227" s="192">
        <v>0</v>
      </c>
      <c r="AD227" s="192">
        <v>0</v>
      </c>
      <c r="AE227" s="192">
        <v>0</v>
      </c>
      <c r="AF227" s="192">
        <v>0</v>
      </c>
      <c r="AG227" s="192">
        <v>0</v>
      </c>
      <c r="AH227" s="192">
        <v>0</v>
      </c>
      <c r="AI227" s="192">
        <v>0</v>
      </c>
      <c r="AJ227" s="192">
        <v>0</v>
      </c>
      <c r="AK227" s="192">
        <v>0</v>
      </c>
      <c r="AL227" s="192">
        <v>0</v>
      </c>
    </row>
    <row r="228" spans="2:38">
      <c r="B228" s="122" t="str">
        <v>Cenário 20/03/2025 com IFC</v>
      </c>
      <c r="C228" s="448" t="str">
        <v>Operação Geral</v>
      </c>
      <c r="D228" s="149" t="str">
        <v>6</v>
      </c>
      <c r="E228" s="149" t="str">
        <v>6.1.2</v>
      </c>
      <c r="F228" s="149">
        <v>0</v>
      </c>
      <c r="G228" s="149">
        <v>0</v>
      </c>
      <c r="H228" s="267" t="str">
        <v>AutoCAD Civil 3D Autodesk</v>
      </c>
      <c r="I228" s="192">
        <v>89563.520000000004</v>
      </c>
      <c r="J228" s="192">
        <v>0</v>
      </c>
      <c r="K228" s="192">
        <v>0</v>
      </c>
      <c r="L228" s="192">
        <v>0</v>
      </c>
      <c r="M228" s="192">
        <v>0</v>
      </c>
      <c r="N228" s="192">
        <v>0</v>
      </c>
      <c r="O228" s="192">
        <v>44781.760000000002</v>
      </c>
      <c r="P228" s="192">
        <v>0</v>
      </c>
      <c r="Q228" s="192">
        <v>0</v>
      </c>
      <c r="R228" s="192">
        <v>0</v>
      </c>
      <c r="S228" s="192">
        <v>0</v>
      </c>
      <c r="T228" s="192">
        <v>0</v>
      </c>
      <c r="U228" s="192">
        <v>0</v>
      </c>
      <c r="V228" s="192">
        <v>0</v>
      </c>
      <c r="W228" s="192">
        <v>0</v>
      </c>
      <c r="X228" s="192">
        <v>0</v>
      </c>
      <c r="Y228" s="192">
        <v>0</v>
      </c>
      <c r="Z228" s="192">
        <v>0</v>
      </c>
      <c r="AA228" s="192">
        <v>0</v>
      </c>
      <c r="AB228" s="192">
        <v>0</v>
      </c>
      <c r="AC228" s="192">
        <v>0</v>
      </c>
      <c r="AD228" s="192">
        <v>0</v>
      </c>
      <c r="AE228" s="192">
        <v>0</v>
      </c>
      <c r="AF228" s="192">
        <v>0</v>
      </c>
      <c r="AG228" s="192">
        <v>0</v>
      </c>
      <c r="AH228" s="192">
        <v>0</v>
      </c>
      <c r="AI228" s="192">
        <v>0</v>
      </c>
      <c r="AJ228" s="192">
        <v>0</v>
      </c>
      <c r="AK228" s="192">
        <v>0</v>
      </c>
      <c r="AL228" s="192">
        <v>0</v>
      </c>
    </row>
    <row r="229" spans="2:38">
      <c r="B229" s="122" t="str">
        <v>Cenário 20/03/2025 com IFC</v>
      </c>
      <c r="C229" s="448" t="str">
        <v>Operação Geral</v>
      </c>
      <c r="D229" s="149" t="str">
        <v>6</v>
      </c>
      <c r="E229" s="149" t="str">
        <v>6.1.2</v>
      </c>
      <c r="F229" s="149">
        <v>0</v>
      </c>
      <c r="G229" s="149">
        <v>0</v>
      </c>
      <c r="H229" s="267" t="str">
        <v>ARCGIS - Sistema de Informações Geográficas</v>
      </c>
      <c r="I229" s="192">
        <v>23927.936514118792</v>
      </c>
      <c r="J229" s="192">
        <v>0</v>
      </c>
      <c r="K229" s="192">
        <v>0</v>
      </c>
      <c r="L229" s="192">
        <v>0</v>
      </c>
      <c r="M229" s="192">
        <v>0</v>
      </c>
      <c r="N229" s="192">
        <v>0</v>
      </c>
      <c r="O229" s="192">
        <v>0</v>
      </c>
      <c r="P229" s="192">
        <v>0</v>
      </c>
      <c r="Q229" s="192">
        <v>0</v>
      </c>
      <c r="R229" s="192">
        <v>0</v>
      </c>
      <c r="S229" s="192">
        <v>0</v>
      </c>
      <c r="T229" s="192">
        <v>0</v>
      </c>
      <c r="U229" s="192">
        <v>0</v>
      </c>
      <c r="V229" s="192">
        <v>0</v>
      </c>
      <c r="W229" s="192">
        <v>0</v>
      </c>
      <c r="X229" s="192">
        <v>0</v>
      </c>
      <c r="Y229" s="192">
        <v>0</v>
      </c>
      <c r="Z229" s="192">
        <v>0</v>
      </c>
      <c r="AA229" s="192">
        <v>0</v>
      </c>
      <c r="AB229" s="192">
        <v>0</v>
      </c>
      <c r="AC229" s="192">
        <v>0</v>
      </c>
      <c r="AD229" s="192">
        <v>0</v>
      </c>
      <c r="AE229" s="192">
        <v>0</v>
      </c>
      <c r="AF229" s="192">
        <v>0</v>
      </c>
      <c r="AG229" s="192">
        <v>0</v>
      </c>
      <c r="AH229" s="192">
        <v>0</v>
      </c>
      <c r="AI229" s="192">
        <v>0</v>
      </c>
      <c r="AJ229" s="192">
        <v>0</v>
      </c>
      <c r="AK229" s="192">
        <v>0</v>
      </c>
      <c r="AL229" s="192">
        <v>0</v>
      </c>
    </row>
    <row r="230" spans="2:38">
      <c r="B230" s="122" t="str">
        <v>Cenário 20/03/2025 com IFC</v>
      </c>
      <c r="C230" s="448" t="str">
        <v>Operação Geral</v>
      </c>
      <c r="D230" s="149" t="str">
        <v>6</v>
      </c>
      <c r="E230" s="149" t="str">
        <v>6.1.2</v>
      </c>
      <c r="F230" s="149">
        <v>0</v>
      </c>
      <c r="G230" s="149">
        <v>0</v>
      </c>
      <c r="H230" s="267" t="str">
        <v>Sistema de Comunicação com os Usuários</v>
      </c>
      <c r="I230" s="192">
        <v>0</v>
      </c>
      <c r="J230" s="192">
        <v>0</v>
      </c>
      <c r="K230" s="192">
        <v>0</v>
      </c>
      <c r="L230" s="192">
        <v>0</v>
      </c>
      <c r="M230" s="192">
        <v>0</v>
      </c>
      <c r="N230" s="192">
        <v>0</v>
      </c>
      <c r="O230" s="192">
        <v>0</v>
      </c>
      <c r="P230" s="192">
        <v>0</v>
      </c>
      <c r="Q230" s="192">
        <v>0</v>
      </c>
      <c r="R230" s="192">
        <v>0</v>
      </c>
      <c r="S230" s="192">
        <v>0</v>
      </c>
      <c r="T230" s="192">
        <v>0</v>
      </c>
      <c r="U230" s="192">
        <v>0</v>
      </c>
      <c r="V230" s="192">
        <v>0</v>
      </c>
      <c r="W230" s="192">
        <v>0</v>
      </c>
      <c r="X230" s="192">
        <v>0</v>
      </c>
      <c r="Y230" s="192">
        <v>0</v>
      </c>
      <c r="Z230" s="192">
        <v>0</v>
      </c>
      <c r="AA230" s="192">
        <v>0</v>
      </c>
      <c r="AB230" s="192">
        <v>0</v>
      </c>
      <c r="AC230" s="192">
        <v>0</v>
      </c>
      <c r="AD230" s="192">
        <v>0</v>
      </c>
      <c r="AE230" s="192">
        <v>0</v>
      </c>
      <c r="AF230" s="192">
        <v>0</v>
      </c>
      <c r="AG230" s="192">
        <v>0</v>
      </c>
      <c r="AH230" s="192">
        <v>0</v>
      </c>
      <c r="AI230" s="192">
        <v>0</v>
      </c>
      <c r="AJ230" s="192">
        <v>0</v>
      </c>
      <c r="AK230" s="192">
        <v>0</v>
      </c>
      <c r="AL230" s="192">
        <v>0</v>
      </c>
    </row>
    <row r="231" spans="2:38">
      <c r="B231" s="122" t="str">
        <v>Cenário 20/03/2025 com IFC</v>
      </c>
      <c r="C231" s="448" t="str">
        <v>Operação Geral</v>
      </c>
      <c r="D231" s="149" t="str">
        <v>6</v>
      </c>
      <c r="E231" s="149" t="str">
        <v>6.1.2</v>
      </c>
      <c r="F231" s="149">
        <v>0</v>
      </c>
      <c r="G231" s="149">
        <v>0</v>
      </c>
      <c r="H231" s="267" t="str">
        <v>Sistema 0800 - CCO</v>
      </c>
      <c r="I231" s="192">
        <v>1980650.9724218692</v>
      </c>
      <c r="J231" s="192">
        <v>0</v>
      </c>
      <c r="K231" s="192">
        <v>0</v>
      </c>
      <c r="L231" s="192">
        <v>0</v>
      </c>
      <c r="M231" s="192">
        <v>0</v>
      </c>
      <c r="N231" s="192">
        <v>0</v>
      </c>
      <c r="O231" s="192">
        <v>0</v>
      </c>
      <c r="P231" s="192">
        <v>0</v>
      </c>
      <c r="Q231" s="192">
        <v>0</v>
      </c>
      <c r="R231" s="192">
        <v>0</v>
      </c>
      <c r="S231" s="192">
        <v>0</v>
      </c>
      <c r="T231" s="192">
        <v>0</v>
      </c>
      <c r="U231" s="192">
        <v>0</v>
      </c>
      <c r="V231" s="192">
        <v>0</v>
      </c>
      <c r="W231" s="192">
        <v>0</v>
      </c>
      <c r="X231" s="192">
        <v>0</v>
      </c>
      <c r="Y231" s="192">
        <v>0</v>
      </c>
      <c r="Z231" s="192">
        <v>0</v>
      </c>
      <c r="AA231" s="192">
        <v>0</v>
      </c>
      <c r="AB231" s="192">
        <v>0</v>
      </c>
      <c r="AC231" s="192">
        <v>0</v>
      </c>
      <c r="AD231" s="192">
        <v>0</v>
      </c>
      <c r="AE231" s="192">
        <v>0</v>
      </c>
      <c r="AF231" s="192">
        <v>0</v>
      </c>
      <c r="AG231" s="192">
        <v>0</v>
      </c>
      <c r="AH231" s="192">
        <v>0</v>
      </c>
      <c r="AI231" s="192">
        <v>0</v>
      </c>
      <c r="AJ231" s="192">
        <v>0</v>
      </c>
      <c r="AK231" s="192">
        <v>0</v>
      </c>
      <c r="AL231" s="192">
        <v>0</v>
      </c>
    </row>
    <row r="232" spans="2:38">
      <c r="B232" s="122" t="str">
        <v>Cenário 20/03/2025 com IFC</v>
      </c>
      <c r="C232" s="448" t="str">
        <v>Operação Geral</v>
      </c>
      <c r="D232" s="149" t="str">
        <v>6</v>
      </c>
      <c r="E232" s="149" t="str">
        <v>6.1.2</v>
      </c>
      <c r="F232" s="149">
        <v>0</v>
      </c>
      <c r="G232" s="149">
        <v>0</v>
      </c>
      <c r="H232" s="267" t="str">
        <v>Equipamentos de Pista</v>
      </c>
      <c r="I232" s="192">
        <v>0</v>
      </c>
      <c r="J232" s="192">
        <v>0</v>
      </c>
      <c r="K232" s="192">
        <v>0</v>
      </c>
      <c r="L232" s="192">
        <v>0</v>
      </c>
      <c r="M232" s="192">
        <v>0</v>
      </c>
      <c r="N232" s="192">
        <v>0</v>
      </c>
      <c r="O232" s="192">
        <v>0</v>
      </c>
      <c r="P232" s="192">
        <v>0</v>
      </c>
      <c r="Q232" s="192">
        <v>0</v>
      </c>
      <c r="R232" s="192">
        <v>0</v>
      </c>
      <c r="S232" s="192">
        <v>0</v>
      </c>
      <c r="T232" s="192">
        <v>0</v>
      </c>
      <c r="U232" s="192">
        <v>0</v>
      </c>
      <c r="V232" s="192">
        <v>0</v>
      </c>
      <c r="W232" s="192">
        <v>0</v>
      </c>
      <c r="X232" s="192">
        <v>0</v>
      </c>
      <c r="Y232" s="192">
        <v>0</v>
      </c>
      <c r="Z232" s="192">
        <v>0</v>
      </c>
      <c r="AA232" s="192">
        <v>0</v>
      </c>
      <c r="AB232" s="192">
        <v>0</v>
      </c>
      <c r="AC232" s="192">
        <v>0</v>
      </c>
      <c r="AD232" s="192">
        <v>0</v>
      </c>
      <c r="AE232" s="192">
        <v>0</v>
      </c>
      <c r="AF232" s="192">
        <v>0</v>
      </c>
      <c r="AG232" s="192">
        <v>0</v>
      </c>
      <c r="AH232" s="192">
        <v>0</v>
      </c>
      <c r="AI232" s="192">
        <v>0</v>
      </c>
      <c r="AJ232" s="192">
        <v>0</v>
      </c>
      <c r="AK232" s="192">
        <v>0</v>
      </c>
      <c r="AL232" s="192">
        <v>0</v>
      </c>
    </row>
    <row r="233" spans="2:38">
      <c r="B233" s="122" t="str">
        <v>Cenário 20/03/2025 com IFC</v>
      </c>
      <c r="C233" s="448" t="str">
        <v>Operação Geral</v>
      </c>
      <c r="D233" s="149" t="str">
        <v>6</v>
      </c>
      <c r="E233" s="149" t="str">
        <v>6.1.2</v>
      </c>
      <c r="F233" s="149">
        <v>0</v>
      </c>
      <c r="G233" s="149">
        <v>0</v>
      </c>
      <c r="H233" s="267" t="str">
        <v>Rede, Sistema, Equipamentos e instalação de Fibra Óptica (72 Fibras)  -</v>
      </c>
      <c r="I233" s="192">
        <v>0</v>
      </c>
      <c r="J233" s="192">
        <v>0</v>
      </c>
      <c r="K233" s="192">
        <v>0</v>
      </c>
      <c r="L233" s="192">
        <v>0</v>
      </c>
      <c r="M233" s="192">
        <v>0</v>
      </c>
      <c r="N233" s="192">
        <v>0</v>
      </c>
      <c r="O233" s="192">
        <v>0</v>
      </c>
      <c r="P233" s="192">
        <v>0</v>
      </c>
      <c r="Q233" s="192">
        <v>0</v>
      </c>
      <c r="R233" s="192">
        <v>0</v>
      </c>
      <c r="S233" s="192">
        <v>0</v>
      </c>
      <c r="T233" s="192">
        <v>0</v>
      </c>
      <c r="U233" s="192">
        <v>0</v>
      </c>
      <c r="V233" s="192">
        <v>0</v>
      </c>
      <c r="W233" s="192">
        <v>0</v>
      </c>
      <c r="X233" s="192">
        <v>0</v>
      </c>
      <c r="Y233" s="192">
        <v>0</v>
      </c>
      <c r="Z233" s="192">
        <v>0</v>
      </c>
      <c r="AA233" s="192">
        <v>0</v>
      </c>
      <c r="AB233" s="192">
        <v>0</v>
      </c>
      <c r="AC233" s="192">
        <v>0</v>
      </c>
      <c r="AD233" s="192">
        <v>0</v>
      </c>
      <c r="AE233" s="192">
        <v>0</v>
      </c>
      <c r="AF233" s="192">
        <v>0</v>
      </c>
      <c r="AG233" s="192">
        <v>0</v>
      </c>
      <c r="AH233" s="192">
        <v>0</v>
      </c>
      <c r="AI233" s="192">
        <v>0</v>
      </c>
      <c r="AJ233" s="192">
        <v>0</v>
      </c>
      <c r="AK233" s="192">
        <v>0</v>
      </c>
      <c r="AL233" s="192">
        <v>0</v>
      </c>
    </row>
    <row r="234" spans="2:38">
      <c r="B234" s="122" t="str">
        <v>Cenário 20/03/2025 com IFC</v>
      </c>
      <c r="C234" s="448" t="str">
        <v>Operação Geral</v>
      </c>
      <c r="D234" s="149" t="str">
        <v>6</v>
      </c>
      <c r="E234" s="149" t="str">
        <v>6.1.2</v>
      </c>
      <c r="F234" s="149">
        <v>0</v>
      </c>
      <c r="G234" s="149">
        <v>0</v>
      </c>
      <c r="H234" s="267" t="str">
        <v>Wi-Fi</v>
      </c>
      <c r="I234" s="192">
        <v>0</v>
      </c>
      <c r="J234" s="192">
        <v>0</v>
      </c>
      <c r="K234" s="192">
        <v>0</v>
      </c>
      <c r="L234" s="192">
        <v>0</v>
      </c>
      <c r="M234" s="192">
        <v>0</v>
      </c>
      <c r="N234" s="192">
        <v>0</v>
      </c>
      <c r="O234" s="192">
        <v>0</v>
      </c>
      <c r="P234" s="192">
        <v>0</v>
      </c>
      <c r="Q234" s="192">
        <v>0</v>
      </c>
      <c r="R234" s="192">
        <v>0</v>
      </c>
      <c r="S234" s="192">
        <v>0</v>
      </c>
      <c r="T234" s="192">
        <v>0</v>
      </c>
      <c r="U234" s="192">
        <v>0</v>
      </c>
      <c r="V234" s="192">
        <v>0</v>
      </c>
      <c r="W234" s="192">
        <v>0</v>
      </c>
      <c r="X234" s="192">
        <v>0</v>
      </c>
      <c r="Y234" s="192">
        <v>0</v>
      </c>
      <c r="Z234" s="192">
        <v>0</v>
      </c>
      <c r="AA234" s="192">
        <v>0</v>
      </c>
      <c r="AB234" s="192">
        <v>0</v>
      </c>
      <c r="AC234" s="192">
        <v>0</v>
      </c>
      <c r="AD234" s="192">
        <v>0</v>
      </c>
      <c r="AE234" s="192">
        <v>0</v>
      </c>
      <c r="AF234" s="192">
        <v>0</v>
      </c>
      <c r="AG234" s="192">
        <v>0</v>
      </c>
      <c r="AH234" s="192">
        <v>0</v>
      </c>
      <c r="AI234" s="192">
        <v>0</v>
      </c>
      <c r="AJ234" s="192">
        <v>0</v>
      </c>
      <c r="AK234" s="192">
        <v>0</v>
      </c>
      <c r="AL234" s="192">
        <v>0</v>
      </c>
    </row>
    <row r="235" spans="2:38">
      <c r="B235" s="122" t="str">
        <v>Cenário 20/03/2025 com IFC</v>
      </c>
      <c r="C235" s="448" t="str">
        <v>Operação Geral</v>
      </c>
      <c r="D235" s="149" t="str">
        <v>6</v>
      </c>
      <c r="E235" s="149" t="str">
        <v>6.1.2</v>
      </c>
      <c r="F235" s="149">
        <v>0</v>
      </c>
      <c r="G235" s="149">
        <v>0</v>
      </c>
      <c r="H235" s="267" t="str">
        <v>Call Box</v>
      </c>
      <c r="I235" s="192">
        <v>0</v>
      </c>
      <c r="J235" s="192">
        <v>0</v>
      </c>
      <c r="K235" s="192">
        <v>0</v>
      </c>
      <c r="L235" s="192">
        <v>0</v>
      </c>
      <c r="M235" s="192">
        <v>0</v>
      </c>
      <c r="N235" s="192">
        <v>0</v>
      </c>
      <c r="O235" s="192">
        <v>0</v>
      </c>
      <c r="P235" s="192">
        <v>0</v>
      </c>
      <c r="Q235" s="192">
        <v>0</v>
      </c>
      <c r="R235" s="192">
        <v>0</v>
      </c>
      <c r="S235" s="192">
        <v>0</v>
      </c>
      <c r="T235" s="192">
        <v>0</v>
      </c>
      <c r="U235" s="192">
        <v>0</v>
      </c>
      <c r="V235" s="192">
        <v>0</v>
      </c>
      <c r="W235" s="192">
        <v>0</v>
      </c>
      <c r="X235" s="192">
        <v>0</v>
      </c>
      <c r="Y235" s="192">
        <v>0</v>
      </c>
      <c r="Z235" s="192">
        <v>0</v>
      </c>
      <c r="AA235" s="192">
        <v>0</v>
      </c>
      <c r="AB235" s="192">
        <v>0</v>
      </c>
      <c r="AC235" s="192">
        <v>0</v>
      </c>
      <c r="AD235" s="192">
        <v>0</v>
      </c>
      <c r="AE235" s="192">
        <v>0</v>
      </c>
      <c r="AF235" s="192">
        <v>0</v>
      </c>
      <c r="AG235" s="192">
        <v>0</v>
      </c>
      <c r="AH235" s="192">
        <v>0</v>
      </c>
      <c r="AI235" s="192">
        <v>0</v>
      </c>
      <c r="AJ235" s="192">
        <v>0</v>
      </c>
      <c r="AK235" s="192">
        <v>0</v>
      </c>
      <c r="AL235" s="192">
        <v>0</v>
      </c>
    </row>
    <row r="236" spans="2:38">
      <c r="B236" s="122" t="str">
        <v>Cenário 20/03/2025 com IFC</v>
      </c>
      <c r="C236" s="448" t="str">
        <v>Operação Geral</v>
      </c>
      <c r="D236" s="149" t="str">
        <v>6</v>
      </c>
      <c r="E236" s="149" t="str">
        <v>6.1.2</v>
      </c>
      <c r="F236" s="149">
        <v>0</v>
      </c>
      <c r="G236" s="149">
        <v>0</v>
      </c>
      <c r="H236" s="267" t="str">
        <v>Sistema de Monitoração de Tráfego</v>
      </c>
      <c r="I236" s="192">
        <v>0</v>
      </c>
      <c r="J236" s="192">
        <v>0</v>
      </c>
      <c r="K236" s="192">
        <v>0</v>
      </c>
      <c r="L236" s="192">
        <v>0</v>
      </c>
      <c r="M236" s="192">
        <v>0</v>
      </c>
      <c r="N236" s="192">
        <v>0</v>
      </c>
      <c r="O236" s="192">
        <v>0</v>
      </c>
      <c r="P236" s="192">
        <v>0</v>
      </c>
      <c r="Q236" s="192">
        <v>0</v>
      </c>
      <c r="R236" s="192">
        <v>0</v>
      </c>
      <c r="S236" s="192">
        <v>0</v>
      </c>
      <c r="T236" s="192">
        <v>0</v>
      </c>
      <c r="U236" s="192">
        <v>0</v>
      </c>
      <c r="V236" s="192">
        <v>0</v>
      </c>
      <c r="W236" s="192">
        <v>0</v>
      </c>
      <c r="X236" s="192">
        <v>0</v>
      </c>
      <c r="Y236" s="192">
        <v>0</v>
      </c>
      <c r="Z236" s="192">
        <v>0</v>
      </c>
      <c r="AA236" s="192">
        <v>0</v>
      </c>
      <c r="AB236" s="192">
        <v>0</v>
      </c>
      <c r="AC236" s="192">
        <v>0</v>
      </c>
      <c r="AD236" s="192">
        <v>0</v>
      </c>
      <c r="AE236" s="192">
        <v>0</v>
      </c>
      <c r="AF236" s="192">
        <v>0</v>
      </c>
      <c r="AG236" s="192">
        <v>0</v>
      </c>
      <c r="AH236" s="192">
        <v>0</v>
      </c>
      <c r="AI236" s="192">
        <v>0</v>
      </c>
      <c r="AJ236" s="192">
        <v>0</v>
      </c>
      <c r="AK236" s="192">
        <v>0</v>
      </c>
      <c r="AL236" s="192">
        <v>0</v>
      </c>
    </row>
    <row r="237" spans="2:38">
      <c r="B237" s="122" t="str">
        <v>Cenário 20/03/2025 com IFC</v>
      </c>
      <c r="C237" s="448" t="str">
        <v>Operação Geral</v>
      </c>
      <c r="D237" s="149" t="str">
        <v>6</v>
      </c>
      <c r="E237" s="149" t="str">
        <v>6.1.2</v>
      </c>
      <c r="F237" s="149">
        <v>0</v>
      </c>
      <c r="G237" s="149">
        <v>0</v>
      </c>
      <c r="H237" s="267" t="str">
        <v>Equipamentos de Detecção e Sensoriamento de Pista</v>
      </c>
      <c r="I237" s="192">
        <v>0</v>
      </c>
      <c r="J237" s="192">
        <v>0</v>
      </c>
      <c r="K237" s="192">
        <v>0</v>
      </c>
      <c r="L237" s="192">
        <v>0</v>
      </c>
      <c r="M237" s="192">
        <v>0</v>
      </c>
      <c r="N237" s="192">
        <v>0</v>
      </c>
      <c r="O237" s="192">
        <v>0</v>
      </c>
      <c r="P237" s="192">
        <v>0</v>
      </c>
      <c r="Q237" s="192">
        <v>0</v>
      </c>
      <c r="R237" s="192">
        <v>0</v>
      </c>
      <c r="S237" s="192">
        <v>0</v>
      </c>
      <c r="T237" s="192">
        <v>0</v>
      </c>
      <c r="U237" s="192">
        <v>0</v>
      </c>
      <c r="V237" s="192">
        <v>0</v>
      </c>
      <c r="W237" s="192">
        <v>0</v>
      </c>
      <c r="X237" s="192">
        <v>0</v>
      </c>
      <c r="Y237" s="192">
        <v>0</v>
      </c>
      <c r="Z237" s="192">
        <v>0</v>
      </c>
      <c r="AA237" s="192">
        <v>0</v>
      </c>
      <c r="AB237" s="192">
        <v>0</v>
      </c>
      <c r="AC237" s="192">
        <v>0</v>
      </c>
      <c r="AD237" s="192">
        <v>0</v>
      </c>
      <c r="AE237" s="192">
        <v>0</v>
      </c>
      <c r="AF237" s="192">
        <v>0</v>
      </c>
      <c r="AG237" s="192">
        <v>0</v>
      </c>
      <c r="AH237" s="192">
        <v>0</v>
      </c>
      <c r="AI237" s="192">
        <v>0</v>
      </c>
      <c r="AJ237" s="192">
        <v>0</v>
      </c>
      <c r="AK237" s="192">
        <v>0</v>
      </c>
      <c r="AL237" s="192">
        <v>0</v>
      </c>
    </row>
    <row r="238" spans="2:38">
      <c r="B238" s="122" t="str">
        <v>Cenário 20/03/2025 com IFC</v>
      </c>
      <c r="C238" s="448" t="str">
        <v>Operação Geral</v>
      </c>
      <c r="D238" s="149" t="str">
        <v>6</v>
      </c>
      <c r="E238" s="149" t="str">
        <v>6.1.2</v>
      </c>
      <c r="F238" s="149">
        <v>0</v>
      </c>
      <c r="G238" s="149">
        <v>0</v>
      </c>
      <c r="H238" s="267" t="str">
        <v>Sistema de Sensoriamento de Tráfego</v>
      </c>
      <c r="I238" s="192">
        <v>0</v>
      </c>
      <c r="J238" s="192">
        <v>2968301.5950919311</v>
      </c>
      <c r="K238" s="192">
        <v>0</v>
      </c>
      <c r="L238" s="192">
        <v>0</v>
      </c>
      <c r="M238" s="192">
        <v>0</v>
      </c>
      <c r="N238" s="192">
        <v>0</v>
      </c>
      <c r="O238" s="192">
        <v>0</v>
      </c>
      <c r="P238" s="192">
        <v>0</v>
      </c>
      <c r="Q238" s="192">
        <v>0</v>
      </c>
      <c r="R238" s="192">
        <v>0</v>
      </c>
      <c r="S238" s="192">
        <v>0</v>
      </c>
      <c r="T238" s="192">
        <v>0</v>
      </c>
      <c r="U238" s="192">
        <v>0</v>
      </c>
      <c r="V238" s="192">
        <v>0</v>
      </c>
      <c r="W238" s="192">
        <v>0</v>
      </c>
      <c r="X238" s="192">
        <v>0</v>
      </c>
      <c r="Y238" s="192">
        <v>0</v>
      </c>
      <c r="Z238" s="192">
        <v>0</v>
      </c>
      <c r="AA238" s="192">
        <v>0</v>
      </c>
      <c r="AB238" s="192">
        <v>0</v>
      </c>
      <c r="AC238" s="192">
        <v>0</v>
      </c>
      <c r="AD238" s="192">
        <v>0</v>
      </c>
      <c r="AE238" s="192">
        <v>0</v>
      </c>
      <c r="AF238" s="192">
        <v>0</v>
      </c>
      <c r="AG238" s="192">
        <v>0</v>
      </c>
      <c r="AH238" s="192">
        <v>0</v>
      </c>
      <c r="AI238" s="192">
        <v>0</v>
      </c>
      <c r="AJ238" s="192">
        <v>0</v>
      </c>
      <c r="AK238" s="192">
        <v>0</v>
      </c>
      <c r="AL238" s="192">
        <v>0</v>
      </c>
    </row>
    <row r="239" spans="2:38">
      <c r="B239" s="122" t="str">
        <v>Cenário 20/03/2025 com IFC</v>
      </c>
      <c r="C239" s="448" t="str">
        <v>Operação Geral</v>
      </c>
      <c r="D239" s="149" t="str">
        <v>6</v>
      </c>
      <c r="E239" s="149" t="str">
        <v>6.1.2</v>
      </c>
      <c r="F239" s="149">
        <v>0</v>
      </c>
      <c r="G239" s="149">
        <v>0</v>
      </c>
      <c r="H239" s="267" t="str">
        <v>Sensoriamento Automático de Tráfego (c/ pesagem)</v>
      </c>
      <c r="I239" s="192">
        <v>0</v>
      </c>
      <c r="J239" s="192">
        <v>172425.71238466175</v>
      </c>
      <c r="K239" s="192">
        <v>0</v>
      </c>
      <c r="L239" s="192">
        <v>0</v>
      </c>
      <c r="M239" s="192">
        <v>0</v>
      </c>
      <c r="N239" s="192">
        <v>0</v>
      </c>
      <c r="O239" s="192">
        <v>0</v>
      </c>
      <c r="P239" s="192">
        <v>0</v>
      </c>
      <c r="Q239" s="192">
        <v>0</v>
      </c>
      <c r="R239" s="192">
        <v>0</v>
      </c>
      <c r="S239" s="192">
        <v>0</v>
      </c>
      <c r="T239" s="192">
        <v>0</v>
      </c>
      <c r="U239" s="192">
        <v>0</v>
      </c>
      <c r="V239" s="192">
        <v>0</v>
      </c>
      <c r="W239" s="192">
        <v>0</v>
      </c>
      <c r="X239" s="192">
        <v>0</v>
      </c>
      <c r="Y239" s="192">
        <v>0</v>
      </c>
      <c r="Z239" s="192">
        <v>0</v>
      </c>
      <c r="AA239" s="192">
        <v>0</v>
      </c>
      <c r="AB239" s="192">
        <v>0</v>
      </c>
      <c r="AC239" s="192">
        <v>0</v>
      </c>
      <c r="AD239" s="192">
        <v>0</v>
      </c>
      <c r="AE239" s="192">
        <v>0</v>
      </c>
      <c r="AF239" s="192">
        <v>0</v>
      </c>
      <c r="AG239" s="192">
        <v>0</v>
      </c>
      <c r="AH239" s="192">
        <v>0</v>
      </c>
      <c r="AI239" s="192">
        <v>0</v>
      </c>
      <c r="AJ239" s="192">
        <v>0</v>
      </c>
      <c r="AK239" s="192">
        <v>0</v>
      </c>
      <c r="AL239" s="192">
        <v>0</v>
      </c>
    </row>
    <row r="240" spans="2:38">
      <c r="B240" s="122" t="str">
        <v>Cenário 20/03/2025 com IFC</v>
      </c>
      <c r="C240" s="448" t="str">
        <v>Operação Geral</v>
      </c>
      <c r="D240" s="149" t="str">
        <v>6</v>
      </c>
      <c r="E240" s="149" t="str">
        <v>6.1.2</v>
      </c>
      <c r="F240" s="149">
        <v>0</v>
      </c>
      <c r="G240" s="149">
        <v>0</v>
      </c>
      <c r="H240" s="267" t="str">
        <v>Detecção de Altura</v>
      </c>
      <c r="I240" s="192">
        <v>0</v>
      </c>
      <c r="J240" s="192">
        <v>1213932.3398348638</v>
      </c>
      <c r="K240" s="192">
        <v>0</v>
      </c>
      <c r="L240" s="192">
        <v>0</v>
      </c>
      <c r="M240" s="192">
        <v>0</v>
      </c>
      <c r="N240" s="192">
        <v>0</v>
      </c>
      <c r="O240" s="192">
        <v>0</v>
      </c>
      <c r="P240" s="192">
        <v>0</v>
      </c>
      <c r="Q240" s="192">
        <v>0</v>
      </c>
      <c r="R240" s="192">
        <v>0</v>
      </c>
      <c r="S240" s="192">
        <v>0</v>
      </c>
      <c r="T240" s="192">
        <v>0</v>
      </c>
      <c r="U240" s="192">
        <v>0</v>
      </c>
      <c r="V240" s="192">
        <v>0</v>
      </c>
      <c r="W240" s="192">
        <v>0</v>
      </c>
      <c r="X240" s="192">
        <v>0</v>
      </c>
      <c r="Y240" s="192">
        <v>0</v>
      </c>
      <c r="Z240" s="192">
        <v>0</v>
      </c>
      <c r="AA240" s="192">
        <v>0</v>
      </c>
      <c r="AB240" s="192">
        <v>0</v>
      </c>
      <c r="AC240" s="192">
        <v>0</v>
      </c>
      <c r="AD240" s="192">
        <v>0</v>
      </c>
      <c r="AE240" s="192">
        <v>0</v>
      </c>
      <c r="AF240" s="192">
        <v>0</v>
      </c>
      <c r="AG240" s="192">
        <v>0</v>
      </c>
      <c r="AH240" s="192">
        <v>0</v>
      </c>
      <c r="AI240" s="192">
        <v>0</v>
      </c>
      <c r="AJ240" s="192">
        <v>0</v>
      </c>
      <c r="AK240" s="192">
        <v>0</v>
      </c>
      <c r="AL240" s="192">
        <v>0</v>
      </c>
    </row>
    <row r="241" spans="2:38">
      <c r="B241" s="122" t="str">
        <v>Cenário 20/03/2025 com IFC</v>
      </c>
      <c r="C241" s="448" t="str">
        <v>Operação Geral</v>
      </c>
      <c r="D241" s="149" t="str">
        <v>6</v>
      </c>
      <c r="E241" s="149" t="str">
        <v>6.1.2</v>
      </c>
      <c r="F241" s="149">
        <v>0</v>
      </c>
      <c r="G241" s="149">
        <v>0</v>
      </c>
      <c r="H241" s="267" t="str">
        <v>Sistema de Circuito fechado de TV</v>
      </c>
      <c r="I241" s="192">
        <v>0</v>
      </c>
      <c r="J241" s="192">
        <v>0</v>
      </c>
      <c r="K241" s="192">
        <v>0</v>
      </c>
      <c r="L241" s="192">
        <v>0</v>
      </c>
      <c r="M241" s="192">
        <v>0</v>
      </c>
      <c r="N241" s="192">
        <v>0</v>
      </c>
      <c r="O241" s="192">
        <v>0</v>
      </c>
      <c r="P241" s="192">
        <v>0</v>
      </c>
      <c r="Q241" s="192">
        <v>0</v>
      </c>
      <c r="R241" s="192">
        <v>0</v>
      </c>
      <c r="S241" s="192">
        <v>0</v>
      </c>
      <c r="T241" s="192">
        <v>0</v>
      </c>
      <c r="U241" s="192">
        <v>0</v>
      </c>
      <c r="V241" s="192">
        <v>0</v>
      </c>
      <c r="W241" s="192">
        <v>0</v>
      </c>
      <c r="X241" s="192">
        <v>0</v>
      </c>
      <c r="Y241" s="192">
        <v>0</v>
      </c>
      <c r="Z241" s="192">
        <v>0</v>
      </c>
      <c r="AA241" s="192">
        <v>0</v>
      </c>
      <c r="AB241" s="192">
        <v>0</v>
      </c>
      <c r="AC241" s="192">
        <v>0</v>
      </c>
      <c r="AD241" s="192">
        <v>0</v>
      </c>
      <c r="AE241" s="192">
        <v>0</v>
      </c>
      <c r="AF241" s="192">
        <v>0</v>
      </c>
      <c r="AG241" s="192">
        <v>0</v>
      </c>
      <c r="AH241" s="192">
        <v>0</v>
      </c>
      <c r="AI241" s="192">
        <v>0</v>
      </c>
      <c r="AJ241" s="192">
        <v>0</v>
      </c>
      <c r="AK241" s="192">
        <v>0</v>
      </c>
      <c r="AL241" s="192">
        <v>0</v>
      </c>
    </row>
    <row r="242" spans="2:38">
      <c r="B242" s="122" t="str">
        <v>Cenário 20/03/2025 com IFC</v>
      </c>
      <c r="C242" s="448" t="str">
        <v>Operação Geral</v>
      </c>
      <c r="D242" s="149" t="str">
        <v>6</v>
      </c>
      <c r="E242" s="149" t="str">
        <v>6.1.2</v>
      </c>
      <c r="F242" s="149">
        <v>1</v>
      </c>
      <c r="G242" s="149">
        <v>0</v>
      </c>
      <c r="H242" s="267" t="str">
        <v>Sistema Completo - CFTV (Equipamentos, instalação e monitoramento)</v>
      </c>
      <c r="I242" s="192">
        <v>0</v>
      </c>
      <c r="J242" s="192">
        <v>0</v>
      </c>
      <c r="K242" s="192">
        <v>0</v>
      </c>
      <c r="L242" s="192">
        <v>0</v>
      </c>
      <c r="M242" s="192">
        <v>0</v>
      </c>
      <c r="N242" s="192">
        <v>0</v>
      </c>
      <c r="O242" s="192">
        <v>0</v>
      </c>
      <c r="P242" s="192">
        <v>0</v>
      </c>
      <c r="Q242" s="192">
        <v>0</v>
      </c>
      <c r="R242" s="192">
        <v>0</v>
      </c>
      <c r="S242" s="192">
        <v>0</v>
      </c>
      <c r="T242" s="192">
        <v>0</v>
      </c>
      <c r="U242" s="192">
        <v>0</v>
      </c>
      <c r="V242" s="192">
        <v>0</v>
      </c>
      <c r="W242" s="192">
        <v>0</v>
      </c>
      <c r="X242" s="192">
        <v>0</v>
      </c>
      <c r="Y242" s="192">
        <v>0</v>
      </c>
      <c r="Z242" s="192">
        <v>0</v>
      </c>
      <c r="AA242" s="192">
        <v>0</v>
      </c>
      <c r="AB242" s="192">
        <v>0</v>
      </c>
      <c r="AC242" s="192">
        <v>0</v>
      </c>
      <c r="AD242" s="192">
        <v>0</v>
      </c>
      <c r="AE242" s="192">
        <v>0</v>
      </c>
      <c r="AF242" s="192">
        <v>0</v>
      </c>
      <c r="AG242" s="192">
        <v>0</v>
      </c>
      <c r="AH242" s="192">
        <v>0</v>
      </c>
      <c r="AI242" s="192">
        <v>0</v>
      </c>
      <c r="AJ242" s="192">
        <v>0</v>
      </c>
      <c r="AK242" s="192">
        <v>0</v>
      </c>
      <c r="AL242" s="192">
        <v>0</v>
      </c>
    </row>
    <row r="243" spans="2:38">
      <c r="B243" s="122" t="str">
        <v>Cenário 20/03/2025 com IFC</v>
      </c>
      <c r="C243" s="448" t="str">
        <v>Operação Geral</v>
      </c>
      <c r="D243" s="149" t="str">
        <v>6</v>
      </c>
      <c r="E243" s="149" t="str">
        <v>6.1.2</v>
      </c>
      <c r="F243" s="149">
        <v>1</v>
      </c>
      <c r="G243" s="149">
        <v>0</v>
      </c>
      <c r="H243" s="267" t="str">
        <v>Câmeras - CFTV (Pista)</v>
      </c>
      <c r="I243" s="192">
        <v>0</v>
      </c>
      <c r="J243" s="192">
        <v>0</v>
      </c>
      <c r="K243" s="192">
        <v>0</v>
      </c>
      <c r="L243" s="192">
        <v>0</v>
      </c>
      <c r="M243" s="192">
        <v>0</v>
      </c>
      <c r="N243" s="192">
        <v>0</v>
      </c>
      <c r="O243" s="192">
        <v>0</v>
      </c>
      <c r="P243" s="192">
        <v>0</v>
      </c>
      <c r="Q243" s="192">
        <v>0</v>
      </c>
      <c r="R243" s="192">
        <v>0</v>
      </c>
      <c r="S243" s="192">
        <v>0</v>
      </c>
      <c r="T243" s="192">
        <v>0</v>
      </c>
      <c r="U243" s="192">
        <v>0</v>
      </c>
      <c r="V243" s="192">
        <v>0</v>
      </c>
      <c r="W243" s="192">
        <v>0</v>
      </c>
      <c r="X243" s="192">
        <v>0</v>
      </c>
      <c r="Y243" s="192">
        <v>0</v>
      </c>
      <c r="Z243" s="192">
        <v>0</v>
      </c>
      <c r="AA243" s="192">
        <v>0</v>
      </c>
      <c r="AB243" s="192">
        <v>0</v>
      </c>
      <c r="AC243" s="192">
        <v>0</v>
      </c>
      <c r="AD243" s="192">
        <v>0</v>
      </c>
      <c r="AE243" s="192">
        <v>0</v>
      </c>
      <c r="AF243" s="192">
        <v>0</v>
      </c>
      <c r="AG243" s="192">
        <v>0</v>
      </c>
      <c r="AH243" s="192">
        <v>0</v>
      </c>
      <c r="AI243" s="192">
        <v>0</v>
      </c>
      <c r="AJ243" s="192">
        <v>0</v>
      </c>
      <c r="AK243" s="192">
        <v>0</v>
      </c>
      <c r="AL243" s="192">
        <v>0</v>
      </c>
    </row>
    <row r="244" spans="2:38">
      <c r="B244" s="122" t="str">
        <v>Cenário 20/03/2025 com IFC</v>
      </c>
      <c r="C244" s="448" t="str">
        <v>Operação Geral</v>
      </c>
      <c r="D244" s="149" t="str">
        <v>6</v>
      </c>
      <c r="E244" s="149" t="str">
        <v>6.1.2</v>
      </c>
      <c r="F244" s="149">
        <v>1</v>
      </c>
      <c r="G244" s="149">
        <v>0</v>
      </c>
      <c r="H244" s="267" t="str">
        <v>Câmeras - CFTV - Edificações</v>
      </c>
      <c r="I244" s="192">
        <v>0</v>
      </c>
      <c r="J244" s="192">
        <v>0</v>
      </c>
      <c r="K244" s="192">
        <v>0</v>
      </c>
      <c r="L244" s="192">
        <v>0</v>
      </c>
      <c r="M244" s="192">
        <v>0</v>
      </c>
      <c r="N244" s="192">
        <v>0</v>
      </c>
      <c r="O244" s="192">
        <v>0</v>
      </c>
      <c r="P244" s="192">
        <v>0</v>
      </c>
      <c r="Q244" s="192">
        <v>0</v>
      </c>
      <c r="R244" s="192">
        <v>0</v>
      </c>
      <c r="S244" s="192">
        <v>0</v>
      </c>
      <c r="T244" s="192">
        <v>0</v>
      </c>
      <c r="U244" s="192">
        <v>0</v>
      </c>
      <c r="V244" s="192">
        <v>0</v>
      </c>
      <c r="W244" s="192">
        <v>0</v>
      </c>
      <c r="X244" s="192">
        <v>0</v>
      </c>
      <c r="Y244" s="192">
        <v>0</v>
      </c>
      <c r="Z244" s="192">
        <v>0</v>
      </c>
      <c r="AA244" s="192">
        <v>0</v>
      </c>
      <c r="AB244" s="192">
        <v>0</v>
      </c>
      <c r="AC244" s="192">
        <v>0</v>
      </c>
      <c r="AD244" s="192">
        <v>0</v>
      </c>
      <c r="AE244" s="192">
        <v>0</v>
      </c>
      <c r="AF244" s="192">
        <v>0</v>
      </c>
      <c r="AG244" s="192">
        <v>0</v>
      </c>
      <c r="AH244" s="192">
        <v>0</v>
      </c>
      <c r="AI244" s="192">
        <v>0</v>
      </c>
      <c r="AJ244" s="192">
        <v>0</v>
      </c>
      <c r="AK244" s="192">
        <v>0</v>
      </c>
      <c r="AL244" s="192">
        <v>0</v>
      </c>
    </row>
    <row r="245" spans="2:38">
      <c r="B245" s="122" t="str">
        <v>Cenário 20/03/2025 com IFC</v>
      </c>
      <c r="C245" s="448" t="str">
        <v>Operação Geral</v>
      </c>
      <c r="D245" s="149" t="str">
        <v>6</v>
      </c>
      <c r="E245" s="149" t="str">
        <v>6.1.2</v>
      </c>
      <c r="F245" s="149">
        <v>1</v>
      </c>
      <c r="G245" s="149">
        <v>0</v>
      </c>
      <c r="H245" s="267" t="str">
        <v>Câmeras - CFTV - Pista de pedágio</v>
      </c>
      <c r="I245" s="192">
        <v>0</v>
      </c>
      <c r="J245" s="192">
        <v>0</v>
      </c>
      <c r="K245" s="192">
        <v>0</v>
      </c>
      <c r="L245" s="192">
        <v>0</v>
      </c>
      <c r="M245" s="192">
        <v>0</v>
      </c>
      <c r="N245" s="192">
        <v>0</v>
      </c>
      <c r="O245" s="192">
        <v>0</v>
      </c>
      <c r="P245" s="192">
        <v>0</v>
      </c>
      <c r="Q245" s="192">
        <v>0</v>
      </c>
      <c r="R245" s="192">
        <v>0</v>
      </c>
      <c r="S245" s="192">
        <v>0</v>
      </c>
      <c r="T245" s="192">
        <v>0</v>
      </c>
      <c r="U245" s="192">
        <v>0</v>
      </c>
      <c r="V245" s="192">
        <v>0</v>
      </c>
      <c r="W245" s="192">
        <v>0</v>
      </c>
      <c r="X245" s="192">
        <v>0</v>
      </c>
      <c r="Y245" s="192">
        <v>0</v>
      </c>
      <c r="Z245" s="192">
        <v>0</v>
      </c>
      <c r="AA245" s="192">
        <v>0</v>
      </c>
      <c r="AB245" s="192">
        <v>0</v>
      </c>
      <c r="AC245" s="192">
        <v>0</v>
      </c>
      <c r="AD245" s="192">
        <v>0</v>
      </c>
      <c r="AE245" s="192">
        <v>0</v>
      </c>
      <c r="AF245" s="192">
        <v>0</v>
      </c>
      <c r="AG245" s="192">
        <v>0</v>
      </c>
      <c r="AH245" s="192">
        <v>0</v>
      </c>
      <c r="AI245" s="192">
        <v>0</v>
      </c>
      <c r="AJ245" s="192">
        <v>0</v>
      </c>
      <c r="AK245" s="192">
        <v>0</v>
      </c>
      <c r="AL245" s="192">
        <v>0</v>
      </c>
    </row>
    <row r="246" spans="2:38">
      <c r="B246" s="122" t="str">
        <v>Cenário 20/03/2025 com IFC</v>
      </c>
      <c r="C246" s="448" t="str">
        <v>Operação Geral</v>
      </c>
      <c r="D246" s="149" t="str">
        <v>6</v>
      </c>
      <c r="E246" s="149" t="str">
        <v>6.1.2</v>
      </c>
      <c r="F246" s="149">
        <v>1</v>
      </c>
      <c r="G246" s="149">
        <v>0</v>
      </c>
      <c r="H246" s="267" t="str">
        <v>Câmeras - Cabines de Pedágio</v>
      </c>
      <c r="I246" s="192">
        <v>0</v>
      </c>
      <c r="J246" s="192">
        <v>0</v>
      </c>
      <c r="K246" s="192">
        <v>0</v>
      </c>
      <c r="L246" s="192">
        <v>0</v>
      </c>
      <c r="M246" s="192">
        <v>0</v>
      </c>
      <c r="N246" s="192">
        <v>0</v>
      </c>
      <c r="O246" s="192">
        <v>0</v>
      </c>
      <c r="P246" s="192">
        <v>0</v>
      </c>
      <c r="Q246" s="192">
        <v>0</v>
      </c>
      <c r="R246" s="192">
        <v>0</v>
      </c>
      <c r="S246" s="192">
        <v>0</v>
      </c>
      <c r="T246" s="192">
        <v>0</v>
      </c>
      <c r="U246" s="192">
        <v>0</v>
      </c>
      <c r="V246" s="192">
        <v>0</v>
      </c>
      <c r="W246" s="192">
        <v>0</v>
      </c>
      <c r="X246" s="192">
        <v>0</v>
      </c>
      <c r="Y246" s="192">
        <v>0</v>
      </c>
      <c r="Z246" s="192">
        <v>0</v>
      </c>
      <c r="AA246" s="192">
        <v>0</v>
      </c>
      <c r="AB246" s="192">
        <v>0</v>
      </c>
      <c r="AC246" s="192">
        <v>0</v>
      </c>
      <c r="AD246" s="192">
        <v>0</v>
      </c>
      <c r="AE246" s="192">
        <v>0</v>
      </c>
      <c r="AF246" s="192">
        <v>0</v>
      </c>
      <c r="AG246" s="192">
        <v>0</v>
      </c>
      <c r="AH246" s="192">
        <v>0</v>
      </c>
      <c r="AI246" s="192">
        <v>0</v>
      </c>
      <c r="AJ246" s="192">
        <v>0</v>
      </c>
      <c r="AK246" s="192">
        <v>0</v>
      </c>
      <c r="AL246" s="192">
        <v>0</v>
      </c>
    </row>
    <row r="247" spans="2:38">
      <c r="B247" s="122" t="str">
        <v>Cenário 20/03/2025 com IFC</v>
      </c>
      <c r="C247" s="448" t="str">
        <v>Operação Geral</v>
      </c>
      <c r="D247" s="149" t="str">
        <v>6</v>
      </c>
      <c r="E247" s="149" t="str">
        <v>6.1.2</v>
      </c>
      <c r="F247" s="149">
        <v>1</v>
      </c>
      <c r="G247" s="149">
        <v>0</v>
      </c>
      <c r="H247" s="267" t="str">
        <v>NVR – gerenciamento de armazenamento de vídeos</v>
      </c>
      <c r="I247" s="192">
        <v>0</v>
      </c>
      <c r="J247" s="192">
        <v>0</v>
      </c>
      <c r="K247" s="192">
        <v>0</v>
      </c>
      <c r="L247" s="192">
        <v>0</v>
      </c>
      <c r="M247" s="192">
        <v>0</v>
      </c>
      <c r="N247" s="192">
        <v>0</v>
      </c>
      <c r="O247" s="192">
        <v>0</v>
      </c>
      <c r="P247" s="192">
        <v>0</v>
      </c>
      <c r="Q247" s="192">
        <v>0</v>
      </c>
      <c r="R247" s="192">
        <v>0</v>
      </c>
      <c r="S247" s="192">
        <v>0</v>
      </c>
      <c r="T247" s="192">
        <v>0</v>
      </c>
      <c r="U247" s="192">
        <v>0</v>
      </c>
      <c r="V247" s="192">
        <v>0</v>
      </c>
      <c r="W247" s="192">
        <v>0</v>
      </c>
      <c r="X247" s="192">
        <v>0</v>
      </c>
      <c r="Y247" s="192">
        <v>0</v>
      </c>
      <c r="Z247" s="192">
        <v>0</v>
      </c>
      <c r="AA247" s="192">
        <v>0</v>
      </c>
      <c r="AB247" s="192">
        <v>0</v>
      </c>
      <c r="AC247" s="192">
        <v>0</v>
      </c>
      <c r="AD247" s="192">
        <v>0</v>
      </c>
      <c r="AE247" s="192">
        <v>0</v>
      </c>
      <c r="AF247" s="192">
        <v>0</v>
      </c>
      <c r="AG247" s="192">
        <v>0</v>
      </c>
      <c r="AH247" s="192">
        <v>0</v>
      </c>
      <c r="AI247" s="192">
        <v>0</v>
      </c>
      <c r="AJ247" s="192">
        <v>0</v>
      </c>
      <c r="AK247" s="192">
        <v>0</v>
      </c>
      <c r="AL247" s="192">
        <v>0</v>
      </c>
    </row>
    <row r="248" spans="2:38">
      <c r="B248" s="122" t="str">
        <v>Cenário 20/03/2025 com IFC</v>
      </c>
      <c r="C248" s="448" t="str">
        <v>Operação Geral</v>
      </c>
      <c r="D248" s="149" t="str">
        <v>6</v>
      </c>
      <c r="E248" s="149" t="str">
        <v>6.1.2</v>
      </c>
      <c r="F248" s="149">
        <v>1</v>
      </c>
      <c r="G248" s="149">
        <v>0</v>
      </c>
      <c r="H248" s="267" t="str">
        <v>Câmeras - CFTV - Passarelas</v>
      </c>
      <c r="I248" s="192">
        <v>0</v>
      </c>
      <c r="J248" s="192">
        <v>0</v>
      </c>
      <c r="K248" s="192">
        <v>0</v>
      </c>
      <c r="L248" s="192">
        <v>0</v>
      </c>
      <c r="M248" s="192">
        <v>0</v>
      </c>
      <c r="N248" s="192">
        <v>0</v>
      </c>
      <c r="O248" s="192">
        <v>0</v>
      </c>
      <c r="P248" s="192">
        <v>0</v>
      </c>
      <c r="Q248" s="192">
        <v>0</v>
      </c>
      <c r="R248" s="192">
        <v>0</v>
      </c>
      <c r="S248" s="192">
        <v>0</v>
      </c>
      <c r="T248" s="192">
        <v>0</v>
      </c>
      <c r="U248" s="192">
        <v>0</v>
      </c>
      <c r="V248" s="192">
        <v>0</v>
      </c>
      <c r="W248" s="192">
        <v>0</v>
      </c>
      <c r="X248" s="192">
        <v>0</v>
      </c>
      <c r="Y248" s="192">
        <v>0</v>
      </c>
      <c r="Z248" s="192">
        <v>0</v>
      </c>
      <c r="AA248" s="192">
        <v>0</v>
      </c>
      <c r="AB248" s="192">
        <v>0</v>
      </c>
      <c r="AC248" s="192">
        <v>0</v>
      </c>
      <c r="AD248" s="192">
        <v>0</v>
      </c>
      <c r="AE248" s="192">
        <v>0</v>
      </c>
      <c r="AF248" s="192">
        <v>0</v>
      </c>
      <c r="AG248" s="192">
        <v>0</v>
      </c>
      <c r="AH248" s="192">
        <v>0</v>
      </c>
      <c r="AI248" s="192">
        <v>0</v>
      </c>
      <c r="AJ248" s="192">
        <v>0</v>
      </c>
      <c r="AK248" s="192">
        <v>0</v>
      </c>
      <c r="AL248" s="192">
        <v>0</v>
      </c>
    </row>
    <row r="249" spans="2:38">
      <c r="B249" s="122" t="str">
        <v>Cenário 20/03/2025 com IFC</v>
      </c>
      <c r="C249" s="448" t="str">
        <v>Operação Geral</v>
      </c>
      <c r="D249" s="149" t="str">
        <v>6</v>
      </c>
      <c r="E249" s="149" t="str">
        <v>6.1.2</v>
      </c>
      <c r="F249" s="149">
        <v>0</v>
      </c>
      <c r="G249" s="149">
        <v>0</v>
      </c>
      <c r="H249" s="267" t="str">
        <v>Sistema de Controle de Velocidade</v>
      </c>
      <c r="I249" s="192">
        <v>0</v>
      </c>
      <c r="J249" s="192">
        <v>0</v>
      </c>
      <c r="K249" s="192">
        <v>0</v>
      </c>
      <c r="L249" s="192">
        <v>0</v>
      </c>
      <c r="M249" s="192">
        <v>0</v>
      </c>
      <c r="N249" s="192">
        <v>0</v>
      </c>
      <c r="O249" s="192">
        <v>0</v>
      </c>
      <c r="P249" s="192">
        <v>0</v>
      </c>
      <c r="Q249" s="192">
        <v>0</v>
      </c>
      <c r="R249" s="192">
        <v>0</v>
      </c>
      <c r="S249" s="192">
        <v>0</v>
      </c>
      <c r="T249" s="192">
        <v>0</v>
      </c>
      <c r="U249" s="192">
        <v>0</v>
      </c>
      <c r="V249" s="192">
        <v>0</v>
      </c>
      <c r="W249" s="192">
        <v>0</v>
      </c>
      <c r="X249" s="192">
        <v>0</v>
      </c>
      <c r="Y249" s="192">
        <v>0</v>
      </c>
      <c r="Z249" s="192">
        <v>0</v>
      </c>
      <c r="AA249" s="192">
        <v>0</v>
      </c>
      <c r="AB249" s="192">
        <v>0</v>
      </c>
      <c r="AC249" s="192">
        <v>0</v>
      </c>
      <c r="AD249" s="192">
        <v>0</v>
      </c>
      <c r="AE249" s="192">
        <v>0</v>
      </c>
      <c r="AF249" s="192">
        <v>0</v>
      </c>
      <c r="AG249" s="192">
        <v>0</v>
      </c>
      <c r="AH249" s="192">
        <v>0</v>
      </c>
      <c r="AI249" s="192">
        <v>0</v>
      </c>
      <c r="AJ249" s="192">
        <v>0</v>
      </c>
      <c r="AK249" s="192">
        <v>0</v>
      </c>
      <c r="AL249" s="192">
        <v>0</v>
      </c>
    </row>
    <row r="250" spans="2:38">
      <c r="B250" s="122" t="str">
        <v>Cenário 20/03/2025 com IFC</v>
      </c>
      <c r="C250" s="448" t="str">
        <v>Operação Geral</v>
      </c>
      <c r="D250" s="149" t="str">
        <v>6</v>
      </c>
      <c r="E250" s="149" t="str">
        <v>6.1.2</v>
      </c>
      <c r="F250" s="149">
        <v>0</v>
      </c>
      <c r="G250" s="149">
        <v>0</v>
      </c>
      <c r="H250" s="267" t="str">
        <v>Radar Fixo - 2 Pistas</v>
      </c>
      <c r="I250" s="192">
        <v>0</v>
      </c>
      <c r="J250" s="192">
        <v>0</v>
      </c>
      <c r="K250" s="192">
        <v>392187.06531251292</v>
      </c>
      <c r="L250" s="192">
        <v>0</v>
      </c>
      <c r="M250" s="192">
        <v>0</v>
      </c>
      <c r="N250" s="192">
        <v>0</v>
      </c>
      <c r="O250" s="192">
        <v>0</v>
      </c>
      <c r="P250" s="192">
        <v>0</v>
      </c>
      <c r="Q250" s="192">
        <v>392187.06531251292</v>
      </c>
      <c r="R250" s="192">
        <v>0</v>
      </c>
      <c r="S250" s="192">
        <v>0</v>
      </c>
      <c r="T250" s="192">
        <v>0</v>
      </c>
      <c r="U250" s="192">
        <v>0</v>
      </c>
      <c r="V250" s="192">
        <v>0</v>
      </c>
      <c r="W250" s="192">
        <v>392187.06531251292</v>
      </c>
      <c r="X250" s="192">
        <v>0</v>
      </c>
      <c r="Y250" s="192">
        <v>0</v>
      </c>
      <c r="Z250" s="192">
        <v>0</v>
      </c>
      <c r="AA250" s="192">
        <v>0</v>
      </c>
      <c r="AB250" s="192">
        <v>0</v>
      </c>
      <c r="AC250" s="192">
        <v>0</v>
      </c>
      <c r="AD250" s="192">
        <v>0</v>
      </c>
      <c r="AE250" s="192">
        <v>0</v>
      </c>
      <c r="AF250" s="192">
        <v>0</v>
      </c>
      <c r="AG250" s="192">
        <v>0</v>
      </c>
      <c r="AH250" s="192">
        <v>0</v>
      </c>
      <c r="AI250" s="192">
        <v>0</v>
      </c>
      <c r="AJ250" s="192">
        <v>0</v>
      </c>
      <c r="AK250" s="192">
        <v>0</v>
      </c>
      <c r="AL250" s="192">
        <v>0</v>
      </c>
    </row>
    <row r="251" spans="2:38">
      <c r="B251" s="122" t="str">
        <v>Cenário 20/03/2025 com IFC</v>
      </c>
      <c r="C251" s="448" t="str">
        <v>Operação Geral</v>
      </c>
      <c r="D251" s="149" t="str">
        <v>6</v>
      </c>
      <c r="E251" s="149" t="str">
        <v>6.1.2</v>
      </c>
      <c r="F251" s="149">
        <v>0</v>
      </c>
      <c r="G251" s="149">
        <v>0</v>
      </c>
      <c r="H251" s="267" t="str">
        <v>Radar Fixo - 1 Pistas</v>
      </c>
      <c r="I251" s="192">
        <v>1406224.6020527319</v>
      </c>
      <c r="J251" s="192">
        <v>0</v>
      </c>
      <c r="K251" s="192">
        <v>0</v>
      </c>
      <c r="L251" s="192">
        <v>0</v>
      </c>
      <c r="M251" s="192">
        <v>0</v>
      </c>
      <c r="N251" s="192">
        <v>0</v>
      </c>
      <c r="O251" s="192">
        <v>0</v>
      </c>
      <c r="P251" s="192">
        <v>0</v>
      </c>
      <c r="Q251" s="192">
        <v>0</v>
      </c>
      <c r="R251" s="192">
        <v>0</v>
      </c>
      <c r="S251" s="192">
        <v>0</v>
      </c>
      <c r="T251" s="192">
        <v>0</v>
      </c>
      <c r="U251" s="192">
        <v>0</v>
      </c>
      <c r="V251" s="192">
        <v>0</v>
      </c>
      <c r="W251" s="192">
        <v>0</v>
      </c>
      <c r="X251" s="192">
        <v>0</v>
      </c>
      <c r="Y251" s="192">
        <v>0</v>
      </c>
      <c r="Z251" s="192">
        <v>0</v>
      </c>
      <c r="AA251" s="192">
        <v>0</v>
      </c>
      <c r="AB251" s="192">
        <v>0</v>
      </c>
      <c r="AC251" s="192">
        <v>0</v>
      </c>
      <c r="AD251" s="192">
        <v>0</v>
      </c>
      <c r="AE251" s="192">
        <v>0</v>
      </c>
      <c r="AF251" s="192">
        <v>0</v>
      </c>
      <c r="AG251" s="192">
        <v>0</v>
      </c>
      <c r="AH251" s="192">
        <v>0</v>
      </c>
      <c r="AI251" s="192">
        <v>0</v>
      </c>
      <c r="AJ251" s="192">
        <v>0</v>
      </c>
      <c r="AK251" s="192">
        <v>0</v>
      </c>
      <c r="AL251" s="192">
        <v>0</v>
      </c>
    </row>
    <row r="252" spans="2:38">
      <c r="B252" s="122" t="str">
        <v>Cenário 20/03/2025 com IFC</v>
      </c>
      <c r="C252" s="448" t="str">
        <v>Operação Geral</v>
      </c>
      <c r="D252" s="149" t="str">
        <v>6</v>
      </c>
      <c r="E252" s="149" t="str">
        <v>6.1.2</v>
      </c>
      <c r="F252" s="149">
        <v>0</v>
      </c>
      <c r="G252" s="149">
        <v>0</v>
      </c>
      <c r="H252" s="267" t="str">
        <v>Radar Móvel (30 a 200 m)</v>
      </c>
      <c r="I252" s="192">
        <v>0</v>
      </c>
      <c r="J252" s="192">
        <v>0</v>
      </c>
      <c r="K252" s="192">
        <v>0</v>
      </c>
      <c r="L252" s="192">
        <v>0</v>
      </c>
      <c r="M252" s="192">
        <v>0</v>
      </c>
      <c r="N252" s="192">
        <v>0</v>
      </c>
      <c r="O252" s="192">
        <v>0</v>
      </c>
      <c r="P252" s="192">
        <v>0</v>
      </c>
      <c r="Q252" s="192">
        <v>0</v>
      </c>
      <c r="R252" s="192">
        <v>0</v>
      </c>
      <c r="S252" s="192">
        <v>0</v>
      </c>
      <c r="T252" s="192">
        <v>0</v>
      </c>
      <c r="U252" s="192">
        <v>0</v>
      </c>
      <c r="V252" s="192">
        <v>0</v>
      </c>
      <c r="W252" s="192">
        <v>0</v>
      </c>
      <c r="X252" s="192">
        <v>0</v>
      </c>
      <c r="Y252" s="192">
        <v>0</v>
      </c>
      <c r="Z252" s="192">
        <v>0</v>
      </c>
      <c r="AA252" s="192">
        <v>0</v>
      </c>
      <c r="AB252" s="192">
        <v>0</v>
      </c>
      <c r="AC252" s="192">
        <v>0</v>
      </c>
      <c r="AD252" s="192">
        <v>0</v>
      </c>
      <c r="AE252" s="192">
        <v>0</v>
      </c>
      <c r="AF252" s="192">
        <v>0</v>
      </c>
      <c r="AG252" s="192">
        <v>0</v>
      </c>
      <c r="AH252" s="192">
        <v>0</v>
      </c>
      <c r="AI252" s="192">
        <v>0</v>
      </c>
      <c r="AJ252" s="192">
        <v>0</v>
      </c>
      <c r="AK252" s="192">
        <v>0</v>
      </c>
      <c r="AL252" s="192">
        <v>0</v>
      </c>
    </row>
    <row r="253" spans="2:38">
      <c r="B253" s="122" t="str">
        <v>Cenário 20/03/2025 com IFC</v>
      </c>
      <c r="C253" s="448" t="str">
        <v>Operação Geral</v>
      </c>
      <c r="D253" s="149" t="str">
        <v>6</v>
      </c>
      <c r="E253" s="149" t="str">
        <v>6.1.2</v>
      </c>
      <c r="F253" s="149">
        <v>0</v>
      </c>
      <c r="G253" s="149">
        <v>0</v>
      </c>
      <c r="H253" s="267" t="str">
        <v>Lombada Eletrônica (2 faixas)</v>
      </c>
      <c r="I253" s="192">
        <v>0</v>
      </c>
      <c r="J253" s="192">
        <v>0</v>
      </c>
      <c r="K253" s="192">
        <v>0</v>
      </c>
      <c r="L253" s="192">
        <v>0</v>
      </c>
      <c r="M253" s="192">
        <v>0</v>
      </c>
      <c r="N253" s="192">
        <v>0</v>
      </c>
      <c r="O253" s="192">
        <v>0</v>
      </c>
      <c r="P253" s="192">
        <v>0</v>
      </c>
      <c r="Q253" s="192">
        <v>0</v>
      </c>
      <c r="R253" s="192">
        <v>0</v>
      </c>
      <c r="S253" s="192">
        <v>0</v>
      </c>
      <c r="T253" s="192">
        <v>0</v>
      </c>
      <c r="U253" s="192">
        <v>0</v>
      </c>
      <c r="V253" s="192">
        <v>0</v>
      </c>
      <c r="W253" s="192">
        <v>0</v>
      </c>
      <c r="X253" s="192">
        <v>0</v>
      </c>
      <c r="Y253" s="192">
        <v>0</v>
      </c>
      <c r="Z253" s="192">
        <v>0</v>
      </c>
      <c r="AA253" s="192">
        <v>0</v>
      </c>
      <c r="AB253" s="192">
        <v>0</v>
      </c>
      <c r="AC253" s="192">
        <v>0</v>
      </c>
      <c r="AD253" s="192">
        <v>0</v>
      </c>
      <c r="AE253" s="192">
        <v>0</v>
      </c>
      <c r="AF253" s="192">
        <v>0</v>
      </c>
      <c r="AG253" s="192">
        <v>0</v>
      </c>
      <c r="AH253" s="192">
        <v>0</v>
      </c>
      <c r="AI253" s="192">
        <v>0</v>
      </c>
      <c r="AJ253" s="192">
        <v>0</v>
      </c>
      <c r="AK253" s="192">
        <v>0</v>
      </c>
      <c r="AL253" s="192">
        <v>0</v>
      </c>
    </row>
    <row r="254" spans="2:38">
      <c r="B254" s="122" t="str">
        <v>Cenário 20/03/2025 com IFC</v>
      </c>
      <c r="C254" s="448" t="str">
        <v>Operação Geral</v>
      </c>
      <c r="D254" s="149" t="str">
        <v>6</v>
      </c>
      <c r="E254" s="149" t="str">
        <v>6.1.2</v>
      </c>
      <c r="F254" s="149">
        <v>0</v>
      </c>
      <c r="G254" s="149">
        <v>0</v>
      </c>
      <c r="H254" s="267" t="str">
        <v>Estação meteorológica</v>
      </c>
      <c r="I254" s="192">
        <v>0</v>
      </c>
      <c r="J254" s="192">
        <v>0</v>
      </c>
      <c r="K254" s="192">
        <v>0</v>
      </c>
      <c r="L254" s="192">
        <v>0</v>
      </c>
      <c r="M254" s="192">
        <v>0</v>
      </c>
      <c r="N254" s="192">
        <v>0</v>
      </c>
      <c r="O254" s="192">
        <v>0</v>
      </c>
      <c r="P254" s="192">
        <v>0</v>
      </c>
      <c r="Q254" s="192">
        <v>0</v>
      </c>
      <c r="R254" s="192">
        <v>0</v>
      </c>
      <c r="S254" s="192">
        <v>0</v>
      </c>
      <c r="T254" s="192">
        <v>0</v>
      </c>
      <c r="U254" s="192">
        <v>0</v>
      </c>
      <c r="V254" s="192">
        <v>0</v>
      </c>
      <c r="W254" s="192">
        <v>0</v>
      </c>
      <c r="X254" s="192">
        <v>0</v>
      </c>
      <c r="Y254" s="192">
        <v>0</v>
      </c>
      <c r="Z254" s="192">
        <v>0</v>
      </c>
      <c r="AA254" s="192">
        <v>0</v>
      </c>
      <c r="AB254" s="192">
        <v>0</v>
      </c>
      <c r="AC254" s="192">
        <v>0</v>
      </c>
      <c r="AD254" s="192">
        <v>0</v>
      </c>
      <c r="AE254" s="192">
        <v>0</v>
      </c>
      <c r="AF254" s="192">
        <v>0</v>
      </c>
      <c r="AG254" s="192">
        <v>0</v>
      </c>
      <c r="AH254" s="192">
        <v>0</v>
      </c>
      <c r="AI254" s="192">
        <v>0</v>
      </c>
      <c r="AJ254" s="192">
        <v>0</v>
      </c>
      <c r="AK254" s="192">
        <v>0</v>
      </c>
      <c r="AL254" s="192">
        <v>0</v>
      </c>
    </row>
    <row r="255" spans="2:38">
      <c r="B255" s="122" t="str">
        <v>Cenário 20/03/2025 com IFC</v>
      </c>
      <c r="C255" s="448" t="str">
        <v>Operação Geral</v>
      </c>
      <c r="D255" s="149" t="str">
        <v>6</v>
      </c>
      <c r="E255" s="149" t="str">
        <v>6.1.2</v>
      </c>
      <c r="F255" s="449">
        <v>0</v>
      </c>
      <c r="G255" s="449">
        <v>0</v>
      </c>
      <c r="H255" s="267" t="str">
        <v>Base meteorológica</v>
      </c>
      <c r="I255" s="450">
        <v>0</v>
      </c>
      <c r="J255" s="450">
        <v>0</v>
      </c>
      <c r="K255" s="450">
        <v>0</v>
      </c>
      <c r="L255" s="450">
        <v>0</v>
      </c>
      <c r="M255" s="450">
        <v>0</v>
      </c>
      <c r="N255" s="450">
        <v>0</v>
      </c>
      <c r="O255" s="450">
        <v>0</v>
      </c>
      <c r="P255" s="450">
        <v>0</v>
      </c>
      <c r="Q255" s="450">
        <v>0</v>
      </c>
      <c r="R255" s="450">
        <v>0</v>
      </c>
      <c r="S255" s="450">
        <v>0</v>
      </c>
      <c r="T255" s="450">
        <v>0</v>
      </c>
      <c r="U255" s="450">
        <v>0</v>
      </c>
      <c r="V255" s="450">
        <v>0</v>
      </c>
      <c r="W255" s="450">
        <v>0</v>
      </c>
      <c r="X255" s="450">
        <v>0</v>
      </c>
      <c r="Y255" s="450">
        <v>0</v>
      </c>
      <c r="Z255" s="450">
        <v>0</v>
      </c>
      <c r="AA255" s="450">
        <v>0</v>
      </c>
      <c r="AB255" s="450">
        <v>0</v>
      </c>
      <c r="AC255" s="450">
        <v>0</v>
      </c>
      <c r="AD255" s="450">
        <v>0</v>
      </c>
      <c r="AE255" s="450">
        <v>0</v>
      </c>
      <c r="AF255" s="450">
        <v>0</v>
      </c>
      <c r="AG255" s="450">
        <v>0</v>
      </c>
      <c r="AH255" s="450">
        <v>0</v>
      </c>
      <c r="AI255" s="450">
        <v>0</v>
      </c>
      <c r="AJ255" s="450">
        <v>0</v>
      </c>
      <c r="AK255" s="450">
        <v>0</v>
      </c>
      <c r="AL255" s="450">
        <v>0</v>
      </c>
    </row>
    <row r="256" spans="2:38">
      <c r="B256" s="122" t="str">
        <v>Cenário 20/03/2025 com IFC</v>
      </c>
      <c r="C256" s="448" t="str">
        <v>Operação Geral</v>
      </c>
      <c r="D256" s="149" t="str">
        <v>6</v>
      </c>
      <c r="E256" s="149" t="str">
        <v>6.1.2</v>
      </c>
      <c r="F256" s="149">
        <v>0</v>
      </c>
      <c r="G256" s="149">
        <v>0</v>
      </c>
      <c r="H256" s="267" t="str">
        <v>Sistema de Comunicação com os Usuários</v>
      </c>
      <c r="I256" s="192">
        <v>0</v>
      </c>
      <c r="J256" s="192">
        <v>0</v>
      </c>
      <c r="K256" s="192">
        <v>0</v>
      </c>
      <c r="L256" s="192">
        <v>0</v>
      </c>
      <c r="M256" s="192">
        <v>0</v>
      </c>
      <c r="N256" s="192">
        <v>0</v>
      </c>
      <c r="O256" s="192">
        <v>0</v>
      </c>
      <c r="P256" s="192">
        <v>0</v>
      </c>
      <c r="Q256" s="192">
        <v>0</v>
      </c>
      <c r="R256" s="192">
        <v>0</v>
      </c>
      <c r="S256" s="192">
        <v>0</v>
      </c>
      <c r="T256" s="192">
        <v>0</v>
      </c>
      <c r="U256" s="192">
        <v>0</v>
      </c>
      <c r="V256" s="192">
        <v>0</v>
      </c>
      <c r="W256" s="192">
        <v>0</v>
      </c>
      <c r="X256" s="192">
        <v>0</v>
      </c>
      <c r="Y256" s="192">
        <v>0</v>
      </c>
      <c r="Z256" s="192">
        <v>0</v>
      </c>
      <c r="AA256" s="192">
        <v>0</v>
      </c>
      <c r="AB256" s="192">
        <v>0</v>
      </c>
      <c r="AC256" s="192">
        <v>0</v>
      </c>
      <c r="AD256" s="192">
        <v>0</v>
      </c>
      <c r="AE256" s="192">
        <v>0</v>
      </c>
      <c r="AF256" s="192">
        <v>0</v>
      </c>
      <c r="AG256" s="192">
        <v>0</v>
      </c>
      <c r="AH256" s="192">
        <v>0</v>
      </c>
      <c r="AI256" s="192">
        <v>0</v>
      </c>
      <c r="AJ256" s="192">
        <v>0</v>
      </c>
      <c r="AK256" s="192">
        <v>0</v>
      </c>
      <c r="AL256" s="192">
        <v>0</v>
      </c>
    </row>
    <row r="257" spans="2:38">
      <c r="B257" s="122" t="str">
        <v>Cenário 20/03/2025 com IFC</v>
      </c>
      <c r="C257" s="448" t="str">
        <v>Operação Geral</v>
      </c>
      <c r="D257" s="149" t="str">
        <v>6</v>
      </c>
      <c r="E257" s="149" t="str">
        <v>6.1.2</v>
      </c>
      <c r="F257" s="149">
        <v>0</v>
      </c>
      <c r="G257" s="149">
        <v>0</v>
      </c>
      <c r="H257" s="267" t="str">
        <v>Painéis de Mensagens</v>
      </c>
      <c r="I257" s="192">
        <v>0</v>
      </c>
      <c r="J257" s="192">
        <v>0</v>
      </c>
      <c r="K257" s="192">
        <v>0</v>
      </c>
      <c r="L257" s="192">
        <v>0</v>
      </c>
      <c r="M257" s="192">
        <v>0</v>
      </c>
      <c r="N257" s="192">
        <v>0</v>
      </c>
      <c r="O257" s="192">
        <v>0</v>
      </c>
      <c r="P257" s="192">
        <v>0</v>
      </c>
      <c r="Q257" s="192">
        <v>0</v>
      </c>
      <c r="R257" s="192">
        <v>0</v>
      </c>
      <c r="S257" s="192">
        <v>0</v>
      </c>
      <c r="T257" s="192">
        <v>0</v>
      </c>
      <c r="U257" s="192">
        <v>0</v>
      </c>
      <c r="V257" s="192">
        <v>0</v>
      </c>
      <c r="W257" s="192">
        <v>0</v>
      </c>
      <c r="X257" s="192">
        <v>0</v>
      </c>
      <c r="Y257" s="192">
        <v>0</v>
      </c>
      <c r="Z257" s="192">
        <v>0</v>
      </c>
      <c r="AA257" s="192">
        <v>0</v>
      </c>
      <c r="AB257" s="192">
        <v>0</v>
      </c>
      <c r="AC257" s="192">
        <v>0</v>
      </c>
      <c r="AD257" s="192">
        <v>0</v>
      </c>
      <c r="AE257" s="192">
        <v>0</v>
      </c>
      <c r="AF257" s="192">
        <v>0</v>
      </c>
      <c r="AG257" s="192">
        <v>0</v>
      </c>
      <c r="AH257" s="192">
        <v>0</v>
      </c>
      <c r="AI257" s="192">
        <v>0</v>
      </c>
      <c r="AJ257" s="192">
        <v>0</v>
      </c>
      <c r="AK257" s="192">
        <v>0</v>
      </c>
      <c r="AL257" s="192">
        <v>0</v>
      </c>
    </row>
    <row r="258" spans="2:38">
      <c r="B258" s="122" t="str">
        <v>Cenário 20/03/2025 com IFC</v>
      </c>
      <c r="C258" s="448" t="str">
        <v>Operação Geral</v>
      </c>
      <c r="D258" s="149" t="str">
        <v>6</v>
      </c>
      <c r="E258" s="149" t="str">
        <v>6.1.2</v>
      </c>
      <c r="F258" s="149">
        <v>0</v>
      </c>
      <c r="G258" s="149">
        <v>0</v>
      </c>
      <c r="H258" s="267" t="str">
        <v>Painel de Mensagem Variável Fixo</v>
      </c>
      <c r="I258" s="192">
        <v>0</v>
      </c>
      <c r="J258" s="192">
        <v>0</v>
      </c>
      <c r="K258" s="192">
        <v>0</v>
      </c>
      <c r="L258" s="192">
        <v>0</v>
      </c>
      <c r="M258" s="192">
        <v>0</v>
      </c>
      <c r="N258" s="192">
        <v>0</v>
      </c>
      <c r="O258" s="192">
        <v>0</v>
      </c>
      <c r="P258" s="192">
        <v>0</v>
      </c>
      <c r="Q258" s="192">
        <v>0</v>
      </c>
      <c r="R258" s="192">
        <v>0</v>
      </c>
      <c r="S258" s="192">
        <v>0</v>
      </c>
      <c r="T258" s="192">
        <v>0</v>
      </c>
      <c r="U258" s="192">
        <v>0</v>
      </c>
      <c r="V258" s="192">
        <v>0</v>
      </c>
      <c r="W258" s="192">
        <v>0</v>
      </c>
      <c r="X258" s="192">
        <v>0</v>
      </c>
      <c r="Y258" s="192">
        <v>0</v>
      </c>
      <c r="Z258" s="192">
        <v>0</v>
      </c>
      <c r="AA258" s="192">
        <v>0</v>
      </c>
      <c r="AB258" s="192">
        <v>0</v>
      </c>
      <c r="AC258" s="192">
        <v>0</v>
      </c>
      <c r="AD258" s="192">
        <v>0</v>
      </c>
      <c r="AE258" s="192">
        <v>0</v>
      </c>
      <c r="AF258" s="192">
        <v>0</v>
      </c>
      <c r="AG258" s="192">
        <v>0</v>
      </c>
      <c r="AH258" s="192">
        <v>0</v>
      </c>
      <c r="AI258" s="192">
        <v>0</v>
      </c>
      <c r="AJ258" s="192">
        <v>0</v>
      </c>
      <c r="AK258" s="192">
        <v>0</v>
      </c>
      <c r="AL258" s="192">
        <v>0</v>
      </c>
    </row>
    <row r="259" spans="2:38">
      <c r="B259" s="122" t="str">
        <v>Cenário 20/03/2025 com IFC</v>
      </c>
      <c r="C259" s="448" t="str">
        <v>Operação Geral</v>
      </c>
      <c r="D259" s="149" t="str">
        <v>6</v>
      </c>
      <c r="E259" s="149" t="str">
        <v>6.1.2</v>
      </c>
      <c r="F259" s="149">
        <v>0</v>
      </c>
      <c r="G259" s="149">
        <v>0</v>
      </c>
      <c r="H259" s="267" t="str">
        <v>Painel de Mensagem Variável Móvel</v>
      </c>
      <c r="I259" s="192">
        <v>0</v>
      </c>
      <c r="J259" s="192">
        <v>0</v>
      </c>
      <c r="K259" s="192">
        <v>0</v>
      </c>
      <c r="L259" s="192">
        <v>0</v>
      </c>
      <c r="M259" s="192">
        <v>0</v>
      </c>
      <c r="N259" s="192">
        <v>0</v>
      </c>
      <c r="O259" s="192">
        <v>0</v>
      </c>
      <c r="P259" s="192">
        <v>0</v>
      </c>
      <c r="Q259" s="192">
        <v>0</v>
      </c>
      <c r="R259" s="192">
        <v>0</v>
      </c>
      <c r="S259" s="192">
        <v>0</v>
      </c>
      <c r="T259" s="192">
        <v>0</v>
      </c>
      <c r="U259" s="192">
        <v>0</v>
      </c>
      <c r="V259" s="192">
        <v>0</v>
      </c>
      <c r="W259" s="192">
        <v>0</v>
      </c>
      <c r="X259" s="192">
        <v>0</v>
      </c>
      <c r="Y259" s="192">
        <v>0</v>
      </c>
      <c r="Z259" s="192">
        <v>0</v>
      </c>
      <c r="AA259" s="192">
        <v>0</v>
      </c>
      <c r="AB259" s="192">
        <v>0</v>
      </c>
      <c r="AC259" s="192">
        <v>0</v>
      </c>
      <c r="AD259" s="192">
        <v>0</v>
      </c>
      <c r="AE259" s="192">
        <v>0</v>
      </c>
      <c r="AF259" s="192">
        <v>0</v>
      </c>
      <c r="AG259" s="192">
        <v>0</v>
      </c>
      <c r="AH259" s="192">
        <v>0</v>
      </c>
      <c r="AI259" s="192">
        <v>0</v>
      </c>
      <c r="AJ259" s="192">
        <v>0</v>
      </c>
      <c r="AK259" s="192">
        <v>0</v>
      </c>
      <c r="AL259" s="192">
        <v>0</v>
      </c>
    </row>
    <row r="260" spans="2:38">
      <c r="B260" s="122" t="str">
        <v>Cenário 20/03/2025 com IFC</v>
      </c>
      <c r="C260" s="448" t="str">
        <v>Operação Geral</v>
      </c>
      <c r="D260" s="149" t="str">
        <v>6</v>
      </c>
      <c r="E260" s="149" t="str">
        <v>6.1.2</v>
      </c>
      <c r="F260" s="149">
        <v>0</v>
      </c>
      <c r="G260" s="149">
        <v>0</v>
      </c>
      <c r="H260" s="267" t="str">
        <v>Serviço de Autoatendimento (SAU)</v>
      </c>
      <c r="I260" s="192">
        <v>0</v>
      </c>
      <c r="J260" s="192">
        <v>0</v>
      </c>
      <c r="K260" s="192">
        <v>0</v>
      </c>
      <c r="L260" s="192">
        <v>0</v>
      </c>
      <c r="M260" s="192">
        <v>0</v>
      </c>
      <c r="N260" s="192">
        <v>0</v>
      </c>
      <c r="O260" s="192">
        <v>0</v>
      </c>
      <c r="P260" s="192">
        <v>0</v>
      </c>
      <c r="Q260" s="192">
        <v>0</v>
      </c>
      <c r="R260" s="192">
        <v>0</v>
      </c>
      <c r="S260" s="192">
        <v>0</v>
      </c>
      <c r="T260" s="192">
        <v>0</v>
      </c>
      <c r="U260" s="192">
        <v>0</v>
      </c>
      <c r="V260" s="192">
        <v>0</v>
      </c>
      <c r="W260" s="192">
        <v>0</v>
      </c>
      <c r="X260" s="192">
        <v>0</v>
      </c>
      <c r="Y260" s="192">
        <v>0</v>
      </c>
      <c r="Z260" s="192">
        <v>0</v>
      </c>
      <c r="AA260" s="192">
        <v>0</v>
      </c>
      <c r="AB260" s="192">
        <v>0</v>
      </c>
      <c r="AC260" s="192">
        <v>0</v>
      </c>
      <c r="AD260" s="192">
        <v>0</v>
      </c>
      <c r="AE260" s="192">
        <v>0</v>
      </c>
      <c r="AF260" s="192">
        <v>0</v>
      </c>
      <c r="AG260" s="192">
        <v>0</v>
      </c>
      <c r="AH260" s="192">
        <v>0</v>
      </c>
      <c r="AI260" s="192">
        <v>0</v>
      </c>
      <c r="AJ260" s="192">
        <v>0</v>
      </c>
      <c r="AK260" s="192">
        <v>0</v>
      </c>
      <c r="AL260" s="192">
        <v>0</v>
      </c>
    </row>
    <row r="261" spans="2:38">
      <c r="B261" s="122" t="str">
        <v>Cenário 20/03/2025 com IFC</v>
      </c>
      <c r="C261" s="448" t="str">
        <v>Operação Geral</v>
      </c>
      <c r="D261" s="149" t="str">
        <v>6</v>
      </c>
      <c r="E261" s="149" t="str">
        <v>6.1.2</v>
      </c>
      <c r="F261" s="149">
        <v>0</v>
      </c>
      <c r="G261" s="149">
        <v>0</v>
      </c>
      <c r="H261" s="267" t="str">
        <v>Software com interface web + PABX p/ SA</v>
      </c>
      <c r="I261" s="192">
        <v>0</v>
      </c>
      <c r="J261" s="192">
        <v>0</v>
      </c>
      <c r="K261" s="192">
        <v>0</v>
      </c>
      <c r="L261" s="192">
        <v>0</v>
      </c>
      <c r="M261" s="192">
        <v>0</v>
      </c>
      <c r="N261" s="192">
        <v>0</v>
      </c>
      <c r="O261" s="192">
        <v>0</v>
      </c>
      <c r="P261" s="192">
        <v>0</v>
      </c>
      <c r="Q261" s="192">
        <v>0</v>
      </c>
      <c r="R261" s="192">
        <v>0</v>
      </c>
      <c r="S261" s="192">
        <v>0</v>
      </c>
      <c r="T261" s="192">
        <v>0</v>
      </c>
      <c r="U261" s="192">
        <v>0</v>
      </c>
      <c r="V261" s="192">
        <v>0</v>
      </c>
      <c r="W261" s="192">
        <v>0</v>
      </c>
      <c r="X261" s="192">
        <v>0</v>
      </c>
      <c r="Y261" s="192">
        <v>0</v>
      </c>
      <c r="Z261" s="192">
        <v>0</v>
      </c>
      <c r="AA261" s="192">
        <v>0</v>
      </c>
      <c r="AB261" s="192">
        <v>0</v>
      </c>
      <c r="AC261" s="192">
        <v>0</v>
      </c>
      <c r="AD261" s="192">
        <v>0</v>
      </c>
      <c r="AE261" s="192">
        <v>0</v>
      </c>
      <c r="AF261" s="192">
        <v>0</v>
      </c>
      <c r="AG261" s="192">
        <v>0</v>
      </c>
      <c r="AH261" s="192">
        <v>0</v>
      </c>
      <c r="AI261" s="192">
        <v>0</v>
      </c>
      <c r="AJ261" s="192">
        <v>0</v>
      </c>
      <c r="AK261" s="192">
        <v>0</v>
      </c>
      <c r="AL261" s="192">
        <v>0</v>
      </c>
    </row>
    <row r="262" spans="2:38">
      <c r="B262" s="122" t="str">
        <v>Cenário 20/03/2025 com IFC</v>
      </c>
      <c r="C262" s="448" t="str">
        <v>Operação Geral</v>
      </c>
      <c r="D262" s="149" t="str">
        <v>6</v>
      </c>
      <c r="E262" s="149" t="str">
        <v>6.1.2</v>
      </c>
      <c r="F262" s="149">
        <v>0</v>
      </c>
      <c r="G262" s="149">
        <v>0</v>
      </c>
      <c r="H262" s="267" t="str">
        <v>Totem de Autoatendimento</v>
      </c>
      <c r="I262" s="192">
        <v>0</v>
      </c>
      <c r="J262" s="192">
        <v>0</v>
      </c>
      <c r="K262" s="192">
        <v>0</v>
      </c>
      <c r="L262" s="192">
        <v>0</v>
      </c>
      <c r="M262" s="192">
        <v>0</v>
      </c>
      <c r="N262" s="192">
        <v>0</v>
      </c>
      <c r="O262" s="192">
        <v>0</v>
      </c>
      <c r="P262" s="192">
        <v>0</v>
      </c>
      <c r="Q262" s="192">
        <v>0</v>
      </c>
      <c r="R262" s="192">
        <v>0</v>
      </c>
      <c r="S262" s="192">
        <v>0</v>
      </c>
      <c r="T262" s="192">
        <v>0</v>
      </c>
      <c r="U262" s="192">
        <v>0</v>
      </c>
      <c r="V262" s="192">
        <v>0</v>
      </c>
      <c r="W262" s="192">
        <v>0</v>
      </c>
      <c r="X262" s="192">
        <v>0</v>
      </c>
      <c r="Y262" s="192">
        <v>0</v>
      </c>
      <c r="Z262" s="192">
        <v>0</v>
      </c>
      <c r="AA262" s="192">
        <v>0</v>
      </c>
      <c r="AB262" s="192">
        <v>0</v>
      </c>
      <c r="AC262" s="192">
        <v>0</v>
      </c>
      <c r="AD262" s="192">
        <v>0</v>
      </c>
      <c r="AE262" s="192">
        <v>0</v>
      </c>
      <c r="AF262" s="192">
        <v>0</v>
      </c>
      <c r="AG262" s="192">
        <v>0</v>
      </c>
      <c r="AH262" s="192">
        <v>0</v>
      </c>
      <c r="AI262" s="192">
        <v>0</v>
      </c>
      <c r="AJ262" s="192">
        <v>0</v>
      </c>
      <c r="AK262" s="192">
        <v>0</v>
      </c>
      <c r="AL262" s="192">
        <v>0</v>
      </c>
    </row>
    <row r="263" spans="2:38">
      <c r="B263" s="122" t="str">
        <v>Cenário 20/03/2025 com IFC</v>
      </c>
      <c r="C263" s="448" t="str">
        <v>Operação Geral</v>
      </c>
      <c r="D263" s="149" t="str">
        <v>6</v>
      </c>
      <c r="E263" s="149" t="str">
        <v>6.1.2</v>
      </c>
      <c r="F263" s="149">
        <v>0</v>
      </c>
      <c r="G263" s="149">
        <v>0</v>
      </c>
      <c r="H263" s="267" t="str">
        <v>Sistema de Radiocomunicação</v>
      </c>
      <c r="I263" s="192">
        <v>0</v>
      </c>
      <c r="J263" s="192">
        <v>0</v>
      </c>
      <c r="K263" s="192">
        <v>0</v>
      </c>
      <c r="L263" s="192">
        <v>0</v>
      </c>
      <c r="M263" s="192">
        <v>0</v>
      </c>
      <c r="N263" s="192">
        <v>0</v>
      </c>
      <c r="O263" s="192">
        <v>0</v>
      </c>
      <c r="P263" s="192">
        <v>0</v>
      </c>
      <c r="Q263" s="192">
        <v>0</v>
      </c>
      <c r="R263" s="192">
        <v>0</v>
      </c>
      <c r="S263" s="192">
        <v>0</v>
      </c>
      <c r="T263" s="192">
        <v>0</v>
      </c>
      <c r="U263" s="192">
        <v>0</v>
      </c>
      <c r="V263" s="192">
        <v>0</v>
      </c>
      <c r="W263" s="192">
        <v>0</v>
      </c>
      <c r="X263" s="192">
        <v>0</v>
      </c>
      <c r="Y263" s="192">
        <v>0</v>
      </c>
      <c r="Z263" s="192">
        <v>0</v>
      </c>
      <c r="AA263" s="192">
        <v>0</v>
      </c>
      <c r="AB263" s="192">
        <v>0</v>
      </c>
      <c r="AC263" s="192">
        <v>0</v>
      </c>
      <c r="AD263" s="192">
        <v>0</v>
      </c>
      <c r="AE263" s="192">
        <v>0</v>
      </c>
      <c r="AF263" s="192">
        <v>0</v>
      </c>
      <c r="AG263" s="192">
        <v>0</v>
      </c>
      <c r="AH263" s="192">
        <v>0</v>
      </c>
      <c r="AI263" s="192">
        <v>0</v>
      </c>
      <c r="AJ263" s="192">
        <v>0</v>
      </c>
      <c r="AK263" s="192">
        <v>0</v>
      </c>
      <c r="AL263" s="192">
        <v>0</v>
      </c>
    </row>
    <row r="264" spans="2:38">
      <c r="B264" s="122" t="str">
        <v>Cenário 20/03/2025 com IFC</v>
      </c>
      <c r="C264" s="448" t="str">
        <v>Operação Geral</v>
      </c>
      <c r="D264" s="149" t="str">
        <v>6</v>
      </c>
      <c r="E264" s="149" t="str">
        <v>6.1.2</v>
      </c>
      <c r="F264" s="149">
        <v>0</v>
      </c>
      <c r="G264" s="149">
        <v>0</v>
      </c>
      <c r="H264" s="267" t="str">
        <v>Sistema de Voz e Dados</v>
      </c>
      <c r="I264" s="192">
        <v>769393.57810508052</v>
      </c>
      <c r="J264" s="192">
        <v>0</v>
      </c>
      <c r="K264" s="192">
        <v>0</v>
      </c>
      <c r="L264" s="192">
        <v>0</v>
      </c>
      <c r="M264" s="192">
        <v>0</v>
      </c>
      <c r="N264" s="192">
        <v>0</v>
      </c>
      <c r="O264" s="192">
        <v>0</v>
      </c>
      <c r="P264" s="192">
        <v>0</v>
      </c>
      <c r="Q264" s="192">
        <v>0</v>
      </c>
      <c r="R264" s="192">
        <v>0</v>
      </c>
      <c r="S264" s="192">
        <v>0</v>
      </c>
      <c r="T264" s="192">
        <v>0</v>
      </c>
      <c r="U264" s="192">
        <v>0</v>
      </c>
      <c r="V264" s="192">
        <v>0</v>
      </c>
      <c r="W264" s="192">
        <v>0</v>
      </c>
      <c r="X264" s="192">
        <v>0</v>
      </c>
      <c r="Y264" s="192">
        <v>0</v>
      </c>
      <c r="Z264" s="192">
        <v>0</v>
      </c>
      <c r="AA264" s="192">
        <v>0</v>
      </c>
      <c r="AB264" s="192">
        <v>0</v>
      </c>
      <c r="AC264" s="192">
        <v>0</v>
      </c>
      <c r="AD264" s="192">
        <v>0</v>
      </c>
      <c r="AE264" s="192">
        <v>0</v>
      </c>
      <c r="AF264" s="192">
        <v>0</v>
      </c>
      <c r="AG264" s="192">
        <v>0</v>
      </c>
      <c r="AH264" s="192">
        <v>0</v>
      </c>
      <c r="AI264" s="192">
        <v>0</v>
      </c>
      <c r="AJ264" s="192">
        <v>0</v>
      </c>
      <c r="AK264" s="192">
        <v>0</v>
      </c>
      <c r="AL264" s="192">
        <v>0</v>
      </c>
    </row>
    <row r="265" spans="2:38">
      <c r="B265" s="122" t="str">
        <v>Cenário 20/03/2025 com IFC</v>
      </c>
      <c r="C265" s="448" t="str">
        <v>Operação Geral</v>
      </c>
      <c r="D265" s="149" t="str">
        <v>6</v>
      </c>
      <c r="E265" s="149" t="str">
        <v>6.1.2</v>
      </c>
      <c r="F265" s="149">
        <v>0</v>
      </c>
      <c r="G265" s="149">
        <v>0</v>
      </c>
      <c r="H265" s="267" t="str">
        <v>Estação Portátil</v>
      </c>
      <c r="I265" s="192">
        <v>114149.45386838781</v>
      </c>
      <c r="J265" s="192">
        <v>79026.544985806948</v>
      </c>
      <c r="K265" s="192">
        <v>21951.818051613041</v>
      </c>
      <c r="L265" s="192">
        <v>0</v>
      </c>
      <c r="M265" s="192">
        <v>0</v>
      </c>
      <c r="N265" s="192">
        <v>0</v>
      </c>
      <c r="O265" s="192">
        <v>21951.818051613041</v>
      </c>
      <c r="P265" s="192">
        <v>0</v>
      </c>
      <c r="Q265" s="192">
        <v>0</v>
      </c>
      <c r="R265" s="192">
        <v>0</v>
      </c>
      <c r="S265" s="192">
        <v>0</v>
      </c>
      <c r="T265" s="192">
        <v>0</v>
      </c>
      <c r="U265" s="192">
        <v>0</v>
      </c>
      <c r="V265" s="192">
        <v>0</v>
      </c>
      <c r="W265" s="192">
        <v>0</v>
      </c>
      <c r="X265" s="192">
        <v>0</v>
      </c>
      <c r="Y265" s="192">
        <v>0</v>
      </c>
      <c r="Z265" s="192">
        <v>0</v>
      </c>
      <c r="AA265" s="192">
        <v>0</v>
      </c>
      <c r="AB265" s="192">
        <v>0</v>
      </c>
      <c r="AC265" s="192">
        <v>0</v>
      </c>
      <c r="AD265" s="192">
        <v>0</v>
      </c>
      <c r="AE265" s="192">
        <v>0</v>
      </c>
      <c r="AF265" s="192">
        <v>0</v>
      </c>
      <c r="AG265" s="192">
        <v>0</v>
      </c>
      <c r="AH265" s="192">
        <v>0</v>
      </c>
      <c r="AI265" s="192">
        <v>0</v>
      </c>
      <c r="AJ265" s="192">
        <v>0</v>
      </c>
      <c r="AK265" s="192">
        <v>0</v>
      </c>
      <c r="AL265" s="192">
        <v>0</v>
      </c>
    </row>
    <row r="266" spans="2:38">
      <c r="B266" s="122" t="str">
        <v>Cenário 20/03/2025 com IFC</v>
      </c>
      <c r="C266" s="448" t="str">
        <v>Operação Geral</v>
      </c>
      <c r="D266" s="149" t="str">
        <v>6</v>
      </c>
      <c r="E266" s="149" t="str">
        <v>6.1.2</v>
      </c>
      <c r="F266" s="149">
        <v>0</v>
      </c>
      <c r="G266" s="149">
        <v>0</v>
      </c>
      <c r="H266" s="267" t="str">
        <v>Estação Fixa</v>
      </c>
      <c r="I266" s="192">
        <v>192060.92325923691</v>
      </c>
      <c r="J266" s="192">
        <v>0</v>
      </c>
      <c r="K266" s="192">
        <v>0</v>
      </c>
      <c r="L266" s="192">
        <v>0</v>
      </c>
      <c r="M266" s="192">
        <v>0</v>
      </c>
      <c r="N266" s="192">
        <v>0</v>
      </c>
      <c r="O266" s="192">
        <v>0</v>
      </c>
      <c r="P266" s="192">
        <v>0</v>
      </c>
      <c r="Q266" s="192">
        <v>0</v>
      </c>
      <c r="R266" s="192">
        <v>0</v>
      </c>
      <c r="S266" s="192">
        <v>0</v>
      </c>
      <c r="T266" s="192">
        <v>0</v>
      </c>
      <c r="U266" s="192">
        <v>0</v>
      </c>
      <c r="V266" s="192">
        <v>0</v>
      </c>
      <c r="W266" s="192">
        <v>0</v>
      </c>
      <c r="X266" s="192">
        <v>0</v>
      </c>
      <c r="Y266" s="192">
        <v>0</v>
      </c>
      <c r="Z266" s="192">
        <v>0</v>
      </c>
      <c r="AA266" s="192">
        <v>0</v>
      </c>
      <c r="AB266" s="192">
        <v>0</v>
      </c>
      <c r="AC266" s="192">
        <v>0</v>
      </c>
      <c r="AD266" s="192">
        <v>0</v>
      </c>
      <c r="AE266" s="192">
        <v>0</v>
      </c>
      <c r="AF266" s="192">
        <v>0</v>
      </c>
      <c r="AG266" s="192">
        <v>0</v>
      </c>
      <c r="AH266" s="192">
        <v>0</v>
      </c>
      <c r="AI266" s="192">
        <v>0</v>
      </c>
      <c r="AJ266" s="192">
        <v>0</v>
      </c>
      <c r="AK266" s="192">
        <v>0</v>
      </c>
      <c r="AL266" s="192">
        <v>0</v>
      </c>
    </row>
    <row r="267" spans="2:38">
      <c r="B267" s="122" t="str">
        <v>Cenário 20/03/2025 com IFC</v>
      </c>
      <c r="C267" s="448" t="str">
        <v>Operação Geral</v>
      </c>
      <c r="D267" s="149" t="str">
        <v>6</v>
      </c>
      <c r="E267" s="149" t="str">
        <v>6.1.2</v>
      </c>
      <c r="F267" s="449">
        <v>0</v>
      </c>
      <c r="G267" s="449">
        <v>0</v>
      </c>
      <c r="H267" s="267" t="str">
        <v>Estação Móvel</v>
      </c>
      <c r="I267" s="450">
        <v>129216.14122659061</v>
      </c>
      <c r="J267" s="450">
        <v>0</v>
      </c>
      <c r="K267" s="450">
        <v>0</v>
      </c>
      <c r="L267" s="450">
        <v>0</v>
      </c>
      <c r="M267" s="450">
        <v>0</v>
      </c>
      <c r="N267" s="450">
        <v>0</v>
      </c>
      <c r="O267" s="450">
        <v>0</v>
      </c>
      <c r="P267" s="450">
        <v>0</v>
      </c>
      <c r="Q267" s="450">
        <v>0</v>
      </c>
      <c r="R267" s="450">
        <v>0</v>
      </c>
      <c r="S267" s="450">
        <v>0</v>
      </c>
      <c r="T267" s="450">
        <v>0</v>
      </c>
      <c r="U267" s="450">
        <v>0</v>
      </c>
      <c r="V267" s="450">
        <v>0</v>
      </c>
      <c r="W267" s="450">
        <v>0</v>
      </c>
      <c r="X267" s="450">
        <v>0</v>
      </c>
      <c r="Y267" s="450">
        <v>0</v>
      </c>
      <c r="Z267" s="450">
        <v>0</v>
      </c>
      <c r="AA267" s="450">
        <v>0</v>
      </c>
      <c r="AB267" s="450">
        <v>0</v>
      </c>
      <c r="AC267" s="450">
        <v>0</v>
      </c>
      <c r="AD267" s="450">
        <v>0</v>
      </c>
      <c r="AE267" s="450">
        <v>0</v>
      </c>
      <c r="AF267" s="450">
        <v>0</v>
      </c>
      <c r="AG267" s="450">
        <v>0</v>
      </c>
      <c r="AH267" s="450">
        <v>0</v>
      </c>
      <c r="AI267" s="450">
        <v>0</v>
      </c>
      <c r="AJ267" s="450">
        <v>0</v>
      </c>
      <c r="AK267" s="450">
        <v>0</v>
      </c>
      <c r="AL267" s="450">
        <v>0</v>
      </c>
    </row>
    <row r="268" spans="2:38">
      <c r="B268" s="122" t="str">
        <v>Cenário 20/03/2025 com IFC</v>
      </c>
      <c r="C268" s="448" t="str">
        <v>Operação Geral</v>
      </c>
      <c r="D268" s="149" t="str">
        <v>6</v>
      </c>
      <c r="E268" s="149" t="str">
        <v>6.1.2</v>
      </c>
      <c r="F268" s="149">
        <v>0</v>
      </c>
      <c r="G268" s="149">
        <v>0</v>
      </c>
      <c r="H268" s="267" t="str">
        <v>Repetidoras</v>
      </c>
      <c r="I268" s="192">
        <v>3165304.2468096483</v>
      </c>
      <c r="J268" s="192">
        <v>0</v>
      </c>
      <c r="K268" s="192">
        <v>0</v>
      </c>
      <c r="L268" s="192">
        <v>0</v>
      </c>
      <c r="M268" s="192">
        <v>0</v>
      </c>
      <c r="N268" s="192">
        <v>0</v>
      </c>
      <c r="O268" s="192">
        <v>0</v>
      </c>
      <c r="P268" s="192">
        <v>0</v>
      </c>
      <c r="Q268" s="192">
        <v>0</v>
      </c>
      <c r="R268" s="192">
        <v>0</v>
      </c>
      <c r="S268" s="192">
        <v>0</v>
      </c>
      <c r="T268" s="192">
        <v>0</v>
      </c>
      <c r="U268" s="192">
        <v>0</v>
      </c>
      <c r="V268" s="192">
        <v>0</v>
      </c>
      <c r="W268" s="192">
        <v>0</v>
      </c>
      <c r="X268" s="192">
        <v>0</v>
      </c>
      <c r="Y268" s="192">
        <v>0</v>
      </c>
      <c r="Z268" s="192">
        <v>0</v>
      </c>
      <c r="AA268" s="192">
        <v>0</v>
      </c>
      <c r="AB268" s="192">
        <v>0</v>
      </c>
      <c r="AC268" s="192">
        <v>0</v>
      </c>
      <c r="AD268" s="192">
        <v>0</v>
      </c>
      <c r="AE268" s="192">
        <v>0</v>
      </c>
      <c r="AF268" s="192">
        <v>0</v>
      </c>
      <c r="AG268" s="192">
        <v>0</v>
      </c>
      <c r="AH268" s="192">
        <v>0</v>
      </c>
      <c r="AI268" s="192">
        <v>0</v>
      </c>
      <c r="AJ268" s="192">
        <v>0</v>
      </c>
      <c r="AK268" s="192">
        <v>0</v>
      </c>
      <c r="AL268" s="192">
        <v>0</v>
      </c>
    </row>
    <row r="269" spans="2:38">
      <c r="B269" s="122" t="str">
        <v>Cenário 20/03/2025 com IFC</v>
      </c>
      <c r="C269" s="448" t="str">
        <v>Operação Geral</v>
      </c>
      <c r="D269" s="149" t="str">
        <v>6</v>
      </c>
      <c r="E269" s="149" t="str">
        <v>6.1.2</v>
      </c>
      <c r="F269" s="149">
        <v>0</v>
      </c>
      <c r="G269" s="149">
        <v>0</v>
      </c>
      <c r="H269" s="267" t="str">
        <v xml:space="preserve">Infra </v>
      </c>
      <c r="I269" s="192">
        <v>3896919.3107817876</v>
      </c>
      <c r="J269" s="192">
        <v>0</v>
      </c>
      <c r="K269" s="192">
        <v>0</v>
      </c>
      <c r="L269" s="192">
        <v>0</v>
      </c>
      <c r="M269" s="192">
        <v>0</v>
      </c>
      <c r="N269" s="192">
        <v>0</v>
      </c>
      <c r="O269" s="192">
        <v>0</v>
      </c>
      <c r="P269" s="192">
        <v>0</v>
      </c>
      <c r="Q269" s="192">
        <v>0</v>
      </c>
      <c r="R269" s="192">
        <v>0</v>
      </c>
      <c r="S269" s="192">
        <v>0</v>
      </c>
      <c r="T269" s="192">
        <v>0</v>
      </c>
      <c r="U269" s="192">
        <v>0</v>
      </c>
      <c r="V269" s="192">
        <v>0</v>
      </c>
      <c r="W269" s="192">
        <v>0</v>
      </c>
      <c r="X269" s="192">
        <v>0</v>
      </c>
      <c r="Y269" s="192">
        <v>0</v>
      </c>
      <c r="Z269" s="192">
        <v>0</v>
      </c>
      <c r="AA269" s="192">
        <v>0</v>
      </c>
      <c r="AB269" s="192">
        <v>0</v>
      </c>
      <c r="AC269" s="192">
        <v>0</v>
      </c>
      <c r="AD269" s="192">
        <v>0</v>
      </c>
      <c r="AE269" s="192">
        <v>0</v>
      </c>
      <c r="AF269" s="192">
        <v>0</v>
      </c>
      <c r="AG269" s="192">
        <v>0</v>
      </c>
      <c r="AH269" s="192">
        <v>0</v>
      </c>
      <c r="AI269" s="192">
        <v>0</v>
      </c>
      <c r="AJ269" s="192">
        <v>0</v>
      </c>
      <c r="AK269" s="192">
        <v>0</v>
      </c>
      <c r="AL269" s="192">
        <v>0</v>
      </c>
    </row>
    <row r="270" spans="2:38">
      <c r="B270" s="122" t="str">
        <v>Cenário 20/03/2025 com IFC</v>
      </c>
      <c r="C270" s="448" t="str">
        <v>Operação Geral</v>
      </c>
      <c r="D270" s="149" t="str">
        <v>6</v>
      </c>
      <c r="E270" s="149" t="str">
        <v>6.1.2</v>
      </c>
      <c r="F270" s="149">
        <v>0</v>
      </c>
      <c r="G270" s="149">
        <v>0</v>
      </c>
      <c r="H270" s="267" t="str">
        <v>Sistema de Telefonia Convencional</v>
      </c>
      <c r="I270" s="192">
        <v>0</v>
      </c>
      <c r="J270" s="192">
        <v>0</v>
      </c>
      <c r="K270" s="192">
        <v>0</v>
      </c>
      <c r="L270" s="192">
        <v>0</v>
      </c>
      <c r="M270" s="192">
        <v>0</v>
      </c>
      <c r="N270" s="192">
        <v>0</v>
      </c>
      <c r="O270" s="192">
        <v>0</v>
      </c>
      <c r="P270" s="192">
        <v>0</v>
      </c>
      <c r="Q270" s="192">
        <v>0</v>
      </c>
      <c r="R270" s="192">
        <v>0</v>
      </c>
      <c r="S270" s="192">
        <v>0</v>
      </c>
      <c r="T270" s="192">
        <v>0</v>
      </c>
      <c r="U270" s="192">
        <v>0</v>
      </c>
      <c r="V270" s="192">
        <v>0</v>
      </c>
      <c r="W270" s="192">
        <v>0</v>
      </c>
      <c r="X270" s="192">
        <v>0</v>
      </c>
      <c r="Y270" s="192">
        <v>0</v>
      </c>
      <c r="Z270" s="192">
        <v>0</v>
      </c>
      <c r="AA270" s="192">
        <v>0</v>
      </c>
      <c r="AB270" s="192">
        <v>0</v>
      </c>
      <c r="AC270" s="192">
        <v>0</v>
      </c>
      <c r="AD270" s="192">
        <v>0</v>
      </c>
      <c r="AE270" s="192">
        <v>0</v>
      </c>
      <c r="AF270" s="192">
        <v>0</v>
      </c>
      <c r="AG270" s="192">
        <v>0</v>
      </c>
      <c r="AH270" s="192">
        <v>0</v>
      </c>
      <c r="AI270" s="192">
        <v>0</v>
      </c>
      <c r="AJ270" s="192">
        <v>0</v>
      </c>
      <c r="AK270" s="192">
        <v>0</v>
      </c>
      <c r="AL270" s="192">
        <v>0</v>
      </c>
    </row>
    <row r="271" spans="2:38">
      <c r="B271" s="122" t="str">
        <v>Cenário 20/03/2025 com IFC</v>
      </c>
      <c r="C271" s="448" t="str">
        <v>Operação Geral</v>
      </c>
      <c r="D271" s="149" t="str">
        <v>6</v>
      </c>
      <c r="E271" s="149" t="str">
        <v>6.1.2</v>
      </c>
      <c r="F271" s="149">
        <v>1</v>
      </c>
      <c r="G271" s="149">
        <v>0</v>
      </c>
      <c r="H271" s="267" t="str">
        <v>Central Telefônica - Comunicação - Switch / Firewall</v>
      </c>
      <c r="I271" s="192">
        <v>0</v>
      </c>
      <c r="J271" s="192">
        <v>0</v>
      </c>
      <c r="K271" s="192">
        <v>0</v>
      </c>
      <c r="L271" s="192">
        <v>0</v>
      </c>
      <c r="M271" s="192">
        <v>0</v>
      </c>
      <c r="N271" s="192">
        <v>0</v>
      </c>
      <c r="O271" s="192">
        <v>0</v>
      </c>
      <c r="P271" s="192">
        <v>0</v>
      </c>
      <c r="Q271" s="192">
        <v>0</v>
      </c>
      <c r="R271" s="192">
        <v>0</v>
      </c>
      <c r="S271" s="192">
        <v>0</v>
      </c>
      <c r="T271" s="192">
        <v>0</v>
      </c>
      <c r="U271" s="192">
        <v>0</v>
      </c>
      <c r="V271" s="192">
        <v>0</v>
      </c>
      <c r="W271" s="192">
        <v>0</v>
      </c>
      <c r="X271" s="192">
        <v>0</v>
      </c>
      <c r="Y271" s="192">
        <v>0</v>
      </c>
      <c r="Z271" s="192">
        <v>0</v>
      </c>
      <c r="AA271" s="192">
        <v>0</v>
      </c>
      <c r="AB271" s="192">
        <v>0</v>
      </c>
      <c r="AC271" s="192">
        <v>0</v>
      </c>
      <c r="AD271" s="192">
        <v>0</v>
      </c>
      <c r="AE271" s="192">
        <v>0</v>
      </c>
      <c r="AF271" s="192">
        <v>0</v>
      </c>
      <c r="AG271" s="192">
        <v>0</v>
      </c>
      <c r="AH271" s="192">
        <v>0</v>
      </c>
      <c r="AI271" s="192">
        <v>0</v>
      </c>
      <c r="AJ271" s="192">
        <v>0</v>
      </c>
      <c r="AK271" s="192">
        <v>0</v>
      </c>
      <c r="AL271" s="192">
        <v>0</v>
      </c>
    </row>
    <row r="272" spans="2:38">
      <c r="B272" s="122" t="str">
        <v>Cenário 20/03/2025 com IFC</v>
      </c>
      <c r="C272" s="448" t="str">
        <v>Operação Geral</v>
      </c>
      <c r="D272" s="149" t="str">
        <v>6</v>
      </c>
      <c r="E272" s="149" t="str">
        <v>6.1.2</v>
      </c>
      <c r="F272" s="149">
        <v>0</v>
      </c>
      <c r="G272" s="149">
        <v>0</v>
      </c>
      <c r="H272" s="267" t="str">
        <v>Sistema de Telefonia Celular</v>
      </c>
      <c r="I272" s="192">
        <v>0</v>
      </c>
      <c r="J272" s="192">
        <v>0</v>
      </c>
      <c r="K272" s="192">
        <v>0</v>
      </c>
      <c r="L272" s="192">
        <v>0</v>
      </c>
      <c r="M272" s="192">
        <v>0</v>
      </c>
      <c r="N272" s="192">
        <v>0</v>
      </c>
      <c r="O272" s="192">
        <v>0</v>
      </c>
      <c r="P272" s="192">
        <v>0</v>
      </c>
      <c r="Q272" s="192">
        <v>0</v>
      </c>
      <c r="R272" s="192">
        <v>0</v>
      </c>
      <c r="S272" s="192">
        <v>0</v>
      </c>
      <c r="T272" s="192">
        <v>0</v>
      </c>
      <c r="U272" s="192">
        <v>0</v>
      </c>
      <c r="V272" s="192">
        <v>0</v>
      </c>
      <c r="W272" s="192">
        <v>0</v>
      </c>
      <c r="X272" s="192">
        <v>0</v>
      </c>
      <c r="Y272" s="192">
        <v>0</v>
      </c>
      <c r="Z272" s="192">
        <v>0</v>
      </c>
      <c r="AA272" s="192">
        <v>0</v>
      </c>
      <c r="AB272" s="192">
        <v>0</v>
      </c>
      <c r="AC272" s="192">
        <v>0</v>
      </c>
      <c r="AD272" s="192">
        <v>0</v>
      </c>
      <c r="AE272" s="192">
        <v>0</v>
      </c>
      <c r="AF272" s="192">
        <v>0</v>
      </c>
      <c r="AG272" s="192">
        <v>0</v>
      </c>
      <c r="AH272" s="192">
        <v>0</v>
      </c>
      <c r="AI272" s="192">
        <v>0</v>
      </c>
      <c r="AJ272" s="192">
        <v>0</v>
      </c>
      <c r="AK272" s="192">
        <v>0</v>
      </c>
      <c r="AL272" s="192">
        <v>0</v>
      </c>
    </row>
    <row r="273" spans="2:38">
      <c r="B273" s="122" t="str">
        <v>Cenário 20/03/2025 com IFC</v>
      </c>
      <c r="C273" s="448" t="str">
        <v>Operação Geral</v>
      </c>
      <c r="D273" s="149" t="str">
        <v>6</v>
      </c>
      <c r="E273" s="149" t="str">
        <v>6.1.2</v>
      </c>
      <c r="F273" s="149">
        <v>0</v>
      </c>
      <c r="G273" s="149">
        <v>0</v>
      </c>
      <c r="H273" s="267" t="str">
        <v>Aparelhos celulares</v>
      </c>
      <c r="I273" s="192">
        <v>179629.19999999998</v>
      </c>
      <c r="J273" s="192">
        <v>78861.599999999991</v>
      </c>
      <c r="K273" s="192">
        <v>21906</v>
      </c>
      <c r="L273" s="192">
        <v>0</v>
      </c>
      <c r="M273" s="192">
        <v>0</v>
      </c>
      <c r="N273" s="192">
        <v>0</v>
      </c>
      <c r="O273" s="192">
        <v>30668.399999999998</v>
      </c>
      <c r="P273" s="192">
        <v>0</v>
      </c>
      <c r="Q273" s="192">
        <v>0</v>
      </c>
      <c r="R273" s="192">
        <v>0</v>
      </c>
      <c r="S273" s="192">
        <v>0</v>
      </c>
      <c r="T273" s="192">
        <v>0</v>
      </c>
      <c r="U273" s="192">
        <v>0</v>
      </c>
      <c r="V273" s="192">
        <v>0</v>
      </c>
      <c r="W273" s="192">
        <v>0</v>
      </c>
      <c r="X273" s="192">
        <v>0</v>
      </c>
      <c r="Y273" s="192">
        <v>0</v>
      </c>
      <c r="Z273" s="192">
        <v>0</v>
      </c>
      <c r="AA273" s="192">
        <v>0</v>
      </c>
      <c r="AB273" s="192">
        <v>0</v>
      </c>
      <c r="AC273" s="192">
        <v>0</v>
      </c>
      <c r="AD273" s="192">
        <v>0</v>
      </c>
      <c r="AE273" s="192">
        <v>0</v>
      </c>
      <c r="AF273" s="192">
        <v>0</v>
      </c>
      <c r="AG273" s="192">
        <v>0</v>
      </c>
      <c r="AH273" s="192">
        <v>0</v>
      </c>
      <c r="AI273" s="192">
        <v>0</v>
      </c>
      <c r="AJ273" s="192">
        <v>0</v>
      </c>
      <c r="AK273" s="192">
        <v>0</v>
      </c>
      <c r="AL273" s="192">
        <v>0</v>
      </c>
    </row>
    <row r="274" spans="2:38">
      <c r="B274" s="122" t="str">
        <v>Cenário 20/03/2025 com IFC</v>
      </c>
      <c r="C274" s="448" t="str">
        <v>Operação Geral</v>
      </c>
      <c r="D274" s="149" t="str">
        <v>6</v>
      </c>
      <c r="E274" s="149" t="str">
        <v>6.1.2</v>
      </c>
      <c r="F274" s="149">
        <v>0</v>
      </c>
      <c r="G274" s="149">
        <v>0</v>
      </c>
      <c r="H274" s="267" t="str">
        <v>Sistema de Controle e Arrecadação</v>
      </c>
      <c r="I274" s="192">
        <v>0</v>
      </c>
      <c r="J274" s="192">
        <v>0</v>
      </c>
      <c r="K274" s="192">
        <v>0</v>
      </c>
      <c r="L274" s="192">
        <v>0</v>
      </c>
      <c r="M274" s="192">
        <v>0</v>
      </c>
      <c r="N274" s="192">
        <v>0</v>
      </c>
      <c r="O274" s="192">
        <v>0</v>
      </c>
      <c r="P274" s="192">
        <v>0</v>
      </c>
      <c r="Q274" s="192">
        <v>0</v>
      </c>
      <c r="R274" s="192">
        <v>0</v>
      </c>
      <c r="S274" s="192">
        <v>0</v>
      </c>
      <c r="T274" s="192">
        <v>0</v>
      </c>
      <c r="U274" s="192">
        <v>0</v>
      </c>
      <c r="V274" s="192">
        <v>0</v>
      </c>
      <c r="W274" s="192">
        <v>0</v>
      </c>
      <c r="X274" s="192">
        <v>0</v>
      </c>
      <c r="Y274" s="192">
        <v>0</v>
      </c>
      <c r="Z274" s="192">
        <v>0</v>
      </c>
      <c r="AA274" s="192">
        <v>0</v>
      </c>
      <c r="AB274" s="192">
        <v>0</v>
      </c>
      <c r="AC274" s="192">
        <v>0</v>
      </c>
      <c r="AD274" s="192">
        <v>0</v>
      </c>
      <c r="AE274" s="192">
        <v>0</v>
      </c>
      <c r="AF274" s="192">
        <v>0</v>
      </c>
      <c r="AG274" s="192">
        <v>0</v>
      </c>
      <c r="AH274" s="192">
        <v>0</v>
      </c>
      <c r="AI274" s="192">
        <v>0</v>
      </c>
      <c r="AJ274" s="192">
        <v>0</v>
      </c>
      <c r="AK274" s="192">
        <v>0</v>
      </c>
      <c r="AL274" s="192">
        <v>0</v>
      </c>
    </row>
    <row r="275" spans="2:38">
      <c r="B275" s="122" t="str">
        <v>Cenário 20/03/2025 com IFC</v>
      </c>
      <c r="C275" s="448" t="str">
        <v>Operação Geral</v>
      </c>
      <c r="D275" s="149" t="str">
        <v>6</v>
      </c>
      <c r="E275" s="149" t="str">
        <v>6.1.2</v>
      </c>
      <c r="F275" s="149">
        <v>0</v>
      </c>
      <c r="G275" s="149">
        <v>0</v>
      </c>
      <c r="H275" s="267" t="str">
        <v>Sistema Free Flow</v>
      </c>
      <c r="I275" s="192">
        <v>0</v>
      </c>
      <c r="J275" s="192">
        <v>0</v>
      </c>
      <c r="K275" s="192">
        <v>0</v>
      </c>
      <c r="L275" s="192">
        <v>0</v>
      </c>
      <c r="M275" s="192">
        <v>0</v>
      </c>
      <c r="N275" s="192">
        <v>0</v>
      </c>
      <c r="O275" s="192">
        <v>0</v>
      </c>
      <c r="P275" s="192">
        <v>0</v>
      </c>
      <c r="Q275" s="192">
        <v>0</v>
      </c>
      <c r="R275" s="192">
        <v>0</v>
      </c>
      <c r="S275" s="192">
        <v>0</v>
      </c>
      <c r="T275" s="192">
        <v>0</v>
      </c>
      <c r="U275" s="192">
        <v>0</v>
      </c>
      <c r="V275" s="192">
        <v>0</v>
      </c>
      <c r="W275" s="192">
        <v>0</v>
      </c>
      <c r="X275" s="192">
        <v>0</v>
      </c>
      <c r="Y275" s="192">
        <v>0</v>
      </c>
      <c r="Z275" s="192">
        <v>0</v>
      </c>
      <c r="AA275" s="192">
        <v>0</v>
      </c>
      <c r="AB275" s="192">
        <v>0</v>
      </c>
      <c r="AC275" s="192">
        <v>0</v>
      </c>
      <c r="AD275" s="192">
        <v>0</v>
      </c>
      <c r="AE275" s="192">
        <v>0</v>
      </c>
      <c r="AF275" s="192">
        <v>0</v>
      </c>
      <c r="AG275" s="192">
        <v>0</v>
      </c>
      <c r="AH275" s="192">
        <v>0</v>
      </c>
      <c r="AI275" s="192">
        <v>0</v>
      </c>
      <c r="AJ275" s="192">
        <v>0</v>
      </c>
      <c r="AK275" s="192">
        <v>0</v>
      </c>
      <c r="AL275" s="192">
        <v>0</v>
      </c>
    </row>
    <row r="276" spans="2:38">
      <c r="B276" s="122" t="str">
        <v>Cenário 20/03/2025 com IFC</v>
      </c>
      <c r="C276" s="448" t="str">
        <v>Operação Geral</v>
      </c>
      <c r="D276" s="149" t="str">
        <v>6</v>
      </c>
      <c r="E276" s="149" t="str">
        <v>6.1.2</v>
      </c>
      <c r="F276" s="149">
        <v>0</v>
      </c>
      <c r="G276" s="149">
        <v>0</v>
      </c>
      <c r="H276" s="267" t="str">
        <v>Sistema (Câmeras, sensores, gerador, etc)</v>
      </c>
      <c r="I276" s="192">
        <v>6369419.7385831876</v>
      </c>
      <c r="J276" s="192">
        <v>0</v>
      </c>
      <c r="K276" s="192">
        <v>0</v>
      </c>
      <c r="L276" s="192">
        <v>0</v>
      </c>
      <c r="M276" s="192">
        <v>0</v>
      </c>
      <c r="N276" s="192">
        <v>0</v>
      </c>
      <c r="O276" s="192">
        <v>0</v>
      </c>
      <c r="P276" s="192">
        <v>0</v>
      </c>
      <c r="Q276" s="192">
        <v>0</v>
      </c>
      <c r="R276" s="192">
        <v>0</v>
      </c>
      <c r="S276" s="192">
        <v>0</v>
      </c>
      <c r="T276" s="192">
        <v>0</v>
      </c>
      <c r="U276" s="192">
        <v>0</v>
      </c>
      <c r="V276" s="192">
        <v>0</v>
      </c>
      <c r="W276" s="192">
        <v>0</v>
      </c>
      <c r="X276" s="192">
        <v>0</v>
      </c>
      <c r="Y276" s="192">
        <v>0</v>
      </c>
      <c r="Z276" s="192">
        <v>0</v>
      </c>
      <c r="AA276" s="192">
        <v>0</v>
      </c>
      <c r="AB276" s="192">
        <v>0</v>
      </c>
      <c r="AC276" s="192">
        <v>0</v>
      </c>
      <c r="AD276" s="192">
        <v>0</v>
      </c>
      <c r="AE276" s="192">
        <v>0</v>
      </c>
      <c r="AF276" s="192">
        <v>0</v>
      </c>
      <c r="AG276" s="192">
        <v>0</v>
      </c>
      <c r="AH276" s="192">
        <v>0</v>
      </c>
      <c r="AI276" s="192">
        <v>0</v>
      </c>
      <c r="AJ276" s="192">
        <v>0</v>
      </c>
      <c r="AK276" s="192">
        <v>0</v>
      </c>
      <c r="AL276" s="192">
        <v>0</v>
      </c>
    </row>
    <row r="277" spans="2:38">
      <c r="B277" s="122" t="str">
        <v>Cenário 20/03/2025 com IFC</v>
      </c>
      <c r="C277" s="448" t="str">
        <v>Operação Geral</v>
      </c>
      <c r="D277" s="149" t="str">
        <v>6</v>
      </c>
      <c r="E277" s="149" t="str">
        <v>6.1.2</v>
      </c>
      <c r="F277" s="149">
        <v>0</v>
      </c>
      <c r="G277" s="149">
        <v>0</v>
      </c>
      <c r="H277" s="267" t="str">
        <v xml:space="preserve">Pórtico Free-flow </v>
      </c>
      <c r="I277" s="192">
        <v>623981.05434347328</v>
      </c>
      <c r="J277" s="192">
        <v>0</v>
      </c>
      <c r="K277" s="192">
        <v>0</v>
      </c>
      <c r="L277" s="192">
        <v>0</v>
      </c>
      <c r="M277" s="192">
        <v>222850.37655124048</v>
      </c>
      <c r="N277" s="192">
        <v>222850.37655124048</v>
      </c>
      <c r="O277" s="192">
        <v>0</v>
      </c>
      <c r="P277" s="192">
        <v>0</v>
      </c>
      <c r="Q277" s="192">
        <v>0</v>
      </c>
      <c r="R277" s="192">
        <v>0</v>
      </c>
      <c r="S277" s="192">
        <v>0</v>
      </c>
      <c r="T277" s="192">
        <v>0</v>
      </c>
      <c r="U277" s="192">
        <v>0</v>
      </c>
      <c r="V277" s="192">
        <v>0</v>
      </c>
      <c r="W277" s="192">
        <v>0</v>
      </c>
      <c r="X277" s="192">
        <v>0</v>
      </c>
      <c r="Y277" s="192">
        <v>0</v>
      </c>
      <c r="Z277" s="192">
        <v>0</v>
      </c>
      <c r="AA277" s="192">
        <v>0</v>
      </c>
      <c r="AB277" s="192">
        <v>0</v>
      </c>
      <c r="AC277" s="192">
        <v>0</v>
      </c>
      <c r="AD277" s="192">
        <v>0</v>
      </c>
      <c r="AE277" s="192">
        <v>0</v>
      </c>
      <c r="AF277" s="192">
        <v>0</v>
      </c>
      <c r="AG277" s="192">
        <v>0</v>
      </c>
      <c r="AH277" s="192">
        <v>0</v>
      </c>
      <c r="AI277" s="192">
        <v>0</v>
      </c>
      <c r="AJ277" s="192">
        <v>0</v>
      </c>
      <c r="AK277" s="192">
        <v>0</v>
      </c>
      <c r="AL277" s="192">
        <v>0</v>
      </c>
    </row>
    <row r="278" spans="2:38">
      <c r="B278" s="122" t="str">
        <v>Cenário 20/03/2025 com IFC</v>
      </c>
      <c r="C278" s="448" t="str">
        <v>Operação Geral</v>
      </c>
      <c r="D278" s="149" t="str">
        <v>6</v>
      </c>
      <c r="E278" s="149" t="str">
        <v>6.1.2</v>
      </c>
      <c r="F278" s="149">
        <v>0</v>
      </c>
      <c r="G278" s="149">
        <v>0</v>
      </c>
      <c r="H278" s="267" t="str">
        <v>Sensores de Tráfego (SAT) por localidade</v>
      </c>
      <c r="I278" s="192">
        <v>242069.00270777955</v>
      </c>
      <c r="J278" s="192">
        <v>0</v>
      </c>
      <c r="K278" s="192">
        <v>0</v>
      </c>
      <c r="L278" s="192">
        <v>0</v>
      </c>
      <c r="M278" s="192">
        <v>0</v>
      </c>
      <c r="N278" s="192">
        <v>0</v>
      </c>
      <c r="O278" s="192">
        <v>0</v>
      </c>
      <c r="P278" s="192">
        <v>0</v>
      </c>
      <c r="Q278" s="192">
        <v>0</v>
      </c>
      <c r="R278" s="192">
        <v>0</v>
      </c>
      <c r="S278" s="192">
        <v>0</v>
      </c>
      <c r="T278" s="192">
        <v>0</v>
      </c>
      <c r="U278" s="192">
        <v>0</v>
      </c>
      <c r="V278" s="192">
        <v>0</v>
      </c>
      <c r="W278" s="192">
        <v>0</v>
      </c>
      <c r="X278" s="192">
        <v>0</v>
      </c>
      <c r="Y278" s="192">
        <v>0</v>
      </c>
      <c r="Z278" s="192">
        <v>0</v>
      </c>
      <c r="AA278" s="192">
        <v>0</v>
      </c>
      <c r="AB278" s="192">
        <v>0</v>
      </c>
      <c r="AC278" s="192">
        <v>0</v>
      </c>
      <c r="AD278" s="192">
        <v>0</v>
      </c>
      <c r="AE278" s="192">
        <v>0</v>
      </c>
      <c r="AF278" s="192">
        <v>0</v>
      </c>
      <c r="AG278" s="192">
        <v>0</v>
      </c>
      <c r="AH278" s="192">
        <v>0</v>
      </c>
      <c r="AI278" s="192">
        <v>0</v>
      </c>
      <c r="AJ278" s="192">
        <v>0</v>
      </c>
      <c r="AK278" s="192">
        <v>0</v>
      </c>
      <c r="AL278" s="192">
        <v>0</v>
      </c>
    </row>
    <row r="279" spans="2:38">
      <c r="B279" s="122" t="str">
        <v>Cenário 20/03/2025 com IFC</v>
      </c>
      <c r="C279" s="448" t="str">
        <v>Operação Geral</v>
      </c>
      <c r="D279" s="149" t="str">
        <v>6</v>
      </c>
      <c r="E279" s="149" t="str">
        <v>6.1.2</v>
      </c>
      <c r="F279" s="449">
        <v>0</v>
      </c>
      <c r="G279" s="449">
        <v>0</v>
      </c>
      <c r="H279" s="267" t="str">
        <v>PMV + Pórtico</v>
      </c>
      <c r="I279" s="450">
        <v>4091533.077142098</v>
      </c>
      <c r="J279" s="450">
        <v>0</v>
      </c>
      <c r="K279" s="450">
        <v>0</v>
      </c>
      <c r="L279" s="450">
        <v>0</v>
      </c>
      <c r="M279" s="450">
        <v>0</v>
      </c>
      <c r="N279" s="450">
        <v>0</v>
      </c>
      <c r="O279" s="450">
        <v>0</v>
      </c>
      <c r="P279" s="450">
        <v>0</v>
      </c>
      <c r="Q279" s="450">
        <v>0</v>
      </c>
      <c r="R279" s="450">
        <v>0</v>
      </c>
      <c r="S279" s="450">
        <v>0</v>
      </c>
      <c r="T279" s="450">
        <v>0</v>
      </c>
      <c r="U279" s="450">
        <v>0</v>
      </c>
      <c r="V279" s="450">
        <v>0</v>
      </c>
      <c r="W279" s="450">
        <v>0</v>
      </c>
      <c r="X279" s="450">
        <v>0</v>
      </c>
      <c r="Y279" s="450">
        <v>0</v>
      </c>
      <c r="Z279" s="450">
        <v>0</v>
      </c>
      <c r="AA279" s="450">
        <v>0</v>
      </c>
      <c r="AB279" s="450">
        <v>0</v>
      </c>
      <c r="AC279" s="450">
        <v>0</v>
      </c>
      <c r="AD279" s="450">
        <v>0</v>
      </c>
      <c r="AE279" s="450">
        <v>0</v>
      </c>
      <c r="AF279" s="450">
        <v>0</v>
      </c>
      <c r="AG279" s="450">
        <v>0</v>
      </c>
      <c r="AH279" s="450">
        <v>0</v>
      </c>
      <c r="AI279" s="450">
        <v>0</v>
      </c>
      <c r="AJ279" s="450">
        <v>0</v>
      </c>
      <c r="AK279" s="450">
        <v>0</v>
      </c>
      <c r="AL279" s="450">
        <v>0</v>
      </c>
    </row>
    <row r="280" spans="2:38">
      <c r="B280" s="122" t="str">
        <v>Cenário 20/03/2025 com IFC</v>
      </c>
      <c r="C280" s="448" t="str">
        <v>Operação Geral</v>
      </c>
      <c r="D280" s="149" t="str">
        <v>6</v>
      </c>
      <c r="E280" s="149" t="str">
        <v>6.1.2</v>
      </c>
      <c r="F280" s="149">
        <v>0</v>
      </c>
      <c r="G280" s="149">
        <v>0</v>
      </c>
      <c r="H280" s="267" t="str">
        <v>Sistema HS-WIM</v>
      </c>
      <c r="I280" s="192">
        <v>0</v>
      </c>
      <c r="J280" s="192">
        <v>0</v>
      </c>
      <c r="K280" s="192">
        <v>0</v>
      </c>
      <c r="L280" s="192">
        <v>0</v>
      </c>
      <c r="M280" s="192">
        <v>0</v>
      </c>
      <c r="N280" s="192">
        <v>0</v>
      </c>
      <c r="O280" s="192">
        <v>0</v>
      </c>
      <c r="P280" s="192">
        <v>0</v>
      </c>
      <c r="Q280" s="192">
        <v>0</v>
      </c>
      <c r="R280" s="192">
        <v>0</v>
      </c>
      <c r="S280" s="192">
        <v>0</v>
      </c>
      <c r="T280" s="192">
        <v>0</v>
      </c>
      <c r="U280" s="192">
        <v>0</v>
      </c>
      <c r="V280" s="192">
        <v>0</v>
      </c>
      <c r="W280" s="192">
        <v>0</v>
      </c>
      <c r="X280" s="192">
        <v>0</v>
      </c>
      <c r="Y280" s="192">
        <v>0</v>
      </c>
      <c r="Z280" s="192">
        <v>0</v>
      </c>
      <c r="AA280" s="192">
        <v>0</v>
      </c>
      <c r="AB280" s="192">
        <v>0</v>
      </c>
      <c r="AC280" s="192">
        <v>0</v>
      </c>
      <c r="AD280" s="192">
        <v>0</v>
      </c>
      <c r="AE280" s="192">
        <v>0</v>
      </c>
      <c r="AF280" s="192">
        <v>0</v>
      </c>
      <c r="AG280" s="192">
        <v>0</v>
      </c>
      <c r="AH280" s="192">
        <v>0</v>
      </c>
      <c r="AI280" s="192">
        <v>0</v>
      </c>
      <c r="AJ280" s="192">
        <v>0</v>
      </c>
      <c r="AK280" s="192">
        <v>0</v>
      </c>
      <c r="AL280" s="192">
        <v>0</v>
      </c>
    </row>
    <row r="281" spans="2:38">
      <c r="B281" s="122" t="str">
        <v>Cenário 20/03/2025 com IFC</v>
      </c>
      <c r="C281" s="448" t="str">
        <v>Operação Geral</v>
      </c>
      <c r="D281" s="149" t="str">
        <v>6</v>
      </c>
      <c r="E281" s="149" t="str">
        <v>6.1.2</v>
      </c>
      <c r="F281" s="149">
        <v>0</v>
      </c>
      <c r="G281" s="149">
        <v>0</v>
      </c>
      <c r="H281" s="267" t="str">
        <v>Sistema (Software, sensores, gerador etc.)</v>
      </c>
      <c r="I281" s="192">
        <v>0</v>
      </c>
      <c r="J281" s="192">
        <v>0</v>
      </c>
      <c r="K281" s="192">
        <v>0</v>
      </c>
      <c r="L281" s="192">
        <v>0</v>
      </c>
      <c r="M281" s="192">
        <v>0</v>
      </c>
      <c r="N281" s="192">
        <v>3000000</v>
      </c>
      <c r="O281" s="192">
        <v>0</v>
      </c>
      <c r="P281" s="192">
        <v>0</v>
      </c>
      <c r="Q281" s="192">
        <v>0</v>
      </c>
      <c r="R281" s="192">
        <v>0</v>
      </c>
      <c r="S281" s="192">
        <v>0</v>
      </c>
      <c r="T281" s="192">
        <v>0</v>
      </c>
      <c r="U281" s="192">
        <v>0</v>
      </c>
      <c r="V281" s="192">
        <v>0</v>
      </c>
      <c r="W281" s="192">
        <v>0</v>
      </c>
      <c r="X281" s="192">
        <v>0</v>
      </c>
      <c r="Y281" s="192">
        <v>0</v>
      </c>
      <c r="Z281" s="192">
        <v>0</v>
      </c>
      <c r="AA281" s="192">
        <v>0</v>
      </c>
      <c r="AB281" s="192">
        <v>0</v>
      </c>
      <c r="AC281" s="192">
        <v>0</v>
      </c>
      <c r="AD281" s="192">
        <v>0</v>
      </c>
      <c r="AE281" s="192">
        <v>0</v>
      </c>
      <c r="AF281" s="192">
        <v>0</v>
      </c>
      <c r="AG281" s="192">
        <v>0</v>
      </c>
      <c r="AH281" s="192">
        <v>0</v>
      </c>
      <c r="AI281" s="192">
        <v>0</v>
      </c>
      <c r="AJ281" s="192">
        <v>0</v>
      </c>
      <c r="AK281" s="192">
        <v>0</v>
      </c>
      <c r="AL281" s="192">
        <v>0</v>
      </c>
    </row>
    <row r="282" spans="2:38">
      <c r="B282" s="122" t="str">
        <v>Cenário 20/03/2025 com IFC</v>
      </c>
      <c r="C282" s="448" t="str">
        <v>Operação Geral</v>
      </c>
      <c r="D282" s="149" t="str">
        <v>6</v>
      </c>
      <c r="E282" s="149" t="str">
        <v>6.1.2</v>
      </c>
      <c r="F282" s="149">
        <v>0</v>
      </c>
      <c r="G282" s="149">
        <v>0</v>
      </c>
      <c r="H282" s="267" t="str">
        <v>Câmeras</v>
      </c>
      <c r="I282" s="192">
        <v>0</v>
      </c>
      <c r="J282" s="192">
        <v>0</v>
      </c>
      <c r="K282" s="192">
        <v>0</v>
      </c>
      <c r="L282" s="192">
        <v>0</v>
      </c>
      <c r="M282" s="192">
        <v>0</v>
      </c>
      <c r="N282" s="192">
        <v>286246.88844123256</v>
      </c>
      <c r="O282" s="192">
        <v>0</v>
      </c>
      <c r="P282" s="192">
        <v>0</v>
      </c>
      <c r="Q282" s="192">
        <v>0</v>
      </c>
      <c r="R282" s="192">
        <v>0</v>
      </c>
      <c r="S282" s="192">
        <v>0</v>
      </c>
      <c r="T282" s="192">
        <v>0</v>
      </c>
      <c r="U282" s="192">
        <v>0</v>
      </c>
      <c r="V282" s="192">
        <v>0</v>
      </c>
      <c r="W282" s="192">
        <v>0</v>
      </c>
      <c r="X282" s="192">
        <v>0</v>
      </c>
      <c r="Y282" s="192">
        <v>0</v>
      </c>
      <c r="Z282" s="192">
        <v>0</v>
      </c>
      <c r="AA282" s="192">
        <v>0</v>
      </c>
      <c r="AB282" s="192">
        <v>0</v>
      </c>
      <c r="AC282" s="192">
        <v>0</v>
      </c>
      <c r="AD282" s="192">
        <v>0</v>
      </c>
      <c r="AE282" s="192">
        <v>0</v>
      </c>
      <c r="AF282" s="192">
        <v>0</v>
      </c>
      <c r="AG282" s="192">
        <v>0</v>
      </c>
      <c r="AH282" s="192">
        <v>0</v>
      </c>
      <c r="AI282" s="192">
        <v>0</v>
      </c>
      <c r="AJ282" s="192">
        <v>0</v>
      </c>
      <c r="AK282" s="192">
        <v>0</v>
      </c>
      <c r="AL282" s="192">
        <v>0</v>
      </c>
    </row>
    <row r="283" spans="2:38">
      <c r="B283" s="122" t="str">
        <v>Cenário 20/03/2025 com IFC</v>
      </c>
      <c r="C283" s="448" t="str">
        <v>Operação Geral</v>
      </c>
      <c r="D283" s="149" t="str">
        <v>6</v>
      </c>
      <c r="E283" s="149" t="str">
        <v>6.1.2</v>
      </c>
      <c r="F283" s="149">
        <v>0</v>
      </c>
      <c r="G283" s="149">
        <v>0</v>
      </c>
      <c r="H283" s="267" t="str">
        <v>Sensores de Tráfego (SAT) por localidade</v>
      </c>
      <c r="I283" s="192">
        <v>0</v>
      </c>
      <c r="J283" s="192">
        <v>0</v>
      </c>
      <c r="K283" s="192">
        <v>0</v>
      </c>
      <c r="L283" s="192">
        <v>0</v>
      </c>
      <c r="M283" s="192">
        <v>0</v>
      </c>
      <c r="N283" s="192">
        <v>228330.89193014853</v>
      </c>
      <c r="O283" s="192">
        <v>0</v>
      </c>
      <c r="P283" s="192">
        <v>0</v>
      </c>
      <c r="Q283" s="192">
        <v>0</v>
      </c>
      <c r="R283" s="192">
        <v>0</v>
      </c>
      <c r="S283" s="192">
        <v>0</v>
      </c>
      <c r="T283" s="192">
        <v>0</v>
      </c>
      <c r="U283" s="192">
        <v>0</v>
      </c>
      <c r="V283" s="192">
        <v>0</v>
      </c>
      <c r="W283" s="192">
        <v>0</v>
      </c>
      <c r="X283" s="192">
        <v>0</v>
      </c>
      <c r="Y283" s="192">
        <v>0</v>
      </c>
      <c r="Z283" s="192">
        <v>0</v>
      </c>
      <c r="AA283" s="192">
        <v>0</v>
      </c>
      <c r="AB283" s="192">
        <v>0</v>
      </c>
      <c r="AC283" s="192">
        <v>0</v>
      </c>
      <c r="AD283" s="192">
        <v>0</v>
      </c>
      <c r="AE283" s="192">
        <v>0</v>
      </c>
      <c r="AF283" s="192">
        <v>0</v>
      </c>
      <c r="AG283" s="192">
        <v>0</v>
      </c>
      <c r="AH283" s="192">
        <v>0</v>
      </c>
      <c r="AI283" s="192">
        <v>0</v>
      </c>
      <c r="AJ283" s="192">
        <v>0</v>
      </c>
      <c r="AK283" s="192">
        <v>0</v>
      </c>
      <c r="AL283" s="192">
        <v>0</v>
      </c>
    </row>
    <row r="284" spans="2:38">
      <c r="B284" s="122" t="str">
        <v>Cenário 20/03/2025 com IFC</v>
      </c>
      <c r="C284" s="448" t="str">
        <v>Operação Geral</v>
      </c>
      <c r="D284" s="149" t="str">
        <v>6</v>
      </c>
      <c r="E284" s="149" t="str">
        <v>6.1.2</v>
      </c>
      <c r="F284" s="149">
        <v>0</v>
      </c>
      <c r="G284" s="149">
        <v>0</v>
      </c>
      <c r="H284" s="267" t="str">
        <v>Pórtico HS-WIM (2 ou mais faixas)</v>
      </c>
      <c r="I284" s="192">
        <v>0</v>
      </c>
      <c r="J284" s="192">
        <v>0</v>
      </c>
      <c r="K284" s="192">
        <v>0</v>
      </c>
      <c r="L284" s="192">
        <v>0</v>
      </c>
      <c r="M284" s="192">
        <v>0</v>
      </c>
      <c r="N284" s="192">
        <v>222850.37655124048</v>
      </c>
      <c r="O284" s="192">
        <v>0</v>
      </c>
      <c r="P284" s="192">
        <v>0</v>
      </c>
      <c r="Q284" s="192">
        <v>0</v>
      </c>
      <c r="R284" s="192">
        <v>0</v>
      </c>
      <c r="S284" s="192">
        <v>0</v>
      </c>
      <c r="T284" s="192">
        <v>0</v>
      </c>
      <c r="U284" s="192">
        <v>0</v>
      </c>
      <c r="V284" s="192">
        <v>0</v>
      </c>
      <c r="W284" s="192">
        <v>0</v>
      </c>
      <c r="X284" s="192">
        <v>0</v>
      </c>
      <c r="Y284" s="192">
        <v>0</v>
      </c>
      <c r="Z284" s="192">
        <v>0</v>
      </c>
      <c r="AA284" s="192">
        <v>0</v>
      </c>
      <c r="AB284" s="192">
        <v>0</v>
      </c>
      <c r="AC284" s="192">
        <v>0</v>
      </c>
      <c r="AD284" s="192">
        <v>0</v>
      </c>
      <c r="AE284" s="192">
        <v>0</v>
      </c>
      <c r="AF284" s="192">
        <v>0</v>
      </c>
      <c r="AG284" s="192">
        <v>0</v>
      </c>
      <c r="AH284" s="192">
        <v>0</v>
      </c>
      <c r="AI284" s="192">
        <v>0</v>
      </c>
      <c r="AJ284" s="192">
        <v>0</v>
      </c>
      <c r="AK284" s="192">
        <v>0</v>
      </c>
      <c r="AL284" s="192">
        <v>0</v>
      </c>
    </row>
    <row r="285" spans="2:38">
      <c r="B285" s="122" t="str">
        <v>Cenário 20/03/2025 com IFC</v>
      </c>
      <c r="C285" s="448" t="str">
        <v>Operação Geral</v>
      </c>
      <c r="D285" s="149" t="str">
        <v>6</v>
      </c>
      <c r="E285" s="149" t="str">
        <v>6.1.2</v>
      </c>
      <c r="F285" s="149">
        <v>0</v>
      </c>
      <c r="G285" s="149">
        <v>0</v>
      </c>
      <c r="H285" s="267" t="str">
        <v>PMV + Pórtico</v>
      </c>
      <c r="I285" s="192">
        <v>0</v>
      </c>
      <c r="J285" s="192">
        <v>0</v>
      </c>
      <c r="K285" s="192">
        <v>0</v>
      </c>
      <c r="L285" s="192">
        <v>0</v>
      </c>
      <c r="M285" s="192">
        <v>0</v>
      </c>
      <c r="N285" s="192">
        <v>0</v>
      </c>
      <c r="O285" s="192">
        <v>0</v>
      </c>
      <c r="P285" s="192">
        <v>0</v>
      </c>
      <c r="Q285" s="192">
        <v>0</v>
      </c>
      <c r="R285" s="192">
        <v>0</v>
      </c>
      <c r="S285" s="192">
        <v>0</v>
      </c>
      <c r="T285" s="192">
        <v>0</v>
      </c>
      <c r="U285" s="192">
        <v>0</v>
      </c>
      <c r="V285" s="192">
        <v>0</v>
      </c>
      <c r="W285" s="192">
        <v>0</v>
      </c>
      <c r="X285" s="192">
        <v>0</v>
      </c>
      <c r="Y285" s="192">
        <v>0</v>
      </c>
      <c r="Z285" s="192">
        <v>0</v>
      </c>
      <c r="AA285" s="192">
        <v>0</v>
      </c>
      <c r="AB285" s="192">
        <v>0</v>
      </c>
      <c r="AC285" s="192">
        <v>0</v>
      </c>
      <c r="AD285" s="192">
        <v>0</v>
      </c>
      <c r="AE285" s="192">
        <v>0</v>
      </c>
      <c r="AF285" s="192">
        <v>0</v>
      </c>
      <c r="AG285" s="192">
        <v>0</v>
      </c>
      <c r="AH285" s="192">
        <v>0</v>
      </c>
      <c r="AI285" s="192">
        <v>0</v>
      </c>
      <c r="AJ285" s="192">
        <v>0</v>
      </c>
      <c r="AK285" s="192">
        <v>0</v>
      </c>
      <c r="AL285" s="192">
        <v>0</v>
      </c>
    </row>
    <row r="286" spans="2:38">
      <c r="B286" s="122" t="str">
        <v>Cenário 20/03/2025 com IFC</v>
      </c>
      <c r="C286" s="448" t="str">
        <v>Operação Geral</v>
      </c>
      <c r="D286" s="149" t="str">
        <v>6</v>
      </c>
      <c r="E286" s="149" t="str">
        <v>6.1.2</v>
      </c>
      <c r="F286" s="149">
        <v>0</v>
      </c>
      <c r="G286" s="149">
        <v>0</v>
      </c>
      <c r="H286" s="267" t="str">
        <v>Autoatendimento - Pagamento de pedágio</v>
      </c>
      <c r="I286" s="192">
        <v>0</v>
      </c>
      <c r="J286" s="192">
        <v>0</v>
      </c>
      <c r="K286" s="192">
        <v>0</v>
      </c>
      <c r="L286" s="192">
        <v>0</v>
      </c>
      <c r="M286" s="192">
        <v>0</v>
      </c>
      <c r="N286" s="192">
        <v>1082952.8374784226</v>
      </c>
      <c r="O286" s="192">
        <v>0</v>
      </c>
      <c r="P286" s="192">
        <v>0</v>
      </c>
      <c r="Q286" s="192">
        <v>0</v>
      </c>
      <c r="R286" s="192">
        <v>0</v>
      </c>
      <c r="S286" s="192">
        <v>0</v>
      </c>
      <c r="T286" s="192">
        <v>0</v>
      </c>
      <c r="U286" s="192">
        <v>0</v>
      </c>
      <c r="V286" s="192">
        <v>0</v>
      </c>
      <c r="W286" s="192">
        <v>0</v>
      </c>
      <c r="X286" s="192">
        <v>0</v>
      </c>
      <c r="Y286" s="192">
        <v>0</v>
      </c>
      <c r="Z286" s="192">
        <v>0</v>
      </c>
      <c r="AA286" s="192">
        <v>0</v>
      </c>
      <c r="AB286" s="192">
        <v>0</v>
      </c>
      <c r="AC286" s="192">
        <v>0</v>
      </c>
      <c r="AD286" s="192">
        <v>0</v>
      </c>
      <c r="AE286" s="192">
        <v>0</v>
      </c>
      <c r="AF286" s="192">
        <v>0</v>
      </c>
      <c r="AG286" s="192">
        <v>0</v>
      </c>
      <c r="AH286" s="192">
        <v>0</v>
      </c>
      <c r="AI286" s="192">
        <v>0</v>
      </c>
      <c r="AJ286" s="192">
        <v>0</v>
      </c>
      <c r="AK286" s="192">
        <v>0</v>
      </c>
      <c r="AL286" s="192">
        <v>0</v>
      </c>
    </row>
    <row r="287" spans="2:38">
      <c r="B287" s="122" t="str">
        <v>Cenário 20/03/2025 com IFC</v>
      </c>
      <c r="C287" s="448" t="str">
        <v>Operação Geral</v>
      </c>
      <c r="D287" s="149" t="str">
        <v>6</v>
      </c>
      <c r="E287" s="149" t="str">
        <v>6.1.2</v>
      </c>
      <c r="F287" s="149">
        <v>0</v>
      </c>
      <c r="G287" s="149">
        <v>0</v>
      </c>
      <c r="H287" s="267" t="str">
        <v>Totem de Autoatendimento</v>
      </c>
      <c r="I287" s="192">
        <v>602603.52594136586</v>
      </c>
      <c r="J287" s="192">
        <v>0</v>
      </c>
      <c r="K287" s="192">
        <v>0</v>
      </c>
      <c r="L287" s="192">
        <v>0</v>
      </c>
      <c r="M287" s="192">
        <v>0</v>
      </c>
      <c r="N287" s="192">
        <v>0</v>
      </c>
      <c r="O287" s="192">
        <v>0</v>
      </c>
      <c r="P287" s="192">
        <v>0</v>
      </c>
      <c r="Q287" s="192">
        <v>0</v>
      </c>
      <c r="R287" s="192">
        <v>0</v>
      </c>
      <c r="S287" s="192">
        <v>0</v>
      </c>
      <c r="T287" s="192">
        <v>0</v>
      </c>
      <c r="U287" s="192">
        <v>0</v>
      </c>
      <c r="V287" s="192">
        <v>0</v>
      </c>
      <c r="W287" s="192">
        <v>0</v>
      </c>
      <c r="X287" s="192">
        <v>0</v>
      </c>
      <c r="Y287" s="192">
        <v>0</v>
      </c>
      <c r="Z287" s="192">
        <v>0</v>
      </c>
      <c r="AA287" s="192">
        <v>0</v>
      </c>
      <c r="AB287" s="192">
        <v>0</v>
      </c>
      <c r="AC287" s="192">
        <v>0</v>
      </c>
      <c r="AD287" s="192">
        <v>0</v>
      </c>
      <c r="AE287" s="192">
        <v>0</v>
      </c>
      <c r="AF287" s="192">
        <v>0</v>
      </c>
      <c r="AG287" s="192">
        <v>0</v>
      </c>
      <c r="AH287" s="192">
        <v>0</v>
      </c>
      <c r="AI287" s="192">
        <v>0</v>
      </c>
      <c r="AJ287" s="192">
        <v>0</v>
      </c>
      <c r="AK287" s="192">
        <v>0</v>
      </c>
      <c r="AL287" s="192">
        <v>0</v>
      </c>
    </row>
    <row r="288" spans="2:38">
      <c r="B288" s="122" t="str">
        <v>Cenário 20/03/2025 com IFC</v>
      </c>
      <c r="C288" s="448">
        <v>0</v>
      </c>
      <c r="D288" s="149" t="str">
        <v>0</v>
      </c>
      <c r="E288" s="149">
        <v>0</v>
      </c>
      <c r="F288" s="449">
        <v>0</v>
      </c>
      <c r="G288" s="449">
        <v>0</v>
      </c>
      <c r="H288" s="267">
        <v>0</v>
      </c>
      <c r="I288" s="450">
        <v>0</v>
      </c>
      <c r="J288" s="450">
        <v>0</v>
      </c>
      <c r="K288" s="450">
        <v>0</v>
      </c>
      <c r="L288" s="450">
        <v>0</v>
      </c>
      <c r="M288" s="450">
        <v>0</v>
      </c>
      <c r="N288" s="450">
        <v>0</v>
      </c>
      <c r="O288" s="450">
        <v>0</v>
      </c>
      <c r="P288" s="450">
        <v>0</v>
      </c>
      <c r="Q288" s="450">
        <v>0</v>
      </c>
      <c r="R288" s="450">
        <v>0</v>
      </c>
      <c r="S288" s="450">
        <v>0</v>
      </c>
      <c r="T288" s="450">
        <v>0</v>
      </c>
      <c r="U288" s="450">
        <v>0</v>
      </c>
      <c r="V288" s="450">
        <v>0</v>
      </c>
      <c r="W288" s="450">
        <v>0</v>
      </c>
      <c r="X288" s="450">
        <v>0</v>
      </c>
      <c r="Y288" s="450">
        <v>0</v>
      </c>
      <c r="Z288" s="450">
        <v>0</v>
      </c>
      <c r="AA288" s="450">
        <v>0</v>
      </c>
      <c r="AB288" s="450">
        <v>0</v>
      </c>
      <c r="AC288" s="450">
        <v>0</v>
      </c>
      <c r="AD288" s="450">
        <v>0</v>
      </c>
      <c r="AE288" s="450">
        <v>0</v>
      </c>
      <c r="AF288" s="450">
        <v>0</v>
      </c>
      <c r="AG288" s="450">
        <v>0</v>
      </c>
      <c r="AH288" s="450">
        <v>0</v>
      </c>
      <c r="AI288" s="450">
        <v>0</v>
      </c>
      <c r="AJ288" s="450">
        <v>0</v>
      </c>
      <c r="AK288" s="450">
        <v>0</v>
      </c>
      <c r="AL288" s="450">
        <v>0</v>
      </c>
    </row>
    <row r="289" spans="2:38">
      <c r="B289" s="122" t="str">
        <v>Cenário 20/03/2025 com IFC</v>
      </c>
      <c r="C289" s="448">
        <v>0</v>
      </c>
      <c r="D289" s="149" t="str">
        <v>0</v>
      </c>
      <c r="E289" s="149">
        <v>0</v>
      </c>
      <c r="F289" s="149">
        <v>0</v>
      </c>
      <c r="G289" s="149">
        <v>0</v>
      </c>
      <c r="H289" s="267">
        <v>0</v>
      </c>
      <c r="I289" s="192">
        <v>0</v>
      </c>
      <c r="J289" s="192">
        <v>0</v>
      </c>
      <c r="K289" s="192">
        <v>0</v>
      </c>
      <c r="L289" s="192">
        <v>0</v>
      </c>
      <c r="M289" s="192">
        <v>0</v>
      </c>
      <c r="N289" s="192">
        <v>0</v>
      </c>
      <c r="O289" s="192">
        <v>0</v>
      </c>
      <c r="P289" s="192">
        <v>0</v>
      </c>
      <c r="Q289" s="192">
        <v>0</v>
      </c>
      <c r="R289" s="192">
        <v>0</v>
      </c>
      <c r="S289" s="192">
        <v>0</v>
      </c>
      <c r="T289" s="192">
        <v>0</v>
      </c>
      <c r="U289" s="192">
        <v>0</v>
      </c>
      <c r="V289" s="192">
        <v>0</v>
      </c>
      <c r="W289" s="192">
        <v>0</v>
      </c>
      <c r="X289" s="192">
        <v>0</v>
      </c>
      <c r="Y289" s="192">
        <v>0</v>
      </c>
      <c r="Z289" s="192">
        <v>0</v>
      </c>
      <c r="AA289" s="192">
        <v>0</v>
      </c>
      <c r="AB289" s="192">
        <v>0</v>
      </c>
      <c r="AC289" s="192">
        <v>0</v>
      </c>
      <c r="AD289" s="192">
        <v>0</v>
      </c>
      <c r="AE289" s="192">
        <v>0</v>
      </c>
      <c r="AF289" s="192">
        <v>0</v>
      </c>
      <c r="AG289" s="192">
        <v>0</v>
      </c>
      <c r="AH289" s="192">
        <v>0</v>
      </c>
      <c r="AI289" s="192">
        <v>0</v>
      </c>
      <c r="AJ289" s="192">
        <v>0</v>
      </c>
      <c r="AK289" s="192">
        <v>0</v>
      </c>
      <c r="AL289" s="192">
        <v>0</v>
      </c>
    </row>
    <row r="290" spans="2:38">
      <c r="B290" s="122" t="str">
        <v>Cenário 20/03/2025 com IFC</v>
      </c>
      <c r="C290" s="448">
        <v>0</v>
      </c>
      <c r="D290" s="149" t="str">
        <v>0</v>
      </c>
      <c r="E290" s="149">
        <v>0</v>
      </c>
      <c r="F290" s="149">
        <v>0</v>
      </c>
      <c r="G290" s="149">
        <v>0</v>
      </c>
      <c r="H290" s="267">
        <v>0</v>
      </c>
      <c r="I290" s="192">
        <v>0</v>
      </c>
      <c r="J290" s="192">
        <v>0</v>
      </c>
      <c r="K290" s="192">
        <v>0</v>
      </c>
      <c r="L290" s="192">
        <v>0</v>
      </c>
      <c r="M290" s="192">
        <v>0</v>
      </c>
      <c r="N290" s="192">
        <v>0</v>
      </c>
      <c r="O290" s="192">
        <v>0</v>
      </c>
      <c r="P290" s="192">
        <v>0</v>
      </c>
      <c r="Q290" s="192">
        <v>0</v>
      </c>
      <c r="R290" s="192">
        <v>0</v>
      </c>
      <c r="S290" s="192">
        <v>0</v>
      </c>
      <c r="T290" s="192">
        <v>0</v>
      </c>
      <c r="U290" s="192">
        <v>0</v>
      </c>
      <c r="V290" s="192">
        <v>0</v>
      </c>
      <c r="W290" s="192">
        <v>0</v>
      </c>
      <c r="X290" s="192">
        <v>0</v>
      </c>
      <c r="Y290" s="192">
        <v>0</v>
      </c>
      <c r="Z290" s="192">
        <v>0</v>
      </c>
      <c r="AA290" s="192">
        <v>0</v>
      </c>
      <c r="AB290" s="192">
        <v>0</v>
      </c>
      <c r="AC290" s="192">
        <v>0</v>
      </c>
      <c r="AD290" s="192">
        <v>0</v>
      </c>
      <c r="AE290" s="192">
        <v>0</v>
      </c>
      <c r="AF290" s="192">
        <v>0</v>
      </c>
      <c r="AG290" s="192">
        <v>0</v>
      </c>
      <c r="AH290" s="192">
        <v>0</v>
      </c>
      <c r="AI290" s="192">
        <v>0</v>
      </c>
      <c r="AJ290" s="192">
        <v>0</v>
      </c>
      <c r="AK290" s="192">
        <v>0</v>
      </c>
      <c r="AL290" s="192">
        <v>0</v>
      </c>
    </row>
    <row r="291" spans="2:38">
      <c r="B291" s="122" t="str">
        <v>Cenário 20/03/2025 com IFC</v>
      </c>
      <c r="C291" s="448">
        <v>0</v>
      </c>
      <c r="D291" s="149" t="str">
        <v>0</v>
      </c>
      <c r="E291" s="149">
        <v>0</v>
      </c>
      <c r="F291" s="149">
        <v>0</v>
      </c>
      <c r="G291" s="149">
        <v>0</v>
      </c>
      <c r="H291" s="267">
        <v>0</v>
      </c>
      <c r="I291" s="192">
        <v>0</v>
      </c>
      <c r="J291" s="192">
        <v>0</v>
      </c>
      <c r="K291" s="192">
        <v>0</v>
      </c>
      <c r="L291" s="192">
        <v>0</v>
      </c>
      <c r="M291" s="192">
        <v>0</v>
      </c>
      <c r="N291" s="192">
        <v>0</v>
      </c>
      <c r="O291" s="192">
        <v>0</v>
      </c>
      <c r="P291" s="192">
        <v>0</v>
      </c>
      <c r="Q291" s="192">
        <v>0</v>
      </c>
      <c r="R291" s="192">
        <v>0</v>
      </c>
      <c r="S291" s="192">
        <v>0</v>
      </c>
      <c r="T291" s="192">
        <v>0</v>
      </c>
      <c r="U291" s="192">
        <v>0</v>
      </c>
      <c r="V291" s="192">
        <v>0</v>
      </c>
      <c r="W291" s="192">
        <v>0</v>
      </c>
      <c r="X291" s="192">
        <v>0</v>
      </c>
      <c r="Y291" s="192">
        <v>0</v>
      </c>
      <c r="Z291" s="192">
        <v>0</v>
      </c>
      <c r="AA291" s="192">
        <v>0</v>
      </c>
      <c r="AB291" s="192">
        <v>0</v>
      </c>
      <c r="AC291" s="192">
        <v>0</v>
      </c>
      <c r="AD291" s="192">
        <v>0</v>
      </c>
      <c r="AE291" s="192">
        <v>0</v>
      </c>
      <c r="AF291" s="192">
        <v>0</v>
      </c>
      <c r="AG291" s="192">
        <v>0</v>
      </c>
      <c r="AH291" s="192">
        <v>0</v>
      </c>
      <c r="AI291" s="192">
        <v>0</v>
      </c>
      <c r="AJ291" s="192">
        <v>0</v>
      </c>
      <c r="AK291" s="192">
        <v>0</v>
      </c>
      <c r="AL291" s="192">
        <v>0</v>
      </c>
    </row>
    <row r="292" spans="2:38">
      <c r="B292" s="122" t="str">
        <v>Cenário 20/03/2025 com IFC</v>
      </c>
      <c r="C292" s="448">
        <v>0</v>
      </c>
      <c r="D292" s="149" t="str">
        <v>0</v>
      </c>
      <c r="E292" s="149">
        <v>0</v>
      </c>
      <c r="F292" s="149">
        <v>0</v>
      </c>
      <c r="G292" s="149">
        <v>0</v>
      </c>
      <c r="H292" s="267">
        <v>0</v>
      </c>
      <c r="I292" s="192">
        <v>0</v>
      </c>
      <c r="J292" s="192">
        <v>0</v>
      </c>
      <c r="K292" s="192">
        <v>0</v>
      </c>
      <c r="L292" s="192">
        <v>0</v>
      </c>
      <c r="M292" s="192">
        <v>0</v>
      </c>
      <c r="N292" s="192">
        <v>0</v>
      </c>
      <c r="O292" s="192">
        <v>0</v>
      </c>
      <c r="P292" s="192">
        <v>0</v>
      </c>
      <c r="Q292" s="192">
        <v>0</v>
      </c>
      <c r="R292" s="192">
        <v>0</v>
      </c>
      <c r="S292" s="192">
        <v>0</v>
      </c>
      <c r="T292" s="192">
        <v>0</v>
      </c>
      <c r="U292" s="192">
        <v>0</v>
      </c>
      <c r="V292" s="192">
        <v>0</v>
      </c>
      <c r="W292" s="192">
        <v>0</v>
      </c>
      <c r="X292" s="192">
        <v>0</v>
      </c>
      <c r="Y292" s="192">
        <v>0</v>
      </c>
      <c r="Z292" s="192">
        <v>0</v>
      </c>
      <c r="AA292" s="192">
        <v>0</v>
      </c>
      <c r="AB292" s="192">
        <v>0</v>
      </c>
      <c r="AC292" s="192">
        <v>0</v>
      </c>
      <c r="AD292" s="192">
        <v>0</v>
      </c>
      <c r="AE292" s="192">
        <v>0</v>
      </c>
      <c r="AF292" s="192">
        <v>0</v>
      </c>
      <c r="AG292" s="192">
        <v>0</v>
      </c>
      <c r="AH292" s="192">
        <v>0</v>
      </c>
      <c r="AI292" s="192">
        <v>0</v>
      </c>
      <c r="AJ292" s="192">
        <v>0</v>
      </c>
      <c r="AK292" s="192">
        <v>0</v>
      </c>
      <c r="AL292" s="192">
        <v>0</v>
      </c>
    </row>
    <row r="293" spans="2:38">
      <c r="B293" s="122" t="str">
        <v>Cenário 20/03/2025 com IFC</v>
      </c>
      <c r="C293" s="448">
        <v>0</v>
      </c>
      <c r="D293" s="149" t="str">
        <v>0</v>
      </c>
      <c r="E293" s="149">
        <v>0</v>
      </c>
      <c r="F293" s="149">
        <v>0</v>
      </c>
      <c r="G293" s="149">
        <v>0</v>
      </c>
      <c r="H293" s="267">
        <v>0</v>
      </c>
      <c r="I293" s="192">
        <v>0</v>
      </c>
      <c r="J293" s="192">
        <v>0</v>
      </c>
      <c r="K293" s="192">
        <v>0</v>
      </c>
      <c r="L293" s="192">
        <v>0</v>
      </c>
      <c r="M293" s="192">
        <v>0</v>
      </c>
      <c r="N293" s="192">
        <v>0</v>
      </c>
      <c r="O293" s="192">
        <v>0</v>
      </c>
      <c r="P293" s="192">
        <v>0</v>
      </c>
      <c r="Q293" s="192">
        <v>0</v>
      </c>
      <c r="R293" s="192">
        <v>0</v>
      </c>
      <c r="S293" s="192">
        <v>0</v>
      </c>
      <c r="T293" s="192">
        <v>0</v>
      </c>
      <c r="U293" s="192">
        <v>0</v>
      </c>
      <c r="V293" s="192">
        <v>0</v>
      </c>
      <c r="W293" s="192">
        <v>0</v>
      </c>
      <c r="X293" s="192">
        <v>0</v>
      </c>
      <c r="Y293" s="192">
        <v>0</v>
      </c>
      <c r="Z293" s="192">
        <v>0</v>
      </c>
      <c r="AA293" s="192">
        <v>0</v>
      </c>
      <c r="AB293" s="192">
        <v>0</v>
      </c>
      <c r="AC293" s="192">
        <v>0</v>
      </c>
      <c r="AD293" s="192">
        <v>0</v>
      </c>
      <c r="AE293" s="192">
        <v>0</v>
      </c>
      <c r="AF293" s="192">
        <v>0</v>
      </c>
      <c r="AG293" s="192">
        <v>0</v>
      </c>
      <c r="AH293" s="192">
        <v>0</v>
      </c>
      <c r="AI293" s="192">
        <v>0</v>
      </c>
      <c r="AJ293" s="192">
        <v>0</v>
      </c>
      <c r="AK293" s="192">
        <v>0</v>
      </c>
      <c r="AL293" s="192">
        <v>0</v>
      </c>
    </row>
    <row r="294" spans="2:38">
      <c r="B294" s="122" t="str">
        <v>Cenário 20/03/2025 com IFC</v>
      </c>
      <c r="C294" s="448">
        <v>0</v>
      </c>
      <c r="D294" s="149" t="str">
        <v>0</v>
      </c>
      <c r="E294" s="149">
        <v>0</v>
      </c>
      <c r="F294" s="149">
        <v>0</v>
      </c>
      <c r="G294" s="149">
        <v>0</v>
      </c>
      <c r="H294" s="267">
        <v>0</v>
      </c>
      <c r="I294" s="192">
        <v>0</v>
      </c>
      <c r="J294" s="192">
        <v>0</v>
      </c>
      <c r="K294" s="192">
        <v>0</v>
      </c>
      <c r="L294" s="192">
        <v>0</v>
      </c>
      <c r="M294" s="192">
        <v>0</v>
      </c>
      <c r="N294" s="192">
        <v>0</v>
      </c>
      <c r="O294" s="192">
        <v>0</v>
      </c>
      <c r="P294" s="192">
        <v>0</v>
      </c>
      <c r="Q294" s="192">
        <v>0</v>
      </c>
      <c r="R294" s="192">
        <v>0</v>
      </c>
      <c r="S294" s="192">
        <v>0</v>
      </c>
      <c r="T294" s="192">
        <v>0</v>
      </c>
      <c r="U294" s="192">
        <v>0</v>
      </c>
      <c r="V294" s="192">
        <v>0</v>
      </c>
      <c r="W294" s="192">
        <v>0</v>
      </c>
      <c r="X294" s="192">
        <v>0</v>
      </c>
      <c r="Y294" s="192">
        <v>0</v>
      </c>
      <c r="Z294" s="192">
        <v>0</v>
      </c>
      <c r="AA294" s="192">
        <v>0</v>
      </c>
      <c r="AB294" s="192">
        <v>0</v>
      </c>
      <c r="AC294" s="192">
        <v>0</v>
      </c>
      <c r="AD294" s="192">
        <v>0</v>
      </c>
      <c r="AE294" s="192">
        <v>0</v>
      </c>
      <c r="AF294" s="192">
        <v>0</v>
      </c>
      <c r="AG294" s="192">
        <v>0</v>
      </c>
      <c r="AH294" s="192">
        <v>0</v>
      </c>
      <c r="AI294" s="192">
        <v>0</v>
      </c>
      <c r="AJ294" s="192">
        <v>0</v>
      </c>
      <c r="AK294" s="192">
        <v>0</v>
      </c>
      <c r="AL294" s="192">
        <v>0</v>
      </c>
    </row>
    <row r="295" spans="2:38">
      <c r="B295" s="122" t="str">
        <v>Cenário 20/03/2025 com IFC</v>
      </c>
      <c r="C295" s="448">
        <v>0</v>
      </c>
      <c r="D295" s="149" t="str">
        <v>0</v>
      </c>
      <c r="E295" s="149">
        <v>0</v>
      </c>
      <c r="F295" s="149">
        <v>0</v>
      </c>
      <c r="G295" s="149">
        <v>0</v>
      </c>
      <c r="H295" s="267">
        <v>0</v>
      </c>
      <c r="I295" s="192">
        <v>0</v>
      </c>
      <c r="J295" s="192">
        <v>0</v>
      </c>
      <c r="K295" s="192">
        <v>0</v>
      </c>
      <c r="L295" s="192">
        <v>0</v>
      </c>
      <c r="M295" s="192">
        <v>0</v>
      </c>
      <c r="N295" s="192">
        <v>0</v>
      </c>
      <c r="O295" s="192">
        <v>0</v>
      </c>
      <c r="P295" s="192">
        <v>0</v>
      </c>
      <c r="Q295" s="192">
        <v>0</v>
      </c>
      <c r="R295" s="192">
        <v>0</v>
      </c>
      <c r="S295" s="192">
        <v>0</v>
      </c>
      <c r="T295" s="192">
        <v>0</v>
      </c>
      <c r="U295" s="192">
        <v>0</v>
      </c>
      <c r="V295" s="192">
        <v>0</v>
      </c>
      <c r="W295" s="192">
        <v>0</v>
      </c>
      <c r="X295" s="192">
        <v>0</v>
      </c>
      <c r="Y295" s="192">
        <v>0</v>
      </c>
      <c r="Z295" s="192">
        <v>0</v>
      </c>
      <c r="AA295" s="192">
        <v>0</v>
      </c>
      <c r="AB295" s="192">
        <v>0</v>
      </c>
      <c r="AC295" s="192">
        <v>0</v>
      </c>
      <c r="AD295" s="192">
        <v>0</v>
      </c>
      <c r="AE295" s="192">
        <v>0</v>
      </c>
      <c r="AF295" s="192">
        <v>0</v>
      </c>
      <c r="AG295" s="192">
        <v>0</v>
      </c>
      <c r="AH295" s="192">
        <v>0</v>
      </c>
      <c r="AI295" s="192">
        <v>0</v>
      </c>
      <c r="AJ295" s="192">
        <v>0</v>
      </c>
      <c r="AK295" s="192">
        <v>0</v>
      </c>
      <c r="AL295" s="192">
        <v>0</v>
      </c>
    </row>
    <row r="296" spans="2:38">
      <c r="B296" s="122" t="str">
        <v>Cenário 20/03/2025 com IFC</v>
      </c>
      <c r="C296" s="448">
        <v>0</v>
      </c>
      <c r="D296" s="149" t="str">
        <v>0</v>
      </c>
      <c r="E296" s="149">
        <v>0</v>
      </c>
      <c r="F296" s="149">
        <v>0</v>
      </c>
      <c r="G296" s="149">
        <v>0</v>
      </c>
      <c r="H296" s="267">
        <v>0</v>
      </c>
      <c r="I296" s="192">
        <v>0</v>
      </c>
      <c r="J296" s="192">
        <v>0</v>
      </c>
      <c r="K296" s="192">
        <v>0</v>
      </c>
      <c r="L296" s="192">
        <v>0</v>
      </c>
      <c r="M296" s="192">
        <v>0</v>
      </c>
      <c r="N296" s="192">
        <v>0</v>
      </c>
      <c r="O296" s="192">
        <v>0</v>
      </c>
      <c r="P296" s="192">
        <v>0</v>
      </c>
      <c r="Q296" s="192">
        <v>0</v>
      </c>
      <c r="R296" s="192">
        <v>0</v>
      </c>
      <c r="S296" s="192">
        <v>0</v>
      </c>
      <c r="T296" s="192">
        <v>0</v>
      </c>
      <c r="U296" s="192">
        <v>0</v>
      </c>
      <c r="V296" s="192">
        <v>0</v>
      </c>
      <c r="W296" s="192">
        <v>0</v>
      </c>
      <c r="X296" s="192">
        <v>0</v>
      </c>
      <c r="Y296" s="192">
        <v>0</v>
      </c>
      <c r="Z296" s="192">
        <v>0</v>
      </c>
      <c r="AA296" s="192">
        <v>0</v>
      </c>
      <c r="AB296" s="192">
        <v>0</v>
      </c>
      <c r="AC296" s="192">
        <v>0</v>
      </c>
      <c r="AD296" s="192">
        <v>0</v>
      </c>
      <c r="AE296" s="192">
        <v>0</v>
      </c>
      <c r="AF296" s="192">
        <v>0</v>
      </c>
      <c r="AG296" s="192">
        <v>0</v>
      </c>
      <c r="AH296" s="192">
        <v>0</v>
      </c>
      <c r="AI296" s="192">
        <v>0</v>
      </c>
      <c r="AJ296" s="192">
        <v>0</v>
      </c>
      <c r="AK296" s="192">
        <v>0</v>
      </c>
      <c r="AL296" s="192">
        <v>0</v>
      </c>
    </row>
    <row r="297" spans="2:38">
      <c r="B297" s="122" t="str">
        <v>Cenário 20/03/2025 com IFC</v>
      </c>
      <c r="C297" s="448">
        <v>0</v>
      </c>
      <c r="D297" s="149" t="str">
        <v>0</v>
      </c>
      <c r="E297" s="149">
        <v>0</v>
      </c>
      <c r="F297" s="449">
        <v>0</v>
      </c>
      <c r="G297" s="449">
        <v>0</v>
      </c>
      <c r="H297" s="267">
        <v>0</v>
      </c>
      <c r="I297" s="450">
        <v>0</v>
      </c>
      <c r="J297" s="450">
        <v>0</v>
      </c>
      <c r="K297" s="450">
        <v>0</v>
      </c>
      <c r="L297" s="450">
        <v>0</v>
      </c>
      <c r="M297" s="450">
        <v>0</v>
      </c>
      <c r="N297" s="450">
        <v>0</v>
      </c>
      <c r="O297" s="450">
        <v>0</v>
      </c>
      <c r="P297" s="450">
        <v>0</v>
      </c>
      <c r="Q297" s="450">
        <v>0</v>
      </c>
      <c r="R297" s="450">
        <v>0</v>
      </c>
      <c r="S297" s="450">
        <v>0</v>
      </c>
      <c r="T297" s="450">
        <v>0</v>
      </c>
      <c r="U297" s="450">
        <v>0</v>
      </c>
      <c r="V297" s="450">
        <v>0</v>
      </c>
      <c r="W297" s="450">
        <v>0</v>
      </c>
      <c r="X297" s="450">
        <v>0</v>
      </c>
      <c r="Y297" s="450">
        <v>0</v>
      </c>
      <c r="Z297" s="450">
        <v>0</v>
      </c>
      <c r="AA297" s="450">
        <v>0</v>
      </c>
      <c r="AB297" s="450">
        <v>0</v>
      </c>
      <c r="AC297" s="450">
        <v>0</v>
      </c>
      <c r="AD297" s="450">
        <v>0</v>
      </c>
      <c r="AE297" s="450">
        <v>0</v>
      </c>
      <c r="AF297" s="450">
        <v>0</v>
      </c>
      <c r="AG297" s="450">
        <v>0</v>
      </c>
      <c r="AH297" s="450">
        <v>0</v>
      </c>
      <c r="AI297" s="450">
        <v>0</v>
      </c>
      <c r="AJ297" s="450">
        <v>0</v>
      </c>
      <c r="AK297" s="450">
        <v>0</v>
      </c>
      <c r="AL297" s="450">
        <v>0</v>
      </c>
    </row>
    <row r="298" spans="2:38">
      <c r="B298" s="122" t="str">
        <v>Cenário 20/03/2025 com IFC</v>
      </c>
      <c r="C298" s="448">
        <v>0</v>
      </c>
      <c r="D298" s="149" t="str">
        <v>0</v>
      </c>
      <c r="E298" s="149">
        <v>0</v>
      </c>
      <c r="F298" s="149">
        <v>0</v>
      </c>
      <c r="G298" s="149">
        <v>0</v>
      </c>
      <c r="H298" s="267">
        <v>0</v>
      </c>
      <c r="I298" s="192">
        <v>0</v>
      </c>
      <c r="J298" s="192">
        <v>0</v>
      </c>
      <c r="K298" s="192">
        <v>0</v>
      </c>
      <c r="L298" s="192">
        <v>0</v>
      </c>
      <c r="M298" s="192">
        <v>0</v>
      </c>
      <c r="N298" s="192">
        <v>0</v>
      </c>
      <c r="O298" s="192">
        <v>0</v>
      </c>
      <c r="P298" s="192">
        <v>0</v>
      </c>
      <c r="Q298" s="192">
        <v>0</v>
      </c>
      <c r="R298" s="192">
        <v>0</v>
      </c>
      <c r="S298" s="192">
        <v>0</v>
      </c>
      <c r="T298" s="192">
        <v>0</v>
      </c>
      <c r="U298" s="192">
        <v>0</v>
      </c>
      <c r="V298" s="192">
        <v>0</v>
      </c>
      <c r="W298" s="192">
        <v>0</v>
      </c>
      <c r="X298" s="192">
        <v>0</v>
      </c>
      <c r="Y298" s="192">
        <v>0</v>
      </c>
      <c r="Z298" s="192">
        <v>0</v>
      </c>
      <c r="AA298" s="192">
        <v>0</v>
      </c>
      <c r="AB298" s="192">
        <v>0</v>
      </c>
      <c r="AC298" s="192">
        <v>0</v>
      </c>
      <c r="AD298" s="192">
        <v>0</v>
      </c>
      <c r="AE298" s="192">
        <v>0</v>
      </c>
      <c r="AF298" s="192">
        <v>0</v>
      </c>
      <c r="AG298" s="192">
        <v>0</v>
      </c>
      <c r="AH298" s="192">
        <v>0</v>
      </c>
      <c r="AI298" s="192">
        <v>0</v>
      </c>
      <c r="AJ298" s="192">
        <v>0</v>
      </c>
      <c r="AK298" s="192">
        <v>0</v>
      </c>
      <c r="AL298" s="192">
        <v>0</v>
      </c>
    </row>
    <row r="299" spans="2:38">
      <c r="B299" s="122" t="str">
        <v>Cenário 20/03/2025 com IFC</v>
      </c>
      <c r="C299" s="448" t="str">
        <v>Operação Geral</v>
      </c>
      <c r="D299" s="149" t="str">
        <v>6</v>
      </c>
      <c r="E299" s="149" t="str">
        <v>6.2</v>
      </c>
      <c r="F299" s="149">
        <v>0</v>
      </c>
      <c r="G299" s="149">
        <v>0</v>
      </c>
      <c r="H299" s="267" t="str">
        <v>Reposição e atualização dos equipamentos e sistemas</v>
      </c>
      <c r="I299" s="192">
        <v>0</v>
      </c>
      <c r="J299" s="192">
        <v>0</v>
      </c>
      <c r="K299" s="192">
        <v>0</v>
      </c>
      <c r="L299" s="192">
        <v>0</v>
      </c>
      <c r="M299" s="192">
        <v>0</v>
      </c>
      <c r="N299" s="192">
        <v>0</v>
      </c>
      <c r="O299" s="192">
        <v>0</v>
      </c>
      <c r="P299" s="192">
        <v>0</v>
      </c>
      <c r="Q299" s="192">
        <v>0</v>
      </c>
      <c r="R299" s="192">
        <v>0</v>
      </c>
      <c r="S299" s="192">
        <v>0</v>
      </c>
      <c r="T299" s="192">
        <v>0</v>
      </c>
      <c r="U299" s="192">
        <v>0</v>
      </c>
      <c r="V299" s="192">
        <v>0</v>
      </c>
      <c r="W299" s="192">
        <v>0</v>
      </c>
      <c r="X299" s="192">
        <v>0</v>
      </c>
      <c r="Y299" s="192">
        <v>0</v>
      </c>
      <c r="Z299" s="192">
        <v>0</v>
      </c>
      <c r="AA299" s="192">
        <v>0</v>
      </c>
      <c r="AB299" s="192">
        <v>0</v>
      </c>
      <c r="AC299" s="192">
        <v>0</v>
      </c>
      <c r="AD299" s="192">
        <v>0</v>
      </c>
      <c r="AE299" s="192">
        <v>0</v>
      </c>
      <c r="AF299" s="192">
        <v>0</v>
      </c>
      <c r="AG299" s="192">
        <v>0</v>
      </c>
      <c r="AH299" s="192">
        <v>0</v>
      </c>
      <c r="AI299" s="192">
        <v>0</v>
      </c>
      <c r="AJ299" s="192">
        <v>0</v>
      </c>
      <c r="AK299" s="192">
        <v>0</v>
      </c>
      <c r="AL299" s="192">
        <v>0</v>
      </c>
    </row>
    <row r="300" spans="2:38">
      <c r="B300" s="122" t="str">
        <v>Cenário 20/03/2025 com IFC</v>
      </c>
      <c r="C300" s="448" t="str">
        <v>Operação Geral</v>
      </c>
      <c r="D300" s="149" t="str">
        <v>6</v>
      </c>
      <c r="E300" s="149" t="str">
        <v>6.2.1</v>
      </c>
      <c r="F300" s="149">
        <v>0</v>
      </c>
      <c r="G300" s="149">
        <v>1</v>
      </c>
      <c r="H300" s="267" t="str">
        <v>Reposição de veículos</v>
      </c>
      <c r="I300" s="192">
        <v>0</v>
      </c>
      <c r="J300" s="192">
        <v>0</v>
      </c>
      <c r="K300" s="192">
        <v>168287.7</v>
      </c>
      <c r="L300" s="192">
        <v>0</v>
      </c>
      <c r="M300" s="192">
        <v>3411292.1958080009</v>
      </c>
      <c r="N300" s="192">
        <v>1427526.1009006985</v>
      </c>
      <c r="O300" s="192">
        <v>476731.63033709448</v>
      </c>
      <c r="P300" s="192">
        <v>0</v>
      </c>
      <c r="Q300" s="192">
        <v>3411292.1958080009</v>
      </c>
      <c r="R300" s="192">
        <v>0</v>
      </c>
      <c r="S300" s="192">
        <v>1595813.8009006984</v>
      </c>
      <c r="T300" s="192">
        <v>0</v>
      </c>
      <c r="U300" s="192">
        <v>3719736.1261450956</v>
      </c>
      <c r="V300" s="192">
        <v>0</v>
      </c>
      <c r="W300" s="192">
        <v>168287.7</v>
      </c>
      <c r="X300" s="192">
        <v>1427526.1009006985</v>
      </c>
      <c r="Y300" s="192">
        <v>3411292.1958080009</v>
      </c>
      <c r="Z300" s="192">
        <v>0</v>
      </c>
      <c r="AA300" s="192">
        <v>476731.63033709448</v>
      </c>
      <c r="AB300" s="192">
        <v>0</v>
      </c>
      <c r="AC300" s="192">
        <v>4154166.1082286993</v>
      </c>
      <c r="AD300" s="192">
        <v>0</v>
      </c>
      <c r="AE300" s="192">
        <v>168287.7</v>
      </c>
      <c r="AF300" s="192">
        <v>0</v>
      </c>
      <c r="AG300" s="192">
        <v>3240479.5942090945</v>
      </c>
      <c r="AH300" s="192">
        <v>0</v>
      </c>
      <c r="AI300" s="192">
        <v>0</v>
      </c>
      <c r="AJ300" s="192">
        <v>0</v>
      </c>
      <c r="AK300" s="192">
        <v>0</v>
      </c>
      <c r="AL300" s="192">
        <v>0</v>
      </c>
    </row>
    <row r="301" spans="2:38">
      <c r="B301" s="122" t="str">
        <v>Cenário 20/03/2025 com IFC</v>
      </c>
      <c r="C301" s="448" t="str">
        <v>Operação Geral</v>
      </c>
      <c r="D301" s="149" t="str">
        <v>6</v>
      </c>
      <c r="E301" s="149" t="str">
        <v>6.2.2</v>
      </c>
      <c r="F301" s="149">
        <v>0</v>
      </c>
      <c r="G301" s="149">
        <v>1</v>
      </c>
      <c r="H301" s="267" t="str">
        <v>Sede/Centro Administrativo</v>
      </c>
      <c r="I301" s="192">
        <v>0</v>
      </c>
      <c r="J301" s="192">
        <v>0</v>
      </c>
      <c r="K301" s="192">
        <v>0</v>
      </c>
      <c r="L301" s="192">
        <v>0</v>
      </c>
      <c r="M301" s="192">
        <v>0</v>
      </c>
      <c r="N301" s="192">
        <v>0</v>
      </c>
      <c r="O301" s="192">
        <v>0</v>
      </c>
      <c r="P301" s="192">
        <v>0</v>
      </c>
      <c r="Q301" s="192">
        <v>0</v>
      </c>
      <c r="R301" s="192">
        <v>0</v>
      </c>
      <c r="S301" s="192">
        <v>0</v>
      </c>
      <c r="T301" s="192">
        <v>0</v>
      </c>
      <c r="U301" s="192">
        <v>0</v>
      </c>
      <c r="V301" s="192">
        <v>0</v>
      </c>
      <c r="W301" s="192">
        <v>0</v>
      </c>
      <c r="X301" s="192">
        <v>0</v>
      </c>
      <c r="Y301" s="192">
        <v>0</v>
      </c>
      <c r="Z301" s="192">
        <v>0</v>
      </c>
      <c r="AA301" s="192">
        <v>0</v>
      </c>
      <c r="AB301" s="192">
        <v>0</v>
      </c>
      <c r="AC301" s="192">
        <v>0</v>
      </c>
      <c r="AD301" s="192">
        <v>0</v>
      </c>
      <c r="AE301" s="192">
        <v>0</v>
      </c>
      <c r="AF301" s="192">
        <v>0</v>
      </c>
      <c r="AG301" s="192">
        <v>0</v>
      </c>
      <c r="AH301" s="192">
        <v>0</v>
      </c>
      <c r="AI301" s="192">
        <v>0</v>
      </c>
      <c r="AJ301" s="192">
        <v>0</v>
      </c>
      <c r="AK301" s="192">
        <v>0</v>
      </c>
      <c r="AL301" s="192">
        <v>0</v>
      </c>
    </row>
    <row r="302" spans="2:38">
      <c r="B302" s="122" t="str">
        <v>Cenário 20/03/2025 com IFC</v>
      </c>
      <c r="C302" s="448" t="str">
        <v>Operação Geral</v>
      </c>
      <c r="D302" s="149" t="str">
        <v>6</v>
      </c>
      <c r="E302" s="149" t="str">
        <v>6.2.2</v>
      </c>
      <c r="F302" s="149">
        <v>0</v>
      </c>
      <c r="G302" s="149">
        <v>1</v>
      </c>
      <c r="H302" s="267" t="str">
        <v>ISO 9001:2008</v>
      </c>
      <c r="I302" s="192">
        <v>0</v>
      </c>
      <c r="J302" s="192">
        <v>0</v>
      </c>
      <c r="K302" s="192">
        <v>0</v>
      </c>
      <c r="L302" s="192">
        <v>0</v>
      </c>
      <c r="M302" s="192">
        <v>0</v>
      </c>
      <c r="N302" s="192">
        <v>0</v>
      </c>
      <c r="O302" s="192">
        <v>0</v>
      </c>
      <c r="P302" s="192">
        <v>0</v>
      </c>
      <c r="Q302" s="192">
        <v>0</v>
      </c>
      <c r="R302" s="192">
        <v>0</v>
      </c>
      <c r="S302" s="192">
        <v>0</v>
      </c>
      <c r="T302" s="192">
        <v>0</v>
      </c>
      <c r="U302" s="192">
        <v>0</v>
      </c>
      <c r="V302" s="192">
        <v>0</v>
      </c>
      <c r="W302" s="192">
        <v>0</v>
      </c>
      <c r="X302" s="192">
        <v>0</v>
      </c>
      <c r="Y302" s="192">
        <v>0</v>
      </c>
      <c r="Z302" s="192">
        <v>0</v>
      </c>
      <c r="AA302" s="192">
        <v>0</v>
      </c>
      <c r="AB302" s="192">
        <v>0</v>
      </c>
      <c r="AC302" s="192">
        <v>0</v>
      </c>
      <c r="AD302" s="192">
        <v>0</v>
      </c>
      <c r="AE302" s="192">
        <v>0</v>
      </c>
      <c r="AF302" s="192">
        <v>0</v>
      </c>
      <c r="AG302" s="192">
        <v>0</v>
      </c>
      <c r="AH302" s="192">
        <v>0</v>
      </c>
      <c r="AI302" s="192">
        <v>0</v>
      </c>
      <c r="AJ302" s="192">
        <v>0</v>
      </c>
      <c r="AK302" s="192">
        <v>0</v>
      </c>
      <c r="AL302" s="192">
        <v>0</v>
      </c>
    </row>
    <row r="303" spans="2:38">
      <c r="B303" s="122" t="str">
        <v>Cenário 20/03/2025 com IFC</v>
      </c>
      <c r="C303" s="448" t="str">
        <v>Operação Geral</v>
      </c>
      <c r="D303" s="149" t="str">
        <v>6</v>
      </c>
      <c r="E303" s="149" t="str">
        <v>6.2.2</v>
      </c>
      <c r="F303" s="149">
        <v>0</v>
      </c>
      <c r="G303" s="149">
        <v>1</v>
      </c>
      <c r="H303" s="267" t="str">
        <v>Tecnologia da Informação</v>
      </c>
      <c r="I303" s="192">
        <v>0</v>
      </c>
      <c r="J303" s="192">
        <v>0</v>
      </c>
      <c r="K303" s="192">
        <v>0</v>
      </c>
      <c r="L303" s="192">
        <v>0</v>
      </c>
      <c r="M303" s="192">
        <v>0</v>
      </c>
      <c r="N303" s="192">
        <v>0</v>
      </c>
      <c r="O303" s="192">
        <v>0</v>
      </c>
      <c r="P303" s="192">
        <v>0</v>
      </c>
      <c r="Q303" s="192">
        <v>0</v>
      </c>
      <c r="R303" s="192">
        <v>0</v>
      </c>
      <c r="S303" s="192">
        <v>0</v>
      </c>
      <c r="T303" s="192">
        <v>0</v>
      </c>
      <c r="U303" s="192">
        <v>0</v>
      </c>
      <c r="V303" s="192">
        <v>0</v>
      </c>
      <c r="W303" s="192">
        <v>0</v>
      </c>
      <c r="X303" s="192">
        <v>0</v>
      </c>
      <c r="Y303" s="192">
        <v>0</v>
      </c>
      <c r="Z303" s="192">
        <v>0</v>
      </c>
      <c r="AA303" s="192">
        <v>0</v>
      </c>
      <c r="AB303" s="192">
        <v>0</v>
      </c>
      <c r="AC303" s="192">
        <v>0</v>
      </c>
      <c r="AD303" s="192">
        <v>0</v>
      </c>
      <c r="AE303" s="192">
        <v>0</v>
      </c>
      <c r="AF303" s="192">
        <v>0</v>
      </c>
      <c r="AG303" s="192">
        <v>0</v>
      </c>
      <c r="AH303" s="192">
        <v>0</v>
      </c>
      <c r="AI303" s="192">
        <v>0</v>
      </c>
      <c r="AJ303" s="192">
        <v>0</v>
      </c>
      <c r="AK303" s="192">
        <v>0</v>
      </c>
      <c r="AL303" s="192">
        <v>0</v>
      </c>
    </row>
    <row r="304" spans="2:38">
      <c r="B304" s="122" t="str">
        <v>Cenário 20/03/2025 com IFC</v>
      </c>
      <c r="C304" s="448" t="str">
        <v>Operação Geral</v>
      </c>
      <c r="D304" s="149" t="str">
        <v>6</v>
      </c>
      <c r="E304" s="149" t="str">
        <v>6.2.2</v>
      </c>
      <c r="F304" s="149">
        <v>1</v>
      </c>
      <c r="G304" s="149">
        <v>1</v>
      </c>
      <c r="H304" s="267" t="str">
        <v>Servidor de Gerenciamento/Virtualização</v>
      </c>
      <c r="I304" s="192">
        <v>0</v>
      </c>
      <c r="J304" s="192">
        <v>0</v>
      </c>
      <c r="K304" s="192">
        <v>0</v>
      </c>
      <c r="L304" s="192">
        <v>0</v>
      </c>
      <c r="M304" s="192">
        <v>0</v>
      </c>
      <c r="N304" s="192">
        <v>0</v>
      </c>
      <c r="O304" s="192">
        <v>0</v>
      </c>
      <c r="P304" s="192">
        <v>0</v>
      </c>
      <c r="Q304" s="192">
        <v>0</v>
      </c>
      <c r="R304" s="192">
        <v>0</v>
      </c>
      <c r="S304" s="192">
        <v>0</v>
      </c>
      <c r="T304" s="192">
        <v>0</v>
      </c>
      <c r="U304" s="192">
        <v>0</v>
      </c>
      <c r="V304" s="192">
        <v>0</v>
      </c>
      <c r="W304" s="192">
        <v>0</v>
      </c>
      <c r="X304" s="192">
        <v>0</v>
      </c>
      <c r="Y304" s="192">
        <v>0</v>
      </c>
      <c r="Z304" s="192">
        <v>0</v>
      </c>
      <c r="AA304" s="192">
        <v>0</v>
      </c>
      <c r="AB304" s="192">
        <v>0</v>
      </c>
      <c r="AC304" s="192">
        <v>0</v>
      </c>
      <c r="AD304" s="192">
        <v>0</v>
      </c>
      <c r="AE304" s="192">
        <v>0</v>
      </c>
      <c r="AF304" s="192">
        <v>0</v>
      </c>
      <c r="AG304" s="192">
        <v>0</v>
      </c>
      <c r="AH304" s="192">
        <v>0</v>
      </c>
      <c r="AI304" s="192">
        <v>0</v>
      </c>
      <c r="AJ304" s="192">
        <v>0</v>
      </c>
      <c r="AK304" s="192">
        <v>0</v>
      </c>
      <c r="AL304" s="192">
        <v>0</v>
      </c>
    </row>
    <row r="305" spans="2:38">
      <c r="B305" s="122" t="str">
        <v>Cenário 20/03/2025 com IFC</v>
      </c>
      <c r="C305" s="448" t="str">
        <v>Operação Geral</v>
      </c>
      <c r="D305" s="149" t="str">
        <v>6</v>
      </c>
      <c r="E305" s="149" t="str">
        <v>6.2.2</v>
      </c>
      <c r="F305" s="149">
        <v>1</v>
      </c>
      <c r="G305" s="149">
        <v>1</v>
      </c>
      <c r="H305" s="267" t="str">
        <v>Servidor de Backup</v>
      </c>
      <c r="I305" s="192">
        <v>0</v>
      </c>
      <c r="J305" s="192">
        <v>0</v>
      </c>
      <c r="K305" s="192">
        <v>0</v>
      </c>
      <c r="L305" s="192">
        <v>0</v>
      </c>
      <c r="M305" s="192">
        <v>0</v>
      </c>
      <c r="N305" s="192">
        <v>0</v>
      </c>
      <c r="O305" s="192">
        <v>0</v>
      </c>
      <c r="P305" s="192">
        <v>0</v>
      </c>
      <c r="Q305" s="192">
        <v>0</v>
      </c>
      <c r="R305" s="192">
        <v>0</v>
      </c>
      <c r="S305" s="192">
        <v>0</v>
      </c>
      <c r="T305" s="192">
        <v>0</v>
      </c>
      <c r="U305" s="192">
        <v>0</v>
      </c>
      <c r="V305" s="192">
        <v>0</v>
      </c>
      <c r="W305" s="192">
        <v>0</v>
      </c>
      <c r="X305" s="192">
        <v>0</v>
      </c>
      <c r="Y305" s="192">
        <v>0</v>
      </c>
      <c r="Z305" s="192">
        <v>0</v>
      </c>
      <c r="AA305" s="192">
        <v>0</v>
      </c>
      <c r="AB305" s="192">
        <v>0</v>
      </c>
      <c r="AC305" s="192">
        <v>0</v>
      </c>
      <c r="AD305" s="192">
        <v>0</v>
      </c>
      <c r="AE305" s="192">
        <v>0</v>
      </c>
      <c r="AF305" s="192">
        <v>0</v>
      </c>
      <c r="AG305" s="192">
        <v>0</v>
      </c>
      <c r="AH305" s="192">
        <v>0</v>
      </c>
      <c r="AI305" s="192">
        <v>0</v>
      </c>
      <c r="AJ305" s="192">
        <v>0</v>
      </c>
      <c r="AK305" s="192">
        <v>0</v>
      </c>
      <c r="AL305" s="192">
        <v>0</v>
      </c>
    </row>
    <row r="306" spans="2:38">
      <c r="B306" s="122" t="str">
        <v>Cenário 20/03/2025 com IFC</v>
      </c>
      <c r="C306" s="448" t="str">
        <v>Operação Geral</v>
      </c>
      <c r="D306" s="149" t="str">
        <v>6</v>
      </c>
      <c r="E306" s="149" t="str">
        <v>6.2.2</v>
      </c>
      <c r="F306" s="149">
        <v>1</v>
      </c>
      <c r="G306" s="149">
        <v>1</v>
      </c>
      <c r="H306" s="267" t="str">
        <v>Unidade de Fita para Backup</v>
      </c>
      <c r="I306" s="192">
        <v>0</v>
      </c>
      <c r="J306" s="192">
        <v>0</v>
      </c>
      <c r="K306" s="192">
        <v>0</v>
      </c>
      <c r="L306" s="192">
        <v>0</v>
      </c>
      <c r="M306" s="192">
        <v>0</v>
      </c>
      <c r="N306" s="192">
        <v>0</v>
      </c>
      <c r="O306" s="192">
        <v>0</v>
      </c>
      <c r="P306" s="192">
        <v>0</v>
      </c>
      <c r="Q306" s="192">
        <v>0</v>
      </c>
      <c r="R306" s="192">
        <v>0</v>
      </c>
      <c r="S306" s="192">
        <v>0</v>
      </c>
      <c r="T306" s="192">
        <v>0</v>
      </c>
      <c r="U306" s="192">
        <v>0</v>
      </c>
      <c r="V306" s="192">
        <v>0</v>
      </c>
      <c r="W306" s="192">
        <v>0</v>
      </c>
      <c r="X306" s="192">
        <v>0</v>
      </c>
      <c r="Y306" s="192">
        <v>0</v>
      </c>
      <c r="Z306" s="192">
        <v>0</v>
      </c>
      <c r="AA306" s="192">
        <v>0</v>
      </c>
      <c r="AB306" s="192">
        <v>0</v>
      </c>
      <c r="AC306" s="192">
        <v>0</v>
      </c>
      <c r="AD306" s="192">
        <v>0</v>
      </c>
      <c r="AE306" s="192">
        <v>0</v>
      </c>
      <c r="AF306" s="192">
        <v>0</v>
      </c>
      <c r="AG306" s="192">
        <v>0</v>
      </c>
      <c r="AH306" s="192">
        <v>0</v>
      </c>
      <c r="AI306" s="192">
        <v>0</v>
      </c>
      <c r="AJ306" s="192">
        <v>0</v>
      </c>
      <c r="AK306" s="192">
        <v>0</v>
      </c>
      <c r="AL306" s="192">
        <v>0</v>
      </c>
    </row>
    <row r="307" spans="2:38">
      <c r="B307" s="122" t="str">
        <v>Cenário 20/03/2025 com IFC</v>
      </c>
      <c r="C307" s="448" t="str">
        <v>Operação Geral</v>
      </c>
      <c r="D307" s="149" t="str">
        <v>6</v>
      </c>
      <c r="E307" s="149" t="str">
        <v>6.2.2</v>
      </c>
      <c r="F307" s="149">
        <v>1</v>
      </c>
      <c r="G307" s="149">
        <v>1</v>
      </c>
      <c r="H307" s="267" t="str">
        <v>Servidores</v>
      </c>
      <c r="I307" s="192">
        <v>0</v>
      </c>
      <c r="J307" s="192">
        <v>0</v>
      </c>
      <c r="K307" s="192">
        <v>0</v>
      </c>
      <c r="L307" s="192">
        <v>0</v>
      </c>
      <c r="M307" s="192">
        <v>0</v>
      </c>
      <c r="N307" s="192">
        <v>0</v>
      </c>
      <c r="O307" s="192">
        <v>0</v>
      </c>
      <c r="P307" s="192">
        <v>0</v>
      </c>
      <c r="Q307" s="192">
        <v>0</v>
      </c>
      <c r="R307" s="192">
        <v>0</v>
      </c>
      <c r="S307" s="192">
        <v>0</v>
      </c>
      <c r="T307" s="192">
        <v>0</v>
      </c>
      <c r="U307" s="192">
        <v>0</v>
      </c>
      <c r="V307" s="192">
        <v>0</v>
      </c>
      <c r="W307" s="192">
        <v>0</v>
      </c>
      <c r="X307" s="192">
        <v>0</v>
      </c>
      <c r="Y307" s="192">
        <v>0</v>
      </c>
      <c r="Z307" s="192">
        <v>0</v>
      </c>
      <c r="AA307" s="192">
        <v>0</v>
      </c>
      <c r="AB307" s="192">
        <v>0</v>
      </c>
      <c r="AC307" s="192">
        <v>0</v>
      </c>
      <c r="AD307" s="192">
        <v>0</v>
      </c>
      <c r="AE307" s="192">
        <v>0</v>
      </c>
      <c r="AF307" s="192">
        <v>0</v>
      </c>
      <c r="AG307" s="192">
        <v>0</v>
      </c>
      <c r="AH307" s="192">
        <v>0</v>
      </c>
      <c r="AI307" s="192">
        <v>0</v>
      </c>
      <c r="AJ307" s="192">
        <v>0</v>
      </c>
      <c r="AK307" s="192">
        <v>0</v>
      </c>
      <c r="AL307" s="192">
        <v>0</v>
      </c>
    </row>
    <row r="308" spans="2:38">
      <c r="B308" s="122" t="str">
        <v>Cenário 20/03/2025 com IFC</v>
      </c>
      <c r="C308" s="448" t="str">
        <v>Operação Geral</v>
      </c>
      <c r="D308" s="149" t="str">
        <v>6</v>
      </c>
      <c r="E308" s="149" t="str">
        <v>6.2.2</v>
      </c>
      <c r="F308" s="149">
        <v>1</v>
      </c>
      <c r="G308" s="149">
        <v>1</v>
      </c>
      <c r="H308" s="267" t="str">
        <v>Storage</v>
      </c>
      <c r="I308" s="192">
        <v>0</v>
      </c>
      <c r="J308" s="192">
        <v>0</v>
      </c>
      <c r="K308" s="192">
        <v>0</v>
      </c>
      <c r="L308" s="192">
        <v>0</v>
      </c>
      <c r="M308" s="192">
        <v>0</v>
      </c>
      <c r="N308" s="192">
        <v>0</v>
      </c>
      <c r="O308" s="192">
        <v>0</v>
      </c>
      <c r="P308" s="192">
        <v>0</v>
      </c>
      <c r="Q308" s="192">
        <v>0</v>
      </c>
      <c r="R308" s="192">
        <v>0</v>
      </c>
      <c r="S308" s="192">
        <v>0</v>
      </c>
      <c r="T308" s="192">
        <v>0</v>
      </c>
      <c r="U308" s="192">
        <v>0</v>
      </c>
      <c r="V308" s="192">
        <v>0</v>
      </c>
      <c r="W308" s="192">
        <v>0</v>
      </c>
      <c r="X308" s="192">
        <v>0</v>
      </c>
      <c r="Y308" s="192">
        <v>0</v>
      </c>
      <c r="Z308" s="192">
        <v>0</v>
      </c>
      <c r="AA308" s="192">
        <v>0</v>
      </c>
      <c r="AB308" s="192">
        <v>0</v>
      </c>
      <c r="AC308" s="192">
        <v>0</v>
      </c>
      <c r="AD308" s="192">
        <v>0</v>
      </c>
      <c r="AE308" s="192">
        <v>0</v>
      </c>
      <c r="AF308" s="192">
        <v>0</v>
      </c>
      <c r="AG308" s="192">
        <v>0</v>
      </c>
      <c r="AH308" s="192">
        <v>0</v>
      </c>
      <c r="AI308" s="192">
        <v>0</v>
      </c>
      <c r="AJ308" s="192">
        <v>0</v>
      </c>
      <c r="AK308" s="192">
        <v>0</v>
      </c>
      <c r="AL308" s="192">
        <v>0</v>
      </c>
    </row>
    <row r="309" spans="2:38">
      <c r="B309" s="122" t="str">
        <v>Cenário 20/03/2025 com IFC</v>
      </c>
      <c r="C309" s="448" t="str">
        <v>Operação Geral</v>
      </c>
      <c r="D309" s="149" t="str">
        <v>6</v>
      </c>
      <c r="E309" s="149" t="str">
        <v>6.2.2</v>
      </c>
      <c r="F309" s="149">
        <v>1</v>
      </c>
      <c r="G309" s="149">
        <v>1</v>
      </c>
      <c r="H309" s="267" t="str">
        <v>Rack</v>
      </c>
      <c r="I309" s="192">
        <v>0</v>
      </c>
      <c r="J309" s="192">
        <v>0</v>
      </c>
      <c r="K309" s="192">
        <v>0</v>
      </c>
      <c r="L309" s="192">
        <v>0</v>
      </c>
      <c r="M309" s="192">
        <v>0</v>
      </c>
      <c r="N309" s="192">
        <v>0</v>
      </c>
      <c r="O309" s="192">
        <v>0</v>
      </c>
      <c r="P309" s="192">
        <v>0</v>
      </c>
      <c r="Q309" s="192">
        <v>0</v>
      </c>
      <c r="R309" s="192">
        <v>0</v>
      </c>
      <c r="S309" s="192">
        <v>0</v>
      </c>
      <c r="T309" s="192">
        <v>0</v>
      </c>
      <c r="U309" s="192">
        <v>0</v>
      </c>
      <c r="V309" s="192">
        <v>0</v>
      </c>
      <c r="W309" s="192">
        <v>0</v>
      </c>
      <c r="X309" s="192">
        <v>0</v>
      </c>
      <c r="Y309" s="192">
        <v>0</v>
      </c>
      <c r="Z309" s="192">
        <v>0</v>
      </c>
      <c r="AA309" s="192">
        <v>0</v>
      </c>
      <c r="AB309" s="192">
        <v>0</v>
      </c>
      <c r="AC309" s="192">
        <v>0</v>
      </c>
      <c r="AD309" s="192">
        <v>0</v>
      </c>
      <c r="AE309" s="192">
        <v>0</v>
      </c>
      <c r="AF309" s="192">
        <v>0</v>
      </c>
      <c r="AG309" s="192">
        <v>0</v>
      </c>
      <c r="AH309" s="192">
        <v>0</v>
      </c>
      <c r="AI309" s="192">
        <v>0</v>
      </c>
      <c r="AJ309" s="192">
        <v>0</v>
      </c>
      <c r="AK309" s="192">
        <v>0</v>
      </c>
      <c r="AL309" s="192">
        <v>0</v>
      </c>
    </row>
    <row r="310" spans="2:38">
      <c r="B310" s="122" t="str">
        <v>Cenário 20/03/2025 com IFC</v>
      </c>
      <c r="C310" s="448" t="str">
        <v>Operação Geral</v>
      </c>
      <c r="D310" s="149" t="str">
        <v>6</v>
      </c>
      <c r="E310" s="149" t="str">
        <v>6.2.2</v>
      </c>
      <c r="F310" s="149">
        <v>1</v>
      </c>
      <c r="G310" s="149">
        <v>1</v>
      </c>
      <c r="H310" s="267" t="str">
        <v>Nobreak</v>
      </c>
      <c r="I310" s="192">
        <v>0</v>
      </c>
      <c r="J310" s="192">
        <v>0</v>
      </c>
      <c r="K310" s="192">
        <v>0</v>
      </c>
      <c r="L310" s="192">
        <v>0</v>
      </c>
      <c r="M310" s="192">
        <v>0</v>
      </c>
      <c r="N310" s="192">
        <v>0</v>
      </c>
      <c r="O310" s="192">
        <v>0</v>
      </c>
      <c r="P310" s="192">
        <v>0</v>
      </c>
      <c r="Q310" s="192">
        <v>0</v>
      </c>
      <c r="R310" s="192">
        <v>0</v>
      </c>
      <c r="S310" s="192">
        <v>0</v>
      </c>
      <c r="T310" s="192">
        <v>0</v>
      </c>
      <c r="U310" s="192">
        <v>0</v>
      </c>
      <c r="V310" s="192">
        <v>0</v>
      </c>
      <c r="W310" s="192">
        <v>0</v>
      </c>
      <c r="X310" s="192">
        <v>0</v>
      </c>
      <c r="Y310" s="192">
        <v>0</v>
      </c>
      <c r="Z310" s="192">
        <v>0</v>
      </c>
      <c r="AA310" s="192">
        <v>0</v>
      </c>
      <c r="AB310" s="192">
        <v>0</v>
      </c>
      <c r="AC310" s="192">
        <v>0</v>
      </c>
      <c r="AD310" s="192">
        <v>0</v>
      </c>
      <c r="AE310" s="192">
        <v>0</v>
      </c>
      <c r="AF310" s="192">
        <v>0</v>
      </c>
      <c r="AG310" s="192">
        <v>0</v>
      </c>
      <c r="AH310" s="192">
        <v>0</v>
      </c>
      <c r="AI310" s="192">
        <v>0</v>
      </c>
      <c r="AJ310" s="192">
        <v>0</v>
      </c>
      <c r="AK310" s="192">
        <v>0</v>
      </c>
      <c r="AL310" s="192">
        <v>0</v>
      </c>
    </row>
    <row r="311" spans="2:38">
      <c r="B311" s="122" t="str">
        <v>Cenário 20/03/2025 com IFC</v>
      </c>
      <c r="C311" s="448" t="str">
        <v>Operação Geral</v>
      </c>
      <c r="D311" s="149" t="str">
        <v>6</v>
      </c>
      <c r="E311" s="149" t="str">
        <v>6.2.2</v>
      </c>
      <c r="F311" s="149">
        <v>0</v>
      </c>
      <c r="G311" s="149">
        <v>1</v>
      </c>
      <c r="H311" s="267" t="str">
        <v>Computador e Periféricos</v>
      </c>
      <c r="I311" s="192">
        <v>0</v>
      </c>
      <c r="J311" s="192">
        <v>0</v>
      </c>
      <c r="K311" s="192">
        <v>0</v>
      </c>
      <c r="L311" s="192">
        <v>0</v>
      </c>
      <c r="M311" s="192">
        <v>680734.99946306855</v>
      </c>
      <c r="N311" s="192">
        <v>0</v>
      </c>
      <c r="O311" s="192">
        <v>0</v>
      </c>
      <c r="P311" s="192">
        <v>0</v>
      </c>
      <c r="Q311" s="192">
        <v>680734.99946306855</v>
      </c>
      <c r="R311" s="192">
        <v>0</v>
      </c>
      <c r="S311" s="192">
        <v>0</v>
      </c>
      <c r="T311" s="192">
        <v>0</v>
      </c>
      <c r="U311" s="192">
        <v>680734.99946306855</v>
      </c>
      <c r="V311" s="192">
        <v>0</v>
      </c>
      <c r="W311" s="192">
        <v>0</v>
      </c>
      <c r="X311" s="192">
        <v>0</v>
      </c>
      <c r="Y311" s="192">
        <v>680734.99946306855</v>
      </c>
      <c r="Z311" s="192">
        <v>0</v>
      </c>
      <c r="AA311" s="192">
        <v>0</v>
      </c>
      <c r="AB311" s="192">
        <v>0</v>
      </c>
      <c r="AC311" s="192">
        <v>624289.31128205126</v>
      </c>
      <c r="AD311" s="192">
        <v>0</v>
      </c>
      <c r="AE311" s="192">
        <v>0</v>
      </c>
      <c r="AF311" s="192">
        <v>0</v>
      </c>
      <c r="AG311" s="192">
        <v>629933.88010015304</v>
      </c>
      <c r="AH311" s="192">
        <v>0</v>
      </c>
      <c r="AI311" s="192">
        <v>0</v>
      </c>
      <c r="AJ311" s="192">
        <v>0</v>
      </c>
      <c r="AK311" s="192">
        <v>629933.88010015304</v>
      </c>
      <c r="AL311" s="192">
        <v>0</v>
      </c>
    </row>
    <row r="312" spans="2:38">
      <c r="B312" s="122" t="str">
        <v>Cenário 20/03/2025 com IFC</v>
      </c>
      <c r="C312" s="448" t="str">
        <v>Operação Geral</v>
      </c>
      <c r="D312" s="149" t="str">
        <v>6</v>
      </c>
      <c r="E312" s="149" t="str">
        <v>6.2.2</v>
      </c>
      <c r="F312" s="149">
        <v>0</v>
      </c>
      <c r="G312" s="149">
        <v>1</v>
      </c>
      <c r="H312" s="267" t="str">
        <v>Impressora Multifuncional - A4</v>
      </c>
      <c r="I312" s="192">
        <v>0</v>
      </c>
      <c r="J312" s="192">
        <v>0</v>
      </c>
      <c r="K312" s="192">
        <v>0</v>
      </c>
      <c r="L312" s="192">
        <v>0</v>
      </c>
      <c r="M312" s="192">
        <v>19159.479527055224</v>
      </c>
      <c r="N312" s="192">
        <v>0</v>
      </c>
      <c r="O312" s="192">
        <v>0</v>
      </c>
      <c r="P312" s="192">
        <v>0</v>
      </c>
      <c r="Q312" s="192">
        <v>19159.479527055224</v>
      </c>
      <c r="R312" s="192">
        <v>0</v>
      </c>
      <c r="S312" s="192">
        <v>0</v>
      </c>
      <c r="T312" s="192">
        <v>0</v>
      </c>
      <c r="U312" s="192">
        <v>19159.479527055224</v>
      </c>
      <c r="V312" s="192">
        <v>0</v>
      </c>
      <c r="W312" s="192">
        <v>0</v>
      </c>
      <c r="X312" s="192">
        <v>0</v>
      </c>
      <c r="Y312" s="192">
        <v>19159.479527055224</v>
      </c>
      <c r="Z312" s="192">
        <v>0</v>
      </c>
      <c r="AA312" s="192">
        <v>0</v>
      </c>
      <c r="AB312" s="192">
        <v>0</v>
      </c>
      <c r="AC312" s="192">
        <v>19159.479527055224</v>
      </c>
      <c r="AD312" s="192">
        <v>0</v>
      </c>
      <c r="AE312" s="192">
        <v>0</v>
      </c>
      <c r="AF312" s="192">
        <v>0</v>
      </c>
      <c r="AG312" s="192">
        <v>19159.479527055224</v>
      </c>
      <c r="AH312" s="192">
        <v>0</v>
      </c>
      <c r="AI312" s="192">
        <v>0</v>
      </c>
      <c r="AJ312" s="192">
        <v>0</v>
      </c>
      <c r="AK312" s="192">
        <v>19159.479527055224</v>
      </c>
      <c r="AL312" s="192">
        <v>0</v>
      </c>
    </row>
    <row r="313" spans="2:38">
      <c r="B313" s="122" t="str">
        <v>Cenário 20/03/2025 com IFC</v>
      </c>
      <c r="C313" s="448" t="str">
        <v>Operação Geral</v>
      </c>
      <c r="D313" s="149" t="str">
        <v>6</v>
      </c>
      <c r="E313" s="149" t="str">
        <v>6.2.2</v>
      </c>
      <c r="F313" s="149">
        <v>0</v>
      </c>
      <c r="G313" s="149">
        <v>1</v>
      </c>
      <c r="H313" s="267" t="str">
        <v>Impressora A3</v>
      </c>
      <c r="I313" s="192">
        <v>0</v>
      </c>
      <c r="J313" s="192">
        <v>0</v>
      </c>
      <c r="K313" s="192">
        <v>0</v>
      </c>
      <c r="L313" s="192">
        <v>0</v>
      </c>
      <c r="M313" s="192">
        <v>22355.062067046878</v>
      </c>
      <c r="N313" s="192">
        <v>0</v>
      </c>
      <c r="O313" s="192">
        <v>0</v>
      </c>
      <c r="P313" s="192">
        <v>0</v>
      </c>
      <c r="Q313" s="192">
        <v>22355.062067046878</v>
      </c>
      <c r="R313" s="192">
        <v>0</v>
      </c>
      <c r="S313" s="192">
        <v>0</v>
      </c>
      <c r="T313" s="192">
        <v>0</v>
      </c>
      <c r="U313" s="192">
        <v>22355.062067046878</v>
      </c>
      <c r="V313" s="192">
        <v>0</v>
      </c>
      <c r="W313" s="192">
        <v>0</v>
      </c>
      <c r="X313" s="192">
        <v>0</v>
      </c>
      <c r="Y313" s="192">
        <v>22355.062067046878</v>
      </c>
      <c r="Z313" s="192">
        <v>0</v>
      </c>
      <c r="AA313" s="192">
        <v>0</v>
      </c>
      <c r="AB313" s="192">
        <v>0</v>
      </c>
      <c r="AC313" s="192">
        <v>22355.062067046878</v>
      </c>
      <c r="AD313" s="192">
        <v>0</v>
      </c>
      <c r="AE313" s="192">
        <v>0</v>
      </c>
      <c r="AF313" s="192">
        <v>0</v>
      </c>
      <c r="AG313" s="192">
        <v>22355.062067046878</v>
      </c>
      <c r="AH313" s="192">
        <v>0</v>
      </c>
      <c r="AI313" s="192">
        <v>0</v>
      </c>
      <c r="AJ313" s="192">
        <v>0</v>
      </c>
      <c r="AK313" s="192">
        <v>22355.062067046878</v>
      </c>
      <c r="AL313" s="192">
        <v>0</v>
      </c>
    </row>
    <row r="314" spans="2:38">
      <c r="B314" s="122" t="str">
        <v>Cenário 20/03/2025 com IFC</v>
      </c>
      <c r="C314" s="448" t="str">
        <v>Operação Geral</v>
      </c>
      <c r="D314" s="149" t="str">
        <v>6</v>
      </c>
      <c r="E314" s="149" t="str">
        <v>6.2.2</v>
      </c>
      <c r="F314" s="149">
        <v>0</v>
      </c>
      <c r="G314" s="149">
        <v>1</v>
      </c>
      <c r="H314" s="267" t="str">
        <v>Software</v>
      </c>
      <c r="I314" s="192">
        <v>0</v>
      </c>
      <c r="J314" s="192">
        <v>0</v>
      </c>
      <c r="K314" s="192">
        <v>0</v>
      </c>
      <c r="L314" s="192">
        <v>0</v>
      </c>
      <c r="M314" s="192">
        <v>0</v>
      </c>
      <c r="N314" s="192">
        <v>0</v>
      </c>
      <c r="O314" s="192">
        <v>0</v>
      </c>
      <c r="P314" s="192">
        <v>0</v>
      </c>
      <c r="Q314" s="192">
        <v>0</v>
      </c>
      <c r="R314" s="192">
        <v>0</v>
      </c>
      <c r="S314" s="192">
        <v>0</v>
      </c>
      <c r="T314" s="192">
        <v>0</v>
      </c>
      <c r="U314" s="192">
        <v>0</v>
      </c>
      <c r="V314" s="192">
        <v>0</v>
      </c>
      <c r="W314" s="192">
        <v>0</v>
      </c>
      <c r="X314" s="192">
        <v>0</v>
      </c>
      <c r="Y314" s="192">
        <v>0</v>
      </c>
      <c r="Z314" s="192">
        <v>0</v>
      </c>
      <c r="AA314" s="192">
        <v>0</v>
      </c>
      <c r="AB314" s="192">
        <v>0</v>
      </c>
      <c r="AC314" s="192">
        <v>0</v>
      </c>
      <c r="AD314" s="192">
        <v>0</v>
      </c>
      <c r="AE314" s="192">
        <v>0</v>
      </c>
      <c r="AF314" s="192">
        <v>0</v>
      </c>
      <c r="AG314" s="192">
        <v>0</v>
      </c>
      <c r="AH314" s="192">
        <v>0</v>
      </c>
      <c r="AI314" s="192">
        <v>0</v>
      </c>
      <c r="AJ314" s="192">
        <v>0</v>
      </c>
      <c r="AK314" s="192">
        <v>0</v>
      </c>
      <c r="AL314" s="192">
        <v>0</v>
      </c>
    </row>
    <row r="315" spans="2:38">
      <c r="B315" s="122" t="str">
        <v>Cenário 20/03/2025 com IFC</v>
      </c>
      <c r="C315" s="448" t="str">
        <v>Operação Geral</v>
      </c>
      <c r="D315" s="149" t="str">
        <v>6</v>
      </c>
      <c r="E315" s="149" t="str">
        <v>6.2.2</v>
      </c>
      <c r="F315" s="149">
        <v>0</v>
      </c>
      <c r="G315" s="149">
        <v>1</v>
      </c>
      <c r="H315" s="267" t="str">
        <v>Antivirus</v>
      </c>
      <c r="I315" s="192">
        <v>0</v>
      </c>
      <c r="J315" s="192">
        <v>5456.0704571799506</v>
      </c>
      <c r="K315" s="192">
        <v>5456.0704571799506</v>
      </c>
      <c r="L315" s="192">
        <v>5456.0704571799506</v>
      </c>
      <c r="M315" s="192">
        <v>5456.0704571799506</v>
      </c>
      <c r="N315" s="192">
        <v>5048.901020076969</v>
      </c>
      <c r="O315" s="192">
        <v>5456.0704571799506</v>
      </c>
      <c r="P315" s="192">
        <v>5456.0704571799506</v>
      </c>
      <c r="Q315" s="192">
        <v>5456.0704571799506</v>
      </c>
      <c r="R315" s="192">
        <v>5456.0704571799506</v>
      </c>
      <c r="S315" s="192">
        <v>5456.0704571799506</v>
      </c>
      <c r="T315" s="192">
        <v>5456.0704571799506</v>
      </c>
      <c r="U315" s="192">
        <v>5456.0704571799506</v>
      </c>
      <c r="V315" s="192">
        <v>5456.0704571799506</v>
      </c>
      <c r="W315" s="192">
        <v>5456.0704571799506</v>
      </c>
      <c r="X315" s="192">
        <v>5456.0704571799506</v>
      </c>
      <c r="Y315" s="192">
        <v>5456.0704571799506</v>
      </c>
      <c r="Z315" s="192">
        <v>5456.0704571799506</v>
      </c>
      <c r="AA315" s="192">
        <v>5456.0704571799506</v>
      </c>
      <c r="AB315" s="192">
        <v>5048.901020076969</v>
      </c>
      <c r="AC315" s="192">
        <v>5048.901020076969</v>
      </c>
      <c r="AD315" s="192">
        <v>5048.901020076969</v>
      </c>
      <c r="AE315" s="192">
        <v>5048.901020076969</v>
      </c>
      <c r="AF315" s="192">
        <v>5048.901020076969</v>
      </c>
      <c r="AG315" s="192">
        <v>5048.901020076969</v>
      </c>
      <c r="AH315" s="192">
        <v>5048.901020076969</v>
      </c>
      <c r="AI315" s="192">
        <v>5048.901020076969</v>
      </c>
      <c r="AJ315" s="192">
        <v>5048.901020076969</v>
      </c>
      <c r="AK315" s="192">
        <v>5048.901020076969</v>
      </c>
      <c r="AL315" s="192">
        <v>5048.901020076969</v>
      </c>
    </row>
    <row r="316" spans="2:38">
      <c r="B316" s="122" t="str">
        <v>Cenário 20/03/2025 com IFC</v>
      </c>
      <c r="C316" s="448" t="str">
        <v>Operação Geral</v>
      </c>
      <c r="D316" s="149" t="str">
        <v>6</v>
      </c>
      <c r="E316" s="149" t="str">
        <v>6.2.2</v>
      </c>
      <c r="F316" s="149">
        <v>0</v>
      </c>
      <c r="G316" s="149">
        <v>1</v>
      </c>
      <c r="H316" s="267" t="str">
        <v>Microsoft Office 365</v>
      </c>
      <c r="I316" s="192">
        <v>0</v>
      </c>
      <c r="J316" s="192">
        <v>48267.312066768674</v>
      </c>
      <c r="K316" s="192">
        <v>48267.312066768674</v>
      </c>
      <c r="L316" s="192">
        <v>48267.312066768674</v>
      </c>
      <c r="M316" s="192">
        <v>48267.312066768674</v>
      </c>
      <c r="N316" s="192">
        <v>44665.273852830716</v>
      </c>
      <c r="O316" s="192">
        <v>48267.312066768674</v>
      </c>
      <c r="P316" s="192">
        <v>48267.312066768674</v>
      </c>
      <c r="Q316" s="192">
        <v>48267.312066768674</v>
      </c>
      <c r="R316" s="192">
        <v>48267.312066768674</v>
      </c>
      <c r="S316" s="192">
        <v>48267.312066768674</v>
      </c>
      <c r="T316" s="192">
        <v>48267.312066768674</v>
      </c>
      <c r="U316" s="192">
        <v>48267.312066768674</v>
      </c>
      <c r="V316" s="192">
        <v>48267.312066768674</v>
      </c>
      <c r="W316" s="192">
        <v>48267.312066768674</v>
      </c>
      <c r="X316" s="192">
        <v>48267.312066768674</v>
      </c>
      <c r="Y316" s="192">
        <v>48267.312066768674</v>
      </c>
      <c r="Z316" s="192">
        <v>48267.312066768674</v>
      </c>
      <c r="AA316" s="192">
        <v>48267.312066768674</v>
      </c>
      <c r="AB316" s="192">
        <v>44665.273852830716</v>
      </c>
      <c r="AC316" s="192">
        <v>44665.273852830716</v>
      </c>
      <c r="AD316" s="192">
        <v>44665.273852830716</v>
      </c>
      <c r="AE316" s="192">
        <v>44665.273852830716</v>
      </c>
      <c r="AF316" s="192">
        <v>44665.273852830716</v>
      </c>
      <c r="AG316" s="192">
        <v>44665.273852830716</v>
      </c>
      <c r="AH316" s="192">
        <v>44665.273852830716</v>
      </c>
      <c r="AI316" s="192">
        <v>44665.273852830716</v>
      </c>
      <c r="AJ316" s="192">
        <v>44665.273852830716</v>
      </c>
      <c r="AK316" s="192">
        <v>44665.273852830716</v>
      </c>
      <c r="AL316" s="192">
        <v>44665.273852830716</v>
      </c>
    </row>
    <row r="317" spans="2:38">
      <c r="B317" s="122" t="str">
        <v>Cenário 20/03/2025 com IFC</v>
      </c>
      <c r="C317" s="448" t="str">
        <v>Operação Geral</v>
      </c>
      <c r="D317" s="149" t="str">
        <v>6</v>
      </c>
      <c r="E317" s="149" t="str">
        <v>6.2.2</v>
      </c>
      <c r="F317" s="149">
        <v>0</v>
      </c>
      <c r="G317" s="149">
        <v>1</v>
      </c>
      <c r="H317" s="267" t="str">
        <v>Windows Server</v>
      </c>
      <c r="I317" s="192">
        <v>0</v>
      </c>
      <c r="J317" s="192">
        <v>0</v>
      </c>
      <c r="K317" s="192">
        <v>0</v>
      </c>
      <c r="L317" s="192">
        <v>0</v>
      </c>
      <c r="M317" s="192">
        <v>0</v>
      </c>
      <c r="N317" s="192">
        <v>0</v>
      </c>
      <c r="O317" s="192">
        <v>0</v>
      </c>
      <c r="P317" s="192">
        <v>0</v>
      </c>
      <c r="Q317" s="192">
        <v>0</v>
      </c>
      <c r="R317" s="192">
        <v>0</v>
      </c>
      <c r="S317" s="192">
        <v>0</v>
      </c>
      <c r="T317" s="192">
        <v>0</v>
      </c>
      <c r="U317" s="192">
        <v>0</v>
      </c>
      <c r="V317" s="192">
        <v>0</v>
      </c>
      <c r="W317" s="192">
        <v>0</v>
      </c>
      <c r="X317" s="192">
        <v>0</v>
      </c>
      <c r="Y317" s="192">
        <v>0</v>
      </c>
      <c r="Z317" s="192">
        <v>0</v>
      </c>
      <c r="AA317" s="192">
        <v>0</v>
      </c>
      <c r="AB317" s="192">
        <v>0</v>
      </c>
      <c r="AC317" s="192">
        <v>0</v>
      </c>
      <c r="AD317" s="192">
        <v>0</v>
      </c>
      <c r="AE317" s="192">
        <v>0</v>
      </c>
      <c r="AF317" s="192">
        <v>0</v>
      </c>
      <c r="AG317" s="192">
        <v>0</v>
      </c>
      <c r="AH317" s="192">
        <v>0</v>
      </c>
      <c r="AI317" s="192">
        <v>0</v>
      </c>
      <c r="AJ317" s="192">
        <v>0</v>
      </c>
      <c r="AK317" s="192">
        <v>0</v>
      </c>
      <c r="AL317" s="192">
        <v>0</v>
      </c>
    </row>
    <row r="318" spans="2:38">
      <c r="B318" s="122" t="str">
        <v>Cenário 20/03/2025 com IFC</v>
      </c>
      <c r="C318" s="448" t="str">
        <v>Operação Geral</v>
      </c>
      <c r="D318" s="149" t="str">
        <v>6</v>
      </c>
      <c r="E318" s="149" t="str">
        <v>6.2.2</v>
      </c>
      <c r="F318" s="449">
        <v>0</v>
      </c>
      <c r="G318" s="449">
        <v>1</v>
      </c>
      <c r="H318" s="267" t="str">
        <v>Banco de Dados</v>
      </c>
      <c r="I318" s="450">
        <v>0</v>
      </c>
      <c r="J318" s="450">
        <v>0</v>
      </c>
      <c r="K318" s="450">
        <v>0</v>
      </c>
      <c r="L318" s="450">
        <v>0</v>
      </c>
      <c r="M318" s="450">
        <v>0</v>
      </c>
      <c r="N318" s="450">
        <v>0</v>
      </c>
      <c r="O318" s="450">
        <v>0</v>
      </c>
      <c r="P318" s="450">
        <v>0</v>
      </c>
      <c r="Q318" s="450">
        <v>0</v>
      </c>
      <c r="R318" s="450">
        <v>0</v>
      </c>
      <c r="S318" s="450">
        <v>0</v>
      </c>
      <c r="T318" s="450">
        <v>0</v>
      </c>
      <c r="U318" s="450">
        <v>0</v>
      </c>
      <c r="V318" s="450">
        <v>0</v>
      </c>
      <c r="W318" s="450">
        <v>0</v>
      </c>
      <c r="X318" s="450">
        <v>36337.033430704316</v>
      </c>
      <c r="Y318" s="450">
        <v>0</v>
      </c>
      <c r="Z318" s="450">
        <v>0</v>
      </c>
      <c r="AA318" s="450">
        <v>0</v>
      </c>
      <c r="AB318" s="450">
        <v>0</v>
      </c>
      <c r="AC318" s="450">
        <v>0</v>
      </c>
      <c r="AD318" s="450">
        <v>0</v>
      </c>
      <c r="AE318" s="450">
        <v>0</v>
      </c>
      <c r="AF318" s="450">
        <v>0</v>
      </c>
      <c r="AG318" s="450">
        <v>0</v>
      </c>
      <c r="AH318" s="450">
        <v>0</v>
      </c>
      <c r="AI318" s="450">
        <v>0</v>
      </c>
      <c r="AJ318" s="450">
        <v>0</v>
      </c>
      <c r="AK318" s="450">
        <v>0</v>
      </c>
      <c r="AL318" s="450">
        <v>0</v>
      </c>
    </row>
    <row r="319" spans="2:38">
      <c r="B319" s="122" t="str">
        <v>Cenário 20/03/2025 com IFC</v>
      </c>
      <c r="C319" s="448" t="str">
        <v>Operação Geral</v>
      </c>
      <c r="D319" s="149" t="str">
        <v>6</v>
      </c>
      <c r="E319" s="149" t="str">
        <v>6.2.2</v>
      </c>
      <c r="F319" s="149">
        <v>0</v>
      </c>
      <c r="G319" s="149">
        <v>1</v>
      </c>
      <c r="H319" s="267" t="str">
        <v>ERP</v>
      </c>
      <c r="I319" s="192">
        <v>0</v>
      </c>
      <c r="J319" s="192">
        <v>0</v>
      </c>
      <c r="K319" s="192">
        <v>0</v>
      </c>
      <c r="L319" s="192">
        <v>0</v>
      </c>
      <c r="M319" s="192">
        <v>0</v>
      </c>
      <c r="N319" s="192">
        <v>0</v>
      </c>
      <c r="O319" s="192">
        <v>0</v>
      </c>
      <c r="P319" s="192">
        <v>0</v>
      </c>
      <c r="Q319" s="192">
        <v>0</v>
      </c>
      <c r="R319" s="192">
        <v>0</v>
      </c>
      <c r="S319" s="192">
        <v>0</v>
      </c>
      <c r="T319" s="192">
        <v>0</v>
      </c>
      <c r="U319" s="192">
        <v>0</v>
      </c>
      <c r="V319" s="192">
        <v>0</v>
      </c>
      <c r="W319" s="192">
        <v>0</v>
      </c>
      <c r="X319" s="192">
        <v>0</v>
      </c>
      <c r="Y319" s="192">
        <v>0</v>
      </c>
      <c r="Z319" s="192">
        <v>0</v>
      </c>
      <c r="AA319" s="192">
        <v>0</v>
      </c>
      <c r="AB319" s="192">
        <v>0</v>
      </c>
      <c r="AC319" s="192">
        <v>0</v>
      </c>
      <c r="AD319" s="192">
        <v>0</v>
      </c>
      <c r="AE319" s="192">
        <v>0</v>
      </c>
      <c r="AF319" s="192">
        <v>0</v>
      </c>
      <c r="AG319" s="192">
        <v>0</v>
      </c>
      <c r="AH319" s="192">
        <v>0</v>
      </c>
      <c r="AI319" s="192">
        <v>0</v>
      </c>
      <c r="AJ319" s="192">
        <v>0</v>
      </c>
      <c r="AK319" s="192">
        <v>0</v>
      </c>
      <c r="AL319" s="192">
        <v>0</v>
      </c>
    </row>
    <row r="320" spans="2:38">
      <c r="B320" s="122" t="str">
        <v>Cenário 20/03/2025 com IFC</v>
      </c>
      <c r="C320" s="448" t="str">
        <v>Operação Geral</v>
      </c>
      <c r="D320" s="149" t="str">
        <v>6</v>
      </c>
      <c r="E320" s="149" t="str">
        <v>6.2.2</v>
      </c>
      <c r="F320" s="149">
        <v>0</v>
      </c>
      <c r="G320" s="149">
        <v>1</v>
      </c>
      <c r="H320" s="267" t="str">
        <v>Correio eletrônico</v>
      </c>
      <c r="I320" s="192">
        <v>0</v>
      </c>
      <c r="J320" s="192">
        <v>49028.988197523991</v>
      </c>
      <c r="K320" s="192">
        <v>49028.988197523991</v>
      </c>
      <c r="L320" s="192">
        <v>49028.988197523991</v>
      </c>
      <c r="M320" s="192">
        <v>49028.988197523991</v>
      </c>
      <c r="N320" s="192">
        <v>45370.108481290859</v>
      </c>
      <c r="O320" s="192">
        <v>49028.988197523991</v>
      </c>
      <c r="P320" s="192">
        <v>49028.988197523991</v>
      </c>
      <c r="Q320" s="192">
        <v>49028.988197523991</v>
      </c>
      <c r="R320" s="192">
        <v>49028.988197523991</v>
      </c>
      <c r="S320" s="192">
        <v>49028.988197523991</v>
      </c>
      <c r="T320" s="192">
        <v>49028.988197523991</v>
      </c>
      <c r="U320" s="192">
        <v>49028.988197523991</v>
      </c>
      <c r="V320" s="192">
        <v>49028.988197523991</v>
      </c>
      <c r="W320" s="192">
        <v>49028.988197523991</v>
      </c>
      <c r="X320" s="192">
        <v>49028.988197523991</v>
      </c>
      <c r="Y320" s="192">
        <v>49028.988197523991</v>
      </c>
      <c r="Z320" s="192">
        <v>49028.988197523991</v>
      </c>
      <c r="AA320" s="192">
        <v>49028.988197523991</v>
      </c>
      <c r="AB320" s="192">
        <v>45370.108481290859</v>
      </c>
      <c r="AC320" s="192">
        <v>45370.108481290859</v>
      </c>
      <c r="AD320" s="192">
        <v>45370.108481290859</v>
      </c>
      <c r="AE320" s="192">
        <v>45370.108481290859</v>
      </c>
      <c r="AF320" s="192">
        <v>45370.108481290859</v>
      </c>
      <c r="AG320" s="192">
        <v>45370.108481290859</v>
      </c>
      <c r="AH320" s="192">
        <v>45370.108481290859</v>
      </c>
      <c r="AI320" s="192">
        <v>45370.108481290859</v>
      </c>
      <c r="AJ320" s="192">
        <v>45370.108481290859</v>
      </c>
      <c r="AK320" s="192">
        <v>45370.108481290859</v>
      </c>
      <c r="AL320" s="192">
        <v>45370.108481290859</v>
      </c>
    </row>
    <row r="321" spans="2:38">
      <c r="B321" s="122" t="str">
        <v>Cenário 20/03/2025 com IFC</v>
      </c>
      <c r="C321" s="448" t="str">
        <v>Operação Geral</v>
      </c>
      <c r="D321" s="149" t="str">
        <v>6</v>
      </c>
      <c r="E321" s="149" t="str">
        <v>6.2.2</v>
      </c>
      <c r="F321" s="149">
        <v>0</v>
      </c>
      <c r="G321" s="149">
        <v>1</v>
      </c>
      <c r="H321" s="267" t="str">
        <v>Backup</v>
      </c>
      <c r="I321" s="192">
        <v>0</v>
      </c>
      <c r="J321" s="192">
        <v>19466.267909305883</v>
      </c>
      <c r="K321" s="192">
        <v>19466.267909305883</v>
      </c>
      <c r="L321" s="192">
        <v>19466.267909305883</v>
      </c>
      <c r="M321" s="192">
        <v>19466.267909305883</v>
      </c>
      <c r="N321" s="192">
        <v>19466.267909305883</v>
      </c>
      <c r="O321" s="192">
        <v>19466.267909305883</v>
      </c>
      <c r="P321" s="192">
        <v>19466.267909305883</v>
      </c>
      <c r="Q321" s="192">
        <v>19466.267909305883</v>
      </c>
      <c r="R321" s="192">
        <v>19466.267909305883</v>
      </c>
      <c r="S321" s="192">
        <v>19466.267909305883</v>
      </c>
      <c r="T321" s="192">
        <v>19466.267909305883</v>
      </c>
      <c r="U321" s="192">
        <v>19466.267909305883</v>
      </c>
      <c r="V321" s="192">
        <v>19466.267909305883</v>
      </c>
      <c r="W321" s="192">
        <v>19466.267909305883</v>
      </c>
      <c r="X321" s="192">
        <v>19466.267909305883</v>
      </c>
      <c r="Y321" s="192">
        <v>19466.267909305883</v>
      </c>
      <c r="Z321" s="192">
        <v>19466.267909305883</v>
      </c>
      <c r="AA321" s="192">
        <v>19466.267909305883</v>
      </c>
      <c r="AB321" s="192">
        <v>19466.267909305883</v>
      </c>
      <c r="AC321" s="192">
        <v>19466.267909305883</v>
      </c>
      <c r="AD321" s="192">
        <v>19466.267909305883</v>
      </c>
      <c r="AE321" s="192">
        <v>19466.267909305883</v>
      </c>
      <c r="AF321" s="192">
        <v>19466.267909305883</v>
      </c>
      <c r="AG321" s="192">
        <v>19466.267909305883</v>
      </c>
      <c r="AH321" s="192">
        <v>19466.267909305883</v>
      </c>
      <c r="AI321" s="192">
        <v>19466.267909305883</v>
      </c>
      <c r="AJ321" s="192">
        <v>19466.267909305883</v>
      </c>
      <c r="AK321" s="192">
        <v>19466.267909305883</v>
      </c>
      <c r="AL321" s="192">
        <v>19466.267909305883</v>
      </c>
    </row>
    <row r="322" spans="2:38">
      <c r="B322" s="122" t="str">
        <v>Cenário 20/03/2025 com IFC</v>
      </c>
      <c r="C322" s="448" t="str">
        <v>Operação Geral</v>
      </c>
      <c r="D322" s="149" t="str">
        <v>6</v>
      </c>
      <c r="E322" s="149" t="str">
        <v>6.2.2</v>
      </c>
      <c r="F322" s="149">
        <v>0</v>
      </c>
      <c r="G322" s="149">
        <v>1</v>
      </c>
      <c r="H322" s="267" t="str">
        <v>Implantação Sistema da Qualidade</v>
      </c>
      <c r="I322" s="192">
        <v>0</v>
      </c>
      <c r="J322" s="192">
        <v>0</v>
      </c>
      <c r="K322" s="192">
        <v>0</v>
      </c>
      <c r="L322" s="192">
        <v>0</v>
      </c>
      <c r="M322" s="192">
        <v>0</v>
      </c>
      <c r="N322" s="192">
        <v>0</v>
      </c>
      <c r="O322" s="192">
        <v>0</v>
      </c>
      <c r="P322" s="192">
        <v>0</v>
      </c>
      <c r="Q322" s="192">
        <v>0</v>
      </c>
      <c r="R322" s="192">
        <v>0</v>
      </c>
      <c r="S322" s="192">
        <v>0</v>
      </c>
      <c r="T322" s="192">
        <v>0</v>
      </c>
      <c r="U322" s="192">
        <v>0</v>
      </c>
      <c r="V322" s="192">
        <v>0</v>
      </c>
      <c r="W322" s="192">
        <v>0</v>
      </c>
      <c r="X322" s="192">
        <v>0</v>
      </c>
      <c r="Y322" s="192">
        <v>0</v>
      </c>
      <c r="Z322" s="192">
        <v>0</v>
      </c>
      <c r="AA322" s="192">
        <v>0</v>
      </c>
      <c r="AB322" s="192">
        <v>0</v>
      </c>
      <c r="AC322" s="192">
        <v>0</v>
      </c>
      <c r="AD322" s="192">
        <v>0</v>
      </c>
      <c r="AE322" s="192">
        <v>0</v>
      </c>
      <c r="AF322" s="192">
        <v>0</v>
      </c>
      <c r="AG322" s="192">
        <v>0</v>
      </c>
      <c r="AH322" s="192">
        <v>0</v>
      </c>
      <c r="AI322" s="192">
        <v>0</v>
      </c>
      <c r="AJ322" s="192">
        <v>0</v>
      </c>
      <c r="AK322" s="192">
        <v>0</v>
      </c>
      <c r="AL322" s="192">
        <v>0</v>
      </c>
    </row>
    <row r="323" spans="2:38">
      <c r="B323" s="122" t="str">
        <v>Cenário 20/03/2025 com IFC</v>
      </c>
      <c r="C323" s="448" t="str">
        <v>Operação Geral</v>
      </c>
      <c r="D323" s="149" t="str">
        <v>6</v>
      </c>
      <c r="E323" s="149" t="str">
        <v>6.2.2</v>
      </c>
      <c r="F323" s="149">
        <v>0</v>
      </c>
      <c r="G323" s="149">
        <v>1</v>
      </c>
      <c r="H323" s="267" t="str">
        <v>Software Gestão Ambiental</v>
      </c>
      <c r="I323" s="192">
        <v>0</v>
      </c>
      <c r="J323" s="192">
        <v>0</v>
      </c>
      <c r="K323" s="192">
        <v>0</v>
      </c>
      <c r="L323" s="192">
        <v>0</v>
      </c>
      <c r="M323" s="192">
        <v>0</v>
      </c>
      <c r="N323" s="192">
        <v>0</v>
      </c>
      <c r="O323" s="192">
        <v>0</v>
      </c>
      <c r="P323" s="192">
        <v>0</v>
      </c>
      <c r="Q323" s="192">
        <v>0</v>
      </c>
      <c r="R323" s="192">
        <v>0</v>
      </c>
      <c r="S323" s="192">
        <v>0</v>
      </c>
      <c r="T323" s="192">
        <v>0</v>
      </c>
      <c r="U323" s="192">
        <v>0</v>
      </c>
      <c r="V323" s="192">
        <v>0</v>
      </c>
      <c r="W323" s="192">
        <v>0</v>
      </c>
      <c r="X323" s="192">
        <v>0</v>
      </c>
      <c r="Y323" s="192">
        <v>0</v>
      </c>
      <c r="Z323" s="192">
        <v>0</v>
      </c>
      <c r="AA323" s="192">
        <v>0</v>
      </c>
      <c r="AB323" s="192">
        <v>0</v>
      </c>
      <c r="AC323" s="192">
        <v>0</v>
      </c>
      <c r="AD323" s="192">
        <v>0</v>
      </c>
      <c r="AE323" s="192">
        <v>0</v>
      </c>
      <c r="AF323" s="192">
        <v>0</v>
      </c>
      <c r="AG323" s="192">
        <v>0</v>
      </c>
      <c r="AH323" s="192">
        <v>0</v>
      </c>
      <c r="AI323" s="192">
        <v>0</v>
      </c>
      <c r="AJ323" s="192">
        <v>0</v>
      </c>
      <c r="AK323" s="192">
        <v>0</v>
      </c>
      <c r="AL323" s="192">
        <v>0</v>
      </c>
    </row>
    <row r="324" spans="2:38">
      <c r="B324" s="122" t="str">
        <v>Cenário 20/03/2025 com IFC</v>
      </c>
      <c r="C324" s="448" t="str">
        <v>Operação Geral</v>
      </c>
      <c r="D324" s="149" t="str">
        <v>6</v>
      </c>
      <c r="E324" s="149" t="str">
        <v>6.2.2</v>
      </c>
      <c r="F324" s="149">
        <v>0</v>
      </c>
      <c r="G324" s="149">
        <v>1</v>
      </c>
      <c r="H324" s="267" t="str">
        <v>Centro de Controle Operacional</v>
      </c>
      <c r="I324" s="192">
        <v>0</v>
      </c>
      <c r="J324" s="192">
        <v>0</v>
      </c>
      <c r="K324" s="192">
        <v>0</v>
      </c>
      <c r="L324" s="192">
        <v>0</v>
      </c>
      <c r="M324" s="192">
        <v>0</v>
      </c>
      <c r="N324" s="192">
        <v>0</v>
      </c>
      <c r="O324" s="192">
        <v>0</v>
      </c>
      <c r="P324" s="192">
        <v>0</v>
      </c>
      <c r="Q324" s="192">
        <v>0</v>
      </c>
      <c r="R324" s="192">
        <v>0</v>
      </c>
      <c r="S324" s="192">
        <v>0</v>
      </c>
      <c r="T324" s="192">
        <v>0</v>
      </c>
      <c r="U324" s="192">
        <v>0</v>
      </c>
      <c r="V324" s="192">
        <v>0</v>
      </c>
      <c r="W324" s="192">
        <v>0</v>
      </c>
      <c r="X324" s="192">
        <v>0</v>
      </c>
      <c r="Y324" s="192">
        <v>0</v>
      </c>
      <c r="Z324" s="192">
        <v>0</v>
      </c>
      <c r="AA324" s="192">
        <v>0</v>
      </c>
      <c r="AB324" s="192">
        <v>0</v>
      </c>
      <c r="AC324" s="192">
        <v>0</v>
      </c>
      <c r="AD324" s="192">
        <v>0</v>
      </c>
      <c r="AE324" s="192">
        <v>0</v>
      </c>
      <c r="AF324" s="192">
        <v>0</v>
      </c>
      <c r="AG324" s="192">
        <v>0</v>
      </c>
      <c r="AH324" s="192">
        <v>0</v>
      </c>
      <c r="AI324" s="192">
        <v>0</v>
      </c>
      <c r="AJ324" s="192">
        <v>0</v>
      </c>
      <c r="AK324" s="192">
        <v>0</v>
      </c>
      <c r="AL324" s="192">
        <v>0</v>
      </c>
    </row>
    <row r="325" spans="2:38">
      <c r="B325" s="122" t="str">
        <v>Cenário 20/03/2025 com IFC</v>
      </c>
      <c r="C325" s="448" t="str">
        <v>Operação Geral</v>
      </c>
      <c r="D325" s="149" t="str">
        <v>6</v>
      </c>
      <c r="E325" s="149" t="str">
        <v>6.2.2</v>
      </c>
      <c r="F325" s="149">
        <v>0</v>
      </c>
      <c r="G325" s="149">
        <v>1</v>
      </c>
      <c r="H325" s="267" t="str">
        <v>Tecnologia da Informação</v>
      </c>
      <c r="I325" s="192">
        <v>0</v>
      </c>
      <c r="J325" s="192">
        <v>0</v>
      </c>
      <c r="K325" s="192">
        <v>0</v>
      </c>
      <c r="L325" s="192">
        <v>0</v>
      </c>
      <c r="M325" s="192">
        <v>0</v>
      </c>
      <c r="N325" s="192">
        <v>0</v>
      </c>
      <c r="O325" s="192">
        <v>0</v>
      </c>
      <c r="P325" s="192">
        <v>0</v>
      </c>
      <c r="Q325" s="192">
        <v>0</v>
      </c>
      <c r="R325" s="192">
        <v>0</v>
      </c>
      <c r="S325" s="192">
        <v>0</v>
      </c>
      <c r="T325" s="192">
        <v>0</v>
      </c>
      <c r="U325" s="192">
        <v>0</v>
      </c>
      <c r="V325" s="192">
        <v>0</v>
      </c>
      <c r="W325" s="192">
        <v>0</v>
      </c>
      <c r="X325" s="192">
        <v>0</v>
      </c>
      <c r="Y325" s="192">
        <v>0</v>
      </c>
      <c r="Z325" s="192">
        <v>0</v>
      </c>
      <c r="AA325" s="192">
        <v>0</v>
      </c>
      <c r="AB325" s="192">
        <v>0</v>
      </c>
      <c r="AC325" s="192">
        <v>0</v>
      </c>
      <c r="AD325" s="192">
        <v>0</v>
      </c>
      <c r="AE325" s="192">
        <v>0</v>
      </c>
      <c r="AF325" s="192">
        <v>0</v>
      </c>
      <c r="AG325" s="192">
        <v>0</v>
      </c>
      <c r="AH325" s="192">
        <v>0</v>
      </c>
      <c r="AI325" s="192">
        <v>0</v>
      </c>
      <c r="AJ325" s="192">
        <v>0</v>
      </c>
      <c r="AK325" s="192">
        <v>0</v>
      </c>
      <c r="AL325" s="192">
        <v>0</v>
      </c>
    </row>
    <row r="326" spans="2:38">
      <c r="B326" s="122" t="str">
        <v>Cenário 20/03/2025 com IFC</v>
      </c>
      <c r="C326" s="448" t="str">
        <v>Operação Geral</v>
      </c>
      <c r="D326" s="149" t="str">
        <v>6</v>
      </c>
      <c r="E326" s="149" t="str">
        <v>6.2.2</v>
      </c>
      <c r="F326" s="149">
        <v>1</v>
      </c>
      <c r="G326" s="149">
        <v>1</v>
      </c>
      <c r="H326" s="267" t="str">
        <v>Video Wall 49"</v>
      </c>
      <c r="I326" s="450">
        <v>0</v>
      </c>
      <c r="J326" s="450">
        <v>0</v>
      </c>
      <c r="K326" s="450">
        <v>0</v>
      </c>
      <c r="L326" s="450">
        <v>0</v>
      </c>
      <c r="M326" s="450">
        <v>0</v>
      </c>
      <c r="N326" s="450">
        <v>0</v>
      </c>
      <c r="O326" s="450">
        <v>0</v>
      </c>
      <c r="P326" s="450">
        <v>0</v>
      </c>
      <c r="Q326" s="450">
        <v>0</v>
      </c>
      <c r="R326" s="450">
        <v>0</v>
      </c>
      <c r="S326" s="450">
        <v>0</v>
      </c>
      <c r="T326" s="450">
        <v>0</v>
      </c>
      <c r="U326" s="450">
        <v>0</v>
      </c>
      <c r="V326" s="450">
        <v>0</v>
      </c>
      <c r="W326" s="450">
        <v>0</v>
      </c>
      <c r="X326" s="450">
        <v>0</v>
      </c>
      <c r="Y326" s="450">
        <v>0</v>
      </c>
      <c r="Z326" s="450">
        <v>0</v>
      </c>
      <c r="AA326" s="450">
        <v>0</v>
      </c>
      <c r="AB326" s="450">
        <v>0</v>
      </c>
      <c r="AC326" s="450">
        <v>0</v>
      </c>
      <c r="AD326" s="450">
        <v>0</v>
      </c>
      <c r="AE326" s="450">
        <v>0</v>
      </c>
      <c r="AF326" s="450">
        <v>0</v>
      </c>
      <c r="AG326" s="450">
        <v>0</v>
      </c>
      <c r="AH326" s="450">
        <v>0</v>
      </c>
      <c r="AI326" s="450">
        <v>0</v>
      </c>
      <c r="AJ326" s="450">
        <v>0</v>
      </c>
      <c r="AK326" s="450">
        <v>0</v>
      </c>
      <c r="AL326" s="450">
        <v>0</v>
      </c>
    </row>
    <row r="327" spans="2:38">
      <c r="B327" s="122" t="str">
        <v>Cenário 20/03/2025 com IFC</v>
      </c>
      <c r="C327" s="448" t="str">
        <v>Operação Geral</v>
      </c>
      <c r="D327" s="149" t="str">
        <v>6</v>
      </c>
      <c r="E327" s="149" t="str">
        <v>6.2.2</v>
      </c>
      <c r="F327" s="149">
        <v>1</v>
      </c>
      <c r="G327" s="149">
        <v>1</v>
      </c>
      <c r="H327" s="267" t="str">
        <v>Servidor de Gerenciamento/Virtualização</v>
      </c>
      <c r="I327" s="192">
        <v>0</v>
      </c>
      <c r="J327" s="192">
        <v>0</v>
      </c>
      <c r="K327" s="192">
        <v>0</v>
      </c>
      <c r="L327" s="192">
        <v>0</v>
      </c>
      <c r="M327" s="192">
        <v>0</v>
      </c>
      <c r="N327" s="192">
        <v>0</v>
      </c>
      <c r="O327" s="192">
        <v>0</v>
      </c>
      <c r="P327" s="192">
        <v>0</v>
      </c>
      <c r="Q327" s="192">
        <v>0</v>
      </c>
      <c r="R327" s="192">
        <v>0</v>
      </c>
      <c r="S327" s="192">
        <v>0</v>
      </c>
      <c r="T327" s="192">
        <v>0</v>
      </c>
      <c r="U327" s="192">
        <v>0</v>
      </c>
      <c r="V327" s="192">
        <v>0</v>
      </c>
      <c r="W327" s="192">
        <v>0</v>
      </c>
      <c r="X327" s="192">
        <v>0</v>
      </c>
      <c r="Y327" s="192">
        <v>0</v>
      </c>
      <c r="Z327" s="192">
        <v>0</v>
      </c>
      <c r="AA327" s="192">
        <v>0</v>
      </c>
      <c r="AB327" s="192">
        <v>0</v>
      </c>
      <c r="AC327" s="192">
        <v>0</v>
      </c>
      <c r="AD327" s="192">
        <v>0</v>
      </c>
      <c r="AE327" s="192">
        <v>0</v>
      </c>
      <c r="AF327" s="192">
        <v>0</v>
      </c>
      <c r="AG327" s="192">
        <v>0</v>
      </c>
      <c r="AH327" s="192">
        <v>0</v>
      </c>
      <c r="AI327" s="192">
        <v>0</v>
      </c>
      <c r="AJ327" s="192">
        <v>0</v>
      </c>
      <c r="AK327" s="192">
        <v>0</v>
      </c>
      <c r="AL327" s="192">
        <v>0</v>
      </c>
    </row>
    <row r="328" spans="2:38">
      <c r="B328" s="122" t="str">
        <v>Cenário 20/03/2025 com IFC</v>
      </c>
      <c r="C328" s="448" t="str">
        <v>Operação Geral</v>
      </c>
      <c r="D328" s="149" t="str">
        <v>6</v>
      </c>
      <c r="E328" s="149" t="str">
        <v>6.2.2</v>
      </c>
      <c r="F328" s="149">
        <v>1</v>
      </c>
      <c r="G328" s="149">
        <v>1</v>
      </c>
      <c r="H328" s="267" t="str">
        <v>Servidor de Backup</v>
      </c>
      <c r="I328" s="192">
        <v>0</v>
      </c>
      <c r="J328" s="192">
        <v>0</v>
      </c>
      <c r="K328" s="192">
        <v>0</v>
      </c>
      <c r="L328" s="192">
        <v>0</v>
      </c>
      <c r="M328" s="192">
        <v>0</v>
      </c>
      <c r="N328" s="192">
        <v>0</v>
      </c>
      <c r="O328" s="192">
        <v>0</v>
      </c>
      <c r="P328" s="192">
        <v>0</v>
      </c>
      <c r="Q328" s="192">
        <v>0</v>
      </c>
      <c r="R328" s="192">
        <v>0</v>
      </c>
      <c r="S328" s="192">
        <v>0</v>
      </c>
      <c r="T328" s="192">
        <v>0</v>
      </c>
      <c r="U328" s="192">
        <v>0</v>
      </c>
      <c r="V328" s="192">
        <v>0</v>
      </c>
      <c r="W328" s="192">
        <v>0</v>
      </c>
      <c r="X328" s="192">
        <v>0</v>
      </c>
      <c r="Y328" s="192">
        <v>0</v>
      </c>
      <c r="Z328" s="192">
        <v>0</v>
      </c>
      <c r="AA328" s="192">
        <v>0</v>
      </c>
      <c r="AB328" s="192">
        <v>0</v>
      </c>
      <c r="AC328" s="192">
        <v>0</v>
      </c>
      <c r="AD328" s="192">
        <v>0</v>
      </c>
      <c r="AE328" s="192">
        <v>0</v>
      </c>
      <c r="AF328" s="192">
        <v>0</v>
      </c>
      <c r="AG328" s="192">
        <v>0</v>
      </c>
      <c r="AH328" s="192">
        <v>0</v>
      </c>
      <c r="AI328" s="192">
        <v>0</v>
      </c>
      <c r="AJ328" s="192">
        <v>0</v>
      </c>
      <c r="AK328" s="192">
        <v>0</v>
      </c>
      <c r="AL328" s="192">
        <v>0</v>
      </c>
    </row>
    <row r="329" spans="2:38">
      <c r="B329" s="122" t="str">
        <v>Cenário 20/03/2025 com IFC</v>
      </c>
      <c r="C329" s="448" t="str">
        <v>Operação Geral</v>
      </c>
      <c r="D329" s="149" t="str">
        <v>6</v>
      </c>
      <c r="E329" s="149" t="str">
        <v>6.2.2</v>
      </c>
      <c r="F329" s="149">
        <v>1</v>
      </c>
      <c r="G329" s="149">
        <v>1</v>
      </c>
      <c r="H329" s="267" t="str">
        <v>Unidade de Fita para Backup</v>
      </c>
      <c r="I329" s="192">
        <v>0</v>
      </c>
      <c r="J329" s="192">
        <v>0</v>
      </c>
      <c r="K329" s="192">
        <v>0</v>
      </c>
      <c r="L329" s="192">
        <v>0</v>
      </c>
      <c r="M329" s="192">
        <v>0</v>
      </c>
      <c r="N329" s="192">
        <v>0</v>
      </c>
      <c r="O329" s="192">
        <v>0</v>
      </c>
      <c r="P329" s="192">
        <v>0</v>
      </c>
      <c r="Q329" s="192">
        <v>0</v>
      </c>
      <c r="R329" s="192">
        <v>0</v>
      </c>
      <c r="S329" s="192">
        <v>0</v>
      </c>
      <c r="T329" s="192">
        <v>0</v>
      </c>
      <c r="U329" s="192">
        <v>0</v>
      </c>
      <c r="V329" s="192">
        <v>0</v>
      </c>
      <c r="W329" s="192">
        <v>0</v>
      </c>
      <c r="X329" s="192">
        <v>0</v>
      </c>
      <c r="Y329" s="192">
        <v>0</v>
      </c>
      <c r="Z329" s="192">
        <v>0</v>
      </c>
      <c r="AA329" s="192">
        <v>0</v>
      </c>
      <c r="AB329" s="192">
        <v>0</v>
      </c>
      <c r="AC329" s="192">
        <v>0</v>
      </c>
      <c r="AD329" s="192">
        <v>0</v>
      </c>
      <c r="AE329" s="192">
        <v>0</v>
      </c>
      <c r="AF329" s="192">
        <v>0</v>
      </c>
      <c r="AG329" s="192">
        <v>0</v>
      </c>
      <c r="AH329" s="192">
        <v>0</v>
      </c>
      <c r="AI329" s="192">
        <v>0</v>
      </c>
      <c r="AJ329" s="192">
        <v>0</v>
      </c>
      <c r="AK329" s="192">
        <v>0</v>
      </c>
      <c r="AL329" s="192">
        <v>0</v>
      </c>
    </row>
    <row r="330" spans="2:38">
      <c r="B330" s="122" t="str">
        <v>Cenário 20/03/2025 com IFC</v>
      </c>
      <c r="C330" s="448" t="str">
        <v>Operação Geral</v>
      </c>
      <c r="D330" s="149" t="str">
        <v>6</v>
      </c>
      <c r="E330" s="149" t="str">
        <v>6.2.2</v>
      </c>
      <c r="F330" s="449">
        <v>1</v>
      </c>
      <c r="G330" s="449">
        <v>1</v>
      </c>
      <c r="H330" s="267" t="str">
        <v>Servidores</v>
      </c>
      <c r="I330" s="192">
        <v>0</v>
      </c>
      <c r="J330" s="192">
        <v>0</v>
      </c>
      <c r="K330" s="192">
        <v>0</v>
      </c>
      <c r="L330" s="192">
        <v>0</v>
      </c>
      <c r="M330" s="192">
        <v>0</v>
      </c>
      <c r="N330" s="192">
        <v>0</v>
      </c>
      <c r="O330" s="192">
        <v>0</v>
      </c>
      <c r="P330" s="192">
        <v>0</v>
      </c>
      <c r="Q330" s="192">
        <v>0</v>
      </c>
      <c r="R330" s="192">
        <v>0</v>
      </c>
      <c r="S330" s="192">
        <v>0</v>
      </c>
      <c r="T330" s="192">
        <v>0</v>
      </c>
      <c r="U330" s="192">
        <v>0</v>
      </c>
      <c r="V330" s="192">
        <v>0</v>
      </c>
      <c r="W330" s="192">
        <v>0</v>
      </c>
      <c r="X330" s="192">
        <v>0</v>
      </c>
      <c r="Y330" s="192">
        <v>0</v>
      </c>
      <c r="Z330" s="192">
        <v>0</v>
      </c>
      <c r="AA330" s="192">
        <v>0</v>
      </c>
      <c r="AB330" s="192">
        <v>0</v>
      </c>
      <c r="AC330" s="192">
        <v>0</v>
      </c>
      <c r="AD330" s="192">
        <v>0</v>
      </c>
      <c r="AE330" s="192">
        <v>0</v>
      </c>
      <c r="AF330" s="192">
        <v>0</v>
      </c>
      <c r="AG330" s="192">
        <v>0</v>
      </c>
      <c r="AH330" s="192">
        <v>0</v>
      </c>
      <c r="AI330" s="192">
        <v>0</v>
      </c>
      <c r="AJ330" s="192">
        <v>0</v>
      </c>
      <c r="AK330" s="192">
        <v>0</v>
      </c>
      <c r="AL330" s="192">
        <v>0</v>
      </c>
    </row>
    <row r="331" spans="2:38">
      <c r="B331" s="122" t="str">
        <v>Cenário 20/03/2025 com IFC</v>
      </c>
      <c r="C331" s="448" t="str">
        <v>Operação Geral</v>
      </c>
      <c r="D331" s="149" t="str">
        <v>6</v>
      </c>
      <c r="E331" s="149" t="str">
        <v>6.2.2</v>
      </c>
      <c r="F331" s="149">
        <v>0</v>
      </c>
      <c r="G331" s="149">
        <v>1</v>
      </c>
      <c r="H331" s="267" t="str">
        <v>Computador e Periféricos</v>
      </c>
      <c r="I331" s="192">
        <v>0</v>
      </c>
      <c r="J331" s="192">
        <v>0</v>
      </c>
      <c r="K331" s="192">
        <v>0</v>
      </c>
      <c r="L331" s="192">
        <v>0</v>
      </c>
      <c r="M331" s="192">
        <v>0</v>
      </c>
      <c r="N331" s="192">
        <v>0</v>
      </c>
      <c r="O331" s="192">
        <v>0</v>
      </c>
      <c r="P331" s="192">
        <v>0</v>
      </c>
      <c r="Q331" s="192">
        <v>0</v>
      </c>
      <c r="R331" s="192">
        <v>0</v>
      </c>
      <c r="S331" s="192">
        <v>0</v>
      </c>
      <c r="T331" s="192">
        <v>0</v>
      </c>
      <c r="U331" s="192">
        <v>0</v>
      </c>
      <c r="V331" s="192">
        <v>0</v>
      </c>
      <c r="W331" s="192">
        <v>0</v>
      </c>
      <c r="X331" s="192">
        <v>0</v>
      </c>
      <c r="Y331" s="192">
        <v>0</v>
      </c>
      <c r="Z331" s="192">
        <v>0</v>
      </c>
      <c r="AA331" s="192">
        <v>0</v>
      </c>
      <c r="AB331" s="192">
        <v>0</v>
      </c>
      <c r="AC331" s="192">
        <v>0</v>
      </c>
      <c r="AD331" s="192">
        <v>0</v>
      </c>
      <c r="AE331" s="192">
        <v>0</v>
      </c>
      <c r="AF331" s="192">
        <v>0</v>
      </c>
      <c r="AG331" s="192">
        <v>0</v>
      </c>
      <c r="AH331" s="192">
        <v>0</v>
      </c>
      <c r="AI331" s="192">
        <v>0</v>
      </c>
      <c r="AJ331" s="192">
        <v>0</v>
      </c>
      <c r="AK331" s="192">
        <v>0</v>
      </c>
      <c r="AL331" s="192">
        <v>0</v>
      </c>
    </row>
    <row r="332" spans="2:38">
      <c r="B332" s="122" t="str">
        <v>Cenário 20/03/2025 com IFC</v>
      </c>
      <c r="C332" s="448" t="str">
        <v>Operação Geral</v>
      </c>
      <c r="D332" s="149" t="str">
        <v>6</v>
      </c>
      <c r="E332" s="149" t="str">
        <v>6.2.2</v>
      </c>
      <c r="F332" s="149">
        <v>0</v>
      </c>
      <c r="G332" s="149">
        <v>1</v>
      </c>
      <c r="H332" s="267" t="str">
        <v>Impressora Multifuncional - A4</v>
      </c>
      <c r="I332" s="192">
        <v>0</v>
      </c>
      <c r="J332" s="192">
        <v>0</v>
      </c>
      <c r="K332" s="192">
        <v>0</v>
      </c>
      <c r="L332" s="192">
        <v>0</v>
      </c>
      <c r="M332" s="192">
        <v>0</v>
      </c>
      <c r="N332" s="192">
        <v>0</v>
      </c>
      <c r="O332" s="192">
        <v>0</v>
      </c>
      <c r="P332" s="192">
        <v>0</v>
      </c>
      <c r="Q332" s="192">
        <v>0</v>
      </c>
      <c r="R332" s="192">
        <v>0</v>
      </c>
      <c r="S332" s="192">
        <v>0</v>
      </c>
      <c r="T332" s="192">
        <v>0</v>
      </c>
      <c r="U332" s="192">
        <v>0</v>
      </c>
      <c r="V332" s="192">
        <v>0</v>
      </c>
      <c r="W332" s="192">
        <v>0</v>
      </c>
      <c r="X332" s="192">
        <v>0</v>
      </c>
      <c r="Y332" s="192">
        <v>0</v>
      </c>
      <c r="Z332" s="192">
        <v>0</v>
      </c>
      <c r="AA332" s="192">
        <v>0</v>
      </c>
      <c r="AB332" s="192">
        <v>0</v>
      </c>
      <c r="AC332" s="192">
        <v>0</v>
      </c>
      <c r="AD332" s="192">
        <v>0</v>
      </c>
      <c r="AE332" s="192">
        <v>0</v>
      </c>
      <c r="AF332" s="192">
        <v>0</v>
      </c>
      <c r="AG332" s="192">
        <v>0</v>
      </c>
      <c r="AH332" s="192">
        <v>0</v>
      </c>
      <c r="AI332" s="192">
        <v>0</v>
      </c>
      <c r="AJ332" s="192">
        <v>0</v>
      </c>
      <c r="AK332" s="192">
        <v>0</v>
      </c>
      <c r="AL332" s="192">
        <v>0</v>
      </c>
    </row>
    <row r="333" spans="2:38">
      <c r="B333" s="122" t="str">
        <v>Cenário 20/03/2025 com IFC</v>
      </c>
      <c r="C333" s="448" t="str">
        <v>Operação Geral</v>
      </c>
      <c r="D333" s="149" t="str">
        <v>6</v>
      </c>
      <c r="E333" s="149" t="str">
        <v>6.2.2</v>
      </c>
      <c r="F333" s="149">
        <v>0</v>
      </c>
      <c r="G333" s="149">
        <v>1</v>
      </c>
      <c r="H333" s="267" t="str">
        <v>Programas e Sistemas Operacionais</v>
      </c>
      <c r="I333" s="192">
        <v>0</v>
      </c>
      <c r="J333" s="192">
        <v>0</v>
      </c>
      <c r="K333" s="192">
        <v>0</v>
      </c>
      <c r="L333" s="192">
        <v>0</v>
      </c>
      <c r="M333" s="192">
        <v>0</v>
      </c>
      <c r="N333" s="192">
        <v>0</v>
      </c>
      <c r="O333" s="192">
        <v>0</v>
      </c>
      <c r="P333" s="192">
        <v>0</v>
      </c>
      <c r="Q333" s="192">
        <v>0</v>
      </c>
      <c r="R333" s="192">
        <v>0</v>
      </c>
      <c r="S333" s="192">
        <v>0</v>
      </c>
      <c r="T333" s="192">
        <v>0</v>
      </c>
      <c r="U333" s="192">
        <v>0</v>
      </c>
      <c r="V333" s="192">
        <v>0</v>
      </c>
      <c r="W333" s="192">
        <v>0</v>
      </c>
      <c r="X333" s="192">
        <v>0</v>
      </c>
      <c r="Y333" s="192">
        <v>0</v>
      </c>
      <c r="Z333" s="192">
        <v>0</v>
      </c>
      <c r="AA333" s="192">
        <v>0</v>
      </c>
      <c r="AB333" s="192">
        <v>0</v>
      </c>
      <c r="AC333" s="192">
        <v>0</v>
      </c>
      <c r="AD333" s="192">
        <v>0</v>
      </c>
      <c r="AE333" s="192">
        <v>0</v>
      </c>
      <c r="AF333" s="192">
        <v>0</v>
      </c>
      <c r="AG333" s="192">
        <v>0</v>
      </c>
      <c r="AH333" s="192">
        <v>0</v>
      </c>
      <c r="AI333" s="192">
        <v>0</v>
      </c>
      <c r="AJ333" s="192">
        <v>0</v>
      </c>
      <c r="AK333" s="192">
        <v>0</v>
      </c>
      <c r="AL333" s="192">
        <v>0</v>
      </c>
    </row>
    <row r="334" spans="2:38">
      <c r="B334" s="122" t="str">
        <v>Cenário 20/03/2025 com IFC</v>
      </c>
      <c r="C334" s="448" t="str">
        <v>Operação Geral</v>
      </c>
      <c r="D334" s="149" t="str">
        <v>6</v>
      </c>
      <c r="E334" s="149" t="str">
        <v>6.2.2</v>
      </c>
      <c r="F334" s="149">
        <v>0</v>
      </c>
      <c r="G334" s="149">
        <v>1</v>
      </c>
      <c r="H334" s="267" t="str">
        <v>Sistema de Gestão da Operação - KCOR</v>
      </c>
      <c r="I334" s="450">
        <v>0</v>
      </c>
      <c r="J334" s="450">
        <v>0</v>
      </c>
      <c r="K334" s="450">
        <v>0</v>
      </c>
      <c r="L334" s="450">
        <v>0</v>
      </c>
      <c r="M334" s="450">
        <v>0</v>
      </c>
      <c r="N334" s="450">
        <v>0</v>
      </c>
      <c r="O334" s="450">
        <v>0</v>
      </c>
      <c r="P334" s="450">
        <v>0</v>
      </c>
      <c r="Q334" s="450">
        <v>0</v>
      </c>
      <c r="R334" s="450">
        <v>0</v>
      </c>
      <c r="S334" s="450">
        <v>0</v>
      </c>
      <c r="T334" s="450">
        <v>0</v>
      </c>
      <c r="U334" s="450">
        <v>0</v>
      </c>
      <c r="V334" s="450">
        <v>0</v>
      </c>
      <c r="W334" s="450">
        <v>0</v>
      </c>
      <c r="X334" s="450">
        <v>0</v>
      </c>
      <c r="Y334" s="450">
        <v>0</v>
      </c>
      <c r="Z334" s="450">
        <v>0</v>
      </c>
      <c r="AA334" s="450">
        <v>0</v>
      </c>
      <c r="AB334" s="450">
        <v>0</v>
      </c>
      <c r="AC334" s="450">
        <v>0</v>
      </c>
      <c r="AD334" s="450">
        <v>0</v>
      </c>
      <c r="AE334" s="450">
        <v>0</v>
      </c>
      <c r="AF334" s="450">
        <v>0</v>
      </c>
      <c r="AG334" s="450">
        <v>0</v>
      </c>
      <c r="AH334" s="450">
        <v>0</v>
      </c>
      <c r="AI334" s="450">
        <v>0</v>
      </c>
      <c r="AJ334" s="450">
        <v>0</v>
      </c>
      <c r="AK334" s="450">
        <v>0</v>
      </c>
      <c r="AL334" s="450">
        <v>0</v>
      </c>
    </row>
    <row r="335" spans="2:38">
      <c r="B335" s="122" t="str">
        <v>Cenário 20/03/2025 com IFC</v>
      </c>
      <c r="C335" s="448" t="str">
        <v>Operação Geral</v>
      </c>
      <c r="D335" s="149" t="str">
        <v>6</v>
      </c>
      <c r="E335" s="149" t="str">
        <v>6.2.2</v>
      </c>
      <c r="F335" s="149">
        <v>0</v>
      </c>
      <c r="G335" s="149">
        <v>1</v>
      </c>
      <c r="H335" s="267" t="str">
        <v>SIG - Sistema de Informações Georreferenciadas</v>
      </c>
      <c r="I335" s="192">
        <v>0</v>
      </c>
      <c r="J335" s="192">
        <v>184275.62411130866</v>
      </c>
      <c r="K335" s="192">
        <v>184275.62411130866</v>
      </c>
      <c r="L335" s="192">
        <v>184275.62411130866</v>
      </c>
      <c r="M335" s="192">
        <v>184275.62411130866</v>
      </c>
      <c r="N335" s="192">
        <v>184275.62411130866</v>
      </c>
      <c r="O335" s="192">
        <v>184275.62411130866</v>
      </c>
      <c r="P335" s="192">
        <v>184275.62411130866</v>
      </c>
      <c r="Q335" s="192">
        <v>184275.62411130866</v>
      </c>
      <c r="R335" s="192">
        <v>184275.62411130866</v>
      </c>
      <c r="S335" s="192">
        <v>184275.62411130866</v>
      </c>
      <c r="T335" s="192">
        <v>184275.62411130866</v>
      </c>
      <c r="U335" s="192">
        <v>184275.62411130866</v>
      </c>
      <c r="V335" s="192">
        <v>184275.62411130866</v>
      </c>
      <c r="W335" s="192">
        <v>184275.62411130866</v>
      </c>
      <c r="X335" s="192">
        <v>184275.62411130866</v>
      </c>
      <c r="Y335" s="192">
        <v>184275.62411130866</v>
      </c>
      <c r="Z335" s="192">
        <v>184275.62411130866</v>
      </c>
      <c r="AA335" s="192">
        <v>184275.62411130866</v>
      </c>
      <c r="AB335" s="192">
        <v>184275.62411130866</v>
      </c>
      <c r="AC335" s="192">
        <v>184275.62411130866</v>
      </c>
      <c r="AD335" s="192">
        <v>184275.62411130866</v>
      </c>
      <c r="AE335" s="192">
        <v>184275.62411130866</v>
      </c>
      <c r="AF335" s="192">
        <v>184275.62411130866</v>
      </c>
      <c r="AG335" s="192">
        <v>184275.62411130866</v>
      </c>
      <c r="AH335" s="192">
        <v>184275.62411130866</v>
      </c>
      <c r="AI335" s="192">
        <v>184275.62411130866</v>
      </c>
      <c r="AJ335" s="192">
        <v>184275.62411130866</v>
      </c>
      <c r="AK335" s="192">
        <v>184275.62411130866</v>
      </c>
      <c r="AL335" s="192">
        <v>184275.62411130866</v>
      </c>
    </row>
    <row r="336" spans="2:38">
      <c r="B336" s="122" t="str">
        <v>Cenário 20/03/2025 com IFC</v>
      </c>
      <c r="C336" s="448" t="str">
        <v>Operação Geral</v>
      </c>
      <c r="D336" s="149" t="str">
        <v>6</v>
      </c>
      <c r="E336" s="149" t="str">
        <v>6.2.2</v>
      </c>
      <c r="F336" s="149">
        <v>0</v>
      </c>
      <c r="G336" s="149">
        <v>1</v>
      </c>
      <c r="H336" s="267" t="str">
        <v>AutoCAD Civil 3D Autodesk</v>
      </c>
      <c r="I336" s="192">
        <v>0</v>
      </c>
      <c r="J336" s="192">
        <v>89563.520000000004</v>
      </c>
      <c r="K336" s="192">
        <v>89563.520000000004</v>
      </c>
      <c r="L336" s="192">
        <v>89563.520000000004</v>
      </c>
      <c r="M336" s="192">
        <v>89563.520000000004</v>
      </c>
      <c r="N336" s="192">
        <v>44781.760000000002</v>
      </c>
      <c r="O336" s="192">
        <v>89563.520000000004</v>
      </c>
      <c r="P336" s="192">
        <v>89563.520000000004</v>
      </c>
      <c r="Q336" s="192">
        <v>89563.520000000004</v>
      </c>
      <c r="R336" s="192">
        <v>89563.520000000004</v>
      </c>
      <c r="S336" s="192">
        <v>89563.520000000004</v>
      </c>
      <c r="T336" s="192">
        <v>89563.520000000004</v>
      </c>
      <c r="U336" s="192">
        <v>89563.520000000004</v>
      </c>
      <c r="V336" s="192">
        <v>89563.520000000004</v>
      </c>
      <c r="W336" s="192">
        <v>89563.520000000004</v>
      </c>
      <c r="X336" s="192">
        <v>89563.520000000004</v>
      </c>
      <c r="Y336" s="192">
        <v>89563.520000000004</v>
      </c>
      <c r="Z336" s="192">
        <v>89563.520000000004</v>
      </c>
      <c r="AA336" s="192">
        <v>89563.520000000004</v>
      </c>
      <c r="AB336" s="192">
        <v>44781.760000000002</v>
      </c>
      <c r="AC336" s="192">
        <v>44781.760000000002</v>
      </c>
      <c r="AD336" s="192">
        <v>44781.760000000002</v>
      </c>
      <c r="AE336" s="192">
        <v>44781.760000000002</v>
      </c>
      <c r="AF336" s="192">
        <v>44781.760000000002</v>
      </c>
      <c r="AG336" s="192">
        <v>44781.760000000002</v>
      </c>
      <c r="AH336" s="192">
        <v>44781.760000000002</v>
      </c>
      <c r="AI336" s="192">
        <v>44781.760000000002</v>
      </c>
      <c r="AJ336" s="192">
        <v>44781.760000000002</v>
      </c>
      <c r="AK336" s="192">
        <v>44781.760000000002</v>
      </c>
      <c r="AL336" s="192">
        <v>44781.760000000002</v>
      </c>
    </row>
    <row r="337" spans="2:38">
      <c r="B337" s="122" t="str">
        <v>Cenário 20/03/2025 com IFC</v>
      </c>
      <c r="C337" s="448" t="str">
        <v>Operação Geral</v>
      </c>
      <c r="D337" s="149" t="str">
        <v>6</v>
      </c>
      <c r="E337" s="149" t="str">
        <v>6.2.2</v>
      </c>
      <c r="F337" s="149">
        <v>0</v>
      </c>
      <c r="G337" s="149">
        <v>1</v>
      </c>
      <c r="H337" s="267" t="str">
        <v>ARCGIS - Sistema de Informações Geográficas</v>
      </c>
      <c r="I337" s="192">
        <v>0</v>
      </c>
      <c r="J337" s="192">
        <v>23927.936514118792</v>
      </c>
      <c r="K337" s="192">
        <v>23927.936514118792</v>
      </c>
      <c r="L337" s="192">
        <v>23927.936514118792</v>
      </c>
      <c r="M337" s="192">
        <v>23927.936514118792</v>
      </c>
      <c r="N337" s="192">
        <v>23927.936514118792</v>
      </c>
      <c r="O337" s="192">
        <v>23927.936514118792</v>
      </c>
      <c r="P337" s="192">
        <v>23927.936514118792</v>
      </c>
      <c r="Q337" s="192">
        <v>23927.936514118792</v>
      </c>
      <c r="R337" s="192">
        <v>23927.936514118792</v>
      </c>
      <c r="S337" s="192">
        <v>23927.936514118792</v>
      </c>
      <c r="T337" s="192">
        <v>23927.936514118792</v>
      </c>
      <c r="U337" s="192">
        <v>23927.936514118792</v>
      </c>
      <c r="V337" s="192">
        <v>23927.936514118792</v>
      </c>
      <c r="W337" s="192">
        <v>23927.936514118792</v>
      </c>
      <c r="X337" s="192">
        <v>23927.936514118792</v>
      </c>
      <c r="Y337" s="192">
        <v>23927.936514118792</v>
      </c>
      <c r="Z337" s="192">
        <v>23927.936514118792</v>
      </c>
      <c r="AA337" s="192">
        <v>23927.936514118792</v>
      </c>
      <c r="AB337" s="192">
        <v>23927.936514118792</v>
      </c>
      <c r="AC337" s="192">
        <v>23927.936514118792</v>
      </c>
      <c r="AD337" s="192">
        <v>23927.936514118792</v>
      </c>
      <c r="AE337" s="192">
        <v>23927.936514118792</v>
      </c>
      <c r="AF337" s="192">
        <v>23927.936514118792</v>
      </c>
      <c r="AG337" s="192">
        <v>23927.936514118792</v>
      </c>
      <c r="AH337" s="192">
        <v>23927.936514118792</v>
      </c>
      <c r="AI337" s="192">
        <v>23927.936514118792</v>
      </c>
      <c r="AJ337" s="192">
        <v>23927.936514118792</v>
      </c>
      <c r="AK337" s="192">
        <v>23927.936514118792</v>
      </c>
      <c r="AL337" s="192">
        <v>23927.936514118792</v>
      </c>
    </row>
    <row r="338" spans="2:38">
      <c r="B338" s="122" t="str">
        <v>Cenário 20/03/2025 com IFC</v>
      </c>
      <c r="C338" s="448" t="str">
        <v>Operação Geral</v>
      </c>
      <c r="D338" s="149" t="str">
        <v>6</v>
      </c>
      <c r="E338" s="149" t="str">
        <v>6.2.2</v>
      </c>
      <c r="F338" s="149">
        <v>0</v>
      </c>
      <c r="G338" s="149">
        <v>1</v>
      </c>
      <c r="H338" s="267" t="str">
        <v>Sistema de Comunicação com os Usuários</v>
      </c>
      <c r="I338" s="192">
        <v>0</v>
      </c>
      <c r="J338" s="192">
        <v>0</v>
      </c>
      <c r="K338" s="192">
        <v>0</v>
      </c>
      <c r="L338" s="192">
        <v>0</v>
      </c>
      <c r="M338" s="192">
        <v>0</v>
      </c>
      <c r="N338" s="192">
        <v>0</v>
      </c>
      <c r="O338" s="192">
        <v>0</v>
      </c>
      <c r="P338" s="192">
        <v>0</v>
      </c>
      <c r="Q338" s="192">
        <v>0</v>
      </c>
      <c r="R338" s="192">
        <v>0</v>
      </c>
      <c r="S338" s="192">
        <v>0</v>
      </c>
      <c r="T338" s="192">
        <v>0</v>
      </c>
      <c r="U338" s="192">
        <v>0</v>
      </c>
      <c r="V338" s="192">
        <v>0</v>
      </c>
      <c r="W338" s="192">
        <v>0</v>
      </c>
      <c r="X338" s="192">
        <v>0</v>
      </c>
      <c r="Y338" s="192">
        <v>0</v>
      </c>
      <c r="Z338" s="192">
        <v>0</v>
      </c>
      <c r="AA338" s="192">
        <v>0</v>
      </c>
      <c r="AB338" s="192">
        <v>0</v>
      </c>
      <c r="AC338" s="192">
        <v>0</v>
      </c>
      <c r="AD338" s="192">
        <v>0</v>
      </c>
      <c r="AE338" s="192">
        <v>0</v>
      </c>
      <c r="AF338" s="192">
        <v>0</v>
      </c>
      <c r="AG338" s="192">
        <v>0</v>
      </c>
      <c r="AH338" s="192">
        <v>0</v>
      </c>
      <c r="AI338" s="192">
        <v>0</v>
      </c>
      <c r="AJ338" s="192">
        <v>0</v>
      </c>
      <c r="AK338" s="192">
        <v>0</v>
      </c>
      <c r="AL338" s="192">
        <v>0</v>
      </c>
    </row>
    <row r="339" spans="2:38">
      <c r="B339" s="122" t="str">
        <v>Cenário 20/03/2025 com IFC</v>
      </c>
      <c r="C339" s="448" t="str">
        <v>Operação Geral</v>
      </c>
      <c r="D339" s="149" t="str">
        <v>6</v>
      </c>
      <c r="E339" s="149" t="str">
        <v>6.2.2</v>
      </c>
      <c r="F339" s="149">
        <v>0</v>
      </c>
      <c r="G339" s="149">
        <v>1</v>
      </c>
      <c r="H339" s="267" t="str">
        <v>Sistema 0800 - CCO</v>
      </c>
      <c r="I339" s="192">
        <v>0</v>
      </c>
      <c r="J339" s="192">
        <v>0</v>
      </c>
      <c r="K339" s="192">
        <v>0</v>
      </c>
      <c r="L339" s="192">
        <v>0</v>
      </c>
      <c r="M339" s="192">
        <v>0</v>
      </c>
      <c r="N339" s="192">
        <v>0</v>
      </c>
      <c r="O339" s="192">
        <v>0</v>
      </c>
      <c r="P339" s="192">
        <v>0</v>
      </c>
      <c r="Q339" s="192">
        <v>0</v>
      </c>
      <c r="R339" s="192">
        <v>0</v>
      </c>
      <c r="S339" s="192">
        <v>0</v>
      </c>
      <c r="T339" s="192">
        <v>0</v>
      </c>
      <c r="U339" s="192">
        <v>0</v>
      </c>
      <c r="V339" s="192">
        <v>0</v>
      </c>
      <c r="W339" s="192">
        <v>0</v>
      </c>
      <c r="X339" s="192">
        <v>0</v>
      </c>
      <c r="Y339" s="192">
        <v>0</v>
      </c>
      <c r="Z339" s="192">
        <v>0</v>
      </c>
      <c r="AA339" s="192">
        <v>0</v>
      </c>
      <c r="AB339" s="192">
        <v>0</v>
      </c>
      <c r="AC339" s="192">
        <v>0</v>
      </c>
      <c r="AD339" s="192">
        <v>0</v>
      </c>
      <c r="AE339" s="192">
        <v>0</v>
      </c>
      <c r="AF339" s="192">
        <v>0</v>
      </c>
      <c r="AG339" s="192">
        <v>0</v>
      </c>
      <c r="AH339" s="192">
        <v>0</v>
      </c>
      <c r="AI339" s="192">
        <v>0</v>
      </c>
      <c r="AJ339" s="192">
        <v>0</v>
      </c>
      <c r="AK339" s="192">
        <v>0</v>
      </c>
      <c r="AL339" s="192">
        <v>0</v>
      </c>
    </row>
    <row r="340" spans="2:38">
      <c r="B340" s="122" t="str">
        <v>Cenário 20/03/2025 com IFC</v>
      </c>
      <c r="C340" s="448" t="str">
        <v>Operação Geral</v>
      </c>
      <c r="D340" s="149" t="str">
        <v>6</v>
      </c>
      <c r="E340" s="149" t="str">
        <v>6.2.2</v>
      </c>
      <c r="F340" s="149">
        <v>0</v>
      </c>
      <c r="G340" s="149">
        <v>1</v>
      </c>
      <c r="H340" s="267" t="str">
        <v>Equipamentos de Pista</v>
      </c>
      <c r="I340" s="192">
        <v>0</v>
      </c>
      <c r="J340" s="192">
        <v>0</v>
      </c>
      <c r="K340" s="192">
        <v>0</v>
      </c>
      <c r="L340" s="192">
        <v>0</v>
      </c>
      <c r="M340" s="192">
        <v>0</v>
      </c>
      <c r="N340" s="192">
        <v>0</v>
      </c>
      <c r="O340" s="192">
        <v>0</v>
      </c>
      <c r="P340" s="192">
        <v>0</v>
      </c>
      <c r="Q340" s="192">
        <v>0</v>
      </c>
      <c r="R340" s="192">
        <v>0</v>
      </c>
      <c r="S340" s="192">
        <v>0</v>
      </c>
      <c r="T340" s="192">
        <v>0</v>
      </c>
      <c r="U340" s="192">
        <v>0</v>
      </c>
      <c r="V340" s="192">
        <v>0</v>
      </c>
      <c r="W340" s="192">
        <v>0</v>
      </c>
      <c r="X340" s="192">
        <v>0</v>
      </c>
      <c r="Y340" s="192">
        <v>0</v>
      </c>
      <c r="Z340" s="192">
        <v>0</v>
      </c>
      <c r="AA340" s="192">
        <v>0</v>
      </c>
      <c r="AB340" s="192">
        <v>0</v>
      </c>
      <c r="AC340" s="192">
        <v>0</v>
      </c>
      <c r="AD340" s="192">
        <v>0</v>
      </c>
      <c r="AE340" s="192">
        <v>0</v>
      </c>
      <c r="AF340" s="192">
        <v>0</v>
      </c>
      <c r="AG340" s="192">
        <v>0</v>
      </c>
      <c r="AH340" s="192">
        <v>0</v>
      </c>
      <c r="AI340" s="192">
        <v>0</v>
      </c>
      <c r="AJ340" s="192">
        <v>0</v>
      </c>
      <c r="AK340" s="192">
        <v>0</v>
      </c>
      <c r="AL340" s="192">
        <v>0</v>
      </c>
    </row>
    <row r="341" spans="2:38">
      <c r="B341" s="122" t="str">
        <v>Cenário 20/03/2025 com IFC</v>
      </c>
      <c r="C341" s="448" t="str">
        <v>Operação Geral</v>
      </c>
      <c r="D341" s="149" t="str">
        <v>6</v>
      </c>
      <c r="E341" s="149" t="str">
        <v>6.2.2</v>
      </c>
      <c r="F341" s="149">
        <v>0</v>
      </c>
      <c r="G341" s="149">
        <v>1</v>
      </c>
      <c r="H341" s="267" t="str">
        <v>Rede, Sistema, Equipamentos e instalação de Fibra Óptica (72 Fibras)  -</v>
      </c>
      <c r="I341" s="192">
        <v>0</v>
      </c>
      <c r="J341" s="192">
        <v>0</v>
      </c>
      <c r="K341" s="192">
        <v>0</v>
      </c>
      <c r="L341" s="192">
        <v>0</v>
      </c>
      <c r="M341" s="192">
        <v>0</v>
      </c>
      <c r="N341" s="192">
        <v>0</v>
      </c>
      <c r="O341" s="192">
        <v>0</v>
      </c>
      <c r="P341" s="192">
        <v>0</v>
      </c>
      <c r="Q341" s="192">
        <v>0</v>
      </c>
      <c r="R341" s="192">
        <v>0</v>
      </c>
      <c r="S341" s="192">
        <v>0</v>
      </c>
      <c r="T341" s="192">
        <v>0</v>
      </c>
      <c r="U341" s="192">
        <v>0</v>
      </c>
      <c r="V341" s="192">
        <v>0</v>
      </c>
      <c r="W341" s="192">
        <v>0</v>
      </c>
      <c r="X341" s="192">
        <v>0</v>
      </c>
      <c r="Y341" s="192">
        <v>0</v>
      </c>
      <c r="Z341" s="192">
        <v>0</v>
      </c>
      <c r="AA341" s="192">
        <v>0</v>
      </c>
      <c r="AB341" s="192">
        <v>0</v>
      </c>
      <c r="AC341" s="192">
        <v>0</v>
      </c>
      <c r="AD341" s="192">
        <v>0</v>
      </c>
      <c r="AE341" s="192">
        <v>0</v>
      </c>
      <c r="AF341" s="192">
        <v>0</v>
      </c>
      <c r="AG341" s="192">
        <v>0</v>
      </c>
      <c r="AH341" s="192">
        <v>0</v>
      </c>
      <c r="AI341" s="192">
        <v>0</v>
      </c>
      <c r="AJ341" s="192">
        <v>0</v>
      </c>
      <c r="AK341" s="192">
        <v>0</v>
      </c>
      <c r="AL341" s="192">
        <v>0</v>
      </c>
    </row>
    <row r="342" spans="2:38">
      <c r="B342" s="122" t="str">
        <v>Cenário 20/03/2025 com IFC</v>
      </c>
      <c r="C342" s="448" t="str">
        <v>Operação Geral</v>
      </c>
      <c r="D342" s="149" t="str">
        <v>6</v>
      </c>
      <c r="E342" s="149" t="str">
        <v>6.2.2</v>
      </c>
      <c r="F342" s="449">
        <v>0</v>
      </c>
      <c r="G342" s="449">
        <v>1</v>
      </c>
      <c r="H342" s="267" t="str">
        <v>Wi-Fi</v>
      </c>
      <c r="I342" s="192">
        <v>0</v>
      </c>
      <c r="J342" s="192">
        <v>0</v>
      </c>
      <c r="K342" s="192">
        <v>0</v>
      </c>
      <c r="L342" s="192">
        <v>0</v>
      </c>
      <c r="M342" s="192">
        <v>0</v>
      </c>
      <c r="N342" s="192">
        <v>0</v>
      </c>
      <c r="O342" s="192">
        <v>0</v>
      </c>
      <c r="P342" s="192">
        <v>0</v>
      </c>
      <c r="Q342" s="192">
        <v>0</v>
      </c>
      <c r="R342" s="192">
        <v>0</v>
      </c>
      <c r="S342" s="192">
        <v>0</v>
      </c>
      <c r="T342" s="192">
        <v>0</v>
      </c>
      <c r="U342" s="192">
        <v>0</v>
      </c>
      <c r="V342" s="192">
        <v>0</v>
      </c>
      <c r="W342" s="192">
        <v>0</v>
      </c>
      <c r="X342" s="192">
        <v>0</v>
      </c>
      <c r="Y342" s="192">
        <v>0</v>
      </c>
      <c r="Z342" s="192">
        <v>0</v>
      </c>
      <c r="AA342" s="192">
        <v>0</v>
      </c>
      <c r="AB342" s="192">
        <v>0</v>
      </c>
      <c r="AC342" s="192">
        <v>0</v>
      </c>
      <c r="AD342" s="192">
        <v>0</v>
      </c>
      <c r="AE342" s="192">
        <v>0</v>
      </c>
      <c r="AF342" s="192">
        <v>0</v>
      </c>
      <c r="AG342" s="192">
        <v>0</v>
      </c>
      <c r="AH342" s="192">
        <v>0</v>
      </c>
      <c r="AI342" s="192">
        <v>0</v>
      </c>
      <c r="AJ342" s="192">
        <v>0</v>
      </c>
      <c r="AK342" s="192">
        <v>0</v>
      </c>
      <c r="AL342" s="192">
        <v>0</v>
      </c>
    </row>
    <row r="343" spans="2:38">
      <c r="B343" s="122" t="str">
        <v>Cenário 20/03/2025 com IFC</v>
      </c>
      <c r="C343" s="448" t="str">
        <v>Operação Geral</v>
      </c>
      <c r="D343" s="149" t="str">
        <v>6</v>
      </c>
      <c r="E343" s="149" t="str">
        <v>6.2.2</v>
      </c>
      <c r="F343" s="149">
        <v>0</v>
      </c>
      <c r="G343" s="149">
        <v>1</v>
      </c>
      <c r="H343" s="267" t="str">
        <v>Call Box</v>
      </c>
      <c r="I343" s="192">
        <v>0</v>
      </c>
      <c r="J343" s="192">
        <v>0</v>
      </c>
      <c r="K343" s="192">
        <v>0</v>
      </c>
      <c r="L343" s="192">
        <v>0</v>
      </c>
      <c r="M343" s="192">
        <v>0</v>
      </c>
      <c r="N343" s="192">
        <v>0</v>
      </c>
      <c r="O343" s="192">
        <v>0</v>
      </c>
      <c r="P343" s="192">
        <v>0</v>
      </c>
      <c r="Q343" s="192">
        <v>0</v>
      </c>
      <c r="R343" s="192">
        <v>0</v>
      </c>
      <c r="S343" s="192">
        <v>0</v>
      </c>
      <c r="T343" s="192">
        <v>0</v>
      </c>
      <c r="U343" s="192">
        <v>0</v>
      </c>
      <c r="V343" s="192">
        <v>0</v>
      </c>
      <c r="W343" s="192">
        <v>0</v>
      </c>
      <c r="X343" s="192">
        <v>0</v>
      </c>
      <c r="Y343" s="192">
        <v>0</v>
      </c>
      <c r="Z343" s="192">
        <v>0</v>
      </c>
      <c r="AA343" s="192">
        <v>0</v>
      </c>
      <c r="AB343" s="192">
        <v>0</v>
      </c>
      <c r="AC343" s="192">
        <v>0</v>
      </c>
      <c r="AD343" s="192">
        <v>0</v>
      </c>
      <c r="AE343" s="192">
        <v>0</v>
      </c>
      <c r="AF343" s="192">
        <v>0</v>
      </c>
      <c r="AG343" s="192">
        <v>0</v>
      </c>
      <c r="AH343" s="192">
        <v>0</v>
      </c>
      <c r="AI343" s="192">
        <v>0</v>
      </c>
      <c r="AJ343" s="192">
        <v>0</v>
      </c>
      <c r="AK343" s="192">
        <v>0</v>
      </c>
      <c r="AL343" s="192">
        <v>0</v>
      </c>
    </row>
    <row r="344" spans="2:38">
      <c r="B344" s="122" t="str">
        <v>Cenário 20/03/2025 com IFC</v>
      </c>
      <c r="C344" s="448" t="str">
        <v>Operação Geral</v>
      </c>
      <c r="D344" s="149" t="str">
        <v>6</v>
      </c>
      <c r="E344" s="149" t="str">
        <v>6.2.2</v>
      </c>
      <c r="F344" s="149">
        <v>0</v>
      </c>
      <c r="G344" s="149">
        <v>1</v>
      </c>
      <c r="H344" s="267" t="str">
        <v>Sistema de Monitoração de Tráfego</v>
      </c>
      <c r="I344" s="192">
        <v>0</v>
      </c>
      <c r="J344" s="192">
        <v>0</v>
      </c>
      <c r="K344" s="192">
        <v>0</v>
      </c>
      <c r="L344" s="192">
        <v>0</v>
      </c>
      <c r="M344" s="192">
        <v>0</v>
      </c>
      <c r="N344" s="192">
        <v>0</v>
      </c>
      <c r="O344" s="192">
        <v>0</v>
      </c>
      <c r="P344" s="192">
        <v>0</v>
      </c>
      <c r="Q344" s="192">
        <v>0</v>
      </c>
      <c r="R344" s="192">
        <v>0</v>
      </c>
      <c r="S344" s="192">
        <v>0</v>
      </c>
      <c r="T344" s="192">
        <v>0</v>
      </c>
      <c r="U344" s="192">
        <v>0</v>
      </c>
      <c r="V344" s="192">
        <v>0</v>
      </c>
      <c r="W344" s="192">
        <v>0</v>
      </c>
      <c r="X344" s="192">
        <v>0</v>
      </c>
      <c r="Y344" s="192">
        <v>0</v>
      </c>
      <c r="Z344" s="192">
        <v>0</v>
      </c>
      <c r="AA344" s="192">
        <v>0</v>
      </c>
      <c r="AB344" s="192">
        <v>0</v>
      </c>
      <c r="AC344" s="192">
        <v>0</v>
      </c>
      <c r="AD344" s="192">
        <v>0</v>
      </c>
      <c r="AE344" s="192">
        <v>0</v>
      </c>
      <c r="AF344" s="192">
        <v>0</v>
      </c>
      <c r="AG344" s="192">
        <v>0</v>
      </c>
      <c r="AH344" s="192">
        <v>0</v>
      </c>
      <c r="AI344" s="192">
        <v>0</v>
      </c>
      <c r="AJ344" s="192">
        <v>0</v>
      </c>
      <c r="AK344" s="192">
        <v>0</v>
      </c>
      <c r="AL344" s="192">
        <v>0</v>
      </c>
    </row>
    <row r="345" spans="2:38">
      <c r="B345" s="122" t="str">
        <v>Cenário 20/03/2025 com IFC</v>
      </c>
      <c r="C345" s="448" t="str">
        <v>Operação Geral</v>
      </c>
      <c r="D345" s="149" t="str">
        <v>6</v>
      </c>
      <c r="E345" s="149" t="str">
        <v>6.2.2</v>
      </c>
      <c r="F345" s="149">
        <v>0</v>
      </c>
      <c r="G345" s="149">
        <v>1</v>
      </c>
      <c r="H345" s="267" t="str">
        <v>Equipamentos de Detecção e Sensoriamento de Pista</v>
      </c>
      <c r="I345" s="192">
        <v>0</v>
      </c>
      <c r="J345" s="192">
        <v>0</v>
      </c>
      <c r="K345" s="192">
        <v>0</v>
      </c>
      <c r="L345" s="192">
        <v>0</v>
      </c>
      <c r="M345" s="192">
        <v>0</v>
      </c>
      <c r="N345" s="192">
        <v>0</v>
      </c>
      <c r="O345" s="192">
        <v>0</v>
      </c>
      <c r="P345" s="192">
        <v>0</v>
      </c>
      <c r="Q345" s="192">
        <v>0</v>
      </c>
      <c r="R345" s="192">
        <v>0</v>
      </c>
      <c r="S345" s="192">
        <v>0</v>
      </c>
      <c r="T345" s="192">
        <v>0</v>
      </c>
      <c r="U345" s="192">
        <v>0</v>
      </c>
      <c r="V345" s="192">
        <v>0</v>
      </c>
      <c r="W345" s="192">
        <v>0</v>
      </c>
      <c r="X345" s="192">
        <v>0</v>
      </c>
      <c r="Y345" s="192">
        <v>0</v>
      </c>
      <c r="Z345" s="192">
        <v>0</v>
      </c>
      <c r="AA345" s="192">
        <v>0</v>
      </c>
      <c r="AB345" s="192">
        <v>0</v>
      </c>
      <c r="AC345" s="192">
        <v>0</v>
      </c>
      <c r="AD345" s="192">
        <v>0</v>
      </c>
      <c r="AE345" s="192">
        <v>0</v>
      </c>
      <c r="AF345" s="192">
        <v>0</v>
      </c>
      <c r="AG345" s="192">
        <v>0</v>
      </c>
      <c r="AH345" s="192">
        <v>0</v>
      </c>
      <c r="AI345" s="192">
        <v>0</v>
      </c>
      <c r="AJ345" s="192">
        <v>0</v>
      </c>
      <c r="AK345" s="192">
        <v>0</v>
      </c>
      <c r="AL345" s="192">
        <v>0</v>
      </c>
    </row>
    <row r="346" spans="2:38">
      <c r="B346" s="122" t="str">
        <v>Cenário 20/03/2025 com IFC</v>
      </c>
      <c r="C346" s="448" t="str">
        <v>Operação Geral</v>
      </c>
      <c r="D346" s="149" t="str">
        <v>6</v>
      </c>
      <c r="E346" s="149" t="str">
        <v>6.2.2</v>
      </c>
      <c r="F346" s="149">
        <v>0</v>
      </c>
      <c r="G346" s="149">
        <v>1</v>
      </c>
      <c r="H346" s="267" t="str">
        <v>Sistema de Sensoriamento de Tráfego</v>
      </c>
      <c r="I346" s="450">
        <v>0</v>
      </c>
      <c r="J346" s="450">
        <v>0</v>
      </c>
      <c r="K346" s="450">
        <v>0</v>
      </c>
      <c r="L346" s="450">
        <v>0</v>
      </c>
      <c r="M346" s="450">
        <v>0</v>
      </c>
      <c r="N346" s="450">
        <v>0</v>
      </c>
      <c r="O346" s="450">
        <v>0</v>
      </c>
      <c r="P346" s="450">
        <v>0</v>
      </c>
      <c r="Q346" s="450">
        <v>0</v>
      </c>
      <c r="R346" s="450">
        <v>0</v>
      </c>
      <c r="S346" s="450">
        <v>0</v>
      </c>
      <c r="T346" s="450">
        <v>0</v>
      </c>
      <c r="U346" s="450">
        <v>0</v>
      </c>
      <c r="V346" s="450">
        <v>0</v>
      </c>
      <c r="W346" s="450">
        <v>0</v>
      </c>
      <c r="X346" s="450">
        <v>0</v>
      </c>
      <c r="Y346" s="450">
        <v>2968301.5950919311</v>
      </c>
      <c r="Z346" s="450">
        <v>0</v>
      </c>
      <c r="AA346" s="450">
        <v>0</v>
      </c>
      <c r="AB346" s="450">
        <v>0</v>
      </c>
      <c r="AC346" s="450">
        <v>0</v>
      </c>
      <c r="AD346" s="450">
        <v>0</v>
      </c>
      <c r="AE346" s="450">
        <v>0</v>
      </c>
      <c r="AF346" s="450">
        <v>0</v>
      </c>
      <c r="AG346" s="450">
        <v>0</v>
      </c>
      <c r="AH346" s="450">
        <v>0</v>
      </c>
      <c r="AI346" s="450">
        <v>0</v>
      </c>
      <c r="AJ346" s="450">
        <v>0</v>
      </c>
      <c r="AK346" s="450">
        <v>0</v>
      </c>
      <c r="AL346" s="450">
        <v>0</v>
      </c>
    </row>
    <row r="347" spans="2:38">
      <c r="B347" s="122" t="str">
        <v>Cenário 20/03/2025 com IFC</v>
      </c>
      <c r="C347" s="448" t="str">
        <v>Operação Geral</v>
      </c>
      <c r="D347" s="149" t="str">
        <v>6</v>
      </c>
      <c r="E347" s="149" t="str">
        <v>6.2.2</v>
      </c>
      <c r="F347" s="149">
        <v>0</v>
      </c>
      <c r="G347" s="149">
        <v>1</v>
      </c>
      <c r="H347" s="267" t="str">
        <v>Sensoriamento Automático de Tráfego (c/ pesagem)</v>
      </c>
      <c r="I347" s="192">
        <v>0</v>
      </c>
      <c r="J347" s="192">
        <v>0</v>
      </c>
      <c r="K347" s="192">
        <v>0</v>
      </c>
      <c r="L347" s="192">
        <v>0</v>
      </c>
      <c r="M347" s="192">
        <v>0</v>
      </c>
      <c r="N347" s="192">
        <v>0</v>
      </c>
      <c r="O347" s="192">
        <v>0</v>
      </c>
      <c r="P347" s="192">
        <v>0</v>
      </c>
      <c r="Q347" s="192">
        <v>0</v>
      </c>
      <c r="R347" s="192">
        <v>0</v>
      </c>
      <c r="S347" s="192">
        <v>0</v>
      </c>
      <c r="T347" s="192">
        <v>0</v>
      </c>
      <c r="U347" s="192">
        <v>0</v>
      </c>
      <c r="V347" s="192">
        <v>0</v>
      </c>
      <c r="W347" s="192">
        <v>0</v>
      </c>
      <c r="X347" s="192">
        <v>0</v>
      </c>
      <c r="Y347" s="192">
        <v>172425.71238466175</v>
      </c>
      <c r="Z347" s="192">
        <v>0</v>
      </c>
      <c r="AA347" s="192">
        <v>0</v>
      </c>
      <c r="AB347" s="192">
        <v>0</v>
      </c>
      <c r="AC347" s="192">
        <v>0</v>
      </c>
      <c r="AD347" s="192">
        <v>0</v>
      </c>
      <c r="AE347" s="192">
        <v>0</v>
      </c>
      <c r="AF347" s="192">
        <v>0</v>
      </c>
      <c r="AG347" s="192">
        <v>0</v>
      </c>
      <c r="AH347" s="192">
        <v>0</v>
      </c>
      <c r="AI347" s="192">
        <v>0</v>
      </c>
      <c r="AJ347" s="192">
        <v>0</v>
      </c>
      <c r="AK347" s="192">
        <v>0</v>
      </c>
      <c r="AL347" s="192">
        <v>0</v>
      </c>
    </row>
    <row r="348" spans="2:38">
      <c r="B348" s="122" t="str">
        <v>Cenário 20/03/2025 com IFC</v>
      </c>
      <c r="C348" s="448" t="str">
        <v>Operação Geral</v>
      </c>
      <c r="D348" s="149" t="str">
        <v>6</v>
      </c>
      <c r="E348" s="149" t="str">
        <v>6.2.2</v>
      </c>
      <c r="F348" s="149">
        <v>0</v>
      </c>
      <c r="G348" s="149">
        <v>1</v>
      </c>
      <c r="H348" s="267" t="str">
        <v>Detecção de Altura</v>
      </c>
      <c r="I348" s="192">
        <v>0</v>
      </c>
      <c r="J348" s="192">
        <v>0</v>
      </c>
      <c r="K348" s="192">
        <v>0</v>
      </c>
      <c r="L348" s="192">
        <v>0</v>
      </c>
      <c r="M348" s="192">
        <v>0</v>
      </c>
      <c r="N348" s="192">
        <v>0</v>
      </c>
      <c r="O348" s="192">
        <v>0</v>
      </c>
      <c r="P348" s="192">
        <v>0</v>
      </c>
      <c r="Q348" s="192">
        <v>0</v>
      </c>
      <c r="R348" s="192">
        <v>0</v>
      </c>
      <c r="S348" s="192">
        <v>0</v>
      </c>
      <c r="T348" s="192">
        <v>0</v>
      </c>
      <c r="U348" s="192">
        <v>0</v>
      </c>
      <c r="V348" s="192">
        <v>0</v>
      </c>
      <c r="W348" s="192">
        <v>0</v>
      </c>
      <c r="X348" s="192">
        <v>0</v>
      </c>
      <c r="Y348" s="192">
        <v>1213932.3398348638</v>
      </c>
      <c r="Z348" s="192">
        <v>0</v>
      </c>
      <c r="AA348" s="192">
        <v>0</v>
      </c>
      <c r="AB348" s="192">
        <v>0</v>
      </c>
      <c r="AC348" s="192">
        <v>0</v>
      </c>
      <c r="AD348" s="192">
        <v>0</v>
      </c>
      <c r="AE348" s="192">
        <v>0</v>
      </c>
      <c r="AF348" s="192">
        <v>0</v>
      </c>
      <c r="AG348" s="192">
        <v>0</v>
      </c>
      <c r="AH348" s="192">
        <v>0</v>
      </c>
      <c r="AI348" s="192">
        <v>0</v>
      </c>
      <c r="AJ348" s="192">
        <v>0</v>
      </c>
      <c r="AK348" s="192">
        <v>0</v>
      </c>
      <c r="AL348" s="192">
        <v>0</v>
      </c>
    </row>
    <row r="349" spans="2:38">
      <c r="B349" s="122" t="str">
        <v>Cenário 20/03/2025 com IFC</v>
      </c>
      <c r="C349" s="448" t="str">
        <v>Operação Geral</v>
      </c>
      <c r="D349" s="149" t="str">
        <v>6</v>
      </c>
      <c r="E349" s="149" t="str">
        <v>6.2.2</v>
      </c>
      <c r="F349" s="149">
        <v>0</v>
      </c>
      <c r="G349" s="149">
        <v>1</v>
      </c>
      <c r="H349" s="267" t="str">
        <v>Sistema de Circuito fechado de TV</v>
      </c>
      <c r="I349" s="192">
        <v>0</v>
      </c>
      <c r="J349" s="192">
        <v>0</v>
      </c>
      <c r="K349" s="192">
        <v>0</v>
      </c>
      <c r="L349" s="192">
        <v>0</v>
      </c>
      <c r="M349" s="192">
        <v>0</v>
      </c>
      <c r="N349" s="192">
        <v>0</v>
      </c>
      <c r="O349" s="192">
        <v>0</v>
      </c>
      <c r="P349" s="192">
        <v>0</v>
      </c>
      <c r="Q349" s="192">
        <v>0</v>
      </c>
      <c r="R349" s="192">
        <v>0</v>
      </c>
      <c r="S349" s="192">
        <v>0</v>
      </c>
      <c r="T349" s="192">
        <v>0</v>
      </c>
      <c r="U349" s="192">
        <v>0</v>
      </c>
      <c r="V349" s="192">
        <v>0</v>
      </c>
      <c r="W349" s="192">
        <v>0</v>
      </c>
      <c r="X349" s="192">
        <v>0</v>
      </c>
      <c r="Y349" s="192">
        <v>0</v>
      </c>
      <c r="Z349" s="192">
        <v>0</v>
      </c>
      <c r="AA349" s="192">
        <v>0</v>
      </c>
      <c r="AB349" s="192">
        <v>0</v>
      </c>
      <c r="AC349" s="192">
        <v>0</v>
      </c>
      <c r="AD349" s="192">
        <v>0</v>
      </c>
      <c r="AE349" s="192">
        <v>0</v>
      </c>
      <c r="AF349" s="192">
        <v>0</v>
      </c>
      <c r="AG349" s="192">
        <v>0</v>
      </c>
      <c r="AH349" s="192">
        <v>0</v>
      </c>
      <c r="AI349" s="192">
        <v>0</v>
      </c>
      <c r="AJ349" s="192">
        <v>0</v>
      </c>
      <c r="AK349" s="192">
        <v>0</v>
      </c>
      <c r="AL349" s="192">
        <v>0</v>
      </c>
    </row>
    <row r="350" spans="2:38">
      <c r="B350" s="122" t="str">
        <v>Cenário 20/03/2025 com IFC</v>
      </c>
      <c r="C350" s="448" t="str">
        <v>Operação Geral</v>
      </c>
      <c r="D350" s="149" t="str">
        <v>6</v>
      </c>
      <c r="E350" s="149" t="str">
        <v>6.2.2</v>
      </c>
      <c r="F350" s="149">
        <v>1</v>
      </c>
      <c r="G350" s="149">
        <v>1</v>
      </c>
      <c r="H350" s="267" t="str">
        <v>Sistema Completo - CFTV (Equipamentos, instalação e monitoramento)</v>
      </c>
      <c r="I350" s="192">
        <v>0</v>
      </c>
      <c r="J350" s="192">
        <v>0</v>
      </c>
      <c r="K350" s="192">
        <v>0</v>
      </c>
      <c r="L350" s="192">
        <v>0</v>
      </c>
      <c r="M350" s="192">
        <v>0</v>
      </c>
      <c r="N350" s="192">
        <v>0</v>
      </c>
      <c r="O350" s="192">
        <v>0</v>
      </c>
      <c r="P350" s="192">
        <v>0</v>
      </c>
      <c r="Q350" s="192">
        <v>0</v>
      </c>
      <c r="R350" s="192">
        <v>0</v>
      </c>
      <c r="S350" s="192">
        <v>0</v>
      </c>
      <c r="T350" s="192">
        <v>0</v>
      </c>
      <c r="U350" s="192">
        <v>0</v>
      </c>
      <c r="V350" s="192">
        <v>0</v>
      </c>
      <c r="W350" s="192">
        <v>0</v>
      </c>
      <c r="X350" s="192">
        <v>0</v>
      </c>
      <c r="Y350" s="192">
        <v>0</v>
      </c>
      <c r="Z350" s="192">
        <v>0</v>
      </c>
      <c r="AA350" s="192">
        <v>0</v>
      </c>
      <c r="AB350" s="192">
        <v>0</v>
      </c>
      <c r="AC350" s="192">
        <v>0</v>
      </c>
      <c r="AD350" s="192">
        <v>0</v>
      </c>
      <c r="AE350" s="192">
        <v>0</v>
      </c>
      <c r="AF350" s="192">
        <v>0</v>
      </c>
      <c r="AG350" s="192">
        <v>0</v>
      </c>
      <c r="AH350" s="192">
        <v>0</v>
      </c>
      <c r="AI350" s="192">
        <v>0</v>
      </c>
      <c r="AJ350" s="192">
        <v>0</v>
      </c>
      <c r="AK350" s="192">
        <v>0</v>
      </c>
      <c r="AL350" s="192">
        <v>0</v>
      </c>
    </row>
    <row r="351" spans="2:38">
      <c r="B351" s="122" t="str">
        <v>Cenário 20/03/2025 com IFC</v>
      </c>
      <c r="C351" s="448" t="str">
        <v>Operação Geral</v>
      </c>
      <c r="D351" s="149" t="str">
        <v>6</v>
      </c>
      <c r="E351" s="149" t="str">
        <v>6.2.2</v>
      </c>
      <c r="F351" s="449">
        <v>1</v>
      </c>
      <c r="G351" s="449">
        <v>1</v>
      </c>
      <c r="H351" s="267" t="str">
        <v>Câmeras - CFTV (Pista)</v>
      </c>
      <c r="I351" s="192">
        <v>0</v>
      </c>
      <c r="J351" s="192">
        <v>0</v>
      </c>
      <c r="K351" s="192">
        <v>0</v>
      </c>
      <c r="L351" s="192">
        <v>0</v>
      </c>
      <c r="M351" s="192">
        <v>0</v>
      </c>
      <c r="N351" s="192">
        <v>0</v>
      </c>
      <c r="O351" s="192">
        <v>0</v>
      </c>
      <c r="P351" s="192">
        <v>0</v>
      </c>
      <c r="Q351" s="192">
        <v>0</v>
      </c>
      <c r="R351" s="192">
        <v>0</v>
      </c>
      <c r="S351" s="192">
        <v>0</v>
      </c>
      <c r="T351" s="192">
        <v>0</v>
      </c>
      <c r="U351" s="192">
        <v>0</v>
      </c>
      <c r="V351" s="192">
        <v>0</v>
      </c>
      <c r="W351" s="192">
        <v>0</v>
      </c>
      <c r="X351" s="192">
        <v>0</v>
      </c>
      <c r="Y351" s="192">
        <v>0</v>
      </c>
      <c r="Z351" s="192">
        <v>0</v>
      </c>
      <c r="AA351" s="192">
        <v>0</v>
      </c>
      <c r="AB351" s="192">
        <v>0</v>
      </c>
      <c r="AC351" s="192">
        <v>0</v>
      </c>
      <c r="AD351" s="192">
        <v>0</v>
      </c>
      <c r="AE351" s="192">
        <v>0</v>
      </c>
      <c r="AF351" s="192">
        <v>0</v>
      </c>
      <c r="AG351" s="192">
        <v>0</v>
      </c>
      <c r="AH351" s="192">
        <v>0</v>
      </c>
      <c r="AI351" s="192">
        <v>0</v>
      </c>
      <c r="AJ351" s="192">
        <v>0</v>
      </c>
      <c r="AK351" s="192">
        <v>0</v>
      </c>
      <c r="AL351" s="192">
        <v>0</v>
      </c>
    </row>
    <row r="352" spans="2:38">
      <c r="B352" s="122" t="str">
        <v>Cenário 20/03/2025 com IFC</v>
      </c>
      <c r="C352" s="448" t="str">
        <v>Operação Geral</v>
      </c>
      <c r="D352" s="149" t="str">
        <v>6</v>
      </c>
      <c r="E352" s="149" t="str">
        <v>6.2.2</v>
      </c>
      <c r="F352" s="149">
        <v>1</v>
      </c>
      <c r="G352" s="149">
        <v>1</v>
      </c>
      <c r="H352" s="267" t="str">
        <v>Câmeras - CFTV - Edificações</v>
      </c>
      <c r="I352" s="192">
        <v>0</v>
      </c>
      <c r="J352" s="192">
        <v>0</v>
      </c>
      <c r="K352" s="192">
        <v>0</v>
      </c>
      <c r="L352" s="192">
        <v>0</v>
      </c>
      <c r="M352" s="192">
        <v>0</v>
      </c>
      <c r="N352" s="192">
        <v>0</v>
      </c>
      <c r="O352" s="192">
        <v>0</v>
      </c>
      <c r="P352" s="192">
        <v>0</v>
      </c>
      <c r="Q352" s="192">
        <v>0</v>
      </c>
      <c r="R352" s="192">
        <v>0</v>
      </c>
      <c r="S352" s="192">
        <v>0</v>
      </c>
      <c r="T352" s="192">
        <v>0</v>
      </c>
      <c r="U352" s="192">
        <v>0</v>
      </c>
      <c r="V352" s="192">
        <v>0</v>
      </c>
      <c r="W352" s="192">
        <v>0</v>
      </c>
      <c r="X352" s="192">
        <v>0</v>
      </c>
      <c r="Y352" s="192">
        <v>0</v>
      </c>
      <c r="Z352" s="192">
        <v>0</v>
      </c>
      <c r="AA352" s="192">
        <v>0</v>
      </c>
      <c r="AB352" s="192">
        <v>0</v>
      </c>
      <c r="AC352" s="192">
        <v>0</v>
      </c>
      <c r="AD352" s="192">
        <v>0</v>
      </c>
      <c r="AE352" s="192">
        <v>0</v>
      </c>
      <c r="AF352" s="192">
        <v>0</v>
      </c>
      <c r="AG352" s="192">
        <v>0</v>
      </c>
      <c r="AH352" s="192">
        <v>0</v>
      </c>
      <c r="AI352" s="192">
        <v>0</v>
      </c>
      <c r="AJ352" s="192">
        <v>0</v>
      </c>
      <c r="AK352" s="192">
        <v>0</v>
      </c>
      <c r="AL352" s="192">
        <v>0</v>
      </c>
    </row>
    <row r="353" spans="2:38">
      <c r="B353" s="122" t="str">
        <v>Cenário 20/03/2025 com IFC</v>
      </c>
      <c r="C353" s="448" t="str">
        <v>Operação Geral</v>
      </c>
      <c r="D353" s="149" t="str">
        <v>6</v>
      </c>
      <c r="E353" s="149" t="str">
        <v>6.2.2</v>
      </c>
      <c r="F353" s="149">
        <v>1</v>
      </c>
      <c r="G353" s="149">
        <v>1</v>
      </c>
      <c r="H353" s="267" t="str">
        <v>Câmeras - CFTV - Pista de pedágio</v>
      </c>
      <c r="I353" s="192">
        <v>0</v>
      </c>
      <c r="J353" s="192">
        <v>0</v>
      </c>
      <c r="K353" s="192">
        <v>0</v>
      </c>
      <c r="L353" s="192">
        <v>0</v>
      </c>
      <c r="M353" s="192">
        <v>0</v>
      </c>
      <c r="N353" s="192">
        <v>0</v>
      </c>
      <c r="O353" s="192">
        <v>0</v>
      </c>
      <c r="P353" s="192">
        <v>0</v>
      </c>
      <c r="Q353" s="192">
        <v>0</v>
      </c>
      <c r="R353" s="192">
        <v>0</v>
      </c>
      <c r="S353" s="192">
        <v>0</v>
      </c>
      <c r="T353" s="192">
        <v>0</v>
      </c>
      <c r="U353" s="192">
        <v>0</v>
      </c>
      <c r="V353" s="192">
        <v>0</v>
      </c>
      <c r="W353" s="192">
        <v>0</v>
      </c>
      <c r="X353" s="192">
        <v>0</v>
      </c>
      <c r="Y353" s="192">
        <v>0</v>
      </c>
      <c r="Z353" s="192">
        <v>0</v>
      </c>
      <c r="AA353" s="192">
        <v>0</v>
      </c>
      <c r="AB353" s="192">
        <v>0</v>
      </c>
      <c r="AC353" s="192">
        <v>0</v>
      </c>
      <c r="AD353" s="192">
        <v>0</v>
      </c>
      <c r="AE353" s="192">
        <v>0</v>
      </c>
      <c r="AF353" s="192">
        <v>0</v>
      </c>
      <c r="AG353" s="192">
        <v>0</v>
      </c>
      <c r="AH353" s="192">
        <v>0</v>
      </c>
      <c r="AI353" s="192">
        <v>0</v>
      </c>
      <c r="AJ353" s="192">
        <v>0</v>
      </c>
      <c r="AK353" s="192">
        <v>0</v>
      </c>
      <c r="AL353" s="192">
        <v>0</v>
      </c>
    </row>
    <row r="354" spans="2:38">
      <c r="B354" s="122" t="str">
        <v>Cenário 20/03/2025 com IFC</v>
      </c>
      <c r="C354" s="448" t="str">
        <v>Operação Geral</v>
      </c>
      <c r="D354" s="149" t="str">
        <v>6</v>
      </c>
      <c r="E354" s="149" t="str">
        <v>6.2.2</v>
      </c>
      <c r="F354" s="149">
        <v>1</v>
      </c>
      <c r="G354" s="149">
        <v>1</v>
      </c>
      <c r="H354" s="267" t="str">
        <v>Câmeras - Cabines de Pedágio</v>
      </c>
      <c r="I354" s="192">
        <v>0</v>
      </c>
      <c r="J354" s="192">
        <v>0</v>
      </c>
      <c r="K354" s="192">
        <v>0</v>
      </c>
      <c r="L354" s="192">
        <v>0</v>
      </c>
      <c r="M354" s="192">
        <v>0</v>
      </c>
      <c r="N354" s="192">
        <v>0</v>
      </c>
      <c r="O354" s="192">
        <v>0</v>
      </c>
      <c r="P354" s="192">
        <v>0</v>
      </c>
      <c r="Q354" s="192">
        <v>0</v>
      </c>
      <c r="R354" s="192">
        <v>0</v>
      </c>
      <c r="S354" s="192">
        <v>0</v>
      </c>
      <c r="T354" s="192">
        <v>0</v>
      </c>
      <c r="U354" s="192">
        <v>0</v>
      </c>
      <c r="V354" s="192">
        <v>0</v>
      </c>
      <c r="W354" s="192">
        <v>0</v>
      </c>
      <c r="X354" s="192">
        <v>0</v>
      </c>
      <c r="Y354" s="192">
        <v>0</v>
      </c>
      <c r="Z354" s="192">
        <v>0</v>
      </c>
      <c r="AA354" s="192">
        <v>0</v>
      </c>
      <c r="AB354" s="192">
        <v>0</v>
      </c>
      <c r="AC354" s="192">
        <v>0</v>
      </c>
      <c r="AD354" s="192">
        <v>0</v>
      </c>
      <c r="AE354" s="192">
        <v>0</v>
      </c>
      <c r="AF354" s="192">
        <v>0</v>
      </c>
      <c r="AG354" s="192">
        <v>0</v>
      </c>
      <c r="AH354" s="192">
        <v>0</v>
      </c>
      <c r="AI354" s="192">
        <v>0</v>
      </c>
      <c r="AJ354" s="192">
        <v>0</v>
      </c>
      <c r="AK354" s="192">
        <v>0</v>
      </c>
      <c r="AL354" s="192">
        <v>0</v>
      </c>
    </row>
    <row r="355" spans="2:38">
      <c r="B355" s="122" t="str">
        <v>Cenário 20/03/2025 com IFC</v>
      </c>
      <c r="C355" s="448" t="str">
        <v>Operação Geral</v>
      </c>
      <c r="D355" s="149" t="str">
        <v>6</v>
      </c>
      <c r="E355" s="149" t="str">
        <v>6.2.2</v>
      </c>
      <c r="F355" s="149">
        <v>1</v>
      </c>
      <c r="G355" s="149">
        <v>1</v>
      </c>
      <c r="H355" s="267" t="str">
        <v>NVR – gerenciamento de armazenamento de vídeos</v>
      </c>
      <c r="I355" s="192">
        <v>0</v>
      </c>
      <c r="J355" s="192">
        <v>0</v>
      </c>
      <c r="K355" s="192">
        <v>0</v>
      </c>
      <c r="L355" s="192">
        <v>0</v>
      </c>
      <c r="M355" s="192">
        <v>0</v>
      </c>
      <c r="N355" s="192">
        <v>0</v>
      </c>
      <c r="O355" s="192">
        <v>0</v>
      </c>
      <c r="P355" s="192">
        <v>0</v>
      </c>
      <c r="Q355" s="192">
        <v>0</v>
      </c>
      <c r="R355" s="192">
        <v>0</v>
      </c>
      <c r="S355" s="192">
        <v>0</v>
      </c>
      <c r="T355" s="192">
        <v>0</v>
      </c>
      <c r="U355" s="192">
        <v>0</v>
      </c>
      <c r="V355" s="192">
        <v>0</v>
      </c>
      <c r="W355" s="192">
        <v>0</v>
      </c>
      <c r="X355" s="192">
        <v>0</v>
      </c>
      <c r="Y355" s="192">
        <v>0</v>
      </c>
      <c r="Z355" s="192">
        <v>0</v>
      </c>
      <c r="AA355" s="192">
        <v>0</v>
      </c>
      <c r="AB355" s="192">
        <v>0</v>
      </c>
      <c r="AC355" s="192">
        <v>0</v>
      </c>
      <c r="AD355" s="192">
        <v>0</v>
      </c>
      <c r="AE355" s="192">
        <v>0</v>
      </c>
      <c r="AF355" s="192">
        <v>0</v>
      </c>
      <c r="AG355" s="192">
        <v>0</v>
      </c>
      <c r="AH355" s="192">
        <v>0</v>
      </c>
      <c r="AI355" s="192">
        <v>0</v>
      </c>
      <c r="AJ355" s="192">
        <v>0</v>
      </c>
      <c r="AK355" s="192">
        <v>0</v>
      </c>
      <c r="AL355" s="192">
        <v>0</v>
      </c>
    </row>
    <row r="356" spans="2:38">
      <c r="B356" s="122" t="str">
        <v>Cenário 20/03/2025 com IFC</v>
      </c>
      <c r="C356" s="448" t="str">
        <v>Operação Geral</v>
      </c>
      <c r="D356" s="149" t="str">
        <v>6</v>
      </c>
      <c r="E356" s="149" t="str">
        <v>6.2.2</v>
      </c>
      <c r="F356" s="149">
        <v>1</v>
      </c>
      <c r="G356" s="149">
        <v>1</v>
      </c>
      <c r="H356" s="267" t="str">
        <v>Câmeras - CFTV - Passarelas</v>
      </c>
      <c r="I356" s="192">
        <v>0</v>
      </c>
      <c r="J356" s="192">
        <v>0</v>
      </c>
      <c r="K356" s="192">
        <v>0</v>
      </c>
      <c r="L356" s="192">
        <v>0</v>
      </c>
      <c r="M356" s="192">
        <v>0</v>
      </c>
      <c r="N356" s="192">
        <v>0</v>
      </c>
      <c r="O356" s="192">
        <v>0</v>
      </c>
      <c r="P356" s="192">
        <v>0</v>
      </c>
      <c r="Q356" s="192">
        <v>0</v>
      </c>
      <c r="R356" s="192">
        <v>0</v>
      </c>
      <c r="S356" s="192">
        <v>0</v>
      </c>
      <c r="T356" s="192">
        <v>0</v>
      </c>
      <c r="U356" s="192">
        <v>0</v>
      </c>
      <c r="V356" s="192">
        <v>0</v>
      </c>
      <c r="W356" s="192">
        <v>0</v>
      </c>
      <c r="X356" s="192">
        <v>0</v>
      </c>
      <c r="Y356" s="192">
        <v>0</v>
      </c>
      <c r="Z356" s="192">
        <v>0</v>
      </c>
      <c r="AA356" s="192">
        <v>0</v>
      </c>
      <c r="AB356" s="192">
        <v>0</v>
      </c>
      <c r="AC356" s="192">
        <v>0</v>
      </c>
      <c r="AD356" s="192">
        <v>0</v>
      </c>
      <c r="AE356" s="192">
        <v>0</v>
      </c>
      <c r="AF356" s="192">
        <v>0</v>
      </c>
      <c r="AG356" s="192">
        <v>0</v>
      </c>
      <c r="AH356" s="192">
        <v>0</v>
      </c>
      <c r="AI356" s="192">
        <v>0</v>
      </c>
      <c r="AJ356" s="192">
        <v>0</v>
      </c>
      <c r="AK356" s="192">
        <v>0</v>
      </c>
      <c r="AL356" s="192">
        <v>0</v>
      </c>
    </row>
    <row r="357" spans="2:38">
      <c r="B357" s="122" t="str">
        <v>Cenário 20/03/2025 com IFC</v>
      </c>
      <c r="C357" s="448" t="str">
        <v>Operação Geral</v>
      </c>
      <c r="D357" s="149" t="str">
        <v>6</v>
      </c>
      <c r="E357" s="149" t="str">
        <v>6.2.2</v>
      </c>
      <c r="F357" s="149">
        <v>0</v>
      </c>
      <c r="G357" s="149">
        <v>1</v>
      </c>
      <c r="H357" s="267" t="str">
        <v>Sistema de Controle de Velocidade</v>
      </c>
      <c r="I357" s="192">
        <v>0</v>
      </c>
      <c r="J357" s="192">
        <v>0</v>
      </c>
      <c r="K357" s="192">
        <v>0</v>
      </c>
      <c r="L357" s="192">
        <v>0</v>
      </c>
      <c r="M357" s="192">
        <v>0</v>
      </c>
      <c r="N357" s="192">
        <v>0</v>
      </c>
      <c r="O357" s="192">
        <v>0</v>
      </c>
      <c r="P357" s="192">
        <v>0</v>
      </c>
      <c r="Q357" s="192">
        <v>0</v>
      </c>
      <c r="R357" s="192">
        <v>0</v>
      </c>
      <c r="S357" s="192">
        <v>0</v>
      </c>
      <c r="T357" s="192">
        <v>0</v>
      </c>
      <c r="U357" s="192">
        <v>0</v>
      </c>
      <c r="V357" s="192">
        <v>0</v>
      </c>
      <c r="W357" s="192">
        <v>0</v>
      </c>
      <c r="X357" s="192">
        <v>0</v>
      </c>
      <c r="Y357" s="192">
        <v>0</v>
      </c>
      <c r="Z357" s="192">
        <v>0</v>
      </c>
      <c r="AA357" s="192">
        <v>0</v>
      </c>
      <c r="AB357" s="192">
        <v>0</v>
      </c>
      <c r="AC357" s="192">
        <v>0</v>
      </c>
      <c r="AD357" s="192">
        <v>0</v>
      </c>
      <c r="AE357" s="192">
        <v>0</v>
      </c>
      <c r="AF357" s="192">
        <v>0</v>
      </c>
      <c r="AG357" s="192">
        <v>0</v>
      </c>
      <c r="AH357" s="192">
        <v>0</v>
      </c>
      <c r="AI357" s="192">
        <v>0</v>
      </c>
      <c r="AJ357" s="192">
        <v>0</v>
      </c>
      <c r="AK357" s="192">
        <v>0</v>
      </c>
      <c r="AL357" s="192">
        <v>0</v>
      </c>
    </row>
    <row r="358" spans="2:38">
      <c r="B358" s="122" t="str">
        <v>Cenário 20/03/2025 com IFC</v>
      </c>
      <c r="C358" s="448" t="str">
        <v>Operação Geral</v>
      </c>
      <c r="D358" s="149" t="str">
        <v>6</v>
      </c>
      <c r="E358" s="149" t="str">
        <v>6.2.2</v>
      </c>
      <c r="F358" s="149">
        <v>0</v>
      </c>
      <c r="G358" s="149">
        <v>1</v>
      </c>
      <c r="H358" s="267" t="str">
        <v>Radar Fixo - 2 Pistas</v>
      </c>
      <c r="I358" s="450">
        <v>0</v>
      </c>
      <c r="J358" s="450">
        <v>0</v>
      </c>
      <c r="K358" s="450">
        <v>0</v>
      </c>
      <c r="L358" s="450">
        <v>0</v>
      </c>
      <c r="M358" s="450">
        <v>0</v>
      </c>
      <c r="N358" s="450">
        <v>0</v>
      </c>
      <c r="O358" s="450">
        <v>0</v>
      </c>
      <c r="P358" s="450">
        <v>392187.06531251292</v>
      </c>
      <c r="Q358" s="450">
        <v>0</v>
      </c>
      <c r="R358" s="450">
        <v>0</v>
      </c>
      <c r="S358" s="450">
        <v>0</v>
      </c>
      <c r="T358" s="450">
        <v>0</v>
      </c>
      <c r="U358" s="450">
        <v>784374.13062502583</v>
      </c>
      <c r="V358" s="450">
        <v>0</v>
      </c>
      <c r="W358" s="450">
        <v>0</v>
      </c>
      <c r="X358" s="450">
        <v>0</v>
      </c>
      <c r="Y358" s="450">
        <v>0</v>
      </c>
      <c r="Z358" s="450">
        <v>1176561.1959375388</v>
      </c>
      <c r="AA358" s="450">
        <v>0</v>
      </c>
      <c r="AB358" s="450">
        <v>0</v>
      </c>
      <c r="AC358" s="450">
        <v>0</v>
      </c>
      <c r="AD358" s="450">
        <v>0</v>
      </c>
      <c r="AE358" s="450">
        <v>1176561.1959375388</v>
      </c>
      <c r="AF358" s="450">
        <v>0</v>
      </c>
      <c r="AG358" s="450">
        <v>0</v>
      </c>
      <c r="AH358" s="450">
        <v>0</v>
      </c>
      <c r="AI358" s="450">
        <v>0</v>
      </c>
      <c r="AJ358" s="450">
        <v>1176561.1959375388</v>
      </c>
      <c r="AK358" s="450">
        <v>0</v>
      </c>
      <c r="AL358" s="450">
        <v>0</v>
      </c>
    </row>
    <row r="359" spans="2:38">
      <c r="B359" s="122" t="str">
        <v>Cenário 20/03/2025 com IFC</v>
      </c>
      <c r="C359" s="448" t="str">
        <v>Operação Geral</v>
      </c>
      <c r="D359" s="149" t="str">
        <v>6</v>
      </c>
      <c r="E359" s="149" t="str">
        <v>6.2.2</v>
      </c>
      <c r="F359" s="149">
        <v>0</v>
      </c>
      <c r="G359" s="149">
        <v>1</v>
      </c>
      <c r="H359" s="267" t="str">
        <v>Radar Fixo - 1 Pistas</v>
      </c>
      <c r="I359" s="192">
        <v>0</v>
      </c>
      <c r="J359" s="192">
        <v>0</v>
      </c>
      <c r="K359" s="192">
        <v>0</v>
      </c>
      <c r="L359" s="192">
        <v>0</v>
      </c>
      <c r="M359" s="192">
        <v>0</v>
      </c>
      <c r="N359" s="192">
        <v>1171853.8350439433</v>
      </c>
      <c r="O359" s="192">
        <v>0</v>
      </c>
      <c r="P359" s="192">
        <v>0</v>
      </c>
      <c r="Q359" s="192">
        <v>0</v>
      </c>
      <c r="R359" s="192">
        <v>0</v>
      </c>
      <c r="S359" s="192">
        <v>937483.0680351546</v>
      </c>
      <c r="T359" s="192">
        <v>0</v>
      </c>
      <c r="U359" s="192">
        <v>0</v>
      </c>
      <c r="V359" s="192">
        <v>0</v>
      </c>
      <c r="W359" s="192">
        <v>0</v>
      </c>
      <c r="X359" s="192">
        <v>703112.30102636595</v>
      </c>
      <c r="Y359" s="192">
        <v>0</v>
      </c>
      <c r="Z359" s="192">
        <v>0</v>
      </c>
      <c r="AA359" s="192">
        <v>0</v>
      </c>
      <c r="AB359" s="192">
        <v>0</v>
      </c>
      <c r="AC359" s="192">
        <v>703112.30102636595</v>
      </c>
      <c r="AD359" s="192">
        <v>0</v>
      </c>
      <c r="AE359" s="192">
        <v>0</v>
      </c>
      <c r="AF359" s="192">
        <v>0</v>
      </c>
      <c r="AG359" s="192">
        <v>0</v>
      </c>
      <c r="AH359" s="192">
        <v>703112.30102636595</v>
      </c>
      <c r="AI359" s="192">
        <v>0</v>
      </c>
      <c r="AJ359" s="192">
        <v>0</v>
      </c>
      <c r="AK359" s="192">
        <v>0</v>
      </c>
      <c r="AL359" s="192">
        <v>0</v>
      </c>
    </row>
    <row r="360" spans="2:38">
      <c r="B360" s="122" t="str">
        <v>Cenário 20/03/2025 com IFC</v>
      </c>
      <c r="C360" s="448" t="str">
        <v>Operação Geral</v>
      </c>
      <c r="D360" s="149" t="str">
        <v>6</v>
      </c>
      <c r="E360" s="149" t="str">
        <v>6.2.2</v>
      </c>
      <c r="F360" s="449">
        <v>0</v>
      </c>
      <c r="G360" s="449">
        <v>1</v>
      </c>
      <c r="H360" s="267" t="str">
        <v>Radar Móvel (30 a 200 m)</v>
      </c>
      <c r="I360" s="192">
        <v>0</v>
      </c>
      <c r="J360" s="192">
        <v>0</v>
      </c>
      <c r="K360" s="192">
        <v>0</v>
      </c>
      <c r="L360" s="192">
        <v>0</v>
      </c>
      <c r="M360" s="192">
        <v>0</v>
      </c>
      <c r="N360" s="192">
        <v>0</v>
      </c>
      <c r="O360" s="192">
        <v>0</v>
      </c>
      <c r="P360" s="192">
        <v>0</v>
      </c>
      <c r="Q360" s="192">
        <v>0</v>
      </c>
      <c r="R360" s="192">
        <v>0</v>
      </c>
      <c r="S360" s="192">
        <v>0</v>
      </c>
      <c r="T360" s="192">
        <v>0</v>
      </c>
      <c r="U360" s="192">
        <v>0</v>
      </c>
      <c r="V360" s="192">
        <v>0</v>
      </c>
      <c r="W360" s="192">
        <v>0</v>
      </c>
      <c r="X360" s="192">
        <v>0</v>
      </c>
      <c r="Y360" s="192">
        <v>0</v>
      </c>
      <c r="Z360" s="192">
        <v>0</v>
      </c>
      <c r="AA360" s="192">
        <v>0</v>
      </c>
      <c r="AB360" s="192">
        <v>0</v>
      </c>
      <c r="AC360" s="192">
        <v>0</v>
      </c>
      <c r="AD360" s="192">
        <v>0</v>
      </c>
      <c r="AE360" s="192">
        <v>0</v>
      </c>
      <c r="AF360" s="192">
        <v>0</v>
      </c>
      <c r="AG360" s="192">
        <v>0</v>
      </c>
      <c r="AH360" s="192">
        <v>0</v>
      </c>
      <c r="AI360" s="192">
        <v>0</v>
      </c>
      <c r="AJ360" s="192">
        <v>0</v>
      </c>
      <c r="AK360" s="192">
        <v>0</v>
      </c>
      <c r="AL360" s="192">
        <v>0</v>
      </c>
    </row>
    <row r="361" spans="2:38">
      <c r="B361" s="122" t="str">
        <v>Cenário 20/03/2025 com IFC</v>
      </c>
      <c r="C361" s="448" t="str">
        <v>Operação Geral</v>
      </c>
      <c r="D361" s="149" t="str">
        <v>6</v>
      </c>
      <c r="E361" s="149" t="str">
        <v>6.2.2</v>
      </c>
      <c r="F361" s="149">
        <v>0</v>
      </c>
      <c r="G361" s="149">
        <v>1</v>
      </c>
      <c r="H361" s="267" t="str">
        <v>Lombada Eletrônica (2 faixas)</v>
      </c>
      <c r="I361" s="192">
        <v>0</v>
      </c>
      <c r="J361" s="192">
        <v>0</v>
      </c>
      <c r="K361" s="192">
        <v>0</v>
      </c>
      <c r="L361" s="192">
        <v>0</v>
      </c>
      <c r="M361" s="192">
        <v>0</v>
      </c>
      <c r="N361" s="192">
        <v>0</v>
      </c>
      <c r="O361" s="192">
        <v>0</v>
      </c>
      <c r="P361" s="192">
        <v>0</v>
      </c>
      <c r="Q361" s="192">
        <v>0</v>
      </c>
      <c r="R361" s="192">
        <v>0</v>
      </c>
      <c r="S361" s="192">
        <v>0</v>
      </c>
      <c r="T361" s="192">
        <v>0</v>
      </c>
      <c r="U361" s="192">
        <v>0</v>
      </c>
      <c r="V361" s="192">
        <v>0</v>
      </c>
      <c r="W361" s="192">
        <v>0</v>
      </c>
      <c r="X361" s="192">
        <v>0</v>
      </c>
      <c r="Y361" s="192">
        <v>0</v>
      </c>
      <c r="Z361" s="192">
        <v>0</v>
      </c>
      <c r="AA361" s="192">
        <v>0</v>
      </c>
      <c r="AB361" s="192">
        <v>0</v>
      </c>
      <c r="AC361" s="192">
        <v>0</v>
      </c>
      <c r="AD361" s="192">
        <v>0</v>
      </c>
      <c r="AE361" s="192">
        <v>0</v>
      </c>
      <c r="AF361" s="192">
        <v>0</v>
      </c>
      <c r="AG361" s="192">
        <v>0</v>
      </c>
      <c r="AH361" s="192">
        <v>0</v>
      </c>
      <c r="AI361" s="192">
        <v>0</v>
      </c>
      <c r="AJ361" s="192">
        <v>0</v>
      </c>
      <c r="AK361" s="192">
        <v>0</v>
      </c>
      <c r="AL361" s="192">
        <v>0</v>
      </c>
    </row>
    <row r="362" spans="2:38">
      <c r="B362" s="122" t="str">
        <v>Cenário 20/03/2025 com IFC</v>
      </c>
      <c r="C362" s="448" t="str">
        <v>Operação Geral</v>
      </c>
      <c r="D362" s="149" t="str">
        <v>6</v>
      </c>
      <c r="E362" s="149" t="str">
        <v>6.2.2</v>
      </c>
      <c r="F362" s="149">
        <v>0</v>
      </c>
      <c r="G362" s="149">
        <v>1</v>
      </c>
      <c r="H362" s="267" t="str">
        <v>Estação meteorológica</v>
      </c>
      <c r="I362" s="192">
        <v>0</v>
      </c>
      <c r="J362" s="192">
        <v>0</v>
      </c>
      <c r="K362" s="192">
        <v>0</v>
      </c>
      <c r="L362" s="192">
        <v>0</v>
      </c>
      <c r="M362" s="192">
        <v>0</v>
      </c>
      <c r="N362" s="192">
        <v>0</v>
      </c>
      <c r="O362" s="192">
        <v>0</v>
      </c>
      <c r="P362" s="192">
        <v>0</v>
      </c>
      <c r="Q362" s="192">
        <v>0</v>
      </c>
      <c r="R362" s="192">
        <v>0</v>
      </c>
      <c r="S362" s="192">
        <v>0</v>
      </c>
      <c r="T362" s="192">
        <v>0</v>
      </c>
      <c r="U362" s="192">
        <v>0</v>
      </c>
      <c r="V362" s="192">
        <v>0</v>
      </c>
      <c r="W362" s="192">
        <v>0</v>
      </c>
      <c r="X362" s="192">
        <v>0</v>
      </c>
      <c r="Y362" s="192">
        <v>0</v>
      </c>
      <c r="Z362" s="192">
        <v>0</v>
      </c>
      <c r="AA362" s="192">
        <v>0</v>
      </c>
      <c r="AB362" s="192">
        <v>0</v>
      </c>
      <c r="AC362" s="192">
        <v>0</v>
      </c>
      <c r="AD362" s="192">
        <v>0</v>
      </c>
      <c r="AE362" s="192">
        <v>0</v>
      </c>
      <c r="AF362" s="192">
        <v>0</v>
      </c>
      <c r="AG362" s="192">
        <v>0</v>
      </c>
      <c r="AH362" s="192">
        <v>0</v>
      </c>
      <c r="AI362" s="192">
        <v>0</v>
      </c>
      <c r="AJ362" s="192">
        <v>0</v>
      </c>
      <c r="AK362" s="192">
        <v>0</v>
      </c>
      <c r="AL362" s="192">
        <v>0</v>
      </c>
    </row>
    <row r="363" spans="2:38">
      <c r="B363" s="122" t="str">
        <v>Cenário 20/03/2025 com IFC</v>
      </c>
      <c r="C363" s="448" t="str">
        <v>Operação Geral</v>
      </c>
      <c r="D363" s="149" t="str">
        <v>6</v>
      </c>
      <c r="E363" s="149" t="str">
        <v>6.2.2</v>
      </c>
      <c r="F363" s="149">
        <v>0</v>
      </c>
      <c r="G363" s="149">
        <v>1</v>
      </c>
      <c r="H363" s="267" t="str">
        <v>Base meteorológica</v>
      </c>
      <c r="I363" s="192">
        <v>0</v>
      </c>
      <c r="J363" s="192">
        <v>0</v>
      </c>
      <c r="K363" s="192">
        <v>0</v>
      </c>
      <c r="L363" s="192">
        <v>0</v>
      </c>
      <c r="M363" s="192">
        <v>0</v>
      </c>
      <c r="N363" s="192">
        <v>0</v>
      </c>
      <c r="O363" s="192">
        <v>0</v>
      </c>
      <c r="P363" s="192">
        <v>0</v>
      </c>
      <c r="Q363" s="192">
        <v>0</v>
      </c>
      <c r="R363" s="192">
        <v>0</v>
      </c>
      <c r="S363" s="192">
        <v>0</v>
      </c>
      <c r="T363" s="192">
        <v>0</v>
      </c>
      <c r="U363" s="192">
        <v>0</v>
      </c>
      <c r="V363" s="192">
        <v>0</v>
      </c>
      <c r="W363" s="192">
        <v>0</v>
      </c>
      <c r="X363" s="192">
        <v>0</v>
      </c>
      <c r="Y363" s="192">
        <v>0</v>
      </c>
      <c r="Z363" s="192">
        <v>0</v>
      </c>
      <c r="AA363" s="192">
        <v>0</v>
      </c>
      <c r="AB363" s="192">
        <v>0</v>
      </c>
      <c r="AC363" s="192">
        <v>0</v>
      </c>
      <c r="AD363" s="192">
        <v>0</v>
      </c>
      <c r="AE363" s="192">
        <v>0</v>
      </c>
      <c r="AF363" s="192">
        <v>0</v>
      </c>
      <c r="AG363" s="192">
        <v>0</v>
      </c>
      <c r="AH363" s="192">
        <v>0</v>
      </c>
      <c r="AI363" s="192">
        <v>0</v>
      </c>
      <c r="AJ363" s="192">
        <v>0</v>
      </c>
      <c r="AK363" s="192">
        <v>0</v>
      </c>
      <c r="AL363" s="192">
        <v>0</v>
      </c>
    </row>
    <row r="364" spans="2:38">
      <c r="B364" s="122" t="str">
        <v>Cenário 20/03/2025 com IFC</v>
      </c>
      <c r="C364" s="448" t="str">
        <v>Operação Geral</v>
      </c>
      <c r="D364" s="149" t="str">
        <v>6</v>
      </c>
      <c r="E364" s="149" t="str">
        <v>6.2.2</v>
      </c>
      <c r="F364" s="149">
        <v>0</v>
      </c>
      <c r="G364" s="149">
        <v>1</v>
      </c>
      <c r="H364" s="267" t="str">
        <v>Sistema de Comunicação com os Usuários</v>
      </c>
      <c r="I364" s="192">
        <v>0</v>
      </c>
      <c r="J364" s="192">
        <v>0</v>
      </c>
      <c r="K364" s="192">
        <v>0</v>
      </c>
      <c r="L364" s="192">
        <v>0</v>
      </c>
      <c r="M364" s="192">
        <v>0</v>
      </c>
      <c r="N364" s="192">
        <v>0</v>
      </c>
      <c r="O364" s="192">
        <v>0</v>
      </c>
      <c r="P364" s="192">
        <v>0</v>
      </c>
      <c r="Q364" s="192">
        <v>0</v>
      </c>
      <c r="R364" s="192">
        <v>0</v>
      </c>
      <c r="S364" s="192">
        <v>0</v>
      </c>
      <c r="T364" s="192">
        <v>0</v>
      </c>
      <c r="U364" s="192">
        <v>0</v>
      </c>
      <c r="V364" s="192">
        <v>0</v>
      </c>
      <c r="W364" s="192">
        <v>0</v>
      </c>
      <c r="X364" s="192">
        <v>0</v>
      </c>
      <c r="Y364" s="192">
        <v>0</v>
      </c>
      <c r="Z364" s="192">
        <v>0</v>
      </c>
      <c r="AA364" s="192">
        <v>0</v>
      </c>
      <c r="AB364" s="192">
        <v>0</v>
      </c>
      <c r="AC364" s="192">
        <v>0</v>
      </c>
      <c r="AD364" s="192">
        <v>0</v>
      </c>
      <c r="AE364" s="192">
        <v>0</v>
      </c>
      <c r="AF364" s="192">
        <v>0</v>
      </c>
      <c r="AG364" s="192">
        <v>0</v>
      </c>
      <c r="AH364" s="192">
        <v>0</v>
      </c>
      <c r="AI364" s="192">
        <v>0</v>
      </c>
      <c r="AJ364" s="192">
        <v>0</v>
      </c>
      <c r="AK364" s="192">
        <v>0</v>
      </c>
      <c r="AL364" s="192">
        <v>0</v>
      </c>
    </row>
    <row r="365" spans="2:38">
      <c r="B365" s="122" t="str">
        <v>Cenário 20/03/2025 com IFC</v>
      </c>
      <c r="C365" s="448" t="str">
        <v>Operação Geral</v>
      </c>
      <c r="D365" s="149" t="str">
        <v>6</v>
      </c>
      <c r="E365" s="149" t="str">
        <v>6.2.2</v>
      </c>
      <c r="F365" s="149">
        <v>0</v>
      </c>
      <c r="G365" s="149">
        <v>1</v>
      </c>
      <c r="H365" s="267" t="str">
        <v>Painéis de Mensagens</v>
      </c>
      <c r="I365" s="192">
        <v>0</v>
      </c>
      <c r="J365" s="192">
        <v>0</v>
      </c>
      <c r="K365" s="192">
        <v>0</v>
      </c>
      <c r="L365" s="192">
        <v>0</v>
      </c>
      <c r="M365" s="192">
        <v>0</v>
      </c>
      <c r="N365" s="192">
        <v>0</v>
      </c>
      <c r="O365" s="192">
        <v>0</v>
      </c>
      <c r="P365" s="192">
        <v>0</v>
      </c>
      <c r="Q365" s="192">
        <v>0</v>
      </c>
      <c r="R365" s="192">
        <v>0</v>
      </c>
      <c r="S365" s="192">
        <v>0</v>
      </c>
      <c r="T365" s="192">
        <v>0</v>
      </c>
      <c r="U365" s="192">
        <v>0</v>
      </c>
      <c r="V365" s="192">
        <v>0</v>
      </c>
      <c r="W365" s="192">
        <v>0</v>
      </c>
      <c r="X365" s="192">
        <v>0</v>
      </c>
      <c r="Y365" s="192">
        <v>0</v>
      </c>
      <c r="Z365" s="192">
        <v>0</v>
      </c>
      <c r="AA365" s="192">
        <v>0</v>
      </c>
      <c r="AB365" s="192">
        <v>0</v>
      </c>
      <c r="AC365" s="192">
        <v>0</v>
      </c>
      <c r="AD365" s="192">
        <v>0</v>
      </c>
      <c r="AE365" s="192">
        <v>0</v>
      </c>
      <c r="AF365" s="192">
        <v>0</v>
      </c>
      <c r="AG365" s="192">
        <v>0</v>
      </c>
      <c r="AH365" s="192">
        <v>0</v>
      </c>
      <c r="AI365" s="192">
        <v>0</v>
      </c>
      <c r="AJ365" s="192">
        <v>0</v>
      </c>
      <c r="AK365" s="192">
        <v>0</v>
      </c>
      <c r="AL365" s="192">
        <v>0</v>
      </c>
    </row>
    <row r="366" spans="2:38">
      <c r="B366" s="122" t="str">
        <v>Cenário 20/03/2025 com IFC</v>
      </c>
      <c r="C366" s="448" t="str">
        <v>Operação Geral</v>
      </c>
      <c r="D366" s="149" t="str">
        <v>6</v>
      </c>
      <c r="E366" s="149" t="str">
        <v>6.2.2</v>
      </c>
      <c r="F366" s="149">
        <v>0</v>
      </c>
      <c r="G366" s="149">
        <v>1</v>
      </c>
      <c r="H366" s="267" t="str">
        <v>Painel de Mensagem Variável Fixo</v>
      </c>
      <c r="I366" s="192">
        <v>0</v>
      </c>
      <c r="J366" s="192">
        <v>0</v>
      </c>
      <c r="K366" s="192">
        <v>0</v>
      </c>
      <c r="L366" s="192">
        <v>0</v>
      </c>
      <c r="M366" s="192">
        <v>0</v>
      </c>
      <c r="N366" s="192">
        <v>0</v>
      </c>
      <c r="O366" s="192">
        <v>0</v>
      </c>
      <c r="P366" s="192">
        <v>0</v>
      </c>
      <c r="Q366" s="192">
        <v>0</v>
      </c>
      <c r="R366" s="192">
        <v>0</v>
      </c>
      <c r="S366" s="192">
        <v>0</v>
      </c>
      <c r="T366" s="192">
        <v>0</v>
      </c>
      <c r="U366" s="192">
        <v>0</v>
      </c>
      <c r="V366" s="192">
        <v>0</v>
      </c>
      <c r="W366" s="192">
        <v>0</v>
      </c>
      <c r="X366" s="192">
        <v>0</v>
      </c>
      <c r="Y366" s="192">
        <v>0</v>
      </c>
      <c r="Z366" s="192">
        <v>0</v>
      </c>
      <c r="AA366" s="192">
        <v>0</v>
      </c>
      <c r="AB366" s="192">
        <v>0</v>
      </c>
      <c r="AC366" s="192">
        <v>0</v>
      </c>
      <c r="AD366" s="192">
        <v>0</v>
      </c>
      <c r="AE366" s="192">
        <v>0</v>
      </c>
      <c r="AF366" s="192">
        <v>0</v>
      </c>
      <c r="AG366" s="192">
        <v>0</v>
      </c>
      <c r="AH366" s="192">
        <v>0</v>
      </c>
      <c r="AI366" s="192">
        <v>0</v>
      </c>
      <c r="AJ366" s="192">
        <v>0</v>
      </c>
      <c r="AK366" s="192">
        <v>0</v>
      </c>
      <c r="AL366" s="192">
        <v>0</v>
      </c>
    </row>
    <row r="367" spans="2:38">
      <c r="B367" s="122" t="str">
        <v>Cenário 20/03/2025 com IFC</v>
      </c>
      <c r="C367" s="448" t="str">
        <v>Operação Geral</v>
      </c>
      <c r="D367" s="149" t="str">
        <v>6</v>
      </c>
      <c r="E367" s="149" t="str">
        <v>6.2.2</v>
      </c>
      <c r="F367" s="149">
        <v>0</v>
      </c>
      <c r="G367" s="149">
        <v>1</v>
      </c>
      <c r="H367" s="267" t="str">
        <v>Painel de Mensagem Variável Móvel</v>
      </c>
      <c r="I367" s="192">
        <v>0</v>
      </c>
      <c r="J367" s="192">
        <v>0</v>
      </c>
      <c r="K367" s="192">
        <v>0</v>
      </c>
      <c r="L367" s="192">
        <v>0</v>
      </c>
      <c r="M367" s="192">
        <v>0</v>
      </c>
      <c r="N367" s="192">
        <v>0</v>
      </c>
      <c r="O367" s="192">
        <v>0</v>
      </c>
      <c r="P367" s="192">
        <v>0</v>
      </c>
      <c r="Q367" s="192">
        <v>0</v>
      </c>
      <c r="R367" s="192">
        <v>0</v>
      </c>
      <c r="S367" s="192">
        <v>0</v>
      </c>
      <c r="T367" s="192">
        <v>0</v>
      </c>
      <c r="U367" s="192">
        <v>0</v>
      </c>
      <c r="V367" s="192">
        <v>0</v>
      </c>
      <c r="W367" s="192">
        <v>0</v>
      </c>
      <c r="X367" s="192">
        <v>0</v>
      </c>
      <c r="Y367" s="192">
        <v>0</v>
      </c>
      <c r="Z367" s="192">
        <v>0</v>
      </c>
      <c r="AA367" s="192">
        <v>0</v>
      </c>
      <c r="AB367" s="192">
        <v>0</v>
      </c>
      <c r="AC367" s="192">
        <v>0</v>
      </c>
      <c r="AD367" s="192">
        <v>0</v>
      </c>
      <c r="AE367" s="192">
        <v>0</v>
      </c>
      <c r="AF367" s="192">
        <v>0</v>
      </c>
      <c r="AG367" s="192">
        <v>0</v>
      </c>
      <c r="AH367" s="192">
        <v>0</v>
      </c>
      <c r="AI367" s="192">
        <v>0</v>
      </c>
      <c r="AJ367" s="192">
        <v>0</v>
      </c>
      <c r="AK367" s="192">
        <v>0</v>
      </c>
      <c r="AL367" s="192">
        <v>0</v>
      </c>
    </row>
    <row r="368" spans="2:38">
      <c r="B368" s="122" t="str">
        <v>Cenário 20/03/2025 com IFC</v>
      </c>
      <c r="C368" s="448" t="str">
        <v>Operação Geral</v>
      </c>
      <c r="D368" s="149" t="str">
        <v>6</v>
      </c>
      <c r="E368" s="149" t="str">
        <v>6.2.2</v>
      </c>
      <c r="F368" s="149">
        <v>0</v>
      </c>
      <c r="G368" s="149">
        <v>1</v>
      </c>
      <c r="H368" s="267" t="str">
        <v>Serviço de Autoatendimento (SAU)</v>
      </c>
      <c r="I368" s="192">
        <v>0</v>
      </c>
      <c r="J368" s="192">
        <v>0</v>
      </c>
      <c r="K368" s="192">
        <v>0</v>
      </c>
      <c r="L368" s="192">
        <v>0</v>
      </c>
      <c r="M368" s="192">
        <v>0</v>
      </c>
      <c r="N368" s="192">
        <v>0</v>
      </c>
      <c r="O368" s="192">
        <v>0</v>
      </c>
      <c r="P368" s="192">
        <v>0</v>
      </c>
      <c r="Q368" s="192">
        <v>0</v>
      </c>
      <c r="R368" s="192">
        <v>0</v>
      </c>
      <c r="S368" s="192">
        <v>0</v>
      </c>
      <c r="T368" s="192">
        <v>0</v>
      </c>
      <c r="U368" s="192">
        <v>0</v>
      </c>
      <c r="V368" s="192">
        <v>0</v>
      </c>
      <c r="W368" s="192">
        <v>0</v>
      </c>
      <c r="X368" s="192">
        <v>0</v>
      </c>
      <c r="Y368" s="192">
        <v>0</v>
      </c>
      <c r="Z368" s="192">
        <v>0</v>
      </c>
      <c r="AA368" s="192">
        <v>0</v>
      </c>
      <c r="AB368" s="192">
        <v>0</v>
      </c>
      <c r="AC368" s="192">
        <v>0</v>
      </c>
      <c r="AD368" s="192">
        <v>0</v>
      </c>
      <c r="AE368" s="192">
        <v>0</v>
      </c>
      <c r="AF368" s="192">
        <v>0</v>
      </c>
      <c r="AG368" s="192">
        <v>0</v>
      </c>
      <c r="AH368" s="192">
        <v>0</v>
      </c>
      <c r="AI368" s="192">
        <v>0</v>
      </c>
      <c r="AJ368" s="192">
        <v>0</v>
      </c>
      <c r="AK368" s="192">
        <v>0</v>
      </c>
      <c r="AL368" s="192">
        <v>0</v>
      </c>
    </row>
    <row r="369" spans="2:38">
      <c r="B369" s="122" t="str">
        <v>Cenário 20/03/2025 com IFC</v>
      </c>
      <c r="C369" s="448" t="str">
        <v>Operação Geral</v>
      </c>
      <c r="D369" s="149" t="str">
        <v>6</v>
      </c>
      <c r="E369" s="149" t="str">
        <v>6.2.2</v>
      </c>
      <c r="F369" s="149">
        <v>0</v>
      </c>
      <c r="G369" s="149">
        <v>1</v>
      </c>
      <c r="H369" s="267" t="str">
        <v>Software com interface web + PABX p/ SA</v>
      </c>
      <c r="I369" s="192">
        <v>0</v>
      </c>
      <c r="J369" s="192">
        <v>0</v>
      </c>
      <c r="K369" s="192">
        <v>0</v>
      </c>
      <c r="L369" s="192">
        <v>0</v>
      </c>
      <c r="M369" s="192">
        <v>0</v>
      </c>
      <c r="N369" s="192">
        <v>0</v>
      </c>
      <c r="O369" s="192">
        <v>0</v>
      </c>
      <c r="P369" s="192">
        <v>0</v>
      </c>
      <c r="Q369" s="192">
        <v>0</v>
      </c>
      <c r="R369" s="192">
        <v>0</v>
      </c>
      <c r="S369" s="192">
        <v>0</v>
      </c>
      <c r="T369" s="192">
        <v>0</v>
      </c>
      <c r="U369" s="192">
        <v>0</v>
      </c>
      <c r="V369" s="192">
        <v>0</v>
      </c>
      <c r="W369" s="192">
        <v>0</v>
      </c>
      <c r="X369" s="192">
        <v>0</v>
      </c>
      <c r="Y369" s="192">
        <v>0</v>
      </c>
      <c r="Z369" s="192">
        <v>0</v>
      </c>
      <c r="AA369" s="192">
        <v>0</v>
      </c>
      <c r="AB369" s="192">
        <v>0</v>
      </c>
      <c r="AC369" s="192">
        <v>0</v>
      </c>
      <c r="AD369" s="192">
        <v>0</v>
      </c>
      <c r="AE369" s="192">
        <v>0</v>
      </c>
      <c r="AF369" s="192">
        <v>0</v>
      </c>
      <c r="AG369" s="192">
        <v>0</v>
      </c>
      <c r="AH369" s="192">
        <v>0</v>
      </c>
      <c r="AI369" s="192">
        <v>0</v>
      </c>
      <c r="AJ369" s="192">
        <v>0</v>
      </c>
      <c r="AK369" s="192">
        <v>0</v>
      </c>
      <c r="AL369" s="192">
        <v>0</v>
      </c>
    </row>
    <row r="370" spans="2:38">
      <c r="B370" s="122" t="str">
        <v>Cenário 20/03/2025 com IFC</v>
      </c>
      <c r="C370" s="448" t="str">
        <v>Operação Geral</v>
      </c>
      <c r="D370" s="149" t="str">
        <v>6</v>
      </c>
      <c r="E370" s="149" t="str">
        <v>6.2.2</v>
      </c>
      <c r="F370" s="149">
        <v>0</v>
      </c>
      <c r="G370" s="149">
        <v>1</v>
      </c>
      <c r="H370" s="267" t="str">
        <v>Totem de Autoatendimento</v>
      </c>
      <c r="I370" s="192">
        <v>0</v>
      </c>
      <c r="J370" s="192">
        <v>0</v>
      </c>
      <c r="K370" s="192">
        <v>0</v>
      </c>
      <c r="L370" s="192">
        <v>0</v>
      </c>
      <c r="M370" s="192">
        <v>0</v>
      </c>
      <c r="N370" s="192">
        <v>0</v>
      </c>
      <c r="O370" s="192">
        <v>0</v>
      </c>
      <c r="P370" s="192">
        <v>0</v>
      </c>
      <c r="Q370" s="192">
        <v>0</v>
      </c>
      <c r="R370" s="192">
        <v>0</v>
      </c>
      <c r="S370" s="192">
        <v>0</v>
      </c>
      <c r="T370" s="192">
        <v>0</v>
      </c>
      <c r="U370" s="192">
        <v>0</v>
      </c>
      <c r="V370" s="192">
        <v>0</v>
      </c>
      <c r="W370" s="192">
        <v>0</v>
      </c>
      <c r="X370" s="192">
        <v>0</v>
      </c>
      <c r="Y370" s="192">
        <v>0</v>
      </c>
      <c r="Z370" s="192">
        <v>0</v>
      </c>
      <c r="AA370" s="192">
        <v>0</v>
      </c>
      <c r="AB370" s="192">
        <v>0</v>
      </c>
      <c r="AC370" s="192">
        <v>0</v>
      </c>
      <c r="AD370" s="192">
        <v>0</v>
      </c>
      <c r="AE370" s="192">
        <v>0</v>
      </c>
      <c r="AF370" s="192">
        <v>0</v>
      </c>
      <c r="AG370" s="192">
        <v>0</v>
      </c>
      <c r="AH370" s="192">
        <v>0</v>
      </c>
      <c r="AI370" s="192">
        <v>0</v>
      </c>
      <c r="AJ370" s="192">
        <v>0</v>
      </c>
      <c r="AK370" s="192">
        <v>0</v>
      </c>
      <c r="AL370" s="192">
        <v>0</v>
      </c>
    </row>
    <row r="371" spans="2:38">
      <c r="B371" s="122" t="str">
        <v>Cenário 20/03/2025 com IFC</v>
      </c>
      <c r="C371" s="448" t="str">
        <v>Operação Geral</v>
      </c>
      <c r="D371" s="149" t="str">
        <v>6</v>
      </c>
      <c r="E371" s="149" t="str">
        <v>6.2.2</v>
      </c>
      <c r="F371" s="149">
        <v>0</v>
      </c>
      <c r="G371" s="149">
        <v>1</v>
      </c>
      <c r="H371" s="267" t="str">
        <v>Sistema de Radiocomunicação</v>
      </c>
      <c r="I371" s="192">
        <v>0</v>
      </c>
      <c r="J371" s="192">
        <v>0</v>
      </c>
      <c r="K371" s="192">
        <v>0</v>
      </c>
      <c r="L371" s="192">
        <v>0</v>
      </c>
      <c r="M371" s="192">
        <v>0</v>
      </c>
      <c r="N371" s="192">
        <v>0</v>
      </c>
      <c r="O371" s="192">
        <v>0</v>
      </c>
      <c r="P371" s="192">
        <v>0</v>
      </c>
      <c r="Q371" s="192">
        <v>0</v>
      </c>
      <c r="R371" s="192">
        <v>0</v>
      </c>
      <c r="S371" s="192">
        <v>0</v>
      </c>
      <c r="T371" s="192">
        <v>0</v>
      </c>
      <c r="U371" s="192">
        <v>0</v>
      </c>
      <c r="V371" s="192">
        <v>0</v>
      </c>
      <c r="W371" s="192">
        <v>0</v>
      </c>
      <c r="X371" s="192">
        <v>0</v>
      </c>
      <c r="Y371" s="192">
        <v>0</v>
      </c>
      <c r="Z371" s="192">
        <v>0</v>
      </c>
      <c r="AA371" s="192">
        <v>0</v>
      </c>
      <c r="AB371" s="192">
        <v>0</v>
      </c>
      <c r="AC371" s="192">
        <v>0</v>
      </c>
      <c r="AD371" s="192">
        <v>0</v>
      </c>
      <c r="AE371" s="192">
        <v>0</v>
      </c>
      <c r="AF371" s="192">
        <v>0</v>
      </c>
      <c r="AG371" s="192">
        <v>0</v>
      </c>
      <c r="AH371" s="192">
        <v>0</v>
      </c>
      <c r="AI371" s="192">
        <v>0</v>
      </c>
      <c r="AJ371" s="192">
        <v>0</v>
      </c>
      <c r="AK371" s="192">
        <v>0</v>
      </c>
      <c r="AL371" s="192">
        <v>0</v>
      </c>
    </row>
    <row r="372" spans="2:38">
      <c r="B372" s="122" t="str">
        <v>Cenário 20/03/2025 com IFC</v>
      </c>
      <c r="C372" s="448" t="str">
        <v>Operação Geral</v>
      </c>
      <c r="D372" s="149" t="str">
        <v>6</v>
      </c>
      <c r="E372" s="149" t="str">
        <v>6.2.2</v>
      </c>
      <c r="F372" s="149">
        <v>0</v>
      </c>
      <c r="G372" s="149">
        <v>1</v>
      </c>
      <c r="H372" s="267" t="str">
        <v>Sistema de Voz e Dados</v>
      </c>
      <c r="I372" s="192">
        <v>0</v>
      </c>
      <c r="J372" s="192">
        <v>0</v>
      </c>
      <c r="K372" s="192">
        <v>0</v>
      </c>
      <c r="L372" s="192">
        <v>0</v>
      </c>
      <c r="M372" s="192">
        <v>0</v>
      </c>
      <c r="N372" s="192">
        <v>0</v>
      </c>
      <c r="O372" s="192">
        <v>0</v>
      </c>
      <c r="P372" s="192">
        <v>0</v>
      </c>
      <c r="Q372" s="192">
        <v>0</v>
      </c>
      <c r="R372" s="192">
        <v>0</v>
      </c>
      <c r="S372" s="192">
        <v>769393.57810508052</v>
      </c>
      <c r="T372" s="192">
        <v>0</v>
      </c>
      <c r="U372" s="192">
        <v>0</v>
      </c>
      <c r="V372" s="192">
        <v>0</v>
      </c>
      <c r="W372" s="192">
        <v>0</v>
      </c>
      <c r="X372" s="192">
        <v>0</v>
      </c>
      <c r="Y372" s="192">
        <v>0</v>
      </c>
      <c r="Z372" s="192">
        <v>0</v>
      </c>
      <c r="AA372" s="192">
        <v>0</v>
      </c>
      <c r="AB372" s="192">
        <v>0</v>
      </c>
      <c r="AC372" s="192">
        <v>769393.57810508052</v>
      </c>
      <c r="AD372" s="192">
        <v>0</v>
      </c>
      <c r="AE372" s="192">
        <v>0</v>
      </c>
      <c r="AF372" s="192">
        <v>0</v>
      </c>
      <c r="AG372" s="192">
        <v>0</v>
      </c>
      <c r="AH372" s="192">
        <v>0</v>
      </c>
      <c r="AI372" s="192">
        <v>0</v>
      </c>
      <c r="AJ372" s="192">
        <v>0</v>
      </c>
      <c r="AK372" s="192">
        <v>0</v>
      </c>
      <c r="AL372" s="192">
        <v>0</v>
      </c>
    </row>
    <row r="373" spans="2:38">
      <c r="B373" s="122" t="str">
        <v>Cenário 20/03/2025 com IFC</v>
      </c>
      <c r="C373" s="448" t="str">
        <v>Operação Geral</v>
      </c>
      <c r="D373" s="149" t="str">
        <v>6</v>
      </c>
      <c r="E373" s="149" t="str">
        <v>6.2.2</v>
      </c>
      <c r="F373" s="149">
        <v>0</v>
      </c>
      <c r="G373" s="149">
        <v>1</v>
      </c>
      <c r="H373" s="267" t="str">
        <v>Estação Portátil</v>
      </c>
      <c r="I373" s="192">
        <v>0</v>
      </c>
      <c r="J373" s="192">
        <v>0</v>
      </c>
      <c r="K373" s="192">
        <v>0</v>
      </c>
      <c r="L373" s="192">
        <v>0</v>
      </c>
      <c r="M373" s="192">
        <v>215127.81690580779</v>
      </c>
      <c r="N373" s="192">
        <v>0</v>
      </c>
      <c r="O373" s="192">
        <v>0</v>
      </c>
      <c r="P373" s="192">
        <v>0</v>
      </c>
      <c r="Q373" s="192">
        <v>215127.81690580779</v>
      </c>
      <c r="R373" s="192">
        <v>0</v>
      </c>
      <c r="S373" s="192">
        <v>0</v>
      </c>
      <c r="T373" s="192">
        <v>0</v>
      </c>
      <c r="U373" s="192">
        <v>215127.81690580779</v>
      </c>
      <c r="V373" s="192">
        <v>0</v>
      </c>
      <c r="W373" s="192">
        <v>0</v>
      </c>
      <c r="X373" s="192">
        <v>0</v>
      </c>
      <c r="Y373" s="192">
        <v>215127.81690580779</v>
      </c>
      <c r="Z373" s="192">
        <v>0</v>
      </c>
      <c r="AA373" s="192">
        <v>0</v>
      </c>
      <c r="AB373" s="192">
        <v>0</v>
      </c>
      <c r="AC373" s="192">
        <v>193175.99885419477</v>
      </c>
      <c r="AD373" s="192">
        <v>0</v>
      </c>
      <c r="AE373" s="192">
        <v>0</v>
      </c>
      <c r="AF373" s="192">
        <v>0</v>
      </c>
      <c r="AG373" s="192">
        <v>193175.99885419477</v>
      </c>
      <c r="AH373" s="192">
        <v>0</v>
      </c>
      <c r="AI373" s="192">
        <v>0</v>
      </c>
      <c r="AJ373" s="192">
        <v>0</v>
      </c>
      <c r="AK373" s="192">
        <v>193175.99885419477</v>
      </c>
      <c r="AL373" s="192">
        <v>0</v>
      </c>
    </row>
    <row r="374" spans="2:38">
      <c r="B374" s="122" t="str">
        <v>Cenário 20/03/2025 com IFC</v>
      </c>
      <c r="C374" s="448" t="str">
        <v>Operação Geral</v>
      </c>
      <c r="D374" s="149" t="str">
        <v>6</v>
      </c>
      <c r="E374" s="149" t="str">
        <v>6.2.2</v>
      </c>
      <c r="F374" s="149">
        <v>0</v>
      </c>
      <c r="G374" s="149">
        <v>1</v>
      </c>
      <c r="H374" s="267" t="str">
        <v>Estação Fixa</v>
      </c>
      <c r="I374" s="192">
        <v>0</v>
      </c>
      <c r="J374" s="192">
        <v>0</v>
      </c>
      <c r="K374" s="192">
        <v>0</v>
      </c>
      <c r="L374" s="192">
        <v>0</v>
      </c>
      <c r="M374" s="192">
        <v>192060.92325923691</v>
      </c>
      <c r="N374" s="192">
        <v>0</v>
      </c>
      <c r="O374" s="192">
        <v>0</v>
      </c>
      <c r="P374" s="192">
        <v>0</v>
      </c>
      <c r="Q374" s="192">
        <v>192060.92325923691</v>
      </c>
      <c r="R374" s="192">
        <v>0</v>
      </c>
      <c r="S374" s="192">
        <v>0</v>
      </c>
      <c r="T374" s="192">
        <v>0</v>
      </c>
      <c r="U374" s="192">
        <v>192060.92325923691</v>
      </c>
      <c r="V374" s="192">
        <v>0</v>
      </c>
      <c r="W374" s="192">
        <v>0</v>
      </c>
      <c r="X374" s="192">
        <v>0</v>
      </c>
      <c r="Y374" s="192">
        <v>192060.92325923691</v>
      </c>
      <c r="Z374" s="192">
        <v>0</v>
      </c>
      <c r="AA374" s="192">
        <v>0</v>
      </c>
      <c r="AB374" s="192">
        <v>0</v>
      </c>
      <c r="AC374" s="192">
        <v>192060.92325923691</v>
      </c>
      <c r="AD374" s="192">
        <v>0</v>
      </c>
      <c r="AE374" s="192">
        <v>0</v>
      </c>
      <c r="AF374" s="192">
        <v>0</v>
      </c>
      <c r="AG374" s="192">
        <v>192060.92325923691</v>
      </c>
      <c r="AH374" s="192">
        <v>0</v>
      </c>
      <c r="AI374" s="192">
        <v>0</v>
      </c>
      <c r="AJ374" s="192">
        <v>0</v>
      </c>
      <c r="AK374" s="192">
        <v>192060.92325923691</v>
      </c>
      <c r="AL374" s="192">
        <v>0</v>
      </c>
    </row>
    <row r="375" spans="2:38">
      <c r="B375" s="122" t="str">
        <v>Cenário 20/03/2025 com IFC</v>
      </c>
      <c r="C375" s="448" t="str">
        <v>Operação Geral</v>
      </c>
      <c r="D375" s="149" t="str">
        <v>6</v>
      </c>
      <c r="E375" s="149" t="str">
        <v>6.2.2</v>
      </c>
      <c r="F375" s="149">
        <v>0</v>
      </c>
      <c r="G375" s="149">
        <v>1</v>
      </c>
      <c r="H375" s="267" t="str">
        <v>Estação Móvel</v>
      </c>
      <c r="I375" s="192">
        <v>0</v>
      </c>
      <c r="J375" s="192">
        <v>0</v>
      </c>
      <c r="K375" s="192">
        <v>0</v>
      </c>
      <c r="L375" s="192">
        <v>0</v>
      </c>
      <c r="M375" s="192">
        <v>129216.14122659061</v>
      </c>
      <c r="N375" s="192">
        <v>0</v>
      </c>
      <c r="O375" s="192">
        <v>0</v>
      </c>
      <c r="P375" s="192">
        <v>0</v>
      </c>
      <c r="Q375" s="192">
        <v>129216.14122659061</v>
      </c>
      <c r="R375" s="192">
        <v>0</v>
      </c>
      <c r="S375" s="192">
        <v>0</v>
      </c>
      <c r="T375" s="192">
        <v>0</v>
      </c>
      <c r="U375" s="192">
        <v>129216.14122659061</v>
      </c>
      <c r="V375" s="192">
        <v>0</v>
      </c>
      <c r="W375" s="192">
        <v>0</v>
      </c>
      <c r="X375" s="192">
        <v>0</v>
      </c>
      <c r="Y375" s="192">
        <v>129216.14122659061</v>
      </c>
      <c r="Z375" s="192">
        <v>0</v>
      </c>
      <c r="AA375" s="192">
        <v>0</v>
      </c>
      <c r="AB375" s="192">
        <v>0</v>
      </c>
      <c r="AC375" s="192">
        <v>129216.14122659061</v>
      </c>
      <c r="AD375" s="192">
        <v>0</v>
      </c>
      <c r="AE375" s="192">
        <v>0</v>
      </c>
      <c r="AF375" s="192">
        <v>0</v>
      </c>
      <c r="AG375" s="192">
        <v>129216.14122659061</v>
      </c>
      <c r="AH375" s="192">
        <v>0</v>
      </c>
      <c r="AI375" s="192">
        <v>0</v>
      </c>
      <c r="AJ375" s="192">
        <v>0</v>
      </c>
      <c r="AK375" s="192">
        <v>129216.14122659061</v>
      </c>
      <c r="AL375" s="192">
        <v>0</v>
      </c>
    </row>
    <row r="376" spans="2:38">
      <c r="B376" s="122" t="str">
        <v>Cenário 20/03/2025 com IFC</v>
      </c>
      <c r="C376" s="448" t="str">
        <v>Operação Geral</v>
      </c>
      <c r="D376" s="149" t="str">
        <v>6</v>
      </c>
      <c r="E376" s="149" t="str">
        <v>6.2.2</v>
      </c>
      <c r="F376" s="149">
        <v>0</v>
      </c>
      <c r="G376" s="149">
        <v>1</v>
      </c>
      <c r="H376" s="267" t="str">
        <v>Repetidoras</v>
      </c>
      <c r="I376" s="192">
        <v>0</v>
      </c>
      <c r="J376" s="192">
        <v>0</v>
      </c>
      <c r="K376" s="192">
        <v>0</v>
      </c>
      <c r="L376" s="192">
        <v>0</v>
      </c>
      <c r="M376" s="192">
        <v>3165304.2468096483</v>
      </c>
      <c r="N376" s="192">
        <v>0</v>
      </c>
      <c r="O376" s="192">
        <v>0</v>
      </c>
      <c r="P376" s="192">
        <v>0</v>
      </c>
      <c r="Q376" s="192">
        <v>3165304.2468096483</v>
      </c>
      <c r="R376" s="192">
        <v>0</v>
      </c>
      <c r="S376" s="192">
        <v>0</v>
      </c>
      <c r="T376" s="192">
        <v>0</v>
      </c>
      <c r="U376" s="192">
        <v>3165304.2468096483</v>
      </c>
      <c r="V376" s="192">
        <v>0</v>
      </c>
      <c r="W376" s="192">
        <v>0</v>
      </c>
      <c r="X376" s="192">
        <v>0</v>
      </c>
      <c r="Y376" s="192">
        <v>3165304.2468096483</v>
      </c>
      <c r="Z376" s="192">
        <v>0</v>
      </c>
      <c r="AA376" s="192">
        <v>0</v>
      </c>
      <c r="AB376" s="192">
        <v>0</v>
      </c>
      <c r="AC376" s="192">
        <v>3165304.2468096483</v>
      </c>
      <c r="AD376" s="192">
        <v>0</v>
      </c>
      <c r="AE376" s="192">
        <v>0</v>
      </c>
      <c r="AF376" s="192">
        <v>0</v>
      </c>
      <c r="AG376" s="192">
        <v>3165304.2468096483</v>
      </c>
      <c r="AH376" s="192">
        <v>0</v>
      </c>
      <c r="AI376" s="192">
        <v>0</v>
      </c>
      <c r="AJ376" s="192">
        <v>0</v>
      </c>
      <c r="AK376" s="192">
        <v>3165304.2468096483</v>
      </c>
      <c r="AL376" s="192">
        <v>0</v>
      </c>
    </row>
    <row r="377" spans="2:38">
      <c r="B377" s="122" t="str">
        <v>Cenário 20/03/2025 com IFC</v>
      </c>
      <c r="C377" s="448" t="str">
        <v>Operação Geral</v>
      </c>
      <c r="D377" s="149" t="str">
        <v>6</v>
      </c>
      <c r="E377" s="149" t="str">
        <v>6.2.2</v>
      </c>
      <c r="F377" s="149">
        <v>0</v>
      </c>
      <c r="G377" s="149">
        <v>1</v>
      </c>
      <c r="H377" s="267" t="str">
        <v xml:space="preserve">Infra </v>
      </c>
      <c r="I377" s="192">
        <v>0</v>
      </c>
      <c r="J377" s="192">
        <v>0</v>
      </c>
      <c r="K377" s="192">
        <v>0</v>
      </c>
      <c r="L377" s="192">
        <v>0</v>
      </c>
      <c r="M377" s="192">
        <v>0</v>
      </c>
      <c r="N377" s="192">
        <v>0</v>
      </c>
      <c r="O377" s="192">
        <v>0</v>
      </c>
      <c r="P377" s="192">
        <v>0</v>
      </c>
      <c r="Q377" s="192">
        <v>0</v>
      </c>
      <c r="R377" s="192">
        <v>0</v>
      </c>
      <c r="S377" s="192">
        <v>0</v>
      </c>
      <c r="T377" s="192">
        <v>0</v>
      </c>
      <c r="U377" s="192">
        <v>0</v>
      </c>
      <c r="V377" s="192">
        <v>0</v>
      </c>
      <c r="W377" s="192">
        <v>0</v>
      </c>
      <c r="X377" s="192">
        <v>0</v>
      </c>
      <c r="Y377" s="192">
        <v>0</v>
      </c>
      <c r="Z377" s="192">
        <v>0</v>
      </c>
      <c r="AA377" s="192">
        <v>0</v>
      </c>
      <c r="AB377" s="192">
        <v>0</v>
      </c>
      <c r="AC377" s="192">
        <v>0</v>
      </c>
      <c r="AD377" s="192">
        <v>0</v>
      </c>
      <c r="AE377" s="192">
        <v>0</v>
      </c>
      <c r="AF377" s="192">
        <v>0</v>
      </c>
      <c r="AG377" s="192">
        <v>0</v>
      </c>
      <c r="AH377" s="192">
        <v>0</v>
      </c>
      <c r="AI377" s="192">
        <v>0</v>
      </c>
      <c r="AJ377" s="192">
        <v>0</v>
      </c>
      <c r="AK377" s="192">
        <v>0</v>
      </c>
      <c r="AL377" s="192">
        <v>0</v>
      </c>
    </row>
    <row r="378" spans="2:38">
      <c r="B378" s="122" t="str">
        <v>Cenário 20/03/2025 com IFC</v>
      </c>
      <c r="C378" s="448" t="str">
        <v>Operação Geral</v>
      </c>
      <c r="D378" s="149" t="str">
        <v>6</v>
      </c>
      <c r="E378" s="149" t="str">
        <v>6.2.2</v>
      </c>
      <c r="F378" s="149">
        <v>0</v>
      </c>
      <c r="G378" s="149">
        <v>1</v>
      </c>
      <c r="H378" s="267" t="str">
        <v>Sistema de Telefonia Convencional</v>
      </c>
      <c r="I378" s="192">
        <v>0</v>
      </c>
      <c r="J378" s="192">
        <v>0</v>
      </c>
      <c r="K378" s="192">
        <v>0</v>
      </c>
      <c r="L378" s="192">
        <v>0</v>
      </c>
      <c r="M378" s="192">
        <v>0</v>
      </c>
      <c r="N378" s="192">
        <v>0</v>
      </c>
      <c r="O378" s="192">
        <v>0</v>
      </c>
      <c r="P378" s="192">
        <v>0</v>
      </c>
      <c r="Q378" s="192">
        <v>0</v>
      </c>
      <c r="R378" s="192">
        <v>0</v>
      </c>
      <c r="S378" s="192">
        <v>0</v>
      </c>
      <c r="T378" s="192">
        <v>0</v>
      </c>
      <c r="U378" s="192">
        <v>0</v>
      </c>
      <c r="V378" s="192">
        <v>0</v>
      </c>
      <c r="W378" s="192">
        <v>0</v>
      </c>
      <c r="X378" s="192">
        <v>0</v>
      </c>
      <c r="Y378" s="192">
        <v>0</v>
      </c>
      <c r="Z378" s="192">
        <v>0</v>
      </c>
      <c r="AA378" s="192">
        <v>0</v>
      </c>
      <c r="AB378" s="192">
        <v>0</v>
      </c>
      <c r="AC378" s="192">
        <v>0</v>
      </c>
      <c r="AD378" s="192">
        <v>0</v>
      </c>
      <c r="AE378" s="192">
        <v>0</v>
      </c>
      <c r="AF378" s="192">
        <v>0</v>
      </c>
      <c r="AG378" s="192">
        <v>0</v>
      </c>
      <c r="AH378" s="192">
        <v>0</v>
      </c>
      <c r="AI378" s="192">
        <v>0</v>
      </c>
      <c r="AJ378" s="192">
        <v>0</v>
      </c>
      <c r="AK378" s="192">
        <v>0</v>
      </c>
      <c r="AL378" s="192">
        <v>0</v>
      </c>
    </row>
    <row r="379" spans="2:38">
      <c r="B379" s="122" t="str">
        <v>Cenário 20/03/2025 com IFC</v>
      </c>
      <c r="C379" s="448" t="str">
        <v>Operação Geral</v>
      </c>
      <c r="D379" s="149" t="str">
        <v>6</v>
      </c>
      <c r="E379" s="149" t="str">
        <v>6.2.2</v>
      </c>
      <c r="F379" s="149">
        <v>1</v>
      </c>
      <c r="G379" s="149">
        <v>1</v>
      </c>
      <c r="H379" s="267" t="str">
        <v>Central Telefônica - Comunicação - Switch / Firewall</v>
      </c>
      <c r="I379" s="192">
        <v>0</v>
      </c>
      <c r="J379" s="192">
        <v>0</v>
      </c>
      <c r="K379" s="192">
        <v>0</v>
      </c>
      <c r="L379" s="192">
        <v>0</v>
      </c>
      <c r="M379" s="192">
        <v>0</v>
      </c>
      <c r="N379" s="192">
        <v>0</v>
      </c>
      <c r="O379" s="192">
        <v>0</v>
      </c>
      <c r="P379" s="192">
        <v>0</v>
      </c>
      <c r="Q379" s="192">
        <v>0</v>
      </c>
      <c r="R379" s="192">
        <v>0</v>
      </c>
      <c r="S379" s="192">
        <v>0</v>
      </c>
      <c r="T379" s="192">
        <v>0</v>
      </c>
      <c r="U379" s="192">
        <v>0</v>
      </c>
      <c r="V379" s="192">
        <v>0</v>
      </c>
      <c r="W379" s="192">
        <v>0</v>
      </c>
      <c r="X379" s="192">
        <v>0</v>
      </c>
      <c r="Y379" s="192">
        <v>0</v>
      </c>
      <c r="Z379" s="192">
        <v>0</v>
      </c>
      <c r="AA379" s="192">
        <v>0</v>
      </c>
      <c r="AB379" s="192">
        <v>0</v>
      </c>
      <c r="AC379" s="192">
        <v>0</v>
      </c>
      <c r="AD379" s="192">
        <v>0</v>
      </c>
      <c r="AE379" s="192">
        <v>0</v>
      </c>
      <c r="AF379" s="192">
        <v>0</v>
      </c>
      <c r="AG379" s="192">
        <v>0</v>
      </c>
      <c r="AH379" s="192">
        <v>0</v>
      </c>
      <c r="AI379" s="192">
        <v>0</v>
      </c>
      <c r="AJ379" s="192">
        <v>0</v>
      </c>
      <c r="AK379" s="192">
        <v>0</v>
      </c>
      <c r="AL379" s="192">
        <v>0</v>
      </c>
    </row>
    <row r="380" spans="2:38">
      <c r="B380" s="122" t="str">
        <v>Cenário 20/03/2025 com IFC</v>
      </c>
      <c r="C380" s="448" t="str">
        <v>Operação Geral</v>
      </c>
      <c r="D380" s="149" t="str">
        <v>6</v>
      </c>
      <c r="E380" s="149" t="str">
        <v>6.2.2</v>
      </c>
      <c r="F380" s="149">
        <v>0</v>
      </c>
      <c r="G380" s="149">
        <v>1</v>
      </c>
      <c r="H380" s="267" t="str">
        <v>Sistema de Telefonia Celular</v>
      </c>
      <c r="I380" s="192">
        <v>0</v>
      </c>
      <c r="J380" s="192">
        <v>0</v>
      </c>
      <c r="K380" s="192">
        <v>0</v>
      </c>
      <c r="L380" s="192">
        <v>0</v>
      </c>
      <c r="M380" s="192">
        <v>0</v>
      </c>
      <c r="N380" s="192">
        <v>0</v>
      </c>
      <c r="O380" s="192">
        <v>0</v>
      </c>
      <c r="P380" s="192">
        <v>0</v>
      </c>
      <c r="Q380" s="192">
        <v>0</v>
      </c>
      <c r="R380" s="192">
        <v>0</v>
      </c>
      <c r="S380" s="192">
        <v>0</v>
      </c>
      <c r="T380" s="192">
        <v>0</v>
      </c>
      <c r="U380" s="192">
        <v>0</v>
      </c>
      <c r="V380" s="192">
        <v>0</v>
      </c>
      <c r="W380" s="192">
        <v>0</v>
      </c>
      <c r="X380" s="192">
        <v>0</v>
      </c>
      <c r="Y380" s="192">
        <v>0</v>
      </c>
      <c r="Z380" s="192">
        <v>0</v>
      </c>
      <c r="AA380" s="192">
        <v>0</v>
      </c>
      <c r="AB380" s="192">
        <v>0</v>
      </c>
      <c r="AC380" s="192">
        <v>0</v>
      </c>
      <c r="AD380" s="192">
        <v>0</v>
      </c>
      <c r="AE380" s="192">
        <v>0</v>
      </c>
      <c r="AF380" s="192">
        <v>0</v>
      </c>
      <c r="AG380" s="192">
        <v>0</v>
      </c>
      <c r="AH380" s="192">
        <v>0</v>
      </c>
      <c r="AI380" s="192">
        <v>0</v>
      </c>
      <c r="AJ380" s="192">
        <v>0</v>
      </c>
      <c r="AK380" s="192">
        <v>0</v>
      </c>
      <c r="AL380" s="192">
        <v>0</v>
      </c>
    </row>
    <row r="381" spans="2:38">
      <c r="B381" s="122" t="str">
        <v>Cenário 20/03/2025 com IFC</v>
      </c>
      <c r="C381" s="448" t="str">
        <v>Operação Geral</v>
      </c>
      <c r="D381" s="149" t="str">
        <v>6</v>
      </c>
      <c r="E381" s="149" t="str">
        <v>6.2.2</v>
      </c>
      <c r="F381" s="149">
        <v>0</v>
      </c>
      <c r="G381" s="149">
        <v>1</v>
      </c>
      <c r="H381" s="267" t="str">
        <v>Aparelhos celulares</v>
      </c>
      <c r="I381" s="192">
        <v>0</v>
      </c>
      <c r="J381" s="192">
        <v>0</v>
      </c>
      <c r="K381" s="192">
        <v>280396.79999999999</v>
      </c>
      <c r="L381" s="192">
        <v>0</v>
      </c>
      <c r="M381" s="192">
        <v>280396.79999999999</v>
      </c>
      <c r="N381" s="192">
        <v>0</v>
      </c>
      <c r="O381" s="192">
        <v>280396.79999999999</v>
      </c>
      <c r="P381" s="192">
        <v>0</v>
      </c>
      <c r="Q381" s="192">
        <v>280396.79999999999</v>
      </c>
      <c r="R381" s="192">
        <v>0</v>
      </c>
      <c r="S381" s="192">
        <v>280396.79999999999</v>
      </c>
      <c r="T381" s="192">
        <v>0</v>
      </c>
      <c r="U381" s="192">
        <v>280396.79999999999</v>
      </c>
      <c r="V381" s="192">
        <v>0</v>
      </c>
      <c r="W381" s="192">
        <v>280396.79999999999</v>
      </c>
      <c r="X381" s="192">
        <v>0</v>
      </c>
      <c r="Y381" s="192">
        <v>280396.79999999999</v>
      </c>
      <c r="Z381" s="192">
        <v>0</v>
      </c>
      <c r="AA381" s="192">
        <v>280396.79999999999</v>
      </c>
      <c r="AB381" s="192">
        <v>0</v>
      </c>
      <c r="AC381" s="192">
        <v>249728.4</v>
      </c>
      <c r="AD381" s="192">
        <v>0</v>
      </c>
      <c r="AE381" s="192">
        <v>249728.4</v>
      </c>
      <c r="AF381" s="192">
        <v>0</v>
      </c>
      <c r="AG381" s="192">
        <v>249728.4</v>
      </c>
      <c r="AH381" s="192">
        <v>0</v>
      </c>
      <c r="AI381" s="192">
        <v>249728.4</v>
      </c>
      <c r="AJ381" s="192">
        <v>0</v>
      </c>
      <c r="AK381" s="192">
        <v>249728.4</v>
      </c>
      <c r="AL381" s="192">
        <v>0</v>
      </c>
    </row>
    <row r="382" spans="2:38">
      <c r="B382" s="122" t="str">
        <v>Cenário 20/03/2025 com IFC</v>
      </c>
      <c r="C382" s="448" t="str">
        <v>Operação Geral</v>
      </c>
      <c r="D382" s="149" t="str">
        <v>6</v>
      </c>
      <c r="E382" s="149" t="str">
        <v>6.2.2</v>
      </c>
      <c r="F382" s="149">
        <v>0</v>
      </c>
      <c r="G382" s="149">
        <v>1</v>
      </c>
      <c r="H382" s="267" t="str">
        <v>Sistema de Controle e Arrecadação</v>
      </c>
      <c r="I382" s="192">
        <v>0</v>
      </c>
      <c r="J382" s="192">
        <v>0</v>
      </c>
      <c r="K382" s="192">
        <v>0</v>
      </c>
      <c r="L382" s="192">
        <v>0</v>
      </c>
      <c r="M382" s="192">
        <v>0</v>
      </c>
      <c r="N382" s="192">
        <v>0</v>
      </c>
      <c r="O382" s="192">
        <v>0</v>
      </c>
      <c r="P382" s="192">
        <v>0</v>
      </c>
      <c r="Q382" s="192">
        <v>0</v>
      </c>
      <c r="R382" s="192">
        <v>0</v>
      </c>
      <c r="S382" s="192">
        <v>0</v>
      </c>
      <c r="T382" s="192">
        <v>0</v>
      </c>
      <c r="U382" s="192">
        <v>0</v>
      </c>
      <c r="V382" s="192">
        <v>0</v>
      </c>
      <c r="W382" s="192">
        <v>0</v>
      </c>
      <c r="X382" s="192">
        <v>0</v>
      </c>
      <c r="Y382" s="192">
        <v>0</v>
      </c>
      <c r="Z382" s="192">
        <v>0</v>
      </c>
      <c r="AA382" s="192">
        <v>0</v>
      </c>
      <c r="AB382" s="192">
        <v>0</v>
      </c>
      <c r="AC382" s="192">
        <v>0</v>
      </c>
      <c r="AD382" s="192">
        <v>0</v>
      </c>
      <c r="AE382" s="192">
        <v>0</v>
      </c>
      <c r="AF382" s="192">
        <v>0</v>
      </c>
      <c r="AG382" s="192">
        <v>0</v>
      </c>
      <c r="AH382" s="192">
        <v>0</v>
      </c>
      <c r="AI382" s="192">
        <v>0</v>
      </c>
      <c r="AJ382" s="192">
        <v>0</v>
      </c>
      <c r="AK382" s="192">
        <v>0</v>
      </c>
      <c r="AL382" s="192">
        <v>0</v>
      </c>
    </row>
    <row r="383" spans="2:38">
      <c r="B383" s="122" t="str">
        <v>Cenário 20/03/2025 com IFC</v>
      </c>
      <c r="C383" s="448" t="str">
        <v>Operação Geral</v>
      </c>
      <c r="D383" s="149" t="str">
        <v>6</v>
      </c>
      <c r="E383" s="149" t="str">
        <v>6.2.2</v>
      </c>
      <c r="F383" s="149">
        <v>0</v>
      </c>
      <c r="G383" s="149">
        <v>1</v>
      </c>
      <c r="H383" s="267" t="str">
        <v>Sistema Free Flow</v>
      </c>
      <c r="I383" s="192">
        <v>0</v>
      </c>
      <c r="J383" s="192">
        <v>0</v>
      </c>
      <c r="K383" s="192">
        <v>0</v>
      </c>
      <c r="L383" s="192">
        <v>0</v>
      </c>
      <c r="M383" s="192">
        <v>0</v>
      </c>
      <c r="N383" s="192">
        <v>0</v>
      </c>
      <c r="O383" s="192">
        <v>0</v>
      </c>
      <c r="P383" s="192">
        <v>0</v>
      </c>
      <c r="Q383" s="192">
        <v>0</v>
      </c>
      <c r="R383" s="192">
        <v>0</v>
      </c>
      <c r="S383" s="192">
        <v>0</v>
      </c>
      <c r="T383" s="192">
        <v>0</v>
      </c>
      <c r="U383" s="192">
        <v>0</v>
      </c>
      <c r="V383" s="192">
        <v>0</v>
      </c>
      <c r="W383" s="192">
        <v>0</v>
      </c>
      <c r="X383" s="192">
        <v>0</v>
      </c>
      <c r="Y383" s="192">
        <v>0</v>
      </c>
      <c r="Z383" s="192">
        <v>0</v>
      </c>
      <c r="AA383" s="192">
        <v>0</v>
      </c>
      <c r="AB383" s="192">
        <v>0</v>
      </c>
      <c r="AC383" s="192">
        <v>0</v>
      </c>
      <c r="AD383" s="192">
        <v>0</v>
      </c>
      <c r="AE383" s="192">
        <v>0</v>
      </c>
      <c r="AF383" s="192">
        <v>0</v>
      </c>
      <c r="AG383" s="192">
        <v>0</v>
      </c>
      <c r="AH383" s="192">
        <v>0</v>
      </c>
      <c r="AI383" s="192">
        <v>0</v>
      </c>
      <c r="AJ383" s="192">
        <v>0</v>
      </c>
      <c r="AK383" s="192">
        <v>0</v>
      </c>
      <c r="AL383" s="192">
        <v>0</v>
      </c>
    </row>
    <row r="384" spans="2:38">
      <c r="B384" s="122" t="str">
        <v>Cenário 20/03/2025 com IFC</v>
      </c>
      <c r="C384" s="448" t="str">
        <v>Operação Geral</v>
      </c>
      <c r="D384" s="149" t="str">
        <v>6</v>
      </c>
      <c r="E384" s="149" t="str">
        <v>6.2.2</v>
      </c>
      <c r="F384" s="149">
        <v>0</v>
      </c>
      <c r="G384" s="149">
        <v>1</v>
      </c>
      <c r="H384" s="267" t="str">
        <v>Sistema (Câmeras, sensores, gerador, etc)</v>
      </c>
      <c r="I384" s="192">
        <v>0</v>
      </c>
      <c r="J384" s="192">
        <v>0</v>
      </c>
      <c r="K384" s="192">
        <v>0</v>
      </c>
      <c r="L384" s="192">
        <v>0</v>
      </c>
      <c r="M384" s="192">
        <v>0</v>
      </c>
      <c r="N384" s="192">
        <v>0</v>
      </c>
      <c r="O384" s="192">
        <v>0</v>
      </c>
      <c r="P384" s="192">
        <v>0</v>
      </c>
      <c r="Q384" s="192">
        <v>0</v>
      </c>
      <c r="R384" s="192">
        <v>0</v>
      </c>
      <c r="S384" s="192">
        <v>6369419.7385831876</v>
      </c>
      <c r="T384" s="192">
        <v>0</v>
      </c>
      <c r="U384" s="192">
        <v>0</v>
      </c>
      <c r="V384" s="192">
        <v>0</v>
      </c>
      <c r="W384" s="192">
        <v>0</v>
      </c>
      <c r="X384" s="192">
        <v>0</v>
      </c>
      <c r="Y384" s="192">
        <v>0</v>
      </c>
      <c r="Z384" s="192">
        <v>0</v>
      </c>
      <c r="AA384" s="192">
        <v>0</v>
      </c>
      <c r="AB384" s="192">
        <v>0</v>
      </c>
      <c r="AC384" s="192">
        <v>6369419.7385831876</v>
      </c>
      <c r="AD384" s="192">
        <v>0</v>
      </c>
      <c r="AE384" s="192">
        <v>0</v>
      </c>
      <c r="AF384" s="192">
        <v>0</v>
      </c>
      <c r="AG384" s="192">
        <v>0</v>
      </c>
      <c r="AH384" s="192">
        <v>0</v>
      </c>
      <c r="AI384" s="192">
        <v>0</v>
      </c>
      <c r="AJ384" s="192">
        <v>0</v>
      </c>
      <c r="AK384" s="192">
        <v>0</v>
      </c>
      <c r="AL384" s="192">
        <v>0</v>
      </c>
    </row>
    <row r="385" spans="2:38">
      <c r="B385" s="122" t="str">
        <v>Cenário 20/03/2025 com IFC</v>
      </c>
      <c r="C385" s="448" t="str">
        <v>Operação Geral</v>
      </c>
      <c r="D385" s="149" t="str">
        <v>6</v>
      </c>
      <c r="E385" s="149" t="str">
        <v>6.2.2</v>
      </c>
      <c r="F385" s="149">
        <v>0</v>
      </c>
      <c r="G385" s="149">
        <v>1</v>
      </c>
      <c r="H385" s="267" t="str">
        <v>Pórtico Free-flow (2 ou mais faixas)</v>
      </c>
      <c r="I385" s="192">
        <v>0</v>
      </c>
      <c r="J385" s="192">
        <v>0</v>
      </c>
      <c r="K385" s="192">
        <v>0</v>
      </c>
      <c r="L385" s="192">
        <v>0</v>
      </c>
      <c r="M385" s="192">
        <v>0</v>
      </c>
      <c r="N385" s="192">
        <v>0</v>
      </c>
      <c r="O385" s="192">
        <v>0</v>
      </c>
      <c r="P385" s="192">
        <v>0</v>
      </c>
      <c r="Q385" s="192">
        <v>0</v>
      </c>
      <c r="R385" s="192">
        <v>0</v>
      </c>
      <c r="S385" s="192">
        <v>-311990.52717173664</v>
      </c>
      <c r="T385" s="192">
        <v>0</v>
      </c>
      <c r="U385" s="192">
        <v>0</v>
      </c>
      <c r="V385" s="192">
        <v>0</v>
      </c>
      <c r="W385" s="192">
        <v>445700.75310248096</v>
      </c>
      <c r="X385" s="192">
        <v>0</v>
      </c>
      <c r="Y385" s="192">
        <v>0</v>
      </c>
      <c r="Z385" s="192">
        <v>0</v>
      </c>
      <c r="AA385" s="192">
        <v>0</v>
      </c>
      <c r="AB385" s="192">
        <v>0</v>
      </c>
      <c r="AC385" s="192">
        <v>0</v>
      </c>
      <c r="AD385" s="192">
        <v>0</v>
      </c>
      <c r="AE385" s="192">
        <v>0</v>
      </c>
      <c r="AF385" s="192">
        <v>0</v>
      </c>
      <c r="AG385" s="192">
        <v>445700.75310248096</v>
      </c>
      <c r="AH385" s="192">
        <v>0</v>
      </c>
      <c r="AI385" s="192">
        <v>0</v>
      </c>
      <c r="AJ385" s="192">
        <v>0</v>
      </c>
      <c r="AK385" s="192">
        <v>0</v>
      </c>
      <c r="AL385" s="192">
        <v>0</v>
      </c>
    </row>
    <row r="386" spans="2:38">
      <c r="B386" s="122" t="str">
        <v>Cenário 20/03/2025 com IFC</v>
      </c>
      <c r="C386" s="448" t="str">
        <v>Operação Geral</v>
      </c>
      <c r="D386" s="149" t="str">
        <v>6</v>
      </c>
      <c r="E386" s="149" t="str">
        <v>6.2.2</v>
      </c>
      <c r="F386" s="149">
        <v>0</v>
      </c>
      <c r="G386" s="149">
        <v>1</v>
      </c>
      <c r="H386" s="267" t="str">
        <v>Sensores de Tráfego (SAT) por localidade</v>
      </c>
      <c r="I386" s="192">
        <v>0</v>
      </c>
      <c r="J386" s="192">
        <v>0</v>
      </c>
      <c r="K386" s="192">
        <v>0</v>
      </c>
      <c r="L386" s="192">
        <v>0</v>
      </c>
      <c r="M386" s="192">
        <v>0</v>
      </c>
      <c r="N386" s="192">
        <v>0</v>
      </c>
      <c r="O386" s="192">
        <v>0</v>
      </c>
      <c r="P386" s="192">
        <v>0</v>
      </c>
      <c r="Q386" s="192">
        <v>0</v>
      </c>
      <c r="R386" s="192">
        <v>0</v>
      </c>
      <c r="S386" s="192">
        <v>242069.00270777955</v>
      </c>
      <c r="T386" s="192">
        <v>0</v>
      </c>
      <c r="U386" s="192">
        <v>0</v>
      </c>
      <c r="V386" s="192">
        <v>0</v>
      </c>
      <c r="W386" s="192">
        <v>0</v>
      </c>
      <c r="X386" s="192">
        <v>0</v>
      </c>
      <c r="Y386" s="192">
        <v>0</v>
      </c>
      <c r="Z386" s="192">
        <v>0</v>
      </c>
      <c r="AA386" s="192">
        <v>0</v>
      </c>
      <c r="AB386" s="192">
        <v>0</v>
      </c>
      <c r="AC386" s="192">
        <v>242069.00270777955</v>
      </c>
      <c r="AD386" s="192">
        <v>0</v>
      </c>
      <c r="AE386" s="192">
        <v>0</v>
      </c>
      <c r="AF386" s="192">
        <v>0</v>
      </c>
      <c r="AG386" s="192">
        <v>0</v>
      </c>
      <c r="AH386" s="192">
        <v>0</v>
      </c>
      <c r="AI386" s="192">
        <v>0</v>
      </c>
      <c r="AJ386" s="192">
        <v>0</v>
      </c>
      <c r="AK386" s="192">
        <v>0</v>
      </c>
      <c r="AL386" s="192">
        <v>0</v>
      </c>
    </row>
    <row r="387" spans="2:38">
      <c r="B387" s="122" t="str">
        <v>Cenário 20/03/2025 com IFC</v>
      </c>
      <c r="C387" s="448" t="str">
        <v>Operação Geral</v>
      </c>
      <c r="D387" s="149" t="str">
        <v>6</v>
      </c>
      <c r="E387" s="149" t="str">
        <v>6.2.2</v>
      </c>
      <c r="F387" s="149">
        <v>0</v>
      </c>
      <c r="G387" s="149">
        <v>1</v>
      </c>
      <c r="H387" s="267" t="str">
        <v>PMV + Pórtico</v>
      </c>
      <c r="I387" s="192">
        <v>0</v>
      </c>
      <c r="J387" s="192">
        <v>0</v>
      </c>
      <c r="K387" s="192">
        <v>0</v>
      </c>
      <c r="L387" s="192">
        <v>0</v>
      </c>
      <c r="M387" s="192">
        <v>0</v>
      </c>
      <c r="N387" s="192">
        <v>0</v>
      </c>
      <c r="O387" s="192">
        <v>0</v>
      </c>
      <c r="P387" s="192">
        <v>0</v>
      </c>
      <c r="Q387" s="192">
        <v>0</v>
      </c>
      <c r="R387" s="192">
        <v>0</v>
      </c>
      <c r="S387" s="192">
        <v>4091533.077142098</v>
      </c>
      <c r="T387" s="192">
        <v>0</v>
      </c>
      <c r="U387" s="192">
        <v>0</v>
      </c>
      <c r="V387" s="192">
        <v>0</v>
      </c>
      <c r="W387" s="192">
        <v>0</v>
      </c>
      <c r="X387" s="192">
        <v>0</v>
      </c>
      <c r="Y387" s="192">
        <v>0</v>
      </c>
      <c r="Z387" s="192">
        <v>0</v>
      </c>
      <c r="AA387" s="192">
        <v>0</v>
      </c>
      <c r="AB387" s="192">
        <v>0</v>
      </c>
      <c r="AC387" s="192">
        <v>4091533.077142098</v>
      </c>
      <c r="AD387" s="192">
        <v>0</v>
      </c>
      <c r="AE387" s="192">
        <v>0</v>
      </c>
      <c r="AF387" s="192">
        <v>0</v>
      </c>
      <c r="AG387" s="192">
        <v>0</v>
      </c>
      <c r="AH387" s="192">
        <v>0</v>
      </c>
      <c r="AI387" s="192">
        <v>0</v>
      </c>
      <c r="AJ387" s="192">
        <v>0</v>
      </c>
      <c r="AK387" s="192">
        <v>0</v>
      </c>
      <c r="AL387" s="192">
        <v>0</v>
      </c>
    </row>
    <row r="388" spans="2:38">
      <c r="B388" s="122" t="str">
        <v>Cenário 20/03/2025 com IFC</v>
      </c>
      <c r="C388" s="448" t="str">
        <v>Operação Geral</v>
      </c>
      <c r="D388" s="149" t="str">
        <v>6</v>
      </c>
      <c r="E388" s="149" t="str">
        <v>6.2.2</v>
      </c>
      <c r="F388" s="149">
        <v>0</v>
      </c>
      <c r="G388" s="149">
        <v>1</v>
      </c>
      <c r="H388" s="267" t="str">
        <v>Sistema HS-WIM</v>
      </c>
      <c r="I388" s="192">
        <v>0</v>
      </c>
      <c r="J388" s="192">
        <v>0</v>
      </c>
      <c r="K388" s="192">
        <v>0</v>
      </c>
      <c r="L388" s="192">
        <v>0</v>
      </c>
      <c r="M388" s="192">
        <v>0</v>
      </c>
      <c r="N388" s="192">
        <v>0</v>
      </c>
      <c r="O388" s="192">
        <v>0</v>
      </c>
      <c r="P388" s="192">
        <v>0</v>
      </c>
      <c r="Q388" s="192">
        <v>0</v>
      </c>
      <c r="R388" s="192">
        <v>0</v>
      </c>
      <c r="S388" s="192">
        <v>0</v>
      </c>
      <c r="T388" s="192">
        <v>0</v>
      </c>
      <c r="U388" s="192">
        <v>0</v>
      </c>
      <c r="V388" s="192">
        <v>0</v>
      </c>
      <c r="W388" s="192">
        <v>0</v>
      </c>
      <c r="X388" s="192">
        <v>0</v>
      </c>
      <c r="Y388" s="192">
        <v>0</v>
      </c>
      <c r="Z388" s="192">
        <v>0</v>
      </c>
      <c r="AA388" s="192">
        <v>0</v>
      </c>
      <c r="AB388" s="192">
        <v>0</v>
      </c>
      <c r="AC388" s="192">
        <v>0</v>
      </c>
      <c r="AD388" s="192">
        <v>0</v>
      </c>
      <c r="AE388" s="192">
        <v>0</v>
      </c>
      <c r="AF388" s="192">
        <v>0</v>
      </c>
      <c r="AG388" s="192">
        <v>0</v>
      </c>
      <c r="AH388" s="192">
        <v>0</v>
      </c>
      <c r="AI388" s="192">
        <v>0</v>
      </c>
      <c r="AJ388" s="192">
        <v>0</v>
      </c>
      <c r="AK388" s="192">
        <v>0</v>
      </c>
      <c r="AL388" s="192">
        <v>0</v>
      </c>
    </row>
    <row r="389" spans="2:38">
      <c r="B389" s="122" t="str">
        <v>Cenário 20/03/2025 com IFC</v>
      </c>
      <c r="C389" s="448" t="str">
        <v>Operação Geral</v>
      </c>
      <c r="D389" s="149" t="str">
        <v>6</v>
      </c>
      <c r="E389" s="149" t="str">
        <v>6.2.2</v>
      </c>
      <c r="F389" s="149">
        <v>0</v>
      </c>
      <c r="G389" s="149">
        <v>1</v>
      </c>
      <c r="H389" s="267" t="str">
        <v>Sistema (Software, sensores, gerador etc.)</v>
      </c>
      <c r="I389" s="192">
        <v>0</v>
      </c>
      <c r="J389" s="192">
        <v>0</v>
      </c>
      <c r="K389" s="192">
        <v>0</v>
      </c>
      <c r="L389" s="192">
        <v>0</v>
      </c>
      <c r="M389" s="192">
        <v>0</v>
      </c>
      <c r="N389" s="192">
        <v>0</v>
      </c>
      <c r="O389" s="192">
        <v>0</v>
      </c>
      <c r="P389" s="192">
        <v>0</v>
      </c>
      <c r="Q389" s="192">
        <v>0</v>
      </c>
      <c r="R389" s="192">
        <v>0</v>
      </c>
      <c r="S389" s="192">
        <v>0</v>
      </c>
      <c r="T389" s="192">
        <v>0</v>
      </c>
      <c r="U389" s="192">
        <v>0</v>
      </c>
      <c r="V389" s="192">
        <v>0</v>
      </c>
      <c r="W389" s="192">
        <v>0</v>
      </c>
      <c r="X389" s="192">
        <v>3000000</v>
      </c>
      <c r="Y389" s="192">
        <v>0</v>
      </c>
      <c r="Z389" s="192">
        <v>0</v>
      </c>
      <c r="AA389" s="192">
        <v>0</v>
      </c>
      <c r="AB389" s="192">
        <v>0</v>
      </c>
      <c r="AC389" s="192">
        <v>0</v>
      </c>
      <c r="AD389" s="192">
        <v>0</v>
      </c>
      <c r="AE389" s="192">
        <v>0</v>
      </c>
      <c r="AF389" s="192">
        <v>0</v>
      </c>
      <c r="AG389" s="192">
        <v>0</v>
      </c>
      <c r="AH389" s="192">
        <v>3000000</v>
      </c>
      <c r="AI389" s="192">
        <v>0</v>
      </c>
      <c r="AJ389" s="192">
        <v>0</v>
      </c>
      <c r="AK389" s="192">
        <v>0</v>
      </c>
      <c r="AL389" s="192">
        <v>0</v>
      </c>
    </row>
    <row r="390" spans="2:38">
      <c r="B390" s="122" t="str">
        <v>Cenário 20/03/2025 com IFC</v>
      </c>
      <c r="C390" s="448" t="str">
        <v>Operação Geral</v>
      </c>
      <c r="D390" s="149" t="str">
        <v>6</v>
      </c>
      <c r="E390" s="149" t="str">
        <v>6.2.2</v>
      </c>
      <c r="F390" s="149">
        <v>0</v>
      </c>
      <c r="G390" s="149">
        <v>1</v>
      </c>
      <c r="H390" s="267" t="str">
        <v>Câmeras</v>
      </c>
      <c r="I390" s="192">
        <v>0</v>
      </c>
      <c r="J390" s="192">
        <v>0</v>
      </c>
      <c r="K390" s="192">
        <v>0</v>
      </c>
      <c r="L390" s="192">
        <v>0</v>
      </c>
      <c r="M390" s="192">
        <v>0</v>
      </c>
      <c r="N390" s="192">
        <v>0</v>
      </c>
      <c r="O390" s="192">
        <v>0</v>
      </c>
      <c r="P390" s="192">
        <v>0</v>
      </c>
      <c r="Q390" s="192">
        <v>0</v>
      </c>
      <c r="R390" s="192">
        <v>0</v>
      </c>
      <c r="S390" s="192">
        <v>0</v>
      </c>
      <c r="T390" s="192">
        <v>0</v>
      </c>
      <c r="U390" s="192">
        <v>0</v>
      </c>
      <c r="V390" s="192">
        <v>0</v>
      </c>
      <c r="W390" s="192">
        <v>0</v>
      </c>
      <c r="X390" s="192">
        <v>286246.88844123256</v>
      </c>
      <c r="Y390" s="192">
        <v>0</v>
      </c>
      <c r="Z390" s="192">
        <v>0</v>
      </c>
      <c r="AA390" s="192">
        <v>0</v>
      </c>
      <c r="AB390" s="192">
        <v>0</v>
      </c>
      <c r="AC390" s="192">
        <v>0</v>
      </c>
      <c r="AD390" s="192">
        <v>0</v>
      </c>
      <c r="AE390" s="192">
        <v>0</v>
      </c>
      <c r="AF390" s="192">
        <v>0</v>
      </c>
      <c r="AG390" s="192">
        <v>0</v>
      </c>
      <c r="AH390" s="192">
        <v>286246.88844123256</v>
      </c>
      <c r="AI390" s="192">
        <v>0</v>
      </c>
      <c r="AJ390" s="192">
        <v>0</v>
      </c>
      <c r="AK390" s="192">
        <v>0</v>
      </c>
      <c r="AL390" s="192">
        <v>0</v>
      </c>
    </row>
    <row r="391" spans="2:38">
      <c r="B391" s="122" t="str">
        <v>Cenário 20/03/2025 com IFC</v>
      </c>
      <c r="C391" s="448" t="str">
        <v>Operação Geral</v>
      </c>
      <c r="D391" s="149" t="str">
        <v>6</v>
      </c>
      <c r="E391" s="149" t="str">
        <v>6.2.2</v>
      </c>
      <c r="F391" s="149">
        <v>0</v>
      </c>
      <c r="G391" s="149">
        <v>1</v>
      </c>
      <c r="H391" s="267" t="str">
        <v>Sensores de Tráfego (SAT) por localidade</v>
      </c>
      <c r="I391" s="192">
        <v>0</v>
      </c>
      <c r="J391" s="192">
        <v>0</v>
      </c>
      <c r="K391" s="192">
        <v>0</v>
      </c>
      <c r="L391" s="192">
        <v>0</v>
      </c>
      <c r="M391" s="192">
        <v>0</v>
      </c>
      <c r="N391" s="192">
        <v>0</v>
      </c>
      <c r="O391" s="192">
        <v>0</v>
      </c>
      <c r="P391" s="192">
        <v>0</v>
      </c>
      <c r="Q391" s="192">
        <v>0</v>
      </c>
      <c r="R391" s="192">
        <v>0</v>
      </c>
      <c r="S391" s="192">
        <v>0</v>
      </c>
      <c r="T391" s="192">
        <v>0</v>
      </c>
      <c r="U391" s="192">
        <v>0</v>
      </c>
      <c r="V391" s="192">
        <v>0</v>
      </c>
      <c r="W391" s="192">
        <v>0</v>
      </c>
      <c r="X391" s="192">
        <v>228330.89193014853</v>
      </c>
      <c r="Y391" s="192">
        <v>0</v>
      </c>
      <c r="Z391" s="192">
        <v>0</v>
      </c>
      <c r="AA391" s="192">
        <v>0</v>
      </c>
      <c r="AB391" s="192">
        <v>0</v>
      </c>
      <c r="AC391" s="192">
        <v>0</v>
      </c>
      <c r="AD391" s="192">
        <v>0</v>
      </c>
      <c r="AE391" s="192">
        <v>0</v>
      </c>
      <c r="AF391" s="192">
        <v>0</v>
      </c>
      <c r="AG391" s="192">
        <v>0</v>
      </c>
      <c r="AH391" s="192">
        <v>228330.89193014853</v>
      </c>
      <c r="AI391" s="192">
        <v>0</v>
      </c>
      <c r="AJ391" s="192">
        <v>0</v>
      </c>
      <c r="AK391" s="192">
        <v>0</v>
      </c>
      <c r="AL391" s="192">
        <v>0</v>
      </c>
    </row>
    <row r="392" spans="2:38">
      <c r="B392" s="122" t="str">
        <v>Cenário 20/03/2025 com IFC</v>
      </c>
      <c r="C392" s="448" t="str">
        <v>Operação Geral</v>
      </c>
      <c r="D392" s="149" t="str">
        <v>6</v>
      </c>
      <c r="E392" s="149" t="str">
        <v>6.2.2</v>
      </c>
      <c r="F392" s="149">
        <v>0</v>
      </c>
      <c r="G392" s="149">
        <v>1</v>
      </c>
      <c r="H392" s="267" t="str">
        <v>Pórtico HS-WIM (2 ou mais faixas)</v>
      </c>
      <c r="I392" s="192">
        <v>0</v>
      </c>
      <c r="J392" s="192">
        <v>0</v>
      </c>
      <c r="K392" s="192">
        <v>0</v>
      </c>
      <c r="L392" s="192">
        <v>0</v>
      </c>
      <c r="M392" s="192">
        <v>0</v>
      </c>
      <c r="N392" s="192">
        <v>0</v>
      </c>
      <c r="O392" s="192">
        <v>0</v>
      </c>
      <c r="P392" s="192">
        <v>0</v>
      </c>
      <c r="Q392" s="192">
        <v>0</v>
      </c>
      <c r="R392" s="192">
        <v>0</v>
      </c>
      <c r="S392" s="192">
        <v>0</v>
      </c>
      <c r="T392" s="192">
        <v>0</v>
      </c>
      <c r="U392" s="192">
        <v>0</v>
      </c>
      <c r="V392" s="192">
        <v>0</v>
      </c>
      <c r="W392" s="192">
        <v>0</v>
      </c>
      <c r="X392" s="192">
        <v>222850.37655124048</v>
      </c>
      <c r="Y392" s="192">
        <v>0</v>
      </c>
      <c r="Z392" s="192">
        <v>0</v>
      </c>
      <c r="AA392" s="192">
        <v>0</v>
      </c>
      <c r="AB392" s="192">
        <v>0</v>
      </c>
      <c r="AC392" s="192">
        <v>0</v>
      </c>
      <c r="AD392" s="192">
        <v>0</v>
      </c>
      <c r="AE392" s="192">
        <v>0</v>
      </c>
      <c r="AF392" s="192">
        <v>0</v>
      </c>
      <c r="AG392" s="192">
        <v>0</v>
      </c>
      <c r="AH392" s="192">
        <v>222850.37655124048</v>
      </c>
      <c r="AI392" s="192">
        <v>0</v>
      </c>
      <c r="AJ392" s="192">
        <v>0</v>
      </c>
      <c r="AK392" s="192">
        <v>0</v>
      </c>
      <c r="AL392" s="192">
        <v>0</v>
      </c>
    </row>
    <row r="393" spans="2:38">
      <c r="B393" s="122" t="str">
        <v>Cenário 20/03/2025 com IFC</v>
      </c>
      <c r="C393" s="448" t="str">
        <v>Operação Geral</v>
      </c>
      <c r="D393" s="149" t="str">
        <v>6</v>
      </c>
      <c r="E393" s="149" t="str">
        <v>6.2.2</v>
      </c>
      <c r="F393" s="149">
        <v>0</v>
      </c>
      <c r="G393" s="149">
        <v>1</v>
      </c>
      <c r="H393" s="267" t="str">
        <v>PMV + Pórtico</v>
      </c>
      <c r="I393" s="192">
        <v>0</v>
      </c>
      <c r="J393" s="192">
        <v>0</v>
      </c>
      <c r="K393" s="192">
        <v>0</v>
      </c>
      <c r="L393" s="192">
        <v>0</v>
      </c>
      <c r="M393" s="192">
        <v>0</v>
      </c>
      <c r="N393" s="192">
        <v>0</v>
      </c>
      <c r="O393" s="192">
        <v>0</v>
      </c>
      <c r="P393" s="192">
        <v>0</v>
      </c>
      <c r="Q393" s="192">
        <v>0</v>
      </c>
      <c r="R393" s="192">
        <v>0</v>
      </c>
      <c r="S393" s="192">
        <v>0</v>
      </c>
      <c r="T393" s="192">
        <v>0</v>
      </c>
      <c r="U393" s="192">
        <v>0</v>
      </c>
      <c r="V393" s="192">
        <v>0</v>
      </c>
      <c r="W393" s="192">
        <v>0</v>
      </c>
      <c r="X393" s="192">
        <v>1082952.8374784226</v>
      </c>
      <c r="Y393" s="192">
        <v>0</v>
      </c>
      <c r="Z393" s="192">
        <v>0</v>
      </c>
      <c r="AA393" s="192">
        <v>0</v>
      </c>
      <c r="AB393" s="192">
        <v>0</v>
      </c>
      <c r="AC393" s="192">
        <v>0</v>
      </c>
      <c r="AD393" s="192">
        <v>0</v>
      </c>
      <c r="AE393" s="192">
        <v>0</v>
      </c>
      <c r="AF393" s="192">
        <v>0</v>
      </c>
      <c r="AG393" s="192">
        <v>0</v>
      </c>
      <c r="AH393" s="192">
        <v>1082952.8374784226</v>
      </c>
      <c r="AI393" s="192">
        <v>0</v>
      </c>
      <c r="AJ393" s="192">
        <v>0</v>
      </c>
      <c r="AK393" s="192">
        <v>0</v>
      </c>
      <c r="AL393" s="192">
        <v>0</v>
      </c>
    </row>
    <row r="394" spans="2:38">
      <c r="B394" s="122" t="str">
        <v>Cenário 20/03/2025 com IFC</v>
      </c>
      <c r="C394" s="448" t="str">
        <v>Operação Geral</v>
      </c>
      <c r="D394" s="149" t="str">
        <v>6</v>
      </c>
      <c r="E394" s="149" t="str">
        <v>6.2.2</v>
      </c>
      <c r="F394" s="149">
        <v>0</v>
      </c>
      <c r="G394" s="149">
        <v>1</v>
      </c>
      <c r="H394" s="267" t="str">
        <v>Autoatendimento - Pagamento de pedágio</v>
      </c>
      <c r="I394" s="192">
        <v>0</v>
      </c>
      <c r="J394" s="192">
        <v>0</v>
      </c>
      <c r="K394" s="192">
        <v>0</v>
      </c>
      <c r="L394" s="192">
        <v>0</v>
      </c>
      <c r="M394" s="192">
        <v>0</v>
      </c>
      <c r="N394" s="192">
        <v>0</v>
      </c>
      <c r="O394" s="192">
        <v>0</v>
      </c>
      <c r="P394" s="192">
        <v>0</v>
      </c>
      <c r="Q394" s="192">
        <v>0</v>
      </c>
      <c r="R394" s="192">
        <v>0</v>
      </c>
      <c r="S394" s="192">
        <v>0</v>
      </c>
      <c r="T394" s="192">
        <v>0</v>
      </c>
      <c r="U394" s="192">
        <v>0</v>
      </c>
      <c r="V394" s="192">
        <v>0</v>
      </c>
      <c r="W394" s="192">
        <v>0</v>
      </c>
      <c r="X394" s="192">
        <v>0</v>
      </c>
      <c r="Y394" s="192">
        <v>0</v>
      </c>
      <c r="Z394" s="192">
        <v>0</v>
      </c>
      <c r="AA394" s="192">
        <v>0</v>
      </c>
      <c r="AB394" s="192">
        <v>0</v>
      </c>
      <c r="AC394" s="192">
        <v>0</v>
      </c>
      <c r="AD394" s="192">
        <v>0</v>
      </c>
      <c r="AE394" s="192">
        <v>0</v>
      </c>
      <c r="AF394" s="192">
        <v>0</v>
      </c>
      <c r="AG394" s="192">
        <v>0</v>
      </c>
      <c r="AH394" s="192">
        <v>0</v>
      </c>
      <c r="AI394" s="192">
        <v>0</v>
      </c>
      <c r="AJ394" s="192">
        <v>0</v>
      </c>
      <c r="AK394" s="192">
        <v>0</v>
      </c>
      <c r="AL394" s="192">
        <v>0</v>
      </c>
    </row>
    <row r="395" spans="2:38">
      <c r="B395" s="122" t="str">
        <v>Cenário 20/03/2025 com IFC</v>
      </c>
      <c r="C395" s="448" t="str">
        <v>Operação Geral</v>
      </c>
      <c r="D395" s="149" t="str">
        <v>6</v>
      </c>
      <c r="E395" s="149" t="str">
        <v>6.2.2</v>
      </c>
      <c r="F395" s="149">
        <v>0</v>
      </c>
      <c r="G395" s="149">
        <v>1</v>
      </c>
      <c r="H395" s="267" t="str">
        <v>Totem de Autoatendimento</v>
      </c>
      <c r="I395" s="192">
        <v>0</v>
      </c>
      <c r="J395" s="192">
        <v>0</v>
      </c>
      <c r="K395" s="192">
        <v>0</v>
      </c>
      <c r="L395" s="192">
        <v>0</v>
      </c>
      <c r="M395" s="192">
        <v>0</v>
      </c>
      <c r="N395" s="192">
        <v>0</v>
      </c>
      <c r="O395" s="192">
        <v>0</v>
      </c>
      <c r="P395" s="192">
        <v>0</v>
      </c>
      <c r="Q395" s="192">
        <v>0</v>
      </c>
      <c r="R395" s="192">
        <v>0</v>
      </c>
      <c r="S395" s="192">
        <v>602603.52594136586</v>
      </c>
      <c r="T395" s="192">
        <v>0</v>
      </c>
      <c r="U395" s="192">
        <v>0</v>
      </c>
      <c r="V395" s="192">
        <v>0</v>
      </c>
      <c r="W395" s="192">
        <v>0</v>
      </c>
      <c r="X395" s="192">
        <v>0</v>
      </c>
      <c r="Y395" s="192">
        <v>0</v>
      </c>
      <c r="Z395" s="192">
        <v>0</v>
      </c>
      <c r="AA395" s="192">
        <v>0</v>
      </c>
      <c r="AB395" s="192">
        <v>0</v>
      </c>
      <c r="AC395" s="192">
        <v>602603.52594136586</v>
      </c>
      <c r="AD395" s="192">
        <v>0</v>
      </c>
      <c r="AE395" s="192">
        <v>0</v>
      </c>
      <c r="AF395" s="192">
        <v>0</v>
      </c>
      <c r="AG395" s="192">
        <v>0</v>
      </c>
      <c r="AH395" s="192">
        <v>0</v>
      </c>
      <c r="AI395" s="192">
        <v>0</v>
      </c>
      <c r="AJ395" s="192">
        <v>0</v>
      </c>
      <c r="AK395" s="192">
        <v>0</v>
      </c>
      <c r="AL395" s="192">
        <v>0</v>
      </c>
    </row>
    <row r="396" spans="2:38">
      <c r="B396" s="122" t="str">
        <v>Cenário 20/03/2025 com IFC</v>
      </c>
      <c r="C396" s="448">
        <v>0</v>
      </c>
      <c r="D396" s="149" t="str">
        <v>0</v>
      </c>
      <c r="E396" s="149">
        <v>0</v>
      </c>
      <c r="F396" s="149">
        <v>0</v>
      </c>
      <c r="G396" s="149">
        <v>1</v>
      </c>
      <c r="H396" s="267">
        <v>0</v>
      </c>
      <c r="I396" s="192">
        <v>0</v>
      </c>
      <c r="J396" s="192">
        <v>0</v>
      </c>
      <c r="K396" s="192">
        <v>0</v>
      </c>
      <c r="L396" s="192">
        <v>0</v>
      </c>
      <c r="M396" s="192">
        <v>0</v>
      </c>
      <c r="N396" s="192">
        <v>0</v>
      </c>
      <c r="O396" s="192">
        <v>0</v>
      </c>
      <c r="P396" s="192">
        <v>0</v>
      </c>
      <c r="Q396" s="192">
        <v>0</v>
      </c>
      <c r="R396" s="192">
        <v>0</v>
      </c>
      <c r="S396" s="192">
        <v>0</v>
      </c>
      <c r="T396" s="192">
        <v>0</v>
      </c>
      <c r="U396" s="192">
        <v>0</v>
      </c>
      <c r="V396" s="192">
        <v>0</v>
      </c>
      <c r="W396" s="192">
        <v>0</v>
      </c>
      <c r="X396" s="192">
        <v>0</v>
      </c>
      <c r="Y396" s="192">
        <v>0</v>
      </c>
      <c r="Z396" s="192">
        <v>0</v>
      </c>
      <c r="AA396" s="192">
        <v>0</v>
      </c>
      <c r="AB396" s="192">
        <v>0</v>
      </c>
      <c r="AC396" s="192">
        <v>0</v>
      </c>
      <c r="AD396" s="192">
        <v>0</v>
      </c>
      <c r="AE396" s="192">
        <v>0</v>
      </c>
      <c r="AF396" s="192">
        <v>0</v>
      </c>
      <c r="AG396" s="192">
        <v>0</v>
      </c>
      <c r="AH396" s="192">
        <v>0</v>
      </c>
      <c r="AI396" s="192">
        <v>0</v>
      </c>
      <c r="AJ396" s="192">
        <v>0</v>
      </c>
      <c r="AK396" s="192">
        <v>0</v>
      </c>
      <c r="AL396" s="192">
        <v>0</v>
      </c>
    </row>
    <row r="397" spans="2:38">
      <c r="B397" s="122" t="str">
        <v>Cenário 20/03/2025 com IFC</v>
      </c>
      <c r="C397" s="448">
        <v>0</v>
      </c>
      <c r="D397" s="149" t="str">
        <v>0</v>
      </c>
      <c r="E397" s="149">
        <v>0</v>
      </c>
      <c r="F397" s="149">
        <v>0</v>
      </c>
      <c r="G397" s="149">
        <v>1</v>
      </c>
      <c r="H397" s="267">
        <v>0</v>
      </c>
      <c r="I397" s="192">
        <v>0</v>
      </c>
      <c r="J397" s="192">
        <v>0</v>
      </c>
      <c r="K397" s="192">
        <v>0</v>
      </c>
      <c r="L397" s="192">
        <v>0</v>
      </c>
      <c r="M397" s="192">
        <v>0</v>
      </c>
      <c r="N397" s="192">
        <v>0</v>
      </c>
      <c r="O397" s="192">
        <v>0</v>
      </c>
      <c r="P397" s="192">
        <v>0</v>
      </c>
      <c r="Q397" s="192">
        <v>0</v>
      </c>
      <c r="R397" s="192">
        <v>0</v>
      </c>
      <c r="S397" s="192">
        <v>0</v>
      </c>
      <c r="T397" s="192">
        <v>0</v>
      </c>
      <c r="U397" s="192">
        <v>0</v>
      </c>
      <c r="V397" s="192">
        <v>0</v>
      </c>
      <c r="W397" s="192">
        <v>0</v>
      </c>
      <c r="X397" s="192">
        <v>0</v>
      </c>
      <c r="Y397" s="192">
        <v>0</v>
      </c>
      <c r="Z397" s="192">
        <v>0</v>
      </c>
      <c r="AA397" s="192">
        <v>0</v>
      </c>
      <c r="AB397" s="192">
        <v>0</v>
      </c>
      <c r="AC397" s="192">
        <v>0</v>
      </c>
      <c r="AD397" s="192">
        <v>0</v>
      </c>
      <c r="AE397" s="192">
        <v>0</v>
      </c>
      <c r="AF397" s="192">
        <v>0</v>
      </c>
      <c r="AG397" s="192">
        <v>0</v>
      </c>
      <c r="AH397" s="192">
        <v>0</v>
      </c>
      <c r="AI397" s="192">
        <v>0</v>
      </c>
      <c r="AJ397" s="192">
        <v>0</v>
      </c>
      <c r="AK397" s="192">
        <v>0</v>
      </c>
      <c r="AL397" s="192">
        <v>0</v>
      </c>
    </row>
    <row r="398" spans="2:38">
      <c r="B398" s="122" t="str">
        <v>Cenário 20/03/2025 com IFC</v>
      </c>
      <c r="C398" s="448">
        <v>0</v>
      </c>
      <c r="D398" s="149" t="str">
        <v>0</v>
      </c>
      <c r="E398" s="149">
        <v>0</v>
      </c>
      <c r="F398" s="149">
        <v>0</v>
      </c>
      <c r="G398" s="149">
        <v>1</v>
      </c>
      <c r="H398" s="267">
        <v>0</v>
      </c>
      <c r="I398" s="192">
        <v>0</v>
      </c>
      <c r="J398" s="192">
        <v>0</v>
      </c>
      <c r="K398" s="192">
        <v>0</v>
      </c>
      <c r="L398" s="192">
        <v>0</v>
      </c>
      <c r="M398" s="192">
        <v>0</v>
      </c>
      <c r="N398" s="192">
        <v>0</v>
      </c>
      <c r="O398" s="192">
        <v>0</v>
      </c>
      <c r="P398" s="192">
        <v>0</v>
      </c>
      <c r="Q398" s="192">
        <v>0</v>
      </c>
      <c r="R398" s="192">
        <v>0</v>
      </c>
      <c r="S398" s="192">
        <v>0</v>
      </c>
      <c r="T398" s="192">
        <v>0</v>
      </c>
      <c r="U398" s="192">
        <v>0</v>
      </c>
      <c r="V398" s="192">
        <v>0</v>
      </c>
      <c r="W398" s="192">
        <v>0</v>
      </c>
      <c r="X398" s="192">
        <v>0</v>
      </c>
      <c r="Y398" s="192">
        <v>0</v>
      </c>
      <c r="Z398" s="192">
        <v>0</v>
      </c>
      <c r="AA398" s="192">
        <v>0</v>
      </c>
      <c r="AB398" s="192">
        <v>0</v>
      </c>
      <c r="AC398" s="192">
        <v>0</v>
      </c>
      <c r="AD398" s="192">
        <v>0</v>
      </c>
      <c r="AE398" s="192">
        <v>0</v>
      </c>
      <c r="AF398" s="192">
        <v>0</v>
      </c>
      <c r="AG398" s="192">
        <v>0</v>
      </c>
      <c r="AH398" s="192">
        <v>0</v>
      </c>
      <c r="AI398" s="192">
        <v>0</v>
      </c>
      <c r="AJ398" s="192">
        <v>0</v>
      </c>
      <c r="AK398" s="192">
        <v>0</v>
      </c>
      <c r="AL398" s="192">
        <v>0</v>
      </c>
    </row>
    <row r="399" spans="2:38">
      <c r="B399" s="122" t="str">
        <v>Cenário 20/03/2025 com IFC</v>
      </c>
      <c r="C399" s="448">
        <v>0</v>
      </c>
      <c r="D399" s="149" t="str">
        <v>0</v>
      </c>
      <c r="E399" s="149">
        <v>0</v>
      </c>
      <c r="F399" s="149">
        <v>0</v>
      </c>
      <c r="G399" s="149">
        <v>1</v>
      </c>
      <c r="H399" s="267">
        <v>0</v>
      </c>
      <c r="I399" s="192">
        <v>0</v>
      </c>
      <c r="J399" s="192">
        <v>0</v>
      </c>
      <c r="K399" s="192">
        <v>0</v>
      </c>
      <c r="L399" s="192">
        <v>0</v>
      </c>
      <c r="M399" s="192">
        <v>0</v>
      </c>
      <c r="N399" s="192">
        <v>0</v>
      </c>
      <c r="O399" s="192">
        <v>0</v>
      </c>
      <c r="P399" s="192">
        <v>0</v>
      </c>
      <c r="Q399" s="192">
        <v>0</v>
      </c>
      <c r="R399" s="192">
        <v>0</v>
      </c>
      <c r="S399" s="192">
        <v>0</v>
      </c>
      <c r="T399" s="192">
        <v>0</v>
      </c>
      <c r="U399" s="192">
        <v>0</v>
      </c>
      <c r="V399" s="192">
        <v>0</v>
      </c>
      <c r="W399" s="192">
        <v>0</v>
      </c>
      <c r="X399" s="192">
        <v>0</v>
      </c>
      <c r="Y399" s="192">
        <v>0</v>
      </c>
      <c r="Z399" s="192">
        <v>0</v>
      </c>
      <c r="AA399" s="192">
        <v>0</v>
      </c>
      <c r="AB399" s="192">
        <v>0</v>
      </c>
      <c r="AC399" s="192">
        <v>0</v>
      </c>
      <c r="AD399" s="192">
        <v>0</v>
      </c>
      <c r="AE399" s="192">
        <v>0</v>
      </c>
      <c r="AF399" s="192">
        <v>0</v>
      </c>
      <c r="AG399" s="192">
        <v>0</v>
      </c>
      <c r="AH399" s="192">
        <v>0</v>
      </c>
      <c r="AI399" s="192">
        <v>0</v>
      </c>
      <c r="AJ399" s="192">
        <v>0</v>
      </c>
      <c r="AK399" s="192">
        <v>0</v>
      </c>
      <c r="AL399" s="192">
        <v>0</v>
      </c>
    </row>
    <row r="400" spans="2:38">
      <c r="B400" s="122" t="str">
        <v>Cenário 20/03/2025 com IFC</v>
      </c>
      <c r="C400" s="448">
        <v>0</v>
      </c>
      <c r="D400" s="149" t="str">
        <v>0</v>
      </c>
      <c r="E400" s="149">
        <v>0</v>
      </c>
      <c r="F400" s="149">
        <v>0</v>
      </c>
      <c r="G400" s="149">
        <v>1</v>
      </c>
      <c r="H400" s="267">
        <v>0</v>
      </c>
      <c r="I400" s="192">
        <v>0</v>
      </c>
      <c r="J400" s="192">
        <v>0</v>
      </c>
      <c r="K400" s="192">
        <v>0</v>
      </c>
      <c r="L400" s="192">
        <v>0</v>
      </c>
      <c r="M400" s="192">
        <v>0</v>
      </c>
      <c r="N400" s="192">
        <v>0</v>
      </c>
      <c r="O400" s="192">
        <v>0</v>
      </c>
      <c r="P400" s="192">
        <v>0</v>
      </c>
      <c r="Q400" s="192">
        <v>0</v>
      </c>
      <c r="R400" s="192">
        <v>0</v>
      </c>
      <c r="S400" s="192">
        <v>0</v>
      </c>
      <c r="T400" s="192">
        <v>0</v>
      </c>
      <c r="U400" s="192">
        <v>0</v>
      </c>
      <c r="V400" s="192">
        <v>0</v>
      </c>
      <c r="W400" s="192">
        <v>0</v>
      </c>
      <c r="X400" s="192">
        <v>0</v>
      </c>
      <c r="Y400" s="192">
        <v>0</v>
      </c>
      <c r="Z400" s="192">
        <v>0</v>
      </c>
      <c r="AA400" s="192">
        <v>0</v>
      </c>
      <c r="AB400" s="192">
        <v>0</v>
      </c>
      <c r="AC400" s="192">
        <v>0</v>
      </c>
      <c r="AD400" s="192">
        <v>0</v>
      </c>
      <c r="AE400" s="192">
        <v>0</v>
      </c>
      <c r="AF400" s="192">
        <v>0</v>
      </c>
      <c r="AG400" s="192">
        <v>0</v>
      </c>
      <c r="AH400" s="192">
        <v>0</v>
      </c>
      <c r="AI400" s="192">
        <v>0</v>
      </c>
      <c r="AJ400" s="192">
        <v>0</v>
      </c>
      <c r="AK400" s="192">
        <v>0</v>
      </c>
      <c r="AL400" s="192">
        <v>0</v>
      </c>
    </row>
    <row r="401" spans="2:38">
      <c r="B401" s="122" t="str">
        <v>Cenário 20/03/2025 com IFC</v>
      </c>
      <c r="C401" s="448">
        <v>0</v>
      </c>
      <c r="D401" s="149" t="str">
        <v>0</v>
      </c>
      <c r="E401" s="149">
        <v>0</v>
      </c>
      <c r="F401" s="149">
        <v>0</v>
      </c>
      <c r="G401" s="149">
        <v>1</v>
      </c>
      <c r="H401" s="267">
        <v>0</v>
      </c>
      <c r="I401" s="192">
        <v>0</v>
      </c>
      <c r="J401" s="192">
        <v>0</v>
      </c>
      <c r="K401" s="192">
        <v>0</v>
      </c>
      <c r="L401" s="192">
        <v>0</v>
      </c>
      <c r="M401" s="192">
        <v>0</v>
      </c>
      <c r="N401" s="192">
        <v>0</v>
      </c>
      <c r="O401" s="192">
        <v>0</v>
      </c>
      <c r="P401" s="192">
        <v>0</v>
      </c>
      <c r="Q401" s="192">
        <v>0</v>
      </c>
      <c r="R401" s="192">
        <v>0</v>
      </c>
      <c r="S401" s="192">
        <v>0</v>
      </c>
      <c r="T401" s="192">
        <v>0</v>
      </c>
      <c r="U401" s="192">
        <v>0</v>
      </c>
      <c r="V401" s="192">
        <v>0</v>
      </c>
      <c r="W401" s="192">
        <v>0</v>
      </c>
      <c r="X401" s="192">
        <v>0</v>
      </c>
      <c r="Y401" s="192">
        <v>0</v>
      </c>
      <c r="Z401" s="192">
        <v>0</v>
      </c>
      <c r="AA401" s="192">
        <v>0</v>
      </c>
      <c r="AB401" s="192">
        <v>0</v>
      </c>
      <c r="AC401" s="192">
        <v>0</v>
      </c>
      <c r="AD401" s="192">
        <v>0</v>
      </c>
      <c r="AE401" s="192">
        <v>0</v>
      </c>
      <c r="AF401" s="192">
        <v>0</v>
      </c>
      <c r="AG401" s="192">
        <v>0</v>
      </c>
      <c r="AH401" s="192">
        <v>0</v>
      </c>
      <c r="AI401" s="192">
        <v>0</v>
      </c>
      <c r="AJ401" s="192">
        <v>0</v>
      </c>
      <c r="AK401" s="192">
        <v>0</v>
      </c>
      <c r="AL401" s="192">
        <v>0</v>
      </c>
    </row>
    <row r="402" spans="2:38">
      <c r="B402" s="122" t="str">
        <v>Cenário 20/03/2025 com IFC</v>
      </c>
      <c r="C402" s="448">
        <v>0</v>
      </c>
      <c r="D402" s="149" t="str">
        <v>0</v>
      </c>
      <c r="E402" s="149">
        <v>0</v>
      </c>
      <c r="F402" s="149">
        <v>0</v>
      </c>
      <c r="G402" s="149">
        <v>1</v>
      </c>
      <c r="H402" s="267">
        <v>0</v>
      </c>
      <c r="I402" s="192">
        <v>0</v>
      </c>
      <c r="J402" s="192">
        <v>0</v>
      </c>
      <c r="K402" s="192">
        <v>0</v>
      </c>
      <c r="L402" s="192">
        <v>0</v>
      </c>
      <c r="M402" s="192">
        <v>0</v>
      </c>
      <c r="N402" s="192">
        <v>0</v>
      </c>
      <c r="O402" s="192">
        <v>0</v>
      </c>
      <c r="P402" s="192">
        <v>0</v>
      </c>
      <c r="Q402" s="192">
        <v>0</v>
      </c>
      <c r="R402" s="192">
        <v>0</v>
      </c>
      <c r="S402" s="192">
        <v>0</v>
      </c>
      <c r="T402" s="192">
        <v>0</v>
      </c>
      <c r="U402" s="192">
        <v>0</v>
      </c>
      <c r="V402" s="192">
        <v>0</v>
      </c>
      <c r="W402" s="192">
        <v>0</v>
      </c>
      <c r="X402" s="192">
        <v>0</v>
      </c>
      <c r="Y402" s="192">
        <v>0</v>
      </c>
      <c r="Z402" s="192">
        <v>0</v>
      </c>
      <c r="AA402" s="192">
        <v>0</v>
      </c>
      <c r="AB402" s="192">
        <v>0</v>
      </c>
      <c r="AC402" s="192">
        <v>0</v>
      </c>
      <c r="AD402" s="192">
        <v>0</v>
      </c>
      <c r="AE402" s="192">
        <v>0</v>
      </c>
      <c r="AF402" s="192">
        <v>0</v>
      </c>
      <c r="AG402" s="192">
        <v>0</v>
      </c>
      <c r="AH402" s="192">
        <v>0</v>
      </c>
      <c r="AI402" s="192">
        <v>0</v>
      </c>
      <c r="AJ402" s="192">
        <v>0</v>
      </c>
      <c r="AK402" s="192">
        <v>0</v>
      </c>
      <c r="AL402" s="192">
        <v>0</v>
      </c>
    </row>
    <row r="403" spans="2:38">
      <c r="B403" s="122" t="str">
        <v>Cenário 20/03/2025 com IFC</v>
      </c>
      <c r="C403" s="448">
        <v>0</v>
      </c>
      <c r="D403" s="149" t="str">
        <v>0</v>
      </c>
      <c r="E403" s="149">
        <v>0</v>
      </c>
      <c r="F403" s="149">
        <v>0</v>
      </c>
      <c r="G403" s="149">
        <v>1</v>
      </c>
      <c r="H403" s="267">
        <v>0</v>
      </c>
      <c r="I403" s="192">
        <v>0</v>
      </c>
      <c r="J403" s="192">
        <v>0</v>
      </c>
      <c r="K403" s="192">
        <v>0</v>
      </c>
      <c r="L403" s="192">
        <v>0</v>
      </c>
      <c r="M403" s="192">
        <v>0</v>
      </c>
      <c r="N403" s="192">
        <v>0</v>
      </c>
      <c r="O403" s="192">
        <v>0</v>
      </c>
      <c r="P403" s="192">
        <v>0</v>
      </c>
      <c r="Q403" s="192">
        <v>0</v>
      </c>
      <c r="R403" s="192">
        <v>0</v>
      </c>
      <c r="S403" s="192">
        <v>0</v>
      </c>
      <c r="T403" s="192">
        <v>0</v>
      </c>
      <c r="U403" s="192">
        <v>0</v>
      </c>
      <c r="V403" s="192">
        <v>0</v>
      </c>
      <c r="W403" s="192">
        <v>0</v>
      </c>
      <c r="X403" s="192">
        <v>0</v>
      </c>
      <c r="Y403" s="192">
        <v>0</v>
      </c>
      <c r="Z403" s="192">
        <v>0</v>
      </c>
      <c r="AA403" s="192">
        <v>0</v>
      </c>
      <c r="AB403" s="192">
        <v>0</v>
      </c>
      <c r="AC403" s="192">
        <v>0</v>
      </c>
      <c r="AD403" s="192">
        <v>0</v>
      </c>
      <c r="AE403" s="192">
        <v>0</v>
      </c>
      <c r="AF403" s="192">
        <v>0</v>
      </c>
      <c r="AG403" s="192">
        <v>0</v>
      </c>
      <c r="AH403" s="192">
        <v>0</v>
      </c>
      <c r="AI403" s="192">
        <v>0</v>
      </c>
      <c r="AJ403" s="192">
        <v>0</v>
      </c>
      <c r="AK403" s="192">
        <v>0</v>
      </c>
      <c r="AL403" s="192">
        <v>0</v>
      </c>
    </row>
    <row r="404" spans="2:38">
      <c r="B404" s="122" t="str">
        <v>Cenário 20/03/2025 com IFC</v>
      </c>
      <c r="C404" s="448">
        <v>0</v>
      </c>
      <c r="D404" s="149" t="str">
        <v>0</v>
      </c>
      <c r="E404" s="149">
        <v>0</v>
      </c>
      <c r="F404" s="149">
        <v>0</v>
      </c>
      <c r="G404" s="149">
        <v>1</v>
      </c>
      <c r="H404" s="267">
        <v>0</v>
      </c>
      <c r="I404" s="192">
        <v>0</v>
      </c>
      <c r="J404" s="192">
        <v>0</v>
      </c>
      <c r="K404" s="192">
        <v>0</v>
      </c>
      <c r="L404" s="192">
        <v>0</v>
      </c>
      <c r="M404" s="192">
        <v>0</v>
      </c>
      <c r="N404" s="192">
        <v>0</v>
      </c>
      <c r="O404" s="192">
        <v>0</v>
      </c>
      <c r="P404" s="192">
        <v>0</v>
      </c>
      <c r="Q404" s="192">
        <v>0</v>
      </c>
      <c r="R404" s="192">
        <v>0</v>
      </c>
      <c r="S404" s="192">
        <v>0</v>
      </c>
      <c r="T404" s="192">
        <v>0</v>
      </c>
      <c r="U404" s="192">
        <v>0</v>
      </c>
      <c r="V404" s="192">
        <v>0</v>
      </c>
      <c r="W404" s="192">
        <v>0</v>
      </c>
      <c r="X404" s="192">
        <v>0</v>
      </c>
      <c r="Y404" s="192">
        <v>0</v>
      </c>
      <c r="Z404" s="192">
        <v>0</v>
      </c>
      <c r="AA404" s="192">
        <v>0</v>
      </c>
      <c r="AB404" s="192">
        <v>0</v>
      </c>
      <c r="AC404" s="192">
        <v>0</v>
      </c>
      <c r="AD404" s="192">
        <v>0</v>
      </c>
      <c r="AE404" s="192">
        <v>0</v>
      </c>
      <c r="AF404" s="192">
        <v>0</v>
      </c>
      <c r="AG404" s="192">
        <v>0</v>
      </c>
      <c r="AH404" s="192">
        <v>0</v>
      </c>
      <c r="AI404" s="192">
        <v>0</v>
      </c>
      <c r="AJ404" s="192">
        <v>0</v>
      </c>
      <c r="AK404" s="192">
        <v>0</v>
      </c>
      <c r="AL404" s="192">
        <v>0</v>
      </c>
    </row>
    <row r="405" spans="2:38">
      <c r="B405" s="122" t="str">
        <v>Cenário 20/03/2025 com IFC</v>
      </c>
      <c r="C405" s="448">
        <v>0</v>
      </c>
      <c r="D405" s="149" t="str">
        <v>0</v>
      </c>
      <c r="E405" s="149">
        <v>0</v>
      </c>
      <c r="F405" s="149">
        <v>0</v>
      </c>
      <c r="G405" s="149">
        <v>1</v>
      </c>
      <c r="H405" s="267">
        <v>0</v>
      </c>
      <c r="I405" s="192">
        <v>0</v>
      </c>
      <c r="J405" s="192">
        <v>0</v>
      </c>
      <c r="K405" s="192">
        <v>0</v>
      </c>
      <c r="L405" s="192">
        <v>0</v>
      </c>
      <c r="M405" s="192">
        <v>0</v>
      </c>
      <c r="N405" s="192">
        <v>0</v>
      </c>
      <c r="O405" s="192">
        <v>0</v>
      </c>
      <c r="P405" s="192">
        <v>0</v>
      </c>
      <c r="Q405" s="192">
        <v>0</v>
      </c>
      <c r="R405" s="192">
        <v>0</v>
      </c>
      <c r="S405" s="192">
        <v>0</v>
      </c>
      <c r="T405" s="192">
        <v>0</v>
      </c>
      <c r="U405" s="192">
        <v>0</v>
      </c>
      <c r="V405" s="192">
        <v>0</v>
      </c>
      <c r="W405" s="192">
        <v>0</v>
      </c>
      <c r="X405" s="192">
        <v>0</v>
      </c>
      <c r="Y405" s="192">
        <v>0</v>
      </c>
      <c r="Z405" s="192">
        <v>0</v>
      </c>
      <c r="AA405" s="192">
        <v>0</v>
      </c>
      <c r="AB405" s="192">
        <v>0</v>
      </c>
      <c r="AC405" s="192">
        <v>0</v>
      </c>
      <c r="AD405" s="192">
        <v>0</v>
      </c>
      <c r="AE405" s="192">
        <v>0</v>
      </c>
      <c r="AF405" s="192">
        <v>0</v>
      </c>
      <c r="AG405" s="192">
        <v>0</v>
      </c>
      <c r="AH405" s="192">
        <v>0</v>
      </c>
      <c r="AI405" s="192">
        <v>0</v>
      </c>
      <c r="AJ405" s="192">
        <v>0</v>
      </c>
      <c r="AK405" s="192">
        <v>0</v>
      </c>
      <c r="AL405" s="192">
        <v>0</v>
      </c>
    </row>
    <row r="406" spans="2:38">
      <c r="B406" s="122" t="str">
        <v>Cenário 20/03/2025 com IFC</v>
      </c>
      <c r="C406" s="448" t="str">
        <v>Operação Geral</v>
      </c>
      <c r="D406" s="149" t="str">
        <v>6</v>
      </c>
      <c r="E406" s="149" t="str">
        <v>6.3</v>
      </c>
      <c r="F406" s="149">
        <v>0</v>
      </c>
      <c r="G406" s="149">
        <v>1</v>
      </c>
      <c r="H406" s="267" t="str">
        <v>Edificações e instalações operacionais (28 ud)</v>
      </c>
      <c r="I406" s="192">
        <v>4480078.1475818893</v>
      </c>
      <c r="J406" s="192">
        <v>0</v>
      </c>
      <c r="K406" s="192">
        <v>18111682.424018439</v>
      </c>
      <c r="L406" s="192">
        <v>0</v>
      </c>
      <c r="M406" s="192">
        <v>0</v>
      </c>
      <c r="N406" s="192">
        <v>0</v>
      </c>
      <c r="O406" s="192">
        <v>0</v>
      </c>
      <c r="P406" s="192">
        <v>0</v>
      </c>
      <c r="Q406" s="192">
        <v>0</v>
      </c>
      <c r="R406" s="192">
        <v>0</v>
      </c>
      <c r="S406" s="192">
        <v>0</v>
      </c>
      <c r="T406" s="192">
        <v>0</v>
      </c>
      <c r="U406" s="192">
        <v>0</v>
      </c>
      <c r="V406" s="192">
        <v>0</v>
      </c>
      <c r="W406" s="192">
        <v>0</v>
      </c>
      <c r="X406" s="192">
        <v>0</v>
      </c>
      <c r="Y406" s="192">
        <v>0</v>
      </c>
      <c r="Z406" s="192">
        <v>0</v>
      </c>
      <c r="AA406" s="192">
        <v>0</v>
      </c>
      <c r="AB406" s="192">
        <v>0</v>
      </c>
      <c r="AC406" s="192">
        <v>0</v>
      </c>
      <c r="AD406" s="192">
        <v>0</v>
      </c>
      <c r="AE406" s="192">
        <v>0</v>
      </c>
      <c r="AF406" s="192">
        <v>0</v>
      </c>
      <c r="AG406" s="192">
        <v>0</v>
      </c>
      <c r="AH406" s="192">
        <v>0</v>
      </c>
      <c r="AI406" s="192">
        <v>0</v>
      </c>
      <c r="AJ406" s="192">
        <v>0</v>
      </c>
      <c r="AK406" s="192">
        <v>0</v>
      </c>
      <c r="AL406" s="192">
        <v>0</v>
      </c>
    </row>
    <row r="407" spans="2:38">
      <c r="B407" s="122" t="str">
        <v>Cenário 20/03/2025 com IFC</v>
      </c>
      <c r="C407" s="448" t="str">
        <v>Operação Geral</v>
      </c>
      <c r="D407" s="149" t="str">
        <v>6</v>
      </c>
      <c r="E407" s="149" t="str">
        <v>6.4</v>
      </c>
      <c r="F407" s="149">
        <v>0</v>
      </c>
      <c r="G407" s="149">
        <v>0</v>
      </c>
      <c r="H407" s="267" t="str">
        <v>Administração local (%)</v>
      </c>
      <c r="I407" s="192">
        <v>55263.625494281783</v>
      </c>
      <c r="J407" s="192">
        <v>0</v>
      </c>
      <c r="K407" s="192">
        <v>223415.12839291949</v>
      </c>
      <c r="L407" s="192">
        <v>0</v>
      </c>
      <c r="M407" s="192">
        <v>0</v>
      </c>
      <c r="N407" s="192">
        <v>0</v>
      </c>
      <c r="O407" s="192">
        <v>0</v>
      </c>
      <c r="P407" s="192">
        <v>0</v>
      </c>
      <c r="Q407" s="192">
        <v>0</v>
      </c>
      <c r="R407" s="192">
        <v>0</v>
      </c>
      <c r="S407" s="192">
        <v>0</v>
      </c>
      <c r="T407" s="192">
        <v>0</v>
      </c>
      <c r="U407" s="192">
        <v>0</v>
      </c>
      <c r="V407" s="192">
        <v>0</v>
      </c>
      <c r="W407" s="192">
        <v>0</v>
      </c>
      <c r="X407" s="192">
        <v>0</v>
      </c>
      <c r="Y407" s="192">
        <v>0</v>
      </c>
      <c r="Z407" s="192">
        <v>0</v>
      </c>
      <c r="AA407" s="192">
        <v>0</v>
      </c>
      <c r="AB407" s="192">
        <v>0</v>
      </c>
      <c r="AC407" s="192">
        <v>0</v>
      </c>
      <c r="AD407" s="192">
        <v>0</v>
      </c>
      <c r="AE407" s="192">
        <v>0</v>
      </c>
      <c r="AF407" s="192">
        <v>0</v>
      </c>
      <c r="AG407" s="192">
        <v>0</v>
      </c>
      <c r="AH407" s="192">
        <v>0</v>
      </c>
      <c r="AI407" s="192">
        <v>0</v>
      </c>
      <c r="AJ407" s="192">
        <v>0</v>
      </c>
      <c r="AK407" s="192">
        <v>0</v>
      </c>
      <c r="AL407" s="192">
        <v>0</v>
      </c>
    </row>
    <row r="408" spans="2:38">
      <c r="B408" s="122" t="str">
        <v>Cenário 20/03/2025 com IFC</v>
      </c>
      <c r="C408" s="448" t="str">
        <v>Operação Geral</v>
      </c>
      <c r="D408" s="149" t="str">
        <v>6</v>
      </c>
      <c r="E408" s="149" t="str">
        <v>6.5</v>
      </c>
      <c r="F408" s="149">
        <v>0</v>
      </c>
      <c r="G408" s="149">
        <v>0</v>
      </c>
      <c r="H408" s="267" t="str">
        <v>Canteiro de obras (%)</v>
      </c>
      <c r="I408" s="192">
        <v>13913.680809453761</v>
      </c>
      <c r="J408" s="192">
        <v>0</v>
      </c>
      <c r="K408" s="192">
        <v>56249.056348716316</v>
      </c>
      <c r="L408" s="192">
        <v>0</v>
      </c>
      <c r="M408" s="192">
        <v>0</v>
      </c>
      <c r="N408" s="192">
        <v>0</v>
      </c>
      <c r="O408" s="192">
        <v>0</v>
      </c>
      <c r="P408" s="192">
        <v>0</v>
      </c>
      <c r="Q408" s="192">
        <v>0</v>
      </c>
      <c r="R408" s="192">
        <v>0</v>
      </c>
      <c r="S408" s="192">
        <v>0</v>
      </c>
      <c r="T408" s="192">
        <v>0</v>
      </c>
      <c r="U408" s="192">
        <v>0</v>
      </c>
      <c r="V408" s="192">
        <v>0</v>
      </c>
      <c r="W408" s="192">
        <v>0</v>
      </c>
      <c r="X408" s="192">
        <v>0</v>
      </c>
      <c r="Y408" s="192">
        <v>0</v>
      </c>
      <c r="Z408" s="192">
        <v>0</v>
      </c>
      <c r="AA408" s="192">
        <v>0</v>
      </c>
      <c r="AB408" s="192">
        <v>0</v>
      </c>
      <c r="AC408" s="192">
        <v>0</v>
      </c>
      <c r="AD408" s="192">
        <v>0</v>
      </c>
      <c r="AE408" s="192">
        <v>0</v>
      </c>
      <c r="AF408" s="192">
        <v>0</v>
      </c>
      <c r="AG408" s="192">
        <v>0</v>
      </c>
      <c r="AH408" s="192">
        <v>0</v>
      </c>
      <c r="AI408" s="192">
        <v>0</v>
      </c>
      <c r="AJ408" s="192">
        <v>0</v>
      </c>
      <c r="AK408" s="192">
        <v>0</v>
      </c>
      <c r="AL408" s="192">
        <v>0</v>
      </c>
    </row>
    <row r="409" spans="2:38">
      <c r="B409" s="122" t="str">
        <v>Cenário 20/03/2025 com IFC</v>
      </c>
      <c r="C409" s="448" t="str">
        <v>Operação Geral</v>
      </c>
      <c r="D409" s="149" t="str">
        <v>6</v>
      </c>
      <c r="E409" s="149" t="str">
        <v>6.6</v>
      </c>
      <c r="F409" s="149">
        <v>0</v>
      </c>
      <c r="G409" s="149">
        <v>0</v>
      </c>
      <c r="H409" s="267" t="str">
        <v>Mobilização e desmobilização (%)</v>
      </c>
      <c r="I409" s="192">
        <v>259.00271729540873</v>
      </c>
      <c r="J409" s="192">
        <v>0</v>
      </c>
      <c r="K409" s="192">
        <v>1047.0743607774368</v>
      </c>
      <c r="L409" s="192">
        <v>0</v>
      </c>
      <c r="M409" s="192">
        <v>0</v>
      </c>
      <c r="N409" s="192">
        <v>0</v>
      </c>
      <c r="O409" s="192">
        <v>0</v>
      </c>
      <c r="P409" s="192">
        <v>0</v>
      </c>
      <c r="Q409" s="192">
        <v>0</v>
      </c>
      <c r="R409" s="192">
        <v>0</v>
      </c>
      <c r="S409" s="192">
        <v>0</v>
      </c>
      <c r="T409" s="192">
        <v>0</v>
      </c>
      <c r="U409" s="192">
        <v>0</v>
      </c>
      <c r="V409" s="192">
        <v>0</v>
      </c>
      <c r="W409" s="192">
        <v>0</v>
      </c>
      <c r="X409" s="192">
        <v>0</v>
      </c>
      <c r="Y409" s="192">
        <v>0</v>
      </c>
      <c r="Z409" s="192">
        <v>0</v>
      </c>
      <c r="AA409" s="192">
        <v>0</v>
      </c>
      <c r="AB409" s="192">
        <v>0</v>
      </c>
      <c r="AC409" s="192">
        <v>0</v>
      </c>
      <c r="AD409" s="192">
        <v>0</v>
      </c>
      <c r="AE409" s="192">
        <v>0</v>
      </c>
      <c r="AF409" s="192">
        <v>0</v>
      </c>
      <c r="AG409" s="192">
        <v>0</v>
      </c>
      <c r="AH409" s="192">
        <v>0</v>
      </c>
      <c r="AI409" s="192">
        <v>0</v>
      </c>
      <c r="AJ409" s="192">
        <v>0</v>
      </c>
      <c r="AK409" s="192">
        <v>0</v>
      </c>
      <c r="AL409" s="192">
        <v>0</v>
      </c>
    </row>
    <row r="410" spans="2:38">
      <c r="B410" s="122" t="str">
        <v>Cenário 20/03/2025 com IFC</v>
      </c>
      <c r="C410" s="448" t="str">
        <v>Operação Geral</v>
      </c>
      <c r="D410" s="149" t="str">
        <v>6</v>
      </c>
      <c r="E410" s="149" t="str">
        <v>6.7</v>
      </c>
      <c r="F410" s="149">
        <v>0</v>
      </c>
      <c r="G410" s="149">
        <v>0</v>
      </c>
      <c r="H410" s="267" t="str">
        <v>Projetos (%)</v>
      </c>
      <c r="I410" s="192">
        <v>112897.96931906362</v>
      </c>
      <c r="J410" s="192">
        <v>0</v>
      </c>
      <c r="K410" s="192">
        <v>456414.39708526467</v>
      </c>
      <c r="L410" s="192">
        <v>0</v>
      </c>
      <c r="M410" s="192">
        <v>0</v>
      </c>
      <c r="N410" s="192">
        <v>0</v>
      </c>
      <c r="O410" s="192">
        <v>0</v>
      </c>
      <c r="P410" s="192">
        <v>0</v>
      </c>
      <c r="Q410" s="192">
        <v>0</v>
      </c>
      <c r="R410" s="192">
        <v>0</v>
      </c>
      <c r="S410" s="192">
        <v>0</v>
      </c>
      <c r="T410" s="192">
        <v>0</v>
      </c>
      <c r="U410" s="192">
        <v>0</v>
      </c>
      <c r="V410" s="192">
        <v>0</v>
      </c>
      <c r="W410" s="192">
        <v>0</v>
      </c>
      <c r="X410" s="192">
        <v>0</v>
      </c>
      <c r="Y410" s="192">
        <v>0</v>
      </c>
      <c r="Z410" s="192">
        <v>0</v>
      </c>
      <c r="AA410" s="192">
        <v>0</v>
      </c>
      <c r="AB410" s="192">
        <v>0</v>
      </c>
      <c r="AC410" s="192">
        <v>0</v>
      </c>
      <c r="AD410" s="192">
        <v>0</v>
      </c>
      <c r="AE410" s="192">
        <v>0</v>
      </c>
      <c r="AF410" s="192">
        <v>0</v>
      </c>
      <c r="AG410" s="192">
        <v>0</v>
      </c>
      <c r="AH410" s="192">
        <v>0</v>
      </c>
      <c r="AI410" s="192">
        <v>0</v>
      </c>
      <c r="AJ410" s="192">
        <v>0</v>
      </c>
      <c r="AK410" s="192">
        <v>0</v>
      </c>
      <c r="AL410" s="192">
        <v>0</v>
      </c>
    </row>
    <row r="411" spans="2:38">
      <c r="B411" s="122" t="str">
        <v>Cenário 20/03/2025 com IFC</v>
      </c>
      <c r="C411" s="448" t="str">
        <v>Socioambiental</v>
      </c>
      <c r="D411" s="149" t="str">
        <v>7</v>
      </c>
      <c r="E411" s="149">
        <v>7</v>
      </c>
      <c r="F411" s="149">
        <v>0</v>
      </c>
      <c r="G411" s="149">
        <v>0</v>
      </c>
      <c r="H411" s="267" t="str">
        <v xml:space="preserve">Gestão Ambiental Do Sistema Rodoviário </v>
      </c>
      <c r="I411" s="192">
        <v>0</v>
      </c>
      <c r="J411" s="192">
        <v>0</v>
      </c>
      <c r="K411" s="192">
        <v>0</v>
      </c>
      <c r="L411" s="192">
        <v>0</v>
      </c>
      <c r="M411" s="192">
        <v>0</v>
      </c>
      <c r="N411" s="192">
        <v>0</v>
      </c>
      <c r="O411" s="192">
        <v>0</v>
      </c>
      <c r="P411" s="192">
        <v>0</v>
      </c>
      <c r="Q411" s="192">
        <v>0</v>
      </c>
      <c r="R411" s="192">
        <v>0</v>
      </c>
      <c r="S411" s="192">
        <v>0</v>
      </c>
      <c r="T411" s="192">
        <v>0</v>
      </c>
      <c r="U411" s="192">
        <v>0</v>
      </c>
      <c r="V411" s="192">
        <v>0</v>
      </c>
      <c r="W411" s="192">
        <v>0</v>
      </c>
      <c r="X411" s="192">
        <v>0</v>
      </c>
      <c r="Y411" s="192">
        <v>0</v>
      </c>
      <c r="Z411" s="192">
        <v>0</v>
      </c>
      <c r="AA411" s="192">
        <v>0</v>
      </c>
      <c r="AB411" s="192">
        <v>0</v>
      </c>
      <c r="AC411" s="192">
        <v>0</v>
      </c>
      <c r="AD411" s="192">
        <v>0</v>
      </c>
      <c r="AE411" s="192">
        <v>0</v>
      </c>
      <c r="AF411" s="192">
        <v>0</v>
      </c>
      <c r="AG411" s="192">
        <v>0</v>
      </c>
      <c r="AH411" s="192">
        <v>0</v>
      </c>
      <c r="AI411" s="192">
        <v>0</v>
      </c>
      <c r="AJ411" s="192">
        <v>0</v>
      </c>
      <c r="AK411" s="192">
        <v>0</v>
      </c>
      <c r="AL411" s="192">
        <v>0</v>
      </c>
    </row>
    <row r="412" spans="2:38">
      <c r="B412" s="122" t="str">
        <v>Cenário 20/03/2025 com IFC</v>
      </c>
      <c r="C412" s="448" t="str">
        <v>Socioambiental</v>
      </c>
      <c r="D412" s="149" t="str">
        <v>7</v>
      </c>
      <c r="E412" s="149" t="str">
        <v>7.1</v>
      </c>
      <c r="F412" s="149">
        <v>0</v>
      </c>
      <c r="G412" s="149">
        <v>0</v>
      </c>
      <c r="H412" s="267" t="str">
        <v>Licenciamento Ambiental</v>
      </c>
      <c r="I412" s="192">
        <v>1807248.8242809335</v>
      </c>
      <c r="J412" s="192">
        <v>3752940.8487210707</v>
      </c>
      <c r="K412" s="192">
        <v>299150.96742810262</v>
      </c>
      <c r="L412" s="192">
        <v>139141.87359265395</v>
      </c>
      <c r="M412" s="192">
        <v>139141.87359265395</v>
      </c>
      <c r="N412" s="192">
        <v>139141.87359265395</v>
      </c>
      <c r="O412" s="192">
        <v>139141.87359265395</v>
      </c>
      <c r="P412" s="192">
        <v>139141.87359265395</v>
      </c>
      <c r="Q412" s="192">
        <v>0</v>
      </c>
      <c r="R412" s="192">
        <v>0</v>
      </c>
      <c r="S412" s="192">
        <v>0</v>
      </c>
      <c r="T412" s="192">
        <v>0</v>
      </c>
      <c r="U412" s="192">
        <v>1440505.795738827</v>
      </c>
      <c r="V412" s="192">
        <v>0</v>
      </c>
      <c r="W412" s="192">
        <v>0</v>
      </c>
      <c r="X412" s="192">
        <v>0</v>
      </c>
      <c r="Y412" s="192">
        <v>0</v>
      </c>
      <c r="Z412" s="192">
        <v>0</v>
      </c>
      <c r="AA412" s="192">
        <v>0</v>
      </c>
      <c r="AB412" s="192">
        <v>0</v>
      </c>
      <c r="AC412" s="192">
        <v>0</v>
      </c>
      <c r="AD412" s="192">
        <v>0</v>
      </c>
      <c r="AE412" s="192">
        <v>0</v>
      </c>
      <c r="AF412" s="192">
        <v>0</v>
      </c>
      <c r="AG412" s="192">
        <v>0</v>
      </c>
      <c r="AH412" s="192">
        <v>0</v>
      </c>
      <c r="AI412" s="192">
        <v>0</v>
      </c>
      <c r="AJ412" s="192">
        <v>0</v>
      </c>
      <c r="AK412" s="192">
        <v>0</v>
      </c>
      <c r="AL412" s="192">
        <v>0</v>
      </c>
    </row>
    <row r="413" spans="2:38">
      <c r="B413" s="122" t="str">
        <v>Cenário 20/03/2025 com IFC</v>
      </c>
      <c r="C413" s="448" t="str">
        <v>Socioambiental</v>
      </c>
      <c r="D413" s="149" t="str">
        <v>7</v>
      </c>
      <c r="E413" s="149" t="str">
        <v>7.2</v>
      </c>
      <c r="F413" s="149">
        <v>0</v>
      </c>
      <c r="G413" s="149">
        <v>0</v>
      </c>
      <c r="H413" s="267" t="str">
        <v xml:space="preserve">Compensação Ambiental </v>
      </c>
      <c r="I413" s="192">
        <v>0</v>
      </c>
      <c r="J413" s="192">
        <v>0</v>
      </c>
      <c r="K413" s="192">
        <v>0</v>
      </c>
      <c r="L413" s="192">
        <v>18153919.296099998</v>
      </c>
      <c r="M413" s="192">
        <v>0</v>
      </c>
      <c r="N413" s="192">
        <v>0</v>
      </c>
      <c r="O413" s="192">
        <v>0</v>
      </c>
      <c r="P413" s="192">
        <v>0</v>
      </c>
      <c r="Q413" s="192">
        <v>0</v>
      </c>
      <c r="R413" s="192">
        <v>0</v>
      </c>
      <c r="S413" s="192">
        <v>0</v>
      </c>
      <c r="T413" s="192">
        <v>0</v>
      </c>
      <c r="U413" s="192">
        <v>0</v>
      </c>
      <c r="V413" s="192">
        <v>0</v>
      </c>
      <c r="W413" s="192">
        <v>0</v>
      </c>
      <c r="X413" s="192">
        <v>0</v>
      </c>
      <c r="Y413" s="192">
        <v>0</v>
      </c>
      <c r="Z413" s="192">
        <v>0</v>
      </c>
      <c r="AA413" s="192">
        <v>0</v>
      </c>
      <c r="AB413" s="192">
        <v>0</v>
      </c>
      <c r="AC413" s="192">
        <v>0</v>
      </c>
      <c r="AD413" s="192">
        <v>0</v>
      </c>
      <c r="AE413" s="192">
        <v>0</v>
      </c>
      <c r="AF413" s="192">
        <v>0</v>
      </c>
      <c r="AG413" s="192">
        <v>0</v>
      </c>
      <c r="AH413" s="192">
        <v>0</v>
      </c>
      <c r="AI413" s="192">
        <v>0</v>
      </c>
      <c r="AJ413" s="192">
        <v>0</v>
      </c>
      <c r="AK413" s="192">
        <v>0</v>
      </c>
      <c r="AL413" s="192">
        <v>0</v>
      </c>
    </row>
    <row r="414" spans="2:38">
      <c r="B414" s="122" t="str">
        <v>Cenário 20/03/2025 com IFC</v>
      </c>
      <c r="C414" s="448" t="str">
        <v>Socioambiental</v>
      </c>
      <c r="D414" s="149" t="str">
        <v>7</v>
      </c>
      <c r="E414" s="149" t="str">
        <v>7.3</v>
      </c>
      <c r="F414" s="149">
        <v>0</v>
      </c>
      <c r="G414" s="149">
        <v>0</v>
      </c>
      <c r="H414" s="267" t="str">
        <v>Sistema De Gestão Ambiental - Iso-14001</v>
      </c>
      <c r="I414" s="192">
        <v>63390.209007250945</v>
      </c>
      <c r="J414" s="192">
        <v>82000</v>
      </c>
      <c r="K414" s="192">
        <v>87996.937502117653</v>
      </c>
      <c r="L414" s="192">
        <v>87996.937502117653</v>
      </c>
      <c r="M414" s="192">
        <v>147996.93750211765</v>
      </c>
      <c r="N414" s="192">
        <v>87996.937502117653</v>
      </c>
      <c r="O414" s="192">
        <v>87996.937502117653</v>
      </c>
      <c r="P414" s="192">
        <v>147996.93750211765</v>
      </c>
      <c r="Q414" s="192">
        <v>87996.937502117653</v>
      </c>
      <c r="R414" s="192">
        <v>87996.937502117653</v>
      </c>
      <c r="S414" s="192">
        <v>147996.93750211765</v>
      </c>
      <c r="T414" s="192">
        <v>87996.937502117653</v>
      </c>
      <c r="U414" s="192">
        <v>87996.937502117653</v>
      </c>
      <c r="V414" s="192">
        <v>147996.93750211765</v>
      </c>
      <c r="W414" s="192">
        <v>87996.937502117653</v>
      </c>
      <c r="X414" s="192">
        <v>87996.937502117653</v>
      </c>
      <c r="Y414" s="192">
        <v>147996.93750211765</v>
      </c>
      <c r="Z414" s="192">
        <v>87996.937502117653</v>
      </c>
      <c r="AA414" s="192">
        <v>87996.937502117653</v>
      </c>
      <c r="AB414" s="192">
        <v>147996.93750211765</v>
      </c>
      <c r="AC414" s="192">
        <v>87996.937502117653</v>
      </c>
      <c r="AD414" s="192">
        <v>87996.937502117653</v>
      </c>
      <c r="AE414" s="192">
        <v>147996.93750211765</v>
      </c>
      <c r="AF414" s="192">
        <v>87996.937502117653</v>
      </c>
      <c r="AG414" s="192">
        <v>87996.937502117653</v>
      </c>
      <c r="AH414" s="192">
        <v>147996.93750211765</v>
      </c>
      <c r="AI414" s="192">
        <v>87996.937502117653</v>
      </c>
      <c r="AJ414" s="192">
        <v>87996.937502117653</v>
      </c>
      <c r="AK414" s="192">
        <v>147996.93750211765</v>
      </c>
      <c r="AL414" s="192">
        <v>87996.937502117653</v>
      </c>
    </row>
    <row r="415" spans="2:38">
      <c r="B415" s="122" t="str">
        <v>Cenário 20/03/2025 com IFC</v>
      </c>
      <c r="C415" s="448" t="str">
        <v>Socioambiental</v>
      </c>
      <c r="D415" s="149" t="str">
        <v>7</v>
      </c>
      <c r="E415" s="149" t="str">
        <v>7.4</v>
      </c>
      <c r="F415" s="149">
        <v>1</v>
      </c>
      <c r="G415" s="149">
        <v>0</v>
      </c>
      <c r="H415" s="267" t="str">
        <v>Passivos Ambientais</v>
      </c>
      <c r="I415" s="192">
        <v>19634492.259456225</v>
      </c>
      <c r="J415" s="192">
        <v>19634492.259456225</v>
      </c>
      <c r="K415" s="192">
        <v>19634492.259456225</v>
      </c>
      <c r="L415" s="192">
        <v>19634492.259456225</v>
      </c>
      <c r="M415" s="192">
        <v>19634492.259456225</v>
      </c>
      <c r="N415" s="192">
        <v>0</v>
      </c>
      <c r="O415" s="192">
        <v>0</v>
      </c>
      <c r="P415" s="192">
        <v>0</v>
      </c>
      <c r="Q415" s="192">
        <v>0</v>
      </c>
      <c r="R415" s="192">
        <v>0</v>
      </c>
      <c r="S415" s="192">
        <v>0</v>
      </c>
      <c r="T415" s="192">
        <v>0</v>
      </c>
      <c r="U415" s="192">
        <v>0</v>
      </c>
      <c r="V415" s="192">
        <v>0</v>
      </c>
      <c r="W415" s="192">
        <v>0</v>
      </c>
      <c r="X415" s="192">
        <v>0</v>
      </c>
      <c r="Y415" s="192">
        <v>0</v>
      </c>
      <c r="Z415" s="192">
        <v>0</v>
      </c>
      <c r="AA415" s="192">
        <v>0</v>
      </c>
      <c r="AB415" s="192">
        <v>0</v>
      </c>
      <c r="AC415" s="192">
        <v>0</v>
      </c>
      <c r="AD415" s="192">
        <v>0</v>
      </c>
      <c r="AE415" s="192">
        <v>0</v>
      </c>
      <c r="AF415" s="192">
        <v>0</v>
      </c>
      <c r="AG415" s="192">
        <v>0</v>
      </c>
      <c r="AH415" s="192">
        <v>0</v>
      </c>
      <c r="AI415" s="192">
        <v>0</v>
      </c>
      <c r="AJ415" s="192">
        <v>0</v>
      </c>
      <c r="AK415" s="192">
        <v>0</v>
      </c>
      <c r="AL415" s="192">
        <v>0</v>
      </c>
    </row>
    <row r="416" spans="2:38">
      <c r="B416" s="122" t="str">
        <v>Cenário 20/03/2025 com IFC</v>
      </c>
      <c r="C416" s="448" t="str">
        <v>Socioambiental</v>
      </c>
      <c r="D416" s="149" t="str">
        <v>7</v>
      </c>
      <c r="E416" s="149" t="str">
        <v>7.5</v>
      </c>
      <c r="F416" s="149">
        <v>1</v>
      </c>
      <c r="G416" s="149">
        <v>0</v>
      </c>
      <c r="H416" s="267" t="str">
        <v>Obras De Engenharia Para Mitigação Ambiental</v>
      </c>
      <c r="I416" s="192">
        <v>0</v>
      </c>
      <c r="J416" s="192">
        <v>0</v>
      </c>
      <c r="K416" s="192">
        <v>2455771.1924159252</v>
      </c>
      <c r="L416" s="192">
        <v>0</v>
      </c>
      <c r="M416" s="192">
        <v>1200000</v>
      </c>
      <c r="N416" s="192">
        <v>0</v>
      </c>
      <c r="O416" s="192">
        <v>0</v>
      </c>
      <c r="P416" s="192">
        <v>0</v>
      </c>
      <c r="Q416" s="192">
        <v>0</v>
      </c>
      <c r="R416" s="192">
        <v>0</v>
      </c>
      <c r="S416" s="192">
        <v>0</v>
      </c>
      <c r="T416" s="192">
        <v>0</v>
      </c>
      <c r="U416" s="192">
        <v>0</v>
      </c>
      <c r="V416" s="192">
        <v>0</v>
      </c>
      <c r="W416" s="192">
        <v>0</v>
      </c>
      <c r="X416" s="192">
        <v>0</v>
      </c>
      <c r="Y416" s="192">
        <v>0</v>
      </c>
      <c r="Z416" s="192">
        <v>0</v>
      </c>
      <c r="AA416" s="192">
        <v>0</v>
      </c>
      <c r="AB416" s="192">
        <v>0</v>
      </c>
      <c r="AC416" s="192">
        <v>0</v>
      </c>
      <c r="AD416" s="192">
        <v>0</v>
      </c>
      <c r="AE416" s="192">
        <v>0</v>
      </c>
      <c r="AF416" s="192">
        <v>0</v>
      </c>
      <c r="AG416" s="192">
        <v>0</v>
      </c>
      <c r="AH416" s="192">
        <v>0</v>
      </c>
      <c r="AI416" s="192">
        <v>0</v>
      </c>
      <c r="AJ416" s="192">
        <v>0</v>
      </c>
      <c r="AK416" s="192">
        <v>0</v>
      </c>
      <c r="AL416" s="192">
        <v>0</v>
      </c>
    </row>
    <row r="417" spans="2:38">
      <c r="B417" s="122" t="str">
        <v>Cenário 20/03/2025 com IFC</v>
      </c>
      <c r="C417" s="448" t="str">
        <v>Socioambiental</v>
      </c>
      <c r="D417" s="149" t="str">
        <v>7</v>
      </c>
      <c r="E417" s="149" t="str">
        <v>7.6</v>
      </c>
      <c r="F417" s="149">
        <v>0</v>
      </c>
      <c r="G417" s="149">
        <v>0</v>
      </c>
      <c r="H417" s="267" t="str">
        <v>Plantio Compensatório</v>
      </c>
      <c r="I417" s="192">
        <v>0</v>
      </c>
      <c r="J417" s="192">
        <v>0</v>
      </c>
      <c r="K417" s="192">
        <v>1830227.9370406021</v>
      </c>
      <c r="L417" s="192">
        <v>2803654.7250245307</v>
      </c>
      <c r="M417" s="192">
        <v>2803654.7250245307</v>
      </c>
      <c r="N417" s="192">
        <v>2803654.7250245307</v>
      </c>
      <c r="O417" s="192">
        <v>2803654.7250245307</v>
      </c>
      <c r="P417" s="192">
        <v>973426.78798392857</v>
      </c>
      <c r="Q417" s="192">
        <v>973426.78798392857</v>
      </c>
      <c r="R417" s="192">
        <v>973426.78798392857</v>
      </c>
      <c r="S417" s="192">
        <v>0</v>
      </c>
      <c r="T417" s="192">
        <v>0</v>
      </c>
      <c r="U417" s="192">
        <v>0</v>
      </c>
      <c r="V417" s="192">
        <v>0</v>
      </c>
      <c r="W417" s="192">
        <v>0</v>
      </c>
      <c r="X417" s="192">
        <v>0</v>
      </c>
      <c r="Y417" s="192">
        <v>0</v>
      </c>
      <c r="Z417" s="192">
        <v>0</v>
      </c>
      <c r="AA417" s="192">
        <v>0</v>
      </c>
      <c r="AB417" s="192">
        <v>0</v>
      </c>
      <c r="AC417" s="192">
        <v>0</v>
      </c>
      <c r="AD417" s="192">
        <v>0</v>
      </c>
      <c r="AE417" s="192">
        <v>0</v>
      </c>
      <c r="AF417" s="192">
        <v>0</v>
      </c>
      <c r="AG417" s="192">
        <v>0</v>
      </c>
      <c r="AH417" s="192">
        <v>0</v>
      </c>
      <c r="AI417" s="192">
        <v>0</v>
      </c>
      <c r="AJ417" s="192">
        <v>0</v>
      </c>
      <c r="AK417" s="192">
        <v>0</v>
      </c>
      <c r="AL417" s="192">
        <v>0</v>
      </c>
    </row>
    <row r="418" spans="2:38">
      <c r="B418" s="122" t="str">
        <v>Cenário 20/03/2025 com IFC</v>
      </c>
      <c r="C418" s="448" t="str">
        <v>Socioambiental</v>
      </c>
      <c r="D418" s="149" t="str">
        <v>7</v>
      </c>
      <c r="E418" s="149" t="str">
        <v>7.7</v>
      </c>
      <c r="F418" s="149">
        <v>0</v>
      </c>
      <c r="G418" s="149">
        <v>0</v>
      </c>
      <c r="H418" s="267" t="str">
        <v>Desocupação</v>
      </c>
      <c r="I418" s="192">
        <v>0</v>
      </c>
      <c r="J418" s="192">
        <v>3580238.9889180008</v>
      </c>
      <c r="K418" s="192">
        <v>7330339.7439360013</v>
      </c>
      <c r="L418" s="192">
        <v>29521015.383696001</v>
      </c>
      <c r="M418" s="192">
        <v>0</v>
      </c>
      <c r="N418" s="192">
        <v>0</v>
      </c>
      <c r="O418" s="192">
        <v>0</v>
      </c>
      <c r="P418" s="192">
        <v>0</v>
      </c>
      <c r="Q418" s="192">
        <v>0</v>
      </c>
      <c r="R418" s="192">
        <v>0</v>
      </c>
      <c r="S418" s="192">
        <v>0</v>
      </c>
      <c r="T418" s="192">
        <v>0</v>
      </c>
      <c r="U418" s="192">
        <v>0</v>
      </c>
      <c r="V418" s="192">
        <v>0</v>
      </c>
      <c r="W418" s="192">
        <v>0</v>
      </c>
      <c r="X418" s="192">
        <v>0</v>
      </c>
      <c r="Y418" s="192">
        <v>0</v>
      </c>
      <c r="Z418" s="192">
        <v>0</v>
      </c>
      <c r="AA418" s="192">
        <v>0</v>
      </c>
      <c r="AB418" s="192">
        <v>0</v>
      </c>
      <c r="AC418" s="192">
        <v>0</v>
      </c>
      <c r="AD418" s="192">
        <v>0</v>
      </c>
      <c r="AE418" s="192">
        <v>0</v>
      </c>
      <c r="AF418" s="192">
        <v>0</v>
      </c>
      <c r="AG418" s="192">
        <v>0</v>
      </c>
      <c r="AH418" s="192">
        <v>0</v>
      </c>
      <c r="AI418" s="192">
        <v>0</v>
      </c>
      <c r="AJ418" s="192">
        <v>0</v>
      </c>
      <c r="AK418" s="192">
        <v>0</v>
      </c>
      <c r="AL418" s="192">
        <v>0</v>
      </c>
    </row>
    <row r="419" spans="2:38">
      <c r="B419" s="183" t="str">
        <v>Cenário 20/03/2025 com IFC</v>
      </c>
      <c r="C419" s="448" t="str">
        <v>Socioambiental</v>
      </c>
      <c r="D419" s="149" t="str">
        <v>7</v>
      </c>
      <c r="E419" s="149" t="str">
        <v>7.8</v>
      </c>
      <c r="F419" s="149">
        <v>0</v>
      </c>
      <c r="G419" s="149">
        <v>1</v>
      </c>
      <c r="H419" s="267" t="str">
        <v>Padrão IFC</v>
      </c>
      <c r="I419" s="192">
        <v>1834628.9860248594</v>
      </c>
      <c r="J419" s="192">
        <v>133460.67002756009</v>
      </c>
      <c r="K419" s="192">
        <v>133460.67002756009</v>
      </c>
      <c r="L419" s="192">
        <v>133460.67002756009</v>
      </c>
      <c r="M419" s="192">
        <v>263304.37115523207</v>
      </c>
      <c r="N419" s="192">
        <v>610083.61757301819</v>
      </c>
      <c r="O419" s="192">
        <v>133460.67002756009</v>
      </c>
      <c r="P419" s="192">
        <v>83531.347467730637</v>
      </c>
      <c r="Q419" s="192">
        <v>213375.04859540262</v>
      </c>
      <c r="R419" s="192">
        <v>83531.347467730637</v>
      </c>
      <c r="S419" s="192">
        <v>560154.29501318873</v>
      </c>
      <c r="T419" s="192">
        <v>83531.347467730637</v>
      </c>
      <c r="U419" s="192">
        <v>213375.04859540262</v>
      </c>
      <c r="V419" s="192">
        <v>83531.347467730637</v>
      </c>
      <c r="W419" s="192">
        <v>83531.347467730637</v>
      </c>
      <c r="X419" s="192">
        <v>560154.29501318873</v>
      </c>
      <c r="Y419" s="192">
        <v>213375.04859540262</v>
      </c>
      <c r="Z419" s="192">
        <v>83531.347467730637</v>
      </c>
      <c r="AA419" s="192">
        <v>83531.347467730637</v>
      </c>
      <c r="AB419" s="192">
        <v>83531.347467730637</v>
      </c>
      <c r="AC419" s="192">
        <v>689997.99614086084</v>
      </c>
      <c r="AD419" s="192">
        <v>83531.347467730637</v>
      </c>
      <c r="AE419" s="192">
        <v>83531.347467730637</v>
      </c>
      <c r="AF419" s="192">
        <v>83531.347467730637</v>
      </c>
      <c r="AG419" s="192">
        <v>213375.04859540262</v>
      </c>
      <c r="AH419" s="192">
        <v>560154.29501318873</v>
      </c>
      <c r="AI419" s="192">
        <v>83531.347467730637</v>
      </c>
      <c r="AJ419" s="192">
        <v>83531.347467730637</v>
      </c>
      <c r="AK419" s="192">
        <v>213375.04859540262</v>
      </c>
      <c r="AL419" s="192">
        <v>83531.347467730637</v>
      </c>
    </row>
    <row r="420" spans="2:38">
      <c r="B420" s="17" t="s">
        <v>106</v>
      </c>
      <c r="C420" s="446"/>
      <c r="D420" s="12" t="str">
        <f t="shared" ref="D420" si="0">LEFT(E420,1)</f>
        <v/>
      </c>
      <c r="E420" s="17"/>
      <c r="F420" s="17"/>
      <c r="G420" s="17"/>
      <c r="H420" s="17"/>
      <c r="I420" s="16">
        <f t="shared" ref="I420:AL420" si="1">SUM(I4:I419)</f>
        <v>183817726.49501681</v>
      </c>
      <c r="J420" s="16">
        <f t="shared" si="1"/>
        <v>120453392.90038386</v>
      </c>
      <c r="K420" s="16">
        <f t="shared" si="1"/>
        <v>362741838.57309371</v>
      </c>
      <c r="L420" s="16">
        <f t="shared" si="1"/>
        <v>867065029.57098401</v>
      </c>
      <c r="M420" s="16">
        <f t="shared" si="1"/>
        <v>520997677.38776183</v>
      </c>
      <c r="N420" s="16">
        <f t="shared" si="1"/>
        <v>514593762.87287283</v>
      </c>
      <c r="O420" s="16">
        <f t="shared" si="1"/>
        <v>5187536.297820067</v>
      </c>
      <c r="P420" s="16">
        <f t="shared" si="1"/>
        <v>64204629.028505079</v>
      </c>
      <c r="Q420" s="16">
        <f t="shared" si="1"/>
        <v>70927507.709196478</v>
      </c>
      <c r="R420" s="16">
        <f t="shared" si="1"/>
        <v>38766030.452235654</v>
      </c>
      <c r="S420" s="16">
        <f t="shared" si="1"/>
        <v>36458655.926469475</v>
      </c>
      <c r="T420" s="16">
        <f t="shared" si="1"/>
        <v>10677026.796031494</v>
      </c>
      <c r="U420" s="16">
        <f t="shared" si="1"/>
        <v>11370329.22712113</v>
      </c>
      <c r="V420" s="16">
        <f t="shared" si="1"/>
        <v>651514.00422605418</v>
      </c>
      <c r="W420" s="16">
        <f t="shared" si="1"/>
        <v>299005807.27012223</v>
      </c>
      <c r="X420" s="16">
        <f t="shared" si="1"/>
        <v>56213839.25201603</v>
      </c>
      <c r="Y420" s="16">
        <f t="shared" si="1"/>
        <v>127929816.42807397</v>
      </c>
      <c r="Z420" s="16">
        <f t="shared" si="1"/>
        <v>118236452.53706905</v>
      </c>
      <c r="AA420" s="16">
        <f t="shared" si="1"/>
        <v>71715937.981661662</v>
      </c>
      <c r="AB420" s="16">
        <f t="shared" si="1"/>
        <v>24308930.004141118</v>
      </c>
      <c r="AC420" s="16">
        <f t="shared" si="1"/>
        <v>30066432.736040931</v>
      </c>
      <c r="AD420" s="16">
        <f t="shared" si="1"/>
        <v>3138711.0202976097</v>
      </c>
      <c r="AE420" s="16">
        <f t="shared" si="1"/>
        <v>23993877.506959289</v>
      </c>
      <c r="AF420" s="16">
        <f t="shared" si="1"/>
        <v>31373118.943647455</v>
      </c>
      <c r="AG420" s="16">
        <f t="shared" si="1"/>
        <v>57891531.657343693</v>
      </c>
      <c r="AH420" s="16">
        <f t="shared" si="1"/>
        <v>60006816.732877649</v>
      </c>
      <c r="AI420" s="16">
        <f t="shared" si="1"/>
        <v>27736657.190005522</v>
      </c>
      <c r="AJ420" s="16">
        <f t="shared" si="1"/>
        <v>14339154.156224279</v>
      </c>
      <c r="AK420" s="16">
        <f t="shared" si="1"/>
        <v>25651605.76965161</v>
      </c>
      <c r="AL420" s="16">
        <f t="shared" si="1"/>
        <v>35597219.960448906</v>
      </c>
    </row>
    <row r="421" spans="2:38">
      <c r="C421" s="2"/>
    </row>
    <row r="422" spans="2:38" ht="12.75" customHeight="1">
      <c r="C422" s="210"/>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row>
    <row r="423" spans="2:38" ht="12.75" customHeight="1">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row>
    <row r="424" spans="2:38" ht="12.75" customHeight="1">
      <c r="I424" s="3"/>
    </row>
    <row r="426" spans="2:38" ht="12.75" customHeight="1">
      <c r="I426" s="3"/>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B7BC5-805F-4BD6-B063-B80E6E5AA73A}">
  <sheetPr>
    <tabColor theme="5"/>
  </sheetPr>
  <dimension ref="B1:AL2499"/>
  <sheetViews>
    <sheetView showGridLines="0" tabSelected="1" topLeftCell="G1" zoomScale="85" zoomScaleNormal="85" workbookViewId="0">
      <selection activeCell="H30" sqref="H30"/>
    </sheetView>
  </sheetViews>
  <sheetFormatPr defaultColWidth="11.85546875" defaultRowHeight="12.75" customHeight="1"/>
  <cols>
    <col min="1" max="1" width="2.42578125" customWidth="1"/>
    <col min="2" max="2" width="37.7109375" customWidth="1"/>
    <col min="3" max="3" width="31.85546875" customWidth="1"/>
    <col min="4" max="5" width="9.140625" style="218"/>
    <col min="6" max="6" width="53.42578125" bestFit="1" customWidth="1"/>
    <col min="7" max="7" width="53.42578125" customWidth="1"/>
    <col min="8" max="8" width="57" customWidth="1"/>
    <col min="9" max="9" width="21.7109375" style="155" customWidth="1"/>
    <col min="10" max="38" width="17.85546875" style="155" customWidth="1"/>
  </cols>
  <sheetData>
    <row r="1" spans="2:38" ht="12.75" customHeight="1">
      <c r="D1"/>
      <c r="E1"/>
      <c r="I1"/>
      <c r="J1"/>
      <c r="K1"/>
      <c r="L1"/>
      <c r="M1"/>
      <c r="N1"/>
      <c r="O1"/>
      <c r="P1"/>
      <c r="Q1"/>
      <c r="R1"/>
      <c r="S1"/>
      <c r="T1"/>
      <c r="U1"/>
      <c r="V1"/>
      <c r="W1"/>
      <c r="X1"/>
      <c r="Y1"/>
      <c r="Z1"/>
      <c r="AA1"/>
      <c r="AB1"/>
      <c r="AC1"/>
      <c r="AD1"/>
      <c r="AE1"/>
      <c r="AF1"/>
      <c r="AG1"/>
      <c r="AH1"/>
      <c r="AI1"/>
      <c r="AJ1"/>
      <c r="AK1"/>
      <c r="AL1"/>
    </row>
    <row r="2" spans="2:38">
      <c r="B2" s="2" t="s">
        <v>788</v>
      </c>
      <c r="C2" s="2"/>
      <c r="D2"/>
      <c r="E2"/>
      <c r="I2"/>
      <c r="J2"/>
      <c r="K2"/>
      <c r="L2"/>
      <c r="M2"/>
      <c r="N2"/>
      <c r="O2"/>
      <c r="P2"/>
      <c r="Q2"/>
      <c r="R2"/>
      <c r="S2"/>
      <c r="T2"/>
      <c r="U2"/>
      <c r="V2"/>
      <c r="W2"/>
      <c r="X2"/>
      <c r="Y2"/>
      <c r="Z2"/>
      <c r="AA2"/>
      <c r="AB2"/>
      <c r="AC2"/>
      <c r="AD2"/>
      <c r="AE2"/>
      <c r="AF2"/>
      <c r="AG2"/>
      <c r="AH2"/>
      <c r="AI2"/>
      <c r="AJ2"/>
      <c r="AK2"/>
      <c r="AL2"/>
    </row>
    <row r="3" spans="2:38">
      <c r="B3" s="10" t="s">
        <v>541</v>
      </c>
      <c r="C3" s="10" t="s">
        <v>782</v>
      </c>
      <c r="D3" s="10" t="s">
        <v>783</v>
      </c>
      <c r="E3" s="10" t="s">
        <v>784</v>
      </c>
      <c r="F3" s="10" t="s">
        <v>785</v>
      </c>
      <c r="G3" s="10" t="s">
        <v>786</v>
      </c>
      <c r="H3" s="10" t="s">
        <v>787</v>
      </c>
      <c r="I3" s="173" t="s">
        <v>43</v>
      </c>
      <c r="J3" s="173" t="s">
        <v>44</v>
      </c>
      <c r="K3" s="173" t="s">
        <v>45</v>
      </c>
      <c r="L3" s="173" t="s">
        <v>46</v>
      </c>
      <c r="M3" s="173" t="s">
        <v>47</v>
      </c>
      <c r="N3" s="173" t="s">
        <v>48</v>
      </c>
      <c r="O3" s="173" t="s">
        <v>49</v>
      </c>
      <c r="P3" s="173" t="s">
        <v>50</v>
      </c>
      <c r="Q3" s="173" t="s">
        <v>51</v>
      </c>
      <c r="R3" s="173" t="s">
        <v>52</v>
      </c>
      <c r="S3" s="173" t="s">
        <v>53</v>
      </c>
      <c r="T3" s="173" t="s">
        <v>54</v>
      </c>
      <c r="U3" s="173" t="s">
        <v>55</v>
      </c>
      <c r="V3" s="173" t="s">
        <v>56</v>
      </c>
      <c r="W3" s="173" t="s">
        <v>57</v>
      </c>
      <c r="X3" s="173" t="s">
        <v>58</v>
      </c>
      <c r="Y3" s="173" t="s">
        <v>59</v>
      </c>
      <c r="Z3" s="173" t="s">
        <v>60</v>
      </c>
      <c r="AA3" s="173" t="s">
        <v>61</v>
      </c>
      <c r="AB3" s="173" t="s">
        <v>62</v>
      </c>
      <c r="AC3" s="173" t="s">
        <v>63</v>
      </c>
      <c r="AD3" s="173" t="s">
        <v>64</v>
      </c>
      <c r="AE3" s="173" t="s">
        <v>65</v>
      </c>
      <c r="AF3" s="173" t="s">
        <v>66</v>
      </c>
      <c r="AG3" s="173" t="s">
        <v>67</v>
      </c>
      <c r="AH3" s="173" t="s">
        <v>68</v>
      </c>
      <c r="AI3" s="173" t="s">
        <v>69</v>
      </c>
      <c r="AJ3" s="173" t="s">
        <v>70</v>
      </c>
      <c r="AK3" s="173" t="s">
        <v>71</v>
      </c>
      <c r="AL3" s="173" t="s">
        <v>72</v>
      </c>
    </row>
    <row r="4" spans="2:38" ht="12.75" customHeight="1">
      <c r="B4" s="507" t="s">
        <v>115</v>
      </c>
      <c r="C4" s="6" t="s">
        <v>295</v>
      </c>
      <c r="D4" s="12" t="s">
        <v>387</v>
      </c>
      <c r="E4" s="12">
        <v>1</v>
      </c>
      <c r="F4" s="12"/>
      <c r="G4" s="12"/>
      <c r="H4" s="6" t="s">
        <v>74</v>
      </c>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row>
    <row r="5" spans="2:38" ht="12.75" customHeight="1">
      <c r="B5" s="507" t="s">
        <v>115</v>
      </c>
      <c r="C5" s="6" t="s">
        <v>295</v>
      </c>
      <c r="D5" s="12" t="s">
        <v>387</v>
      </c>
      <c r="E5" s="12" t="s">
        <v>789</v>
      </c>
      <c r="F5" s="12">
        <v>1</v>
      </c>
      <c r="G5" s="12">
        <v>0</v>
      </c>
      <c r="H5" s="6" t="s">
        <v>790</v>
      </c>
      <c r="I5" s="190">
        <v>16039523.934561891</v>
      </c>
      <c r="J5" s="190">
        <v>0</v>
      </c>
      <c r="K5" s="190">
        <v>0</v>
      </c>
      <c r="L5" s="190">
        <v>0</v>
      </c>
      <c r="M5" s="190">
        <v>0</v>
      </c>
      <c r="N5" s="190">
        <v>0</v>
      </c>
      <c r="O5" s="190">
        <v>0</v>
      </c>
      <c r="P5" s="190">
        <v>0</v>
      </c>
      <c r="Q5" s="190">
        <v>0</v>
      </c>
      <c r="R5" s="190">
        <v>0</v>
      </c>
      <c r="S5" s="190">
        <v>0</v>
      </c>
      <c r="T5" s="190">
        <v>0</v>
      </c>
      <c r="U5" s="190">
        <v>0</v>
      </c>
      <c r="V5" s="190">
        <v>0</v>
      </c>
      <c r="W5" s="190">
        <v>0</v>
      </c>
      <c r="X5" s="190">
        <v>0</v>
      </c>
      <c r="Y5" s="190">
        <v>0</v>
      </c>
      <c r="Z5" s="190">
        <v>0</v>
      </c>
      <c r="AA5" s="190">
        <v>0</v>
      </c>
      <c r="AB5" s="190">
        <v>0</v>
      </c>
      <c r="AC5" s="190">
        <v>0</v>
      </c>
      <c r="AD5" s="190">
        <v>0</v>
      </c>
      <c r="AE5" s="190">
        <v>0</v>
      </c>
      <c r="AF5" s="190">
        <v>0</v>
      </c>
      <c r="AG5" s="190">
        <v>0</v>
      </c>
      <c r="AH5" s="190">
        <v>0</v>
      </c>
      <c r="AI5" s="190">
        <v>0</v>
      </c>
      <c r="AJ5" s="190">
        <v>0</v>
      </c>
      <c r="AK5" s="190">
        <v>0</v>
      </c>
      <c r="AL5" s="190">
        <v>0</v>
      </c>
    </row>
    <row r="6" spans="2:38" ht="12.75" customHeight="1">
      <c r="B6" s="507" t="s">
        <v>115</v>
      </c>
      <c r="C6" s="6" t="s">
        <v>295</v>
      </c>
      <c r="D6" s="12" t="s">
        <v>387</v>
      </c>
      <c r="E6" s="12" t="s">
        <v>791</v>
      </c>
      <c r="F6" s="6">
        <v>1</v>
      </c>
      <c r="G6" s="6">
        <v>0</v>
      </c>
      <c r="H6" s="6" t="s">
        <v>792</v>
      </c>
      <c r="I6" s="190">
        <v>0</v>
      </c>
      <c r="J6" s="190">
        <v>0</v>
      </c>
      <c r="K6" s="190">
        <v>0</v>
      </c>
      <c r="L6" s="190">
        <v>0</v>
      </c>
      <c r="M6" s="190">
        <v>0</v>
      </c>
      <c r="N6" s="190">
        <v>0</v>
      </c>
      <c r="O6" s="190">
        <v>0</v>
      </c>
      <c r="P6" s="190">
        <v>0</v>
      </c>
      <c r="Q6" s="190">
        <v>0</v>
      </c>
      <c r="R6" s="190">
        <v>0</v>
      </c>
      <c r="S6" s="190">
        <v>0</v>
      </c>
      <c r="T6" s="190">
        <v>0</v>
      </c>
      <c r="U6" s="190">
        <v>0</v>
      </c>
      <c r="V6" s="190">
        <v>0</v>
      </c>
      <c r="W6" s="190">
        <v>0</v>
      </c>
      <c r="X6" s="190">
        <v>0</v>
      </c>
      <c r="Y6" s="190">
        <v>0</v>
      </c>
      <c r="Z6" s="190">
        <v>0</v>
      </c>
      <c r="AA6" s="190">
        <v>0</v>
      </c>
      <c r="AB6" s="190">
        <v>0</v>
      </c>
      <c r="AC6" s="190">
        <v>0</v>
      </c>
      <c r="AD6" s="190">
        <v>0</v>
      </c>
      <c r="AE6" s="190">
        <v>0</v>
      </c>
      <c r="AF6" s="190">
        <v>0</v>
      </c>
      <c r="AG6" s="190">
        <v>0</v>
      </c>
      <c r="AH6" s="190">
        <v>0</v>
      </c>
      <c r="AI6" s="190">
        <v>0</v>
      </c>
      <c r="AJ6" s="190">
        <v>0</v>
      </c>
      <c r="AK6" s="190">
        <v>0</v>
      </c>
      <c r="AL6" s="190">
        <v>0</v>
      </c>
    </row>
    <row r="7" spans="2:38" ht="12.75" customHeight="1">
      <c r="B7" s="507" t="s">
        <v>115</v>
      </c>
      <c r="C7" s="6" t="s">
        <v>295</v>
      </c>
      <c r="D7" s="12" t="s">
        <v>387</v>
      </c>
      <c r="E7" s="12" t="s">
        <v>793</v>
      </c>
      <c r="F7" s="6">
        <v>1</v>
      </c>
      <c r="G7" s="6">
        <v>0</v>
      </c>
      <c r="H7" s="6" t="s">
        <v>794</v>
      </c>
      <c r="I7" s="190">
        <v>963585.00123726949</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0">
        <v>0</v>
      </c>
      <c r="AA7" s="190">
        <v>0</v>
      </c>
      <c r="AB7" s="190">
        <v>0</v>
      </c>
      <c r="AC7" s="190">
        <v>0</v>
      </c>
      <c r="AD7" s="190">
        <v>0</v>
      </c>
      <c r="AE7" s="190">
        <v>0</v>
      </c>
      <c r="AF7" s="190">
        <v>0</v>
      </c>
      <c r="AG7" s="190">
        <v>0</v>
      </c>
      <c r="AH7" s="190">
        <v>0</v>
      </c>
      <c r="AI7" s="190">
        <v>0</v>
      </c>
      <c r="AJ7" s="190">
        <v>0</v>
      </c>
      <c r="AK7" s="190">
        <v>0</v>
      </c>
      <c r="AL7" s="190">
        <v>0</v>
      </c>
    </row>
    <row r="8" spans="2:38" ht="12.75" customHeight="1">
      <c r="B8" s="507" t="s">
        <v>115</v>
      </c>
      <c r="C8" s="6" t="s">
        <v>295</v>
      </c>
      <c r="D8" s="12" t="s">
        <v>387</v>
      </c>
      <c r="E8" s="12" t="s">
        <v>795</v>
      </c>
      <c r="F8" s="6">
        <v>1</v>
      </c>
      <c r="G8" s="6">
        <v>0</v>
      </c>
      <c r="H8" s="6" t="s">
        <v>796</v>
      </c>
      <c r="I8" s="190">
        <v>6590428.9698317982</v>
      </c>
      <c r="J8" s="190">
        <v>0</v>
      </c>
      <c r="K8" s="190">
        <v>0</v>
      </c>
      <c r="L8" s="190">
        <v>0</v>
      </c>
      <c r="M8" s="190">
        <v>0</v>
      </c>
      <c r="N8" s="190">
        <v>0</v>
      </c>
      <c r="O8" s="190">
        <v>0</v>
      </c>
      <c r="P8" s="190">
        <v>0</v>
      </c>
      <c r="Q8" s="190">
        <v>0</v>
      </c>
      <c r="R8" s="190">
        <v>0</v>
      </c>
      <c r="S8" s="190">
        <v>0</v>
      </c>
      <c r="T8" s="190">
        <v>0</v>
      </c>
      <c r="U8" s="190">
        <v>0</v>
      </c>
      <c r="V8" s="190">
        <v>0</v>
      </c>
      <c r="W8" s="190">
        <v>0</v>
      </c>
      <c r="X8" s="190">
        <v>0</v>
      </c>
      <c r="Y8" s="190">
        <v>0</v>
      </c>
      <c r="Z8" s="190">
        <v>0</v>
      </c>
      <c r="AA8" s="190">
        <v>0</v>
      </c>
      <c r="AB8" s="190">
        <v>0</v>
      </c>
      <c r="AC8" s="190">
        <v>0</v>
      </c>
      <c r="AD8" s="190">
        <v>0</v>
      </c>
      <c r="AE8" s="190">
        <v>0</v>
      </c>
      <c r="AF8" s="190">
        <v>0</v>
      </c>
      <c r="AG8" s="190">
        <v>0</v>
      </c>
      <c r="AH8" s="190">
        <v>0</v>
      </c>
      <c r="AI8" s="190">
        <v>0</v>
      </c>
      <c r="AJ8" s="190">
        <v>0</v>
      </c>
      <c r="AK8" s="190">
        <v>0</v>
      </c>
      <c r="AL8" s="190">
        <v>0</v>
      </c>
    </row>
    <row r="9" spans="2:38" ht="12.75" customHeight="1">
      <c r="B9" s="507" t="s">
        <v>115</v>
      </c>
      <c r="C9" s="6" t="s">
        <v>295</v>
      </c>
      <c r="D9" s="12" t="s">
        <v>387</v>
      </c>
      <c r="E9" s="12" t="s">
        <v>797</v>
      </c>
      <c r="F9" s="6">
        <v>1</v>
      </c>
      <c r="G9" s="6">
        <v>0</v>
      </c>
      <c r="H9" s="6" t="s">
        <v>798</v>
      </c>
      <c r="I9" s="190">
        <v>0</v>
      </c>
      <c r="J9" s="190">
        <v>0</v>
      </c>
      <c r="K9" s="190">
        <v>0</v>
      </c>
      <c r="L9" s="190">
        <v>0</v>
      </c>
      <c r="M9" s="190">
        <v>0</v>
      </c>
      <c r="N9" s="190">
        <v>0</v>
      </c>
      <c r="O9" s="190">
        <v>0</v>
      </c>
      <c r="P9" s="190">
        <v>0</v>
      </c>
      <c r="Q9" s="190">
        <v>0</v>
      </c>
      <c r="R9" s="190">
        <v>0</v>
      </c>
      <c r="S9" s="190">
        <v>0</v>
      </c>
      <c r="T9" s="190">
        <v>0</v>
      </c>
      <c r="U9" s="190">
        <v>0</v>
      </c>
      <c r="V9" s="190">
        <v>0</v>
      </c>
      <c r="W9" s="190">
        <v>0</v>
      </c>
      <c r="X9" s="190">
        <v>0</v>
      </c>
      <c r="Y9" s="190">
        <v>0</v>
      </c>
      <c r="Z9" s="190">
        <v>0</v>
      </c>
      <c r="AA9" s="190">
        <v>0</v>
      </c>
      <c r="AB9" s="190">
        <v>0</v>
      </c>
      <c r="AC9" s="190">
        <v>0</v>
      </c>
      <c r="AD9" s="190">
        <v>0</v>
      </c>
      <c r="AE9" s="190">
        <v>0</v>
      </c>
      <c r="AF9" s="190">
        <v>0</v>
      </c>
      <c r="AG9" s="190">
        <v>0</v>
      </c>
      <c r="AH9" s="190">
        <v>0</v>
      </c>
      <c r="AI9" s="190">
        <v>0</v>
      </c>
      <c r="AJ9" s="190">
        <v>0</v>
      </c>
      <c r="AK9" s="190">
        <v>0</v>
      </c>
      <c r="AL9" s="190">
        <v>0</v>
      </c>
    </row>
    <row r="10" spans="2:38" ht="12.75" customHeight="1">
      <c r="B10" s="507" t="s">
        <v>115</v>
      </c>
      <c r="C10" s="6" t="s">
        <v>295</v>
      </c>
      <c r="D10" s="12" t="s">
        <v>387</v>
      </c>
      <c r="E10" s="12" t="s">
        <v>799</v>
      </c>
      <c r="F10" s="6">
        <v>1</v>
      </c>
      <c r="G10" s="6">
        <v>0</v>
      </c>
      <c r="H10" s="6" t="s">
        <v>800</v>
      </c>
      <c r="I10" s="190">
        <v>202264.96340718286</v>
      </c>
      <c r="J10" s="190">
        <v>0</v>
      </c>
      <c r="K10" s="190">
        <v>0</v>
      </c>
      <c r="L10" s="190">
        <v>0</v>
      </c>
      <c r="M10" s="190">
        <v>0</v>
      </c>
      <c r="N10" s="190">
        <v>0</v>
      </c>
      <c r="O10" s="190">
        <v>0</v>
      </c>
      <c r="P10" s="190">
        <v>0</v>
      </c>
      <c r="Q10" s="190">
        <v>0</v>
      </c>
      <c r="R10" s="190">
        <v>0</v>
      </c>
      <c r="S10" s="190">
        <v>0</v>
      </c>
      <c r="T10" s="190">
        <v>0</v>
      </c>
      <c r="U10" s="190">
        <v>0</v>
      </c>
      <c r="V10" s="190">
        <v>0</v>
      </c>
      <c r="W10" s="190">
        <v>0</v>
      </c>
      <c r="X10" s="190">
        <v>0</v>
      </c>
      <c r="Y10" s="190">
        <v>0</v>
      </c>
      <c r="Z10" s="190">
        <v>0</v>
      </c>
      <c r="AA10" s="190">
        <v>0</v>
      </c>
      <c r="AB10" s="190">
        <v>0</v>
      </c>
      <c r="AC10" s="190">
        <v>0</v>
      </c>
      <c r="AD10" s="190">
        <v>0</v>
      </c>
      <c r="AE10" s="190">
        <v>0</v>
      </c>
      <c r="AF10" s="190">
        <v>0</v>
      </c>
      <c r="AG10" s="190">
        <v>0</v>
      </c>
      <c r="AH10" s="190">
        <v>0</v>
      </c>
      <c r="AI10" s="190">
        <v>0</v>
      </c>
      <c r="AJ10" s="190">
        <v>0</v>
      </c>
      <c r="AK10" s="190">
        <v>0</v>
      </c>
      <c r="AL10" s="190">
        <v>0</v>
      </c>
    </row>
    <row r="11" spans="2:38" ht="12.75" customHeight="1">
      <c r="B11" s="507" t="s">
        <v>115</v>
      </c>
      <c r="C11" s="6" t="s">
        <v>295</v>
      </c>
      <c r="D11" s="12" t="s">
        <v>387</v>
      </c>
      <c r="E11" s="12" t="s">
        <v>801</v>
      </c>
      <c r="F11" s="6">
        <v>1</v>
      </c>
      <c r="G11" s="6">
        <v>0</v>
      </c>
      <c r="H11" s="6" t="s">
        <v>802</v>
      </c>
      <c r="I11" s="190">
        <v>217665.66209340666</v>
      </c>
      <c r="J11" s="190">
        <v>0</v>
      </c>
      <c r="K11" s="190">
        <v>0</v>
      </c>
      <c r="L11" s="190">
        <v>0</v>
      </c>
      <c r="M11" s="190">
        <v>0</v>
      </c>
      <c r="N11" s="190">
        <v>0</v>
      </c>
      <c r="O11" s="190">
        <v>0</v>
      </c>
      <c r="P11" s="190">
        <v>0</v>
      </c>
      <c r="Q11" s="190">
        <v>0</v>
      </c>
      <c r="R11" s="190">
        <v>0</v>
      </c>
      <c r="S11" s="190">
        <v>0</v>
      </c>
      <c r="T11" s="190">
        <v>0</v>
      </c>
      <c r="U11" s="190">
        <v>0</v>
      </c>
      <c r="V11" s="190">
        <v>0</v>
      </c>
      <c r="W11" s="190">
        <v>0</v>
      </c>
      <c r="X11" s="190">
        <v>0</v>
      </c>
      <c r="Y11" s="190">
        <v>0</v>
      </c>
      <c r="Z11" s="190">
        <v>0</v>
      </c>
      <c r="AA11" s="190">
        <v>0</v>
      </c>
      <c r="AB11" s="190">
        <v>0</v>
      </c>
      <c r="AC11" s="190">
        <v>0</v>
      </c>
      <c r="AD11" s="190">
        <v>0</v>
      </c>
      <c r="AE11" s="190">
        <v>0</v>
      </c>
      <c r="AF11" s="190">
        <v>0</v>
      </c>
      <c r="AG11" s="190">
        <v>0</v>
      </c>
      <c r="AH11" s="190">
        <v>0</v>
      </c>
      <c r="AI11" s="190">
        <v>0</v>
      </c>
      <c r="AJ11" s="190">
        <v>0</v>
      </c>
      <c r="AK11" s="190">
        <v>0</v>
      </c>
      <c r="AL11" s="190">
        <v>0</v>
      </c>
    </row>
    <row r="12" spans="2:38" ht="12.75" customHeight="1">
      <c r="B12" s="507" t="s">
        <v>115</v>
      </c>
      <c r="C12" s="6" t="s">
        <v>295</v>
      </c>
      <c r="D12" s="12" t="s">
        <v>387</v>
      </c>
      <c r="E12" s="12" t="s">
        <v>803</v>
      </c>
      <c r="F12" s="6">
        <v>1</v>
      </c>
      <c r="G12" s="6">
        <v>0</v>
      </c>
      <c r="H12" s="6" t="s">
        <v>804</v>
      </c>
      <c r="I12" s="190">
        <v>295365.66293291806</v>
      </c>
      <c r="J12" s="190">
        <v>0</v>
      </c>
      <c r="K12" s="190">
        <v>0</v>
      </c>
      <c r="L12" s="190">
        <v>0</v>
      </c>
      <c r="M12" s="190">
        <v>0</v>
      </c>
      <c r="N12" s="190">
        <v>0</v>
      </c>
      <c r="O12" s="190">
        <v>0</v>
      </c>
      <c r="P12" s="190">
        <v>0</v>
      </c>
      <c r="Q12" s="190">
        <v>0</v>
      </c>
      <c r="R12" s="190">
        <v>0</v>
      </c>
      <c r="S12" s="190">
        <v>0</v>
      </c>
      <c r="T12" s="190">
        <v>0</v>
      </c>
      <c r="U12" s="190">
        <v>0</v>
      </c>
      <c r="V12" s="190">
        <v>0</v>
      </c>
      <c r="W12" s="190">
        <v>0</v>
      </c>
      <c r="X12" s="190">
        <v>0</v>
      </c>
      <c r="Y12" s="190">
        <v>0</v>
      </c>
      <c r="Z12" s="190">
        <v>0</v>
      </c>
      <c r="AA12" s="190">
        <v>0</v>
      </c>
      <c r="AB12" s="190">
        <v>0</v>
      </c>
      <c r="AC12" s="190">
        <v>0</v>
      </c>
      <c r="AD12" s="190">
        <v>0</v>
      </c>
      <c r="AE12" s="190">
        <v>0</v>
      </c>
      <c r="AF12" s="190">
        <v>0</v>
      </c>
      <c r="AG12" s="190">
        <v>0</v>
      </c>
      <c r="AH12" s="190">
        <v>0</v>
      </c>
      <c r="AI12" s="190">
        <v>0</v>
      </c>
      <c r="AJ12" s="190">
        <v>0</v>
      </c>
      <c r="AK12" s="190">
        <v>0</v>
      </c>
      <c r="AL12" s="190">
        <v>0</v>
      </c>
    </row>
    <row r="13" spans="2:38" ht="12.75" customHeight="1">
      <c r="B13" s="507" t="s">
        <v>115</v>
      </c>
      <c r="C13" s="6" t="s">
        <v>295</v>
      </c>
      <c r="D13" s="12" t="s">
        <v>387</v>
      </c>
      <c r="E13" s="12" t="s">
        <v>805</v>
      </c>
      <c r="F13" s="6">
        <v>1</v>
      </c>
      <c r="G13" s="6">
        <v>0</v>
      </c>
      <c r="H13" s="6" t="s">
        <v>806</v>
      </c>
      <c r="I13" s="190">
        <v>74441.752446507788</v>
      </c>
      <c r="J13" s="190">
        <v>0</v>
      </c>
      <c r="K13" s="190">
        <v>0</v>
      </c>
      <c r="L13" s="190">
        <v>0</v>
      </c>
      <c r="M13" s="190">
        <v>0</v>
      </c>
      <c r="N13" s="190">
        <v>0</v>
      </c>
      <c r="O13" s="190">
        <v>0</v>
      </c>
      <c r="P13" s="190">
        <v>0</v>
      </c>
      <c r="Q13" s="190">
        <v>0</v>
      </c>
      <c r="R13" s="190">
        <v>0</v>
      </c>
      <c r="S13" s="190">
        <v>0</v>
      </c>
      <c r="T13" s="190">
        <v>0</v>
      </c>
      <c r="U13" s="190">
        <v>0</v>
      </c>
      <c r="V13" s="190">
        <v>0</v>
      </c>
      <c r="W13" s="190">
        <v>0</v>
      </c>
      <c r="X13" s="190">
        <v>0</v>
      </c>
      <c r="Y13" s="190">
        <v>0</v>
      </c>
      <c r="Z13" s="190">
        <v>0</v>
      </c>
      <c r="AA13" s="190">
        <v>0</v>
      </c>
      <c r="AB13" s="190">
        <v>0</v>
      </c>
      <c r="AC13" s="190">
        <v>0</v>
      </c>
      <c r="AD13" s="190">
        <v>0</v>
      </c>
      <c r="AE13" s="190">
        <v>0</v>
      </c>
      <c r="AF13" s="190">
        <v>0</v>
      </c>
      <c r="AG13" s="190">
        <v>0</v>
      </c>
      <c r="AH13" s="190">
        <v>0</v>
      </c>
      <c r="AI13" s="190">
        <v>0</v>
      </c>
      <c r="AJ13" s="190">
        <v>0</v>
      </c>
      <c r="AK13" s="190">
        <v>0</v>
      </c>
      <c r="AL13" s="190">
        <v>0</v>
      </c>
    </row>
    <row r="14" spans="2:38" ht="12.75" customHeight="1">
      <c r="B14" s="507" t="s">
        <v>115</v>
      </c>
      <c r="C14" s="6" t="s">
        <v>295</v>
      </c>
      <c r="D14" s="12" t="s">
        <v>387</v>
      </c>
      <c r="E14" s="12" t="s">
        <v>807</v>
      </c>
      <c r="F14" s="6">
        <v>1</v>
      </c>
      <c r="G14" s="6">
        <v>0</v>
      </c>
      <c r="H14" s="6" t="s">
        <v>808</v>
      </c>
      <c r="I14" s="190">
        <v>1392.7811748056297</v>
      </c>
      <c r="J14" s="190">
        <v>0</v>
      </c>
      <c r="K14" s="190">
        <v>0</v>
      </c>
      <c r="L14" s="190">
        <v>0</v>
      </c>
      <c r="M14" s="190">
        <v>0</v>
      </c>
      <c r="N14" s="190">
        <v>0</v>
      </c>
      <c r="O14" s="190">
        <v>0</v>
      </c>
      <c r="P14" s="190">
        <v>0</v>
      </c>
      <c r="Q14" s="190">
        <v>0</v>
      </c>
      <c r="R14" s="190">
        <v>0</v>
      </c>
      <c r="S14" s="190">
        <v>0</v>
      </c>
      <c r="T14" s="190">
        <v>0</v>
      </c>
      <c r="U14" s="190">
        <v>0</v>
      </c>
      <c r="V14" s="190">
        <v>0</v>
      </c>
      <c r="W14" s="190">
        <v>0</v>
      </c>
      <c r="X14" s="190">
        <v>0</v>
      </c>
      <c r="Y14" s="190">
        <v>0</v>
      </c>
      <c r="Z14" s="190">
        <v>0</v>
      </c>
      <c r="AA14" s="190">
        <v>0</v>
      </c>
      <c r="AB14" s="190">
        <v>0</v>
      </c>
      <c r="AC14" s="190">
        <v>0</v>
      </c>
      <c r="AD14" s="190">
        <v>0</v>
      </c>
      <c r="AE14" s="190">
        <v>0</v>
      </c>
      <c r="AF14" s="190">
        <v>0</v>
      </c>
      <c r="AG14" s="190">
        <v>0</v>
      </c>
      <c r="AH14" s="190">
        <v>0</v>
      </c>
      <c r="AI14" s="190">
        <v>0</v>
      </c>
      <c r="AJ14" s="190">
        <v>0</v>
      </c>
      <c r="AK14" s="190">
        <v>0</v>
      </c>
      <c r="AL14" s="190">
        <v>0</v>
      </c>
    </row>
    <row r="15" spans="2:38" ht="12.75" customHeight="1">
      <c r="B15" s="507" t="s">
        <v>115</v>
      </c>
      <c r="C15" s="6" t="s">
        <v>295</v>
      </c>
      <c r="D15" s="12" t="s">
        <v>387</v>
      </c>
      <c r="E15" s="12" t="s">
        <v>809</v>
      </c>
      <c r="F15" s="6">
        <v>1</v>
      </c>
      <c r="G15" s="6">
        <v>0</v>
      </c>
      <c r="H15" s="6" t="s">
        <v>810</v>
      </c>
      <c r="I15" s="190">
        <v>600336.71327828872</v>
      </c>
      <c r="J15" s="190">
        <v>0</v>
      </c>
      <c r="K15" s="190">
        <v>0</v>
      </c>
      <c r="L15" s="190">
        <v>0</v>
      </c>
      <c r="M15" s="190">
        <v>0</v>
      </c>
      <c r="N15" s="190">
        <v>0</v>
      </c>
      <c r="O15" s="190">
        <v>0</v>
      </c>
      <c r="P15" s="190">
        <v>0</v>
      </c>
      <c r="Q15" s="190">
        <v>0</v>
      </c>
      <c r="R15" s="190">
        <v>0</v>
      </c>
      <c r="S15" s="190">
        <v>0</v>
      </c>
      <c r="T15" s="190">
        <v>0</v>
      </c>
      <c r="U15" s="190">
        <v>0</v>
      </c>
      <c r="V15" s="190">
        <v>0</v>
      </c>
      <c r="W15" s="190">
        <v>0</v>
      </c>
      <c r="X15" s="190">
        <v>0</v>
      </c>
      <c r="Y15" s="190">
        <v>0</v>
      </c>
      <c r="Z15" s="190">
        <v>0</v>
      </c>
      <c r="AA15" s="190">
        <v>0</v>
      </c>
      <c r="AB15" s="190">
        <v>0</v>
      </c>
      <c r="AC15" s="190">
        <v>0</v>
      </c>
      <c r="AD15" s="190">
        <v>0</v>
      </c>
      <c r="AE15" s="190">
        <v>0</v>
      </c>
      <c r="AF15" s="190">
        <v>0</v>
      </c>
      <c r="AG15" s="190">
        <v>0</v>
      </c>
      <c r="AH15" s="190">
        <v>0</v>
      </c>
      <c r="AI15" s="190">
        <v>0</v>
      </c>
      <c r="AJ15" s="190">
        <v>0</v>
      </c>
      <c r="AK15" s="190">
        <v>0</v>
      </c>
      <c r="AL15" s="190">
        <v>0</v>
      </c>
    </row>
    <row r="16" spans="2:38" ht="12.75" customHeight="1">
      <c r="B16" s="507" t="s">
        <v>115</v>
      </c>
      <c r="C16" s="6" t="s">
        <v>295</v>
      </c>
      <c r="D16" s="12" t="s">
        <v>415</v>
      </c>
      <c r="E16" s="12">
        <v>2</v>
      </c>
      <c r="F16" s="6"/>
      <c r="G16" s="6"/>
      <c r="H16" s="6" t="s">
        <v>75</v>
      </c>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row>
    <row r="17" spans="2:38" ht="12.75" customHeight="1">
      <c r="B17" s="507" t="s">
        <v>115</v>
      </c>
      <c r="C17" s="6" t="s">
        <v>295</v>
      </c>
      <c r="D17" s="12" t="s">
        <v>415</v>
      </c>
      <c r="E17" s="12" t="s">
        <v>811</v>
      </c>
      <c r="F17" s="6">
        <v>1</v>
      </c>
      <c r="G17" s="6">
        <v>0</v>
      </c>
      <c r="H17" s="6" t="s">
        <v>790</v>
      </c>
      <c r="I17" s="190">
        <v>0</v>
      </c>
      <c r="J17" s="190">
        <v>16974091.099283185</v>
      </c>
      <c r="K17" s="190">
        <v>18561557.519360438</v>
      </c>
      <c r="L17" s="190">
        <v>23431967.062616576</v>
      </c>
      <c r="M17" s="190">
        <v>14784354.44434241</v>
      </c>
      <c r="N17" s="190">
        <v>0</v>
      </c>
      <c r="O17" s="190">
        <v>0</v>
      </c>
      <c r="P17" s="190">
        <v>0</v>
      </c>
      <c r="Q17" s="190">
        <v>0</v>
      </c>
      <c r="R17" s="190">
        <v>0</v>
      </c>
      <c r="S17" s="190">
        <v>0</v>
      </c>
      <c r="T17" s="190">
        <v>0</v>
      </c>
      <c r="U17" s="190">
        <v>0</v>
      </c>
      <c r="V17" s="190">
        <v>0</v>
      </c>
      <c r="W17" s="190">
        <v>0</v>
      </c>
      <c r="X17" s="190">
        <v>0</v>
      </c>
      <c r="Y17" s="190">
        <v>0</v>
      </c>
      <c r="Z17" s="190">
        <v>0</v>
      </c>
      <c r="AA17" s="190">
        <v>0</v>
      </c>
      <c r="AB17" s="190">
        <v>0</v>
      </c>
      <c r="AC17" s="190">
        <v>0</v>
      </c>
      <c r="AD17" s="190">
        <v>0</v>
      </c>
      <c r="AE17" s="190">
        <v>0</v>
      </c>
      <c r="AF17" s="190">
        <v>0</v>
      </c>
      <c r="AG17" s="190">
        <v>0</v>
      </c>
      <c r="AH17" s="190">
        <v>0</v>
      </c>
      <c r="AI17" s="190">
        <v>0</v>
      </c>
      <c r="AJ17" s="190">
        <v>0</v>
      </c>
      <c r="AK17" s="190">
        <v>0</v>
      </c>
      <c r="AL17" s="190">
        <v>0</v>
      </c>
    </row>
    <row r="18" spans="2:38" ht="12.75" customHeight="1">
      <c r="B18" s="507" t="s">
        <v>115</v>
      </c>
      <c r="C18" s="6" t="s">
        <v>295</v>
      </c>
      <c r="D18" s="12" t="s">
        <v>415</v>
      </c>
      <c r="E18" s="12" t="s">
        <v>812</v>
      </c>
      <c r="F18" s="6">
        <v>1</v>
      </c>
      <c r="G18" s="6">
        <v>0</v>
      </c>
      <c r="H18" s="6" t="s">
        <v>792</v>
      </c>
      <c r="I18" s="190">
        <v>0</v>
      </c>
      <c r="J18" s="190">
        <v>16949978.711169764</v>
      </c>
      <c r="K18" s="190">
        <v>2129309.289135824</v>
      </c>
      <c r="L18" s="190">
        <v>57730.545285999993</v>
      </c>
      <c r="M18" s="190">
        <v>0</v>
      </c>
      <c r="N18" s="190">
        <v>0</v>
      </c>
      <c r="O18" s="190">
        <v>0</v>
      </c>
      <c r="P18" s="190">
        <v>0</v>
      </c>
      <c r="Q18" s="190">
        <v>0</v>
      </c>
      <c r="R18" s="190">
        <v>0</v>
      </c>
      <c r="S18" s="190">
        <v>0</v>
      </c>
      <c r="T18" s="190">
        <v>0</v>
      </c>
      <c r="U18" s="190">
        <v>0</v>
      </c>
      <c r="V18" s="190">
        <v>0</v>
      </c>
      <c r="W18" s="190">
        <v>0</v>
      </c>
      <c r="X18" s="190">
        <v>0</v>
      </c>
      <c r="Y18" s="190">
        <v>0</v>
      </c>
      <c r="Z18" s="190">
        <v>0</v>
      </c>
      <c r="AA18" s="190">
        <v>0</v>
      </c>
      <c r="AB18" s="190">
        <v>0</v>
      </c>
      <c r="AC18" s="190">
        <v>0</v>
      </c>
      <c r="AD18" s="190">
        <v>0</v>
      </c>
      <c r="AE18" s="190">
        <v>0</v>
      </c>
      <c r="AF18" s="190">
        <v>0</v>
      </c>
      <c r="AG18" s="190">
        <v>0</v>
      </c>
      <c r="AH18" s="190">
        <v>0</v>
      </c>
      <c r="AI18" s="190">
        <v>0</v>
      </c>
      <c r="AJ18" s="190">
        <v>0</v>
      </c>
      <c r="AK18" s="190">
        <v>0</v>
      </c>
      <c r="AL18" s="190">
        <v>0</v>
      </c>
    </row>
    <row r="19" spans="2:38" ht="12.75" customHeight="1">
      <c r="B19" s="507" t="s">
        <v>115</v>
      </c>
      <c r="C19" s="6" t="s">
        <v>295</v>
      </c>
      <c r="D19" s="12" t="s">
        <v>415</v>
      </c>
      <c r="E19" s="12" t="s">
        <v>813</v>
      </c>
      <c r="F19" s="6">
        <v>1</v>
      </c>
      <c r="G19" s="6">
        <v>0</v>
      </c>
      <c r="H19" s="6" t="s">
        <v>794</v>
      </c>
      <c r="I19" s="190">
        <v>0</v>
      </c>
      <c r="J19" s="190">
        <v>595188.46965080302</v>
      </c>
      <c r="K19" s="190">
        <v>595188.46965080302</v>
      </c>
      <c r="L19" s="190">
        <v>595188.46965080302</v>
      </c>
      <c r="M19" s="190">
        <v>595188.46965080302</v>
      </c>
      <c r="N19" s="190">
        <v>0</v>
      </c>
      <c r="O19" s="190">
        <v>0</v>
      </c>
      <c r="P19" s="190">
        <v>0</v>
      </c>
      <c r="Q19" s="190">
        <v>0</v>
      </c>
      <c r="R19" s="190">
        <v>0</v>
      </c>
      <c r="S19" s="190">
        <v>0</v>
      </c>
      <c r="T19" s="190">
        <v>0</v>
      </c>
      <c r="U19" s="190">
        <v>0</v>
      </c>
      <c r="V19" s="190">
        <v>0</v>
      </c>
      <c r="W19" s="190">
        <v>0</v>
      </c>
      <c r="X19" s="190">
        <v>0</v>
      </c>
      <c r="Y19" s="190">
        <v>0</v>
      </c>
      <c r="Z19" s="190">
        <v>0</v>
      </c>
      <c r="AA19" s="190">
        <v>0</v>
      </c>
      <c r="AB19" s="190">
        <v>0</v>
      </c>
      <c r="AC19" s="190">
        <v>0</v>
      </c>
      <c r="AD19" s="190">
        <v>0</v>
      </c>
      <c r="AE19" s="190">
        <v>0</v>
      </c>
      <c r="AF19" s="190">
        <v>0</v>
      </c>
      <c r="AG19" s="190">
        <v>0</v>
      </c>
      <c r="AH19" s="190">
        <v>0</v>
      </c>
      <c r="AI19" s="190">
        <v>0</v>
      </c>
      <c r="AJ19" s="190">
        <v>0</v>
      </c>
      <c r="AK19" s="190">
        <v>0</v>
      </c>
      <c r="AL19" s="190">
        <v>0</v>
      </c>
    </row>
    <row r="20" spans="2:38" ht="12.75" customHeight="1">
      <c r="B20" s="507" t="s">
        <v>115</v>
      </c>
      <c r="C20" s="6" t="s">
        <v>295</v>
      </c>
      <c r="D20" s="12" t="s">
        <v>415</v>
      </c>
      <c r="E20" s="12" t="s">
        <v>814</v>
      </c>
      <c r="F20" s="6">
        <v>1</v>
      </c>
      <c r="G20" s="6">
        <v>0</v>
      </c>
      <c r="H20" s="6" t="s">
        <v>796</v>
      </c>
      <c r="I20" s="190">
        <v>0</v>
      </c>
      <c r="J20" s="190">
        <v>3650114.1152433529</v>
      </c>
      <c r="K20" s="190">
        <v>3650114.1152433529</v>
      </c>
      <c r="L20" s="190">
        <v>3650114.1152433529</v>
      </c>
      <c r="M20" s="190">
        <v>3591651.7652433529</v>
      </c>
      <c r="N20" s="190">
        <v>0</v>
      </c>
      <c r="O20" s="190">
        <v>0</v>
      </c>
      <c r="P20" s="190">
        <v>0</v>
      </c>
      <c r="Q20" s="190">
        <v>0</v>
      </c>
      <c r="R20" s="190">
        <v>0</v>
      </c>
      <c r="S20" s="190">
        <v>0</v>
      </c>
      <c r="T20" s="190">
        <v>0</v>
      </c>
      <c r="U20" s="190">
        <v>0</v>
      </c>
      <c r="V20" s="190">
        <v>0</v>
      </c>
      <c r="W20" s="190">
        <v>0</v>
      </c>
      <c r="X20" s="190">
        <v>0</v>
      </c>
      <c r="Y20" s="190">
        <v>0</v>
      </c>
      <c r="Z20" s="190">
        <v>0</v>
      </c>
      <c r="AA20" s="190">
        <v>0</v>
      </c>
      <c r="AB20" s="190">
        <v>0</v>
      </c>
      <c r="AC20" s="190">
        <v>0</v>
      </c>
      <c r="AD20" s="190">
        <v>0</v>
      </c>
      <c r="AE20" s="190">
        <v>0</v>
      </c>
      <c r="AF20" s="190">
        <v>0</v>
      </c>
      <c r="AG20" s="190">
        <v>0</v>
      </c>
      <c r="AH20" s="190">
        <v>0</v>
      </c>
      <c r="AI20" s="190">
        <v>0</v>
      </c>
      <c r="AJ20" s="190">
        <v>0</v>
      </c>
      <c r="AK20" s="190">
        <v>0</v>
      </c>
      <c r="AL20" s="190">
        <v>0</v>
      </c>
    </row>
    <row r="21" spans="2:38" ht="12.75" customHeight="1">
      <c r="B21" s="507" t="s">
        <v>115</v>
      </c>
      <c r="C21" s="6" t="s">
        <v>295</v>
      </c>
      <c r="D21" s="12" t="s">
        <v>415</v>
      </c>
      <c r="E21" s="12" t="s">
        <v>815</v>
      </c>
      <c r="F21" s="6">
        <v>1</v>
      </c>
      <c r="G21" s="6">
        <v>0</v>
      </c>
      <c r="H21" s="6" t="s">
        <v>798</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0">
        <v>0</v>
      </c>
      <c r="AA21" s="190">
        <v>0</v>
      </c>
      <c r="AB21" s="190">
        <v>0</v>
      </c>
      <c r="AC21" s="190">
        <v>0</v>
      </c>
      <c r="AD21" s="190">
        <v>0</v>
      </c>
      <c r="AE21" s="190">
        <v>0</v>
      </c>
      <c r="AF21" s="190">
        <v>0</v>
      </c>
      <c r="AG21" s="190">
        <v>0</v>
      </c>
      <c r="AH21" s="190">
        <v>0</v>
      </c>
      <c r="AI21" s="190">
        <v>0</v>
      </c>
      <c r="AJ21" s="190">
        <v>0</v>
      </c>
      <c r="AK21" s="190">
        <v>0</v>
      </c>
      <c r="AL21" s="190">
        <v>0</v>
      </c>
    </row>
    <row r="22" spans="2:38" ht="12.75" customHeight="1">
      <c r="B22" s="507" t="s">
        <v>115</v>
      </c>
      <c r="C22" s="6" t="s">
        <v>295</v>
      </c>
      <c r="D22" s="12" t="s">
        <v>415</v>
      </c>
      <c r="E22" s="12" t="s">
        <v>816</v>
      </c>
      <c r="F22" s="6">
        <v>1</v>
      </c>
      <c r="G22" s="6">
        <v>0</v>
      </c>
      <c r="H22" s="6" t="s">
        <v>800</v>
      </c>
      <c r="I22" s="190">
        <v>0</v>
      </c>
      <c r="J22" s="190">
        <v>168369.18</v>
      </c>
      <c r="K22" s="190">
        <v>168369.18</v>
      </c>
      <c r="L22" s="190">
        <v>29566.129999999997</v>
      </c>
      <c r="M22" s="190">
        <v>21123.214799999998</v>
      </c>
      <c r="N22" s="190">
        <v>0</v>
      </c>
      <c r="O22" s="190">
        <v>0</v>
      </c>
      <c r="P22" s="190">
        <v>0</v>
      </c>
      <c r="Q22" s="190">
        <v>0</v>
      </c>
      <c r="R22" s="190">
        <v>0</v>
      </c>
      <c r="S22" s="190">
        <v>0</v>
      </c>
      <c r="T22" s="190">
        <v>0</v>
      </c>
      <c r="U22" s="190">
        <v>0</v>
      </c>
      <c r="V22" s="190">
        <v>0</v>
      </c>
      <c r="W22" s="190">
        <v>0</v>
      </c>
      <c r="X22" s="190">
        <v>0</v>
      </c>
      <c r="Y22" s="190">
        <v>0</v>
      </c>
      <c r="Z22" s="190">
        <v>0</v>
      </c>
      <c r="AA22" s="190">
        <v>0</v>
      </c>
      <c r="AB22" s="190">
        <v>0</v>
      </c>
      <c r="AC22" s="190">
        <v>0</v>
      </c>
      <c r="AD22" s="190">
        <v>0</v>
      </c>
      <c r="AE22" s="190">
        <v>0</v>
      </c>
      <c r="AF22" s="190">
        <v>0</v>
      </c>
      <c r="AG22" s="190">
        <v>0</v>
      </c>
      <c r="AH22" s="190">
        <v>0</v>
      </c>
      <c r="AI22" s="190">
        <v>0</v>
      </c>
      <c r="AJ22" s="190">
        <v>0</v>
      </c>
      <c r="AK22" s="190">
        <v>0</v>
      </c>
      <c r="AL22" s="190">
        <v>0</v>
      </c>
    </row>
    <row r="23" spans="2:38" ht="12.75" customHeight="1">
      <c r="B23" s="507" t="s">
        <v>115</v>
      </c>
      <c r="C23" s="6" t="s">
        <v>295</v>
      </c>
      <c r="D23" s="12" t="s">
        <v>415</v>
      </c>
      <c r="E23" s="12" t="s">
        <v>817</v>
      </c>
      <c r="F23" s="6">
        <v>1</v>
      </c>
      <c r="G23" s="6">
        <v>0</v>
      </c>
      <c r="H23" s="6" t="s">
        <v>802</v>
      </c>
      <c r="I23" s="190">
        <v>0</v>
      </c>
      <c r="J23" s="190">
        <v>809350.1067289745</v>
      </c>
      <c r="K23" s="190">
        <v>809350.1067289745</v>
      </c>
      <c r="L23" s="190">
        <v>809350.1067289745</v>
      </c>
      <c r="M23" s="190">
        <v>809350.1067289745</v>
      </c>
      <c r="N23" s="190">
        <v>2.8539302409572982E-2</v>
      </c>
      <c r="O23" s="190">
        <v>0</v>
      </c>
      <c r="P23" s="190">
        <v>0</v>
      </c>
      <c r="Q23" s="190">
        <v>0</v>
      </c>
      <c r="R23" s="190">
        <v>0</v>
      </c>
      <c r="S23" s="190">
        <v>0</v>
      </c>
      <c r="T23" s="190">
        <v>0</v>
      </c>
      <c r="U23" s="190">
        <v>0</v>
      </c>
      <c r="V23" s="190">
        <v>0</v>
      </c>
      <c r="W23" s="190">
        <v>0</v>
      </c>
      <c r="X23" s="190">
        <v>0</v>
      </c>
      <c r="Y23" s="190">
        <v>0</v>
      </c>
      <c r="Z23" s="190">
        <v>0</v>
      </c>
      <c r="AA23" s="190">
        <v>0</v>
      </c>
      <c r="AB23" s="190">
        <v>0</v>
      </c>
      <c r="AC23" s="190">
        <v>0</v>
      </c>
      <c r="AD23" s="190">
        <v>0</v>
      </c>
      <c r="AE23" s="190">
        <v>0</v>
      </c>
      <c r="AF23" s="190">
        <v>0</v>
      </c>
      <c r="AG23" s="190">
        <v>0</v>
      </c>
      <c r="AH23" s="190">
        <v>0</v>
      </c>
      <c r="AI23" s="190">
        <v>0</v>
      </c>
      <c r="AJ23" s="190">
        <v>0</v>
      </c>
      <c r="AK23" s="190">
        <v>0</v>
      </c>
      <c r="AL23" s="190">
        <v>0</v>
      </c>
    </row>
    <row r="24" spans="2:38" ht="12.75" customHeight="1">
      <c r="B24" s="507" t="s">
        <v>115</v>
      </c>
      <c r="C24" s="6" t="s">
        <v>295</v>
      </c>
      <c r="D24" s="12" t="s">
        <v>415</v>
      </c>
      <c r="E24" s="12" t="s">
        <v>818</v>
      </c>
      <c r="F24" s="6">
        <v>1</v>
      </c>
      <c r="G24" s="6">
        <v>0</v>
      </c>
      <c r="H24" s="6" t="s">
        <v>804</v>
      </c>
      <c r="I24" s="190">
        <v>0</v>
      </c>
      <c r="J24" s="190">
        <v>481509.22768953582</v>
      </c>
      <c r="K24" s="190">
        <v>318740.83076546853</v>
      </c>
      <c r="L24" s="190">
        <v>351459.17208316614</v>
      </c>
      <c r="M24" s="190">
        <v>243560.51640941613</v>
      </c>
      <c r="N24" s="190">
        <v>0</v>
      </c>
      <c r="O24" s="190">
        <v>0</v>
      </c>
      <c r="P24" s="190">
        <v>0</v>
      </c>
      <c r="Q24" s="190">
        <v>0</v>
      </c>
      <c r="R24" s="190">
        <v>0</v>
      </c>
      <c r="S24" s="190">
        <v>0</v>
      </c>
      <c r="T24" s="190">
        <v>0</v>
      </c>
      <c r="U24" s="190">
        <v>0</v>
      </c>
      <c r="V24" s="190">
        <v>0</v>
      </c>
      <c r="W24" s="190">
        <v>0</v>
      </c>
      <c r="X24" s="190">
        <v>0</v>
      </c>
      <c r="Y24" s="190">
        <v>0</v>
      </c>
      <c r="Z24" s="190">
        <v>0</v>
      </c>
      <c r="AA24" s="190">
        <v>0</v>
      </c>
      <c r="AB24" s="190">
        <v>0</v>
      </c>
      <c r="AC24" s="190">
        <v>0</v>
      </c>
      <c r="AD24" s="190">
        <v>0</v>
      </c>
      <c r="AE24" s="190">
        <v>0</v>
      </c>
      <c r="AF24" s="190">
        <v>0</v>
      </c>
      <c r="AG24" s="190">
        <v>0</v>
      </c>
      <c r="AH24" s="190">
        <v>0</v>
      </c>
      <c r="AI24" s="190">
        <v>0</v>
      </c>
      <c r="AJ24" s="190">
        <v>0</v>
      </c>
      <c r="AK24" s="190">
        <v>0</v>
      </c>
      <c r="AL24" s="190">
        <v>0</v>
      </c>
    </row>
    <row r="25" spans="2:38" ht="12.75" customHeight="1">
      <c r="B25" s="507" t="s">
        <v>115</v>
      </c>
      <c r="C25" s="6" t="s">
        <v>295</v>
      </c>
      <c r="D25" s="12" t="s">
        <v>415</v>
      </c>
      <c r="E25" s="12" t="s">
        <v>819</v>
      </c>
      <c r="F25" s="6">
        <v>1</v>
      </c>
      <c r="G25" s="6">
        <v>0</v>
      </c>
      <c r="H25" s="6" t="s">
        <v>806</v>
      </c>
      <c r="I25" s="190">
        <v>0</v>
      </c>
      <c r="J25" s="190">
        <v>121355.98421443586</v>
      </c>
      <c r="K25" s="190">
        <v>80333.054908370104</v>
      </c>
      <c r="L25" s="190">
        <v>88579.140931529677</v>
      </c>
      <c r="M25" s="190">
        <v>61385.17080237317</v>
      </c>
      <c r="N25" s="190">
        <v>0</v>
      </c>
      <c r="O25" s="190">
        <v>0</v>
      </c>
      <c r="P25" s="190">
        <v>0</v>
      </c>
      <c r="Q25" s="190">
        <v>0</v>
      </c>
      <c r="R25" s="190">
        <v>0</v>
      </c>
      <c r="S25" s="190">
        <v>0</v>
      </c>
      <c r="T25" s="190">
        <v>0</v>
      </c>
      <c r="U25" s="190">
        <v>0</v>
      </c>
      <c r="V25" s="190">
        <v>0</v>
      </c>
      <c r="W25" s="190">
        <v>0</v>
      </c>
      <c r="X25" s="190">
        <v>0</v>
      </c>
      <c r="Y25" s="190">
        <v>0</v>
      </c>
      <c r="Z25" s="190">
        <v>0</v>
      </c>
      <c r="AA25" s="190">
        <v>0</v>
      </c>
      <c r="AB25" s="190">
        <v>0</v>
      </c>
      <c r="AC25" s="190">
        <v>0</v>
      </c>
      <c r="AD25" s="190">
        <v>0</v>
      </c>
      <c r="AE25" s="190">
        <v>0</v>
      </c>
      <c r="AF25" s="190">
        <v>0</v>
      </c>
      <c r="AG25" s="190">
        <v>0</v>
      </c>
      <c r="AH25" s="190">
        <v>0</v>
      </c>
      <c r="AI25" s="190">
        <v>0</v>
      </c>
      <c r="AJ25" s="190">
        <v>0</v>
      </c>
      <c r="AK25" s="190">
        <v>0</v>
      </c>
      <c r="AL25" s="190">
        <v>0</v>
      </c>
    </row>
    <row r="26" spans="2:38" ht="12.75" customHeight="1">
      <c r="B26" s="507" t="s">
        <v>115</v>
      </c>
      <c r="C26" s="6" t="s">
        <v>295</v>
      </c>
      <c r="D26" s="12" t="s">
        <v>415</v>
      </c>
      <c r="E26" s="12" t="s">
        <v>820</v>
      </c>
      <c r="F26" s="6">
        <v>1</v>
      </c>
      <c r="G26" s="6">
        <v>0</v>
      </c>
      <c r="H26" s="6" t="s">
        <v>808</v>
      </c>
      <c r="I26" s="190">
        <v>0</v>
      </c>
      <c r="J26" s="190">
        <v>2270.5313175604128</v>
      </c>
      <c r="K26" s="190">
        <v>1503.0055434469248</v>
      </c>
      <c r="L26" s="190">
        <v>1657.2871529124907</v>
      </c>
      <c r="M26" s="190">
        <v>1148.4967440444013</v>
      </c>
      <c r="N26" s="190">
        <v>0</v>
      </c>
      <c r="O26" s="190">
        <v>0</v>
      </c>
      <c r="P26" s="190">
        <v>0</v>
      </c>
      <c r="Q26" s="190">
        <v>0</v>
      </c>
      <c r="R26" s="190">
        <v>0</v>
      </c>
      <c r="S26" s="190">
        <v>0</v>
      </c>
      <c r="T26" s="190">
        <v>0</v>
      </c>
      <c r="U26" s="190">
        <v>0</v>
      </c>
      <c r="V26" s="190">
        <v>0</v>
      </c>
      <c r="W26" s="190">
        <v>0</v>
      </c>
      <c r="X26" s="190">
        <v>0</v>
      </c>
      <c r="Y26" s="190">
        <v>0</v>
      </c>
      <c r="Z26" s="190">
        <v>0</v>
      </c>
      <c r="AA26" s="190">
        <v>0</v>
      </c>
      <c r="AB26" s="190">
        <v>0</v>
      </c>
      <c r="AC26" s="190">
        <v>0</v>
      </c>
      <c r="AD26" s="190">
        <v>0</v>
      </c>
      <c r="AE26" s="190">
        <v>0</v>
      </c>
      <c r="AF26" s="190">
        <v>0</v>
      </c>
      <c r="AG26" s="190">
        <v>0</v>
      </c>
      <c r="AH26" s="190">
        <v>0</v>
      </c>
      <c r="AI26" s="190">
        <v>0</v>
      </c>
      <c r="AJ26" s="190">
        <v>0</v>
      </c>
      <c r="AK26" s="190">
        <v>0</v>
      </c>
      <c r="AL26" s="190">
        <v>0</v>
      </c>
    </row>
    <row r="27" spans="2:38" ht="12.75" customHeight="1">
      <c r="B27" s="507" t="s">
        <v>115</v>
      </c>
      <c r="C27" s="6" t="s">
        <v>295</v>
      </c>
      <c r="D27" s="12" t="s">
        <v>415</v>
      </c>
      <c r="E27" s="12" t="s">
        <v>821</v>
      </c>
      <c r="F27" s="6">
        <v>1</v>
      </c>
      <c r="G27" s="6">
        <v>0</v>
      </c>
      <c r="H27" s="6" t="s">
        <v>810</v>
      </c>
      <c r="I27" s="190">
        <v>0</v>
      </c>
      <c r="J27" s="190">
        <v>978677.29205190204</v>
      </c>
      <c r="K27" s="190">
        <v>647847.21700298483</v>
      </c>
      <c r="L27" s="190">
        <v>714347.91073814267</v>
      </c>
      <c r="M27" s="190">
        <v>495041.70001913852</v>
      </c>
      <c r="N27" s="190">
        <v>0</v>
      </c>
      <c r="O27" s="190">
        <v>0</v>
      </c>
      <c r="P27" s="190">
        <v>0</v>
      </c>
      <c r="Q27" s="190">
        <v>0</v>
      </c>
      <c r="R27" s="190">
        <v>0</v>
      </c>
      <c r="S27" s="190">
        <v>0</v>
      </c>
      <c r="T27" s="190">
        <v>0</v>
      </c>
      <c r="U27" s="190">
        <v>0</v>
      </c>
      <c r="V27" s="190">
        <v>0</v>
      </c>
      <c r="W27" s="190">
        <v>0</v>
      </c>
      <c r="X27" s="190">
        <v>0</v>
      </c>
      <c r="Y27" s="190">
        <v>0</v>
      </c>
      <c r="Z27" s="190">
        <v>0</v>
      </c>
      <c r="AA27" s="190">
        <v>0</v>
      </c>
      <c r="AB27" s="190">
        <v>0</v>
      </c>
      <c r="AC27" s="190">
        <v>0</v>
      </c>
      <c r="AD27" s="190">
        <v>0</v>
      </c>
      <c r="AE27" s="190">
        <v>0</v>
      </c>
      <c r="AF27" s="190">
        <v>0</v>
      </c>
      <c r="AG27" s="190">
        <v>0</v>
      </c>
      <c r="AH27" s="190">
        <v>0</v>
      </c>
      <c r="AI27" s="190">
        <v>0</v>
      </c>
      <c r="AJ27" s="190">
        <v>0</v>
      </c>
      <c r="AK27" s="190">
        <v>0</v>
      </c>
      <c r="AL27" s="190">
        <v>0</v>
      </c>
    </row>
    <row r="28" spans="2:38" ht="12.75" customHeight="1">
      <c r="B28" s="507" t="s">
        <v>115</v>
      </c>
      <c r="C28" s="6" t="s">
        <v>295</v>
      </c>
      <c r="D28" s="12" t="s">
        <v>822</v>
      </c>
      <c r="E28" s="12">
        <v>4</v>
      </c>
      <c r="F28" s="6"/>
      <c r="G28" s="6"/>
      <c r="H28" s="6" t="s">
        <v>77</v>
      </c>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c r="AF28" s="190"/>
      <c r="AG28" s="190"/>
      <c r="AH28" s="190"/>
      <c r="AI28" s="190"/>
      <c r="AJ28" s="190"/>
      <c r="AK28" s="190"/>
      <c r="AL28" s="190"/>
    </row>
    <row r="29" spans="2:38" ht="12.75" customHeight="1">
      <c r="B29" s="507" t="s">
        <v>115</v>
      </c>
      <c r="C29" s="6" t="s">
        <v>295</v>
      </c>
      <c r="D29" s="12" t="s">
        <v>822</v>
      </c>
      <c r="E29" s="12" t="s">
        <v>823</v>
      </c>
      <c r="F29" s="6">
        <v>1</v>
      </c>
      <c r="G29" s="6">
        <v>0</v>
      </c>
      <c r="H29" s="6" t="s">
        <v>824</v>
      </c>
      <c r="I29" s="190">
        <v>0</v>
      </c>
      <c r="J29" s="190">
        <v>0</v>
      </c>
      <c r="K29" s="190">
        <v>108588708.11081421</v>
      </c>
      <c r="L29" s="190">
        <v>138356371.71635652</v>
      </c>
      <c r="M29" s="190">
        <v>128826485.76586966</v>
      </c>
      <c r="N29" s="190">
        <v>151459474.19400674</v>
      </c>
      <c r="O29" s="190">
        <v>0</v>
      </c>
      <c r="P29" s="190">
        <v>0</v>
      </c>
      <c r="Q29" s="190">
        <v>0</v>
      </c>
      <c r="R29" s="190">
        <v>0</v>
      </c>
      <c r="S29" s="190">
        <v>0</v>
      </c>
      <c r="T29" s="190">
        <v>0</v>
      </c>
      <c r="U29" s="190">
        <v>0</v>
      </c>
      <c r="V29" s="190">
        <v>0</v>
      </c>
      <c r="W29" s="190">
        <v>0</v>
      </c>
      <c r="X29" s="190">
        <v>0</v>
      </c>
      <c r="Y29" s="190">
        <v>0</v>
      </c>
      <c r="Z29" s="190">
        <v>0</v>
      </c>
      <c r="AA29" s="190">
        <v>0</v>
      </c>
      <c r="AB29" s="190">
        <v>0</v>
      </c>
      <c r="AC29" s="190">
        <v>0</v>
      </c>
      <c r="AD29" s="190">
        <v>0</v>
      </c>
      <c r="AE29" s="190">
        <v>0</v>
      </c>
      <c r="AF29" s="190">
        <v>0</v>
      </c>
      <c r="AG29" s="190">
        <v>0</v>
      </c>
      <c r="AH29" s="190">
        <v>0</v>
      </c>
      <c r="AI29" s="190">
        <v>0</v>
      </c>
      <c r="AJ29" s="190">
        <v>0</v>
      </c>
      <c r="AK29" s="190">
        <v>0</v>
      </c>
      <c r="AL29" s="190">
        <v>0</v>
      </c>
    </row>
    <row r="30" spans="2:38" ht="12.75" customHeight="1">
      <c r="B30" s="507" t="s">
        <v>115</v>
      </c>
      <c r="C30" s="6" t="s">
        <v>295</v>
      </c>
      <c r="D30" s="12" t="s">
        <v>822</v>
      </c>
      <c r="E30" s="12" t="s">
        <v>825</v>
      </c>
      <c r="F30" s="6">
        <v>1</v>
      </c>
      <c r="G30" s="6">
        <v>0</v>
      </c>
      <c r="H30" s="6" t="s">
        <v>826</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0">
        <v>0</v>
      </c>
      <c r="AA30" s="190">
        <v>0</v>
      </c>
      <c r="AB30" s="190">
        <v>0</v>
      </c>
      <c r="AC30" s="190">
        <v>0</v>
      </c>
      <c r="AD30" s="190">
        <v>0</v>
      </c>
      <c r="AE30" s="190">
        <v>0</v>
      </c>
      <c r="AF30" s="190">
        <v>0</v>
      </c>
      <c r="AG30" s="190">
        <v>0</v>
      </c>
      <c r="AH30" s="190">
        <v>0</v>
      </c>
      <c r="AI30" s="190">
        <v>0</v>
      </c>
      <c r="AJ30" s="190">
        <v>0</v>
      </c>
      <c r="AK30" s="190">
        <v>0</v>
      </c>
      <c r="AL30" s="190">
        <v>0</v>
      </c>
    </row>
    <row r="31" spans="2:38" ht="12.75" customHeight="1">
      <c r="B31" s="507" t="s">
        <v>115</v>
      </c>
      <c r="C31" s="6" t="s">
        <v>295</v>
      </c>
      <c r="D31" s="12" t="s">
        <v>822</v>
      </c>
      <c r="E31" s="12" t="s">
        <v>827</v>
      </c>
      <c r="F31" s="6">
        <v>1</v>
      </c>
      <c r="G31" s="6">
        <v>0</v>
      </c>
      <c r="H31" s="6" t="s">
        <v>828</v>
      </c>
      <c r="I31" s="190">
        <v>0</v>
      </c>
      <c r="J31" s="190">
        <v>0</v>
      </c>
      <c r="K31" s="190">
        <v>2921230.0382519136</v>
      </c>
      <c r="L31" s="190">
        <v>192943605.96959457</v>
      </c>
      <c r="M31" s="190">
        <v>37846924.14011883</v>
      </c>
      <c r="N31" s="190">
        <v>153857661.90589383</v>
      </c>
      <c r="O31" s="190">
        <v>0</v>
      </c>
      <c r="P31" s="190">
        <v>0</v>
      </c>
      <c r="Q31" s="190">
        <v>0</v>
      </c>
      <c r="R31" s="190">
        <v>0</v>
      </c>
      <c r="S31" s="190">
        <v>0</v>
      </c>
      <c r="T31" s="190">
        <v>0</v>
      </c>
      <c r="U31" s="190">
        <v>0</v>
      </c>
      <c r="V31" s="190">
        <v>0</v>
      </c>
      <c r="W31" s="190">
        <v>0</v>
      </c>
      <c r="X31" s="190">
        <v>0</v>
      </c>
      <c r="Y31" s="190">
        <v>0</v>
      </c>
      <c r="Z31" s="190">
        <v>0</v>
      </c>
      <c r="AA31" s="190">
        <v>0</v>
      </c>
      <c r="AB31" s="190">
        <v>0</v>
      </c>
      <c r="AC31" s="190">
        <v>0</v>
      </c>
      <c r="AD31" s="190">
        <v>0</v>
      </c>
      <c r="AE31" s="190">
        <v>0</v>
      </c>
      <c r="AF31" s="190">
        <v>0</v>
      </c>
      <c r="AG31" s="190">
        <v>0</v>
      </c>
      <c r="AH31" s="190">
        <v>0</v>
      </c>
      <c r="AI31" s="190">
        <v>0</v>
      </c>
      <c r="AJ31" s="190">
        <v>0</v>
      </c>
      <c r="AK31" s="190">
        <v>0</v>
      </c>
      <c r="AL31" s="190">
        <v>0</v>
      </c>
    </row>
    <row r="32" spans="2:38" ht="12.75" customHeight="1">
      <c r="B32" s="507" t="s">
        <v>115</v>
      </c>
      <c r="C32" s="6" t="s">
        <v>295</v>
      </c>
      <c r="D32" s="12" t="s">
        <v>822</v>
      </c>
      <c r="E32" s="12" t="s">
        <v>829</v>
      </c>
      <c r="F32" s="6">
        <v>1</v>
      </c>
      <c r="G32" s="6">
        <v>0</v>
      </c>
      <c r="H32" s="6" t="s">
        <v>830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0">
        <v>0</v>
      </c>
      <c r="AA32" s="190">
        <v>0</v>
      </c>
      <c r="AB32" s="190">
        <v>0</v>
      </c>
      <c r="AC32" s="190">
        <v>0</v>
      </c>
      <c r="AD32" s="190">
        <v>0</v>
      </c>
      <c r="AE32" s="190">
        <v>0</v>
      </c>
      <c r="AF32" s="190">
        <v>0</v>
      </c>
      <c r="AG32" s="190">
        <v>0</v>
      </c>
      <c r="AH32" s="190">
        <v>0</v>
      </c>
      <c r="AI32" s="190">
        <v>0</v>
      </c>
      <c r="AJ32" s="190">
        <v>0</v>
      </c>
      <c r="AK32" s="190">
        <v>0</v>
      </c>
      <c r="AL32" s="190">
        <v>0</v>
      </c>
    </row>
    <row r="33" spans="2:38" ht="12.75" customHeight="1">
      <c r="B33" s="507" t="s">
        <v>115</v>
      </c>
      <c r="C33" s="6" t="s">
        <v>295</v>
      </c>
      <c r="D33" s="12" t="s">
        <v>822</v>
      </c>
      <c r="E33" s="12" t="s">
        <v>831</v>
      </c>
      <c r="F33" s="6">
        <v>1</v>
      </c>
      <c r="G33" s="6">
        <v>0</v>
      </c>
      <c r="H33" s="6" t="s">
        <v>832</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0">
        <v>0</v>
      </c>
      <c r="AA33" s="190">
        <v>0</v>
      </c>
      <c r="AB33" s="190">
        <v>0</v>
      </c>
      <c r="AC33" s="190">
        <v>0</v>
      </c>
      <c r="AD33" s="190">
        <v>0</v>
      </c>
      <c r="AE33" s="190">
        <v>0</v>
      </c>
      <c r="AF33" s="190">
        <v>0</v>
      </c>
      <c r="AG33" s="190">
        <v>0</v>
      </c>
      <c r="AH33" s="190">
        <v>0</v>
      </c>
      <c r="AI33" s="190">
        <v>0</v>
      </c>
      <c r="AJ33" s="190">
        <v>0</v>
      </c>
      <c r="AK33" s="190">
        <v>0</v>
      </c>
      <c r="AL33" s="190">
        <v>0</v>
      </c>
    </row>
    <row r="34" spans="2:38" ht="12.75" customHeight="1">
      <c r="B34" s="507" t="s">
        <v>115</v>
      </c>
      <c r="C34" s="6" t="s">
        <v>295</v>
      </c>
      <c r="D34" s="12" t="s">
        <v>822</v>
      </c>
      <c r="E34" s="12" t="s">
        <v>833</v>
      </c>
      <c r="F34" s="6">
        <v>1</v>
      </c>
      <c r="G34" s="6">
        <v>0</v>
      </c>
      <c r="H34" s="6" t="s">
        <v>834</v>
      </c>
      <c r="I34" s="190">
        <v>0</v>
      </c>
      <c r="J34" s="190">
        <v>0</v>
      </c>
      <c r="K34" s="190">
        <v>3617775.6581008798</v>
      </c>
      <c r="L34" s="190">
        <v>23517832.286967032</v>
      </c>
      <c r="M34" s="190">
        <v>5612083.0092063062</v>
      </c>
      <c r="N34" s="190">
        <v>7207171.347173756</v>
      </c>
      <c r="O34" s="190">
        <v>0</v>
      </c>
      <c r="P34" s="190">
        <v>0</v>
      </c>
      <c r="Q34" s="190">
        <v>0</v>
      </c>
      <c r="R34" s="190">
        <v>0</v>
      </c>
      <c r="S34" s="190">
        <v>0</v>
      </c>
      <c r="T34" s="190">
        <v>0</v>
      </c>
      <c r="U34" s="190">
        <v>0</v>
      </c>
      <c r="V34" s="190">
        <v>0</v>
      </c>
      <c r="W34" s="190">
        <v>0</v>
      </c>
      <c r="X34" s="190">
        <v>0</v>
      </c>
      <c r="Y34" s="190">
        <v>0</v>
      </c>
      <c r="Z34" s="190">
        <v>0</v>
      </c>
      <c r="AA34" s="190">
        <v>0</v>
      </c>
      <c r="AB34" s="190">
        <v>0</v>
      </c>
      <c r="AC34" s="190">
        <v>0</v>
      </c>
      <c r="AD34" s="190">
        <v>0</v>
      </c>
      <c r="AE34" s="190">
        <v>0</v>
      </c>
      <c r="AF34" s="190">
        <v>0</v>
      </c>
      <c r="AG34" s="190">
        <v>0</v>
      </c>
      <c r="AH34" s="190">
        <v>0</v>
      </c>
      <c r="AI34" s="190">
        <v>0</v>
      </c>
      <c r="AJ34" s="190">
        <v>0</v>
      </c>
      <c r="AK34" s="190">
        <v>0</v>
      </c>
      <c r="AL34" s="190">
        <v>0</v>
      </c>
    </row>
    <row r="35" spans="2:38" ht="12.75" customHeight="1">
      <c r="B35" s="507" t="s">
        <v>115</v>
      </c>
      <c r="C35" s="6" t="s">
        <v>295</v>
      </c>
      <c r="D35" s="12" t="s">
        <v>822</v>
      </c>
      <c r="E35" s="12" t="s">
        <v>835</v>
      </c>
      <c r="F35" s="6">
        <v>1</v>
      </c>
      <c r="G35" s="6">
        <v>0</v>
      </c>
      <c r="H35" s="6" t="s">
        <v>836</v>
      </c>
      <c r="I35" s="190">
        <v>0</v>
      </c>
      <c r="J35" s="190">
        <v>0</v>
      </c>
      <c r="K35" s="190">
        <v>13245884.070541775</v>
      </c>
      <c r="L35" s="190">
        <v>33114710.176354446</v>
      </c>
      <c r="M35" s="190">
        <v>46360594.246896215</v>
      </c>
      <c r="N35" s="190">
        <v>22361480.736075822</v>
      </c>
      <c r="O35" s="190">
        <v>0</v>
      </c>
      <c r="P35" s="190">
        <v>0</v>
      </c>
      <c r="Q35" s="190">
        <v>0</v>
      </c>
      <c r="R35" s="190">
        <v>0</v>
      </c>
      <c r="S35" s="190">
        <v>0</v>
      </c>
      <c r="T35" s="190">
        <v>0</v>
      </c>
      <c r="U35" s="190">
        <v>0</v>
      </c>
      <c r="V35" s="190">
        <v>0</v>
      </c>
      <c r="W35" s="190">
        <v>0</v>
      </c>
      <c r="X35" s="190">
        <v>0</v>
      </c>
      <c r="Y35" s="190">
        <v>0</v>
      </c>
      <c r="Z35" s="190">
        <v>0</v>
      </c>
      <c r="AA35" s="190">
        <v>0</v>
      </c>
      <c r="AB35" s="190">
        <v>0</v>
      </c>
      <c r="AC35" s="190">
        <v>0</v>
      </c>
      <c r="AD35" s="190">
        <v>0</v>
      </c>
      <c r="AE35" s="190">
        <v>0</v>
      </c>
      <c r="AF35" s="190">
        <v>0</v>
      </c>
      <c r="AG35" s="190">
        <v>0</v>
      </c>
      <c r="AH35" s="190">
        <v>0</v>
      </c>
      <c r="AI35" s="190">
        <v>0</v>
      </c>
      <c r="AJ35" s="190">
        <v>0</v>
      </c>
      <c r="AK35" s="190">
        <v>0</v>
      </c>
      <c r="AL35" s="190">
        <v>0</v>
      </c>
    </row>
    <row r="36" spans="2:38" ht="12.75" customHeight="1">
      <c r="B36" s="507" t="s">
        <v>115</v>
      </c>
      <c r="C36" s="6" t="s">
        <v>295</v>
      </c>
      <c r="D36" s="12" t="s">
        <v>822</v>
      </c>
      <c r="E36" s="12" t="s">
        <v>837</v>
      </c>
      <c r="F36" s="6">
        <v>1</v>
      </c>
      <c r="G36" s="6">
        <v>0</v>
      </c>
      <c r="H36" s="6" t="s">
        <v>838</v>
      </c>
      <c r="I36" s="190">
        <v>0</v>
      </c>
      <c r="J36" s="190">
        <v>0</v>
      </c>
      <c r="K36" s="190">
        <v>2524251.5892884168</v>
      </c>
      <c r="L36" s="190">
        <v>3052942.0610449351</v>
      </c>
      <c r="M36" s="190">
        <v>4908266.9791719252</v>
      </c>
      <c r="N36" s="190">
        <v>0</v>
      </c>
      <c r="O36" s="190">
        <v>0</v>
      </c>
      <c r="P36" s="190">
        <v>0</v>
      </c>
      <c r="Q36" s="190">
        <v>0</v>
      </c>
      <c r="R36" s="190">
        <v>0</v>
      </c>
      <c r="S36" s="190">
        <v>0</v>
      </c>
      <c r="T36" s="190">
        <v>0</v>
      </c>
      <c r="U36" s="190">
        <v>0</v>
      </c>
      <c r="V36" s="190">
        <v>0</v>
      </c>
      <c r="W36" s="190">
        <v>0</v>
      </c>
      <c r="X36" s="190">
        <v>0</v>
      </c>
      <c r="Y36" s="190">
        <v>0</v>
      </c>
      <c r="Z36" s="190">
        <v>0</v>
      </c>
      <c r="AA36" s="190">
        <v>0</v>
      </c>
      <c r="AB36" s="190">
        <v>0</v>
      </c>
      <c r="AC36" s="190">
        <v>0</v>
      </c>
      <c r="AD36" s="190">
        <v>0</v>
      </c>
      <c r="AE36" s="190">
        <v>0</v>
      </c>
      <c r="AF36" s="190">
        <v>0</v>
      </c>
      <c r="AG36" s="190">
        <v>0</v>
      </c>
      <c r="AH36" s="190">
        <v>0</v>
      </c>
      <c r="AI36" s="190">
        <v>0</v>
      </c>
      <c r="AJ36" s="190">
        <v>0</v>
      </c>
      <c r="AK36" s="190">
        <v>0</v>
      </c>
      <c r="AL36" s="190">
        <v>0</v>
      </c>
    </row>
    <row r="37" spans="2:38" ht="12.75" customHeight="1">
      <c r="B37" s="507" t="s">
        <v>115</v>
      </c>
      <c r="C37" s="6" t="s">
        <v>295</v>
      </c>
      <c r="D37" s="12" t="s">
        <v>822</v>
      </c>
      <c r="E37" s="12" t="s">
        <v>839</v>
      </c>
      <c r="F37" s="6">
        <v>1</v>
      </c>
      <c r="G37" s="6">
        <v>0</v>
      </c>
      <c r="H37" s="6" t="s">
        <v>840</v>
      </c>
      <c r="I37" s="190">
        <v>0</v>
      </c>
      <c r="J37" s="190">
        <v>0</v>
      </c>
      <c r="K37" s="190">
        <v>396355.63508923614</v>
      </c>
      <c r="L37" s="190">
        <v>1387244.7228123264</v>
      </c>
      <c r="M37" s="190">
        <v>693622.36140616331</v>
      </c>
      <c r="N37" s="190">
        <v>297266.72631692706</v>
      </c>
      <c r="O37" s="190">
        <v>0</v>
      </c>
      <c r="P37" s="190">
        <v>0</v>
      </c>
      <c r="Q37" s="190">
        <v>0</v>
      </c>
      <c r="R37" s="190">
        <v>0</v>
      </c>
      <c r="S37" s="190">
        <v>0</v>
      </c>
      <c r="T37" s="190">
        <v>0</v>
      </c>
      <c r="U37" s="190">
        <v>0</v>
      </c>
      <c r="V37" s="190">
        <v>0</v>
      </c>
      <c r="W37" s="190">
        <v>0</v>
      </c>
      <c r="X37" s="190">
        <v>0</v>
      </c>
      <c r="Y37" s="190">
        <v>0</v>
      </c>
      <c r="Z37" s="190">
        <v>0</v>
      </c>
      <c r="AA37" s="190">
        <v>0</v>
      </c>
      <c r="AB37" s="190">
        <v>0</v>
      </c>
      <c r="AC37" s="190">
        <v>0</v>
      </c>
      <c r="AD37" s="190">
        <v>0</v>
      </c>
      <c r="AE37" s="190">
        <v>0</v>
      </c>
      <c r="AF37" s="190">
        <v>0</v>
      </c>
      <c r="AG37" s="190">
        <v>0</v>
      </c>
      <c r="AH37" s="190">
        <v>0</v>
      </c>
      <c r="AI37" s="190">
        <v>0</v>
      </c>
      <c r="AJ37" s="190">
        <v>0</v>
      </c>
      <c r="AK37" s="190">
        <v>0</v>
      </c>
      <c r="AL37" s="190">
        <v>0</v>
      </c>
    </row>
    <row r="38" spans="2:38" ht="12.75" customHeight="1">
      <c r="B38" s="507" t="s">
        <v>115</v>
      </c>
      <c r="C38" s="6" t="s">
        <v>295</v>
      </c>
      <c r="D38" s="12" t="s">
        <v>822</v>
      </c>
      <c r="E38" s="12" t="s">
        <v>841</v>
      </c>
      <c r="F38" s="6">
        <v>1</v>
      </c>
      <c r="G38" s="6">
        <v>0</v>
      </c>
      <c r="H38" s="6" t="s">
        <v>842</v>
      </c>
      <c r="I38" s="190">
        <v>0</v>
      </c>
      <c r="J38" s="190">
        <v>0</v>
      </c>
      <c r="K38" s="190">
        <v>660755.98584188172</v>
      </c>
      <c r="L38" s="190">
        <v>0</v>
      </c>
      <c r="M38" s="190">
        <v>7268315.8442606982</v>
      </c>
      <c r="N38" s="190">
        <v>660755.98584188172</v>
      </c>
      <c r="O38" s="190">
        <v>0</v>
      </c>
      <c r="P38" s="190">
        <v>0</v>
      </c>
      <c r="Q38" s="190">
        <v>0</v>
      </c>
      <c r="R38" s="190">
        <v>0</v>
      </c>
      <c r="S38" s="190">
        <v>0</v>
      </c>
      <c r="T38" s="190">
        <v>0</v>
      </c>
      <c r="U38" s="190">
        <v>0</v>
      </c>
      <c r="V38" s="190">
        <v>0</v>
      </c>
      <c r="W38" s="190">
        <v>0</v>
      </c>
      <c r="X38" s="190">
        <v>0</v>
      </c>
      <c r="Y38" s="190">
        <v>0</v>
      </c>
      <c r="Z38" s="190">
        <v>0</v>
      </c>
      <c r="AA38" s="190">
        <v>0</v>
      </c>
      <c r="AB38" s="190">
        <v>0</v>
      </c>
      <c r="AC38" s="190">
        <v>0</v>
      </c>
      <c r="AD38" s="190">
        <v>0</v>
      </c>
      <c r="AE38" s="190">
        <v>0</v>
      </c>
      <c r="AF38" s="190">
        <v>0</v>
      </c>
      <c r="AG38" s="190">
        <v>0</v>
      </c>
      <c r="AH38" s="190">
        <v>0</v>
      </c>
      <c r="AI38" s="190">
        <v>0</v>
      </c>
      <c r="AJ38" s="190">
        <v>0</v>
      </c>
      <c r="AK38" s="190">
        <v>0</v>
      </c>
      <c r="AL38" s="190">
        <v>0</v>
      </c>
    </row>
    <row r="39" spans="2:38" ht="12.75" customHeight="1">
      <c r="B39" s="507" t="s">
        <v>115</v>
      </c>
      <c r="C39" s="6" t="s">
        <v>295</v>
      </c>
      <c r="D39" s="12" t="s">
        <v>822</v>
      </c>
      <c r="E39" s="12" t="s">
        <v>843</v>
      </c>
      <c r="F39" s="6">
        <v>1</v>
      </c>
      <c r="G39" s="6">
        <v>0</v>
      </c>
      <c r="H39" s="6" t="s">
        <v>844</v>
      </c>
      <c r="I39" s="190">
        <v>0</v>
      </c>
      <c r="J39" s="190">
        <v>0</v>
      </c>
      <c r="K39" s="190">
        <v>5527205.6148170512</v>
      </c>
      <c r="L39" s="190">
        <v>47899791.36360357</v>
      </c>
      <c r="M39" s="190">
        <v>14413793.067279939</v>
      </c>
      <c r="N39" s="190">
        <v>30583048.921658203</v>
      </c>
      <c r="O39" s="190">
        <v>0</v>
      </c>
      <c r="P39" s="190">
        <v>0</v>
      </c>
      <c r="Q39" s="190">
        <v>0</v>
      </c>
      <c r="R39" s="190">
        <v>0</v>
      </c>
      <c r="S39" s="190">
        <v>0</v>
      </c>
      <c r="T39" s="190">
        <v>0</v>
      </c>
      <c r="U39" s="190">
        <v>0</v>
      </c>
      <c r="V39" s="190">
        <v>0</v>
      </c>
      <c r="W39" s="190">
        <v>0</v>
      </c>
      <c r="X39" s="190">
        <v>0</v>
      </c>
      <c r="Y39" s="190">
        <v>0</v>
      </c>
      <c r="Z39" s="190">
        <v>0</v>
      </c>
      <c r="AA39" s="190">
        <v>0</v>
      </c>
      <c r="AB39" s="190">
        <v>0</v>
      </c>
      <c r="AC39" s="190">
        <v>0</v>
      </c>
      <c r="AD39" s="190">
        <v>0</v>
      </c>
      <c r="AE39" s="190">
        <v>0</v>
      </c>
      <c r="AF39" s="190">
        <v>0</v>
      </c>
      <c r="AG39" s="190">
        <v>0</v>
      </c>
      <c r="AH39" s="190">
        <v>0</v>
      </c>
      <c r="AI39" s="190">
        <v>0</v>
      </c>
      <c r="AJ39" s="190">
        <v>0</v>
      </c>
      <c r="AK39" s="190">
        <v>0</v>
      </c>
      <c r="AL39" s="190">
        <v>0</v>
      </c>
    </row>
    <row r="40" spans="2:38" ht="12.75" customHeight="1">
      <c r="B40" s="507" t="s">
        <v>115</v>
      </c>
      <c r="C40" s="6" t="s">
        <v>295</v>
      </c>
      <c r="D40" s="12" t="s">
        <v>822</v>
      </c>
      <c r="E40" s="12" t="s">
        <v>845</v>
      </c>
      <c r="F40" s="6">
        <v>1</v>
      </c>
      <c r="G40" s="6">
        <v>0</v>
      </c>
      <c r="H40" s="6" t="s">
        <v>846</v>
      </c>
      <c r="I40" s="190">
        <v>0</v>
      </c>
      <c r="J40" s="190">
        <v>0</v>
      </c>
      <c r="K40" s="190">
        <v>2190923.1700000004</v>
      </c>
      <c r="L40" s="190">
        <v>6572769.5100000016</v>
      </c>
      <c r="M40" s="190">
        <v>2190923.1700000004</v>
      </c>
      <c r="N40" s="190">
        <v>10954615.850000001</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190">
        <v>0</v>
      </c>
      <c r="AJ40" s="190">
        <v>0</v>
      </c>
      <c r="AK40" s="190">
        <v>0</v>
      </c>
      <c r="AL40" s="190">
        <v>0</v>
      </c>
    </row>
    <row r="41" spans="2:38" ht="12.75" customHeight="1">
      <c r="B41" s="507" t="s">
        <v>115</v>
      </c>
      <c r="C41" s="6" t="s">
        <v>295</v>
      </c>
      <c r="D41" s="12" t="s">
        <v>822</v>
      </c>
      <c r="E41" s="12" t="s">
        <v>847</v>
      </c>
      <c r="F41" s="6">
        <v>1</v>
      </c>
      <c r="G41" s="6">
        <v>0</v>
      </c>
      <c r="H41" s="6" t="s">
        <v>848</v>
      </c>
      <c r="I41" s="190">
        <v>0</v>
      </c>
      <c r="J41" s="190">
        <v>0</v>
      </c>
      <c r="K41" s="190">
        <v>2423156</v>
      </c>
      <c r="L41" s="190">
        <v>0</v>
      </c>
      <c r="M41" s="190">
        <v>0</v>
      </c>
      <c r="N41" s="190">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190">
        <v>0</v>
      </c>
      <c r="AJ41" s="190">
        <v>0</v>
      </c>
      <c r="AK41" s="190">
        <v>0</v>
      </c>
      <c r="AL41" s="190">
        <v>0</v>
      </c>
    </row>
    <row r="42" spans="2:38" ht="12.75" customHeight="1">
      <c r="B42" s="507" t="s">
        <v>115</v>
      </c>
      <c r="C42" s="6" t="s">
        <v>295</v>
      </c>
      <c r="D42" s="12" t="s">
        <v>822</v>
      </c>
      <c r="E42" s="12" t="s">
        <v>849</v>
      </c>
      <c r="F42" s="6">
        <v>1</v>
      </c>
      <c r="G42" s="6">
        <v>0</v>
      </c>
      <c r="H42" s="6" t="s">
        <v>850</v>
      </c>
      <c r="I42" s="190">
        <v>0</v>
      </c>
      <c r="J42" s="190">
        <v>0</v>
      </c>
      <c r="K42" s="190">
        <v>2940434.2863696236</v>
      </c>
      <c r="L42" s="190">
        <v>3360496.3272795705</v>
      </c>
      <c r="M42" s="190">
        <v>4616142.8796113292</v>
      </c>
      <c r="N42" s="190">
        <v>6300930.6136491941</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190">
        <v>0</v>
      </c>
      <c r="AJ42" s="190">
        <v>0</v>
      </c>
      <c r="AK42" s="190">
        <v>0</v>
      </c>
      <c r="AL42" s="190">
        <v>0</v>
      </c>
    </row>
    <row r="43" spans="2:38" ht="12.75" customHeight="1">
      <c r="B43" s="507" t="s">
        <v>115</v>
      </c>
      <c r="C43" s="6" t="s">
        <v>295</v>
      </c>
      <c r="D43" s="12" t="s">
        <v>822</v>
      </c>
      <c r="E43" s="12" t="s">
        <v>851</v>
      </c>
      <c r="F43" s="6">
        <v>0</v>
      </c>
      <c r="G43" s="6">
        <v>0</v>
      </c>
      <c r="H43" s="6" t="s">
        <v>852</v>
      </c>
      <c r="I43" s="190">
        <v>0</v>
      </c>
      <c r="J43" s="190">
        <v>245995.98546907841</v>
      </c>
      <c r="K43" s="190">
        <v>26461665.400405653</v>
      </c>
      <c r="L43" s="190">
        <v>3072567.3605121733</v>
      </c>
      <c r="M43" s="190">
        <v>79320462.322629422</v>
      </c>
      <c r="N43" s="190">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190">
        <v>0</v>
      </c>
      <c r="AJ43" s="190">
        <v>0</v>
      </c>
      <c r="AK43" s="190">
        <v>0</v>
      </c>
      <c r="AL43" s="190">
        <v>0</v>
      </c>
    </row>
    <row r="44" spans="2:38" ht="12.75" customHeight="1">
      <c r="B44" s="507" t="s">
        <v>115</v>
      </c>
      <c r="C44" s="6" t="s">
        <v>295</v>
      </c>
      <c r="D44" s="12" t="s">
        <v>822</v>
      </c>
      <c r="E44" s="12" t="s">
        <v>853</v>
      </c>
      <c r="F44" s="6">
        <v>1</v>
      </c>
      <c r="G44" s="6">
        <v>0</v>
      </c>
      <c r="H44" s="6" t="s">
        <v>804</v>
      </c>
      <c r="I44" s="190">
        <v>0</v>
      </c>
      <c r="J44" s="190">
        <v>3025.7506212696644</v>
      </c>
      <c r="K44" s="190">
        <v>2109429.6503821034</v>
      </c>
      <c r="L44" s="190">
        <v>5575323.4773826608</v>
      </c>
      <c r="M44" s="190">
        <v>4084308.6495733415</v>
      </c>
      <c r="N44" s="190">
        <v>4719293.597251582</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row>
    <row r="45" spans="2:38" ht="12.75" customHeight="1">
      <c r="B45" s="507" t="s">
        <v>115</v>
      </c>
      <c r="C45" s="6" t="s">
        <v>295</v>
      </c>
      <c r="D45" s="12" t="s">
        <v>822</v>
      </c>
      <c r="E45" s="12" t="s">
        <v>854</v>
      </c>
      <c r="F45" s="6">
        <v>1</v>
      </c>
      <c r="G45" s="6">
        <v>0</v>
      </c>
      <c r="H45" s="6" t="s">
        <v>806</v>
      </c>
      <c r="I45" s="190">
        <v>0</v>
      </c>
      <c r="J45" s="190">
        <v>762.587554954143</v>
      </c>
      <c r="K45" s="190">
        <v>531644.87123451382</v>
      </c>
      <c r="L45" s="190">
        <v>1405162.8276330282</v>
      </c>
      <c r="M45" s="190">
        <v>1029378.6027379965</v>
      </c>
      <c r="N45" s="190">
        <v>1189415.4594699107</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row>
    <row r="46" spans="2:38" ht="12.75" customHeight="1">
      <c r="B46" s="507" t="s">
        <v>115</v>
      </c>
      <c r="C46" s="6" t="s">
        <v>295</v>
      </c>
      <c r="D46" s="12" t="s">
        <v>822</v>
      </c>
      <c r="E46" s="12" t="s">
        <v>855</v>
      </c>
      <c r="F46" s="6">
        <v>1</v>
      </c>
      <c r="G46" s="6">
        <v>0</v>
      </c>
      <c r="H46" s="6" t="s">
        <v>808</v>
      </c>
      <c r="I46" s="190">
        <v>0</v>
      </c>
      <c r="J46" s="190">
        <v>14.267767157206547</v>
      </c>
      <c r="K46" s="190">
        <v>9946.9040424521954</v>
      </c>
      <c r="L46" s="190">
        <v>26290.143226682463</v>
      </c>
      <c r="M46" s="190">
        <v>19259.34159961413</v>
      </c>
      <c r="N46" s="190">
        <v>22253.579564275751</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row>
    <row r="47" spans="2:38" ht="12.75" customHeight="1">
      <c r="B47" s="507" t="s">
        <v>115</v>
      </c>
      <c r="C47" s="6" t="s">
        <v>295</v>
      </c>
      <c r="D47" s="12" t="s">
        <v>822</v>
      </c>
      <c r="E47" s="12" t="s">
        <v>856</v>
      </c>
      <c r="F47" s="6">
        <v>1</v>
      </c>
      <c r="G47" s="6">
        <v>0</v>
      </c>
      <c r="H47" s="6" t="s">
        <v>810</v>
      </c>
      <c r="I47" s="190">
        <v>0</v>
      </c>
      <c r="J47" s="190">
        <v>6149.899636726961</v>
      </c>
      <c r="K47" s="190">
        <v>4287458.6389880152</v>
      </c>
      <c r="L47" s="190">
        <v>11331958.287363132</v>
      </c>
      <c r="M47" s="190">
        <v>8301440.3446612628</v>
      </c>
      <c r="N47" s="190">
        <v>9592060.1570154112</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row>
    <row r="48" spans="2:38" ht="12.75" customHeight="1">
      <c r="B48" s="507" t="s">
        <v>115</v>
      </c>
      <c r="C48" s="6" t="s">
        <v>295</v>
      </c>
      <c r="D48" s="12" t="s">
        <v>857</v>
      </c>
      <c r="E48" s="12">
        <v>3</v>
      </c>
      <c r="F48" s="6"/>
      <c r="G48" s="6"/>
      <c r="H48" s="6" t="s">
        <v>76</v>
      </c>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F48" s="190"/>
      <c r="AG48" s="190"/>
      <c r="AH48" s="190"/>
      <c r="AI48" s="190"/>
      <c r="AJ48" s="190"/>
      <c r="AK48" s="190"/>
      <c r="AL48" s="190"/>
    </row>
    <row r="49" spans="2:38" ht="12.75" customHeight="1">
      <c r="B49" s="507" t="s">
        <v>115</v>
      </c>
      <c r="C49" s="6" t="s">
        <v>295</v>
      </c>
      <c r="D49" s="12" t="s">
        <v>857</v>
      </c>
      <c r="E49" s="12" t="s">
        <v>858</v>
      </c>
      <c r="F49" s="6">
        <v>1</v>
      </c>
      <c r="G49" s="6">
        <v>0</v>
      </c>
      <c r="H49" s="6" t="s">
        <v>790</v>
      </c>
      <c r="I49" s="190">
        <v>0</v>
      </c>
      <c r="J49" s="190">
        <v>0</v>
      </c>
      <c r="K49" s="190">
        <v>0</v>
      </c>
      <c r="L49" s="190">
        <v>0</v>
      </c>
      <c r="M49" s="190">
        <v>0</v>
      </c>
      <c r="N49" s="190">
        <v>0</v>
      </c>
      <c r="O49" s="190">
        <v>0</v>
      </c>
      <c r="P49" s="190">
        <v>14727525.624542724</v>
      </c>
      <c r="Q49" s="190">
        <v>5775307.4610185605</v>
      </c>
      <c r="R49" s="190">
        <v>22781598.076123841</v>
      </c>
      <c r="S49" s="190">
        <v>16509842.918651201</v>
      </c>
      <c r="T49" s="190">
        <v>7904465.1326412801</v>
      </c>
      <c r="U49" s="190">
        <v>0</v>
      </c>
      <c r="V49" s="190">
        <v>0</v>
      </c>
      <c r="W49" s="190">
        <v>0</v>
      </c>
      <c r="X49" s="190">
        <v>44923386.381301276</v>
      </c>
      <c r="Y49" s="190">
        <v>44229947.455595434</v>
      </c>
      <c r="Z49" s="190">
        <v>36338707.5690744</v>
      </c>
      <c r="AA49" s="190">
        <v>24077501.480932478</v>
      </c>
      <c r="AB49" s="190">
        <v>0</v>
      </c>
      <c r="AC49" s="190">
        <v>0</v>
      </c>
      <c r="AD49" s="190">
        <v>0</v>
      </c>
      <c r="AE49" s="190">
        <v>19163673.475826878</v>
      </c>
      <c r="AF49" s="190">
        <v>21443265.461691841</v>
      </c>
      <c r="AG49" s="190">
        <v>14246721.276936004</v>
      </c>
      <c r="AH49" s="190">
        <v>12845078.99852288</v>
      </c>
      <c r="AI49" s="190">
        <v>0</v>
      </c>
      <c r="AJ49" s="190">
        <v>0</v>
      </c>
      <c r="AK49" s="190">
        <v>17801312.844270721</v>
      </c>
      <c r="AL49" s="190">
        <v>15476999.62013888</v>
      </c>
    </row>
    <row r="50" spans="2:38" ht="12.75" customHeight="1">
      <c r="B50" s="507" t="s">
        <v>115</v>
      </c>
      <c r="C50" s="6" t="s">
        <v>295</v>
      </c>
      <c r="D50" s="12" t="s">
        <v>857</v>
      </c>
      <c r="E50" s="12" t="s">
        <v>859</v>
      </c>
      <c r="F50" s="6">
        <v>1</v>
      </c>
      <c r="G50" s="6">
        <v>0</v>
      </c>
      <c r="H50" s="6" t="s">
        <v>792</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row>
    <row r="51" spans="2:38" ht="12.75" customHeight="1">
      <c r="B51" s="507" t="s">
        <v>115</v>
      </c>
      <c r="C51" s="6" t="s">
        <v>295</v>
      </c>
      <c r="D51" s="12" t="s">
        <v>857</v>
      </c>
      <c r="E51" s="12" t="s">
        <v>860</v>
      </c>
      <c r="F51" s="6">
        <v>1</v>
      </c>
      <c r="G51" s="6">
        <v>0</v>
      </c>
      <c r="H51" s="6" t="s">
        <v>794</v>
      </c>
      <c r="I51" s="190">
        <v>0</v>
      </c>
      <c r="J51" s="190">
        <v>0</v>
      </c>
      <c r="K51" s="190">
        <v>0</v>
      </c>
      <c r="L51" s="190">
        <v>0</v>
      </c>
      <c r="M51" s="190">
        <v>0</v>
      </c>
      <c r="N51" s="190">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row>
    <row r="52" spans="2:38" ht="12.75" customHeight="1">
      <c r="B52" s="507" t="s">
        <v>115</v>
      </c>
      <c r="C52" s="6" t="s">
        <v>295</v>
      </c>
      <c r="D52" s="12" t="s">
        <v>857</v>
      </c>
      <c r="E52" s="12" t="s">
        <v>861</v>
      </c>
      <c r="F52" s="6">
        <v>1</v>
      </c>
      <c r="G52" s="6">
        <v>0</v>
      </c>
      <c r="H52" s="6" t="s">
        <v>796</v>
      </c>
      <c r="I52" s="190">
        <v>0</v>
      </c>
      <c r="J52" s="190">
        <v>0</v>
      </c>
      <c r="K52" s="190">
        <v>0</v>
      </c>
      <c r="L52" s="190">
        <v>0</v>
      </c>
      <c r="M52" s="190">
        <v>0</v>
      </c>
      <c r="N52" s="190">
        <v>0</v>
      </c>
      <c r="O52" s="190">
        <v>0</v>
      </c>
      <c r="P52" s="190">
        <v>729903.80999999994</v>
      </c>
      <c r="Q52" s="190">
        <v>248703.82500000004</v>
      </c>
      <c r="R52" s="190">
        <v>857702.18</v>
      </c>
      <c r="S52" s="190">
        <v>736889.87250000006</v>
      </c>
      <c r="T52" s="190">
        <v>359921.93999999994</v>
      </c>
      <c r="U52" s="190">
        <v>0</v>
      </c>
      <c r="V52" s="190">
        <v>0</v>
      </c>
      <c r="W52" s="190">
        <v>0</v>
      </c>
      <c r="X52" s="190">
        <v>978607.63500000001</v>
      </c>
      <c r="Y52" s="190">
        <v>721706.83000000007</v>
      </c>
      <c r="Z52" s="190">
        <v>755519.37250000006</v>
      </c>
      <c r="AA52" s="190">
        <v>477287.78999999986</v>
      </c>
      <c r="AB52" s="190">
        <v>0</v>
      </c>
      <c r="AC52" s="190">
        <v>0</v>
      </c>
      <c r="AD52" s="190">
        <v>0</v>
      </c>
      <c r="AE52" s="190">
        <v>741081.51000000013</v>
      </c>
      <c r="AF52" s="190">
        <v>959232.95500000007</v>
      </c>
      <c r="AG52" s="190">
        <v>658645.97250000015</v>
      </c>
      <c r="AH52" s="190">
        <v>574161.18999999994</v>
      </c>
      <c r="AI52" s="190">
        <v>0</v>
      </c>
      <c r="AJ52" s="190">
        <v>0</v>
      </c>
      <c r="AK52" s="190">
        <v>1532648.9650000003</v>
      </c>
      <c r="AL52" s="190">
        <v>1400472.6625000001</v>
      </c>
    </row>
    <row r="53" spans="2:38" ht="12.75" customHeight="1">
      <c r="B53" s="507" t="s">
        <v>115</v>
      </c>
      <c r="C53" s="6" t="s">
        <v>295</v>
      </c>
      <c r="D53" s="12" t="s">
        <v>857</v>
      </c>
      <c r="E53" s="12" t="s">
        <v>862</v>
      </c>
      <c r="F53" s="6">
        <v>1</v>
      </c>
      <c r="G53" s="6">
        <v>0</v>
      </c>
      <c r="H53" s="6" t="s">
        <v>804</v>
      </c>
      <c r="I53" s="190">
        <v>0</v>
      </c>
      <c r="J53" s="190">
        <v>0</v>
      </c>
      <c r="K53" s="190">
        <v>0</v>
      </c>
      <c r="L53" s="190">
        <v>0</v>
      </c>
      <c r="M53" s="190">
        <v>0</v>
      </c>
      <c r="N53" s="190">
        <v>0</v>
      </c>
      <c r="O53" s="190">
        <v>0</v>
      </c>
      <c r="P53" s="190">
        <v>190126.38204487553</v>
      </c>
      <c r="Q53" s="190">
        <v>74095.338818028293</v>
      </c>
      <c r="R53" s="190">
        <v>290763.39315032325</v>
      </c>
      <c r="S53" s="190">
        <v>212134.81333115976</v>
      </c>
      <c r="T53" s="190">
        <v>101651.96099348774</v>
      </c>
      <c r="U53" s="190">
        <v>0</v>
      </c>
      <c r="V53" s="190">
        <v>0</v>
      </c>
      <c r="W53" s="190">
        <v>0</v>
      </c>
      <c r="X53" s="190">
        <v>564594.52640050568</v>
      </c>
      <c r="Y53" s="190">
        <v>552905.34771282377</v>
      </c>
      <c r="Z53" s="190">
        <v>456258.99138136517</v>
      </c>
      <c r="AA53" s="190">
        <v>302023.90803246945</v>
      </c>
      <c r="AB53" s="190">
        <v>0</v>
      </c>
      <c r="AC53" s="190">
        <v>0</v>
      </c>
      <c r="AD53" s="190">
        <v>0</v>
      </c>
      <c r="AE53" s="190">
        <v>244828.48632567062</v>
      </c>
      <c r="AF53" s="190">
        <v>275550.73052530963</v>
      </c>
      <c r="AG53" s="190">
        <v>183336.01716806286</v>
      </c>
      <c r="AH53" s="190">
        <v>165056.65431883142</v>
      </c>
      <c r="AI53" s="190">
        <v>0</v>
      </c>
      <c r="AJ53" s="190">
        <v>0</v>
      </c>
      <c r="AK53" s="190">
        <v>237807.73025402988</v>
      </c>
      <c r="AL53" s="190">
        <v>207592.90907645825</v>
      </c>
    </row>
    <row r="54" spans="2:38" ht="12.75" customHeight="1">
      <c r="B54" s="507" t="s">
        <v>115</v>
      </c>
      <c r="C54" s="6" t="s">
        <v>295</v>
      </c>
      <c r="D54" s="12" t="s">
        <v>857</v>
      </c>
      <c r="E54" s="12" t="s">
        <v>863</v>
      </c>
      <c r="F54" s="6">
        <v>1</v>
      </c>
      <c r="G54" s="6">
        <v>0</v>
      </c>
      <c r="H54" s="6" t="s">
        <v>806</v>
      </c>
      <c r="I54" s="190">
        <v>0</v>
      </c>
      <c r="J54" s="190">
        <v>0</v>
      </c>
      <c r="K54" s="190">
        <v>0</v>
      </c>
      <c r="L54" s="190">
        <v>0</v>
      </c>
      <c r="M54" s="190">
        <v>0</v>
      </c>
      <c r="N54" s="190">
        <v>0</v>
      </c>
      <c r="O54" s="190">
        <v>0</v>
      </c>
      <c r="P54" s="190">
        <v>47918.031247082443</v>
      </c>
      <c r="Q54" s="190">
        <v>18674.434986657536</v>
      </c>
      <c r="R54" s="190">
        <v>73281.8307939839</v>
      </c>
      <c r="S54" s="190">
        <v>53464.87165256872</v>
      </c>
      <c r="T54" s="190">
        <v>25619.599925187966</v>
      </c>
      <c r="U54" s="190">
        <v>0</v>
      </c>
      <c r="V54" s="190">
        <v>0</v>
      </c>
      <c r="W54" s="190">
        <v>0</v>
      </c>
      <c r="X54" s="190">
        <v>142296.18145053394</v>
      </c>
      <c r="Y54" s="190">
        <v>139350.12828534583</v>
      </c>
      <c r="Z54" s="190">
        <v>114992.10351888064</v>
      </c>
      <c r="AA54" s="190">
        <v>76119.84673989068</v>
      </c>
      <c r="AB54" s="190">
        <v>0</v>
      </c>
      <c r="AC54" s="190">
        <v>0</v>
      </c>
      <c r="AD54" s="190">
        <v>0</v>
      </c>
      <c r="AE54" s="190">
        <v>61704.740456063322</v>
      </c>
      <c r="AF54" s="190">
        <v>69447.745091744699</v>
      </c>
      <c r="AG54" s="190">
        <v>46206.638473251609</v>
      </c>
      <c r="AH54" s="190">
        <v>41599.644584420923</v>
      </c>
      <c r="AI54" s="190">
        <v>0</v>
      </c>
      <c r="AJ54" s="190">
        <v>0</v>
      </c>
      <c r="AK54" s="190">
        <v>59935.281608739235</v>
      </c>
      <c r="AL54" s="190">
        <v>52320.164076180532</v>
      </c>
    </row>
    <row r="55" spans="2:38" ht="12.75" customHeight="1">
      <c r="B55" s="507" t="s">
        <v>115</v>
      </c>
      <c r="C55" s="6" t="s">
        <v>295</v>
      </c>
      <c r="D55" s="12" t="s">
        <v>857</v>
      </c>
      <c r="E55" s="12" t="s">
        <v>864</v>
      </c>
      <c r="F55" s="6">
        <v>1</v>
      </c>
      <c r="G55" s="6">
        <v>0</v>
      </c>
      <c r="H55" s="6" t="s">
        <v>808</v>
      </c>
      <c r="I55" s="190">
        <v>0</v>
      </c>
      <c r="J55" s="190">
        <v>0</v>
      </c>
      <c r="K55" s="190">
        <v>0</v>
      </c>
      <c r="L55" s="190">
        <v>0</v>
      </c>
      <c r="M55" s="190">
        <v>0</v>
      </c>
      <c r="N55" s="190">
        <v>0</v>
      </c>
      <c r="O55" s="190">
        <v>0</v>
      </c>
      <c r="P55" s="190">
        <v>896.53090720347802</v>
      </c>
      <c r="Q55" s="190">
        <v>349.39265458907653</v>
      </c>
      <c r="R55" s="190">
        <v>1371.0794148551827</v>
      </c>
      <c r="S55" s="190">
        <v>1000.3105018867695</v>
      </c>
      <c r="T55" s="190">
        <v>479.3344502131942</v>
      </c>
      <c r="U55" s="190">
        <v>0</v>
      </c>
      <c r="V55" s="190">
        <v>0</v>
      </c>
      <c r="W55" s="190">
        <v>0</v>
      </c>
      <c r="X55" s="190">
        <v>2662.3156529454741</v>
      </c>
      <c r="Y55" s="190">
        <v>2607.1959485645352</v>
      </c>
      <c r="Z55" s="190">
        <v>2151.4651626113155</v>
      </c>
      <c r="AA55" s="190">
        <v>1424.1777777140837</v>
      </c>
      <c r="AB55" s="190">
        <v>0</v>
      </c>
      <c r="AC55" s="190">
        <v>0</v>
      </c>
      <c r="AD55" s="190">
        <v>0</v>
      </c>
      <c r="AE55" s="190">
        <v>1154.4757891779591</v>
      </c>
      <c r="AF55" s="190">
        <v>1299.3449081681267</v>
      </c>
      <c r="AG55" s="190">
        <v>864.51130046728827</v>
      </c>
      <c r="AH55" s="190">
        <v>778.31593093432696</v>
      </c>
      <c r="AI55" s="190">
        <v>0</v>
      </c>
      <c r="AJ55" s="190">
        <v>0</v>
      </c>
      <c r="AK55" s="190">
        <v>1121.3697849377018</v>
      </c>
      <c r="AL55" s="190">
        <v>978.89339239305514</v>
      </c>
    </row>
    <row r="56" spans="2:38" ht="12.75" customHeight="1">
      <c r="B56" s="507" t="s">
        <v>115</v>
      </c>
      <c r="C56" s="6" t="s">
        <v>295</v>
      </c>
      <c r="D56" s="12" t="s">
        <v>857</v>
      </c>
      <c r="E56" s="12" t="s">
        <v>865</v>
      </c>
      <c r="F56" s="6">
        <v>1</v>
      </c>
      <c r="G56" s="6">
        <v>0</v>
      </c>
      <c r="H56" s="6" t="s">
        <v>810</v>
      </c>
      <c r="I56" s="190">
        <v>0</v>
      </c>
      <c r="J56" s="190">
        <v>0</v>
      </c>
      <c r="K56" s="190">
        <v>0</v>
      </c>
      <c r="L56" s="190">
        <v>0</v>
      </c>
      <c r="M56" s="190">
        <v>0</v>
      </c>
      <c r="N56" s="190">
        <v>0</v>
      </c>
      <c r="O56" s="190">
        <v>0</v>
      </c>
      <c r="P56" s="190">
        <v>386435.73586356814</v>
      </c>
      <c r="Q56" s="190">
        <v>150600.28215046402</v>
      </c>
      <c r="R56" s="190">
        <v>590982.50640309602</v>
      </c>
      <c r="S56" s="190">
        <v>431168.31977877999</v>
      </c>
      <c r="T56" s="190">
        <v>206609.67681603201</v>
      </c>
      <c r="U56" s="190">
        <v>0</v>
      </c>
      <c r="V56" s="190">
        <v>0</v>
      </c>
      <c r="W56" s="190">
        <v>0</v>
      </c>
      <c r="X56" s="190">
        <v>1147549.850407532</v>
      </c>
      <c r="Y56" s="190">
        <v>1123791.3571398859</v>
      </c>
      <c r="Z56" s="190">
        <v>927355.67353936005</v>
      </c>
      <c r="AA56" s="190">
        <v>613869.73177331197</v>
      </c>
      <c r="AB56" s="190">
        <v>0</v>
      </c>
      <c r="AC56" s="190">
        <v>0</v>
      </c>
      <c r="AD56" s="190">
        <v>0</v>
      </c>
      <c r="AE56" s="190">
        <v>497618.87464567204</v>
      </c>
      <c r="AF56" s="190">
        <v>560062.46041729604</v>
      </c>
      <c r="AG56" s="190">
        <v>372634.18123590015</v>
      </c>
      <c r="AH56" s="190">
        <v>335481.00471307198</v>
      </c>
      <c r="AI56" s="190">
        <v>0</v>
      </c>
      <c r="AJ56" s="190">
        <v>0</v>
      </c>
      <c r="AK56" s="190">
        <v>483349.04523176805</v>
      </c>
      <c r="AL56" s="190">
        <v>421936.80706597207</v>
      </c>
    </row>
    <row r="57" spans="2:38" ht="12.75" customHeight="1">
      <c r="B57" s="507" t="s">
        <v>115</v>
      </c>
      <c r="C57" s="6" t="s">
        <v>295</v>
      </c>
      <c r="D57" s="12" t="s">
        <v>857</v>
      </c>
      <c r="E57" s="12" t="s">
        <v>866</v>
      </c>
      <c r="F57" s="6"/>
      <c r="G57" s="6"/>
      <c r="H57" s="6" t="s">
        <v>867</v>
      </c>
      <c r="I57" s="190"/>
      <c r="J57" s="190"/>
      <c r="K57" s="190"/>
      <c r="L57" s="190"/>
      <c r="M57" s="190"/>
      <c r="N57" s="190"/>
      <c r="O57" s="190"/>
      <c r="P57" s="190"/>
      <c r="Q57" s="190"/>
      <c r="R57" s="190"/>
      <c r="S57" s="190"/>
      <c r="T57" s="190"/>
      <c r="U57" s="190"/>
      <c r="V57" s="190"/>
      <c r="W57" s="190"/>
      <c r="X57" s="190"/>
      <c r="Y57" s="190"/>
      <c r="Z57" s="190"/>
      <c r="AA57" s="190"/>
      <c r="AB57" s="190"/>
      <c r="AC57" s="190"/>
      <c r="AD57" s="190"/>
      <c r="AE57" s="190"/>
      <c r="AF57" s="190"/>
      <c r="AG57" s="190"/>
      <c r="AH57" s="190"/>
      <c r="AI57" s="190"/>
      <c r="AJ57" s="190"/>
      <c r="AK57" s="190"/>
      <c r="AL57" s="190"/>
    </row>
    <row r="58" spans="2:38" ht="12.75" customHeight="1">
      <c r="B58" s="507" t="s">
        <v>115</v>
      </c>
      <c r="C58" s="6" t="s">
        <v>295</v>
      </c>
      <c r="D58" s="12" t="s">
        <v>857</v>
      </c>
      <c r="E58" s="12" t="s">
        <v>858</v>
      </c>
      <c r="F58" s="6">
        <v>1</v>
      </c>
      <c r="G58" s="6">
        <v>0</v>
      </c>
      <c r="H58" s="6" t="s">
        <v>868</v>
      </c>
      <c r="I58" s="190">
        <v>0</v>
      </c>
      <c r="J58" s="190">
        <v>0</v>
      </c>
      <c r="K58" s="190">
        <v>0</v>
      </c>
      <c r="L58" s="190">
        <v>0</v>
      </c>
      <c r="M58" s="190">
        <v>0</v>
      </c>
      <c r="N58" s="190">
        <v>0</v>
      </c>
      <c r="O58" s="190">
        <v>0</v>
      </c>
      <c r="P58" s="190">
        <v>0</v>
      </c>
      <c r="Q58" s="190">
        <v>0</v>
      </c>
      <c r="R58" s="190">
        <v>0</v>
      </c>
      <c r="S58" s="190">
        <v>0</v>
      </c>
      <c r="T58" s="190">
        <v>1336736.5583615988</v>
      </c>
      <c r="U58" s="190">
        <v>0</v>
      </c>
      <c r="V58" s="190">
        <v>0</v>
      </c>
      <c r="W58" s="190">
        <v>0</v>
      </c>
      <c r="X58" s="190">
        <v>383724.26399999973</v>
      </c>
      <c r="Y58" s="190">
        <v>0</v>
      </c>
      <c r="Z58" s="190">
        <v>0</v>
      </c>
      <c r="AA58" s="190">
        <v>0</v>
      </c>
      <c r="AB58" s="190">
        <v>1336736.5583615988</v>
      </c>
      <c r="AC58" s="190">
        <v>0</v>
      </c>
      <c r="AD58" s="190">
        <v>0</v>
      </c>
      <c r="AE58" s="190">
        <v>0</v>
      </c>
      <c r="AF58" s="190">
        <v>1460266.8629999987</v>
      </c>
      <c r="AG58" s="190">
        <v>0</v>
      </c>
      <c r="AH58" s="190">
        <v>0</v>
      </c>
      <c r="AI58" s="190">
        <v>0</v>
      </c>
      <c r="AJ58" s="190">
        <v>1336736.5583615988</v>
      </c>
      <c r="AK58" s="190">
        <v>0</v>
      </c>
      <c r="AL58" s="190">
        <v>0</v>
      </c>
    </row>
    <row r="59" spans="2:38" ht="12.75" customHeight="1">
      <c r="B59" s="507" t="s">
        <v>115</v>
      </c>
      <c r="C59" s="6" t="s">
        <v>295</v>
      </c>
      <c r="D59" s="12" t="s">
        <v>857</v>
      </c>
      <c r="E59" s="12" t="s">
        <v>859</v>
      </c>
      <c r="F59" s="6">
        <v>1</v>
      </c>
      <c r="G59" s="6">
        <v>0</v>
      </c>
      <c r="H59" s="6" t="s">
        <v>869</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row>
    <row r="60" spans="2:38" ht="12.75" customHeight="1">
      <c r="B60" s="507" t="s">
        <v>115</v>
      </c>
      <c r="C60" s="6" t="s">
        <v>295</v>
      </c>
      <c r="D60" s="12" t="s">
        <v>857</v>
      </c>
      <c r="E60" s="12" t="s">
        <v>860</v>
      </c>
      <c r="F60" s="6">
        <v>1</v>
      </c>
      <c r="G60" s="6">
        <v>0</v>
      </c>
      <c r="H60" s="6" t="s">
        <v>870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row>
    <row r="61" spans="2:38" ht="12.75" customHeight="1">
      <c r="B61" s="507" t="s">
        <v>115</v>
      </c>
      <c r="C61" s="6" t="s">
        <v>295</v>
      </c>
      <c r="D61" s="12" t="s">
        <v>857</v>
      </c>
      <c r="E61" s="12" t="s">
        <v>861</v>
      </c>
      <c r="F61" s="6">
        <v>1</v>
      </c>
      <c r="G61" s="6">
        <v>0</v>
      </c>
      <c r="H61" s="6" t="s">
        <v>871</v>
      </c>
      <c r="I61" s="190">
        <v>0</v>
      </c>
      <c r="J61" s="190">
        <v>0</v>
      </c>
      <c r="K61" s="190">
        <v>0</v>
      </c>
      <c r="L61" s="190">
        <v>0</v>
      </c>
      <c r="M61" s="190">
        <v>0</v>
      </c>
      <c r="N61" s="190">
        <v>0</v>
      </c>
      <c r="O61" s="190">
        <v>0</v>
      </c>
      <c r="P61" s="190">
        <v>0</v>
      </c>
      <c r="Q61" s="190">
        <v>0</v>
      </c>
      <c r="R61" s="190">
        <v>0</v>
      </c>
      <c r="S61" s="190">
        <v>0</v>
      </c>
      <c r="T61" s="190">
        <v>92216.024999999921</v>
      </c>
      <c r="U61" s="190">
        <v>0</v>
      </c>
      <c r="V61" s="190">
        <v>0</v>
      </c>
      <c r="W61" s="190">
        <v>0</v>
      </c>
      <c r="X61" s="190">
        <v>0</v>
      </c>
      <c r="Y61" s="190">
        <v>0</v>
      </c>
      <c r="Z61" s="190">
        <v>0</v>
      </c>
      <c r="AA61" s="190">
        <v>0</v>
      </c>
      <c r="AB61" s="190">
        <v>92216.024999999921</v>
      </c>
      <c r="AC61" s="190">
        <v>0</v>
      </c>
      <c r="AD61" s="190">
        <v>0</v>
      </c>
      <c r="AE61" s="190">
        <v>0</v>
      </c>
      <c r="AF61" s="190">
        <v>0</v>
      </c>
      <c r="AG61" s="190">
        <v>0</v>
      </c>
      <c r="AH61" s="190">
        <v>0</v>
      </c>
      <c r="AI61" s="190">
        <v>0</v>
      </c>
      <c r="AJ61" s="190">
        <v>92216.024999999921</v>
      </c>
      <c r="AK61" s="190">
        <v>0</v>
      </c>
      <c r="AL61" s="190">
        <v>0</v>
      </c>
    </row>
    <row r="62" spans="2:38" ht="12.75" customHeight="1">
      <c r="B62" s="507" t="s">
        <v>115</v>
      </c>
      <c r="C62" s="6" t="s">
        <v>295</v>
      </c>
      <c r="D62" s="12" t="s">
        <v>857</v>
      </c>
      <c r="E62" s="12" t="s">
        <v>864</v>
      </c>
      <c r="F62" s="6">
        <v>1</v>
      </c>
      <c r="G62" s="6">
        <v>0</v>
      </c>
      <c r="H62" s="6" t="s">
        <v>804</v>
      </c>
      <c r="I62" s="190">
        <v>0</v>
      </c>
      <c r="J62" s="190">
        <v>0</v>
      </c>
      <c r="K62" s="190">
        <v>0</v>
      </c>
      <c r="L62" s="190">
        <v>0</v>
      </c>
      <c r="M62" s="190">
        <v>0</v>
      </c>
      <c r="N62" s="190">
        <v>0</v>
      </c>
      <c r="O62" s="190">
        <v>0</v>
      </c>
      <c r="P62" s="190">
        <v>0</v>
      </c>
      <c r="Q62" s="190">
        <v>0</v>
      </c>
      <c r="R62" s="190">
        <v>0</v>
      </c>
      <c r="S62" s="190">
        <v>0</v>
      </c>
      <c r="T62" s="190">
        <v>17576.116775347662</v>
      </c>
      <c r="U62" s="190">
        <v>0</v>
      </c>
      <c r="V62" s="190">
        <v>0</v>
      </c>
      <c r="W62" s="190">
        <v>0</v>
      </c>
      <c r="X62" s="190">
        <v>4719.8084471999964</v>
      </c>
      <c r="Y62" s="190">
        <v>0</v>
      </c>
      <c r="Z62" s="190">
        <v>0</v>
      </c>
      <c r="AA62" s="190">
        <v>0</v>
      </c>
      <c r="AB62" s="190">
        <v>17576.116775347662</v>
      </c>
      <c r="AC62" s="190">
        <v>0</v>
      </c>
      <c r="AD62" s="190">
        <v>0</v>
      </c>
      <c r="AE62" s="190">
        <v>0</v>
      </c>
      <c r="AF62" s="190">
        <v>17961.282414899986</v>
      </c>
      <c r="AG62" s="190">
        <v>0</v>
      </c>
      <c r="AH62" s="190">
        <v>0</v>
      </c>
      <c r="AI62" s="190">
        <v>0</v>
      </c>
      <c r="AJ62" s="190">
        <v>17576.116775347662</v>
      </c>
      <c r="AK62" s="190">
        <v>0</v>
      </c>
      <c r="AL62" s="190">
        <v>0</v>
      </c>
    </row>
    <row r="63" spans="2:38" ht="12.75" customHeight="1">
      <c r="B63" s="507" t="s">
        <v>115</v>
      </c>
      <c r="C63" s="6" t="s">
        <v>295</v>
      </c>
      <c r="D63" s="12" t="s">
        <v>857</v>
      </c>
      <c r="E63" s="12" t="s">
        <v>865</v>
      </c>
      <c r="F63" s="6">
        <v>1</v>
      </c>
      <c r="G63" s="6">
        <v>0</v>
      </c>
      <c r="H63" s="6" t="s">
        <v>806</v>
      </c>
      <c r="I63" s="190">
        <v>0</v>
      </c>
      <c r="J63" s="190">
        <v>0</v>
      </c>
      <c r="K63" s="190">
        <v>0</v>
      </c>
      <c r="L63" s="190">
        <v>0</v>
      </c>
      <c r="M63" s="190">
        <v>0</v>
      </c>
      <c r="N63" s="190">
        <v>0</v>
      </c>
      <c r="O63" s="190">
        <v>0</v>
      </c>
      <c r="P63" s="190">
        <v>0</v>
      </c>
      <c r="Q63" s="190">
        <v>0</v>
      </c>
      <c r="R63" s="190">
        <v>0</v>
      </c>
      <c r="S63" s="190">
        <v>0</v>
      </c>
      <c r="T63" s="190">
        <v>4429.7530084209557</v>
      </c>
      <c r="U63" s="190">
        <v>0</v>
      </c>
      <c r="V63" s="190">
        <v>0</v>
      </c>
      <c r="W63" s="190">
        <v>0</v>
      </c>
      <c r="X63" s="190">
        <v>1189.5452183999992</v>
      </c>
      <c r="Y63" s="190">
        <v>0</v>
      </c>
      <c r="Z63" s="190">
        <v>0</v>
      </c>
      <c r="AA63" s="190">
        <v>0</v>
      </c>
      <c r="AB63" s="190">
        <v>4429.7530084209557</v>
      </c>
      <c r="AC63" s="190">
        <v>0</v>
      </c>
      <c r="AD63" s="190">
        <v>0</v>
      </c>
      <c r="AE63" s="190">
        <v>0</v>
      </c>
      <c r="AF63" s="190">
        <v>4526.8272752999956</v>
      </c>
      <c r="AG63" s="190">
        <v>0</v>
      </c>
      <c r="AH63" s="190">
        <v>0</v>
      </c>
      <c r="AI63" s="190">
        <v>0</v>
      </c>
      <c r="AJ63" s="190">
        <v>4429.7530084209557</v>
      </c>
      <c r="AK63" s="190">
        <v>0</v>
      </c>
      <c r="AL63" s="190">
        <v>0</v>
      </c>
    </row>
    <row r="64" spans="2:38" ht="12.75" customHeight="1">
      <c r="B64" s="507" t="s">
        <v>115</v>
      </c>
      <c r="C64" s="6" t="s">
        <v>295</v>
      </c>
      <c r="D64" s="12" t="s">
        <v>857</v>
      </c>
      <c r="E64" s="12" t="s">
        <v>872</v>
      </c>
      <c r="F64" s="6">
        <v>1</v>
      </c>
      <c r="G64" s="6">
        <v>0</v>
      </c>
      <c r="H64" s="6" t="s">
        <v>808</v>
      </c>
      <c r="I64" s="190">
        <v>0</v>
      </c>
      <c r="J64" s="190">
        <v>0</v>
      </c>
      <c r="K64" s="190">
        <v>0</v>
      </c>
      <c r="L64" s="190">
        <v>0</v>
      </c>
      <c r="M64" s="190">
        <v>0</v>
      </c>
      <c r="N64" s="190">
        <v>0</v>
      </c>
      <c r="O64" s="190">
        <v>0</v>
      </c>
      <c r="P64" s="190">
        <v>0</v>
      </c>
      <c r="Q64" s="190">
        <v>0</v>
      </c>
      <c r="R64" s="190">
        <v>0</v>
      </c>
      <c r="S64" s="190">
        <v>0</v>
      </c>
      <c r="T64" s="190">
        <v>82.879249834972725</v>
      </c>
      <c r="U64" s="190">
        <v>0</v>
      </c>
      <c r="V64" s="190">
        <v>0</v>
      </c>
      <c r="W64" s="190">
        <v>0</v>
      </c>
      <c r="X64" s="190">
        <v>22.256007311999984</v>
      </c>
      <c r="Y64" s="190">
        <v>0</v>
      </c>
      <c r="Z64" s="190">
        <v>0</v>
      </c>
      <c r="AA64" s="190">
        <v>0</v>
      </c>
      <c r="AB64" s="190">
        <v>82.879249834972725</v>
      </c>
      <c r="AC64" s="190">
        <v>0</v>
      </c>
      <c r="AD64" s="190">
        <v>0</v>
      </c>
      <c r="AE64" s="190">
        <v>0</v>
      </c>
      <c r="AF64" s="190">
        <v>84.695478053999921</v>
      </c>
      <c r="AG64" s="190">
        <v>0</v>
      </c>
      <c r="AH64" s="190">
        <v>0</v>
      </c>
      <c r="AI64" s="190">
        <v>0</v>
      </c>
      <c r="AJ64" s="190">
        <v>82.879249834972725</v>
      </c>
      <c r="AK64" s="190">
        <v>0</v>
      </c>
      <c r="AL64" s="190">
        <v>0</v>
      </c>
    </row>
    <row r="65" spans="2:38" ht="12.75" customHeight="1">
      <c r="B65" s="507" t="s">
        <v>115</v>
      </c>
      <c r="C65" s="6" t="s">
        <v>295</v>
      </c>
      <c r="D65" s="12" t="s">
        <v>857</v>
      </c>
      <c r="E65" s="12" t="s">
        <v>873</v>
      </c>
      <c r="F65" s="6">
        <v>1</v>
      </c>
      <c r="G65" s="6">
        <v>0</v>
      </c>
      <c r="H65" s="6" t="s">
        <v>810</v>
      </c>
      <c r="I65" s="190">
        <v>0</v>
      </c>
      <c r="J65" s="190">
        <v>0</v>
      </c>
      <c r="K65" s="190">
        <v>0</v>
      </c>
      <c r="L65" s="190">
        <v>0</v>
      </c>
      <c r="M65" s="190">
        <v>0</v>
      </c>
      <c r="N65" s="190">
        <v>0</v>
      </c>
      <c r="O65" s="190">
        <v>0</v>
      </c>
      <c r="P65" s="190">
        <v>0</v>
      </c>
      <c r="Q65" s="190">
        <v>0</v>
      </c>
      <c r="R65" s="190">
        <v>0</v>
      </c>
      <c r="S65" s="190">
        <v>0</v>
      </c>
      <c r="T65" s="190">
        <v>35723.814584039967</v>
      </c>
      <c r="U65" s="190">
        <v>0</v>
      </c>
      <c r="V65" s="190">
        <v>0</v>
      </c>
      <c r="W65" s="190">
        <v>0</v>
      </c>
      <c r="X65" s="190">
        <v>9593.1065999999937</v>
      </c>
      <c r="Y65" s="190">
        <v>0</v>
      </c>
      <c r="Z65" s="190">
        <v>0</v>
      </c>
      <c r="AA65" s="190">
        <v>0</v>
      </c>
      <c r="AB65" s="190">
        <v>35723.814584039967</v>
      </c>
      <c r="AC65" s="190">
        <v>0</v>
      </c>
      <c r="AD65" s="190">
        <v>0</v>
      </c>
      <c r="AE65" s="190">
        <v>0</v>
      </c>
      <c r="AF65" s="190">
        <v>36506.671574999971</v>
      </c>
      <c r="AG65" s="190">
        <v>0</v>
      </c>
      <c r="AH65" s="190">
        <v>0</v>
      </c>
      <c r="AI65" s="190">
        <v>0</v>
      </c>
      <c r="AJ65" s="190">
        <v>35723.814584039967</v>
      </c>
      <c r="AK65" s="190">
        <v>0</v>
      </c>
      <c r="AL65" s="190">
        <v>0</v>
      </c>
    </row>
    <row r="66" spans="2:38" ht="12.75" customHeight="1">
      <c r="B66" s="507" t="s">
        <v>115</v>
      </c>
      <c r="C66" s="6" t="s">
        <v>296</v>
      </c>
      <c r="D66" s="12" t="s">
        <v>387</v>
      </c>
      <c r="E66" s="12">
        <v>1</v>
      </c>
      <c r="F66" s="6"/>
      <c r="G66" s="6"/>
      <c r="H66" s="6" t="s">
        <v>74</v>
      </c>
      <c r="I66" s="190"/>
      <c r="J66" s="190"/>
      <c r="K66" s="190"/>
      <c r="L66" s="190"/>
      <c r="M66" s="190"/>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row>
    <row r="67" spans="2:38" ht="12.75" customHeight="1">
      <c r="B67" s="507" t="s">
        <v>115</v>
      </c>
      <c r="C67" s="6" t="s">
        <v>296</v>
      </c>
      <c r="D67" s="12" t="s">
        <v>387</v>
      </c>
      <c r="E67" s="12" t="s">
        <v>789</v>
      </c>
      <c r="F67" s="6">
        <v>1</v>
      </c>
      <c r="G67" s="6">
        <v>0</v>
      </c>
      <c r="H67" s="6" t="s">
        <v>790</v>
      </c>
      <c r="I67" s="190">
        <v>60736869.311251029</v>
      </c>
      <c r="J67" s="190">
        <v>0</v>
      </c>
      <c r="K67" s="190">
        <v>0</v>
      </c>
      <c r="L67" s="190">
        <v>0</v>
      </c>
      <c r="M67" s="190">
        <v>0</v>
      </c>
      <c r="N67" s="190">
        <v>0</v>
      </c>
      <c r="O67" s="190">
        <v>0</v>
      </c>
      <c r="P67" s="190">
        <v>0</v>
      </c>
      <c r="Q67" s="190">
        <v>0</v>
      </c>
      <c r="R67" s="190">
        <v>0</v>
      </c>
      <c r="S67" s="190">
        <v>0</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row>
    <row r="68" spans="2:38" ht="12.75" customHeight="1">
      <c r="B68" s="507" t="s">
        <v>115</v>
      </c>
      <c r="C68" s="6" t="s">
        <v>296</v>
      </c>
      <c r="D68" s="12" t="s">
        <v>387</v>
      </c>
      <c r="E68" s="12" t="s">
        <v>791</v>
      </c>
      <c r="F68" s="6">
        <v>1</v>
      </c>
      <c r="G68" s="6">
        <v>0</v>
      </c>
      <c r="H68" s="6" t="s">
        <v>792</v>
      </c>
      <c r="I68" s="190">
        <v>2029907.5349227323</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row>
    <row r="69" spans="2:38" ht="12.75" customHeight="1">
      <c r="B69" s="507" t="s">
        <v>115</v>
      </c>
      <c r="C69" s="6" t="s">
        <v>296</v>
      </c>
      <c r="D69" s="12" t="s">
        <v>387</v>
      </c>
      <c r="E69" s="12" t="s">
        <v>793</v>
      </c>
      <c r="F69" s="6">
        <v>1</v>
      </c>
      <c r="G69" s="6">
        <v>0</v>
      </c>
      <c r="H69" s="6" t="s">
        <v>794</v>
      </c>
      <c r="I69" s="190">
        <v>2065431.2119534635</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row>
    <row r="70" spans="2:38" ht="12.75" customHeight="1">
      <c r="B70" s="507" t="s">
        <v>115</v>
      </c>
      <c r="C70" s="6" t="s">
        <v>296</v>
      </c>
      <c r="D70" s="12" t="s">
        <v>387</v>
      </c>
      <c r="E70" s="12" t="s">
        <v>795</v>
      </c>
      <c r="F70" s="6">
        <v>1</v>
      </c>
      <c r="G70" s="6">
        <v>0</v>
      </c>
      <c r="H70" s="6" t="s">
        <v>796</v>
      </c>
      <c r="I70" s="190">
        <v>7276110.6179859452</v>
      </c>
      <c r="J70" s="190">
        <v>0</v>
      </c>
      <c r="K70" s="190">
        <v>0</v>
      </c>
      <c r="L70" s="190">
        <v>0</v>
      </c>
      <c r="M70" s="190">
        <v>0</v>
      </c>
      <c r="N70" s="190">
        <v>0</v>
      </c>
      <c r="O70" s="190">
        <v>0</v>
      </c>
      <c r="P70" s="190">
        <v>0</v>
      </c>
      <c r="Q70" s="190">
        <v>0</v>
      </c>
      <c r="R70" s="190">
        <v>0</v>
      </c>
      <c r="S70" s="190">
        <v>0</v>
      </c>
      <c r="T70" s="190">
        <v>0</v>
      </c>
      <c r="U70" s="190">
        <v>0</v>
      </c>
      <c r="V70" s="190">
        <v>0</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row>
    <row r="71" spans="2:38" ht="12.75" customHeight="1">
      <c r="B71" s="507" t="s">
        <v>115</v>
      </c>
      <c r="C71" s="6" t="s">
        <v>296</v>
      </c>
      <c r="D71" s="12" t="s">
        <v>387</v>
      </c>
      <c r="E71" s="12" t="s">
        <v>797</v>
      </c>
      <c r="F71" s="6">
        <v>1</v>
      </c>
      <c r="G71" s="6">
        <v>0</v>
      </c>
      <c r="H71" s="6" t="s">
        <v>798</v>
      </c>
      <c r="I71" s="190">
        <v>0</v>
      </c>
      <c r="J71" s="190">
        <v>0</v>
      </c>
      <c r="K71" s="190">
        <v>0</v>
      </c>
      <c r="L71" s="190">
        <v>0</v>
      </c>
      <c r="M71" s="190">
        <v>0</v>
      </c>
      <c r="N71" s="190">
        <v>0</v>
      </c>
      <c r="O71" s="190">
        <v>0</v>
      </c>
      <c r="P71" s="190">
        <v>0</v>
      </c>
      <c r="Q71" s="190">
        <v>0</v>
      </c>
      <c r="R71" s="190">
        <v>0</v>
      </c>
      <c r="S71" s="190">
        <v>0</v>
      </c>
      <c r="T71" s="190">
        <v>0</v>
      </c>
      <c r="U71" s="190">
        <v>0</v>
      </c>
      <c r="V71" s="190">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row>
    <row r="72" spans="2:38" ht="12.75" customHeight="1">
      <c r="B72" s="507" t="s">
        <v>115</v>
      </c>
      <c r="C72" s="6" t="s">
        <v>296</v>
      </c>
      <c r="D72" s="12" t="s">
        <v>387</v>
      </c>
      <c r="E72" s="12" t="s">
        <v>799</v>
      </c>
      <c r="F72" s="6">
        <v>1</v>
      </c>
      <c r="G72" s="6">
        <v>0</v>
      </c>
      <c r="H72" s="6" t="s">
        <v>800</v>
      </c>
      <c r="I72" s="190">
        <v>71828.396397195451</v>
      </c>
      <c r="J72" s="190">
        <v>0</v>
      </c>
      <c r="K72" s="190">
        <v>0</v>
      </c>
      <c r="L72" s="190">
        <v>0</v>
      </c>
      <c r="M72" s="190">
        <v>0</v>
      </c>
      <c r="N72" s="190">
        <v>0</v>
      </c>
      <c r="O72" s="190">
        <v>0</v>
      </c>
      <c r="P72" s="190">
        <v>0</v>
      </c>
      <c r="Q72" s="190">
        <v>0</v>
      </c>
      <c r="R72" s="190">
        <v>0</v>
      </c>
      <c r="S72" s="190">
        <v>0</v>
      </c>
      <c r="T72" s="190">
        <v>0</v>
      </c>
      <c r="U72" s="190">
        <v>0</v>
      </c>
      <c r="V72" s="190">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row>
    <row r="73" spans="2:38" ht="12.75" customHeight="1">
      <c r="B73" s="507" t="s">
        <v>115</v>
      </c>
      <c r="C73" s="6" t="s">
        <v>296</v>
      </c>
      <c r="D73" s="12" t="s">
        <v>387</v>
      </c>
      <c r="E73" s="12" t="s">
        <v>801</v>
      </c>
      <c r="F73" s="6">
        <v>1</v>
      </c>
      <c r="G73" s="6">
        <v>0</v>
      </c>
      <c r="H73" s="6" t="s">
        <v>802</v>
      </c>
      <c r="I73" s="190">
        <v>587943.7312509371</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row>
    <row r="74" spans="2:38" ht="12.75" customHeight="1">
      <c r="B74" s="507" t="s">
        <v>115</v>
      </c>
      <c r="C74" s="6" t="s">
        <v>296</v>
      </c>
      <c r="D74" s="12" t="s">
        <v>387</v>
      </c>
      <c r="E74" s="12" t="s">
        <v>803</v>
      </c>
      <c r="F74" s="6">
        <v>1</v>
      </c>
      <c r="G74" s="6">
        <v>0</v>
      </c>
      <c r="H74" s="6" t="s">
        <v>804</v>
      </c>
      <c r="I74" s="190">
        <v>895047.51688626409</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row>
    <row r="75" spans="2:38" ht="12.75" customHeight="1">
      <c r="B75" s="507" t="s">
        <v>115</v>
      </c>
      <c r="C75" s="6" t="s">
        <v>296</v>
      </c>
      <c r="D75" s="12" t="s">
        <v>387</v>
      </c>
      <c r="E75" s="12" t="s">
        <v>805</v>
      </c>
      <c r="F75" s="6">
        <v>1</v>
      </c>
      <c r="G75" s="6">
        <v>0</v>
      </c>
      <c r="H75" s="6" t="s">
        <v>806</v>
      </c>
      <c r="I75" s="190">
        <v>225581.08149166004</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row>
    <row r="76" spans="2:38" ht="12.75" customHeight="1">
      <c r="B76" s="507" t="s">
        <v>115</v>
      </c>
      <c r="C76" s="6" t="s">
        <v>296</v>
      </c>
      <c r="D76" s="12" t="s">
        <v>387</v>
      </c>
      <c r="E76" s="12" t="s">
        <v>807</v>
      </c>
      <c r="F76" s="6">
        <v>1</v>
      </c>
      <c r="G76" s="6">
        <v>0</v>
      </c>
      <c r="H76" s="6" t="s">
        <v>808</v>
      </c>
      <c r="I76" s="190">
        <v>4220.5492666181553</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row>
    <row r="77" spans="2:38" ht="12.75" customHeight="1">
      <c r="B77" s="507" t="s">
        <v>115</v>
      </c>
      <c r="C77" s="6" t="s">
        <v>296</v>
      </c>
      <c r="D77" s="12" t="s">
        <v>387</v>
      </c>
      <c r="E77" s="12" t="s">
        <v>809</v>
      </c>
      <c r="F77" s="6">
        <v>1</v>
      </c>
      <c r="G77" s="6">
        <v>0</v>
      </c>
      <c r="H77" s="6" t="s">
        <v>810</v>
      </c>
      <c r="I77" s="190">
        <v>1819202.2700940326</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row>
    <row r="78" spans="2:38" ht="12.75" customHeight="1">
      <c r="B78" s="507" t="s">
        <v>115</v>
      </c>
      <c r="C78" s="6" t="s">
        <v>296</v>
      </c>
      <c r="D78" s="12" t="s">
        <v>415</v>
      </c>
      <c r="E78" s="12">
        <v>2</v>
      </c>
      <c r="F78" s="6"/>
      <c r="G78" s="6"/>
      <c r="H78" s="6" t="s">
        <v>75</v>
      </c>
      <c r="I78" s="190"/>
      <c r="J78" s="190"/>
      <c r="K78" s="190"/>
      <c r="L78" s="190"/>
      <c r="M78" s="190"/>
      <c r="N78" s="190"/>
      <c r="O78" s="190"/>
      <c r="P78" s="190"/>
      <c r="Q78" s="190"/>
      <c r="R78" s="190"/>
      <c r="S78" s="190"/>
      <c r="T78" s="190"/>
      <c r="U78" s="190"/>
      <c r="V78" s="190"/>
      <c r="W78" s="190"/>
      <c r="X78" s="190"/>
      <c r="Y78" s="190"/>
      <c r="Z78" s="190"/>
      <c r="AA78" s="190"/>
      <c r="AB78" s="190"/>
      <c r="AC78" s="190"/>
      <c r="AD78" s="190"/>
      <c r="AE78" s="190"/>
      <c r="AF78" s="190"/>
      <c r="AG78" s="190"/>
      <c r="AH78" s="190"/>
      <c r="AI78" s="190"/>
      <c r="AJ78" s="190"/>
      <c r="AK78" s="190"/>
      <c r="AL78" s="190"/>
    </row>
    <row r="79" spans="2:38" ht="12.75" customHeight="1">
      <c r="B79" s="507" t="s">
        <v>115</v>
      </c>
      <c r="C79" s="6" t="s">
        <v>296</v>
      </c>
      <c r="D79" s="12" t="s">
        <v>415</v>
      </c>
      <c r="E79" s="12" t="s">
        <v>811</v>
      </c>
      <c r="F79" s="6">
        <v>1</v>
      </c>
      <c r="G79" s="6">
        <v>0</v>
      </c>
      <c r="H79" s="6" t="s">
        <v>790</v>
      </c>
      <c r="I79" s="190">
        <v>0</v>
      </c>
      <c r="J79" s="190">
        <v>21212599.928130414</v>
      </c>
      <c r="K79" s="190">
        <v>19914033.361871835</v>
      </c>
      <c r="L79" s="190">
        <v>11846155.561305376</v>
      </c>
      <c r="M79" s="190">
        <v>14989619.078588087</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row>
    <row r="80" spans="2:38" ht="12.75" customHeight="1">
      <c r="B80" s="507" t="s">
        <v>115</v>
      </c>
      <c r="C80" s="6" t="s">
        <v>296</v>
      </c>
      <c r="D80" s="12" t="s">
        <v>415</v>
      </c>
      <c r="E80" s="12" t="s">
        <v>812</v>
      </c>
      <c r="F80" s="6">
        <v>1</v>
      </c>
      <c r="G80" s="6">
        <v>0</v>
      </c>
      <c r="H80" s="6" t="s">
        <v>792</v>
      </c>
      <c r="I80" s="190">
        <v>0</v>
      </c>
      <c r="J80" s="190">
        <v>5197606.5188686112</v>
      </c>
      <c r="K80" s="190">
        <v>902908.64096017205</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row>
    <row r="81" spans="2:38" ht="12.75" customHeight="1">
      <c r="B81" s="507" t="s">
        <v>115</v>
      </c>
      <c r="C81" s="6" t="s">
        <v>296</v>
      </c>
      <c r="D81" s="12" t="s">
        <v>415</v>
      </c>
      <c r="E81" s="12" t="s">
        <v>813</v>
      </c>
      <c r="F81" s="6">
        <v>1</v>
      </c>
      <c r="G81" s="6">
        <v>0</v>
      </c>
      <c r="H81" s="6" t="s">
        <v>794</v>
      </c>
      <c r="I81" s="190">
        <v>0</v>
      </c>
      <c r="J81" s="190">
        <v>590984.42126961343</v>
      </c>
      <c r="K81" s="190">
        <v>590984.42126961343</v>
      </c>
      <c r="L81" s="190">
        <v>590984.42126961343</v>
      </c>
      <c r="M81" s="190">
        <v>590984.42126961343</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row>
    <row r="82" spans="2:38" ht="12.75" customHeight="1">
      <c r="B82" s="507" t="s">
        <v>115</v>
      </c>
      <c r="C82" s="6" t="s">
        <v>296</v>
      </c>
      <c r="D82" s="12" t="s">
        <v>415</v>
      </c>
      <c r="E82" s="12" t="s">
        <v>814</v>
      </c>
      <c r="F82" s="6">
        <v>1</v>
      </c>
      <c r="G82" s="6">
        <v>0</v>
      </c>
      <c r="H82" s="6" t="s">
        <v>796</v>
      </c>
      <c r="I82" s="190">
        <v>0</v>
      </c>
      <c r="J82" s="190">
        <v>3244649.6941295676</v>
      </c>
      <c r="K82" s="190">
        <v>3244649.6941295676</v>
      </c>
      <c r="L82" s="190">
        <v>3244649.6941295676</v>
      </c>
      <c r="M82" s="190">
        <v>3186322.7841295679</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row>
    <row r="83" spans="2:38" ht="12.75" customHeight="1">
      <c r="B83" s="507" t="s">
        <v>115</v>
      </c>
      <c r="C83" s="6" t="s">
        <v>296</v>
      </c>
      <c r="D83" s="12" t="s">
        <v>415</v>
      </c>
      <c r="E83" s="12" t="s">
        <v>815</v>
      </c>
      <c r="F83" s="6">
        <v>1</v>
      </c>
      <c r="G83" s="6">
        <v>0</v>
      </c>
      <c r="H83" s="6" t="s">
        <v>798</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row>
    <row r="84" spans="2:38" ht="12.75" customHeight="1">
      <c r="B84" s="507" t="s">
        <v>115</v>
      </c>
      <c r="C84" s="6" t="s">
        <v>296</v>
      </c>
      <c r="D84" s="12" t="s">
        <v>415</v>
      </c>
      <c r="E84" s="12" t="s">
        <v>816</v>
      </c>
      <c r="F84" s="6">
        <v>1</v>
      </c>
      <c r="G84" s="6">
        <v>0</v>
      </c>
      <c r="H84" s="6" t="s">
        <v>800</v>
      </c>
      <c r="I84" s="190">
        <v>0</v>
      </c>
      <c r="J84" s="190">
        <v>46442.919999999991</v>
      </c>
      <c r="K84" s="190">
        <v>5103.28</v>
      </c>
      <c r="L84" s="190">
        <v>5103.28</v>
      </c>
      <c r="M84" s="190">
        <v>2551.64</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row>
    <row r="85" spans="2:38" ht="12.75" customHeight="1">
      <c r="B85" s="507" t="s">
        <v>115</v>
      </c>
      <c r="C85" s="6" t="s">
        <v>296</v>
      </c>
      <c r="D85" s="12" t="s">
        <v>415</v>
      </c>
      <c r="E85" s="12" t="s">
        <v>817</v>
      </c>
      <c r="F85" s="6">
        <v>1</v>
      </c>
      <c r="G85" s="6">
        <v>0</v>
      </c>
      <c r="H85" s="6" t="s">
        <v>802</v>
      </c>
      <c r="I85" s="190">
        <v>0</v>
      </c>
      <c r="J85" s="190">
        <v>403492.1948743207</v>
      </c>
      <c r="K85" s="190">
        <v>403492.1948743207</v>
      </c>
      <c r="L85" s="190">
        <v>403492.1948743207</v>
      </c>
      <c r="M85" s="190">
        <v>403492.1948743207</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row>
    <row r="86" spans="2:38" ht="12.75" customHeight="1">
      <c r="B86" s="507" t="s">
        <v>115</v>
      </c>
      <c r="C86" s="6" t="s">
        <v>296</v>
      </c>
      <c r="D86" s="12" t="s">
        <v>415</v>
      </c>
      <c r="E86" s="12" t="s">
        <v>818</v>
      </c>
      <c r="F86" s="6">
        <v>1</v>
      </c>
      <c r="G86" s="6">
        <v>0</v>
      </c>
      <c r="H86" s="6" t="s">
        <v>804</v>
      </c>
      <c r="I86" s="190">
        <v>0</v>
      </c>
      <c r="J86" s="190">
        <v>377558.04083045211</v>
      </c>
      <c r="K86" s="190">
        <v>308252.41059519775</v>
      </c>
      <c r="L86" s="190">
        <v>197911.7373644202</v>
      </c>
      <c r="M86" s="190">
        <v>235827.53246199756</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row>
    <row r="87" spans="2:38" ht="12.75" customHeight="1">
      <c r="B87" s="507" t="s">
        <v>115</v>
      </c>
      <c r="C87" s="6" t="s">
        <v>296</v>
      </c>
      <c r="D87" s="12" t="s">
        <v>415</v>
      </c>
      <c r="E87" s="12" t="s">
        <v>819</v>
      </c>
      <c r="F87" s="6">
        <v>1</v>
      </c>
      <c r="G87" s="6">
        <v>0</v>
      </c>
      <c r="H87" s="6" t="s">
        <v>806</v>
      </c>
      <c r="I87" s="190">
        <v>0</v>
      </c>
      <c r="J87" s="190">
        <v>95156.90459954484</v>
      </c>
      <c r="K87" s="190">
        <v>77689.631938627077</v>
      </c>
      <c r="L87" s="190">
        <v>49880.193969894521</v>
      </c>
      <c r="M87" s="190">
        <v>59436.207368470925</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row>
    <row r="88" spans="2:38" ht="12.75" customHeight="1">
      <c r="B88" s="507" t="s">
        <v>115</v>
      </c>
      <c r="C88" s="6" t="s">
        <v>296</v>
      </c>
      <c r="D88" s="12" t="s">
        <v>415</v>
      </c>
      <c r="E88" s="12" t="s">
        <v>820</v>
      </c>
      <c r="F88" s="6">
        <v>1</v>
      </c>
      <c r="G88" s="6">
        <v>0</v>
      </c>
      <c r="H88" s="6" t="s">
        <v>808</v>
      </c>
      <c r="I88" s="190">
        <v>0</v>
      </c>
      <c r="J88" s="190">
        <v>1780.3549892818066</v>
      </c>
      <c r="K88" s="190">
        <v>1453.5479524001196</v>
      </c>
      <c r="L88" s="190">
        <v>933.24233879157487</v>
      </c>
      <c r="M88" s="190">
        <v>1112.0322668939723</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row>
    <row r="89" spans="2:38" ht="12.75" customHeight="1">
      <c r="B89" s="507" t="s">
        <v>115</v>
      </c>
      <c r="C89" s="6" t="s">
        <v>296</v>
      </c>
      <c r="D89" s="12" t="s">
        <v>415</v>
      </c>
      <c r="E89" s="12" t="s">
        <v>821</v>
      </c>
      <c r="F89" s="6">
        <v>1</v>
      </c>
      <c r="G89" s="6">
        <v>0</v>
      </c>
      <c r="H89" s="6" t="s">
        <v>810</v>
      </c>
      <c r="I89" s="190">
        <v>0</v>
      </c>
      <c r="J89" s="190">
        <v>767394.39193181321</v>
      </c>
      <c r="K89" s="190">
        <v>626529.28982763772</v>
      </c>
      <c r="L89" s="190">
        <v>402259.62878947193</v>
      </c>
      <c r="M89" s="190">
        <v>479324.25297153974</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row>
    <row r="90" spans="2:38" ht="12.75" customHeight="1">
      <c r="B90" s="507" t="s">
        <v>115</v>
      </c>
      <c r="C90" s="6" t="s">
        <v>296</v>
      </c>
      <c r="D90" s="12" t="s">
        <v>822</v>
      </c>
      <c r="E90" s="12">
        <v>4</v>
      </c>
      <c r="F90" s="6"/>
      <c r="G90" s="6"/>
      <c r="H90" s="6" t="s">
        <v>77</v>
      </c>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row>
    <row r="91" spans="2:38" ht="12.75" customHeight="1">
      <c r="B91" s="507" t="s">
        <v>115</v>
      </c>
      <c r="C91" s="6" t="s">
        <v>296</v>
      </c>
      <c r="D91" s="12" t="s">
        <v>822</v>
      </c>
      <c r="E91" s="12" t="s">
        <v>823</v>
      </c>
      <c r="F91" s="6">
        <v>1</v>
      </c>
      <c r="G91" s="6">
        <v>0</v>
      </c>
      <c r="H91" s="6" t="s">
        <v>824</v>
      </c>
      <c r="I91" s="190">
        <v>0</v>
      </c>
      <c r="J91" s="190">
        <v>0</v>
      </c>
      <c r="K91" s="190">
        <v>0</v>
      </c>
      <c r="L91" s="190">
        <v>0</v>
      </c>
      <c r="M91" s="190">
        <v>0</v>
      </c>
      <c r="N91" s="190">
        <v>0</v>
      </c>
      <c r="O91" s="190">
        <v>0</v>
      </c>
      <c r="P91" s="190">
        <v>0</v>
      </c>
      <c r="Q91" s="190">
        <v>0</v>
      </c>
      <c r="R91" s="190">
        <v>0</v>
      </c>
      <c r="S91" s="190">
        <v>0</v>
      </c>
      <c r="T91" s="190">
        <v>0</v>
      </c>
      <c r="U91" s="190">
        <v>0</v>
      </c>
      <c r="V91" s="190">
        <v>0</v>
      </c>
      <c r="W91" s="190">
        <v>43400000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row>
    <row r="92" spans="2:38" ht="12.75" customHeight="1">
      <c r="B92" s="507" t="s">
        <v>115</v>
      </c>
      <c r="C92" s="6" t="s">
        <v>296</v>
      </c>
      <c r="D92" s="12" t="s">
        <v>822</v>
      </c>
      <c r="E92" s="12" t="s">
        <v>825</v>
      </c>
      <c r="F92" s="6">
        <v>1</v>
      </c>
      <c r="G92" s="6">
        <v>0</v>
      </c>
      <c r="H92" s="6" t="s">
        <v>826</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row>
    <row r="93" spans="2:38" ht="12.75" customHeight="1">
      <c r="B93" s="507" t="s">
        <v>115</v>
      </c>
      <c r="C93" s="6" t="s">
        <v>296</v>
      </c>
      <c r="D93" s="12" t="s">
        <v>822</v>
      </c>
      <c r="E93" s="12" t="s">
        <v>827</v>
      </c>
      <c r="F93" s="6">
        <v>1</v>
      </c>
      <c r="G93" s="6">
        <v>0</v>
      </c>
      <c r="H93" s="6" t="s">
        <v>828</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row>
    <row r="94" spans="2:38" ht="12.75" customHeight="1">
      <c r="B94" s="507" t="s">
        <v>115</v>
      </c>
      <c r="C94" s="6" t="s">
        <v>296</v>
      </c>
      <c r="D94" s="12" t="s">
        <v>822</v>
      </c>
      <c r="E94" s="12" t="s">
        <v>829</v>
      </c>
      <c r="F94" s="6">
        <v>1</v>
      </c>
      <c r="G94" s="6">
        <v>0</v>
      </c>
      <c r="H94" s="6" t="s">
        <v>830</v>
      </c>
      <c r="I94" s="190">
        <v>0</v>
      </c>
      <c r="J94" s="190">
        <v>0</v>
      </c>
      <c r="K94" s="190">
        <v>9365154.5243594348</v>
      </c>
      <c r="L94" s="190">
        <v>43104431.003006816</v>
      </c>
      <c r="M94" s="190">
        <v>37027253.046051025</v>
      </c>
      <c r="N94" s="190">
        <v>30455733.23578744</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row>
    <row r="95" spans="2:38" ht="12.75" customHeight="1">
      <c r="B95" s="507" t="s">
        <v>115</v>
      </c>
      <c r="C95" s="6" t="s">
        <v>296</v>
      </c>
      <c r="D95" s="12" t="s">
        <v>822</v>
      </c>
      <c r="E95" s="12" t="s">
        <v>831</v>
      </c>
      <c r="F95" s="6">
        <v>1</v>
      </c>
      <c r="G95" s="6">
        <v>0</v>
      </c>
      <c r="H95" s="6" t="s">
        <v>832</v>
      </c>
      <c r="I95" s="190">
        <v>0</v>
      </c>
      <c r="J95" s="190">
        <v>0</v>
      </c>
      <c r="K95" s="190">
        <v>14812002.987045698</v>
      </c>
      <c r="L95" s="190">
        <v>34566449.198726259</v>
      </c>
      <c r="M95" s="190">
        <v>27244076.961715195</v>
      </c>
      <c r="N95" s="190">
        <v>52075024.70078671</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row>
    <row r="96" spans="2:38" ht="12.75" customHeight="1">
      <c r="B96" s="507" t="s">
        <v>115</v>
      </c>
      <c r="C96" s="6" t="s">
        <v>296</v>
      </c>
      <c r="D96" s="12" t="s">
        <v>822</v>
      </c>
      <c r="E96" s="12" t="s">
        <v>833</v>
      </c>
      <c r="F96" s="6">
        <v>1</v>
      </c>
      <c r="G96" s="6">
        <v>0</v>
      </c>
      <c r="H96" s="6" t="s">
        <v>834</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row>
    <row r="97" spans="2:38" ht="12.75" customHeight="1">
      <c r="B97" s="507" t="s">
        <v>115</v>
      </c>
      <c r="C97" s="6" t="s">
        <v>296</v>
      </c>
      <c r="D97" s="12" t="s">
        <v>822</v>
      </c>
      <c r="E97" s="12" t="s">
        <v>835</v>
      </c>
      <c r="F97" s="6">
        <v>1</v>
      </c>
      <c r="G97" s="6">
        <v>0</v>
      </c>
      <c r="H97" s="6" t="s">
        <v>836</v>
      </c>
      <c r="I97" s="190">
        <v>0</v>
      </c>
      <c r="J97" s="190">
        <v>0</v>
      </c>
      <c r="K97" s="190">
        <v>19175314.511710402</v>
      </c>
      <c r="L97" s="190">
        <v>6083865.6654329123</v>
      </c>
      <c r="M97" s="190">
        <v>12167731.330865825</v>
      </c>
      <c r="N97" s="190">
        <v>6083865.6654329123</v>
      </c>
      <c r="O97" s="190">
        <v>0</v>
      </c>
      <c r="P97" s="190">
        <v>0</v>
      </c>
      <c r="Q97" s="190">
        <v>0</v>
      </c>
      <c r="R97" s="190">
        <v>0</v>
      </c>
      <c r="S97" s="190">
        <v>0</v>
      </c>
      <c r="T97" s="190">
        <v>0</v>
      </c>
      <c r="U97" s="190">
        <v>0</v>
      </c>
      <c r="V97" s="190">
        <v>0</v>
      </c>
      <c r="W97" s="190">
        <v>6705016.1418952104</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row>
    <row r="98" spans="2:38" ht="12.75" customHeight="1">
      <c r="B98" s="507" t="s">
        <v>115</v>
      </c>
      <c r="C98" s="6" t="s">
        <v>296</v>
      </c>
      <c r="D98" s="12" t="s">
        <v>822</v>
      </c>
      <c r="E98" s="12" t="s">
        <v>837</v>
      </c>
      <c r="F98" s="6">
        <v>1</v>
      </c>
      <c r="G98" s="6">
        <v>0</v>
      </c>
      <c r="H98" s="6" t="s">
        <v>838</v>
      </c>
      <c r="I98" s="190">
        <v>0</v>
      </c>
      <c r="J98" s="190">
        <v>0</v>
      </c>
      <c r="K98" s="190">
        <v>0</v>
      </c>
      <c r="L98" s="190">
        <v>5807900.6504859366</v>
      </c>
      <c r="M98" s="190">
        <v>0</v>
      </c>
      <c r="N98" s="190">
        <v>3289535.2911462234</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row>
    <row r="99" spans="2:38" ht="12.75" customHeight="1">
      <c r="B99" s="507" t="s">
        <v>115</v>
      </c>
      <c r="C99" s="6" t="s">
        <v>296</v>
      </c>
      <c r="D99" s="12" t="s">
        <v>822</v>
      </c>
      <c r="E99" s="12" t="s">
        <v>839</v>
      </c>
      <c r="F99" s="6">
        <v>1</v>
      </c>
      <c r="G99" s="6">
        <v>0</v>
      </c>
      <c r="H99" s="6" t="s">
        <v>840</v>
      </c>
      <c r="I99" s="190">
        <v>0</v>
      </c>
      <c r="J99" s="190">
        <v>0</v>
      </c>
      <c r="K99" s="190">
        <v>86583.227034681811</v>
      </c>
      <c r="L99" s="190">
        <v>519499.3622080909</v>
      </c>
      <c r="M99" s="190">
        <v>606082.58924277255</v>
      </c>
      <c r="N99" s="190">
        <v>346332.90813872725</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row>
    <row r="100" spans="2:38" ht="12.75" customHeight="1">
      <c r="B100" s="507" t="s">
        <v>115</v>
      </c>
      <c r="C100" s="6" t="s">
        <v>296</v>
      </c>
      <c r="D100" s="12" t="s">
        <v>822</v>
      </c>
      <c r="E100" s="12" t="s">
        <v>841</v>
      </c>
      <c r="F100" s="6">
        <v>1</v>
      </c>
      <c r="G100" s="6">
        <v>0</v>
      </c>
      <c r="H100" s="6" t="s">
        <v>842</v>
      </c>
      <c r="I100" s="190">
        <v>0</v>
      </c>
      <c r="J100" s="190">
        <v>0</v>
      </c>
      <c r="K100" s="190">
        <v>2341262.8261096445</v>
      </c>
      <c r="L100" s="190">
        <v>1755947.1195822335</v>
      </c>
      <c r="M100" s="190">
        <v>3511894.239164467</v>
      </c>
      <c r="N100" s="190">
        <v>4097209.9456918789</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row>
    <row r="101" spans="2:38" ht="12.75" customHeight="1">
      <c r="B101" s="507" t="s">
        <v>115</v>
      </c>
      <c r="C101" s="6" t="s">
        <v>296</v>
      </c>
      <c r="D101" s="12" t="s">
        <v>822</v>
      </c>
      <c r="E101" s="12" t="s">
        <v>843</v>
      </c>
      <c r="F101" s="6">
        <v>1</v>
      </c>
      <c r="G101" s="6">
        <v>0</v>
      </c>
      <c r="H101" s="6" t="s">
        <v>844</v>
      </c>
      <c r="I101" s="190">
        <v>0</v>
      </c>
      <c r="J101" s="190">
        <v>0</v>
      </c>
      <c r="K101" s="190">
        <v>19506801.733958043</v>
      </c>
      <c r="L101" s="190">
        <v>10945228.16183869</v>
      </c>
      <c r="M101" s="190">
        <v>2789822.9039513776</v>
      </c>
      <c r="N101" s="190">
        <v>2373816.8524546949</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row>
    <row r="102" spans="2:38" ht="12.75" customHeight="1">
      <c r="B102" s="507" t="s">
        <v>115</v>
      </c>
      <c r="C102" s="6" t="s">
        <v>296</v>
      </c>
      <c r="D102" s="12" t="s">
        <v>822</v>
      </c>
      <c r="E102" s="12" t="s">
        <v>845</v>
      </c>
      <c r="F102" s="6">
        <v>1</v>
      </c>
      <c r="G102" s="6">
        <v>0</v>
      </c>
      <c r="H102" s="6" t="s">
        <v>846</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row>
    <row r="103" spans="2:38" ht="12.75" customHeight="1">
      <c r="B103" s="507" t="s">
        <v>115</v>
      </c>
      <c r="C103" s="6" t="s">
        <v>296</v>
      </c>
      <c r="D103" s="12" t="s">
        <v>822</v>
      </c>
      <c r="E103" s="12" t="s">
        <v>847</v>
      </c>
      <c r="F103" s="6">
        <v>1</v>
      </c>
      <c r="G103" s="6">
        <v>0</v>
      </c>
      <c r="H103" s="6" t="s">
        <v>874</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row>
    <row r="104" spans="2:38" ht="12.75" customHeight="1">
      <c r="B104" s="507" t="s">
        <v>115</v>
      </c>
      <c r="C104" s="6" t="s">
        <v>296</v>
      </c>
      <c r="D104" s="12" t="s">
        <v>822</v>
      </c>
      <c r="E104" s="12" t="s">
        <v>849</v>
      </c>
      <c r="F104" s="6">
        <v>1</v>
      </c>
      <c r="G104" s="6">
        <v>0</v>
      </c>
      <c r="H104" s="6" t="s">
        <v>850</v>
      </c>
      <c r="I104" s="190">
        <v>0</v>
      </c>
      <c r="J104" s="190">
        <v>0</v>
      </c>
      <c r="K104" s="190">
        <v>981986.43193973112</v>
      </c>
      <c r="L104" s="190">
        <v>196397.28638794625</v>
      </c>
      <c r="M104" s="190">
        <v>1178383.7183276773</v>
      </c>
      <c r="N104" s="190">
        <v>981986.43193973135</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row>
    <row r="105" spans="2:38" ht="12.75" customHeight="1">
      <c r="B105" s="507" t="s">
        <v>115</v>
      </c>
      <c r="C105" s="6" t="s">
        <v>296</v>
      </c>
      <c r="D105" s="12" t="s">
        <v>822</v>
      </c>
      <c r="E105" s="12" t="s">
        <v>851</v>
      </c>
      <c r="F105" s="6">
        <v>1</v>
      </c>
      <c r="G105" s="6">
        <v>0</v>
      </c>
      <c r="H105" s="6" t="s">
        <v>852</v>
      </c>
      <c r="I105" s="190">
        <v>0</v>
      </c>
      <c r="J105" s="190">
        <v>141039.69309830599</v>
      </c>
      <c r="K105" s="190">
        <v>119954.33388414134</v>
      </c>
      <c r="L105" s="190">
        <v>419690.84252592898</v>
      </c>
      <c r="M105" s="190">
        <v>7649984.1925017219</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row>
    <row r="106" spans="2:38" ht="12.75" customHeight="1">
      <c r="B106" s="507" t="s">
        <v>115</v>
      </c>
      <c r="C106" s="6" t="s">
        <v>296</v>
      </c>
      <c r="D106" s="12" t="s">
        <v>822</v>
      </c>
      <c r="E106" s="12" t="s">
        <v>853</v>
      </c>
      <c r="F106" s="6">
        <v>1</v>
      </c>
      <c r="G106" s="6">
        <v>0</v>
      </c>
      <c r="H106" s="6" t="s">
        <v>804</v>
      </c>
      <c r="I106" s="190">
        <v>0</v>
      </c>
      <c r="J106" s="190">
        <v>1734.7882251091637</v>
      </c>
      <c r="K106" s="190">
        <v>816585.44508531387</v>
      </c>
      <c r="L106" s="190">
        <v>1271812.7342693966</v>
      </c>
      <c r="M106" s="190">
        <v>1133755.3164763867</v>
      </c>
      <c r="N106" s="190">
        <v>1226353.1118859532</v>
      </c>
      <c r="O106" s="190">
        <v>0</v>
      </c>
      <c r="P106" s="190">
        <v>0</v>
      </c>
      <c r="Q106" s="190">
        <v>0</v>
      </c>
      <c r="R106" s="190">
        <v>0</v>
      </c>
      <c r="S106" s="190">
        <v>0</v>
      </c>
      <c r="T106" s="190">
        <v>0</v>
      </c>
      <c r="U106" s="190">
        <v>0</v>
      </c>
      <c r="V106" s="190">
        <v>0</v>
      </c>
      <c r="W106" s="190">
        <v>616291.69854531111</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row>
    <row r="107" spans="2:38" ht="12.75" customHeight="1">
      <c r="B107" s="507" t="s">
        <v>115</v>
      </c>
      <c r="C107" s="6" t="s">
        <v>296</v>
      </c>
      <c r="D107" s="12" t="s">
        <v>822</v>
      </c>
      <c r="E107" s="12" t="s">
        <v>854</v>
      </c>
      <c r="F107" s="6">
        <v>1</v>
      </c>
      <c r="G107" s="6">
        <v>0</v>
      </c>
      <c r="H107" s="6" t="s">
        <v>806</v>
      </c>
      <c r="I107" s="190">
        <v>0</v>
      </c>
      <c r="J107" s="190">
        <v>437.22304860474856</v>
      </c>
      <c r="K107" s="190">
        <v>205806.0877857295</v>
      </c>
      <c r="L107" s="190">
        <v>320538.168799604</v>
      </c>
      <c r="M107" s="190">
        <v>285743.20984364219</v>
      </c>
      <c r="N107" s="190">
        <v>309080.86559727276</v>
      </c>
      <c r="O107" s="190">
        <v>0</v>
      </c>
      <c r="P107" s="190">
        <v>0</v>
      </c>
      <c r="Q107" s="190">
        <v>0</v>
      </c>
      <c r="R107" s="190">
        <v>0</v>
      </c>
      <c r="S107" s="190">
        <v>0</v>
      </c>
      <c r="T107" s="190">
        <v>0</v>
      </c>
      <c r="U107" s="190">
        <v>0</v>
      </c>
      <c r="V107" s="190">
        <v>0</v>
      </c>
      <c r="W107" s="190">
        <v>155325.55003987515</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row>
    <row r="108" spans="2:38" ht="12.75" customHeight="1">
      <c r="B108" s="507" t="s">
        <v>115</v>
      </c>
      <c r="C108" s="6" t="s">
        <v>296</v>
      </c>
      <c r="D108" s="12" t="s">
        <v>822</v>
      </c>
      <c r="E108" s="12" t="s">
        <v>855</v>
      </c>
      <c r="F108" s="6">
        <v>1</v>
      </c>
      <c r="G108" s="6">
        <v>0</v>
      </c>
      <c r="H108" s="6" t="s">
        <v>808</v>
      </c>
      <c r="I108" s="190">
        <v>0</v>
      </c>
      <c r="J108" s="190">
        <v>8.1803021997017478</v>
      </c>
      <c r="K108" s="190">
        <v>3850.5655134104227</v>
      </c>
      <c r="L108" s="190">
        <v>5997.1657388313006</v>
      </c>
      <c r="M108" s="190">
        <v>5346.1632809455632</v>
      </c>
      <c r="N108" s="190">
        <v>5782.8032918199424</v>
      </c>
      <c r="O108" s="190">
        <v>0</v>
      </c>
      <c r="P108" s="190">
        <v>0</v>
      </c>
      <c r="Q108" s="190">
        <v>0</v>
      </c>
      <c r="R108" s="190">
        <v>0</v>
      </c>
      <c r="S108" s="190">
        <v>0</v>
      </c>
      <c r="T108" s="190">
        <v>0</v>
      </c>
      <c r="U108" s="190">
        <v>0</v>
      </c>
      <c r="V108" s="190">
        <v>0</v>
      </c>
      <c r="W108" s="190">
        <v>2906.0909362299221</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row>
    <row r="109" spans="2:38" ht="12.75" customHeight="1">
      <c r="B109" s="507" t="s">
        <v>115</v>
      </c>
      <c r="C109" s="6" t="s">
        <v>296</v>
      </c>
      <c r="D109" s="12" t="s">
        <v>822</v>
      </c>
      <c r="E109" s="12" t="s">
        <v>856</v>
      </c>
      <c r="F109" s="6">
        <v>1</v>
      </c>
      <c r="G109" s="6">
        <v>0</v>
      </c>
      <c r="H109" s="6" t="s">
        <v>810</v>
      </c>
      <c r="I109" s="190">
        <v>0</v>
      </c>
      <c r="J109" s="190">
        <v>3525.9923274576499</v>
      </c>
      <c r="K109" s="190">
        <v>1659726.5144010445</v>
      </c>
      <c r="L109" s="190">
        <v>2584985.2322548712</v>
      </c>
      <c r="M109" s="190">
        <v>2304380.7245455016</v>
      </c>
      <c r="N109" s="190">
        <v>2492587.6257844581</v>
      </c>
      <c r="O109" s="190">
        <v>0</v>
      </c>
      <c r="P109" s="190">
        <v>0</v>
      </c>
      <c r="Q109" s="190">
        <v>0</v>
      </c>
      <c r="R109" s="190">
        <v>0</v>
      </c>
      <c r="S109" s="190">
        <v>0</v>
      </c>
      <c r="T109" s="190">
        <v>0</v>
      </c>
      <c r="U109" s="190">
        <v>0</v>
      </c>
      <c r="V109" s="190">
        <v>0</v>
      </c>
      <c r="W109" s="190">
        <v>1252625.4035473804</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row>
    <row r="110" spans="2:38" ht="12.75" customHeight="1">
      <c r="B110" s="507" t="s">
        <v>115</v>
      </c>
      <c r="C110" s="6" t="s">
        <v>296</v>
      </c>
      <c r="D110" s="12" t="s">
        <v>857</v>
      </c>
      <c r="E110" s="12">
        <v>3</v>
      </c>
      <c r="F110" s="6">
        <v>1</v>
      </c>
      <c r="G110" s="6">
        <v>0</v>
      </c>
      <c r="H110" s="6" t="s">
        <v>875</v>
      </c>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row>
    <row r="111" spans="2:38" ht="12.75" customHeight="1">
      <c r="B111" s="507" t="s">
        <v>115</v>
      </c>
      <c r="C111" s="6" t="s">
        <v>296</v>
      </c>
      <c r="D111" s="12" t="s">
        <v>857</v>
      </c>
      <c r="E111" s="12" t="s">
        <v>858</v>
      </c>
      <c r="F111" s="6">
        <v>1</v>
      </c>
      <c r="G111" s="6">
        <v>0</v>
      </c>
      <c r="H111" s="6" t="s">
        <v>790</v>
      </c>
      <c r="I111" s="190">
        <v>0</v>
      </c>
      <c r="J111" s="190">
        <v>0</v>
      </c>
      <c r="K111" s="190">
        <v>0</v>
      </c>
      <c r="L111" s="190">
        <v>0</v>
      </c>
      <c r="M111" s="190">
        <v>0</v>
      </c>
      <c r="N111" s="190">
        <v>0</v>
      </c>
      <c r="O111" s="190">
        <v>0</v>
      </c>
      <c r="P111" s="190">
        <v>9669870.2016424015</v>
      </c>
      <c r="Q111" s="190">
        <v>39535614.714957118</v>
      </c>
      <c r="R111" s="190">
        <v>11686148.558218079</v>
      </c>
      <c r="S111" s="190">
        <v>2606443.6644015992</v>
      </c>
      <c r="T111" s="190">
        <v>0</v>
      </c>
      <c r="U111" s="190">
        <v>0</v>
      </c>
      <c r="V111" s="190">
        <v>0</v>
      </c>
      <c r="W111" s="190">
        <v>0</v>
      </c>
      <c r="X111" s="190">
        <v>0</v>
      </c>
      <c r="Y111" s="190">
        <v>4932003.8800215991</v>
      </c>
      <c r="Z111" s="190">
        <v>59716264.907557681</v>
      </c>
      <c r="AA111" s="190">
        <v>32201023.666953441</v>
      </c>
      <c r="AB111" s="190">
        <v>20956422.979392879</v>
      </c>
      <c r="AC111" s="190">
        <v>6975886.7055464005</v>
      </c>
      <c r="AD111" s="190">
        <v>2411932.9431775999</v>
      </c>
      <c r="AE111" s="190">
        <v>1011455.7503648001</v>
      </c>
      <c r="AF111" s="190">
        <v>0</v>
      </c>
      <c r="AG111" s="190">
        <v>1856734.3514399999</v>
      </c>
      <c r="AH111" s="190">
        <v>27505796.514878884</v>
      </c>
      <c r="AI111" s="190">
        <v>19638108.551711198</v>
      </c>
      <c r="AJ111" s="190">
        <v>10011673.491025921</v>
      </c>
      <c r="AK111" s="190">
        <v>0</v>
      </c>
      <c r="AL111" s="190">
        <v>889974.00744000007</v>
      </c>
    </row>
    <row r="112" spans="2:38" ht="12.75" customHeight="1">
      <c r="B112" s="507" t="s">
        <v>115</v>
      </c>
      <c r="C112" s="6" t="s">
        <v>296</v>
      </c>
      <c r="D112" s="12" t="s">
        <v>857</v>
      </c>
      <c r="E112" s="12" t="s">
        <v>859</v>
      </c>
      <c r="F112" s="6">
        <v>1</v>
      </c>
      <c r="G112" s="6">
        <v>0</v>
      </c>
      <c r="H112" s="6" t="s">
        <v>792</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row>
    <row r="113" spans="2:38" ht="12.75" customHeight="1">
      <c r="B113" s="507" t="s">
        <v>115</v>
      </c>
      <c r="C113" s="6" t="s">
        <v>296</v>
      </c>
      <c r="D113" s="12" t="s">
        <v>857</v>
      </c>
      <c r="E113" s="12" t="s">
        <v>860</v>
      </c>
      <c r="F113" s="6">
        <v>1</v>
      </c>
      <c r="G113" s="6">
        <v>0</v>
      </c>
      <c r="H113" s="6" t="s">
        <v>794</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row>
    <row r="114" spans="2:38" ht="12.75" customHeight="1">
      <c r="B114" s="507" t="s">
        <v>115</v>
      </c>
      <c r="C114" s="6" t="s">
        <v>296</v>
      </c>
      <c r="D114" s="12" t="s">
        <v>857</v>
      </c>
      <c r="E114" s="12" t="s">
        <v>861</v>
      </c>
      <c r="F114" s="6">
        <v>1</v>
      </c>
      <c r="G114" s="6">
        <v>0</v>
      </c>
      <c r="H114" s="6" t="s">
        <v>796</v>
      </c>
      <c r="I114" s="190">
        <v>0</v>
      </c>
      <c r="J114" s="190">
        <v>0</v>
      </c>
      <c r="K114" s="190">
        <v>0</v>
      </c>
      <c r="L114" s="190">
        <v>0</v>
      </c>
      <c r="M114" s="190">
        <v>0</v>
      </c>
      <c r="N114" s="190">
        <v>0</v>
      </c>
      <c r="O114" s="190">
        <v>0</v>
      </c>
      <c r="P114" s="190">
        <v>338125.42499999999</v>
      </c>
      <c r="Q114" s="190">
        <v>1356181.0262500003</v>
      </c>
      <c r="R114" s="190">
        <v>429083.95874999999</v>
      </c>
      <c r="S114" s="190">
        <v>93613.237500000003</v>
      </c>
      <c r="T114" s="190">
        <v>0</v>
      </c>
      <c r="U114" s="190">
        <v>0</v>
      </c>
      <c r="V114" s="190">
        <v>0</v>
      </c>
      <c r="W114" s="190">
        <v>0</v>
      </c>
      <c r="X114" s="190">
        <v>0</v>
      </c>
      <c r="Y114" s="190">
        <v>93613.237500000017</v>
      </c>
      <c r="Z114" s="190">
        <v>1082979.4087499999</v>
      </c>
      <c r="AA114" s="190">
        <v>590601.72374999989</v>
      </c>
      <c r="AB114" s="190">
        <v>402536.92124999996</v>
      </c>
      <c r="AC114" s="190">
        <v>129940.7625</v>
      </c>
      <c r="AD114" s="190">
        <v>86627.175000000003</v>
      </c>
      <c r="AE114" s="190">
        <v>36327.525000000009</v>
      </c>
      <c r="AF114" s="190">
        <v>0</v>
      </c>
      <c r="AG114" s="190">
        <v>69860.625</v>
      </c>
      <c r="AH114" s="190">
        <v>953504.38375000004</v>
      </c>
      <c r="AI114" s="190">
        <v>707222.39375000005</v>
      </c>
      <c r="AJ114" s="190">
        <v>692039.35125000007</v>
      </c>
      <c r="AK114" s="190">
        <v>0</v>
      </c>
      <c r="AL114" s="190">
        <v>69860.625</v>
      </c>
    </row>
    <row r="115" spans="2:38" ht="12.75" customHeight="1">
      <c r="B115" s="507" t="s">
        <v>115</v>
      </c>
      <c r="C115" s="6" t="s">
        <v>296</v>
      </c>
      <c r="D115" s="12" t="s">
        <v>857</v>
      </c>
      <c r="E115" s="12" t="s">
        <v>862</v>
      </c>
      <c r="F115" s="6">
        <v>1</v>
      </c>
      <c r="G115" s="6">
        <v>0</v>
      </c>
      <c r="H115" s="6" t="s">
        <v>804</v>
      </c>
      <c r="I115" s="190">
        <v>0</v>
      </c>
      <c r="J115" s="190">
        <v>0</v>
      </c>
      <c r="K115" s="190">
        <v>0</v>
      </c>
      <c r="L115" s="190">
        <v>0</v>
      </c>
      <c r="M115" s="190">
        <v>0</v>
      </c>
      <c r="N115" s="190">
        <v>0</v>
      </c>
      <c r="O115" s="190">
        <v>0</v>
      </c>
      <c r="P115" s="190">
        <v>123098.34620770154</v>
      </c>
      <c r="Q115" s="190">
        <v>502969.08761684754</v>
      </c>
      <c r="R115" s="190">
        <v>149017.35995870738</v>
      </c>
      <c r="S115" s="190">
        <v>33210.699893389668</v>
      </c>
      <c r="T115" s="190">
        <v>0</v>
      </c>
      <c r="U115" s="190">
        <v>0</v>
      </c>
      <c r="V115" s="190">
        <v>0</v>
      </c>
      <c r="W115" s="190">
        <v>0</v>
      </c>
      <c r="X115" s="190">
        <v>0</v>
      </c>
      <c r="Y115" s="190">
        <v>61815.090545515668</v>
      </c>
      <c r="Z115" s="190">
        <v>747830.70509058447</v>
      </c>
      <c r="AA115" s="190">
        <v>403336.9923056523</v>
      </c>
      <c r="AB115" s="190">
        <v>262715.20677790744</v>
      </c>
      <c r="AC115" s="190">
        <v>87401.677856970724</v>
      </c>
      <c r="AD115" s="190">
        <v>30732.289453584479</v>
      </c>
      <c r="AE115" s="190">
        <v>12887.734286987041</v>
      </c>
      <c r="AF115" s="190">
        <v>0</v>
      </c>
      <c r="AG115" s="190">
        <v>23697.118210212</v>
      </c>
      <c r="AH115" s="190">
        <v>350049.40105313528</v>
      </c>
      <c r="AI115" s="190">
        <v>250247.57062917275</v>
      </c>
      <c r="AJ115" s="190">
        <v>131655.66795999382</v>
      </c>
      <c r="AK115" s="190">
        <v>0</v>
      </c>
      <c r="AL115" s="190">
        <v>11805.965979012</v>
      </c>
    </row>
    <row r="116" spans="2:38" ht="12.75" customHeight="1">
      <c r="B116" s="507" t="s">
        <v>115</v>
      </c>
      <c r="C116" s="6" t="s">
        <v>296</v>
      </c>
      <c r="D116" s="12" t="s">
        <v>857</v>
      </c>
      <c r="E116" s="12" t="s">
        <v>863</v>
      </c>
      <c r="F116" s="6">
        <v>1</v>
      </c>
      <c r="G116" s="6">
        <v>0</v>
      </c>
      <c r="H116" s="6" t="s">
        <v>806</v>
      </c>
      <c r="I116" s="190">
        <v>0</v>
      </c>
      <c r="J116" s="190">
        <v>0</v>
      </c>
      <c r="K116" s="190">
        <v>0</v>
      </c>
      <c r="L116" s="190">
        <v>0</v>
      </c>
      <c r="M116" s="190">
        <v>0</v>
      </c>
      <c r="N116" s="190">
        <v>0</v>
      </c>
      <c r="O116" s="190">
        <v>0</v>
      </c>
      <c r="P116" s="190">
        <v>31024.786442591445</v>
      </c>
      <c r="Q116" s="190">
        <v>126764.56679774205</v>
      </c>
      <c r="R116" s="190">
        <v>37557.220802601041</v>
      </c>
      <c r="S116" s="190">
        <v>8370.1763958949559</v>
      </c>
      <c r="T116" s="190">
        <v>0</v>
      </c>
      <c r="U116" s="190">
        <v>0</v>
      </c>
      <c r="V116" s="190">
        <v>0</v>
      </c>
      <c r="W116" s="190">
        <v>0</v>
      </c>
      <c r="X116" s="190">
        <v>0</v>
      </c>
      <c r="Y116" s="190">
        <v>15579.413064316956</v>
      </c>
      <c r="Z116" s="190">
        <v>188477.65738055381</v>
      </c>
      <c r="AA116" s="190">
        <v>101654.03871118066</v>
      </c>
      <c r="AB116" s="190">
        <v>66212.775691992923</v>
      </c>
      <c r="AC116" s="190">
        <v>22028.065150943843</v>
      </c>
      <c r="AD116" s="190">
        <v>7745.5363663505586</v>
      </c>
      <c r="AE116" s="190">
        <v>3248.1281536308802</v>
      </c>
      <c r="AF116" s="190">
        <v>0</v>
      </c>
      <c r="AG116" s="190">
        <v>5972.4444269639998</v>
      </c>
      <c r="AH116" s="190">
        <v>88223.832785749531</v>
      </c>
      <c r="AI116" s="190">
        <v>63070.525930929711</v>
      </c>
      <c r="AJ116" s="190">
        <v>33181.509811055352</v>
      </c>
      <c r="AK116" s="190">
        <v>0</v>
      </c>
      <c r="AL116" s="190">
        <v>2975.487360564</v>
      </c>
    </row>
    <row r="117" spans="2:38" ht="12.75" customHeight="1">
      <c r="B117" s="507" t="s">
        <v>115</v>
      </c>
      <c r="C117" s="6" t="s">
        <v>296</v>
      </c>
      <c r="D117" s="12" t="s">
        <v>857</v>
      </c>
      <c r="E117" s="12" t="s">
        <v>864</v>
      </c>
      <c r="F117" s="6">
        <v>1</v>
      </c>
      <c r="G117" s="6">
        <v>0</v>
      </c>
      <c r="H117" s="6" t="s">
        <v>808</v>
      </c>
      <c r="I117" s="190">
        <v>0</v>
      </c>
      <c r="J117" s="190">
        <v>0</v>
      </c>
      <c r="K117" s="190">
        <v>0</v>
      </c>
      <c r="L117" s="190">
        <v>0</v>
      </c>
      <c r="M117" s="190">
        <v>0</v>
      </c>
      <c r="N117" s="190">
        <v>0</v>
      </c>
      <c r="O117" s="190">
        <v>0</v>
      </c>
      <c r="P117" s="190">
        <v>580.46374634525932</v>
      </c>
      <c r="Q117" s="190">
        <v>2371.7241529900125</v>
      </c>
      <c r="R117" s="190">
        <v>702.68348598414855</v>
      </c>
      <c r="S117" s="190">
        <v>156.60330031029275</v>
      </c>
      <c r="T117" s="190">
        <v>0</v>
      </c>
      <c r="U117" s="190">
        <v>0</v>
      </c>
      <c r="V117" s="190">
        <v>0</v>
      </c>
      <c r="W117" s="190">
        <v>0</v>
      </c>
      <c r="X117" s="190">
        <v>0</v>
      </c>
      <c r="Y117" s="190">
        <v>291.48579281625274</v>
      </c>
      <c r="Z117" s="190">
        <v>3526.3561703458454</v>
      </c>
      <c r="AA117" s="190">
        <v>1901.9142726607995</v>
      </c>
      <c r="AB117" s="190">
        <v>1238.819674237287</v>
      </c>
      <c r="AC117" s="190">
        <v>412.13799314669126</v>
      </c>
      <c r="AD117" s="190">
        <v>144.91648685430079</v>
      </c>
      <c r="AE117" s="190">
        <v>60.771429971158405</v>
      </c>
      <c r="AF117" s="190">
        <v>0</v>
      </c>
      <c r="AG117" s="190">
        <v>111.74250863351999</v>
      </c>
      <c r="AH117" s="190">
        <v>1650.6394521204752</v>
      </c>
      <c r="AI117" s="190">
        <v>1180.0291948367496</v>
      </c>
      <c r="AJ117" s="190">
        <v>620.81534485200348</v>
      </c>
      <c r="AK117" s="190">
        <v>0</v>
      </c>
      <c r="AL117" s="190">
        <v>55.670408681520001</v>
      </c>
    </row>
    <row r="118" spans="2:38" ht="12.75" customHeight="1">
      <c r="B118" s="507" t="s">
        <v>115</v>
      </c>
      <c r="C118" s="6" t="s">
        <v>296</v>
      </c>
      <c r="D118" s="12" t="s">
        <v>857</v>
      </c>
      <c r="E118" s="12" t="s">
        <v>865</v>
      </c>
      <c r="F118" s="6">
        <v>1</v>
      </c>
      <c r="G118" s="6">
        <v>0</v>
      </c>
      <c r="H118" s="6" t="s">
        <v>810</v>
      </c>
      <c r="I118" s="190">
        <v>0</v>
      </c>
      <c r="J118" s="190">
        <v>0</v>
      </c>
      <c r="K118" s="190">
        <v>0</v>
      </c>
      <c r="L118" s="190">
        <v>0</v>
      </c>
      <c r="M118" s="190">
        <v>0</v>
      </c>
      <c r="N118" s="190">
        <v>0</v>
      </c>
      <c r="O118" s="190">
        <v>0</v>
      </c>
      <c r="P118" s="190">
        <v>250199.89066606006</v>
      </c>
      <c r="Q118" s="190">
        <v>1022294.8935301779</v>
      </c>
      <c r="R118" s="190">
        <v>302880.81292420201</v>
      </c>
      <c r="S118" s="190">
        <v>67501.422547539973</v>
      </c>
      <c r="T118" s="190">
        <v>0</v>
      </c>
      <c r="U118" s="190">
        <v>0</v>
      </c>
      <c r="V118" s="190">
        <v>0</v>
      </c>
      <c r="W118" s="190">
        <v>0</v>
      </c>
      <c r="X118" s="190">
        <v>0</v>
      </c>
      <c r="Y118" s="190">
        <v>125640.42793803998</v>
      </c>
      <c r="Z118" s="190">
        <v>1519981.107907692</v>
      </c>
      <c r="AA118" s="190">
        <v>819790.63476758602</v>
      </c>
      <c r="AB118" s="190">
        <v>533973.99751607201</v>
      </c>
      <c r="AC118" s="190">
        <v>177645.68670116004</v>
      </c>
      <c r="AD118" s="190">
        <v>62464.002954439995</v>
      </c>
      <c r="AE118" s="190">
        <v>26194.581884120005</v>
      </c>
      <c r="AF118" s="190">
        <v>0</v>
      </c>
      <c r="AG118" s="190">
        <v>48164.874410999997</v>
      </c>
      <c r="AH118" s="190">
        <v>711482.52246572217</v>
      </c>
      <c r="AI118" s="190">
        <v>508633.27363652998</v>
      </c>
      <c r="AJ118" s="190">
        <v>267592.82105689804</v>
      </c>
      <c r="AK118" s="190">
        <v>0</v>
      </c>
      <c r="AL118" s="190">
        <v>23995.865811000003</v>
      </c>
    </row>
    <row r="119" spans="2:38" ht="12.75" customHeight="1">
      <c r="B119" s="507" t="s">
        <v>115</v>
      </c>
      <c r="C119" s="6" t="s">
        <v>296</v>
      </c>
      <c r="D119" s="12" t="s">
        <v>857</v>
      </c>
      <c r="E119" s="12" t="s">
        <v>866</v>
      </c>
      <c r="F119" s="6">
        <v>1</v>
      </c>
      <c r="G119" s="6">
        <v>0</v>
      </c>
      <c r="H119" s="6" t="s">
        <v>867</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row>
    <row r="120" spans="2:38" ht="12.75" customHeight="1">
      <c r="B120" s="507" t="s">
        <v>115</v>
      </c>
      <c r="C120" s="6" t="s">
        <v>296</v>
      </c>
      <c r="D120" s="12" t="s">
        <v>857</v>
      </c>
      <c r="E120" s="12" t="s">
        <v>858</v>
      </c>
      <c r="F120" s="6">
        <v>1</v>
      </c>
      <c r="G120" s="6">
        <v>0</v>
      </c>
      <c r="H120" s="6" t="s">
        <v>790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row>
    <row r="121" spans="2:38" ht="12.75" customHeight="1">
      <c r="B121" s="507" t="s">
        <v>115</v>
      </c>
      <c r="C121" s="6" t="s">
        <v>296</v>
      </c>
      <c r="D121" s="12" t="s">
        <v>857</v>
      </c>
      <c r="E121" s="12" t="s">
        <v>859</v>
      </c>
      <c r="F121" s="6">
        <v>1</v>
      </c>
      <c r="G121" s="6">
        <v>0</v>
      </c>
      <c r="H121" s="6" t="s">
        <v>792</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row>
    <row r="122" spans="2:38" ht="12.75" customHeight="1">
      <c r="B122" s="507" t="s">
        <v>115</v>
      </c>
      <c r="C122" s="6" t="s">
        <v>296</v>
      </c>
      <c r="D122" s="12" t="s">
        <v>857</v>
      </c>
      <c r="E122" s="12" t="s">
        <v>860</v>
      </c>
      <c r="F122" s="6">
        <v>1</v>
      </c>
      <c r="G122" s="6">
        <v>0</v>
      </c>
      <c r="H122" s="6" t="s">
        <v>794</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row>
    <row r="123" spans="2:38" ht="12.75" customHeight="1">
      <c r="B123" s="507" t="s">
        <v>115</v>
      </c>
      <c r="C123" s="6" t="s">
        <v>296</v>
      </c>
      <c r="D123" s="12" t="s">
        <v>857</v>
      </c>
      <c r="E123" s="12" t="s">
        <v>861</v>
      </c>
      <c r="F123" s="6">
        <v>0</v>
      </c>
      <c r="G123" s="6">
        <v>0</v>
      </c>
      <c r="H123" s="6" t="s">
        <v>796</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row>
    <row r="124" spans="2:38" ht="12.75" customHeight="1">
      <c r="B124" s="507" t="s">
        <v>115</v>
      </c>
      <c r="C124" s="6" t="s">
        <v>296</v>
      </c>
      <c r="D124" s="12" t="s">
        <v>857</v>
      </c>
      <c r="E124" s="12" t="s">
        <v>862</v>
      </c>
      <c r="F124" s="6">
        <v>1</v>
      </c>
      <c r="G124" s="6">
        <v>0</v>
      </c>
      <c r="H124" s="6" t="s">
        <v>804</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row>
    <row r="125" spans="2:38" ht="12.75" customHeight="1">
      <c r="B125" s="507" t="s">
        <v>115</v>
      </c>
      <c r="C125" s="6" t="s">
        <v>296</v>
      </c>
      <c r="D125" s="12" t="s">
        <v>857</v>
      </c>
      <c r="E125" s="12" t="s">
        <v>863</v>
      </c>
      <c r="F125" s="6">
        <v>1</v>
      </c>
      <c r="G125" s="6">
        <v>0</v>
      </c>
      <c r="H125" s="6" t="s">
        <v>806</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row>
    <row r="126" spans="2:38" ht="12.75" customHeight="1">
      <c r="B126" s="507" t="s">
        <v>115</v>
      </c>
      <c r="C126" s="6" t="s">
        <v>296</v>
      </c>
      <c r="D126" s="12" t="s">
        <v>857</v>
      </c>
      <c r="E126" s="12" t="s">
        <v>864</v>
      </c>
      <c r="F126" s="6">
        <v>1</v>
      </c>
      <c r="G126" s="6">
        <v>0</v>
      </c>
      <c r="H126" s="6" t="s">
        <v>808</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row>
    <row r="127" spans="2:38" ht="12.75" customHeight="1">
      <c r="B127" s="507" t="s">
        <v>115</v>
      </c>
      <c r="C127" s="6" t="s">
        <v>296</v>
      </c>
      <c r="D127" s="12" t="s">
        <v>857</v>
      </c>
      <c r="E127" s="12" t="s">
        <v>865</v>
      </c>
      <c r="F127" s="6">
        <v>1</v>
      </c>
      <c r="G127" s="6">
        <v>0</v>
      </c>
      <c r="H127" s="6" t="s">
        <v>810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row>
    <row r="128" spans="2:38" ht="12.75" customHeight="1">
      <c r="B128" s="507" t="s">
        <v>115</v>
      </c>
      <c r="C128" s="6" t="s">
        <v>297</v>
      </c>
      <c r="D128" s="12" t="s">
        <v>387</v>
      </c>
      <c r="E128" s="12">
        <v>1</v>
      </c>
      <c r="F128" s="6"/>
      <c r="G128" s="6"/>
      <c r="H128" s="6" t="s">
        <v>74</v>
      </c>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row>
    <row r="129" spans="2:38" ht="12.75" customHeight="1">
      <c r="B129" s="507" t="s">
        <v>115</v>
      </c>
      <c r="C129" s="6" t="s">
        <v>297</v>
      </c>
      <c r="D129" s="12" t="s">
        <v>387</v>
      </c>
      <c r="E129" s="12" t="s">
        <v>789</v>
      </c>
      <c r="F129" s="6">
        <v>1</v>
      </c>
      <c r="G129" s="6">
        <v>0</v>
      </c>
      <c r="H129" s="6" t="s">
        <v>790</v>
      </c>
      <c r="I129" s="190">
        <v>13571972.195844503</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row>
    <row r="130" spans="2:38" ht="12.75" customHeight="1">
      <c r="B130" s="507" t="s">
        <v>115</v>
      </c>
      <c r="C130" s="6" t="s">
        <v>297</v>
      </c>
      <c r="D130" s="12" t="s">
        <v>387</v>
      </c>
      <c r="E130" s="12" t="s">
        <v>791</v>
      </c>
      <c r="F130" s="6">
        <v>1</v>
      </c>
      <c r="G130" s="6">
        <v>0</v>
      </c>
      <c r="H130" s="6" t="s">
        <v>792</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row>
    <row r="131" spans="2:38" ht="12.75" customHeight="1">
      <c r="B131" s="507" t="s">
        <v>115</v>
      </c>
      <c r="C131" s="6" t="s">
        <v>297</v>
      </c>
      <c r="D131" s="12" t="s">
        <v>387</v>
      </c>
      <c r="E131" s="12" t="s">
        <v>793</v>
      </c>
      <c r="F131" s="6">
        <v>1</v>
      </c>
      <c r="G131" s="6">
        <v>0</v>
      </c>
      <c r="H131" s="6" t="s">
        <v>794</v>
      </c>
      <c r="I131" s="190">
        <v>644773.88657256006</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row>
    <row r="132" spans="2:38" ht="12.75" customHeight="1">
      <c r="B132" s="507" t="s">
        <v>115</v>
      </c>
      <c r="C132" s="6" t="s">
        <v>297</v>
      </c>
      <c r="D132" s="12" t="s">
        <v>387</v>
      </c>
      <c r="E132" s="12" t="s">
        <v>795</v>
      </c>
      <c r="F132" s="6">
        <v>1</v>
      </c>
      <c r="G132" s="6">
        <v>0</v>
      </c>
      <c r="H132" s="6" t="s">
        <v>796</v>
      </c>
      <c r="I132" s="190">
        <v>3179964.1067059804</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row>
    <row r="133" spans="2:38" ht="12.75" customHeight="1">
      <c r="B133" s="507" t="s">
        <v>115</v>
      </c>
      <c r="C133" s="6" t="s">
        <v>297</v>
      </c>
      <c r="D133" s="12" t="s">
        <v>387</v>
      </c>
      <c r="E133" s="12" t="s">
        <v>797</v>
      </c>
      <c r="F133" s="6">
        <v>1</v>
      </c>
      <c r="G133" s="6">
        <v>0</v>
      </c>
      <c r="H133" s="6" t="s">
        <v>798</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row>
    <row r="134" spans="2:38" ht="12.75" customHeight="1">
      <c r="B134" s="507" t="s">
        <v>115</v>
      </c>
      <c r="C134" s="6" t="s">
        <v>297</v>
      </c>
      <c r="D134" s="12" t="s">
        <v>387</v>
      </c>
      <c r="E134" s="12" t="s">
        <v>799</v>
      </c>
      <c r="F134" s="6">
        <v>1</v>
      </c>
      <c r="G134" s="6">
        <v>0</v>
      </c>
      <c r="H134" s="6" t="s">
        <v>800</v>
      </c>
      <c r="I134" s="190">
        <v>1082898.7381054426</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row>
    <row r="135" spans="2:38" ht="12.75" customHeight="1">
      <c r="B135" s="507" t="s">
        <v>115</v>
      </c>
      <c r="C135" s="6" t="s">
        <v>297</v>
      </c>
      <c r="D135" s="12" t="s">
        <v>387</v>
      </c>
      <c r="E135" s="12" t="s">
        <v>801</v>
      </c>
      <c r="F135" s="6">
        <v>1</v>
      </c>
      <c r="G135" s="6">
        <v>0</v>
      </c>
      <c r="H135" s="6" t="s">
        <v>802</v>
      </c>
      <c r="I135" s="190">
        <v>212808.41504363908</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row>
    <row r="136" spans="2:38" ht="12.75" customHeight="1">
      <c r="B136" s="507" t="s">
        <v>115</v>
      </c>
      <c r="C136" s="6" t="s">
        <v>297</v>
      </c>
      <c r="D136" s="12" t="s">
        <v>387</v>
      </c>
      <c r="E136" s="12" t="s">
        <v>803</v>
      </c>
      <c r="F136" s="6">
        <v>1</v>
      </c>
      <c r="G136" s="6">
        <v>0</v>
      </c>
      <c r="H136" s="6" t="s">
        <v>804</v>
      </c>
      <c r="I136" s="190">
        <v>229916.73330994713</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row>
    <row r="137" spans="2:38" ht="12.75" customHeight="1">
      <c r="B137" s="507" t="s">
        <v>115</v>
      </c>
      <c r="C137" s="6" t="s">
        <v>297</v>
      </c>
      <c r="D137" s="12" t="s">
        <v>387</v>
      </c>
      <c r="E137" s="12" t="s">
        <v>805</v>
      </c>
      <c r="F137" s="6">
        <v>1</v>
      </c>
      <c r="G137" s="6">
        <v>0</v>
      </c>
      <c r="H137" s="6" t="s">
        <v>806</v>
      </c>
      <c r="I137" s="190">
        <v>57946.493761043588</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row>
    <row r="138" spans="2:38" ht="12.75" customHeight="1">
      <c r="B138" s="507" t="s">
        <v>115</v>
      </c>
      <c r="C138" s="6" t="s">
        <v>297</v>
      </c>
      <c r="D138" s="12" t="s">
        <v>387</v>
      </c>
      <c r="E138" s="12" t="s">
        <v>807</v>
      </c>
      <c r="F138" s="6">
        <v>1</v>
      </c>
      <c r="G138" s="6">
        <v>0</v>
      </c>
      <c r="H138" s="6" t="s">
        <v>808</v>
      </c>
      <c r="I138" s="190">
        <v>1084.1602058517833</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row>
    <row r="139" spans="2:38" ht="12.75" customHeight="1">
      <c r="B139" s="507" t="s">
        <v>115</v>
      </c>
      <c r="C139" s="6" t="s">
        <v>297</v>
      </c>
      <c r="D139" s="12" t="s">
        <v>387</v>
      </c>
      <c r="E139" s="12" t="s">
        <v>809</v>
      </c>
      <c r="F139" s="6">
        <v>1</v>
      </c>
      <c r="G139" s="6">
        <v>0</v>
      </c>
      <c r="H139" s="6" t="s">
        <v>810</v>
      </c>
      <c r="I139" s="190">
        <v>467310.43355680315</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row>
    <row r="140" spans="2:38" ht="12.75" customHeight="1">
      <c r="B140" s="507" t="s">
        <v>115</v>
      </c>
      <c r="C140" s="6" t="s">
        <v>297</v>
      </c>
      <c r="D140" s="12" t="s">
        <v>415</v>
      </c>
      <c r="E140" s="12">
        <v>2</v>
      </c>
      <c r="F140" s="6"/>
      <c r="G140" s="6"/>
      <c r="H140" s="6" t="s">
        <v>75</v>
      </c>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row>
    <row r="141" spans="2:38" ht="12.75" customHeight="1">
      <c r="B141" s="507" t="s">
        <v>115</v>
      </c>
      <c r="C141" s="6" t="s">
        <v>297</v>
      </c>
      <c r="D141" s="12" t="s">
        <v>415</v>
      </c>
      <c r="E141" s="12" t="s">
        <v>811</v>
      </c>
      <c r="F141" s="6">
        <v>1</v>
      </c>
      <c r="G141" s="6">
        <v>0</v>
      </c>
      <c r="H141" s="6" t="s">
        <v>790</v>
      </c>
      <c r="I141" s="190">
        <v>0</v>
      </c>
      <c r="J141" s="190">
        <v>11199993.876346059</v>
      </c>
      <c r="K141" s="190">
        <v>6692772.0110106496</v>
      </c>
      <c r="L141" s="190">
        <v>7824125.9058188936</v>
      </c>
      <c r="M141" s="190">
        <v>3701034.9171656203</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row>
    <row r="142" spans="2:38" ht="12.75" customHeight="1">
      <c r="B142" s="507" t="s">
        <v>115</v>
      </c>
      <c r="C142" s="6" t="s">
        <v>297</v>
      </c>
      <c r="D142" s="12" t="s">
        <v>415</v>
      </c>
      <c r="E142" s="12" t="s">
        <v>812</v>
      </c>
      <c r="F142" s="6">
        <v>1</v>
      </c>
      <c r="G142" s="6">
        <v>0</v>
      </c>
      <c r="H142" s="6" t="s">
        <v>792</v>
      </c>
      <c r="I142" s="190">
        <v>0</v>
      </c>
      <c r="J142" s="190">
        <v>1308429.1298830048</v>
      </c>
      <c r="K142" s="190">
        <v>0</v>
      </c>
      <c r="L142" s="190">
        <v>212219.90614540401</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row>
    <row r="143" spans="2:38" ht="12.75" customHeight="1">
      <c r="B143" s="507" t="s">
        <v>115</v>
      </c>
      <c r="C143" s="6" t="s">
        <v>297</v>
      </c>
      <c r="D143" s="12" t="s">
        <v>415</v>
      </c>
      <c r="E143" s="12" t="s">
        <v>813</v>
      </c>
      <c r="F143" s="6">
        <v>1</v>
      </c>
      <c r="G143" s="6">
        <v>0</v>
      </c>
      <c r="H143" s="6" t="s">
        <v>794</v>
      </c>
      <c r="I143" s="190">
        <v>0</v>
      </c>
      <c r="J143" s="190">
        <v>428595.27421819867</v>
      </c>
      <c r="K143" s="190">
        <v>428595.27421819867</v>
      </c>
      <c r="L143" s="190">
        <v>428595.27421819867</v>
      </c>
      <c r="M143" s="190">
        <v>428595.27421819867</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row>
    <row r="144" spans="2:38" ht="12.75" customHeight="1">
      <c r="B144" s="507" t="s">
        <v>115</v>
      </c>
      <c r="C144" s="6" t="s">
        <v>297</v>
      </c>
      <c r="D144" s="12" t="s">
        <v>415</v>
      </c>
      <c r="E144" s="12" t="s">
        <v>814</v>
      </c>
      <c r="F144" s="6">
        <v>1</v>
      </c>
      <c r="G144" s="6">
        <v>0</v>
      </c>
      <c r="H144" s="6" t="s">
        <v>796</v>
      </c>
      <c r="I144" s="190">
        <v>0</v>
      </c>
      <c r="J144" s="190">
        <v>1484741.2050102041</v>
      </c>
      <c r="K144" s="190">
        <v>1484741.2050102041</v>
      </c>
      <c r="L144" s="190">
        <v>1484741.2050102041</v>
      </c>
      <c r="M144" s="190">
        <v>1484673.4850102041</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row>
    <row r="145" spans="2:38" ht="12.75" customHeight="1">
      <c r="B145" s="507" t="s">
        <v>115</v>
      </c>
      <c r="C145" s="6" t="s">
        <v>297</v>
      </c>
      <c r="D145" s="12" t="s">
        <v>415</v>
      </c>
      <c r="E145" s="12" t="s">
        <v>815</v>
      </c>
      <c r="F145" s="6">
        <v>1</v>
      </c>
      <c r="G145" s="6">
        <v>0</v>
      </c>
      <c r="H145" s="6" t="s">
        <v>798</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row>
    <row r="146" spans="2:38" ht="12.75" customHeight="1">
      <c r="B146" s="507" t="s">
        <v>115</v>
      </c>
      <c r="C146" s="6" t="s">
        <v>297</v>
      </c>
      <c r="D146" s="12" t="s">
        <v>415</v>
      </c>
      <c r="E146" s="12" t="s">
        <v>816</v>
      </c>
      <c r="F146" s="6">
        <v>1</v>
      </c>
      <c r="G146" s="6">
        <v>0</v>
      </c>
      <c r="H146" s="6" t="s">
        <v>800</v>
      </c>
      <c r="I146" s="190">
        <v>0</v>
      </c>
      <c r="J146" s="190">
        <v>3827.46</v>
      </c>
      <c r="K146" s="190">
        <v>3827.46</v>
      </c>
      <c r="L146" s="190">
        <v>3827.46</v>
      </c>
      <c r="M146" s="190">
        <v>3827.46</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row>
    <row r="147" spans="2:38" ht="12.75" customHeight="1">
      <c r="B147" s="507" t="s">
        <v>115</v>
      </c>
      <c r="C147" s="6" t="s">
        <v>297</v>
      </c>
      <c r="D147" s="12" t="s">
        <v>415</v>
      </c>
      <c r="E147" s="12" t="s">
        <v>817</v>
      </c>
      <c r="F147" s="6">
        <v>1</v>
      </c>
      <c r="G147" s="6">
        <v>0</v>
      </c>
      <c r="H147" s="6" t="s">
        <v>802</v>
      </c>
      <c r="I147" s="190">
        <v>0</v>
      </c>
      <c r="J147" s="190">
        <v>247241.91133787885</v>
      </c>
      <c r="K147" s="190">
        <v>247241.91133787885</v>
      </c>
      <c r="L147" s="190">
        <v>247241.91133787885</v>
      </c>
      <c r="M147" s="190">
        <v>247241.91133787885</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row>
    <row r="148" spans="2:38" ht="12.75" customHeight="1">
      <c r="B148" s="507" t="s">
        <v>115</v>
      </c>
      <c r="C148" s="6" t="s">
        <v>297</v>
      </c>
      <c r="D148" s="12" t="s">
        <v>415</v>
      </c>
      <c r="E148" s="12" t="s">
        <v>818</v>
      </c>
      <c r="F148" s="6">
        <v>1</v>
      </c>
      <c r="G148" s="6">
        <v>0</v>
      </c>
      <c r="H148" s="6" t="s">
        <v>804</v>
      </c>
      <c r="I148" s="190">
        <v>0</v>
      </c>
      <c r="J148" s="190">
        <v>180475.79493858275</v>
      </c>
      <c r="K148" s="190">
        <v>108943.28769739626</v>
      </c>
      <c r="L148" s="190">
        <v>125469.24544912612</v>
      </c>
      <c r="M148" s="190">
        <v>72144.088487102388</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row>
    <row r="149" spans="2:38" ht="12.75" customHeight="1">
      <c r="B149" s="507" t="s">
        <v>115</v>
      </c>
      <c r="C149" s="6" t="s">
        <v>297</v>
      </c>
      <c r="D149" s="12" t="s">
        <v>415</v>
      </c>
      <c r="E149" s="12" t="s">
        <v>819</v>
      </c>
      <c r="F149" s="6">
        <v>1</v>
      </c>
      <c r="G149" s="6">
        <v>0</v>
      </c>
      <c r="H149" s="6" t="s">
        <v>806</v>
      </c>
      <c r="I149" s="190">
        <v>0</v>
      </c>
      <c r="J149" s="190">
        <v>45485.769456065565</v>
      </c>
      <c r="K149" s="190">
        <v>27457.251370888487</v>
      </c>
      <c r="L149" s="190">
        <v>31622.330153844792</v>
      </c>
      <c r="M149" s="190">
        <v>18182.656447968893</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row>
    <row r="150" spans="2:38" ht="12.75" customHeight="1">
      <c r="B150" s="507" t="s">
        <v>115</v>
      </c>
      <c r="C150" s="6" t="s">
        <v>297</v>
      </c>
      <c r="D150" s="12" t="s">
        <v>415</v>
      </c>
      <c r="E150" s="12" t="s">
        <v>820</v>
      </c>
      <c r="F150" s="6">
        <v>1</v>
      </c>
      <c r="G150" s="6">
        <v>0</v>
      </c>
      <c r="H150" s="6" t="s">
        <v>808</v>
      </c>
      <c r="I150" s="190">
        <v>0</v>
      </c>
      <c r="J150" s="190">
        <v>851.02407369413004</v>
      </c>
      <c r="K150" s="190">
        <v>513.716315971462</v>
      </c>
      <c r="L150" s="190">
        <v>591.64359642677357</v>
      </c>
      <c r="M150" s="190">
        <v>340.19163676845028</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row>
    <row r="151" spans="2:38" ht="12.75" customHeight="1">
      <c r="B151" s="507" t="s">
        <v>115</v>
      </c>
      <c r="C151" s="6" t="s">
        <v>297</v>
      </c>
      <c r="D151" s="12" t="s">
        <v>415</v>
      </c>
      <c r="E151" s="12" t="s">
        <v>821</v>
      </c>
      <c r="F151" s="6">
        <v>1</v>
      </c>
      <c r="G151" s="6">
        <v>0</v>
      </c>
      <c r="H151" s="6" t="s">
        <v>810</v>
      </c>
      <c r="I151" s="190">
        <v>0</v>
      </c>
      <c r="J151" s="190">
        <v>366820.72141988366</v>
      </c>
      <c r="K151" s="190">
        <v>221429.44653942331</v>
      </c>
      <c r="L151" s="190">
        <v>255018.79156326447</v>
      </c>
      <c r="M151" s="190">
        <v>146634.32619329754</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row>
    <row r="152" spans="2:38" ht="12.75" customHeight="1">
      <c r="B152" s="507" t="s">
        <v>115</v>
      </c>
      <c r="C152" s="6" t="s">
        <v>297</v>
      </c>
      <c r="D152" s="12" t="s">
        <v>822</v>
      </c>
      <c r="E152" s="12">
        <v>4</v>
      </c>
      <c r="F152" s="6"/>
      <c r="G152" s="6"/>
      <c r="H152" s="6" t="s">
        <v>77</v>
      </c>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row>
    <row r="153" spans="2:38" ht="12.75" customHeight="1">
      <c r="B153" s="507" t="s">
        <v>115</v>
      </c>
      <c r="C153" s="6" t="s">
        <v>297</v>
      </c>
      <c r="D153" s="12" t="s">
        <v>822</v>
      </c>
      <c r="E153" s="12" t="s">
        <v>823</v>
      </c>
      <c r="F153" s="6">
        <v>1</v>
      </c>
      <c r="G153" s="6">
        <v>0</v>
      </c>
      <c r="H153" s="6" t="s">
        <v>824</v>
      </c>
      <c r="I153" s="190">
        <v>0</v>
      </c>
      <c r="J153" s="190">
        <v>0</v>
      </c>
      <c r="K153" s="190">
        <v>0</v>
      </c>
      <c r="L153" s="190">
        <v>47047000</v>
      </c>
      <c r="M153" s="190">
        <v>0</v>
      </c>
      <c r="N153" s="190">
        <v>0</v>
      </c>
      <c r="O153" s="190">
        <v>0</v>
      </c>
      <c r="P153" s="190">
        <v>0</v>
      </c>
      <c r="Q153" s="190">
        <v>0</v>
      </c>
      <c r="R153" s="190">
        <v>0</v>
      </c>
      <c r="S153" s="190">
        <v>0</v>
      </c>
      <c r="T153" s="190">
        <v>0</v>
      </c>
      <c r="U153" s="190">
        <v>0</v>
      </c>
      <c r="V153" s="190">
        <v>0</v>
      </c>
      <c r="W153" s="190">
        <v>190953000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row>
    <row r="154" spans="2:38" ht="12.75" customHeight="1">
      <c r="B154" s="507" t="s">
        <v>115</v>
      </c>
      <c r="C154" s="6" t="s">
        <v>297</v>
      </c>
      <c r="D154" s="12" t="s">
        <v>822</v>
      </c>
      <c r="E154" s="12" t="s">
        <v>825</v>
      </c>
      <c r="F154" s="6">
        <v>1</v>
      </c>
      <c r="G154" s="6">
        <v>0</v>
      </c>
      <c r="H154" s="6" t="s">
        <v>826</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row>
    <row r="155" spans="2:38" ht="12.75" customHeight="1">
      <c r="B155" s="507" t="s">
        <v>115</v>
      </c>
      <c r="C155" s="6" t="s">
        <v>297</v>
      </c>
      <c r="D155" s="12" t="s">
        <v>822</v>
      </c>
      <c r="E155" s="12" t="s">
        <v>827</v>
      </c>
      <c r="F155" s="6">
        <v>1</v>
      </c>
      <c r="G155" s="6">
        <v>0</v>
      </c>
      <c r="H155" s="6" t="s">
        <v>828</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row>
    <row r="156" spans="2:38" ht="12.75" customHeight="1">
      <c r="B156" s="507" t="s">
        <v>115</v>
      </c>
      <c r="C156" s="6" t="s">
        <v>297</v>
      </c>
      <c r="D156" s="12" t="s">
        <v>822</v>
      </c>
      <c r="E156" s="12" t="s">
        <v>829</v>
      </c>
      <c r="F156" s="6">
        <v>1</v>
      </c>
      <c r="G156" s="6">
        <v>0</v>
      </c>
      <c r="H156" s="6" t="s">
        <v>830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row>
    <row r="157" spans="2:38" ht="12.75" customHeight="1">
      <c r="B157" s="507" t="s">
        <v>115</v>
      </c>
      <c r="C157" s="6" t="s">
        <v>297</v>
      </c>
      <c r="D157" s="12" t="s">
        <v>822</v>
      </c>
      <c r="E157" s="12" t="s">
        <v>831</v>
      </c>
      <c r="F157" s="6">
        <v>1</v>
      </c>
      <c r="G157" s="6">
        <v>0</v>
      </c>
      <c r="H157" s="6" t="s">
        <v>832</v>
      </c>
      <c r="I157" s="190">
        <v>0</v>
      </c>
      <c r="J157" s="190">
        <v>0</v>
      </c>
      <c r="K157" s="190">
        <v>0</v>
      </c>
      <c r="L157" s="190">
        <v>72836050.106118813</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row>
    <row r="158" spans="2:38" ht="12.75" customHeight="1">
      <c r="B158" s="507" t="s">
        <v>115</v>
      </c>
      <c r="C158" s="6" t="s">
        <v>297</v>
      </c>
      <c r="D158" s="12" t="s">
        <v>822</v>
      </c>
      <c r="E158" s="12" t="s">
        <v>833</v>
      </c>
      <c r="F158" s="6">
        <v>1</v>
      </c>
      <c r="G158" s="6">
        <v>0</v>
      </c>
      <c r="H158" s="6" t="s">
        <v>834</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5993089.6800152902</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row>
    <row r="159" spans="2:38" ht="12.75" customHeight="1">
      <c r="B159" s="507" t="s">
        <v>115</v>
      </c>
      <c r="C159" s="6" t="s">
        <v>297</v>
      </c>
      <c r="D159" s="12" t="s">
        <v>822</v>
      </c>
      <c r="E159" s="12" t="s">
        <v>835</v>
      </c>
      <c r="F159" s="6">
        <v>1</v>
      </c>
      <c r="G159" s="6">
        <v>0</v>
      </c>
      <c r="H159" s="6" t="s">
        <v>836</v>
      </c>
      <c r="I159" s="190">
        <v>0</v>
      </c>
      <c r="J159" s="190">
        <v>0</v>
      </c>
      <c r="K159" s="190">
        <v>0</v>
      </c>
      <c r="L159" s="190">
        <v>18998248.668709166</v>
      </c>
      <c r="M159" s="190">
        <v>0</v>
      </c>
      <c r="N159" s="190">
        <v>0</v>
      </c>
      <c r="O159" s="190">
        <v>0</v>
      </c>
      <c r="P159" s="190">
        <v>0</v>
      </c>
      <c r="Q159" s="190">
        <v>0</v>
      </c>
      <c r="R159" s="190">
        <v>0</v>
      </c>
      <c r="S159" s="190">
        <v>0</v>
      </c>
      <c r="T159" s="190">
        <v>0</v>
      </c>
      <c r="U159" s="190">
        <v>0</v>
      </c>
      <c r="V159" s="190">
        <v>0</v>
      </c>
      <c r="W159" s="190">
        <v>33525080.709476054</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row>
    <row r="160" spans="2:38" ht="12.75" customHeight="1">
      <c r="B160" s="507" t="s">
        <v>115</v>
      </c>
      <c r="C160" s="6" t="s">
        <v>297</v>
      </c>
      <c r="D160" s="12" t="s">
        <v>822</v>
      </c>
      <c r="E160" s="12" t="s">
        <v>837</v>
      </c>
      <c r="F160" s="6">
        <v>1</v>
      </c>
      <c r="G160" s="6">
        <v>0</v>
      </c>
      <c r="H160" s="6" t="s">
        <v>838</v>
      </c>
      <c r="I160" s="190">
        <v>0</v>
      </c>
      <c r="J160" s="190">
        <v>0</v>
      </c>
      <c r="K160" s="190">
        <v>0</v>
      </c>
      <c r="L160" s="190">
        <v>5377081.9599269582</v>
      </c>
      <c r="M160" s="190">
        <v>0</v>
      </c>
      <c r="N160" s="190">
        <v>0</v>
      </c>
      <c r="O160" s="190">
        <v>0</v>
      </c>
      <c r="P160" s="190">
        <v>0</v>
      </c>
      <c r="Q160" s="190">
        <v>0</v>
      </c>
      <c r="R160" s="190">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row>
    <row r="161" spans="2:38" ht="12.75" customHeight="1">
      <c r="B161" s="507" t="s">
        <v>115</v>
      </c>
      <c r="C161" s="6" t="s">
        <v>297</v>
      </c>
      <c r="D161" s="12" t="s">
        <v>822</v>
      </c>
      <c r="E161" s="12" t="s">
        <v>839</v>
      </c>
      <c r="F161" s="6">
        <v>1</v>
      </c>
      <c r="G161" s="6">
        <v>0</v>
      </c>
      <c r="H161" s="6" t="s">
        <v>840</v>
      </c>
      <c r="I161" s="190">
        <v>0</v>
      </c>
      <c r="J161" s="190">
        <v>0</v>
      </c>
      <c r="K161" s="190">
        <v>0</v>
      </c>
      <c r="L161" s="190">
        <v>999142.99852279993</v>
      </c>
      <c r="M161" s="190">
        <v>0</v>
      </c>
      <c r="N161" s="190">
        <v>0</v>
      </c>
      <c r="O161" s="190">
        <v>0</v>
      </c>
      <c r="P161" s="190">
        <v>0</v>
      </c>
      <c r="Q161" s="190">
        <v>0</v>
      </c>
      <c r="R161" s="190">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row>
    <row r="162" spans="2:38" ht="12.75" customHeight="1">
      <c r="B162" s="507" t="s">
        <v>115</v>
      </c>
      <c r="C162" s="6" t="s">
        <v>297</v>
      </c>
      <c r="D162" s="12" t="s">
        <v>822</v>
      </c>
      <c r="E162" s="12" t="s">
        <v>841</v>
      </c>
      <c r="F162" s="6">
        <v>1</v>
      </c>
      <c r="G162" s="6">
        <v>0</v>
      </c>
      <c r="H162" s="6" t="s">
        <v>842</v>
      </c>
      <c r="I162" s="190">
        <v>0</v>
      </c>
      <c r="J162" s="190">
        <v>0</v>
      </c>
      <c r="K162" s="190">
        <v>0</v>
      </c>
      <c r="L162" s="190">
        <v>5494452.5664501116</v>
      </c>
      <c r="M162" s="190">
        <v>0</v>
      </c>
      <c r="N162" s="190">
        <v>0</v>
      </c>
      <c r="O162" s="190">
        <v>0</v>
      </c>
      <c r="P162" s="190">
        <v>0</v>
      </c>
      <c r="Q162" s="190">
        <v>0</v>
      </c>
      <c r="R162" s="190">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row>
    <row r="163" spans="2:38" ht="12.75" customHeight="1">
      <c r="B163" s="507" t="s">
        <v>115</v>
      </c>
      <c r="C163" s="6" t="s">
        <v>297</v>
      </c>
      <c r="D163" s="12" t="s">
        <v>822</v>
      </c>
      <c r="E163" s="12" t="s">
        <v>843</v>
      </c>
      <c r="F163" s="6">
        <v>1</v>
      </c>
      <c r="G163" s="6">
        <v>0</v>
      </c>
      <c r="H163" s="6" t="s">
        <v>844</v>
      </c>
      <c r="I163" s="190">
        <v>0</v>
      </c>
      <c r="J163" s="190">
        <v>0</v>
      </c>
      <c r="K163" s="190">
        <v>0</v>
      </c>
      <c r="L163" s="190">
        <v>1343880.8518177164</v>
      </c>
      <c r="M163" s="190">
        <v>0</v>
      </c>
      <c r="N163" s="190">
        <v>0</v>
      </c>
      <c r="O163" s="190">
        <v>0</v>
      </c>
      <c r="P163" s="190">
        <v>0</v>
      </c>
      <c r="Q163" s="190">
        <v>0</v>
      </c>
      <c r="R163" s="190">
        <v>0</v>
      </c>
      <c r="S163" s="190">
        <v>0</v>
      </c>
      <c r="T163" s="190">
        <v>0</v>
      </c>
      <c r="U163" s="190">
        <v>0</v>
      </c>
      <c r="V163" s="190">
        <v>0</v>
      </c>
      <c r="W163" s="190">
        <v>0</v>
      </c>
      <c r="X163" s="190">
        <v>0</v>
      </c>
      <c r="Y163" s="190">
        <v>0</v>
      </c>
      <c r="Z163" s="190">
        <v>0</v>
      </c>
      <c r="AA163" s="190">
        <v>0</v>
      </c>
      <c r="AB163" s="190">
        <v>0</v>
      </c>
      <c r="AC163" s="190">
        <v>0</v>
      </c>
      <c r="AD163" s="190">
        <v>0</v>
      </c>
      <c r="AE163" s="190">
        <v>0</v>
      </c>
      <c r="AF163" s="190">
        <v>0</v>
      </c>
      <c r="AG163" s="190">
        <v>0</v>
      </c>
      <c r="AH163" s="190">
        <v>0</v>
      </c>
      <c r="AI163" s="190">
        <v>0</v>
      </c>
      <c r="AJ163" s="190">
        <v>0</v>
      </c>
      <c r="AK163" s="190">
        <v>0</v>
      </c>
      <c r="AL163" s="190">
        <v>0</v>
      </c>
    </row>
    <row r="164" spans="2:38" ht="12.75" customHeight="1">
      <c r="B164" s="507" t="s">
        <v>115</v>
      </c>
      <c r="C164" s="6" t="s">
        <v>297</v>
      </c>
      <c r="D164" s="12" t="s">
        <v>822</v>
      </c>
      <c r="E164" s="12" t="s">
        <v>845</v>
      </c>
      <c r="F164" s="6">
        <v>1</v>
      </c>
      <c r="G164" s="6">
        <v>0</v>
      </c>
      <c r="H164" s="6" t="s">
        <v>846</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2190534.37</v>
      </c>
      <c r="X164" s="190">
        <v>0</v>
      </c>
      <c r="Y164" s="190">
        <v>0</v>
      </c>
      <c r="Z164" s="190">
        <v>0</v>
      </c>
      <c r="AA164" s="190">
        <v>0</v>
      </c>
      <c r="AB164" s="190">
        <v>0</v>
      </c>
      <c r="AC164" s="190">
        <v>0</v>
      </c>
      <c r="AD164" s="190">
        <v>0</v>
      </c>
      <c r="AE164" s="190">
        <v>0</v>
      </c>
      <c r="AF164" s="190">
        <v>0</v>
      </c>
      <c r="AG164" s="190">
        <v>0</v>
      </c>
      <c r="AH164" s="190">
        <v>0</v>
      </c>
      <c r="AI164" s="190">
        <v>0</v>
      </c>
      <c r="AJ164" s="190">
        <v>0</v>
      </c>
      <c r="AK164" s="190">
        <v>0</v>
      </c>
      <c r="AL164" s="190">
        <v>0</v>
      </c>
    </row>
    <row r="165" spans="2:38" ht="12.75" customHeight="1">
      <c r="B165" s="507" t="s">
        <v>115</v>
      </c>
      <c r="C165" s="6" t="s">
        <v>297</v>
      </c>
      <c r="D165" s="12" t="s">
        <v>822</v>
      </c>
      <c r="E165" s="12" t="s">
        <v>847</v>
      </c>
      <c r="F165" s="6">
        <v>1</v>
      </c>
      <c r="G165" s="6">
        <v>0</v>
      </c>
      <c r="H165" s="6" t="s">
        <v>874</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0">
        <v>0</v>
      </c>
      <c r="AA165" s="190">
        <v>0</v>
      </c>
      <c r="AB165" s="190">
        <v>0</v>
      </c>
      <c r="AC165" s="190">
        <v>0</v>
      </c>
      <c r="AD165" s="190">
        <v>0</v>
      </c>
      <c r="AE165" s="190">
        <v>0</v>
      </c>
      <c r="AF165" s="190">
        <v>0</v>
      </c>
      <c r="AG165" s="190">
        <v>0</v>
      </c>
      <c r="AH165" s="190">
        <v>0</v>
      </c>
      <c r="AI165" s="190">
        <v>0</v>
      </c>
      <c r="AJ165" s="190">
        <v>0</v>
      </c>
      <c r="AK165" s="190">
        <v>0</v>
      </c>
      <c r="AL165" s="190">
        <v>0</v>
      </c>
    </row>
    <row r="166" spans="2:38" ht="12.75" customHeight="1">
      <c r="B166" s="507" t="s">
        <v>115</v>
      </c>
      <c r="C166" s="6" t="s">
        <v>297</v>
      </c>
      <c r="D166" s="12" t="s">
        <v>822</v>
      </c>
      <c r="E166" s="12" t="s">
        <v>849</v>
      </c>
      <c r="F166" s="6">
        <v>1</v>
      </c>
      <c r="G166" s="6">
        <v>0</v>
      </c>
      <c r="H166" s="6" t="s">
        <v>850</v>
      </c>
      <c r="I166" s="190">
        <v>0</v>
      </c>
      <c r="J166" s="190">
        <v>0</v>
      </c>
      <c r="K166" s="190">
        <v>0</v>
      </c>
      <c r="L166" s="190">
        <v>1573748.2695035702</v>
      </c>
      <c r="M166" s="190">
        <v>0</v>
      </c>
      <c r="N166" s="190">
        <v>0</v>
      </c>
      <c r="O166" s="190">
        <v>0</v>
      </c>
      <c r="P166" s="190">
        <v>0</v>
      </c>
      <c r="Q166" s="190">
        <v>0</v>
      </c>
      <c r="R166" s="190">
        <v>0</v>
      </c>
      <c r="S166" s="190">
        <v>0</v>
      </c>
      <c r="T166" s="190">
        <v>0</v>
      </c>
      <c r="U166" s="190">
        <v>0</v>
      </c>
      <c r="V166" s="190">
        <v>0</v>
      </c>
      <c r="W166" s="190">
        <v>0</v>
      </c>
      <c r="X166" s="190">
        <v>0</v>
      </c>
      <c r="Y166" s="190">
        <v>0</v>
      </c>
      <c r="Z166" s="190">
        <v>0</v>
      </c>
      <c r="AA166" s="190">
        <v>0</v>
      </c>
      <c r="AB166" s="190">
        <v>0</v>
      </c>
      <c r="AC166" s="190">
        <v>0</v>
      </c>
      <c r="AD166" s="190">
        <v>0</v>
      </c>
      <c r="AE166" s="190">
        <v>0</v>
      </c>
      <c r="AF166" s="190">
        <v>0</v>
      </c>
      <c r="AG166" s="190">
        <v>0</v>
      </c>
      <c r="AH166" s="190">
        <v>0</v>
      </c>
      <c r="AI166" s="190">
        <v>0</v>
      </c>
      <c r="AJ166" s="190">
        <v>0</v>
      </c>
      <c r="AK166" s="190">
        <v>0</v>
      </c>
      <c r="AL166" s="190">
        <v>0</v>
      </c>
    </row>
    <row r="167" spans="2:38" ht="12.75" customHeight="1">
      <c r="B167" s="507" t="s">
        <v>115</v>
      </c>
      <c r="C167" s="6" t="s">
        <v>297</v>
      </c>
      <c r="D167" s="12" t="s">
        <v>822</v>
      </c>
      <c r="E167" s="12" t="s">
        <v>851</v>
      </c>
      <c r="F167" s="6">
        <v>1</v>
      </c>
      <c r="G167" s="6">
        <v>0</v>
      </c>
      <c r="H167" s="6" t="s">
        <v>852</v>
      </c>
      <c r="I167" s="190">
        <v>0</v>
      </c>
      <c r="J167" s="190">
        <v>0</v>
      </c>
      <c r="K167" s="190">
        <v>1011179.7345074214</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0">
        <v>0</v>
      </c>
      <c r="AA167" s="190">
        <v>0</v>
      </c>
      <c r="AB167" s="190">
        <v>0</v>
      </c>
      <c r="AC167" s="190">
        <v>0</v>
      </c>
      <c r="AD167" s="190">
        <v>0</v>
      </c>
      <c r="AE167" s="190">
        <v>0</v>
      </c>
      <c r="AF167" s="190">
        <v>0</v>
      </c>
      <c r="AG167" s="190">
        <v>0</v>
      </c>
      <c r="AH167" s="190">
        <v>0</v>
      </c>
      <c r="AI167" s="190">
        <v>0</v>
      </c>
      <c r="AJ167" s="190">
        <v>0</v>
      </c>
      <c r="AK167" s="190">
        <v>0</v>
      </c>
      <c r="AL167" s="190">
        <v>0</v>
      </c>
    </row>
    <row r="168" spans="2:38" ht="12.75" customHeight="1">
      <c r="B168" s="507" t="s">
        <v>115</v>
      </c>
      <c r="C168" s="6" t="s">
        <v>297</v>
      </c>
      <c r="D168" s="12" t="s">
        <v>822</v>
      </c>
      <c r="E168" s="12" t="s">
        <v>853</v>
      </c>
      <c r="F168" s="6">
        <v>1</v>
      </c>
      <c r="G168" s="6">
        <v>0</v>
      </c>
      <c r="H168" s="6" t="s">
        <v>804</v>
      </c>
      <c r="I168" s="190">
        <v>0</v>
      </c>
      <c r="J168" s="190">
        <v>0</v>
      </c>
      <c r="K168" s="190">
        <v>12437.510734441283</v>
      </c>
      <c r="L168" s="190">
        <v>1890136.1466789045</v>
      </c>
      <c r="M168" s="190">
        <v>0</v>
      </c>
      <c r="N168" s="190">
        <v>0</v>
      </c>
      <c r="O168" s="190">
        <v>0</v>
      </c>
      <c r="P168" s="190">
        <v>0</v>
      </c>
      <c r="Q168" s="190">
        <v>0</v>
      </c>
      <c r="R168" s="190">
        <v>0</v>
      </c>
      <c r="S168" s="190">
        <v>0</v>
      </c>
      <c r="T168" s="190">
        <v>0</v>
      </c>
      <c r="U168" s="190">
        <v>0</v>
      </c>
      <c r="V168" s="190">
        <v>0</v>
      </c>
      <c r="W168" s="190">
        <v>2861738.9685417437</v>
      </c>
      <c r="X168" s="190">
        <v>0</v>
      </c>
      <c r="Y168" s="190">
        <v>0</v>
      </c>
      <c r="Z168" s="190">
        <v>0</v>
      </c>
      <c r="AA168" s="190">
        <v>0</v>
      </c>
      <c r="AB168" s="190">
        <v>0</v>
      </c>
      <c r="AC168" s="190">
        <v>0</v>
      </c>
      <c r="AD168" s="190">
        <v>0</v>
      </c>
      <c r="AE168" s="190">
        <v>0</v>
      </c>
      <c r="AF168" s="190">
        <v>0</v>
      </c>
      <c r="AG168" s="190">
        <v>0</v>
      </c>
      <c r="AH168" s="190">
        <v>0</v>
      </c>
      <c r="AI168" s="190">
        <v>0</v>
      </c>
      <c r="AJ168" s="190">
        <v>0</v>
      </c>
      <c r="AK168" s="190">
        <v>0</v>
      </c>
      <c r="AL168" s="190">
        <v>0</v>
      </c>
    </row>
    <row r="169" spans="2:38" ht="12.75" customHeight="1">
      <c r="B169" s="507" t="s">
        <v>115</v>
      </c>
      <c r="C169" s="6" t="s">
        <v>297</v>
      </c>
      <c r="D169" s="12" t="s">
        <v>822</v>
      </c>
      <c r="E169" s="12" t="s">
        <v>854</v>
      </c>
      <c r="F169" s="6">
        <v>1</v>
      </c>
      <c r="G169" s="6">
        <v>0</v>
      </c>
      <c r="H169" s="6" t="s">
        <v>806</v>
      </c>
      <c r="I169" s="190">
        <v>0</v>
      </c>
      <c r="J169" s="190">
        <v>0</v>
      </c>
      <c r="K169" s="190">
        <v>3134.6571769730062</v>
      </c>
      <c r="L169" s="190">
        <v>476375.77680525236</v>
      </c>
      <c r="M169" s="190">
        <v>0</v>
      </c>
      <c r="N169" s="190">
        <v>0</v>
      </c>
      <c r="O169" s="190">
        <v>0</v>
      </c>
      <c r="P169" s="190">
        <v>0</v>
      </c>
      <c r="Q169" s="190">
        <v>0</v>
      </c>
      <c r="R169" s="190">
        <v>0</v>
      </c>
      <c r="S169" s="190">
        <v>0</v>
      </c>
      <c r="T169" s="190">
        <v>0</v>
      </c>
      <c r="U169" s="190">
        <v>0</v>
      </c>
      <c r="V169" s="190">
        <v>0</v>
      </c>
      <c r="W169" s="190">
        <v>721251.28475442319</v>
      </c>
      <c r="X169" s="190">
        <v>0</v>
      </c>
      <c r="Y169" s="190">
        <v>0</v>
      </c>
      <c r="Z169" s="190">
        <v>0</v>
      </c>
      <c r="AA169" s="190">
        <v>0</v>
      </c>
      <c r="AB169" s="190">
        <v>0</v>
      </c>
      <c r="AC169" s="190">
        <v>0</v>
      </c>
      <c r="AD169" s="190">
        <v>0</v>
      </c>
      <c r="AE169" s="190">
        <v>0</v>
      </c>
      <c r="AF169" s="190">
        <v>0</v>
      </c>
      <c r="AG169" s="190">
        <v>0</v>
      </c>
      <c r="AH169" s="190">
        <v>0</v>
      </c>
      <c r="AI169" s="190">
        <v>0</v>
      </c>
      <c r="AJ169" s="190">
        <v>0</v>
      </c>
      <c r="AK169" s="190">
        <v>0</v>
      </c>
      <c r="AL169" s="190">
        <v>0</v>
      </c>
    </row>
    <row r="170" spans="2:38" ht="12.75" customHeight="1">
      <c r="B170" s="507" t="s">
        <v>115</v>
      </c>
      <c r="C170" s="6" t="s">
        <v>297</v>
      </c>
      <c r="D170" s="12" t="s">
        <v>822</v>
      </c>
      <c r="E170" s="12" t="s">
        <v>855</v>
      </c>
      <c r="F170" s="6">
        <v>1</v>
      </c>
      <c r="G170" s="6">
        <v>0</v>
      </c>
      <c r="H170" s="6" t="s">
        <v>808</v>
      </c>
      <c r="I170" s="190">
        <v>0</v>
      </c>
      <c r="J170" s="190">
        <v>0</v>
      </c>
      <c r="K170" s="190">
        <v>58.648424601430442</v>
      </c>
      <c r="L170" s="190">
        <v>8912.8371144208504</v>
      </c>
      <c r="M170" s="190">
        <v>0</v>
      </c>
      <c r="N170" s="190">
        <v>0</v>
      </c>
      <c r="O170" s="190">
        <v>0</v>
      </c>
      <c r="P170" s="190">
        <v>0</v>
      </c>
      <c r="Q170" s="190">
        <v>0</v>
      </c>
      <c r="R170" s="190">
        <v>0</v>
      </c>
      <c r="S170" s="190">
        <v>0</v>
      </c>
      <c r="T170" s="190">
        <v>0</v>
      </c>
      <c r="U170" s="190">
        <v>0</v>
      </c>
      <c r="V170" s="190">
        <v>0</v>
      </c>
      <c r="W170" s="190">
        <v>13494.378876050499</v>
      </c>
      <c r="X170" s="190">
        <v>0</v>
      </c>
      <c r="Y170" s="190">
        <v>0</v>
      </c>
      <c r="Z170" s="190">
        <v>0</v>
      </c>
      <c r="AA170" s="190">
        <v>0</v>
      </c>
      <c r="AB170" s="190">
        <v>0</v>
      </c>
      <c r="AC170" s="190">
        <v>0</v>
      </c>
      <c r="AD170" s="190">
        <v>0</v>
      </c>
      <c r="AE170" s="190">
        <v>0</v>
      </c>
      <c r="AF170" s="190">
        <v>0</v>
      </c>
      <c r="AG170" s="190">
        <v>0</v>
      </c>
      <c r="AH170" s="190">
        <v>0</v>
      </c>
      <c r="AI170" s="190">
        <v>0</v>
      </c>
      <c r="AJ170" s="190">
        <v>0</v>
      </c>
      <c r="AK170" s="190">
        <v>0</v>
      </c>
      <c r="AL170" s="190">
        <v>0</v>
      </c>
    </row>
    <row r="171" spans="2:38" ht="12.75" customHeight="1">
      <c r="B171" s="507" t="s">
        <v>115</v>
      </c>
      <c r="C171" s="6" t="s">
        <v>297</v>
      </c>
      <c r="D171" s="12" t="s">
        <v>822</v>
      </c>
      <c r="E171" s="12" t="s">
        <v>856</v>
      </c>
      <c r="F171" s="6">
        <v>1</v>
      </c>
      <c r="G171" s="6">
        <v>0</v>
      </c>
      <c r="H171" s="6" t="s">
        <v>810</v>
      </c>
      <c r="I171" s="190">
        <v>0</v>
      </c>
      <c r="J171" s="190">
        <v>0</v>
      </c>
      <c r="K171" s="190">
        <v>25279.493362685535</v>
      </c>
      <c r="L171" s="190">
        <v>3841740.1355262287</v>
      </c>
      <c r="M171" s="190">
        <v>0</v>
      </c>
      <c r="N171" s="190">
        <v>0</v>
      </c>
      <c r="O171" s="190">
        <v>0</v>
      </c>
      <c r="P171" s="190">
        <v>0</v>
      </c>
      <c r="Q171" s="190">
        <v>0</v>
      </c>
      <c r="R171" s="190">
        <v>0</v>
      </c>
      <c r="S171" s="190">
        <v>0</v>
      </c>
      <c r="T171" s="190">
        <v>0</v>
      </c>
      <c r="U171" s="190">
        <v>0</v>
      </c>
      <c r="V171" s="190">
        <v>0</v>
      </c>
      <c r="W171" s="190">
        <v>5816542.6189872846</v>
      </c>
      <c r="X171" s="190">
        <v>0</v>
      </c>
      <c r="Y171" s="190">
        <v>0</v>
      </c>
      <c r="Z171" s="190">
        <v>0</v>
      </c>
      <c r="AA171" s="190">
        <v>0</v>
      </c>
      <c r="AB171" s="190">
        <v>0</v>
      </c>
      <c r="AC171" s="190">
        <v>0</v>
      </c>
      <c r="AD171" s="190">
        <v>0</v>
      </c>
      <c r="AE171" s="190">
        <v>0</v>
      </c>
      <c r="AF171" s="190">
        <v>0</v>
      </c>
      <c r="AG171" s="190">
        <v>0</v>
      </c>
      <c r="AH171" s="190">
        <v>0</v>
      </c>
      <c r="AI171" s="190">
        <v>0</v>
      </c>
      <c r="AJ171" s="190">
        <v>0</v>
      </c>
      <c r="AK171" s="190">
        <v>0</v>
      </c>
      <c r="AL171" s="190">
        <v>0</v>
      </c>
    </row>
    <row r="172" spans="2:38" ht="12.75" customHeight="1">
      <c r="B172" s="507" t="s">
        <v>115</v>
      </c>
      <c r="C172" s="6" t="s">
        <v>297</v>
      </c>
      <c r="D172" s="12" t="s">
        <v>857</v>
      </c>
      <c r="E172" s="12">
        <v>3</v>
      </c>
      <c r="F172" s="6">
        <v>1</v>
      </c>
      <c r="G172" s="6">
        <v>0</v>
      </c>
      <c r="H172" s="6" t="s">
        <v>76</v>
      </c>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row>
    <row r="173" spans="2:38" ht="12.75" customHeight="1">
      <c r="B173" s="507" t="s">
        <v>115</v>
      </c>
      <c r="C173" s="6" t="s">
        <v>297</v>
      </c>
      <c r="D173" s="12" t="s">
        <v>857</v>
      </c>
      <c r="E173" s="12" t="s">
        <v>858</v>
      </c>
      <c r="F173" s="6">
        <v>1</v>
      </c>
      <c r="G173" s="6">
        <v>0</v>
      </c>
      <c r="H173" s="6" t="s">
        <v>790</v>
      </c>
      <c r="I173" s="190">
        <v>0</v>
      </c>
      <c r="J173" s="190">
        <v>0</v>
      </c>
      <c r="K173" s="190">
        <v>0</v>
      </c>
      <c r="L173" s="190">
        <v>0</v>
      </c>
      <c r="M173" s="190">
        <v>0</v>
      </c>
      <c r="N173" s="190">
        <v>0</v>
      </c>
      <c r="O173" s="190">
        <v>0</v>
      </c>
      <c r="P173" s="190">
        <v>33136724.755950399</v>
      </c>
      <c r="Q173" s="190">
        <v>11036001.289251518</v>
      </c>
      <c r="R173" s="190">
        <v>0</v>
      </c>
      <c r="S173" s="190">
        <v>0</v>
      </c>
      <c r="T173" s="190">
        <v>0</v>
      </c>
      <c r="U173" s="190">
        <v>0</v>
      </c>
      <c r="V173" s="190">
        <v>0</v>
      </c>
      <c r="W173" s="190">
        <v>2658165.8225008002</v>
      </c>
      <c r="X173" s="190">
        <v>0</v>
      </c>
      <c r="Y173" s="190">
        <v>59251019.499259584</v>
      </c>
      <c r="Z173" s="190">
        <v>13782449.2335792</v>
      </c>
      <c r="AA173" s="190">
        <v>10093617.232827121</v>
      </c>
      <c r="AB173" s="190">
        <v>0</v>
      </c>
      <c r="AC173" s="190">
        <v>0</v>
      </c>
      <c r="AD173" s="190">
        <v>0</v>
      </c>
      <c r="AE173" s="190">
        <v>0</v>
      </c>
      <c r="AF173" s="190">
        <v>5607861.5789735997</v>
      </c>
      <c r="AG173" s="190">
        <v>29295305.959756799</v>
      </c>
      <c r="AH173" s="190">
        <v>9118882.0021791998</v>
      </c>
      <c r="AI173" s="190">
        <v>5363625.8705731202</v>
      </c>
      <c r="AJ173" s="190">
        <v>0</v>
      </c>
      <c r="AK173" s="190">
        <v>182224.93701280002</v>
      </c>
      <c r="AL173" s="190">
        <v>14803143.279697601</v>
      </c>
    </row>
    <row r="174" spans="2:38" ht="12.75" customHeight="1">
      <c r="B174" s="507" t="s">
        <v>115</v>
      </c>
      <c r="C174" s="6" t="s">
        <v>297</v>
      </c>
      <c r="D174" s="12" t="s">
        <v>857</v>
      </c>
      <c r="E174" s="12" t="s">
        <v>859</v>
      </c>
      <c r="F174" s="6">
        <v>1</v>
      </c>
      <c r="G174" s="6">
        <v>0</v>
      </c>
      <c r="H174" s="6" t="s">
        <v>792</v>
      </c>
      <c r="I174" s="190">
        <v>0</v>
      </c>
      <c r="J174" s="190">
        <v>0</v>
      </c>
      <c r="K174" s="190">
        <v>0</v>
      </c>
      <c r="L174" s="190">
        <v>0</v>
      </c>
      <c r="M174" s="190">
        <v>0</v>
      </c>
      <c r="N174" s="190">
        <v>0</v>
      </c>
      <c r="O174" s="190">
        <v>0</v>
      </c>
      <c r="P174" s="190">
        <v>0</v>
      </c>
      <c r="Q174" s="190">
        <v>0</v>
      </c>
      <c r="R174" s="190">
        <v>0</v>
      </c>
      <c r="S174" s="190">
        <v>0</v>
      </c>
      <c r="T174" s="190">
        <v>0</v>
      </c>
      <c r="U174" s="190">
        <v>0</v>
      </c>
      <c r="V174" s="190">
        <v>0</v>
      </c>
      <c r="W174" s="190">
        <v>0</v>
      </c>
      <c r="X174" s="190">
        <v>0</v>
      </c>
      <c r="Y174" s="190">
        <v>0</v>
      </c>
      <c r="Z174" s="190">
        <v>0</v>
      </c>
      <c r="AA174" s="190">
        <v>0</v>
      </c>
      <c r="AB174" s="190">
        <v>0</v>
      </c>
      <c r="AC174" s="190">
        <v>0</v>
      </c>
      <c r="AD174" s="190">
        <v>0</v>
      </c>
      <c r="AE174" s="190">
        <v>0</v>
      </c>
      <c r="AF174" s="190">
        <v>0</v>
      </c>
      <c r="AG174" s="190">
        <v>0</v>
      </c>
      <c r="AH174" s="190">
        <v>0</v>
      </c>
      <c r="AI174" s="190">
        <v>0</v>
      </c>
      <c r="AJ174" s="190">
        <v>0</v>
      </c>
      <c r="AK174" s="190">
        <v>0</v>
      </c>
      <c r="AL174" s="190">
        <v>0</v>
      </c>
    </row>
    <row r="175" spans="2:38" ht="12.75" customHeight="1">
      <c r="B175" s="507" t="s">
        <v>115</v>
      </c>
      <c r="C175" s="6" t="s">
        <v>297</v>
      </c>
      <c r="D175" s="12" t="s">
        <v>857</v>
      </c>
      <c r="E175" s="12" t="s">
        <v>860</v>
      </c>
      <c r="F175" s="6">
        <v>1</v>
      </c>
      <c r="G175" s="6">
        <v>0</v>
      </c>
      <c r="H175" s="6" t="s">
        <v>794</v>
      </c>
      <c r="I175" s="190">
        <v>0</v>
      </c>
      <c r="J175" s="190">
        <v>0</v>
      </c>
      <c r="K175" s="190">
        <v>0</v>
      </c>
      <c r="L175" s="190">
        <v>0</v>
      </c>
      <c r="M175" s="190">
        <v>0</v>
      </c>
      <c r="N175" s="190">
        <v>0</v>
      </c>
      <c r="O175" s="190">
        <v>0</v>
      </c>
      <c r="P175" s="190">
        <v>0</v>
      </c>
      <c r="Q175" s="190">
        <v>0</v>
      </c>
      <c r="R175" s="190">
        <v>0</v>
      </c>
      <c r="S175" s="190">
        <v>0</v>
      </c>
      <c r="T175" s="190">
        <v>0</v>
      </c>
      <c r="U175" s="190">
        <v>0</v>
      </c>
      <c r="V175" s="190">
        <v>0</v>
      </c>
      <c r="W175" s="190">
        <v>0</v>
      </c>
      <c r="X175" s="190">
        <v>0</v>
      </c>
      <c r="Y175" s="190">
        <v>0</v>
      </c>
      <c r="Z175" s="190">
        <v>0</v>
      </c>
      <c r="AA175" s="190">
        <v>0</v>
      </c>
      <c r="AB175" s="190">
        <v>0</v>
      </c>
      <c r="AC175" s="190">
        <v>0</v>
      </c>
      <c r="AD175" s="190">
        <v>0</v>
      </c>
      <c r="AE175" s="190">
        <v>0</v>
      </c>
      <c r="AF175" s="190">
        <v>0</v>
      </c>
      <c r="AG175" s="190">
        <v>0</v>
      </c>
      <c r="AH175" s="190">
        <v>0</v>
      </c>
      <c r="AI175" s="190">
        <v>0</v>
      </c>
      <c r="AJ175" s="190">
        <v>0</v>
      </c>
      <c r="AK175" s="190">
        <v>0</v>
      </c>
      <c r="AL175" s="190">
        <v>0</v>
      </c>
    </row>
    <row r="176" spans="2:38" ht="12.75" customHeight="1">
      <c r="B176" s="507" t="s">
        <v>115</v>
      </c>
      <c r="C176" s="6" t="s">
        <v>297</v>
      </c>
      <c r="D176" s="12" t="s">
        <v>857</v>
      </c>
      <c r="E176" s="12" t="s">
        <v>861</v>
      </c>
      <c r="F176" s="6">
        <v>1</v>
      </c>
      <c r="G176" s="6">
        <v>0</v>
      </c>
      <c r="H176" s="6" t="s">
        <v>796</v>
      </c>
      <c r="I176" s="190">
        <v>0</v>
      </c>
      <c r="J176" s="190">
        <v>0</v>
      </c>
      <c r="K176" s="190">
        <v>0</v>
      </c>
      <c r="L176" s="190">
        <v>0</v>
      </c>
      <c r="M176" s="190">
        <v>0</v>
      </c>
      <c r="N176" s="190">
        <v>0</v>
      </c>
      <c r="O176" s="190">
        <v>0</v>
      </c>
      <c r="P176" s="190">
        <v>1033471.5125000002</v>
      </c>
      <c r="Q176" s="190">
        <v>411805.09750000009</v>
      </c>
      <c r="R176" s="190">
        <v>0</v>
      </c>
      <c r="S176" s="190">
        <v>0</v>
      </c>
      <c r="T176" s="190">
        <v>0</v>
      </c>
      <c r="U176" s="190">
        <v>0</v>
      </c>
      <c r="V176" s="190">
        <v>0</v>
      </c>
      <c r="W176" s="190">
        <v>149082.57375000001</v>
      </c>
      <c r="X176" s="190">
        <v>0</v>
      </c>
      <c r="Y176" s="190">
        <v>990623.66249999986</v>
      </c>
      <c r="Z176" s="190">
        <v>263607.42499999999</v>
      </c>
      <c r="AA176" s="190">
        <v>191045.52249999996</v>
      </c>
      <c r="AB176" s="190">
        <v>0</v>
      </c>
      <c r="AC176" s="190">
        <v>0</v>
      </c>
      <c r="AD176" s="190">
        <v>0</v>
      </c>
      <c r="AE176" s="190">
        <v>0</v>
      </c>
      <c r="AF176" s="190">
        <v>164451.91125</v>
      </c>
      <c r="AG176" s="190">
        <v>905393.7</v>
      </c>
      <c r="AH176" s="190">
        <v>333468.05</v>
      </c>
      <c r="AI176" s="190">
        <v>191045.52249999996</v>
      </c>
      <c r="AJ176" s="190">
        <v>0</v>
      </c>
      <c r="AK176" s="190">
        <v>15369.3375</v>
      </c>
      <c r="AL176" s="190">
        <v>1054476.2737500002</v>
      </c>
    </row>
    <row r="177" spans="2:38" ht="12.75" customHeight="1">
      <c r="B177" s="507" t="s">
        <v>115</v>
      </c>
      <c r="C177" s="6" t="s">
        <v>297</v>
      </c>
      <c r="D177" s="12" t="s">
        <v>857</v>
      </c>
      <c r="E177" s="12" t="s">
        <v>862</v>
      </c>
      <c r="F177" s="6">
        <v>1</v>
      </c>
      <c r="G177" s="6">
        <v>0</v>
      </c>
      <c r="H177" s="6" t="s">
        <v>804</v>
      </c>
      <c r="I177" s="190">
        <v>0</v>
      </c>
      <c r="J177" s="190">
        <v>0</v>
      </c>
      <c r="K177" s="190">
        <v>0</v>
      </c>
      <c r="L177" s="190">
        <v>0</v>
      </c>
      <c r="M177" s="190">
        <v>0</v>
      </c>
      <c r="N177" s="190">
        <v>0</v>
      </c>
      <c r="O177" s="190">
        <v>0</v>
      </c>
      <c r="P177" s="190">
        <v>420293.41410193994</v>
      </c>
      <c r="Q177" s="190">
        <v>140808.01855704366</v>
      </c>
      <c r="R177" s="190">
        <v>0</v>
      </c>
      <c r="S177" s="190">
        <v>0</v>
      </c>
      <c r="T177" s="190">
        <v>0</v>
      </c>
      <c r="U177" s="190">
        <v>0</v>
      </c>
      <c r="V177" s="190">
        <v>0</v>
      </c>
      <c r="W177" s="190">
        <v>34529.15527388484</v>
      </c>
      <c r="X177" s="190">
        <v>0</v>
      </c>
      <c r="Y177" s="190">
        <v>740972.21088964294</v>
      </c>
      <c r="Z177" s="190">
        <v>172766.49690052416</v>
      </c>
      <c r="AA177" s="190">
        <v>126501.35189052358</v>
      </c>
      <c r="AB177" s="190">
        <v>0</v>
      </c>
      <c r="AC177" s="190">
        <v>0</v>
      </c>
      <c r="AD177" s="190">
        <v>0</v>
      </c>
      <c r="AE177" s="190">
        <v>0</v>
      </c>
      <c r="AF177" s="190">
        <v>70999.455929750271</v>
      </c>
      <c r="AG177" s="190">
        <v>371468.60581500863</v>
      </c>
      <c r="AH177" s="190">
        <v>116263.90564180417</v>
      </c>
      <c r="AI177" s="190">
        <v>68322.458134799381</v>
      </c>
      <c r="AJ177" s="190">
        <v>0</v>
      </c>
      <c r="AK177" s="190">
        <v>2430.4095765074403</v>
      </c>
      <c r="AL177" s="190">
        <v>195048.72050740549</v>
      </c>
    </row>
    <row r="178" spans="2:38" ht="12.75" customHeight="1">
      <c r="B178" s="507" t="s">
        <v>115</v>
      </c>
      <c r="C178" s="6" t="s">
        <v>297</v>
      </c>
      <c r="D178" s="12" t="s">
        <v>857</v>
      </c>
      <c r="E178" s="12" t="s">
        <v>863</v>
      </c>
      <c r="F178" s="6">
        <v>1</v>
      </c>
      <c r="G178" s="6">
        <v>0</v>
      </c>
      <c r="H178" s="6" t="s">
        <v>806</v>
      </c>
      <c r="I178" s="190">
        <v>0</v>
      </c>
      <c r="J178" s="190">
        <v>0</v>
      </c>
      <c r="K178" s="190">
        <v>0</v>
      </c>
      <c r="L178" s="190">
        <v>0</v>
      </c>
      <c r="M178" s="190">
        <v>0</v>
      </c>
      <c r="N178" s="190">
        <v>0</v>
      </c>
      <c r="O178" s="190">
        <v>0</v>
      </c>
      <c r="P178" s="190">
        <v>105927.60843219624</v>
      </c>
      <c r="Q178" s="190">
        <v>35488.199798929702</v>
      </c>
      <c r="R178" s="190">
        <v>0</v>
      </c>
      <c r="S178" s="190">
        <v>0</v>
      </c>
      <c r="T178" s="190">
        <v>0</v>
      </c>
      <c r="U178" s="190">
        <v>0</v>
      </c>
      <c r="V178" s="190">
        <v>0</v>
      </c>
      <c r="W178" s="190">
        <v>8702.47002837748</v>
      </c>
      <c r="X178" s="190">
        <v>0</v>
      </c>
      <c r="Y178" s="190">
        <v>186749.0938014547</v>
      </c>
      <c r="Z178" s="190">
        <v>43542.775641595523</v>
      </c>
      <c r="AA178" s="190">
        <v>31882.454541514071</v>
      </c>
      <c r="AB178" s="190">
        <v>0</v>
      </c>
      <c r="AC178" s="190">
        <v>0</v>
      </c>
      <c r="AD178" s="190">
        <v>0</v>
      </c>
      <c r="AE178" s="190">
        <v>0</v>
      </c>
      <c r="AF178" s="190">
        <v>17894.171819693158</v>
      </c>
      <c r="AG178" s="190">
        <v>93622.168945246071</v>
      </c>
      <c r="AH178" s="190">
        <v>29302.285161755521</v>
      </c>
      <c r="AI178" s="190">
        <v>17219.481318526672</v>
      </c>
      <c r="AJ178" s="190">
        <v>0</v>
      </c>
      <c r="AK178" s="190">
        <v>612.54225098968004</v>
      </c>
      <c r="AL178" s="190">
        <v>49158.620615687563</v>
      </c>
    </row>
    <row r="179" spans="2:38" ht="12.75" customHeight="1">
      <c r="B179" s="507" t="s">
        <v>115</v>
      </c>
      <c r="C179" s="6" t="s">
        <v>297</v>
      </c>
      <c r="D179" s="12" t="s">
        <v>857</v>
      </c>
      <c r="E179" s="12" t="s">
        <v>864</v>
      </c>
      <c r="F179" s="6">
        <v>1</v>
      </c>
      <c r="G179" s="6">
        <v>0</v>
      </c>
      <c r="H179" s="6" t="s">
        <v>808</v>
      </c>
      <c r="I179" s="190">
        <v>0</v>
      </c>
      <c r="J179" s="190">
        <v>0</v>
      </c>
      <c r="K179" s="190">
        <v>0</v>
      </c>
      <c r="L179" s="190">
        <v>0</v>
      </c>
      <c r="M179" s="190">
        <v>0</v>
      </c>
      <c r="N179" s="190">
        <v>0</v>
      </c>
      <c r="O179" s="190">
        <v>0</v>
      </c>
      <c r="P179" s="190">
        <v>1981.8713835701233</v>
      </c>
      <c r="Q179" s="190">
        <v>663.97277043158806</v>
      </c>
      <c r="R179" s="190">
        <v>0</v>
      </c>
      <c r="S179" s="190">
        <v>0</v>
      </c>
      <c r="T179" s="190">
        <v>0</v>
      </c>
      <c r="U179" s="190">
        <v>0</v>
      </c>
      <c r="V179" s="190">
        <v>0</v>
      </c>
      <c r="W179" s="190">
        <v>162.82040698254642</v>
      </c>
      <c r="X179" s="190">
        <v>0</v>
      </c>
      <c r="Y179" s="190">
        <v>3494.0153033820561</v>
      </c>
      <c r="Z179" s="190">
        <v>814.67128619759364</v>
      </c>
      <c r="AA179" s="190">
        <v>596.51043980897293</v>
      </c>
      <c r="AB179" s="190">
        <v>0</v>
      </c>
      <c r="AC179" s="190">
        <v>0</v>
      </c>
      <c r="AD179" s="190">
        <v>0</v>
      </c>
      <c r="AE179" s="190">
        <v>0</v>
      </c>
      <c r="AF179" s="190">
        <v>334.7941824329688</v>
      </c>
      <c r="AG179" s="190">
        <v>1751.6405802658944</v>
      </c>
      <c r="AH179" s="190">
        <v>548.23630302639367</v>
      </c>
      <c r="AI179" s="190">
        <v>322.17094079824096</v>
      </c>
      <c r="AJ179" s="190">
        <v>0</v>
      </c>
      <c r="AK179" s="190">
        <v>11.460467921742401</v>
      </c>
      <c r="AL179" s="190">
        <v>919.74193409996087</v>
      </c>
    </row>
    <row r="180" spans="2:38" ht="12.75" customHeight="1">
      <c r="B180" s="507" t="s">
        <v>115</v>
      </c>
      <c r="C180" s="6" t="s">
        <v>297</v>
      </c>
      <c r="D180" s="12" t="s">
        <v>857</v>
      </c>
      <c r="E180" s="12" t="s">
        <v>865</v>
      </c>
      <c r="F180" s="6">
        <v>1</v>
      </c>
      <c r="G180" s="6">
        <v>0</v>
      </c>
      <c r="H180" s="6" t="s">
        <v>810</v>
      </c>
      <c r="I180" s="190">
        <v>0</v>
      </c>
      <c r="J180" s="190">
        <v>0</v>
      </c>
      <c r="K180" s="190">
        <v>0</v>
      </c>
      <c r="L180" s="190">
        <v>0</v>
      </c>
      <c r="M180" s="190">
        <v>0</v>
      </c>
      <c r="N180" s="190">
        <v>0</v>
      </c>
      <c r="O180" s="190">
        <v>0</v>
      </c>
      <c r="P180" s="190">
        <v>854254.90671126009</v>
      </c>
      <c r="Q180" s="190">
        <v>286195.15966878796</v>
      </c>
      <c r="R180" s="190">
        <v>0</v>
      </c>
      <c r="S180" s="190">
        <v>0</v>
      </c>
      <c r="T180" s="190">
        <v>0</v>
      </c>
      <c r="U180" s="190">
        <v>0</v>
      </c>
      <c r="V180" s="190">
        <v>0</v>
      </c>
      <c r="W180" s="190">
        <v>70181.209906270014</v>
      </c>
      <c r="X180" s="190">
        <v>0</v>
      </c>
      <c r="Y180" s="190">
        <v>1506041.0790439898</v>
      </c>
      <c r="Z180" s="190">
        <v>351151.41646448005</v>
      </c>
      <c r="AA180" s="190">
        <v>257116.56888317803</v>
      </c>
      <c r="AB180" s="190">
        <v>0</v>
      </c>
      <c r="AC180" s="190">
        <v>0</v>
      </c>
      <c r="AD180" s="190">
        <v>0</v>
      </c>
      <c r="AE180" s="190">
        <v>0</v>
      </c>
      <c r="AF180" s="190">
        <v>144307.83725558998</v>
      </c>
      <c r="AG180" s="190">
        <v>755017.49149391998</v>
      </c>
      <c r="AH180" s="190">
        <v>236308.75130448001</v>
      </c>
      <c r="AI180" s="190">
        <v>138866.78482682802</v>
      </c>
      <c r="AJ180" s="190">
        <v>0</v>
      </c>
      <c r="AK180" s="190">
        <v>4939.856862820001</v>
      </c>
      <c r="AL180" s="190">
        <v>396440.48883619002</v>
      </c>
    </row>
    <row r="181" spans="2:38" ht="12.75" customHeight="1">
      <c r="B181" s="507" t="s">
        <v>115</v>
      </c>
      <c r="C181" s="6" t="s">
        <v>297</v>
      </c>
      <c r="D181" s="12" t="s">
        <v>857</v>
      </c>
      <c r="E181" s="12" t="s">
        <v>866</v>
      </c>
      <c r="F181" s="6">
        <v>1</v>
      </c>
      <c r="G181" s="6">
        <v>0</v>
      </c>
      <c r="H181" s="6" t="s">
        <v>867</v>
      </c>
      <c r="I181" s="190">
        <v>0</v>
      </c>
      <c r="J181" s="190">
        <v>0</v>
      </c>
      <c r="K181" s="190">
        <v>0</v>
      </c>
      <c r="L181" s="190">
        <v>0</v>
      </c>
      <c r="M181" s="190">
        <v>0</v>
      </c>
      <c r="N181" s="190">
        <v>0</v>
      </c>
      <c r="O181" s="190">
        <v>0</v>
      </c>
      <c r="P181" s="190">
        <v>0</v>
      </c>
      <c r="Q181" s="190">
        <v>0</v>
      </c>
      <c r="R181" s="190">
        <v>0</v>
      </c>
      <c r="S181" s="190">
        <v>0</v>
      </c>
      <c r="T181" s="190">
        <v>0</v>
      </c>
      <c r="U181" s="190">
        <v>0</v>
      </c>
      <c r="V181" s="190">
        <v>0</v>
      </c>
      <c r="W181" s="190">
        <v>0</v>
      </c>
      <c r="X181" s="190">
        <v>0</v>
      </c>
      <c r="Y181" s="190">
        <v>0</v>
      </c>
      <c r="Z181" s="190">
        <v>0</v>
      </c>
      <c r="AA181" s="190">
        <v>0</v>
      </c>
      <c r="AB181" s="190">
        <v>0</v>
      </c>
      <c r="AC181" s="190">
        <v>0</v>
      </c>
      <c r="AD181" s="190">
        <v>0</v>
      </c>
      <c r="AE181" s="190">
        <v>0</v>
      </c>
      <c r="AF181" s="190">
        <v>0</v>
      </c>
      <c r="AG181" s="190">
        <v>0</v>
      </c>
      <c r="AH181" s="190">
        <v>0</v>
      </c>
      <c r="AI181" s="190">
        <v>0</v>
      </c>
      <c r="AJ181" s="190">
        <v>0</v>
      </c>
      <c r="AK181" s="190">
        <v>0</v>
      </c>
      <c r="AL181" s="190">
        <v>0</v>
      </c>
    </row>
    <row r="182" spans="2:38" ht="12.75" customHeight="1">
      <c r="B182" s="507" t="s">
        <v>115</v>
      </c>
      <c r="C182" s="6" t="s">
        <v>297</v>
      </c>
      <c r="D182" s="12" t="s">
        <v>857</v>
      </c>
      <c r="E182" s="12" t="s">
        <v>858</v>
      </c>
      <c r="F182" s="6">
        <v>1</v>
      </c>
      <c r="G182" s="6">
        <v>0</v>
      </c>
      <c r="H182" s="6" t="s">
        <v>868</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0">
        <v>0</v>
      </c>
      <c r="AA182" s="190">
        <v>0</v>
      </c>
      <c r="AB182" s="190">
        <v>0</v>
      </c>
      <c r="AC182" s="190">
        <v>0</v>
      </c>
      <c r="AD182" s="190">
        <v>0</v>
      </c>
      <c r="AE182" s="190">
        <v>0</v>
      </c>
      <c r="AF182" s="190">
        <v>0</v>
      </c>
      <c r="AG182" s="190">
        <v>0</v>
      </c>
      <c r="AH182" s="190">
        <v>0</v>
      </c>
      <c r="AI182" s="190">
        <v>0</v>
      </c>
      <c r="AJ182" s="190">
        <v>0</v>
      </c>
      <c r="AK182" s="190">
        <v>0</v>
      </c>
      <c r="AL182" s="190">
        <v>0</v>
      </c>
    </row>
    <row r="183" spans="2:38" ht="12.75" customHeight="1">
      <c r="B183" s="507" t="s">
        <v>115</v>
      </c>
      <c r="C183" s="6" t="s">
        <v>297</v>
      </c>
      <c r="D183" s="12" t="s">
        <v>857</v>
      </c>
      <c r="E183" s="12" t="s">
        <v>859</v>
      </c>
      <c r="F183" s="6">
        <v>1</v>
      </c>
      <c r="G183" s="6">
        <v>0</v>
      </c>
      <c r="H183" s="6" t="s">
        <v>869</v>
      </c>
      <c r="I183" s="190">
        <v>0</v>
      </c>
      <c r="J183" s="190">
        <v>0</v>
      </c>
      <c r="K183" s="190">
        <v>0</v>
      </c>
      <c r="L183" s="190">
        <v>0</v>
      </c>
      <c r="M183" s="190">
        <v>0</v>
      </c>
      <c r="N183" s="190">
        <v>0</v>
      </c>
      <c r="O183" s="190">
        <v>0</v>
      </c>
      <c r="P183" s="190">
        <v>0</v>
      </c>
      <c r="Q183" s="190">
        <v>0</v>
      </c>
      <c r="R183" s="190">
        <v>0</v>
      </c>
      <c r="S183" s="190">
        <v>0</v>
      </c>
      <c r="T183" s="190">
        <v>0</v>
      </c>
      <c r="U183" s="190">
        <v>0</v>
      </c>
      <c r="V183" s="190">
        <v>0</v>
      </c>
      <c r="W183" s="190">
        <v>0</v>
      </c>
      <c r="X183" s="190">
        <v>0</v>
      </c>
      <c r="Y183" s="190">
        <v>0</v>
      </c>
      <c r="Z183" s="190">
        <v>0</v>
      </c>
      <c r="AA183" s="190">
        <v>0</v>
      </c>
      <c r="AB183" s="190">
        <v>0</v>
      </c>
      <c r="AC183" s="190">
        <v>0</v>
      </c>
      <c r="AD183" s="190">
        <v>0</v>
      </c>
      <c r="AE183" s="190">
        <v>0</v>
      </c>
      <c r="AF183" s="190">
        <v>0</v>
      </c>
      <c r="AG183" s="190">
        <v>0</v>
      </c>
      <c r="AH183" s="190">
        <v>0</v>
      </c>
      <c r="AI183" s="190">
        <v>0</v>
      </c>
      <c r="AJ183" s="190">
        <v>0</v>
      </c>
      <c r="AK183" s="190">
        <v>0</v>
      </c>
      <c r="AL183" s="190">
        <v>0</v>
      </c>
    </row>
    <row r="184" spans="2:38" ht="12.75" customHeight="1">
      <c r="B184" s="507" t="s">
        <v>115</v>
      </c>
      <c r="C184" s="6" t="s">
        <v>297</v>
      </c>
      <c r="D184" s="12" t="s">
        <v>857</v>
      </c>
      <c r="E184" s="12" t="s">
        <v>860</v>
      </c>
      <c r="F184" s="6">
        <v>1</v>
      </c>
      <c r="G184" s="6">
        <v>0</v>
      </c>
      <c r="H184" s="6" t="s">
        <v>870</v>
      </c>
      <c r="I184" s="190">
        <v>0</v>
      </c>
      <c r="J184" s="190">
        <v>0</v>
      </c>
      <c r="K184" s="190">
        <v>0</v>
      </c>
      <c r="L184" s="190">
        <v>0</v>
      </c>
      <c r="M184" s="190">
        <v>0</v>
      </c>
      <c r="N184" s="190">
        <v>0</v>
      </c>
      <c r="O184" s="190">
        <v>0</v>
      </c>
      <c r="P184" s="190">
        <v>0</v>
      </c>
      <c r="Q184" s="190">
        <v>0</v>
      </c>
      <c r="R184" s="190">
        <v>0</v>
      </c>
      <c r="S184" s="190">
        <v>0</v>
      </c>
      <c r="T184" s="190">
        <v>0</v>
      </c>
      <c r="U184" s="190">
        <v>0</v>
      </c>
      <c r="V184" s="190">
        <v>0</v>
      </c>
      <c r="W184" s="190">
        <v>0</v>
      </c>
      <c r="X184" s="190">
        <v>0</v>
      </c>
      <c r="Y184" s="190">
        <v>0</v>
      </c>
      <c r="Z184" s="190">
        <v>0</v>
      </c>
      <c r="AA184" s="190">
        <v>0</v>
      </c>
      <c r="AB184" s="190">
        <v>0</v>
      </c>
      <c r="AC184" s="190">
        <v>0</v>
      </c>
      <c r="AD184" s="190">
        <v>0</v>
      </c>
      <c r="AE184" s="190">
        <v>0</v>
      </c>
      <c r="AF184" s="190">
        <v>0</v>
      </c>
      <c r="AG184" s="190">
        <v>0</v>
      </c>
      <c r="AH184" s="190">
        <v>0</v>
      </c>
      <c r="AI184" s="190">
        <v>0</v>
      </c>
      <c r="AJ184" s="190">
        <v>0</v>
      </c>
      <c r="AK184" s="190">
        <v>0</v>
      </c>
      <c r="AL184" s="190">
        <v>0</v>
      </c>
    </row>
    <row r="185" spans="2:38" ht="12.75" customHeight="1">
      <c r="B185" s="507" t="s">
        <v>115</v>
      </c>
      <c r="C185" s="6" t="s">
        <v>297</v>
      </c>
      <c r="D185" s="12" t="s">
        <v>857</v>
      </c>
      <c r="E185" s="12" t="s">
        <v>861</v>
      </c>
      <c r="F185" s="6">
        <v>0</v>
      </c>
      <c r="G185" s="6">
        <v>0</v>
      </c>
      <c r="H185" s="6" t="s">
        <v>871</v>
      </c>
      <c r="I185" s="190">
        <v>0</v>
      </c>
      <c r="J185" s="190">
        <v>0</v>
      </c>
      <c r="K185" s="190">
        <v>0</v>
      </c>
      <c r="L185" s="190">
        <v>0</v>
      </c>
      <c r="M185" s="190">
        <v>0</v>
      </c>
      <c r="N185" s="190">
        <v>0</v>
      </c>
      <c r="O185" s="190">
        <v>0</v>
      </c>
      <c r="P185" s="190">
        <v>0</v>
      </c>
      <c r="Q185" s="190">
        <v>0</v>
      </c>
      <c r="R185" s="190">
        <v>0</v>
      </c>
      <c r="S185" s="190">
        <v>0</v>
      </c>
      <c r="T185" s="190">
        <v>0</v>
      </c>
      <c r="U185" s="190">
        <v>0</v>
      </c>
      <c r="V185" s="190">
        <v>0</v>
      </c>
      <c r="W185" s="190">
        <v>0</v>
      </c>
      <c r="X185" s="190">
        <v>0</v>
      </c>
      <c r="Y185" s="190">
        <v>0</v>
      </c>
      <c r="Z185" s="190">
        <v>0</v>
      </c>
      <c r="AA185" s="190">
        <v>0</v>
      </c>
      <c r="AB185" s="190">
        <v>0</v>
      </c>
      <c r="AC185" s="190">
        <v>0</v>
      </c>
      <c r="AD185" s="190">
        <v>0</v>
      </c>
      <c r="AE185" s="190">
        <v>0</v>
      </c>
      <c r="AF185" s="190">
        <v>0</v>
      </c>
      <c r="AG185" s="190">
        <v>0</v>
      </c>
      <c r="AH185" s="190">
        <v>0</v>
      </c>
      <c r="AI185" s="190">
        <v>0</v>
      </c>
      <c r="AJ185" s="190">
        <v>0</v>
      </c>
      <c r="AK185" s="190">
        <v>0</v>
      </c>
      <c r="AL185" s="190">
        <v>0</v>
      </c>
    </row>
    <row r="186" spans="2:38" ht="12.75" customHeight="1">
      <c r="B186" s="507" t="s">
        <v>115</v>
      </c>
      <c r="C186" s="6" t="s">
        <v>297</v>
      </c>
      <c r="D186" s="12" t="s">
        <v>857</v>
      </c>
      <c r="E186" s="12" t="s">
        <v>864</v>
      </c>
      <c r="F186" s="6">
        <v>1</v>
      </c>
      <c r="G186" s="6">
        <v>0</v>
      </c>
      <c r="H186" s="6" t="s">
        <v>876</v>
      </c>
      <c r="I186" s="190">
        <v>0</v>
      </c>
      <c r="J186" s="190">
        <v>0</v>
      </c>
      <c r="K186" s="190">
        <v>0</v>
      </c>
      <c r="L186" s="190">
        <v>0</v>
      </c>
      <c r="M186" s="190">
        <v>0</v>
      </c>
      <c r="N186" s="190">
        <v>0</v>
      </c>
      <c r="O186" s="190">
        <v>0</v>
      </c>
      <c r="P186" s="190">
        <v>0</v>
      </c>
      <c r="Q186" s="190">
        <v>0</v>
      </c>
      <c r="R186" s="190">
        <v>0</v>
      </c>
      <c r="S186" s="190">
        <v>0</v>
      </c>
      <c r="T186" s="190">
        <v>0</v>
      </c>
      <c r="U186" s="190">
        <v>0</v>
      </c>
      <c r="V186" s="190">
        <v>0</v>
      </c>
      <c r="W186" s="190">
        <v>0</v>
      </c>
      <c r="X186" s="190">
        <v>0</v>
      </c>
      <c r="Y186" s="190">
        <v>0</v>
      </c>
      <c r="Z186" s="190">
        <v>0</v>
      </c>
      <c r="AA186" s="190">
        <v>0</v>
      </c>
      <c r="AB186" s="190">
        <v>0</v>
      </c>
      <c r="AC186" s="190">
        <v>0</v>
      </c>
      <c r="AD186" s="190">
        <v>0</v>
      </c>
      <c r="AE186" s="190">
        <v>0</v>
      </c>
      <c r="AF186" s="190">
        <v>0</v>
      </c>
      <c r="AG186" s="190">
        <v>0</v>
      </c>
      <c r="AH186" s="190">
        <v>0</v>
      </c>
      <c r="AI186" s="190">
        <v>0</v>
      </c>
      <c r="AJ186" s="190">
        <v>0</v>
      </c>
      <c r="AK186" s="190">
        <v>0</v>
      </c>
      <c r="AL186" s="190">
        <v>0</v>
      </c>
    </row>
    <row r="187" spans="2:38" ht="12.75" customHeight="1">
      <c r="B187" s="507" t="s">
        <v>115</v>
      </c>
      <c r="C187" s="6" t="s">
        <v>297</v>
      </c>
      <c r="D187" s="12" t="s">
        <v>857</v>
      </c>
      <c r="E187" s="12" t="s">
        <v>865</v>
      </c>
      <c r="F187" s="6">
        <v>1</v>
      </c>
      <c r="G187" s="6">
        <v>0</v>
      </c>
      <c r="H187" s="6" t="s">
        <v>877</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0">
        <v>0</v>
      </c>
      <c r="AA187" s="190">
        <v>0</v>
      </c>
      <c r="AB187" s="190">
        <v>0</v>
      </c>
      <c r="AC187" s="190">
        <v>0</v>
      </c>
      <c r="AD187" s="190">
        <v>0</v>
      </c>
      <c r="AE187" s="190">
        <v>0</v>
      </c>
      <c r="AF187" s="190">
        <v>0</v>
      </c>
      <c r="AG187" s="190">
        <v>0</v>
      </c>
      <c r="AH187" s="190">
        <v>0</v>
      </c>
      <c r="AI187" s="190">
        <v>0</v>
      </c>
      <c r="AJ187" s="190">
        <v>0</v>
      </c>
      <c r="AK187" s="190">
        <v>0</v>
      </c>
      <c r="AL187" s="190">
        <v>0</v>
      </c>
    </row>
    <row r="188" spans="2:38" ht="12.75" customHeight="1">
      <c r="B188" s="507" t="s">
        <v>115</v>
      </c>
      <c r="C188" s="6" t="s">
        <v>297</v>
      </c>
      <c r="D188" s="12" t="s">
        <v>857</v>
      </c>
      <c r="E188" s="12" t="s">
        <v>872</v>
      </c>
      <c r="F188" s="6">
        <v>1</v>
      </c>
      <c r="G188" s="6">
        <v>0</v>
      </c>
      <c r="H188" s="6" t="s">
        <v>878</v>
      </c>
      <c r="I188" s="190">
        <v>0</v>
      </c>
      <c r="J188" s="190">
        <v>0</v>
      </c>
      <c r="K188" s="190">
        <v>0</v>
      </c>
      <c r="L188" s="190">
        <v>0</v>
      </c>
      <c r="M188" s="190">
        <v>0</v>
      </c>
      <c r="N188" s="190">
        <v>0</v>
      </c>
      <c r="O188" s="190">
        <v>0</v>
      </c>
      <c r="P188" s="190">
        <v>0</v>
      </c>
      <c r="Q188" s="190">
        <v>0</v>
      </c>
      <c r="R188" s="190">
        <v>0</v>
      </c>
      <c r="S188" s="190">
        <v>0</v>
      </c>
      <c r="T188" s="190">
        <v>0</v>
      </c>
      <c r="U188" s="190">
        <v>0</v>
      </c>
      <c r="V188" s="190">
        <v>0</v>
      </c>
      <c r="W188" s="190">
        <v>0</v>
      </c>
      <c r="X188" s="190">
        <v>0</v>
      </c>
      <c r="Y188" s="190">
        <v>0</v>
      </c>
      <c r="Z188" s="190">
        <v>0</v>
      </c>
      <c r="AA188" s="190">
        <v>0</v>
      </c>
      <c r="AB188" s="190">
        <v>0</v>
      </c>
      <c r="AC188" s="190">
        <v>0</v>
      </c>
      <c r="AD188" s="190">
        <v>0</v>
      </c>
      <c r="AE188" s="190">
        <v>0</v>
      </c>
      <c r="AF188" s="190">
        <v>0</v>
      </c>
      <c r="AG188" s="190">
        <v>0</v>
      </c>
      <c r="AH188" s="190">
        <v>0</v>
      </c>
      <c r="AI188" s="190">
        <v>0</v>
      </c>
      <c r="AJ188" s="190">
        <v>0</v>
      </c>
      <c r="AK188" s="190">
        <v>0</v>
      </c>
      <c r="AL188" s="190">
        <v>0</v>
      </c>
    </row>
    <row r="189" spans="2:38" ht="12.75" customHeight="1">
      <c r="B189" s="507" t="s">
        <v>115</v>
      </c>
      <c r="C189" s="6" t="s">
        <v>297</v>
      </c>
      <c r="D189" s="12" t="s">
        <v>857</v>
      </c>
      <c r="E189" s="12" t="s">
        <v>873</v>
      </c>
      <c r="F189" s="6">
        <v>1</v>
      </c>
      <c r="G189" s="6">
        <v>0</v>
      </c>
      <c r="H189" s="6" t="s">
        <v>879</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0">
        <v>0</v>
      </c>
      <c r="AA189" s="190">
        <v>0</v>
      </c>
      <c r="AB189" s="190">
        <v>0</v>
      </c>
      <c r="AC189" s="190">
        <v>0</v>
      </c>
      <c r="AD189" s="190">
        <v>0</v>
      </c>
      <c r="AE189" s="190">
        <v>0</v>
      </c>
      <c r="AF189" s="190">
        <v>0</v>
      </c>
      <c r="AG189" s="190">
        <v>0</v>
      </c>
      <c r="AH189" s="190">
        <v>0</v>
      </c>
      <c r="AI189" s="190">
        <v>0</v>
      </c>
      <c r="AJ189" s="190">
        <v>0</v>
      </c>
      <c r="AK189" s="190">
        <v>0</v>
      </c>
      <c r="AL189" s="190">
        <v>0</v>
      </c>
    </row>
    <row r="190" spans="2:38" ht="12.75" customHeight="1">
      <c r="B190" s="507" t="s">
        <v>115</v>
      </c>
      <c r="C190" s="6" t="s">
        <v>880</v>
      </c>
      <c r="D190" s="12" t="s">
        <v>881</v>
      </c>
      <c r="E190" s="12">
        <v>6</v>
      </c>
      <c r="F190" s="6"/>
      <c r="G190" s="6"/>
      <c r="H190" s="6" t="s">
        <v>78</v>
      </c>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row>
    <row r="191" spans="2:38" ht="12.75" customHeight="1">
      <c r="B191" s="507" t="s">
        <v>115</v>
      </c>
      <c r="C191" s="6" t="s">
        <v>880</v>
      </c>
      <c r="D191" s="12">
        <v>6</v>
      </c>
      <c r="E191" s="12" t="s">
        <v>882</v>
      </c>
      <c r="F191" s="6">
        <v>0</v>
      </c>
      <c r="G191" s="6">
        <v>0</v>
      </c>
      <c r="H191" s="6" t="s">
        <v>883</v>
      </c>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row>
    <row r="192" spans="2:38" ht="12.75" customHeight="1">
      <c r="B192" s="507" t="s">
        <v>115</v>
      </c>
      <c r="C192" s="6" t="s">
        <v>880</v>
      </c>
      <c r="D192" s="12" t="s">
        <v>881</v>
      </c>
      <c r="E192" s="12" t="s">
        <v>884</v>
      </c>
      <c r="F192" s="6">
        <v>0</v>
      </c>
      <c r="G192" s="6">
        <v>0</v>
      </c>
      <c r="H192" s="6" t="s">
        <v>885</v>
      </c>
      <c r="I192" s="190">
        <v>7353231.752922561</v>
      </c>
      <c r="J192" s="190">
        <v>0</v>
      </c>
      <c r="K192" s="190">
        <v>0</v>
      </c>
      <c r="L192" s="190">
        <v>0</v>
      </c>
      <c r="M192" s="190">
        <v>0</v>
      </c>
      <c r="N192" s="190">
        <v>0</v>
      </c>
      <c r="O192" s="190">
        <v>684652.18848000001</v>
      </c>
      <c r="P192" s="190">
        <v>0</v>
      </c>
      <c r="Q192" s="190">
        <v>0</v>
      </c>
      <c r="R192" s="190">
        <v>0</v>
      </c>
      <c r="S192" s="190">
        <v>0</v>
      </c>
      <c r="T192" s="190">
        <v>0</v>
      </c>
      <c r="U192" s="190">
        <v>0</v>
      </c>
      <c r="V192" s="190">
        <v>0</v>
      </c>
      <c r="W192" s="190">
        <v>0</v>
      </c>
      <c r="X192" s="190">
        <v>0</v>
      </c>
      <c r="Y192" s="190">
        <v>0</v>
      </c>
      <c r="Z192" s="190">
        <v>0</v>
      </c>
      <c r="AA192" s="190">
        <v>0</v>
      </c>
      <c r="AB192" s="190">
        <v>0</v>
      </c>
      <c r="AC192" s="190">
        <v>0</v>
      </c>
      <c r="AD192" s="190">
        <v>0</v>
      </c>
      <c r="AE192" s="190">
        <v>0</v>
      </c>
      <c r="AF192" s="190">
        <v>0</v>
      </c>
      <c r="AG192" s="190">
        <v>0</v>
      </c>
      <c r="AH192" s="190">
        <v>0</v>
      </c>
      <c r="AI192" s="190">
        <v>0</v>
      </c>
      <c r="AJ192" s="190">
        <v>0</v>
      </c>
      <c r="AK192" s="190">
        <v>0</v>
      </c>
      <c r="AL192" s="190">
        <v>0</v>
      </c>
    </row>
    <row r="193" spans="2:38" ht="12.75" customHeight="1">
      <c r="B193" s="507" t="s">
        <v>115</v>
      </c>
      <c r="C193" s="6" t="s">
        <v>880</v>
      </c>
      <c r="D193" s="12" t="s">
        <v>881</v>
      </c>
      <c r="E193" s="12" t="s">
        <v>886</v>
      </c>
      <c r="F193" s="6">
        <v>0</v>
      </c>
      <c r="G193" s="6">
        <v>0</v>
      </c>
      <c r="H193" s="6" t="s">
        <v>887</v>
      </c>
      <c r="I193" s="190">
        <v>0</v>
      </c>
      <c r="J193" s="190">
        <v>0</v>
      </c>
      <c r="K193" s="190">
        <v>0</v>
      </c>
      <c r="L193" s="190">
        <v>0</v>
      </c>
      <c r="M193" s="190">
        <v>0</v>
      </c>
      <c r="N193" s="190">
        <v>0</v>
      </c>
      <c r="O193" s="190">
        <v>0</v>
      </c>
      <c r="P193" s="190">
        <v>0</v>
      </c>
      <c r="Q193" s="190">
        <v>0</v>
      </c>
      <c r="R193" s="190">
        <v>0</v>
      </c>
      <c r="S193" s="190">
        <v>0</v>
      </c>
      <c r="T193" s="190">
        <v>0</v>
      </c>
      <c r="U193" s="190">
        <v>0</v>
      </c>
      <c r="V193" s="190">
        <v>0</v>
      </c>
      <c r="W193" s="190">
        <v>0</v>
      </c>
      <c r="X193" s="190">
        <v>0</v>
      </c>
      <c r="Y193" s="190">
        <v>0</v>
      </c>
      <c r="Z193" s="190">
        <v>0</v>
      </c>
      <c r="AA193" s="190">
        <v>0</v>
      </c>
      <c r="AB193" s="190">
        <v>0</v>
      </c>
      <c r="AC193" s="190">
        <v>0</v>
      </c>
      <c r="AD193" s="190">
        <v>0</v>
      </c>
      <c r="AE193" s="190">
        <v>0</v>
      </c>
      <c r="AF193" s="190">
        <v>0</v>
      </c>
      <c r="AG193" s="190">
        <v>0</v>
      </c>
      <c r="AH193" s="190">
        <v>0</v>
      </c>
      <c r="AI193" s="190">
        <v>0</v>
      </c>
      <c r="AJ193" s="190">
        <v>0</v>
      </c>
      <c r="AK193" s="190">
        <v>0</v>
      </c>
      <c r="AL193" s="190">
        <v>0</v>
      </c>
    </row>
    <row r="194" spans="2:38" ht="12.75" customHeight="1">
      <c r="B194" s="507" t="s">
        <v>115</v>
      </c>
      <c r="C194" s="6" t="s">
        <v>880</v>
      </c>
      <c r="D194" s="12" t="s">
        <v>881</v>
      </c>
      <c r="E194" s="12" t="s">
        <v>886</v>
      </c>
      <c r="F194" s="6">
        <v>0</v>
      </c>
      <c r="G194" s="6">
        <v>0</v>
      </c>
      <c r="H194" s="6" t="s">
        <v>888</v>
      </c>
      <c r="I194" s="190">
        <v>81875</v>
      </c>
      <c r="J194" s="190">
        <v>0</v>
      </c>
      <c r="K194" s="190">
        <v>0</v>
      </c>
      <c r="L194" s="190">
        <v>0</v>
      </c>
      <c r="M194" s="190">
        <v>0</v>
      </c>
      <c r="N194" s="190">
        <v>0</v>
      </c>
      <c r="O194" s="190">
        <v>0</v>
      </c>
      <c r="P194" s="190">
        <v>0</v>
      </c>
      <c r="Q194" s="190">
        <v>0</v>
      </c>
      <c r="R194" s="190">
        <v>0</v>
      </c>
      <c r="S194" s="190">
        <v>0</v>
      </c>
      <c r="T194" s="190">
        <v>0</v>
      </c>
      <c r="U194" s="190">
        <v>0</v>
      </c>
      <c r="V194" s="190">
        <v>0</v>
      </c>
      <c r="W194" s="190">
        <v>0</v>
      </c>
      <c r="X194" s="190">
        <v>0</v>
      </c>
      <c r="Y194" s="190">
        <v>0</v>
      </c>
      <c r="Z194" s="190">
        <v>0</v>
      </c>
      <c r="AA194" s="190">
        <v>0</v>
      </c>
      <c r="AB194" s="190">
        <v>0</v>
      </c>
      <c r="AC194" s="190">
        <v>0</v>
      </c>
      <c r="AD194" s="190">
        <v>0</v>
      </c>
      <c r="AE194" s="190">
        <v>0</v>
      </c>
      <c r="AF194" s="190">
        <v>0</v>
      </c>
      <c r="AG194" s="190">
        <v>0</v>
      </c>
      <c r="AH194" s="190">
        <v>0</v>
      </c>
      <c r="AI194" s="190">
        <v>0</v>
      </c>
      <c r="AJ194" s="190">
        <v>0</v>
      </c>
      <c r="AK194" s="190">
        <v>0</v>
      </c>
      <c r="AL194" s="190">
        <v>0</v>
      </c>
    </row>
    <row r="195" spans="2:38" ht="12.75" customHeight="1">
      <c r="B195" s="507" t="s">
        <v>115</v>
      </c>
      <c r="C195" s="6" t="s">
        <v>880</v>
      </c>
      <c r="D195" s="12" t="s">
        <v>881</v>
      </c>
      <c r="E195" s="12" t="s">
        <v>886</v>
      </c>
      <c r="F195" s="6">
        <v>0</v>
      </c>
      <c r="G195" s="6">
        <v>0</v>
      </c>
      <c r="H195" s="6" t="s">
        <v>889</v>
      </c>
      <c r="I195" s="190">
        <v>0</v>
      </c>
      <c r="J195" s="190">
        <v>0</v>
      </c>
      <c r="K195" s="190">
        <v>0</v>
      </c>
      <c r="L195" s="190">
        <v>0</v>
      </c>
      <c r="M195" s="190">
        <v>0</v>
      </c>
      <c r="N195" s="190">
        <v>0</v>
      </c>
      <c r="O195" s="190">
        <v>0</v>
      </c>
      <c r="P195" s="190">
        <v>0</v>
      </c>
      <c r="Q195" s="190">
        <v>0</v>
      </c>
      <c r="R195" s="190">
        <v>0</v>
      </c>
      <c r="S195" s="190">
        <v>0</v>
      </c>
      <c r="T195" s="190">
        <v>0</v>
      </c>
      <c r="U195" s="190">
        <v>0</v>
      </c>
      <c r="V195" s="190">
        <v>0</v>
      </c>
      <c r="W195" s="190">
        <v>0</v>
      </c>
      <c r="X195" s="190">
        <v>0</v>
      </c>
      <c r="Y195" s="190">
        <v>0</v>
      </c>
      <c r="Z195" s="190">
        <v>0</v>
      </c>
      <c r="AA195" s="190">
        <v>0</v>
      </c>
      <c r="AB195" s="190">
        <v>0</v>
      </c>
      <c r="AC195" s="190">
        <v>0</v>
      </c>
      <c r="AD195" s="190">
        <v>0</v>
      </c>
      <c r="AE195" s="190">
        <v>0</v>
      </c>
      <c r="AF195" s="190">
        <v>0</v>
      </c>
      <c r="AG195" s="190">
        <v>0</v>
      </c>
      <c r="AH195" s="190">
        <v>0</v>
      </c>
      <c r="AI195" s="190">
        <v>0</v>
      </c>
      <c r="AJ195" s="190">
        <v>0</v>
      </c>
      <c r="AK195" s="190">
        <v>0</v>
      </c>
      <c r="AL195" s="190">
        <v>0</v>
      </c>
    </row>
    <row r="196" spans="2:38" ht="12.75" customHeight="1">
      <c r="B196" s="507" t="s">
        <v>115</v>
      </c>
      <c r="C196" s="6" t="s">
        <v>880</v>
      </c>
      <c r="D196" s="12" t="s">
        <v>881</v>
      </c>
      <c r="E196" s="12" t="s">
        <v>886</v>
      </c>
      <c r="F196" s="6">
        <v>1</v>
      </c>
      <c r="G196" s="6">
        <v>0</v>
      </c>
      <c r="H196" s="6" t="s">
        <v>890</v>
      </c>
      <c r="I196" s="190">
        <v>41526.740455325264</v>
      </c>
      <c r="J196" s="190">
        <v>0</v>
      </c>
      <c r="K196" s="190">
        <v>0</v>
      </c>
      <c r="L196" s="190">
        <v>0</v>
      </c>
      <c r="M196" s="190">
        <v>0</v>
      </c>
      <c r="N196" s="190">
        <v>0</v>
      </c>
      <c r="O196" s="190">
        <v>0</v>
      </c>
      <c r="P196" s="190">
        <v>0</v>
      </c>
      <c r="Q196" s="190">
        <v>0</v>
      </c>
      <c r="R196" s="190">
        <v>0</v>
      </c>
      <c r="S196" s="190">
        <v>0</v>
      </c>
      <c r="T196" s="190">
        <v>0</v>
      </c>
      <c r="U196" s="190">
        <v>0</v>
      </c>
      <c r="V196" s="190">
        <v>0</v>
      </c>
      <c r="W196" s="190">
        <v>0</v>
      </c>
      <c r="X196" s="190">
        <v>0</v>
      </c>
      <c r="Y196" s="190">
        <v>0</v>
      </c>
      <c r="Z196" s="190">
        <v>0</v>
      </c>
      <c r="AA196" s="190">
        <v>0</v>
      </c>
      <c r="AB196" s="190">
        <v>0</v>
      </c>
      <c r="AC196" s="190">
        <v>0</v>
      </c>
      <c r="AD196" s="190">
        <v>0</v>
      </c>
      <c r="AE196" s="190">
        <v>0</v>
      </c>
      <c r="AF196" s="190">
        <v>0</v>
      </c>
      <c r="AG196" s="190">
        <v>0</v>
      </c>
      <c r="AH196" s="190">
        <v>0</v>
      </c>
      <c r="AI196" s="190">
        <v>0</v>
      </c>
      <c r="AJ196" s="190">
        <v>0</v>
      </c>
      <c r="AK196" s="190">
        <v>0</v>
      </c>
      <c r="AL196" s="190">
        <v>0</v>
      </c>
    </row>
    <row r="197" spans="2:38" ht="12.75" customHeight="1">
      <c r="B197" s="507" t="s">
        <v>115</v>
      </c>
      <c r="C197" s="6" t="s">
        <v>880</v>
      </c>
      <c r="D197" s="12" t="s">
        <v>881</v>
      </c>
      <c r="E197" s="12" t="s">
        <v>886</v>
      </c>
      <c r="F197" s="6">
        <v>1</v>
      </c>
      <c r="G197" s="6">
        <v>0</v>
      </c>
      <c r="H197" s="6" t="s">
        <v>891</v>
      </c>
      <c r="I197" s="190">
        <v>41526.740455325264</v>
      </c>
      <c r="J197" s="190">
        <v>0</v>
      </c>
      <c r="K197" s="190">
        <v>0</v>
      </c>
      <c r="L197" s="190">
        <v>0</v>
      </c>
      <c r="M197" s="190">
        <v>0</v>
      </c>
      <c r="N197" s="190">
        <v>0</v>
      </c>
      <c r="O197" s="190">
        <v>0</v>
      </c>
      <c r="P197" s="190">
        <v>0</v>
      </c>
      <c r="Q197" s="190">
        <v>0</v>
      </c>
      <c r="R197" s="190">
        <v>0</v>
      </c>
      <c r="S197" s="190">
        <v>0</v>
      </c>
      <c r="T197" s="190">
        <v>0</v>
      </c>
      <c r="U197" s="190">
        <v>0</v>
      </c>
      <c r="V197" s="190">
        <v>0</v>
      </c>
      <c r="W197" s="190">
        <v>0</v>
      </c>
      <c r="X197" s="190">
        <v>0</v>
      </c>
      <c r="Y197" s="190">
        <v>0</v>
      </c>
      <c r="Z197" s="190">
        <v>0</v>
      </c>
      <c r="AA197" s="190">
        <v>0</v>
      </c>
      <c r="AB197" s="190">
        <v>0</v>
      </c>
      <c r="AC197" s="190">
        <v>0</v>
      </c>
      <c r="AD197" s="190">
        <v>0</v>
      </c>
      <c r="AE197" s="190">
        <v>0</v>
      </c>
      <c r="AF197" s="190">
        <v>0</v>
      </c>
      <c r="AG197" s="190">
        <v>0</v>
      </c>
      <c r="AH197" s="190">
        <v>0</v>
      </c>
      <c r="AI197" s="190">
        <v>0</v>
      </c>
      <c r="AJ197" s="190">
        <v>0</v>
      </c>
      <c r="AK197" s="190">
        <v>0</v>
      </c>
      <c r="AL197" s="190">
        <v>0</v>
      </c>
    </row>
    <row r="198" spans="2:38" ht="12.75" customHeight="1">
      <c r="B198" s="507" t="s">
        <v>115</v>
      </c>
      <c r="C198" s="6" t="s">
        <v>880</v>
      </c>
      <c r="D198" s="12" t="s">
        <v>881</v>
      </c>
      <c r="E198" s="12" t="s">
        <v>886</v>
      </c>
      <c r="F198" s="6">
        <v>1</v>
      </c>
      <c r="G198" s="6">
        <v>0</v>
      </c>
      <c r="H198" s="6" t="s">
        <v>892</v>
      </c>
      <c r="I198" s="190">
        <v>80157.782716557704</v>
      </c>
      <c r="J198" s="190">
        <v>0</v>
      </c>
      <c r="K198" s="190">
        <v>0</v>
      </c>
      <c r="L198" s="190">
        <v>0</v>
      </c>
      <c r="M198" s="190">
        <v>0</v>
      </c>
      <c r="N198" s="190">
        <v>0</v>
      </c>
      <c r="O198" s="190">
        <v>0</v>
      </c>
      <c r="P198" s="190">
        <v>0</v>
      </c>
      <c r="Q198" s="190">
        <v>0</v>
      </c>
      <c r="R198" s="190">
        <v>0</v>
      </c>
      <c r="S198" s="190">
        <v>0</v>
      </c>
      <c r="T198" s="190">
        <v>0</v>
      </c>
      <c r="U198" s="190">
        <v>0</v>
      </c>
      <c r="V198" s="190">
        <v>0</v>
      </c>
      <c r="W198" s="190">
        <v>0</v>
      </c>
      <c r="X198" s="190">
        <v>0</v>
      </c>
      <c r="Y198" s="190">
        <v>0</v>
      </c>
      <c r="Z198" s="190">
        <v>0</v>
      </c>
      <c r="AA198" s="190">
        <v>0</v>
      </c>
      <c r="AB198" s="190">
        <v>0</v>
      </c>
      <c r="AC198" s="190">
        <v>0</v>
      </c>
      <c r="AD198" s="190">
        <v>0</v>
      </c>
      <c r="AE198" s="190">
        <v>0</v>
      </c>
      <c r="AF198" s="190">
        <v>0</v>
      </c>
      <c r="AG198" s="190">
        <v>0</v>
      </c>
      <c r="AH198" s="190">
        <v>0</v>
      </c>
      <c r="AI198" s="190">
        <v>0</v>
      </c>
      <c r="AJ198" s="190">
        <v>0</v>
      </c>
      <c r="AK198" s="190">
        <v>0</v>
      </c>
      <c r="AL198" s="190">
        <v>0</v>
      </c>
    </row>
    <row r="199" spans="2:38" ht="12.75" customHeight="1">
      <c r="B199" s="507" t="s">
        <v>115</v>
      </c>
      <c r="C199" s="6" t="s">
        <v>880</v>
      </c>
      <c r="D199" s="12" t="s">
        <v>881</v>
      </c>
      <c r="E199" s="12" t="s">
        <v>886</v>
      </c>
      <c r="F199" s="6">
        <v>1</v>
      </c>
      <c r="G199" s="6">
        <v>0</v>
      </c>
      <c r="H199" s="6" t="s">
        <v>893</v>
      </c>
      <c r="I199" s="190">
        <v>646280.0945889554</v>
      </c>
      <c r="J199" s="190">
        <v>0</v>
      </c>
      <c r="K199" s="190">
        <v>0</v>
      </c>
      <c r="L199" s="190">
        <v>0</v>
      </c>
      <c r="M199" s="190">
        <v>0</v>
      </c>
      <c r="N199" s="190">
        <v>0</v>
      </c>
      <c r="O199" s="190">
        <v>0</v>
      </c>
      <c r="P199" s="190">
        <v>0</v>
      </c>
      <c r="Q199" s="190">
        <v>0</v>
      </c>
      <c r="R199" s="190">
        <v>0</v>
      </c>
      <c r="S199" s="190">
        <v>0</v>
      </c>
      <c r="T199" s="190">
        <v>0</v>
      </c>
      <c r="U199" s="190">
        <v>0</v>
      </c>
      <c r="V199" s="190">
        <v>0</v>
      </c>
      <c r="W199" s="190">
        <v>0</v>
      </c>
      <c r="X199" s="190">
        <v>0</v>
      </c>
      <c r="Y199" s="190">
        <v>0</v>
      </c>
      <c r="Z199" s="190">
        <v>0</v>
      </c>
      <c r="AA199" s="190">
        <v>0</v>
      </c>
      <c r="AB199" s="190">
        <v>0</v>
      </c>
      <c r="AC199" s="190">
        <v>0</v>
      </c>
      <c r="AD199" s="190">
        <v>0</v>
      </c>
      <c r="AE199" s="190">
        <v>0</v>
      </c>
      <c r="AF199" s="190">
        <v>0</v>
      </c>
      <c r="AG199" s="190">
        <v>0</v>
      </c>
      <c r="AH199" s="190">
        <v>0</v>
      </c>
      <c r="AI199" s="190">
        <v>0</v>
      </c>
      <c r="AJ199" s="190">
        <v>0</v>
      </c>
      <c r="AK199" s="190">
        <v>0</v>
      </c>
      <c r="AL199" s="190">
        <v>0</v>
      </c>
    </row>
    <row r="200" spans="2:38" ht="12.75" customHeight="1">
      <c r="B200" s="507" t="s">
        <v>115</v>
      </c>
      <c r="C200" s="6" t="s">
        <v>880</v>
      </c>
      <c r="D200" s="12" t="s">
        <v>881</v>
      </c>
      <c r="E200" s="12" t="s">
        <v>886</v>
      </c>
      <c r="F200" s="6">
        <v>1</v>
      </c>
      <c r="G200" s="6">
        <v>0</v>
      </c>
      <c r="H200" s="6" t="s">
        <v>894</v>
      </c>
      <c r="I200" s="190">
        <v>253491.38888694256</v>
      </c>
      <c r="J200" s="190">
        <v>0</v>
      </c>
      <c r="K200" s="190">
        <v>0</v>
      </c>
      <c r="L200" s="190">
        <v>0</v>
      </c>
      <c r="M200" s="190">
        <v>0</v>
      </c>
      <c r="N200" s="190">
        <v>0</v>
      </c>
      <c r="O200" s="190">
        <v>0</v>
      </c>
      <c r="P200" s="190">
        <v>0</v>
      </c>
      <c r="Q200" s="190">
        <v>0</v>
      </c>
      <c r="R200" s="190">
        <v>0</v>
      </c>
      <c r="S200" s="190">
        <v>0</v>
      </c>
      <c r="T200" s="190">
        <v>0</v>
      </c>
      <c r="U200" s="190">
        <v>0</v>
      </c>
      <c r="V200" s="190">
        <v>0</v>
      </c>
      <c r="W200" s="190">
        <v>0</v>
      </c>
      <c r="X200" s="190">
        <v>0</v>
      </c>
      <c r="Y200" s="190">
        <v>0</v>
      </c>
      <c r="Z200" s="190">
        <v>0</v>
      </c>
      <c r="AA200" s="190">
        <v>0</v>
      </c>
      <c r="AB200" s="190">
        <v>0</v>
      </c>
      <c r="AC200" s="190">
        <v>0</v>
      </c>
      <c r="AD200" s="190">
        <v>0</v>
      </c>
      <c r="AE200" s="190">
        <v>0</v>
      </c>
      <c r="AF200" s="190">
        <v>0</v>
      </c>
      <c r="AG200" s="190">
        <v>0</v>
      </c>
      <c r="AH200" s="190">
        <v>0</v>
      </c>
      <c r="AI200" s="190">
        <v>0</v>
      </c>
      <c r="AJ200" s="190">
        <v>0</v>
      </c>
      <c r="AK200" s="190">
        <v>0</v>
      </c>
      <c r="AL200" s="190">
        <v>0</v>
      </c>
    </row>
    <row r="201" spans="2:38" ht="12.75" customHeight="1">
      <c r="B201" s="507" t="s">
        <v>115</v>
      </c>
      <c r="C201" s="6" t="s">
        <v>880</v>
      </c>
      <c r="D201" s="12" t="s">
        <v>881</v>
      </c>
      <c r="E201" s="12" t="s">
        <v>886</v>
      </c>
      <c r="F201" s="6">
        <v>1</v>
      </c>
      <c r="G201" s="6">
        <v>0</v>
      </c>
      <c r="H201" s="6" t="s">
        <v>895</v>
      </c>
      <c r="I201" s="190">
        <v>9368.4658691519453</v>
      </c>
      <c r="J201" s="190">
        <v>0</v>
      </c>
      <c r="K201" s="190">
        <v>0</v>
      </c>
      <c r="L201" s="190">
        <v>0</v>
      </c>
      <c r="M201" s="190">
        <v>0</v>
      </c>
      <c r="N201" s="190">
        <v>0</v>
      </c>
      <c r="O201" s="190">
        <v>0</v>
      </c>
      <c r="P201" s="190">
        <v>0</v>
      </c>
      <c r="Q201" s="190">
        <v>0</v>
      </c>
      <c r="R201" s="190">
        <v>0</v>
      </c>
      <c r="S201" s="190">
        <v>0</v>
      </c>
      <c r="T201" s="190">
        <v>0</v>
      </c>
      <c r="U201" s="190">
        <v>0</v>
      </c>
      <c r="V201" s="190">
        <v>0</v>
      </c>
      <c r="W201" s="190">
        <v>0</v>
      </c>
      <c r="X201" s="190">
        <v>0</v>
      </c>
      <c r="Y201" s="190">
        <v>0</v>
      </c>
      <c r="Z201" s="190">
        <v>0</v>
      </c>
      <c r="AA201" s="190">
        <v>0</v>
      </c>
      <c r="AB201" s="190">
        <v>0</v>
      </c>
      <c r="AC201" s="190">
        <v>0</v>
      </c>
      <c r="AD201" s="190">
        <v>0</v>
      </c>
      <c r="AE201" s="190">
        <v>0</v>
      </c>
      <c r="AF201" s="190">
        <v>0</v>
      </c>
      <c r="AG201" s="190">
        <v>0</v>
      </c>
      <c r="AH201" s="190">
        <v>0</v>
      </c>
      <c r="AI201" s="190">
        <v>0</v>
      </c>
      <c r="AJ201" s="190">
        <v>0</v>
      </c>
      <c r="AK201" s="190">
        <v>0</v>
      </c>
      <c r="AL201" s="190">
        <v>0</v>
      </c>
    </row>
    <row r="202" spans="2:38" ht="12.75" customHeight="1">
      <c r="B202" s="507" t="s">
        <v>115</v>
      </c>
      <c r="C202" s="6" t="s">
        <v>880</v>
      </c>
      <c r="D202" s="12" t="s">
        <v>881</v>
      </c>
      <c r="E202" s="12" t="s">
        <v>886</v>
      </c>
      <c r="F202" s="6">
        <v>1</v>
      </c>
      <c r="G202" s="6">
        <v>0</v>
      </c>
      <c r="H202" s="6" t="s">
        <v>896</v>
      </c>
      <c r="I202" s="190">
        <v>45493.316979644827</v>
      </c>
      <c r="J202" s="190">
        <v>0</v>
      </c>
      <c r="K202" s="190">
        <v>0</v>
      </c>
      <c r="L202" s="190">
        <v>0</v>
      </c>
      <c r="M202" s="190">
        <v>0</v>
      </c>
      <c r="N202" s="190">
        <v>0</v>
      </c>
      <c r="O202" s="190">
        <v>0</v>
      </c>
      <c r="P202" s="190">
        <v>0</v>
      </c>
      <c r="Q202" s="190">
        <v>0</v>
      </c>
      <c r="R202" s="190">
        <v>0</v>
      </c>
      <c r="S202" s="190">
        <v>0</v>
      </c>
      <c r="T202" s="190">
        <v>0</v>
      </c>
      <c r="U202" s="190">
        <v>0</v>
      </c>
      <c r="V202" s="190">
        <v>0</v>
      </c>
      <c r="W202" s="190">
        <v>0</v>
      </c>
      <c r="X202" s="190">
        <v>0</v>
      </c>
      <c r="Y202" s="190">
        <v>0</v>
      </c>
      <c r="Z202" s="190">
        <v>0</v>
      </c>
      <c r="AA202" s="190">
        <v>0</v>
      </c>
      <c r="AB202" s="190">
        <v>0</v>
      </c>
      <c r="AC202" s="190">
        <v>0</v>
      </c>
      <c r="AD202" s="190">
        <v>0</v>
      </c>
      <c r="AE202" s="190">
        <v>0</v>
      </c>
      <c r="AF202" s="190">
        <v>0</v>
      </c>
      <c r="AG202" s="190">
        <v>0</v>
      </c>
      <c r="AH202" s="190">
        <v>0</v>
      </c>
      <c r="AI202" s="190">
        <v>0</v>
      </c>
      <c r="AJ202" s="190">
        <v>0</v>
      </c>
      <c r="AK202" s="190">
        <v>0</v>
      </c>
      <c r="AL202" s="190">
        <v>0</v>
      </c>
    </row>
    <row r="203" spans="2:38" ht="12.75" customHeight="1">
      <c r="B203" s="507" t="s">
        <v>115</v>
      </c>
      <c r="C203" s="6" t="s">
        <v>880</v>
      </c>
      <c r="D203" s="12" t="s">
        <v>881</v>
      </c>
      <c r="E203" s="12" t="s">
        <v>886</v>
      </c>
      <c r="F203" s="6">
        <v>0</v>
      </c>
      <c r="G203" s="6">
        <v>0</v>
      </c>
      <c r="H203" s="6" t="s">
        <v>897</v>
      </c>
      <c r="I203" s="190">
        <v>756372.22162563179</v>
      </c>
      <c r="J203" s="190">
        <v>0</v>
      </c>
      <c r="K203" s="190">
        <v>0</v>
      </c>
      <c r="L203" s="190">
        <v>0</v>
      </c>
      <c r="M203" s="190">
        <v>0</v>
      </c>
      <c r="N203" s="190">
        <v>0</v>
      </c>
      <c r="O203" s="190">
        <v>56445.688181017293</v>
      </c>
      <c r="P203" s="190">
        <v>0</v>
      </c>
      <c r="Q203" s="190">
        <v>0</v>
      </c>
      <c r="R203" s="190">
        <v>0</v>
      </c>
      <c r="S203" s="190">
        <v>0</v>
      </c>
      <c r="T203" s="190">
        <v>0</v>
      </c>
      <c r="U203" s="190">
        <v>0</v>
      </c>
      <c r="V203" s="190">
        <v>0</v>
      </c>
      <c r="W203" s="190">
        <v>0</v>
      </c>
      <c r="X203" s="190">
        <v>0</v>
      </c>
      <c r="Y203" s="190">
        <v>0</v>
      </c>
      <c r="Z203" s="190">
        <v>0</v>
      </c>
      <c r="AA203" s="190">
        <v>0</v>
      </c>
      <c r="AB203" s="190">
        <v>0</v>
      </c>
      <c r="AC203" s="190">
        <v>0</v>
      </c>
      <c r="AD203" s="190">
        <v>0</v>
      </c>
      <c r="AE203" s="190">
        <v>0</v>
      </c>
      <c r="AF203" s="190">
        <v>0</v>
      </c>
      <c r="AG203" s="190">
        <v>0</v>
      </c>
      <c r="AH203" s="190">
        <v>0</v>
      </c>
      <c r="AI203" s="190">
        <v>0</v>
      </c>
      <c r="AJ203" s="190">
        <v>0</v>
      </c>
      <c r="AK203" s="190">
        <v>0</v>
      </c>
      <c r="AL203" s="190">
        <v>0</v>
      </c>
    </row>
    <row r="204" spans="2:38" ht="12.75" customHeight="1">
      <c r="B204" s="507" t="s">
        <v>115</v>
      </c>
      <c r="C204" s="6" t="s">
        <v>880</v>
      </c>
      <c r="D204" s="12" t="s">
        <v>881</v>
      </c>
      <c r="E204" s="12" t="s">
        <v>886</v>
      </c>
      <c r="F204" s="6">
        <v>0</v>
      </c>
      <c r="G204" s="6">
        <v>0</v>
      </c>
      <c r="H204" s="6" t="s">
        <v>898</v>
      </c>
      <c r="I204" s="190">
        <v>19159.479527055224</v>
      </c>
      <c r="J204" s="190">
        <v>0</v>
      </c>
      <c r="K204" s="190">
        <v>0</v>
      </c>
      <c r="L204" s="190">
        <v>0</v>
      </c>
      <c r="M204" s="190">
        <v>0</v>
      </c>
      <c r="N204" s="190">
        <v>0</v>
      </c>
      <c r="O204" s="190">
        <v>0</v>
      </c>
      <c r="P204" s="190">
        <v>0</v>
      </c>
      <c r="Q204" s="190">
        <v>0</v>
      </c>
      <c r="R204" s="190">
        <v>0</v>
      </c>
      <c r="S204" s="190">
        <v>0</v>
      </c>
      <c r="T204" s="190">
        <v>0</v>
      </c>
      <c r="U204" s="190">
        <v>0</v>
      </c>
      <c r="V204" s="190">
        <v>0</v>
      </c>
      <c r="W204" s="190">
        <v>0</v>
      </c>
      <c r="X204" s="190">
        <v>0</v>
      </c>
      <c r="Y204" s="190">
        <v>0</v>
      </c>
      <c r="Z204" s="190">
        <v>0</v>
      </c>
      <c r="AA204" s="190">
        <v>0</v>
      </c>
      <c r="AB204" s="190">
        <v>0</v>
      </c>
      <c r="AC204" s="190">
        <v>0</v>
      </c>
      <c r="AD204" s="190">
        <v>0</v>
      </c>
      <c r="AE204" s="190">
        <v>0</v>
      </c>
      <c r="AF204" s="190">
        <v>0</v>
      </c>
      <c r="AG204" s="190">
        <v>0</v>
      </c>
      <c r="AH204" s="190">
        <v>0</v>
      </c>
      <c r="AI204" s="190">
        <v>0</v>
      </c>
      <c r="AJ204" s="190">
        <v>0</v>
      </c>
      <c r="AK204" s="190">
        <v>0</v>
      </c>
      <c r="AL204" s="190">
        <v>0</v>
      </c>
    </row>
    <row r="205" spans="2:38" ht="12.75" customHeight="1">
      <c r="B205" s="507" t="s">
        <v>115</v>
      </c>
      <c r="C205" s="6" t="s">
        <v>880</v>
      </c>
      <c r="D205" s="12" t="s">
        <v>881</v>
      </c>
      <c r="E205" s="12" t="s">
        <v>886</v>
      </c>
      <c r="F205" s="6">
        <v>0</v>
      </c>
      <c r="G205" s="6">
        <v>0</v>
      </c>
      <c r="H205" s="6" t="s">
        <v>899</v>
      </c>
      <c r="I205" s="190">
        <v>22355.062067046878</v>
      </c>
      <c r="J205" s="190">
        <v>0</v>
      </c>
      <c r="K205" s="190">
        <v>0</v>
      </c>
      <c r="L205" s="190">
        <v>0</v>
      </c>
      <c r="M205" s="190">
        <v>0</v>
      </c>
      <c r="N205" s="190">
        <v>0</v>
      </c>
      <c r="O205" s="190">
        <v>0</v>
      </c>
      <c r="P205" s="190">
        <v>0</v>
      </c>
      <c r="Q205" s="190">
        <v>0</v>
      </c>
      <c r="R205" s="190">
        <v>0</v>
      </c>
      <c r="S205" s="190">
        <v>0</v>
      </c>
      <c r="T205" s="190">
        <v>0</v>
      </c>
      <c r="U205" s="190">
        <v>0</v>
      </c>
      <c r="V205" s="190">
        <v>0</v>
      </c>
      <c r="W205" s="190">
        <v>0</v>
      </c>
      <c r="X205" s="190">
        <v>0</v>
      </c>
      <c r="Y205" s="190">
        <v>0</v>
      </c>
      <c r="Z205" s="190">
        <v>0</v>
      </c>
      <c r="AA205" s="190">
        <v>0</v>
      </c>
      <c r="AB205" s="190">
        <v>0</v>
      </c>
      <c r="AC205" s="190">
        <v>0</v>
      </c>
      <c r="AD205" s="190">
        <v>0</v>
      </c>
      <c r="AE205" s="190">
        <v>0</v>
      </c>
      <c r="AF205" s="190">
        <v>0</v>
      </c>
      <c r="AG205" s="190">
        <v>0</v>
      </c>
      <c r="AH205" s="190">
        <v>0</v>
      </c>
      <c r="AI205" s="190">
        <v>0</v>
      </c>
      <c r="AJ205" s="190">
        <v>0</v>
      </c>
      <c r="AK205" s="190">
        <v>0</v>
      </c>
      <c r="AL205" s="190">
        <v>0</v>
      </c>
    </row>
    <row r="206" spans="2:38" ht="12.75" customHeight="1">
      <c r="B206" s="507" t="s">
        <v>115</v>
      </c>
      <c r="C206" s="6" t="s">
        <v>880</v>
      </c>
      <c r="D206" s="12" t="s">
        <v>881</v>
      </c>
      <c r="E206" s="12" t="s">
        <v>886</v>
      </c>
      <c r="F206" s="6">
        <v>0</v>
      </c>
      <c r="G206" s="6">
        <v>0</v>
      </c>
      <c r="H206" s="6" t="s">
        <v>900</v>
      </c>
      <c r="I206" s="190">
        <v>0</v>
      </c>
      <c r="J206" s="190">
        <v>0</v>
      </c>
      <c r="K206" s="190">
        <v>0</v>
      </c>
      <c r="L206" s="190">
        <v>0</v>
      </c>
      <c r="M206" s="190">
        <v>0</v>
      </c>
      <c r="N206" s="190">
        <v>0</v>
      </c>
      <c r="O206" s="190">
        <v>0</v>
      </c>
      <c r="P206" s="190">
        <v>0</v>
      </c>
      <c r="Q206" s="190">
        <v>0</v>
      </c>
      <c r="R206" s="190">
        <v>0</v>
      </c>
      <c r="S206" s="190">
        <v>0</v>
      </c>
      <c r="T206" s="190">
        <v>0</v>
      </c>
      <c r="U206" s="190">
        <v>0</v>
      </c>
      <c r="V206" s="190">
        <v>0</v>
      </c>
      <c r="W206" s="190">
        <v>0</v>
      </c>
      <c r="X206" s="190">
        <v>0</v>
      </c>
      <c r="Y206" s="190">
        <v>0</v>
      </c>
      <c r="Z206" s="190">
        <v>0</v>
      </c>
      <c r="AA206" s="190">
        <v>0</v>
      </c>
      <c r="AB206" s="190">
        <v>0</v>
      </c>
      <c r="AC206" s="190">
        <v>0</v>
      </c>
      <c r="AD206" s="190">
        <v>0</v>
      </c>
      <c r="AE206" s="190">
        <v>0</v>
      </c>
      <c r="AF206" s="190">
        <v>0</v>
      </c>
      <c r="AG206" s="190">
        <v>0</v>
      </c>
      <c r="AH206" s="190">
        <v>0</v>
      </c>
      <c r="AI206" s="190">
        <v>0</v>
      </c>
      <c r="AJ206" s="190">
        <v>0</v>
      </c>
      <c r="AK206" s="190">
        <v>0</v>
      </c>
      <c r="AL206" s="190">
        <v>0</v>
      </c>
    </row>
    <row r="207" spans="2:38" ht="12.75" customHeight="1">
      <c r="B207" s="507" t="s">
        <v>115</v>
      </c>
      <c r="C207" s="6" t="s">
        <v>880</v>
      </c>
      <c r="D207" s="12" t="s">
        <v>881</v>
      </c>
      <c r="E207" s="12" t="s">
        <v>886</v>
      </c>
      <c r="F207" s="6">
        <v>0</v>
      </c>
      <c r="G207" s="6">
        <v>0</v>
      </c>
      <c r="H207" s="6" t="s">
        <v>901</v>
      </c>
      <c r="I207" s="190">
        <v>5456.0704571799506</v>
      </c>
      <c r="J207" s="190">
        <v>0</v>
      </c>
      <c r="K207" s="190">
        <v>0</v>
      </c>
      <c r="L207" s="190">
        <v>0</v>
      </c>
      <c r="M207" s="190">
        <v>0</v>
      </c>
      <c r="N207" s="190">
        <v>0</v>
      </c>
      <c r="O207" s="190">
        <v>407.16943710298142</v>
      </c>
      <c r="P207" s="190">
        <v>0</v>
      </c>
      <c r="Q207" s="190">
        <v>0</v>
      </c>
      <c r="R207" s="190">
        <v>0</v>
      </c>
      <c r="S207" s="190">
        <v>0</v>
      </c>
      <c r="T207" s="190">
        <v>0</v>
      </c>
      <c r="U207" s="190">
        <v>0</v>
      </c>
      <c r="V207" s="190">
        <v>0</v>
      </c>
      <c r="W207" s="190">
        <v>0</v>
      </c>
      <c r="X207" s="190">
        <v>0</v>
      </c>
      <c r="Y207" s="190">
        <v>0</v>
      </c>
      <c r="Z207" s="190">
        <v>0</v>
      </c>
      <c r="AA207" s="190">
        <v>0</v>
      </c>
      <c r="AB207" s="190">
        <v>0</v>
      </c>
      <c r="AC207" s="190">
        <v>0</v>
      </c>
      <c r="AD207" s="190">
        <v>0</v>
      </c>
      <c r="AE207" s="190">
        <v>0</v>
      </c>
      <c r="AF207" s="190">
        <v>0</v>
      </c>
      <c r="AG207" s="190">
        <v>0</v>
      </c>
      <c r="AH207" s="190">
        <v>0</v>
      </c>
      <c r="AI207" s="190">
        <v>0</v>
      </c>
      <c r="AJ207" s="190">
        <v>0</v>
      </c>
      <c r="AK207" s="190">
        <v>0</v>
      </c>
      <c r="AL207" s="190">
        <v>0</v>
      </c>
    </row>
    <row r="208" spans="2:38" ht="12.75" customHeight="1">
      <c r="B208" s="507" t="s">
        <v>115</v>
      </c>
      <c r="C208" s="6" t="s">
        <v>880</v>
      </c>
      <c r="D208" s="12" t="s">
        <v>881</v>
      </c>
      <c r="E208" s="12" t="s">
        <v>886</v>
      </c>
      <c r="F208" s="6">
        <v>0</v>
      </c>
      <c r="G208" s="6">
        <v>0</v>
      </c>
      <c r="H208" s="6" t="s">
        <v>902</v>
      </c>
      <c r="I208" s="190">
        <v>48267.312066768674</v>
      </c>
      <c r="J208" s="190">
        <v>0</v>
      </c>
      <c r="K208" s="190">
        <v>0</v>
      </c>
      <c r="L208" s="190">
        <v>0</v>
      </c>
      <c r="M208" s="190">
        <v>0</v>
      </c>
      <c r="N208" s="190">
        <v>0</v>
      </c>
      <c r="O208" s="190">
        <v>3602.0382139379608</v>
      </c>
      <c r="P208" s="190">
        <v>0</v>
      </c>
      <c r="Q208" s="190">
        <v>0</v>
      </c>
      <c r="R208" s="190">
        <v>0</v>
      </c>
      <c r="S208" s="190">
        <v>0</v>
      </c>
      <c r="T208" s="190">
        <v>0</v>
      </c>
      <c r="U208" s="190">
        <v>0</v>
      </c>
      <c r="V208" s="190">
        <v>0</v>
      </c>
      <c r="W208" s="190">
        <v>0</v>
      </c>
      <c r="X208" s="190">
        <v>0</v>
      </c>
      <c r="Y208" s="190">
        <v>0</v>
      </c>
      <c r="Z208" s="190">
        <v>0</v>
      </c>
      <c r="AA208" s="190">
        <v>0</v>
      </c>
      <c r="AB208" s="190">
        <v>0</v>
      </c>
      <c r="AC208" s="190">
        <v>0</v>
      </c>
      <c r="AD208" s="190">
        <v>0</v>
      </c>
      <c r="AE208" s="190">
        <v>0</v>
      </c>
      <c r="AF208" s="190">
        <v>0</v>
      </c>
      <c r="AG208" s="190">
        <v>0</v>
      </c>
      <c r="AH208" s="190">
        <v>0</v>
      </c>
      <c r="AI208" s="190">
        <v>0</v>
      </c>
      <c r="AJ208" s="190">
        <v>0</v>
      </c>
      <c r="AK208" s="190">
        <v>0</v>
      </c>
      <c r="AL208" s="190">
        <v>0</v>
      </c>
    </row>
    <row r="209" spans="2:38" ht="12.75" customHeight="1">
      <c r="B209" s="507" t="s">
        <v>115</v>
      </c>
      <c r="C209" s="6" t="s">
        <v>880</v>
      </c>
      <c r="D209" s="12" t="s">
        <v>881</v>
      </c>
      <c r="E209" s="12" t="s">
        <v>886</v>
      </c>
      <c r="F209" s="6">
        <v>0</v>
      </c>
      <c r="G209" s="6">
        <v>0</v>
      </c>
      <c r="H209" s="6" t="s">
        <v>903</v>
      </c>
      <c r="I209" s="190">
        <v>38932.535818611766</v>
      </c>
      <c r="J209" s="190">
        <v>0</v>
      </c>
      <c r="K209" s="190">
        <v>0</v>
      </c>
      <c r="L209" s="190">
        <v>0</v>
      </c>
      <c r="M209" s="190">
        <v>0</v>
      </c>
      <c r="N209" s="190">
        <v>0</v>
      </c>
      <c r="O209" s="190">
        <v>0</v>
      </c>
      <c r="P209" s="190">
        <v>0</v>
      </c>
      <c r="Q209" s="190">
        <v>0</v>
      </c>
      <c r="R209" s="190">
        <v>0</v>
      </c>
      <c r="S209" s="190">
        <v>0</v>
      </c>
      <c r="T209" s="190">
        <v>0</v>
      </c>
      <c r="U209" s="190">
        <v>0</v>
      </c>
      <c r="V209" s="190">
        <v>0</v>
      </c>
      <c r="W209" s="190">
        <v>0</v>
      </c>
      <c r="X209" s="190">
        <v>0</v>
      </c>
      <c r="Y209" s="190">
        <v>0</v>
      </c>
      <c r="Z209" s="190">
        <v>0</v>
      </c>
      <c r="AA209" s="190">
        <v>0</v>
      </c>
      <c r="AB209" s="190">
        <v>0</v>
      </c>
      <c r="AC209" s="190">
        <v>0</v>
      </c>
      <c r="AD209" s="190">
        <v>0</v>
      </c>
      <c r="AE209" s="190">
        <v>0</v>
      </c>
      <c r="AF209" s="190">
        <v>0</v>
      </c>
      <c r="AG209" s="190">
        <v>0</v>
      </c>
      <c r="AH209" s="190">
        <v>0</v>
      </c>
      <c r="AI209" s="190">
        <v>0</v>
      </c>
      <c r="AJ209" s="190">
        <v>0</v>
      </c>
      <c r="AK209" s="190">
        <v>0</v>
      </c>
      <c r="AL209" s="190">
        <v>0</v>
      </c>
    </row>
    <row r="210" spans="2:38" ht="12.75" customHeight="1">
      <c r="B210" s="507" t="s">
        <v>115</v>
      </c>
      <c r="C210" s="6" t="s">
        <v>880</v>
      </c>
      <c r="D210" s="12" t="s">
        <v>881</v>
      </c>
      <c r="E210" s="12" t="s">
        <v>886</v>
      </c>
      <c r="F210" s="6">
        <v>0</v>
      </c>
      <c r="G210" s="6">
        <v>0</v>
      </c>
      <c r="H210" s="6" t="s">
        <v>904</v>
      </c>
      <c r="I210" s="190">
        <v>36337.033430704316</v>
      </c>
      <c r="J210" s="190">
        <v>0</v>
      </c>
      <c r="K210" s="190">
        <v>0</v>
      </c>
      <c r="L210" s="190">
        <v>0</v>
      </c>
      <c r="M210" s="190">
        <v>0</v>
      </c>
      <c r="N210" s="190">
        <v>0</v>
      </c>
      <c r="O210" s="190">
        <v>0</v>
      </c>
      <c r="P210" s="190">
        <v>0</v>
      </c>
      <c r="Q210" s="190">
        <v>0</v>
      </c>
      <c r="R210" s="190">
        <v>0</v>
      </c>
      <c r="S210" s="190">
        <v>0</v>
      </c>
      <c r="T210" s="190">
        <v>0</v>
      </c>
      <c r="U210" s="190">
        <v>0</v>
      </c>
      <c r="V210" s="190">
        <v>0</v>
      </c>
      <c r="W210" s="190">
        <v>0</v>
      </c>
      <c r="X210" s="190">
        <v>0</v>
      </c>
      <c r="Y210" s="190">
        <v>0</v>
      </c>
      <c r="Z210" s="190">
        <v>0</v>
      </c>
      <c r="AA210" s="190">
        <v>0</v>
      </c>
      <c r="AB210" s="190">
        <v>0</v>
      </c>
      <c r="AC210" s="190">
        <v>0</v>
      </c>
      <c r="AD210" s="190">
        <v>0</v>
      </c>
      <c r="AE210" s="190">
        <v>0</v>
      </c>
      <c r="AF210" s="190">
        <v>0</v>
      </c>
      <c r="AG210" s="190">
        <v>0</v>
      </c>
      <c r="AH210" s="190">
        <v>0</v>
      </c>
      <c r="AI210" s="190">
        <v>0</v>
      </c>
      <c r="AJ210" s="190">
        <v>0</v>
      </c>
      <c r="AK210" s="190">
        <v>0</v>
      </c>
      <c r="AL210" s="190">
        <v>0</v>
      </c>
    </row>
    <row r="211" spans="2:38" ht="12.75" customHeight="1">
      <c r="B211" s="507" t="s">
        <v>115</v>
      </c>
      <c r="C211" s="6" t="s">
        <v>880</v>
      </c>
      <c r="D211" s="12" t="s">
        <v>881</v>
      </c>
      <c r="E211" s="12" t="s">
        <v>886</v>
      </c>
      <c r="F211" s="6">
        <v>0</v>
      </c>
      <c r="G211" s="6">
        <v>0</v>
      </c>
      <c r="H211" s="6" t="s">
        <v>905</v>
      </c>
      <c r="I211" s="190">
        <v>0</v>
      </c>
      <c r="J211" s="190">
        <v>0</v>
      </c>
      <c r="K211" s="190">
        <v>0</v>
      </c>
      <c r="L211" s="190">
        <v>0</v>
      </c>
      <c r="M211" s="190">
        <v>0</v>
      </c>
      <c r="N211" s="190">
        <v>0</v>
      </c>
      <c r="O211" s="190">
        <v>0</v>
      </c>
      <c r="P211" s="190">
        <v>0</v>
      </c>
      <c r="Q211" s="190">
        <v>0</v>
      </c>
      <c r="R211" s="190">
        <v>0</v>
      </c>
      <c r="S211" s="190">
        <v>0</v>
      </c>
      <c r="T211" s="190">
        <v>0</v>
      </c>
      <c r="U211" s="190">
        <v>0</v>
      </c>
      <c r="V211" s="190">
        <v>0</v>
      </c>
      <c r="W211" s="190">
        <v>0</v>
      </c>
      <c r="X211" s="190">
        <v>0</v>
      </c>
      <c r="Y211" s="190">
        <v>0</v>
      </c>
      <c r="Z211" s="190">
        <v>0</v>
      </c>
      <c r="AA211" s="190">
        <v>0</v>
      </c>
      <c r="AB211" s="190">
        <v>0</v>
      </c>
      <c r="AC211" s="190">
        <v>0</v>
      </c>
      <c r="AD211" s="190">
        <v>0</v>
      </c>
      <c r="AE211" s="190">
        <v>0</v>
      </c>
      <c r="AF211" s="190">
        <v>0</v>
      </c>
      <c r="AG211" s="190">
        <v>0</v>
      </c>
      <c r="AH211" s="190">
        <v>0</v>
      </c>
      <c r="AI211" s="190">
        <v>0</v>
      </c>
      <c r="AJ211" s="190">
        <v>0</v>
      </c>
      <c r="AK211" s="190">
        <v>0</v>
      </c>
      <c r="AL211" s="190">
        <v>0</v>
      </c>
    </row>
    <row r="212" spans="2:38" ht="12.75" customHeight="1">
      <c r="B212" s="507" t="s">
        <v>115</v>
      </c>
      <c r="C212" s="6" t="s">
        <v>880</v>
      </c>
      <c r="D212" s="12" t="s">
        <v>881</v>
      </c>
      <c r="E212" s="12" t="s">
        <v>886</v>
      </c>
      <c r="F212" s="6">
        <v>0</v>
      </c>
      <c r="G212" s="6">
        <v>0</v>
      </c>
      <c r="H212" s="6" t="s">
        <v>906</v>
      </c>
      <c r="I212" s="190">
        <v>49028.988197523991</v>
      </c>
      <c r="J212" s="190">
        <v>0</v>
      </c>
      <c r="K212" s="190">
        <v>0</v>
      </c>
      <c r="L212" s="190">
        <v>0</v>
      </c>
      <c r="M212" s="190">
        <v>0</v>
      </c>
      <c r="N212" s="190">
        <v>0</v>
      </c>
      <c r="O212" s="190">
        <v>3658.8797162331339</v>
      </c>
      <c r="P212" s="190">
        <v>0</v>
      </c>
      <c r="Q212" s="190">
        <v>0</v>
      </c>
      <c r="R212" s="190">
        <v>0</v>
      </c>
      <c r="S212" s="190">
        <v>0</v>
      </c>
      <c r="T212" s="190">
        <v>0</v>
      </c>
      <c r="U212" s="190">
        <v>0</v>
      </c>
      <c r="V212" s="190">
        <v>0</v>
      </c>
      <c r="W212" s="190">
        <v>0</v>
      </c>
      <c r="X212" s="190">
        <v>0</v>
      </c>
      <c r="Y212" s="190">
        <v>0</v>
      </c>
      <c r="Z212" s="190">
        <v>0</v>
      </c>
      <c r="AA212" s="190">
        <v>0</v>
      </c>
      <c r="AB212" s="190">
        <v>0</v>
      </c>
      <c r="AC212" s="190">
        <v>0</v>
      </c>
      <c r="AD212" s="190">
        <v>0</v>
      </c>
      <c r="AE212" s="190">
        <v>0</v>
      </c>
      <c r="AF212" s="190">
        <v>0</v>
      </c>
      <c r="AG212" s="190">
        <v>0</v>
      </c>
      <c r="AH212" s="190">
        <v>0</v>
      </c>
      <c r="AI212" s="190">
        <v>0</v>
      </c>
      <c r="AJ212" s="190">
        <v>0</v>
      </c>
      <c r="AK212" s="190">
        <v>0</v>
      </c>
      <c r="AL212" s="190">
        <v>0</v>
      </c>
    </row>
    <row r="213" spans="2:38" ht="12.75" customHeight="1">
      <c r="B213" s="507" t="s">
        <v>115</v>
      </c>
      <c r="C213" s="6" t="s">
        <v>880</v>
      </c>
      <c r="D213" s="12" t="s">
        <v>881</v>
      </c>
      <c r="E213" s="12" t="s">
        <v>886</v>
      </c>
      <c r="F213" s="6">
        <v>0</v>
      </c>
      <c r="G213" s="6">
        <v>0</v>
      </c>
      <c r="H213" s="6" t="s">
        <v>907</v>
      </c>
      <c r="I213" s="190">
        <v>19466.267909305883</v>
      </c>
      <c r="J213" s="190">
        <v>0</v>
      </c>
      <c r="K213" s="190">
        <v>0</v>
      </c>
      <c r="L213" s="190">
        <v>0</v>
      </c>
      <c r="M213" s="190">
        <v>0</v>
      </c>
      <c r="N213" s="190">
        <v>0</v>
      </c>
      <c r="O213" s="190">
        <v>0</v>
      </c>
      <c r="P213" s="190">
        <v>0</v>
      </c>
      <c r="Q213" s="190">
        <v>0</v>
      </c>
      <c r="R213" s="190">
        <v>0</v>
      </c>
      <c r="S213" s="190">
        <v>0</v>
      </c>
      <c r="T213" s="190">
        <v>0</v>
      </c>
      <c r="U213" s="190">
        <v>0</v>
      </c>
      <c r="V213" s="190">
        <v>0</v>
      </c>
      <c r="W213" s="190">
        <v>0</v>
      </c>
      <c r="X213" s="190">
        <v>0</v>
      </c>
      <c r="Y213" s="190">
        <v>0</v>
      </c>
      <c r="Z213" s="190">
        <v>0</v>
      </c>
      <c r="AA213" s="190">
        <v>0</v>
      </c>
      <c r="AB213" s="190">
        <v>0</v>
      </c>
      <c r="AC213" s="190">
        <v>0</v>
      </c>
      <c r="AD213" s="190">
        <v>0</v>
      </c>
      <c r="AE213" s="190">
        <v>0</v>
      </c>
      <c r="AF213" s="190">
        <v>0</v>
      </c>
      <c r="AG213" s="190">
        <v>0</v>
      </c>
      <c r="AH213" s="190">
        <v>0</v>
      </c>
      <c r="AI213" s="190">
        <v>0</v>
      </c>
      <c r="AJ213" s="190">
        <v>0</v>
      </c>
      <c r="AK213" s="190">
        <v>0</v>
      </c>
      <c r="AL213" s="190">
        <v>0</v>
      </c>
    </row>
    <row r="214" spans="2:38" ht="12.75" customHeight="1">
      <c r="B214" s="507" t="s">
        <v>115</v>
      </c>
      <c r="C214" s="6" t="s">
        <v>880</v>
      </c>
      <c r="D214" s="12" t="s">
        <v>881</v>
      </c>
      <c r="E214" s="12" t="s">
        <v>886</v>
      </c>
      <c r="F214" s="6">
        <v>0</v>
      </c>
      <c r="G214" s="6">
        <v>0</v>
      </c>
      <c r="H214" s="6" t="s">
        <v>908</v>
      </c>
      <c r="I214" s="190">
        <v>0</v>
      </c>
      <c r="J214" s="190">
        <v>0</v>
      </c>
      <c r="K214" s="190">
        <v>0</v>
      </c>
      <c r="L214" s="190">
        <v>0</v>
      </c>
      <c r="M214" s="190">
        <v>0</v>
      </c>
      <c r="N214" s="190">
        <v>0</v>
      </c>
      <c r="O214" s="190">
        <v>0</v>
      </c>
      <c r="P214" s="190">
        <v>0</v>
      </c>
      <c r="Q214" s="190">
        <v>0</v>
      </c>
      <c r="R214" s="190">
        <v>0</v>
      </c>
      <c r="S214" s="190">
        <v>0</v>
      </c>
      <c r="T214" s="190">
        <v>0</v>
      </c>
      <c r="U214" s="190">
        <v>0</v>
      </c>
      <c r="V214" s="190">
        <v>0</v>
      </c>
      <c r="W214" s="190">
        <v>0</v>
      </c>
      <c r="X214" s="190">
        <v>0</v>
      </c>
      <c r="Y214" s="190">
        <v>0</v>
      </c>
      <c r="Z214" s="190">
        <v>0</v>
      </c>
      <c r="AA214" s="190">
        <v>0</v>
      </c>
      <c r="AB214" s="190">
        <v>0</v>
      </c>
      <c r="AC214" s="190">
        <v>0</v>
      </c>
      <c r="AD214" s="190">
        <v>0</v>
      </c>
      <c r="AE214" s="190">
        <v>0</v>
      </c>
      <c r="AF214" s="190">
        <v>0</v>
      </c>
      <c r="AG214" s="190">
        <v>0</v>
      </c>
      <c r="AH214" s="190">
        <v>0</v>
      </c>
      <c r="AI214" s="190">
        <v>0</v>
      </c>
      <c r="AJ214" s="190">
        <v>0</v>
      </c>
      <c r="AK214" s="190">
        <v>0</v>
      </c>
      <c r="AL214" s="190">
        <v>0</v>
      </c>
    </row>
    <row r="215" spans="2:38" ht="12.75" customHeight="1">
      <c r="B215" s="507" t="s">
        <v>115</v>
      </c>
      <c r="C215" s="6" t="s">
        <v>880</v>
      </c>
      <c r="D215" s="12" t="s">
        <v>881</v>
      </c>
      <c r="E215" s="12" t="s">
        <v>886</v>
      </c>
      <c r="F215" s="6">
        <v>0</v>
      </c>
      <c r="G215" s="6">
        <v>0</v>
      </c>
      <c r="H215" s="6" t="s">
        <v>909</v>
      </c>
      <c r="I215" s="190">
        <v>0</v>
      </c>
      <c r="J215" s="190">
        <v>0</v>
      </c>
      <c r="K215" s="190">
        <v>0</v>
      </c>
      <c r="L215" s="190">
        <v>0</v>
      </c>
      <c r="M215" s="190">
        <v>0</v>
      </c>
      <c r="N215" s="190">
        <v>0</v>
      </c>
      <c r="O215" s="190">
        <v>0</v>
      </c>
      <c r="P215" s="190">
        <v>0</v>
      </c>
      <c r="Q215" s="190">
        <v>0</v>
      </c>
      <c r="R215" s="190">
        <v>0</v>
      </c>
      <c r="S215" s="190">
        <v>0</v>
      </c>
      <c r="T215" s="190">
        <v>0</v>
      </c>
      <c r="U215" s="190">
        <v>0</v>
      </c>
      <c r="V215" s="190">
        <v>0</v>
      </c>
      <c r="W215" s="190">
        <v>0</v>
      </c>
      <c r="X215" s="190">
        <v>0</v>
      </c>
      <c r="Y215" s="190">
        <v>0</v>
      </c>
      <c r="Z215" s="190">
        <v>0</v>
      </c>
      <c r="AA215" s="190">
        <v>0</v>
      </c>
      <c r="AB215" s="190">
        <v>0</v>
      </c>
      <c r="AC215" s="190">
        <v>0</v>
      </c>
      <c r="AD215" s="190">
        <v>0</v>
      </c>
      <c r="AE215" s="190">
        <v>0</v>
      </c>
      <c r="AF215" s="190">
        <v>0</v>
      </c>
      <c r="AG215" s="190">
        <v>0</v>
      </c>
      <c r="AH215" s="190">
        <v>0</v>
      </c>
      <c r="AI215" s="190">
        <v>0</v>
      </c>
      <c r="AJ215" s="190">
        <v>0</v>
      </c>
      <c r="AK215" s="190">
        <v>0</v>
      </c>
      <c r="AL215" s="190">
        <v>0</v>
      </c>
    </row>
    <row r="216" spans="2:38" ht="12.75" customHeight="1">
      <c r="B216" s="507" t="s">
        <v>115</v>
      </c>
      <c r="C216" s="6" t="s">
        <v>880</v>
      </c>
      <c r="D216" s="12" t="s">
        <v>881</v>
      </c>
      <c r="E216" s="12" t="s">
        <v>886</v>
      </c>
      <c r="F216" s="6">
        <v>0</v>
      </c>
      <c r="G216" s="6">
        <v>0</v>
      </c>
      <c r="H216" s="6" t="s">
        <v>910</v>
      </c>
      <c r="I216" s="190">
        <v>0</v>
      </c>
      <c r="J216" s="190">
        <v>0</v>
      </c>
      <c r="K216" s="190">
        <v>0</v>
      </c>
      <c r="L216" s="190">
        <v>0</v>
      </c>
      <c r="M216" s="190">
        <v>0</v>
      </c>
      <c r="N216" s="190">
        <v>0</v>
      </c>
      <c r="O216" s="190">
        <v>0</v>
      </c>
      <c r="P216" s="190">
        <v>0</v>
      </c>
      <c r="Q216" s="190">
        <v>0</v>
      </c>
      <c r="R216" s="190">
        <v>0</v>
      </c>
      <c r="S216" s="190">
        <v>0</v>
      </c>
      <c r="T216" s="190">
        <v>0</v>
      </c>
      <c r="U216" s="190">
        <v>0</v>
      </c>
      <c r="V216" s="190">
        <v>0</v>
      </c>
      <c r="W216" s="190">
        <v>0</v>
      </c>
      <c r="X216" s="190">
        <v>0</v>
      </c>
      <c r="Y216" s="190">
        <v>0</v>
      </c>
      <c r="Z216" s="190">
        <v>0</v>
      </c>
      <c r="AA216" s="190">
        <v>0</v>
      </c>
      <c r="AB216" s="190">
        <v>0</v>
      </c>
      <c r="AC216" s="190">
        <v>0</v>
      </c>
      <c r="AD216" s="190">
        <v>0</v>
      </c>
      <c r="AE216" s="190">
        <v>0</v>
      </c>
      <c r="AF216" s="190">
        <v>0</v>
      </c>
      <c r="AG216" s="190">
        <v>0</v>
      </c>
      <c r="AH216" s="190">
        <v>0</v>
      </c>
      <c r="AI216" s="190">
        <v>0</v>
      </c>
      <c r="AJ216" s="190">
        <v>0</v>
      </c>
      <c r="AK216" s="190">
        <v>0</v>
      </c>
      <c r="AL216" s="190">
        <v>0</v>
      </c>
    </row>
    <row r="217" spans="2:38" ht="12.75" customHeight="1">
      <c r="B217" s="507" t="s">
        <v>115</v>
      </c>
      <c r="C217" s="6" t="s">
        <v>880</v>
      </c>
      <c r="D217" s="12" t="s">
        <v>881</v>
      </c>
      <c r="E217" s="12" t="s">
        <v>886</v>
      </c>
      <c r="F217" s="6">
        <v>0</v>
      </c>
      <c r="G217" s="6">
        <v>0</v>
      </c>
      <c r="H217" s="6" t="s">
        <v>889</v>
      </c>
      <c r="I217" s="190">
        <v>0</v>
      </c>
      <c r="J217" s="190">
        <v>0</v>
      </c>
      <c r="K217" s="190">
        <v>0</v>
      </c>
      <c r="L217" s="190">
        <v>0</v>
      </c>
      <c r="M217" s="190">
        <v>0</v>
      </c>
      <c r="N217" s="190">
        <v>0</v>
      </c>
      <c r="O217" s="190">
        <v>0</v>
      </c>
      <c r="P217" s="190">
        <v>0</v>
      </c>
      <c r="Q217" s="190">
        <v>0</v>
      </c>
      <c r="R217" s="190">
        <v>0</v>
      </c>
      <c r="S217" s="190">
        <v>0</v>
      </c>
      <c r="T217" s="190">
        <v>0</v>
      </c>
      <c r="U217" s="190">
        <v>0</v>
      </c>
      <c r="V217" s="190">
        <v>0</v>
      </c>
      <c r="W217" s="190">
        <v>0</v>
      </c>
      <c r="X217" s="190">
        <v>0</v>
      </c>
      <c r="Y217" s="190">
        <v>0</v>
      </c>
      <c r="Z217" s="190">
        <v>0</v>
      </c>
      <c r="AA217" s="190">
        <v>0</v>
      </c>
      <c r="AB217" s="190">
        <v>0</v>
      </c>
      <c r="AC217" s="190">
        <v>0</v>
      </c>
      <c r="AD217" s="190">
        <v>0</v>
      </c>
      <c r="AE217" s="190">
        <v>0</v>
      </c>
      <c r="AF217" s="190">
        <v>0</v>
      </c>
      <c r="AG217" s="190">
        <v>0</v>
      </c>
      <c r="AH217" s="190">
        <v>0</v>
      </c>
      <c r="AI217" s="190">
        <v>0</v>
      </c>
      <c r="AJ217" s="190">
        <v>0</v>
      </c>
      <c r="AK217" s="190">
        <v>0</v>
      </c>
      <c r="AL217" s="190">
        <v>0</v>
      </c>
    </row>
    <row r="218" spans="2:38" ht="12.75" customHeight="1">
      <c r="B218" s="507" t="s">
        <v>115</v>
      </c>
      <c r="C218" s="6" t="s">
        <v>880</v>
      </c>
      <c r="D218" s="12" t="s">
        <v>881</v>
      </c>
      <c r="E218" s="12" t="s">
        <v>886</v>
      </c>
      <c r="F218" s="6">
        <v>1</v>
      </c>
      <c r="G218" s="6">
        <v>0</v>
      </c>
      <c r="H218" s="6" t="s">
        <v>911</v>
      </c>
      <c r="I218" s="190">
        <v>1786825.8658912261</v>
      </c>
      <c r="J218" s="190">
        <v>0</v>
      </c>
      <c r="K218" s="190">
        <v>0</v>
      </c>
      <c r="L218" s="190">
        <v>0</v>
      </c>
      <c r="M218" s="190">
        <v>0</v>
      </c>
      <c r="N218" s="190">
        <v>0</v>
      </c>
      <c r="O218" s="190">
        <v>0</v>
      </c>
      <c r="P218" s="190">
        <v>0</v>
      </c>
      <c r="Q218" s="190">
        <v>0</v>
      </c>
      <c r="R218" s="190">
        <v>0</v>
      </c>
      <c r="S218" s="190">
        <v>0</v>
      </c>
      <c r="T218" s="190">
        <v>0</v>
      </c>
      <c r="U218" s="190">
        <v>0</v>
      </c>
      <c r="V218" s="190">
        <v>0</v>
      </c>
      <c r="W218" s="190">
        <v>0</v>
      </c>
      <c r="X218" s="190">
        <v>0</v>
      </c>
      <c r="Y218" s="190">
        <v>0</v>
      </c>
      <c r="Z218" s="190">
        <v>0</v>
      </c>
      <c r="AA218" s="190">
        <v>0</v>
      </c>
      <c r="AB218" s="190">
        <v>0</v>
      </c>
      <c r="AC218" s="190">
        <v>0</v>
      </c>
      <c r="AD218" s="190">
        <v>0</v>
      </c>
      <c r="AE218" s="190">
        <v>0</v>
      </c>
      <c r="AF218" s="190">
        <v>0</v>
      </c>
      <c r="AG218" s="190">
        <v>0</v>
      </c>
      <c r="AH218" s="190">
        <v>0</v>
      </c>
      <c r="AI218" s="190">
        <v>0</v>
      </c>
      <c r="AJ218" s="190">
        <v>0</v>
      </c>
      <c r="AK218" s="190">
        <v>0</v>
      </c>
      <c r="AL218" s="190">
        <v>0</v>
      </c>
    </row>
    <row r="219" spans="2:38" ht="12.75" customHeight="1">
      <c r="B219" s="507" t="s">
        <v>115</v>
      </c>
      <c r="C219" s="6" t="s">
        <v>880</v>
      </c>
      <c r="D219" s="12" t="s">
        <v>881</v>
      </c>
      <c r="E219" s="12" t="s">
        <v>886</v>
      </c>
      <c r="F219" s="6">
        <v>1</v>
      </c>
      <c r="G219" s="6">
        <v>0</v>
      </c>
      <c r="H219" s="6" t="s">
        <v>890</v>
      </c>
      <c r="I219" s="190">
        <v>83053.480910650527</v>
      </c>
      <c r="J219" s="190">
        <v>0</v>
      </c>
      <c r="K219" s="190">
        <v>0</v>
      </c>
      <c r="L219" s="190">
        <v>0</v>
      </c>
      <c r="M219" s="190">
        <v>0</v>
      </c>
      <c r="N219" s="190">
        <v>0</v>
      </c>
      <c r="O219" s="190">
        <v>0</v>
      </c>
      <c r="P219" s="190">
        <v>0</v>
      </c>
      <c r="Q219" s="190">
        <v>0</v>
      </c>
      <c r="R219" s="190">
        <v>0</v>
      </c>
      <c r="S219" s="190">
        <v>0</v>
      </c>
      <c r="T219" s="190">
        <v>0</v>
      </c>
      <c r="U219" s="190">
        <v>0</v>
      </c>
      <c r="V219" s="190">
        <v>0</v>
      </c>
      <c r="W219" s="190">
        <v>0</v>
      </c>
      <c r="X219" s="190">
        <v>0</v>
      </c>
      <c r="Y219" s="190">
        <v>0</v>
      </c>
      <c r="Z219" s="190">
        <v>0</v>
      </c>
      <c r="AA219" s="190">
        <v>0</v>
      </c>
      <c r="AB219" s="190">
        <v>0</v>
      </c>
      <c r="AC219" s="190">
        <v>0</v>
      </c>
      <c r="AD219" s="190">
        <v>0</v>
      </c>
      <c r="AE219" s="190">
        <v>0</v>
      </c>
      <c r="AF219" s="190">
        <v>0</v>
      </c>
      <c r="AG219" s="190">
        <v>0</v>
      </c>
      <c r="AH219" s="190">
        <v>0</v>
      </c>
      <c r="AI219" s="190">
        <v>0</v>
      </c>
      <c r="AJ219" s="190">
        <v>0</v>
      </c>
      <c r="AK219" s="190">
        <v>0</v>
      </c>
      <c r="AL219" s="190">
        <v>0</v>
      </c>
    </row>
    <row r="220" spans="2:38" ht="12.75" customHeight="1">
      <c r="B220" s="507" t="s">
        <v>115</v>
      </c>
      <c r="C220" s="6" t="s">
        <v>880</v>
      </c>
      <c r="D220" s="12" t="s">
        <v>881</v>
      </c>
      <c r="E220" s="12" t="s">
        <v>886</v>
      </c>
      <c r="F220" s="6">
        <v>1</v>
      </c>
      <c r="G220" s="6">
        <v>0</v>
      </c>
      <c r="H220" s="6" t="s">
        <v>891</v>
      </c>
      <c r="I220" s="190">
        <v>41526.740455325264</v>
      </c>
      <c r="J220" s="190">
        <v>0</v>
      </c>
      <c r="K220" s="190">
        <v>0</v>
      </c>
      <c r="L220" s="190">
        <v>0</v>
      </c>
      <c r="M220" s="190">
        <v>0</v>
      </c>
      <c r="N220" s="190">
        <v>0</v>
      </c>
      <c r="O220" s="190">
        <v>0</v>
      </c>
      <c r="P220" s="190">
        <v>0</v>
      </c>
      <c r="Q220" s="190">
        <v>0</v>
      </c>
      <c r="R220" s="190">
        <v>0</v>
      </c>
      <c r="S220" s="190">
        <v>0</v>
      </c>
      <c r="T220" s="190">
        <v>0</v>
      </c>
      <c r="U220" s="190">
        <v>0</v>
      </c>
      <c r="V220" s="190">
        <v>0</v>
      </c>
      <c r="W220" s="190">
        <v>0</v>
      </c>
      <c r="X220" s="190">
        <v>0</v>
      </c>
      <c r="Y220" s="190">
        <v>0</v>
      </c>
      <c r="Z220" s="190">
        <v>0</v>
      </c>
      <c r="AA220" s="190">
        <v>0</v>
      </c>
      <c r="AB220" s="190">
        <v>0</v>
      </c>
      <c r="AC220" s="190">
        <v>0</v>
      </c>
      <c r="AD220" s="190">
        <v>0</v>
      </c>
      <c r="AE220" s="190">
        <v>0</v>
      </c>
      <c r="AF220" s="190">
        <v>0</v>
      </c>
      <c r="AG220" s="190">
        <v>0</v>
      </c>
      <c r="AH220" s="190">
        <v>0</v>
      </c>
      <c r="AI220" s="190">
        <v>0</v>
      </c>
      <c r="AJ220" s="190">
        <v>0</v>
      </c>
      <c r="AK220" s="190">
        <v>0</v>
      </c>
      <c r="AL220" s="190">
        <v>0</v>
      </c>
    </row>
    <row r="221" spans="2:38" ht="12.75" customHeight="1">
      <c r="B221" s="507" t="s">
        <v>115</v>
      </c>
      <c r="C221" s="6" t="s">
        <v>880</v>
      </c>
      <c r="D221" s="12" t="s">
        <v>881</v>
      </c>
      <c r="E221" s="12" t="s">
        <v>886</v>
      </c>
      <c r="F221" s="6">
        <v>1</v>
      </c>
      <c r="G221" s="6">
        <v>0</v>
      </c>
      <c r="H221" s="6" t="s">
        <v>892</v>
      </c>
      <c r="I221" s="190">
        <v>40078.891358278852</v>
      </c>
      <c r="J221" s="190">
        <v>0</v>
      </c>
      <c r="K221" s="190">
        <v>0</v>
      </c>
      <c r="L221" s="190">
        <v>0</v>
      </c>
      <c r="M221" s="190">
        <v>0</v>
      </c>
      <c r="N221" s="190">
        <v>0</v>
      </c>
      <c r="O221" s="190">
        <v>0</v>
      </c>
      <c r="P221" s="190">
        <v>0</v>
      </c>
      <c r="Q221" s="190">
        <v>0</v>
      </c>
      <c r="R221" s="190">
        <v>0</v>
      </c>
      <c r="S221" s="190">
        <v>0</v>
      </c>
      <c r="T221" s="190">
        <v>0</v>
      </c>
      <c r="U221" s="190">
        <v>0</v>
      </c>
      <c r="V221" s="190">
        <v>0</v>
      </c>
      <c r="W221" s="190">
        <v>0</v>
      </c>
      <c r="X221" s="190">
        <v>0</v>
      </c>
      <c r="Y221" s="190">
        <v>0</v>
      </c>
      <c r="Z221" s="190">
        <v>0</v>
      </c>
      <c r="AA221" s="190">
        <v>0</v>
      </c>
      <c r="AB221" s="190">
        <v>0</v>
      </c>
      <c r="AC221" s="190">
        <v>0</v>
      </c>
      <c r="AD221" s="190">
        <v>0</v>
      </c>
      <c r="AE221" s="190">
        <v>0</v>
      </c>
      <c r="AF221" s="190">
        <v>0</v>
      </c>
      <c r="AG221" s="190">
        <v>0</v>
      </c>
      <c r="AH221" s="190">
        <v>0</v>
      </c>
      <c r="AI221" s="190">
        <v>0</v>
      </c>
      <c r="AJ221" s="190">
        <v>0</v>
      </c>
      <c r="AK221" s="190">
        <v>0</v>
      </c>
      <c r="AL221" s="190">
        <v>0</v>
      </c>
    </row>
    <row r="222" spans="2:38" ht="12.75" customHeight="1">
      <c r="B222" s="507" t="s">
        <v>115</v>
      </c>
      <c r="C222" s="6" t="s">
        <v>880</v>
      </c>
      <c r="D222" s="12" t="s">
        <v>881</v>
      </c>
      <c r="E222" s="12" t="s">
        <v>886</v>
      </c>
      <c r="F222" s="6">
        <v>1</v>
      </c>
      <c r="G222" s="6">
        <v>0</v>
      </c>
      <c r="H222" s="6" t="s">
        <v>893</v>
      </c>
      <c r="I222" s="190">
        <v>108997.82429739881</v>
      </c>
      <c r="J222" s="190">
        <v>0</v>
      </c>
      <c r="K222" s="190">
        <v>0</v>
      </c>
      <c r="L222" s="190">
        <v>0</v>
      </c>
      <c r="M222" s="190">
        <v>0</v>
      </c>
      <c r="N222" s="190">
        <v>0</v>
      </c>
      <c r="O222" s="190">
        <v>0</v>
      </c>
      <c r="P222" s="190">
        <v>0</v>
      </c>
      <c r="Q222" s="190">
        <v>0</v>
      </c>
      <c r="R222" s="190">
        <v>0</v>
      </c>
      <c r="S222" s="190">
        <v>0</v>
      </c>
      <c r="T222" s="190">
        <v>0</v>
      </c>
      <c r="U222" s="190">
        <v>0</v>
      </c>
      <c r="V222" s="190">
        <v>0</v>
      </c>
      <c r="W222" s="190">
        <v>0</v>
      </c>
      <c r="X222" s="190">
        <v>0</v>
      </c>
      <c r="Y222" s="190">
        <v>0</v>
      </c>
      <c r="Z222" s="190">
        <v>0</v>
      </c>
      <c r="AA222" s="190">
        <v>0</v>
      </c>
      <c r="AB222" s="190">
        <v>0</v>
      </c>
      <c r="AC222" s="190">
        <v>0</v>
      </c>
      <c r="AD222" s="190">
        <v>0</v>
      </c>
      <c r="AE222" s="190">
        <v>0</v>
      </c>
      <c r="AF222" s="190">
        <v>0</v>
      </c>
      <c r="AG222" s="190">
        <v>0</v>
      </c>
      <c r="AH222" s="190">
        <v>0</v>
      </c>
      <c r="AI222" s="190">
        <v>0</v>
      </c>
      <c r="AJ222" s="190">
        <v>0</v>
      </c>
      <c r="AK222" s="190">
        <v>0</v>
      </c>
      <c r="AL222" s="190">
        <v>0</v>
      </c>
    </row>
    <row r="223" spans="2:38" ht="12.75" customHeight="1">
      <c r="B223" s="507" t="s">
        <v>115</v>
      </c>
      <c r="C223" s="6" t="s">
        <v>880</v>
      </c>
      <c r="D223" s="12" t="s">
        <v>881</v>
      </c>
      <c r="E223" s="12" t="s">
        <v>886</v>
      </c>
      <c r="F223" s="6">
        <v>0</v>
      </c>
      <c r="G223" s="6">
        <v>0</v>
      </c>
      <c r="H223" s="6" t="s">
        <v>897</v>
      </c>
      <c r="I223" s="190">
        <v>0</v>
      </c>
      <c r="J223" s="190">
        <v>0</v>
      </c>
      <c r="K223" s="190">
        <v>0</v>
      </c>
      <c r="L223" s="190">
        <v>0</v>
      </c>
      <c r="M223" s="190">
        <v>0</v>
      </c>
      <c r="N223" s="190">
        <v>0</v>
      </c>
      <c r="O223" s="190">
        <v>0</v>
      </c>
      <c r="P223" s="190">
        <v>0</v>
      </c>
      <c r="Q223" s="190">
        <v>0</v>
      </c>
      <c r="R223" s="190">
        <v>0</v>
      </c>
      <c r="S223" s="190">
        <v>0</v>
      </c>
      <c r="T223" s="190">
        <v>0</v>
      </c>
      <c r="U223" s="190">
        <v>0</v>
      </c>
      <c r="V223" s="190">
        <v>0</v>
      </c>
      <c r="W223" s="190">
        <v>0</v>
      </c>
      <c r="X223" s="190">
        <v>0</v>
      </c>
      <c r="Y223" s="190">
        <v>0</v>
      </c>
      <c r="Z223" s="190">
        <v>0</v>
      </c>
      <c r="AA223" s="190">
        <v>0</v>
      </c>
      <c r="AB223" s="190">
        <v>0</v>
      </c>
      <c r="AC223" s="190">
        <v>0</v>
      </c>
      <c r="AD223" s="190">
        <v>0</v>
      </c>
      <c r="AE223" s="190">
        <v>0</v>
      </c>
      <c r="AF223" s="190">
        <v>0</v>
      </c>
      <c r="AG223" s="190">
        <v>0</v>
      </c>
      <c r="AH223" s="190">
        <v>0</v>
      </c>
      <c r="AI223" s="190">
        <v>0</v>
      </c>
      <c r="AJ223" s="190">
        <v>0</v>
      </c>
      <c r="AK223" s="190">
        <v>0</v>
      </c>
      <c r="AL223" s="190">
        <v>0</v>
      </c>
    </row>
    <row r="224" spans="2:38" ht="12.75" customHeight="1">
      <c r="B224" s="507" t="s">
        <v>115</v>
      </c>
      <c r="C224" s="6" t="s">
        <v>880</v>
      </c>
      <c r="D224" s="12" t="s">
        <v>881</v>
      </c>
      <c r="E224" s="12" t="s">
        <v>886</v>
      </c>
      <c r="F224" s="6">
        <v>0</v>
      </c>
      <c r="G224" s="6">
        <v>0</v>
      </c>
      <c r="H224" s="6" t="s">
        <v>898</v>
      </c>
      <c r="I224" s="190">
        <v>0</v>
      </c>
      <c r="J224" s="190">
        <v>0</v>
      </c>
      <c r="K224" s="190">
        <v>0</v>
      </c>
      <c r="L224" s="190">
        <v>0</v>
      </c>
      <c r="M224" s="190">
        <v>0</v>
      </c>
      <c r="N224" s="190">
        <v>0</v>
      </c>
      <c r="O224" s="190">
        <v>0</v>
      </c>
      <c r="P224" s="190">
        <v>0</v>
      </c>
      <c r="Q224" s="190">
        <v>0</v>
      </c>
      <c r="R224" s="190">
        <v>0</v>
      </c>
      <c r="S224" s="190">
        <v>0</v>
      </c>
      <c r="T224" s="190">
        <v>0</v>
      </c>
      <c r="U224" s="190">
        <v>0</v>
      </c>
      <c r="V224" s="190">
        <v>0</v>
      </c>
      <c r="W224" s="190">
        <v>0</v>
      </c>
      <c r="X224" s="190">
        <v>0</v>
      </c>
      <c r="Y224" s="190">
        <v>0</v>
      </c>
      <c r="Z224" s="190">
        <v>0</v>
      </c>
      <c r="AA224" s="190">
        <v>0</v>
      </c>
      <c r="AB224" s="190">
        <v>0</v>
      </c>
      <c r="AC224" s="190">
        <v>0</v>
      </c>
      <c r="AD224" s="190">
        <v>0</v>
      </c>
      <c r="AE224" s="190">
        <v>0</v>
      </c>
      <c r="AF224" s="190">
        <v>0</v>
      </c>
      <c r="AG224" s="190">
        <v>0</v>
      </c>
      <c r="AH224" s="190">
        <v>0</v>
      </c>
      <c r="AI224" s="190">
        <v>0</v>
      </c>
      <c r="AJ224" s="190">
        <v>0</v>
      </c>
      <c r="AK224" s="190">
        <v>0</v>
      </c>
      <c r="AL224" s="190">
        <v>0</v>
      </c>
    </row>
    <row r="225" spans="2:38" ht="12.75" customHeight="1">
      <c r="B225" s="507" t="s">
        <v>115</v>
      </c>
      <c r="C225" s="6" t="s">
        <v>880</v>
      </c>
      <c r="D225" s="12" t="s">
        <v>881</v>
      </c>
      <c r="E225" s="12" t="s">
        <v>886</v>
      </c>
      <c r="F225" s="6">
        <v>0</v>
      </c>
      <c r="G225" s="6">
        <v>0</v>
      </c>
      <c r="H225" s="6" t="s">
        <v>912</v>
      </c>
      <c r="I225" s="190">
        <v>0</v>
      </c>
      <c r="J225" s="190">
        <v>0</v>
      </c>
      <c r="K225" s="190">
        <v>0</v>
      </c>
      <c r="L225" s="190">
        <v>0</v>
      </c>
      <c r="M225" s="190">
        <v>0</v>
      </c>
      <c r="N225" s="190">
        <v>0</v>
      </c>
      <c r="O225" s="190">
        <v>0</v>
      </c>
      <c r="P225" s="190">
        <v>0</v>
      </c>
      <c r="Q225" s="190">
        <v>0</v>
      </c>
      <c r="R225" s="190">
        <v>0</v>
      </c>
      <c r="S225" s="190">
        <v>0</v>
      </c>
      <c r="T225" s="190">
        <v>0</v>
      </c>
      <c r="U225" s="190">
        <v>0</v>
      </c>
      <c r="V225" s="190">
        <v>0</v>
      </c>
      <c r="W225" s="190">
        <v>0</v>
      </c>
      <c r="X225" s="190">
        <v>0</v>
      </c>
      <c r="Y225" s="190">
        <v>0</v>
      </c>
      <c r="Z225" s="190">
        <v>0</v>
      </c>
      <c r="AA225" s="190">
        <v>0</v>
      </c>
      <c r="AB225" s="190">
        <v>0</v>
      </c>
      <c r="AC225" s="190">
        <v>0</v>
      </c>
      <c r="AD225" s="190">
        <v>0</v>
      </c>
      <c r="AE225" s="190">
        <v>0</v>
      </c>
      <c r="AF225" s="190">
        <v>0</v>
      </c>
      <c r="AG225" s="190">
        <v>0</v>
      </c>
      <c r="AH225" s="190">
        <v>0</v>
      </c>
      <c r="AI225" s="190">
        <v>0</v>
      </c>
      <c r="AJ225" s="190">
        <v>0</v>
      </c>
      <c r="AK225" s="190">
        <v>0</v>
      </c>
      <c r="AL225" s="190">
        <v>0</v>
      </c>
    </row>
    <row r="226" spans="2:38" ht="12.75" customHeight="1">
      <c r="B226" s="507" t="s">
        <v>115</v>
      </c>
      <c r="C226" s="6" t="s">
        <v>880</v>
      </c>
      <c r="D226" s="12" t="s">
        <v>881</v>
      </c>
      <c r="E226" s="12" t="s">
        <v>886</v>
      </c>
      <c r="F226" s="6">
        <v>0</v>
      </c>
      <c r="G226" s="6">
        <v>0</v>
      </c>
      <c r="H226" s="6" t="s">
        <v>913</v>
      </c>
      <c r="I226" s="190">
        <v>0</v>
      </c>
      <c r="J226" s="190">
        <v>0</v>
      </c>
      <c r="K226" s="190">
        <v>0</v>
      </c>
      <c r="L226" s="190">
        <v>0</v>
      </c>
      <c r="M226" s="190">
        <v>0</v>
      </c>
      <c r="N226" s="190">
        <v>0</v>
      </c>
      <c r="O226" s="190">
        <v>0</v>
      </c>
      <c r="P226" s="190">
        <v>0</v>
      </c>
      <c r="Q226" s="190">
        <v>0</v>
      </c>
      <c r="R226" s="190">
        <v>0</v>
      </c>
      <c r="S226" s="190">
        <v>0</v>
      </c>
      <c r="T226" s="190">
        <v>0</v>
      </c>
      <c r="U226" s="190">
        <v>0</v>
      </c>
      <c r="V226" s="190">
        <v>0</v>
      </c>
      <c r="W226" s="190">
        <v>0</v>
      </c>
      <c r="X226" s="190">
        <v>0</v>
      </c>
      <c r="Y226" s="190">
        <v>0</v>
      </c>
      <c r="Z226" s="190">
        <v>0</v>
      </c>
      <c r="AA226" s="190">
        <v>0</v>
      </c>
      <c r="AB226" s="190">
        <v>0</v>
      </c>
      <c r="AC226" s="190">
        <v>0</v>
      </c>
      <c r="AD226" s="190">
        <v>0</v>
      </c>
      <c r="AE226" s="190">
        <v>0</v>
      </c>
      <c r="AF226" s="190">
        <v>0</v>
      </c>
      <c r="AG226" s="190">
        <v>0</v>
      </c>
      <c r="AH226" s="190">
        <v>0</v>
      </c>
      <c r="AI226" s="190">
        <v>0</v>
      </c>
      <c r="AJ226" s="190">
        <v>0</v>
      </c>
      <c r="AK226" s="190">
        <v>0</v>
      </c>
      <c r="AL226" s="190">
        <v>0</v>
      </c>
    </row>
    <row r="227" spans="2:38" ht="12.75" customHeight="1">
      <c r="B227" s="507" t="s">
        <v>115</v>
      </c>
      <c r="C227" s="6" t="s">
        <v>880</v>
      </c>
      <c r="D227" s="12" t="s">
        <v>881</v>
      </c>
      <c r="E227" s="12" t="s">
        <v>886</v>
      </c>
      <c r="F227" s="6">
        <v>0</v>
      </c>
      <c r="G227" s="6">
        <v>0</v>
      </c>
      <c r="H227" s="6" t="s">
        <v>914</v>
      </c>
      <c r="I227" s="190">
        <v>184275.62411130866</v>
      </c>
      <c r="J227" s="190">
        <v>0</v>
      </c>
      <c r="K227" s="190">
        <v>0</v>
      </c>
      <c r="L227" s="190">
        <v>0</v>
      </c>
      <c r="M227" s="190">
        <v>0</v>
      </c>
      <c r="N227" s="190">
        <v>0</v>
      </c>
      <c r="O227" s="190">
        <v>0</v>
      </c>
      <c r="P227" s="190">
        <v>0</v>
      </c>
      <c r="Q227" s="190">
        <v>0</v>
      </c>
      <c r="R227" s="190">
        <v>0</v>
      </c>
      <c r="S227" s="190">
        <v>0</v>
      </c>
      <c r="T227" s="190">
        <v>0</v>
      </c>
      <c r="U227" s="190">
        <v>0</v>
      </c>
      <c r="V227" s="190">
        <v>0</v>
      </c>
      <c r="W227" s="190">
        <v>0</v>
      </c>
      <c r="X227" s="190">
        <v>0</v>
      </c>
      <c r="Y227" s="190">
        <v>0</v>
      </c>
      <c r="Z227" s="190">
        <v>0</v>
      </c>
      <c r="AA227" s="190">
        <v>0</v>
      </c>
      <c r="AB227" s="190">
        <v>0</v>
      </c>
      <c r="AC227" s="190">
        <v>0</v>
      </c>
      <c r="AD227" s="190">
        <v>0</v>
      </c>
      <c r="AE227" s="190">
        <v>0</v>
      </c>
      <c r="AF227" s="190">
        <v>0</v>
      </c>
      <c r="AG227" s="190">
        <v>0</v>
      </c>
      <c r="AH227" s="190">
        <v>0</v>
      </c>
      <c r="AI227" s="190">
        <v>0</v>
      </c>
      <c r="AJ227" s="190">
        <v>0</v>
      </c>
      <c r="AK227" s="190">
        <v>0</v>
      </c>
      <c r="AL227" s="190">
        <v>0</v>
      </c>
    </row>
    <row r="228" spans="2:38" ht="12.75" customHeight="1">
      <c r="B228" s="507" t="s">
        <v>115</v>
      </c>
      <c r="C228" s="6" t="s">
        <v>880</v>
      </c>
      <c r="D228" s="12" t="s">
        <v>881</v>
      </c>
      <c r="E228" s="12" t="s">
        <v>886</v>
      </c>
      <c r="F228" s="6">
        <v>0</v>
      </c>
      <c r="G228" s="6">
        <v>0</v>
      </c>
      <c r="H228" s="6" t="s">
        <v>915</v>
      </c>
      <c r="I228" s="190">
        <v>89563.520000000004</v>
      </c>
      <c r="J228" s="190">
        <v>0</v>
      </c>
      <c r="K228" s="190">
        <v>0</v>
      </c>
      <c r="L228" s="190">
        <v>0</v>
      </c>
      <c r="M228" s="190">
        <v>0</v>
      </c>
      <c r="N228" s="190">
        <v>0</v>
      </c>
      <c r="O228" s="190">
        <v>44781.760000000002</v>
      </c>
      <c r="P228" s="190">
        <v>0</v>
      </c>
      <c r="Q228" s="190">
        <v>0</v>
      </c>
      <c r="R228" s="190">
        <v>0</v>
      </c>
      <c r="S228" s="190">
        <v>0</v>
      </c>
      <c r="T228" s="190">
        <v>0</v>
      </c>
      <c r="U228" s="190">
        <v>0</v>
      </c>
      <c r="V228" s="190">
        <v>0</v>
      </c>
      <c r="W228" s="190">
        <v>0</v>
      </c>
      <c r="X228" s="190">
        <v>0</v>
      </c>
      <c r="Y228" s="190">
        <v>0</v>
      </c>
      <c r="Z228" s="190">
        <v>0</v>
      </c>
      <c r="AA228" s="190">
        <v>0</v>
      </c>
      <c r="AB228" s="190">
        <v>0</v>
      </c>
      <c r="AC228" s="190">
        <v>0</v>
      </c>
      <c r="AD228" s="190">
        <v>0</v>
      </c>
      <c r="AE228" s="190">
        <v>0</v>
      </c>
      <c r="AF228" s="190">
        <v>0</v>
      </c>
      <c r="AG228" s="190">
        <v>0</v>
      </c>
      <c r="AH228" s="190">
        <v>0</v>
      </c>
      <c r="AI228" s="190">
        <v>0</v>
      </c>
      <c r="AJ228" s="190">
        <v>0</v>
      </c>
      <c r="AK228" s="190">
        <v>0</v>
      </c>
      <c r="AL228" s="190">
        <v>0</v>
      </c>
    </row>
    <row r="229" spans="2:38" ht="12.75" customHeight="1">
      <c r="B229" s="507" t="s">
        <v>115</v>
      </c>
      <c r="C229" s="6" t="s">
        <v>880</v>
      </c>
      <c r="D229" s="12" t="s">
        <v>881</v>
      </c>
      <c r="E229" s="12" t="s">
        <v>886</v>
      </c>
      <c r="F229" s="6">
        <v>0</v>
      </c>
      <c r="G229" s="6">
        <v>0</v>
      </c>
      <c r="H229" s="6" t="s">
        <v>916</v>
      </c>
      <c r="I229" s="190">
        <v>23927.936514118792</v>
      </c>
      <c r="J229" s="190">
        <v>0</v>
      </c>
      <c r="K229" s="190">
        <v>0</v>
      </c>
      <c r="L229" s="190">
        <v>0</v>
      </c>
      <c r="M229" s="190">
        <v>0</v>
      </c>
      <c r="N229" s="190">
        <v>0</v>
      </c>
      <c r="O229" s="190">
        <v>0</v>
      </c>
      <c r="P229" s="190">
        <v>0</v>
      </c>
      <c r="Q229" s="190">
        <v>0</v>
      </c>
      <c r="R229" s="190">
        <v>0</v>
      </c>
      <c r="S229" s="190">
        <v>0</v>
      </c>
      <c r="T229" s="190">
        <v>0</v>
      </c>
      <c r="U229" s="190">
        <v>0</v>
      </c>
      <c r="V229" s="190">
        <v>0</v>
      </c>
      <c r="W229" s="190">
        <v>0</v>
      </c>
      <c r="X229" s="190">
        <v>0</v>
      </c>
      <c r="Y229" s="190">
        <v>0</v>
      </c>
      <c r="Z229" s="190">
        <v>0</v>
      </c>
      <c r="AA229" s="190">
        <v>0</v>
      </c>
      <c r="AB229" s="190">
        <v>0</v>
      </c>
      <c r="AC229" s="190">
        <v>0</v>
      </c>
      <c r="AD229" s="190">
        <v>0</v>
      </c>
      <c r="AE229" s="190">
        <v>0</v>
      </c>
      <c r="AF229" s="190">
        <v>0</v>
      </c>
      <c r="AG229" s="190">
        <v>0</v>
      </c>
      <c r="AH229" s="190">
        <v>0</v>
      </c>
      <c r="AI229" s="190">
        <v>0</v>
      </c>
      <c r="AJ229" s="190">
        <v>0</v>
      </c>
      <c r="AK229" s="190">
        <v>0</v>
      </c>
      <c r="AL229" s="190">
        <v>0</v>
      </c>
    </row>
    <row r="230" spans="2:38" ht="12.75" customHeight="1">
      <c r="B230" s="507" t="s">
        <v>115</v>
      </c>
      <c r="C230" s="6" t="s">
        <v>880</v>
      </c>
      <c r="D230" s="12" t="s">
        <v>881</v>
      </c>
      <c r="E230" s="12" t="s">
        <v>886</v>
      </c>
      <c r="F230" s="6">
        <v>0</v>
      </c>
      <c r="G230" s="6">
        <v>0</v>
      </c>
      <c r="H230" s="6" t="s">
        <v>917</v>
      </c>
      <c r="I230" s="190">
        <v>0</v>
      </c>
      <c r="J230" s="190">
        <v>0</v>
      </c>
      <c r="K230" s="190">
        <v>0</v>
      </c>
      <c r="L230" s="190">
        <v>0</v>
      </c>
      <c r="M230" s="190">
        <v>0</v>
      </c>
      <c r="N230" s="190">
        <v>0</v>
      </c>
      <c r="O230" s="190">
        <v>0</v>
      </c>
      <c r="P230" s="190">
        <v>0</v>
      </c>
      <c r="Q230" s="190">
        <v>0</v>
      </c>
      <c r="R230" s="190">
        <v>0</v>
      </c>
      <c r="S230" s="190">
        <v>0</v>
      </c>
      <c r="T230" s="190">
        <v>0</v>
      </c>
      <c r="U230" s="190">
        <v>0</v>
      </c>
      <c r="V230" s="190">
        <v>0</v>
      </c>
      <c r="W230" s="190">
        <v>0</v>
      </c>
      <c r="X230" s="190">
        <v>0</v>
      </c>
      <c r="Y230" s="190">
        <v>0</v>
      </c>
      <c r="Z230" s="190">
        <v>0</v>
      </c>
      <c r="AA230" s="190">
        <v>0</v>
      </c>
      <c r="AB230" s="190">
        <v>0</v>
      </c>
      <c r="AC230" s="190">
        <v>0</v>
      </c>
      <c r="AD230" s="190">
        <v>0</v>
      </c>
      <c r="AE230" s="190">
        <v>0</v>
      </c>
      <c r="AF230" s="190">
        <v>0</v>
      </c>
      <c r="AG230" s="190">
        <v>0</v>
      </c>
      <c r="AH230" s="190">
        <v>0</v>
      </c>
      <c r="AI230" s="190">
        <v>0</v>
      </c>
      <c r="AJ230" s="190">
        <v>0</v>
      </c>
      <c r="AK230" s="190">
        <v>0</v>
      </c>
      <c r="AL230" s="190">
        <v>0</v>
      </c>
    </row>
    <row r="231" spans="2:38" ht="12.75" customHeight="1">
      <c r="B231" s="507" t="s">
        <v>115</v>
      </c>
      <c r="C231" s="6" t="s">
        <v>880</v>
      </c>
      <c r="D231" s="12" t="s">
        <v>881</v>
      </c>
      <c r="E231" s="12" t="s">
        <v>886</v>
      </c>
      <c r="F231" s="6">
        <v>0</v>
      </c>
      <c r="G231" s="6">
        <v>0</v>
      </c>
      <c r="H231" s="6" t="s">
        <v>918</v>
      </c>
      <c r="I231" s="190">
        <v>1980650.9724218692</v>
      </c>
      <c r="J231" s="190">
        <v>0</v>
      </c>
      <c r="K231" s="190">
        <v>0</v>
      </c>
      <c r="L231" s="190">
        <v>0</v>
      </c>
      <c r="M231" s="190">
        <v>0</v>
      </c>
      <c r="N231" s="190">
        <v>0</v>
      </c>
      <c r="O231" s="190">
        <v>0</v>
      </c>
      <c r="P231" s="190">
        <v>0</v>
      </c>
      <c r="Q231" s="190">
        <v>0</v>
      </c>
      <c r="R231" s="190">
        <v>0</v>
      </c>
      <c r="S231" s="190">
        <v>0</v>
      </c>
      <c r="T231" s="190">
        <v>0</v>
      </c>
      <c r="U231" s="190">
        <v>0</v>
      </c>
      <c r="V231" s="190">
        <v>0</v>
      </c>
      <c r="W231" s="190">
        <v>0</v>
      </c>
      <c r="X231" s="190">
        <v>0</v>
      </c>
      <c r="Y231" s="190">
        <v>0</v>
      </c>
      <c r="Z231" s="190">
        <v>0</v>
      </c>
      <c r="AA231" s="190">
        <v>0</v>
      </c>
      <c r="AB231" s="190">
        <v>0</v>
      </c>
      <c r="AC231" s="190">
        <v>0</v>
      </c>
      <c r="AD231" s="190">
        <v>0</v>
      </c>
      <c r="AE231" s="190">
        <v>0</v>
      </c>
      <c r="AF231" s="190">
        <v>0</v>
      </c>
      <c r="AG231" s="190">
        <v>0</v>
      </c>
      <c r="AH231" s="190">
        <v>0</v>
      </c>
      <c r="AI231" s="190">
        <v>0</v>
      </c>
      <c r="AJ231" s="190">
        <v>0</v>
      </c>
      <c r="AK231" s="190">
        <v>0</v>
      </c>
      <c r="AL231" s="190">
        <v>0</v>
      </c>
    </row>
    <row r="232" spans="2:38" ht="12.75" customHeight="1">
      <c r="B232" s="507" t="s">
        <v>115</v>
      </c>
      <c r="C232" s="6" t="s">
        <v>880</v>
      </c>
      <c r="D232" s="12" t="s">
        <v>881</v>
      </c>
      <c r="E232" s="12" t="s">
        <v>886</v>
      </c>
      <c r="F232" s="6">
        <v>0</v>
      </c>
      <c r="G232" s="6">
        <v>0</v>
      </c>
      <c r="H232" s="6" t="s">
        <v>919</v>
      </c>
      <c r="I232" s="190">
        <v>0</v>
      </c>
      <c r="J232" s="190">
        <v>0</v>
      </c>
      <c r="K232" s="190">
        <v>0</v>
      </c>
      <c r="L232" s="190">
        <v>0</v>
      </c>
      <c r="M232" s="190">
        <v>0</v>
      </c>
      <c r="N232" s="190">
        <v>0</v>
      </c>
      <c r="O232" s="190">
        <v>0</v>
      </c>
      <c r="P232" s="190">
        <v>0</v>
      </c>
      <c r="Q232" s="190">
        <v>0</v>
      </c>
      <c r="R232" s="190">
        <v>0</v>
      </c>
      <c r="S232" s="190">
        <v>0</v>
      </c>
      <c r="T232" s="190">
        <v>0</v>
      </c>
      <c r="U232" s="190">
        <v>0</v>
      </c>
      <c r="V232" s="190">
        <v>0</v>
      </c>
      <c r="W232" s="190">
        <v>0</v>
      </c>
      <c r="X232" s="190">
        <v>0</v>
      </c>
      <c r="Y232" s="190">
        <v>0</v>
      </c>
      <c r="Z232" s="190">
        <v>0</v>
      </c>
      <c r="AA232" s="190">
        <v>0</v>
      </c>
      <c r="AB232" s="190">
        <v>0</v>
      </c>
      <c r="AC232" s="190">
        <v>0</v>
      </c>
      <c r="AD232" s="190">
        <v>0</v>
      </c>
      <c r="AE232" s="190">
        <v>0</v>
      </c>
      <c r="AF232" s="190">
        <v>0</v>
      </c>
      <c r="AG232" s="190">
        <v>0</v>
      </c>
      <c r="AH232" s="190">
        <v>0</v>
      </c>
      <c r="AI232" s="190">
        <v>0</v>
      </c>
      <c r="AJ232" s="190">
        <v>0</v>
      </c>
      <c r="AK232" s="190">
        <v>0</v>
      </c>
      <c r="AL232" s="190">
        <v>0</v>
      </c>
    </row>
    <row r="233" spans="2:38" ht="12.75" customHeight="1">
      <c r="B233" s="507" t="s">
        <v>115</v>
      </c>
      <c r="C233" s="6" t="s">
        <v>880</v>
      </c>
      <c r="D233" s="12" t="s">
        <v>881</v>
      </c>
      <c r="E233" s="12" t="s">
        <v>886</v>
      </c>
      <c r="F233" s="6">
        <v>0</v>
      </c>
      <c r="G233" s="6">
        <v>0</v>
      </c>
      <c r="H233" s="6" t="s">
        <v>920</v>
      </c>
      <c r="I233" s="190">
        <v>0</v>
      </c>
      <c r="J233" s="190">
        <v>0</v>
      </c>
      <c r="K233" s="190">
        <v>0</v>
      </c>
      <c r="L233" s="190">
        <v>0</v>
      </c>
      <c r="M233" s="190">
        <v>0</v>
      </c>
      <c r="N233" s="190">
        <v>0</v>
      </c>
      <c r="O233" s="190">
        <v>0</v>
      </c>
      <c r="P233" s="190">
        <v>0</v>
      </c>
      <c r="Q233" s="190">
        <v>0</v>
      </c>
      <c r="R233" s="190">
        <v>0</v>
      </c>
      <c r="S233" s="190">
        <v>0</v>
      </c>
      <c r="T233" s="190">
        <v>0</v>
      </c>
      <c r="U233" s="190">
        <v>0</v>
      </c>
      <c r="V233" s="190">
        <v>0</v>
      </c>
      <c r="W233" s="190">
        <v>0</v>
      </c>
      <c r="X233" s="190">
        <v>0</v>
      </c>
      <c r="Y233" s="190">
        <v>0</v>
      </c>
      <c r="Z233" s="190">
        <v>0</v>
      </c>
      <c r="AA233" s="190">
        <v>0</v>
      </c>
      <c r="AB233" s="190">
        <v>0</v>
      </c>
      <c r="AC233" s="190">
        <v>0</v>
      </c>
      <c r="AD233" s="190">
        <v>0</v>
      </c>
      <c r="AE233" s="190">
        <v>0</v>
      </c>
      <c r="AF233" s="190">
        <v>0</v>
      </c>
      <c r="AG233" s="190">
        <v>0</v>
      </c>
      <c r="AH233" s="190">
        <v>0</v>
      </c>
      <c r="AI233" s="190">
        <v>0</v>
      </c>
      <c r="AJ233" s="190">
        <v>0</v>
      </c>
      <c r="AK233" s="190">
        <v>0</v>
      </c>
      <c r="AL233" s="190">
        <v>0</v>
      </c>
    </row>
    <row r="234" spans="2:38" ht="12.75" customHeight="1">
      <c r="B234" s="507" t="s">
        <v>115</v>
      </c>
      <c r="C234" s="6" t="s">
        <v>880</v>
      </c>
      <c r="D234" s="12" t="s">
        <v>881</v>
      </c>
      <c r="E234" s="12" t="s">
        <v>886</v>
      </c>
      <c r="F234" s="6">
        <v>0</v>
      </c>
      <c r="G234" s="6">
        <v>0</v>
      </c>
      <c r="H234" s="6" t="s">
        <v>921</v>
      </c>
      <c r="I234" s="190">
        <v>0</v>
      </c>
      <c r="J234" s="190">
        <v>0</v>
      </c>
      <c r="K234" s="190">
        <v>0</v>
      </c>
      <c r="L234" s="190">
        <v>0</v>
      </c>
      <c r="M234" s="190">
        <v>0</v>
      </c>
      <c r="N234" s="190">
        <v>0</v>
      </c>
      <c r="O234" s="190">
        <v>0</v>
      </c>
      <c r="P234" s="190">
        <v>0</v>
      </c>
      <c r="Q234" s="190">
        <v>0</v>
      </c>
      <c r="R234" s="190">
        <v>0</v>
      </c>
      <c r="S234" s="190">
        <v>0</v>
      </c>
      <c r="T234" s="190">
        <v>0</v>
      </c>
      <c r="U234" s="190">
        <v>0</v>
      </c>
      <c r="V234" s="190">
        <v>0</v>
      </c>
      <c r="W234" s="190">
        <v>0</v>
      </c>
      <c r="X234" s="190">
        <v>0</v>
      </c>
      <c r="Y234" s="190">
        <v>0</v>
      </c>
      <c r="Z234" s="190">
        <v>0</v>
      </c>
      <c r="AA234" s="190">
        <v>0</v>
      </c>
      <c r="AB234" s="190">
        <v>0</v>
      </c>
      <c r="AC234" s="190">
        <v>0</v>
      </c>
      <c r="AD234" s="190">
        <v>0</v>
      </c>
      <c r="AE234" s="190">
        <v>0</v>
      </c>
      <c r="AF234" s="190">
        <v>0</v>
      </c>
      <c r="AG234" s="190">
        <v>0</v>
      </c>
      <c r="AH234" s="190">
        <v>0</v>
      </c>
      <c r="AI234" s="190">
        <v>0</v>
      </c>
      <c r="AJ234" s="190">
        <v>0</v>
      </c>
      <c r="AK234" s="190">
        <v>0</v>
      </c>
      <c r="AL234" s="190">
        <v>0</v>
      </c>
    </row>
    <row r="235" spans="2:38" ht="12.75" customHeight="1">
      <c r="B235" s="507" t="s">
        <v>115</v>
      </c>
      <c r="C235" s="6" t="s">
        <v>880</v>
      </c>
      <c r="D235" s="12" t="s">
        <v>881</v>
      </c>
      <c r="E235" s="12" t="s">
        <v>886</v>
      </c>
      <c r="F235" s="6">
        <v>0</v>
      </c>
      <c r="G235" s="6">
        <v>0</v>
      </c>
      <c r="H235" s="6" t="s">
        <v>922</v>
      </c>
      <c r="I235" s="190">
        <v>0</v>
      </c>
      <c r="J235" s="190">
        <v>0</v>
      </c>
      <c r="K235" s="190">
        <v>0</v>
      </c>
      <c r="L235" s="190">
        <v>0</v>
      </c>
      <c r="M235" s="190">
        <v>0</v>
      </c>
      <c r="N235" s="190">
        <v>0</v>
      </c>
      <c r="O235" s="190">
        <v>0</v>
      </c>
      <c r="P235" s="190">
        <v>0</v>
      </c>
      <c r="Q235" s="190">
        <v>0</v>
      </c>
      <c r="R235" s="190">
        <v>0</v>
      </c>
      <c r="S235" s="190">
        <v>0</v>
      </c>
      <c r="T235" s="190">
        <v>0</v>
      </c>
      <c r="U235" s="190">
        <v>0</v>
      </c>
      <c r="V235" s="190">
        <v>0</v>
      </c>
      <c r="W235" s="190">
        <v>0</v>
      </c>
      <c r="X235" s="190">
        <v>0</v>
      </c>
      <c r="Y235" s="190">
        <v>0</v>
      </c>
      <c r="Z235" s="190">
        <v>0</v>
      </c>
      <c r="AA235" s="190">
        <v>0</v>
      </c>
      <c r="AB235" s="190">
        <v>0</v>
      </c>
      <c r="AC235" s="190">
        <v>0</v>
      </c>
      <c r="AD235" s="190">
        <v>0</v>
      </c>
      <c r="AE235" s="190">
        <v>0</v>
      </c>
      <c r="AF235" s="190">
        <v>0</v>
      </c>
      <c r="AG235" s="190">
        <v>0</v>
      </c>
      <c r="AH235" s="190">
        <v>0</v>
      </c>
      <c r="AI235" s="190">
        <v>0</v>
      </c>
      <c r="AJ235" s="190">
        <v>0</v>
      </c>
      <c r="AK235" s="190">
        <v>0</v>
      </c>
      <c r="AL235" s="190">
        <v>0</v>
      </c>
    </row>
    <row r="236" spans="2:38" ht="12.75" customHeight="1">
      <c r="B236" s="507" t="s">
        <v>115</v>
      </c>
      <c r="C236" s="6" t="s">
        <v>880</v>
      </c>
      <c r="D236" s="12" t="s">
        <v>881</v>
      </c>
      <c r="E236" s="12" t="s">
        <v>886</v>
      </c>
      <c r="F236" s="6">
        <v>0</v>
      </c>
      <c r="G236" s="6">
        <v>0</v>
      </c>
      <c r="H236" s="6" t="s">
        <v>923</v>
      </c>
      <c r="I236" s="190">
        <v>0</v>
      </c>
      <c r="J236" s="190">
        <v>0</v>
      </c>
      <c r="K236" s="190">
        <v>0</v>
      </c>
      <c r="L236" s="190">
        <v>0</v>
      </c>
      <c r="M236" s="190">
        <v>0</v>
      </c>
      <c r="N236" s="190">
        <v>0</v>
      </c>
      <c r="O236" s="190">
        <v>0</v>
      </c>
      <c r="P236" s="190">
        <v>0</v>
      </c>
      <c r="Q236" s="190">
        <v>0</v>
      </c>
      <c r="R236" s="190">
        <v>0</v>
      </c>
      <c r="S236" s="190">
        <v>0</v>
      </c>
      <c r="T236" s="190">
        <v>0</v>
      </c>
      <c r="U236" s="190">
        <v>0</v>
      </c>
      <c r="V236" s="190">
        <v>0</v>
      </c>
      <c r="W236" s="190">
        <v>0</v>
      </c>
      <c r="X236" s="190">
        <v>0</v>
      </c>
      <c r="Y236" s="190">
        <v>0</v>
      </c>
      <c r="Z236" s="190">
        <v>0</v>
      </c>
      <c r="AA236" s="190">
        <v>0</v>
      </c>
      <c r="AB236" s="190">
        <v>0</v>
      </c>
      <c r="AC236" s="190">
        <v>0</v>
      </c>
      <c r="AD236" s="190">
        <v>0</v>
      </c>
      <c r="AE236" s="190">
        <v>0</v>
      </c>
      <c r="AF236" s="190">
        <v>0</v>
      </c>
      <c r="AG236" s="190">
        <v>0</v>
      </c>
      <c r="AH236" s="190">
        <v>0</v>
      </c>
      <c r="AI236" s="190">
        <v>0</v>
      </c>
      <c r="AJ236" s="190">
        <v>0</v>
      </c>
      <c r="AK236" s="190">
        <v>0</v>
      </c>
      <c r="AL236" s="190">
        <v>0</v>
      </c>
    </row>
    <row r="237" spans="2:38" ht="12.75" customHeight="1">
      <c r="B237" s="507" t="s">
        <v>115</v>
      </c>
      <c r="C237" s="6" t="s">
        <v>880</v>
      </c>
      <c r="D237" s="12" t="s">
        <v>881</v>
      </c>
      <c r="E237" s="12" t="s">
        <v>886</v>
      </c>
      <c r="F237" s="6">
        <v>0</v>
      </c>
      <c r="G237" s="6">
        <v>0</v>
      </c>
      <c r="H237" s="6" t="s">
        <v>924</v>
      </c>
      <c r="I237" s="190">
        <v>0</v>
      </c>
      <c r="J237" s="190">
        <v>0</v>
      </c>
      <c r="K237" s="190">
        <v>0</v>
      </c>
      <c r="L237" s="190">
        <v>0</v>
      </c>
      <c r="M237" s="190">
        <v>0</v>
      </c>
      <c r="N237" s="190">
        <v>0</v>
      </c>
      <c r="O237" s="190">
        <v>0</v>
      </c>
      <c r="P237" s="190">
        <v>0</v>
      </c>
      <c r="Q237" s="190">
        <v>0</v>
      </c>
      <c r="R237" s="190">
        <v>0</v>
      </c>
      <c r="S237" s="190">
        <v>0</v>
      </c>
      <c r="T237" s="190">
        <v>0</v>
      </c>
      <c r="U237" s="190">
        <v>0</v>
      </c>
      <c r="V237" s="190">
        <v>0</v>
      </c>
      <c r="W237" s="190">
        <v>0</v>
      </c>
      <c r="X237" s="190">
        <v>0</v>
      </c>
      <c r="Y237" s="190">
        <v>0</v>
      </c>
      <c r="Z237" s="190">
        <v>0</v>
      </c>
      <c r="AA237" s="190">
        <v>0</v>
      </c>
      <c r="AB237" s="190">
        <v>0</v>
      </c>
      <c r="AC237" s="190">
        <v>0</v>
      </c>
      <c r="AD237" s="190">
        <v>0</v>
      </c>
      <c r="AE237" s="190">
        <v>0</v>
      </c>
      <c r="AF237" s="190">
        <v>0</v>
      </c>
      <c r="AG237" s="190">
        <v>0</v>
      </c>
      <c r="AH237" s="190">
        <v>0</v>
      </c>
      <c r="AI237" s="190">
        <v>0</v>
      </c>
      <c r="AJ237" s="190">
        <v>0</v>
      </c>
      <c r="AK237" s="190">
        <v>0</v>
      </c>
      <c r="AL237" s="190">
        <v>0</v>
      </c>
    </row>
    <row r="238" spans="2:38" ht="12.75" customHeight="1">
      <c r="B238" s="507" t="s">
        <v>115</v>
      </c>
      <c r="C238" s="6" t="s">
        <v>880</v>
      </c>
      <c r="D238" s="12" t="s">
        <v>881</v>
      </c>
      <c r="E238" s="12" t="s">
        <v>886</v>
      </c>
      <c r="F238" s="6">
        <v>0</v>
      </c>
      <c r="G238" s="6">
        <v>0</v>
      </c>
      <c r="H238" s="6" t="s">
        <v>925</v>
      </c>
      <c r="I238" s="190">
        <v>0</v>
      </c>
      <c r="J238" s="190">
        <v>2968301.5950919311</v>
      </c>
      <c r="K238" s="190">
        <v>0</v>
      </c>
      <c r="L238" s="190">
        <v>0</v>
      </c>
      <c r="M238" s="190">
        <v>0</v>
      </c>
      <c r="N238" s="190">
        <v>0</v>
      </c>
      <c r="O238" s="190">
        <v>0</v>
      </c>
      <c r="P238" s="190">
        <v>0</v>
      </c>
      <c r="Q238" s="190">
        <v>0</v>
      </c>
      <c r="R238" s="190">
        <v>0</v>
      </c>
      <c r="S238" s="190">
        <v>0</v>
      </c>
      <c r="T238" s="190">
        <v>0</v>
      </c>
      <c r="U238" s="190">
        <v>0</v>
      </c>
      <c r="V238" s="190">
        <v>0</v>
      </c>
      <c r="W238" s="190">
        <v>0</v>
      </c>
      <c r="X238" s="190">
        <v>0</v>
      </c>
      <c r="Y238" s="190">
        <v>0</v>
      </c>
      <c r="Z238" s="190">
        <v>0</v>
      </c>
      <c r="AA238" s="190">
        <v>0</v>
      </c>
      <c r="AB238" s="190">
        <v>0</v>
      </c>
      <c r="AC238" s="190">
        <v>0</v>
      </c>
      <c r="AD238" s="190">
        <v>0</v>
      </c>
      <c r="AE238" s="190">
        <v>0</v>
      </c>
      <c r="AF238" s="190">
        <v>0</v>
      </c>
      <c r="AG238" s="190">
        <v>0</v>
      </c>
      <c r="AH238" s="190">
        <v>0</v>
      </c>
      <c r="AI238" s="190">
        <v>0</v>
      </c>
      <c r="AJ238" s="190">
        <v>0</v>
      </c>
      <c r="AK238" s="190">
        <v>0</v>
      </c>
      <c r="AL238" s="190">
        <v>0</v>
      </c>
    </row>
    <row r="239" spans="2:38" ht="12.75" customHeight="1">
      <c r="B239" s="507" t="s">
        <v>115</v>
      </c>
      <c r="C239" s="6" t="s">
        <v>880</v>
      </c>
      <c r="D239" s="12" t="s">
        <v>881</v>
      </c>
      <c r="E239" s="12" t="s">
        <v>886</v>
      </c>
      <c r="F239" s="6">
        <v>0</v>
      </c>
      <c r="G239" s="6">
        <v>0</v>
      </c>
      <c r="H239" s="6" t="s">
        <v>926</v>
      </c>
      <c r="I239" s="190">
        <v>0</v>
      </c>
      <c r="J239" s="190">
        <v>172425.71238466175</v>
      </c>
      <c r="K239" s="190">
        <v>0</v>
      </c>
      <c r="L239" s="190">
        <v>0</v>
      </c>
      <c r="M239" s="190">
        <v>0</v>
      </c>
      <c r="N239" s="190">
        <v>0</v>
      </c>
      <c r="O239" s="190">
        <v>0</v>
      </c>
      <c r="P239" s="190">
        <v>0</v>
      </c>
      <c r="Q239" s="190">
        <v>0</v>
      </c>
      <c r="R239" s="190">
        <v>0</v>
      </c>
      <c r="S239" s="190">
        <v>0</v>
      </c>
      <c r="T239" s="190">
        <v>0</v>
      </c>
      <c r="U239" s="190">
        <v>0</v>
      </c>
      <c r="V239" s="190">
        <v>0</v>
      </c>
      <c r="W239" s="190">
        <v>0</v>
      </c>
      <c r="X239" s="190">
        <v>0</v>
      </c>
      <c r="Y239" s="190">
        <v>0</v>
      </c>
      <c r="Z239" s="190">
        <v>0</v>
      </c>
      <c r="AA239" s="190">
        <v>0</v>
      </c>
      <c r="AB239" s="190">
        <v>0</v>
      </c>
      <c r="AC239" s="190">
        <v>0</v>
      </c>
      <c r="AD239" s="190">
        <v>0</v>
      </c>
      <c r="AE239" s="190">
        <v>0</v>
      </c>
      <c r="AF239" s="190">
        <v>0</v>
      </c>
      <c r="AG239" s="190">
        <v>0</v>
      </c>
      <c r="AH239" s="190">
        <v>0</v>
      </c>
      <c r="AI239" s="190">
        <v>0</v>
      </c>
      <c r="AJ239" s="190">
        <v>0</v>
      </c>
      <c r="AK239" s="190">
        <v>0</v>
      </c>
      <c r="AL239" s="190">
        <v>0</v>
      </c>
    </row>
    <row r="240" spans="2:38" ht="12.75" customHeight="1">
      <c r="B240" s="507" t="s">
        <v>115</v>
      </c>
      <c r="C240" s="6" t="s">
        <v>880</v>
      </c>
      <c r="D240" s="12" t="s">
        <v>881</v>
      </c>
      <c r="E240" s="12" t="s">
        <v>886</v>
      </c>
      <c r="F240" s="6">
        <v>0</v>
      </c>
      <c r="G240" s="6">
        <v>0</v>
      </c>
      <c r="H240" s="6" t="s">
        <v>927</v>
      </c>
      <c r="I240" s="190">
        <v>0</v>
      </c>
      <c r="J240" s="190">
        <v>1213932.3398348638</v>
      </c>
      <c r="K240" s="190">
        <v>0</v>
      </c>
      <c r="L240" s="190">
        <v>0</v>
      </c>
      <c r="M240" s="190">
        <v>0</v>
      </c>
      <c r="N240" s="190">
        <v>0</v>
      </c>
      <c r="O240" s="190">
        <v>0</v>
      </c>
      <c r="P240" s="190">
        <v>0</v>
      </c>
      <c r="Q240" s="190">
        <v>0</v>
      </c>
      <c r="R240" s="190">
        <v>0</v>
      </c>
      <c r="S240" s="190">
        <v>0</v>
      </c>
      <c r="T240" s="190">
        <v>0</v>
      </c>
      <c r="U240" s="190">
        <v>0</v>
      </c>
      <c r="V240" s="190">
        <v>0</v>
      </c>
      <c r="W240" s="190">
        <v>0</v>
      </c>
      <c r="X240" s="190">
        <v>0</v>
      </c>
      <c r="Y240" s="190">
        <v>0</v>
      </c>
      <c r="Z240" s="190">
        <v>0</v>
      </c>
      <c r="AA240" s="190">
        <v>0</v>
      </c>
      <c r="AB240" s="190">
        <v>0</v>
      </c>
      <c r="AC240" s="190">
        <v>0</v>
      </c>
      <c r="AD240" s="190">
        <v>0</v>
      </c>
      <c r="AE240" s="190">
        <v>0</v>
      </c>
      <c r="AF240" s="190">
        <v>0</v>
      </c>
      <c r="AG240" s="190">
        <v>0</v>
      </c>
      <c r="AH240" s="190">
        <v>0</v>
      </c>
      <c r="AI240" s="190">
        <v>0</v>
      </c>
      <c r="AJ240" s="190">
        <v>0</v>
      </c>
      <c r="AK240" s="190">
        <v>0</v>
      </c>
      <c r="AL240" s="190">
        <v>0</v>
      </c>
    </row>
    <row r="241" spans="2:38" ht="12.75" customHeight="1">
      <c r="B241" s="507" t="s">
        <v>115</v>
      </c>
      <c r="C241" s="6" t="s">
        <v>880</v>
      </c>
      <c r="D241" s="12" t="s">
        <v>881</v>
      </c>
      <c r="E241" s="12" t="s">
        <v>886</v>
      </c>
      <c r="F241" s="6">
        <v>0</v>
      </c>
      <c r="G241" s="6">
        <v>0</v>
      </c>
      <c r="H241" s="6" t="s">
        <v>928</v>
      </c>
      <c r="I241" s="190">
        <v>0</v>
      </c>
      <c r="J241" s="190">
        <v>0</v>
      </c>
      <c r="K241" s="190">
        <v>0</v>
      </c>
      <c r="L241" s="190">
        <v>0</v>
      </c>
      <c r="M241" s="190">
        <v>0</v>
      </c>
      <c r="N241" s="190">
        <v>0</v>
      </c>
      <c r="O241" s="190">
        <v>0</v>
      </c>
      <c r="P241" s="190">
        <v>0</v>
      </c>
      <c r="Q241" s="190">
        <v>0</v>
      </c>
      <c r="R241" s="190">
        <v>0</v>
      </c>
      <c r="S241" s="190">
        <v>0</v>
      </c>
      <c r="T241" s="190">
        <v>0</v>
      </c>
      <c r="U241" s="190">
        <v>0</v>
      </c>
      <c r="V241" s="190">
        <v>0</v>
      </c>
      <c r="W241" s="190">
        <v>0</v>
      </c>
      <c r="X241" s="190">
        <v>0</v>
      </c>
      <c r="Y241" s="190">
        <v>0</v>
      </c>
      <c r="Z241" s="190">
        <v>0</v>
      </c>
      <c r="AA241" s="190">
        <v>0</v>
      </c>
      <c r="AB241" s="190">
        <v>0</v>
      </c>
      <c r="AC241" s="190">
        <v>0</v>
      </c>
      <c r="AD241" s="190">
        <v>0</v>
      </c>
      <c r="AE241" s="190">
        <v>0</v>
      </c>
      <c r="AF241" s="190">
        <v>0</v>
      </c>
      <c r="AG241" s="190">
        <v>0</v>
      </c>
      <c r="AH241" s="190">
        <v>0</v>
      </c>
      <c r="AI241" s="190">
        <v>0</v>
      </c>
      <c r="AJ241" s="190">
        <v>0</v>
      </c>
      <c r="AK241" s="190">
        <v>0</v>
      </c>
      <c r="AL241" s="190">
        <v>0</v>
      </c>
    </row>
    <row r="242" spans="2:38" ht="12.75" customHeight="1">
      <c r="B242" s="507" t="s">
        <v>115</v>
      </c>
      <c r="C242" s="6" t="s">
        <v>880</v>
      </c>
      <c r="D242" s="12" t="s">
        <v>881</v>
      </c>
      <c r="E242" s="12" t="s">
        <v>886</v>
      </c>
      <c r="F242" s="6">
        <v>1</v>
      </c>
      <c r="G242" s="6">
        <v>0</v>
      </c>
      <c r="H242" s="6" t="s">
        <v>929</v>
      </c>
      <c r="I242" s="190">
        <v>0</v>
      </c>
      <c r="J242" s="190">
        <v>0</v>
      </c>
      <c r="K242" s="190">
        <v>0</v>
      </c>
      <c r="L242" s="190">
        <v>0</v>
      </c>
      <c r="M242" s="190">
        <v>0</v>
      </c>
      <c r="N242" s="190">
        <v>0</v>
      </c>
      <c r="O242" s="190">
        <v>0</v>
      </c>
      <c r="P242" s="190">
        <v>0</v>
      </c>
      <c r="Q242" s="190">
        <v>0</v>
      </c>
      <c r="R242" s="190">
        <v>0</v>
      </c>
      <c r="S242" s="190">
        <v>0</v>
      </c>
      <c r="T242" s="190">
        <v>0</v>
      </c>
      <c r="U242" s="190">
        <v>0</v>
      </c>
      <c r="V242" s="190">
        <v>0</v>
      </c>
      <c r="W242" s="190">
        <v>0</v>
      </c>
      <c r="X242" s="190">
        <v>0</v>
      </c>
      <c r="Y242" s="190">
        <v>0</v>
      </c>
      <c r="Z242" s="190">
        <v>0</v>
      </c>
      <c r="AA242" s="190">
        <v>0</v>
      </c>
      <c r="AB242" s="190">
        <v>0</v>
      </c>
      <c r="AC242" s="190">
        <v>0</v>
      </c>
      <c r="AD242" s="190">
        <v>0</v>
      </c>
      <c r="AE242" s="190">
        <v>0</v>
      </c>
      <c r="AF242" s="190">
        <v>0</v>
      </c>
      <c r="AG242" s="190">
        <v>0</v>
      </c>
      <c r="AH242" s="190">
        <v>0</v>
      </c>
      <c r="AI242" s="190">
        <v>0</v>
      </c>
      <c r="AJ242" s="190">
        <v>0</v>
      </c>
      <c r="AK242" s="190">
        <v>0</v>
      </c>
      <c r="AL242" s="190">
        <v>0</v>
      </c>
    </row>
    <row r="243" spans="2:38" ht="12.75" customHeight="1">
      <c r="B243" s="507" t="s">
        <v>115</v>
      </c>
      <c r="C243" s="6" t="s">
        <v>880</v>
      </c>
      <c r="D243" s="12" t="s">
        <v>881</v>
      </c>
      <c r="E243" s="12" t="s">
        <v>886</v>
      </c>
      <c r="F243" s="6">
        <v>1</v>
      </c>
      <c r="G243" s="6">
        <v>0</v>
      </c>
      <c r="H243" s="6" t="s">
        <v>930</v>
      </c>
      <c r="I243" s="190">
        <v>0</v>
      </c>
      <c r="J243" s="190">
        <v>0</v>
      </c>
      <c r="K243" s="190">
        <v>0</v>
      </c>
      <c r="L243" s="190">
        <v>0</v>
      </c>
      <c r="M243" s="190">
        <v>0</v>
      </c>
      <c r="N243" s="190">
        <v>0</v>
      </c>
      <c r="O243" s="190">
        <v>0</v>
      </c>
      <c r="P243" s="190">
        <v>0</v>
      </c>
      <c r="Q243" s="190">
        <v>0</v>
      </c>
      <c r="R243" s="190">
        <v>0</v>
      </c>
      <c r="S243" s="190">
        <v>0</v>
      </c>
      <c r="T243" s="190">
        <v>0</v>
      </c>
      <c r="U243" s="190">
        <v>0</v>
      </c>
      <c r="V243" s="190">
        <v>0</v>
      </c>
      <c r="W243" s="190">
        <v>0</v>
      </c>
      <c r="X243" s="190">
        <v>0</v>
      </c>
      <c r="Y243" s="190">
        <v>0</v>
      </c>
      <c r="Z243" s="190">
        <v>0</v>
      </c>
      <c r="AA243" s="190">
        <v>0</v>
      </c>
      <c r="AB243" s="190">
        <v>0</v>
      </c>
      <c r="AC243" s="190">
        <v>0</v>
      </c>
      <c r="AD243" s="190">
        <v>0</v>
      </c>
      <c r="AE243" s="190">
        <v>0</v>
      </c>
      <c r="AF243" s="190">
        <v>0</v>
      </c>
      <c r="AG243" s="190">
        <v>0</v>
      </c>
      <c r="AH243" s="190">
        <v>0</v>
      </c>
      <c r="AI243" s="190">
        <v>0</v>
      </c>
      <c r="AJ243" s="190">
        <v>0</v>
      </c>
      <c r="AK243" s="190">
        <v>0</v>
      </c>
      <c r="AL243" s="190">
        <v>0</v>
      </c>
    </row>
    <row r="244" spans="2:38" ht="12.75" customHeight="1">
      <c r="B244" s="507" t="s">
        <v>115</v>
      </c>
      <c r="C244" s="6" t="s">
        <v>880</v>
      </c>
      <c r="D244" s="12" t="s">
        <v>881</v>
      </c>
      <c r="E244" s="12" t="s">
        <v>886</v>
      </c>
      <c r="F244" s="6">
        <v>1</v>
      </c>
      <c r="G244" s="6">
        <v>0</v>
      </c>
      <c r="H244" s="6" t="s">
        <v>931</v>
      </c>
      <c r="I244" s="190">
        <v>0</v>
      </c>
      <c r="J244" s="190">
        <v>0</v>
      </c>
      <c r="K244" s="190">
        <v>0</v>
      </c>
      <c r="L244" s="190">
        <v>0</v>
      </c>
      <c r="M244" s="190">
        <v>0</v>
      </c>
      <c r="N244" s="190">
        <v>0</v>
      </c>
      <c r="O244" s="190">
        <v>0</v>
      </c>
      <c r="P244" s="190">
        <v>0</v>
      </c>
      <c r="Q244" s="190">
        <v>0</v>
      </c>
      <c r="R244" s="190">
        <v>0</v>
      </c>
      <c r="S244" s="190">
        <v>0</v>
      </c>
      <c r="T244" s="190">
        <v>0</v>
      </c>
      <c r="U244" s="190">
        <v>0</v>
      </c>
      <c r="V244" s="190">
        <v>0</v>
      </c>
      <c r="W244" s="190">
        <v>0</v>
      </c>
      <c r="X244" s="190">
        <v>0</v>
      </c>
      <c r="Y244" s="190">
        <v>0</v>
      </c>
      <c r="Z244" s="190">
        <v>0</v>
      </c>
      <c r="AA244" s="190">
        <v>0</v>
      </c>
      <c r="AB244" s="190">
        <v>0</v>
      </c>
      <c r="AC244" s="190">
        <v>0</v>
      </c>
      <c r="AD244" s="190">
        <v>0</v>
      </c>
      <c r="AE244" s="190">
        <v>0</v>
      </c>
      <c r="AF244" s="190">
        <v>0</v>
      </c>
      <c r="AG244" s="190">
        <v>0</v>
      </c>
      <c r="AH244" s="190">
        <v>0</v>
      </c>
      <c r="AI244" s="190">
        <v>0</v>
      </c>
      <c r="AJ244" s="190">
        <v>0</v>
      </c>
      <c r="AK244" s="190">
        <v>0</v>
      </c>
      <c r="AL244" s="190">
        <v>0</v>
      </c>
    </row>
    <row r="245" spans="2:38" ht="12.75" customHeight="1">
      <c r="B245" s="507" t="s">
        <v>115</v>
      </c>
      <c r="C245" s="6" t="s">
        <v>880</v>
      </c>
      <c r="D245" s="12" t="s">
        <v>881</v>
      </c>
      <c r="E245" s="12" t="s">
        <v>886</v>
      </c>
      <c r="F245" s="6">
        <v>1</v>
      </c>
      <c r="G245" s="6">
        <v>0</v>
      </c>
      <c r="H245" s="6" t="s">
        <v>932</v>
      </c>
      <c r="I245" s="190">
        <v>0</v>
      </c>
      <c r="J245" s="190">
        <v>0</v>
      </c>
      <c r="K245" s="190">
        <v>0</v>
      </c>
      <c r="L245" s="190">
        <v>0</v>
      </c>
      <c r="M245" s="190">
        <v>0</v>
      </c>
      <c r="N245" s="190">
        <v>0</v>
      </c>
      <c r="O245" s="190">
        <v>0</v>
      </c>
      <c r="P245" s="190">
        <v>0</v>
      </c>
      <c r="Q245" s="190">
        <v>0</v>
      </c>
      <c r="R245" s="190">
        <v>0</v>
      </c>
      <c r="S245" s="190">
        <v>0</v>
      </c>
      <c r="T245" s="190">
        <v>0</v>
      </c>
      <c r="U245" s="190">
        <v>0</v>
      </c>
      <c r="V245" s="190">
        <v>0</v>
      </c>
      <c r="W245" s="190">
        <v>0</v>
      </c>
      <c r="X245" s="190">
        <v>0</v>
      </c>
      <c r="Y245" s="190">
        <v>0</v>
      </c>
      <c r="Z245" s="190">
        <v>0</v>
      </c>
      <c r="AA245" s="190">
        <v>0</v>
      </c>
      <c r="AB245" s="190">
        <v>0</v>
      </c>
      <c r="AC245" s="190">
        <v>0</v>
      </c>
      <c r="AD245" s="190">
        <v>0</v>
      </c>
      <c r="AE245" s="190">
        <v>0</v>
      </c>
      <c r="AF245" s="190">
        <v>0</v>
      </c>
      <c r="AG245" s="190">
        <v>0</v>
      </c>
      <c r="AH245" s="190">
        <v>0</v>
      </c>
      <c r="AI245" s="190">
        <v>0</v>
      </c>
      <c r="AJ245" s="190">
        <v>0</v>
      </c>
      <c r="AK245" s="190">
        <v>0</v>
      </c>
      <c r="AL245" s="190">
        <v>0</v>
      </c>
    </row>
    <row r="246" spans="2:38" ht="12.75" customHeight="1">
      <c r="B246" s="507" t="s">
        <v>115</v>
      </c>
      <c r="C246" s="6" t="s">
        <v>880</v>
      </c>
      <c r="D246" s="12" t="s">
        <v>881</v>
      </c>
      <c r="E246" s="12" t="s">
        <v>886</v>
      </c>
      <c r="F246" s="6">
        <v>1</v>
      </c>
      <c r="G246" s="6">
        <v>0</v>
      </c>
      <c r="H246" s="6" t="s">
        <v>933</v>
      </c>
      <c r="I246" s="190">
        <v>0</v>
      </c>
      <c r="J246" s="190">
        <v>0</v>
      </c>
      <c r="K246" s="190">
        <v>0</v>
      </c>
      <c r="L246" s="190">
        <v>0</v>
      </c>
      <c r="M246" s="190">
        <v>0</v>
      </c>
      <c r="N246" s="190">
        <v>0</v>
      </c>
      <c r="O246" s="190">
        <v>0</v>
      </c>
      <c r="P246" s="190">
        <v>0</v>
      </c>
      <c r="Q246" s="190">
        <v>0</v>
      </c>
      <c r="R246" s="190">
        <v>0</v>
      </c>
      <c r="S246" s="190">
        <v>0</v>
      </c>
      <c r="T246" s="190">
        <v>0</v>
      </c>
      <c r="U246" s="190">
        <v>0</v>
      </c>
      <c r="V246" s="190">
        <v>0</v>
      </c>
      <c r="W246" s="190">
        <v>0</v>
      </c>
      <c r="X246" s="190">
        <v>0</v>
      </c>
      <c r="Y246" s="190">
        <v>0</v>
      </c>
      <c r="Z246" s="190">
        <v>0</v>
      </c>
      <c r="AA246" s="190">
        <v>0</v>
      </c>
      <c r="AB246" s="190">
        <v>0</v>
      </c>
      <c r="AC246" s="190">
        <v>0</v>
      </c>
      <c r="AD246" s="190">
        <v>0</v>
      </c>
      <c r="AE246" s="190">
        <v>0</v>
      </c>
      <c r="AF246" s="190">
        <v>0</v>
      </c>
      <c r="AG246" s="190">
        <v>0</v>
      </c>
      <c r="AH246" s="190">
        <v>0</v>
      </c>
      <c r="AI246" s="190">
        <v>0</v>
      </c>
      <c r="AJ246" s="190">
        <v>0</v>
      </c>
      <c r="AK246" s="190">
        <v>0</v>
      </c>
      <c r="AL246" s="190">
        <v>0</v>
      </c>
    </row>
    <row r="247" spans="2:38" ht="12.75" customHeight="1">
      <c r="B247" s="507" t="s">
        <v>115</v>
      </c>
      <c r="C247" s="6" t="s">
        <v>880</v>
      </c>
      <c r="D247" s="12" t="s">
        <v>881</v>
      </c>
      <c r="E247" s="12" t="s">
        <v>886</v>
      </c>
      <c r="F247" s="6">
        <v>1</v>
      </c>
      <c r="G247" s="6">
        <v>0</v>
      </c>
      <c r="H247" s="6" t="s">
        <v>934</v>
      </c>
      <c r="I247" s="190">
        <v>0</v>
      </c>
      <c r="J247" s="190">
        <v>0</v>
      </c>
      <c r="K247" s="190">
        <v>0</v>
      </c>
      <c r="L247" s="190">
        <v>0</v>
      </c>
      <c r="M247" s="190">
        <v>0</v>
      </c>
      <c r="N247" s="190">
        <v>0</v>
      </c>
      <c r="O247" s="190">
        <v>0</v>
      </c>
      <c r="P247" s="190">
        <v>0</v>
      </c>
      <c r="Q247" s="190">
        <v>0</v>
      </c>
      <c r="R247" s="190">
        <v>0</v>
      </c>
      <c r="S247" s="190">
        <v>0</v>
      </c>
      <c r="T247" s="190">
        <v>0</v>
      </c>
      <c r="U247" s="190">
        <v>0</v>
      </c>
      <c r="V247" s="190">
        <v>0</v>
      </c>
      <c r="W247" s="190">
        <v>0</v>
      </c>
      <c r="X247" s="190">
        <v>0</v>
      </c>
      <c r="Y247" s="190">
        <v>0</v>
      </c>
      <c r="Z247" s="190">
        <v>0</v>
      </c>
      <c r="AA247" s="190">
        <v>0</v>
      </c>
      <c r="AB247" s="190">
        <v>0</v>
      </c>
      <c r="AC247" s="190">
        <v>0</v>
      </c>
      <c r="AD247" s="190">
        <v>0</v>
      </c>
      <c r="AE247" s="190">
        <v>0</v>
      </c>
      <c r="AF247" s="190">
        <v>0</v>
      </c>
      <c r="AG247" s="190">
        <v>0</v>
      </c>
      <c r="AH247" s="190">
        <v>0</v>
      </c>
      <c r="AI247" s="190">
        <v>0</v>
      </c>
      <c r="AJ247" s="190">
        <v>0</v>
      </c>
      <c r="AK247" s="190">
        <v>0</v>
      </c>
      <c r="AL247" s="190">
        <v>0</v>
      </c>
    </row>
    <row r="248" spans="2:38" ht="12.75" customHeight="1">
      <c r="B248" s="507" t="s">
        <v>115</v>
      </c>
      <c r="C248" s="6" t="s">
        <v>880</v>
      </c>
      <c r="D248" s="12" t="s">
        <v>881</v>
      </c>
      <c r="E248" s="12" t="s">
        <v>886</v>
      </c>
      <c r="F248" s="6">
        <v>1</v>
      </c>
      <c r="G248" s="6">
        <v>0</v>
      </c>
      <c r="H248" s="6" t="s">
        <v>935</v>
      </c>
      <c r="I248" s="190">
        <v>0</v>
      </c>
      <c r="J248" s="190">
        <v>0</v>
      </c>
      <c r="K248" s="190">
        <v>0</v>
      </c>
      <c r="L248" s="190">
        <v>0</v>
      </c>
      <c r="M248" s="190">
        <v>0</v>
      </c>
      <c r="N248" s="190">
        <v>0</v>
      </c>
      <c r="O248" s="190">
        <v>0</v>
      </c>
      <c r="P248" s="190">
        <v>0</v>
      </c>
      <c r="Q248" s="190">
        <v>0</v>
      </c>
      <c r="R248" s="190">
        <v>0</v>
      </c>
      <c r="S248" s="190">
        <v>0</v>
      </c>
      <c r="T248" s="190">
        <v>0</v>
      </c>
      <c r="U248" s="190">
        <v>0</v>
      </c>
      <c r="V248" s="190">
        <v>0</v>
      </c>
      <c r="W248" s="190">
        <v>0</v>
      </c>
      <c r="X248" s="190">
        <v>0</v>
      </c>
      <c r="Y248" s="190">
        <v>0</v>
      </c>
      <c r="Z248" s="190">
        <v>0</v>
      </c>
      <c r="AA248" s="190">
        <v>0</v>
      </c>
      <c r="AB248" s="190">
        <v>0</v>
      </c>
      <c r="AC248" s="190">
        <v>0</v>
      </c>
      <c r="AD248" s="190">
        <v>0</v>
      </c>
      <c r="AE248" s="190">
        <v>0</v>
      </c>
      <c r="AF248" s="190">
        <v>0</v>
      </c>
      <c r="AG248" s="190">
        <v>0</v>
      </c>
      <c r="AH248" s="190">
        <v>0</v>
      </c>
      <c r="AI248" s="190">
        <v>0</v>
      </c>
      <c r="AJ248" s="190">
        <v>0</v>
      </c>
      <c r="AK248" s="190">
        <v>0</v>
      </c>
      <c r="AL248" s="190">
        <v>0</v>
      </c>
    </row>
    <row r="249" spans="2:38" ht="12.75" customHeight="1">
      <c r="B249" s="507" t="s">
        <v>115</v>
      </c>
      <c r="C249" s="6" t="s">
        <v>880</v>
      </c>
      <c r="D249" s="12" t="s">
        <v>881</v>
      </c>
      <c r="E249" s="12" t="s">
        <v>886</v>
      </c>
      <c r="F249" s="6">
        <v>0</v>
      </c>
      <c r="G249" s="6">
        <v>0</v>
      </c>
      <c r="H249" s="6" t="s">
        <v>936</v>
      </c>
      <c r="I249" s="190">
        <v>0</v>
      </c>
      <c r="J249" s="190">
        <v>0</v>
      </c>
      <c r="K249" s="190">
        <v>0</v>
      </c>
      <c r="L249" s="190">
        <v>0</v>
      </c>
      <c r="M249" s="190">
        <v>0</v>
      </c>
      <c r="N249" s="190">
        <v>0</v>
      </c>
      <c r="O249" s="190">
        <v>0</v>
      </c>
      <c r="P249" s="190">
        <v>0</v>
      </c>
      <c r="Q249" s="190">
        <v>0</v>
      </c>
      <c r="R249" s="190">
        <v>0</v>
      </c>
      <c r="S249" s="190">
        <v>0</v>
      </c>
      <c r="T249" s="190">
        <v>0</v>
      </c>
      <c r="U249" s="190">
        <v>0</v>
      </c>
      <c r="V249" s="190">
        <v>0</v>
      </c>
      <c r="W249" s="190">
        <v>0</v>
      </c>
      <c r="X249" s="190">
        <v>0</v>
      </c>
      <c r="Y249" s="190">
        <v>0</v>
      </c>
      <c r="Z249" s="190">
        <v>0</v>
      </c>
      <c r="AA249" s="190">
        <v>0</v>
      </c>
      <c r="AB249" s="190">
        <v>0</v>
      </c>
      <c r="AC249" s="190">
        <v>0</v>
      </c>
      <c r="AD249" s="190">
        <v>0</v>
      </c>
      <c r="AE249" s="190">
        <v>0</v>
      </c>
      <c r="AF249" s="190">
        <v>0</v>
      </c>
      <c r="AG249" s="190">
        <v>0</v>
      </c>
      <c r="AH249" s="190">
        <v>0</v>
      </c>
      <c r="AI249" s="190">
        <v>0</v>
      </c>
      <c r="AJ249" s="190">
        <v>0</v>
      </c>
      <c r="AK249" s="190">
        <v>0</v>
      </c>
      <c r="AL249" s="190">
        <v>0</v>
      </c>
    </row>
    <row r="250" spans="2:38" ht="12.75" customHeight="1">
      <c r="B250" s="507" t="s">
        <v>115</v>
      </c>
      <c r="C250" s="6" t="s">
        <v>880</v>
      </c>
      <c r="D250" s="12" t="s">
        <v>881</v>
      </c>
      <c r="E250" s="12" t="s">
        <v>886</v>
      </c>
      <c r="F250" s="6">
        <v>0</v>
      </c>
      <c r="G250" s="6">
        <v>0</v>
      </c>
      <c r="H250" s="6" t="s">
        <v>937</v>
      </c>
      <c r="I250" s="190">
        <v>0</v>
      </c>
      <c r="J250" s="190">
        <v>0</v>
      </c>
      <c r="K250" s="190">
        <v>392187.06531251292</v>
      </c>
      <c r="L250" s="190">
        <v>0</v>
      </c>
      <c r="M250" s="190">
        <v>0</v>
      </c>
      <c r="N250" s="190">
        <v>0</v>
      </c>
      <c r="O250" s="190">
        <v>0</v>
      </c>
      <c r="P250" s="190">
        <v>0</v>
      </c>
      <c r="Q250" s="190">
        <v>392187.06531251292</v>
      </c>
      <c r="R250" s="190">
        <v>0</v>
      </c>
      <c r="S250" s="190">
        <v>0</v>
      </c>
      <c r="T250" s="190">
        <v>0</v>
      </c>
      <c r="U250" s="190">
        <v>0</v>
      </c>
      <c r="V250" s="190">
        <v>0</v>
      </c>
      <c r="W250" s="190">
        <v>392187.06531251292</v>
      </c>
      <c r="X250" s="190">
        <v>0</v>
      </c>
      <c r="Y250" s="190">
        <v>0</v>
      </c>
      <c r="Z250" s="190">
        <v>0</v>
      </c>
      <c r="AA250" s="190">
        <v>0</v>
      </c>
      <c r="AB250" s="190">
        <v>0</v>
      </c>
      <c r="AC250" s="190">
        <v>0</v>
      </c>
      <c r="AD250" s="190">
        <v>0</v>
      </c>
      <c r="AE250" s="190">
        <v>0</v>
      </c>
      <c r="AF250" s="190">
        <v>0</v>
      </c>
      <c r="AG250" s="190">
        <v>0</v>
      </c>
      <c r="AH250" s="190">
        <v>0</v>
      </c>
      <c r="AI250" s="190">
        <v>0</v>
      </c>
      <c r="AJ250" s="190">
        <v>0</v>
      </c>
      <c r="AK250" s="190">
        <v>0</v>
      </c>
      <c r="AL250" s="190">
        <v>0</v>
      </c>
    </row>
    <row r="251" spans="2:38" ht="12.75" customHeight="1">
      <c r="B251" s="507" t="s">
        <v>115</v>
      </c>
      <c r="C251" s="6" t="s">
        <v>880</v>
      </c>
      <c r="D251" s="12" t="s">
        <v>881</v>
      </c>
      <c r="E251" s="12" t="s">
        <v>886</v>
      </c>
      <c r="F251" s="6">
        <v>0</v>
      </c>
      <c r="G251" s="6">
        <v>0</v>
      </c>
      <c r="H251" s="6" t="s">
        <v>938</v>
      </c>
      <c r="I251" s="190">
        <v>1406224.6020527319</v>
      </c>
      <c r="J251" s="190">
        <v>0</v>
      </c>
      <c r="K251" s="190">
        <v>0</v>
      </c>
      <c r="L251" s="190">
        <v>0</v>
      </c>
      <c r="M251" s="190">
        <v>0</v>
      </c>
      <c r="N251" s="190">
        <v>0</v>
      </c>
      <c r="O251" s="190">
        <v>0</v>
      </c>
      <c r="P251" s="190">
        <v>0</v>
      </c>
      <c r="Q251" s="190">
        <v>0</v>
      </c>
      <c r="R251" s="190">
        <v>0</v>
      </c>
      <c r="S251" s="190">
        <v>0</v>
      </c>
      <c r="T251" s="190">
        <v>0</v>
      </c>
      <c r="U251" s="190">
        <v>0</v>
      </c>
      <c r="V251" s="190">
        <v>0</v>
      </c>
      <c r="W251" s="190">
        <v>0</v>
      </c>
      <c r="X251" s="190">
        <v>0</v>
      </c>
      <c r="Y251" s="190">
        <v>0</v>
      </c>
      <c r="Z251" s="190">
        <v>0</v>
      </c>
      <c r="AA251" s="190">
        <v>0</v>
      </c>
      <c r="AB251" s="190">
        <v>0</v>
      </c>
      <c r="AC251" s="190">
        <v>0</v>
      </c>
      <c r="AD251" s="190">
        <v>0</v>
      </c>
      <c r="AE251" s="190">
        <v>0</v>
      </c>
      <c r="AF251" s="190">
        <v>0</v>
      </c>
      <c r="AG251" s="190">
        <v>0</v>
      </c>
      <c r="AH251" s="190">
        <v>0</v>
      </c>
      <c r="AI251" s="190">
        <v>0</v>
      </c>
      <c r="AJ251" s="190">
        <v>0</v>
      </c>
      <c r="AK251" s="190">
        <v>0</v>
      </c>
      <c r="AL251" s="190">
        <v>0</v>
      </c>
    </row>
    <row r="252" spans="2:38" ht="12.75" customHeight="1">
      <c r="B252" s="507" t="s">
        <v>115</v>
      </c>
      <c r="C252" s="6" t="s">
        <v>880</v>
      </c>
      <c r="D252" s="12" t="s">
        <v>881</v>
      </c>
      <c r="E252" s="12" t="s">
        <v>886</v>
      </c>
      <c r="F252" s="6">
        <v>0</v>
      </c>
      <c r="G252" s="6">
        <v>0</v>
      </c>
      <c r="H252" s="6" t="s">
        <v>939</v>
      </c>
      <c r="I252" s="190">
        <v>0</v>
      </c>
      <c r="J252" s="190">
        <v>0</v>
      </c>
      <c r="K252" s="190">
        <v>0</v>
      </c>
      <c r="L252" s="190">
        <v>0</v>
      </c>
      <c r="M252" s="190">
        <v>0</v>
      </c>
      <c r="N252" s="190">
        <v>0</v>
      </c>
      <c r="O252" s="190">
        <v>0</v>
      </c>
      <c r="P252" s="190">
        <v>0</v>
      </c>
      <c r="Q252" s="190">
        <v>0</v>
      </c>
      <c r="R252" s="190">
        <v>0</v>
      </c>
      <c r="S252" s="190">
        <v>0</v>
      </c>
      <c r="T252" s="190">
        <v>0</v>
      </c>
      <c r="U252" s="190">
        <v>0</v>
      </c>
      <c r="V252" s="190">
        <v>0</v>
      </c>
      <c r="W252" s="190">
        <v>0</v>
      </c>
      <c r="X252" s="190">
        <v>0</v>
      </c>
      <c r="Y252" s="190">
        <v>0</v>
      </c>
      <c r="Z252" s="190">
        <v>0</v>
      </c>
      <c r="AA252" s="190">
        <v>0</v>
      </c>
      <c r="AB252" s="190">
        <v>0</v>
      </c>
      <c r="AC252" s="190">
        <v>0</v>
      </c>
      <c r="AD252" s="190">
        <v>0</v>
      </c>
      <c r="AE252" s="190">
        <v>0</v>
      </c>
      <c r="AF252" s="190">
        <v>0</v>
      </c>
      <c r="AG252" s="190">
        <v>0</v>
      </c>
      <c r="AH252" s="190">
        <v>0</v>
      </c>
      <c r="AI252" s="190">
        <v>0</v>
      </c>
      <c r="AJ252" s="190">
        <v>0</v>
      </c>
      <c r="AK252" s="190">
        <v>0</v>
      </c>
      <c r="AL252" s="190">
        <v>0</v>
      </c>
    </row>
    <row r="253" spans="2:38" ht="12.75" customHeight="1">
      <c r="B253" s="507" t="s">
        <v>115</v>
      </c>
      <c r="C253" s="6" t="s">
        <v>880</v>
      </c>
      <c r="D253" s="12" t="s">
        <v>881</v>
      </c>
      <c r="E253" s="12" t="s">
        <v>886</v>
      </c>
      <c r="F253" s="6">
        <v>0</v>
      </c>
      <c r="G253" s="6">
        <v>0</v>
      </c>
      <c r="H253" s="6" t="s">
        <v>940</v>
      </c>
      <c r="I253" s="190">
        <v>0</v>
      </c>
      <c r="J253" s="190">
        <v>0</v>
      </c>
      <c r="K253" s="190">
        <v>0</v>
      </c>
      <c r="L253" s="190">
        <v>0</v>
      </c>
      <c r="M253" s="190">
        <v>0</v>
      </c>
      <c r="N253" s="190">
        <v>0</v>
      </c>
      <c r="O253" s="190">
        <v>0</v>
      </c>
      <c r="P253" s="190">
        <v>0</v>
      </c>
      <c r="Q253" s="190">
        <v>0</v>
      </c>
      <c r="R253" s="190">
        <v>0</v>
      </c>
      <c r="S253" s="190">
        <v>0</v>
      </c>
      <c r="T253" s="190">
        <v>0</v>
      </c>
      <c r="U253" s="190">
        <v>0</v>
      </c>
      <c r="V253" s="190">
        <v>0</v>
      </c>
      <c r="W253" s="190">
        <v>0</v>
      </c>
      <c r="X253" s="190">
        <v>0</v>
      </c>
      <c r="Y253" s="190">
        <v>0</v>
      </c>
      <c r="Z253" s="190">
        <v>0</v>
      </c>
      <c r="AA253" s="190">
        <v>0</v>
      </c>
      <c r="AB253" s="190">
        <v>0</v>
      </c>
      <c r="AC253" s="190">
        <v>0</v>
      </c>
      <c r="AD253" s="190">
        <v>0</v>
      </c>
      <c r="AE253" s="190">
        <v>0</v>
      </c>
      <c r="AF253" s="190">
        <v>0</v>
      </c>
      <c r="AG253" s="190">
        <v>0</v>
      </c>
      <c r="AH253" s="190">
        <v>0</v>
      </c>
      <c r="AI253" s="190">
        <v>0</v>
      </c>
      <c r="AJ253" s="190">
        <v>0</v>
      </c>
      <c r="AK253" s="190">
        <v>0</v>
      </c>
      <c r="AL253" s="190">
        <v>0</v>
      </c>
    </row>
    <row r="254" spans="2:38" ht="12.75" customHeight="1">
      <c r="B254" s="507" t="s">
        <v>115</v>
      </c>
      <c r="C254" s="6" t="s">
        <v>880</v>
      </c>
      <c r="D254" s="12" t="s">
        <v>881</v>
      </c>
      <c r="E254" s="12" t="s">
        <v>886</v>
      </c>
      <c r="F254" s="6">
        <v>0</v>
      </c>
      <c r="G254" s="6">
        <v>0</v>
      </c>
      <c r="H254" s="6" t="s">
        <v>941</v>
      </c>
      <c r="I254" s="190">
        <v>0</v>
      </c>
      <c r="J254" s="190">
        <v>0</v>
      </c>
      <c r="K254" s="190">
        <v>0</v>
      </c>
      <c r="L254" s="190">
        <v>0</v>
      </c>
      <c r="M254" s="190">
        <v>0</v>
      </c>
      <c r="N254" s="190">
        <v>0</v>
      </c>
      <c r="O254" s="190">
        <v>0</v>
      </c>
      <c r="P254" s="190">
        <v>0</v>
      </c>
      <c r="Q254" s="190">
        <v>0</v>
      </c>
      <c r="R254" s="190">
        <v>0</v>
      </c>
      <c r="S254" s="190">
        <v>0</v>
      </c>
      <c r="T254" s="190">
        <v>0</v>
      </c>
      <c r="U254" s="190">
        <v>0</v>
      </c>
      <c r="V254" s="190">
        <v>0</v>
      </c>
      <c r="W254" s="190">
        <v>0</v>
      </c>
      <c r="X254" s="190">
        <v>0</v>
      </c>
      <c r="Y254" s="190">
        <v>0</v>
      </c>
      <c r="Z254" s="190">
        <v>0</v>
      </c>
      <c r="AA254" s="190">
        <v>0</v>
      </c>
      <c r="AB254" s="190">
        <v>0</v>
      </c>
      <c r="AC254" s="190">
        <v>0</v>
      </c>
      <c r="AD254" s="190">
        <v>0</v>
      </c>
      <c r="AE254" s="190">
        <v>0</v>
      </c>
      <c r="AF254" s="190">
        <v>0</v>
      </c>
      <c r="AG254" s="190">
        <v>0</v>
      </c>
      <c r="AH254" s="190">
        <v>0</v>
      </c>
      <c r="AI254" s="190">
        <v>0</v>
      </c>
      <c r="AJ254" s="190">
        <v>0</v>
      </c>
      <c r="AK254" s="190">
        <v>0</v>
      </c>
      <c r="AL254" s="190">
        <v>0</v>
      </c>
    </row>
    <row r="255" spans="2:38" ht="12.75" customHeight="1">
      <c r="B255" s="507" t="s">
        <v>115</v>
      </c>
      <c r="C255" s="6" t="s">
        <v>880</v>
      </c>
      <c r="D255" s="12" t="s">
        <v>881</v>
      </c>
      <c r="E255" s="12" t="s">
        <v>886</v>
      </c>
      <c r="F255" s="6">
        <v>0</v>
      </c>
      <c r="G255" s="6">
        <v>0</v>
      </c>
      <c r="H255" s="6" t="s">
        <v>942</v>
      </c>
      <c r="I255" s="190">
        <v>0</v>
      </c>
      <c r="J255" s="190">
        <v>0</v>
      </c>
      <c r="K255" s="190">
        <v>0</v>
      </c>
      <c r="L255" s="190">
        <v>0</v>
      </c>
      <c r="M255" s="190">
        <v>0</v>
      </c>
      <c r="N255" s="190">
        <v>0</v>
      </c>
      <c r="O255" s="190">
        <v>0</v>
      </c>
      <c r="P255" s="190">
        <v>0</v>
      </c>
      <c r="Q255" s="190">
        <v>0</v>
      </c>
      <c r="R255" s="190">
        <v>0</v>
      </c>
      <c r="S255" s="190">
        <v>0</v>
      </c>
      <c r="T255" s="190">
        <v>0</v>
      </c>
      <c r="U255" s="190">
        <v>0</v>
      </c>
      <c r="V255" s="190">
        <v>0</v>
      </c>
      <c r="W255" s="190">
        <v>0</v>
      </c>
      <c r="X255" s="190">
        <v>0</v>
      </c>
      <c r="Y255" s="190">
        <v>0</v>
      </c>
      <c r="Z255" s="190">
        <v>0</v>
      </c>
      <c r="AA255" s="190">
        <v>0</v>
      </c>
      <c r="AB255" s="190">
        <v>0</v>
      </c>
      <c r="AC255" s="190">
        <v>0</v>
      </c>
      <c r="AD255" s="190">
        <v>0</v>
      </c>
      <c r="AE255" s="190">
        <v>0</v>
      </c>
      <c r="AF255" s="190">
        <v>0</v>
      </c>
      <c r="AG255" s="190">
        <v>0</v>
      </c>
      <c r="AH255" s="190">
        <v>0</v>
      </c>
      <c r="AI255" s="190">
        <v>0</v>
      </c>
      <c r="AJ255" s="190">
        <v>0</v>
      </c>
      <c r="AK255" s="190">
        <v>0</v>
      </c>
      <c r="AL255" s="190">
        <v>0</v>
      </c>
    </row>
    <row r="256" spans="2:38" ht="12.75" customHeight="1">
      <c r="B256" s="507" t="s">
        <v>115</v>
      </c>
      <c r="C256" s="6" t="s">
        <v>880</v>
      </c>
      <c r="D256" s="12" t="s">
        <v>881</v>
      </c>
      <c r="E256" s="12" t="s">
        <v>886</v>
      </c>
      <c r="F256" s="6">
        <v>0</v>
      </c>
      <c r="G256" s="6">
        <v>0</v>
      </c>
      <c r="H256" s="6" t="s">
        <v>917</v>
      </c>
      <c r="I256" s="190">
        <v>0</v>
      </c>
      <c r="J256" s="190">
        <v>0</v>
      </c>
      <c r="K256" s="190">
        <v>0</v>
      </c>
      <c r="L256" s="190">
        <v>0</v>
      </c>
      <c r="M256" s="190">
        <v>0</v>
      </c>
      <c r="N256" s="190">
        <v>0</v>
      </c>
      <c r="O256" s="190">
        <v>0</v>
      </c>
      <c r="P256" s="190">
        <v>0</v>
      </c>
      <c r="Q256" s="190">
        <v>0</v>
      </c>
      <c r="R256" s="190">
        <v>0</v>
      </c>
      <c r="S256" s="190">
        <v>0</v>
      </c>
      <c r="T256" s="190">
        <v>0</v>
      </c>
      <c r="U256" s="190">
        <v>0</v>
      </c>
      <c r="V256" s="190">
        <v>0</v>
      </c>
      <c r="W256" s="190">
        <v>0</v>
      </c>
      <c r="X256" s="190">
        <v>0</v>
      </c>
      <c r="Y256" s="190">
        <v>0</v>
      </c>
      <c r="Z256" s="190">
        <v>0</v>
      </c>
      <c r="AA256" s="190">
        <v>0</v>
      </c>
      <c r="AB256" s="190">
        <v>0</v>
      </c>
      <c r="AC256" s="190">
        <v>0</v>
      </c>
      <c r="AD256" s="190">
        <v>0</v>
      </c>
      <c r="AE256" s="190">
        <v>0</v>
      </c>
      <c r="AF256" s="190">
        <v>0</v>
      </c>
      <c r="AG256" s="190">
        <v>0</v>
      </c>
      <c r="AH256" s="190">
        <v>0</v>
      </c>
      <c r="AI256" s="190">
        <v>0</v>
      </c>
      <c r="AJ256" s="190">
        <v>0</v>
      </c>
      <c r="AK256" s="190">
        <v>0</v>
      </c>
      <c r="AL256" s="190">
        <v>0</v>
      </c>
    </row>
    <row r="257" spans="2:38" ht="12.75" customHeight="1">
      <c r="B257" s="507" t="s">
        <v>115</v>
      </c>
      <c r="C257" s="6" t="s">
        <v>880</v>
      </c>
      <c r="D257" s="12" t="s">
        <v>881</v>
      </c>
      <c r="E257" s="12" t="s">
        <v>886</v>
      </c>
      <c r="F257" s="6">
        <v>0</v>
      </c>
      <c r="G257" s="6">
        <v>0</v>
      </c>
      <c r="H257" s="6" t="s">
        <v>943</v>
      </c>
      <c r="I257" s="190">
        <v>0</v>
      </c>
      <c r="J257" s="190">
        <v>0</v>
      </c>
      <c r="K257" s="190">
        <v>0</v>
      </c>
      <c r="L257" s="190">
        <v>0</v>
      </c>
      <c r="M257" s="190">
        <v>0</v>
      </c>
      <c r="N257" s="190">
        <v>0</v>
      </c>
      <c r="O257" s="190">
        <v>0</v>
      </c>
      <c r="P257" s="190">
        <v>0</v>
      </c>
      <c r="Q257" s="190">
        <v>0</v>
      </c>
      <c r="R257" s="190">
        <v>0</v>
      </c>
      <c r="S257" s="190">
        <v>0</v>
      </c>
      <c r="T257" s="190">
        <v>0</v>
      </c>
      <c r="U257" s="190">
        <v>0</v>
      </c>
      <c r="V257" s="190">
        <v>0</v>
      </c>
      <c r="W257" s="190">
        <v>0</v>
      </c>
      <c r="X257" s="190">
        <v>0</v>
      </c>
      <c r="Y257" s="190">
        <v>0</v>
      </c>
      <c r="Z257" s="190">
        <v>0</v>
      </c>
      <c r="AA257" s="190">
        <v>0</v>
      </c>
      <c r="AB257" s="190">
        <v>0</v>
      </c>
      <c r="AC257" s="190">
        <v>0</v>
      </c>
      <c r="AD257" s="190">
        <v>0</v>
      </c>
      <c r="AE257" s="190">
        <v>0</v>
      </c>
      <c r="AF257" s="190">
        <v>0</v>
      </c>
      <c r="AG257" s="190">
        <v>0</v>
      </c>
      <c r="AH257" s="190">
        <v>0</v>
      </c>
      <c r="AI257" s="190">
        <v>0</v>
      </c>
      <c r="AJ257" s="190">
        <v>0</v>
      </c>
      <c r="AK257" s="190">
        <v>0</v>
      </c>
      <c r="AL257" s="190">
        <v>0</v>
      </c>
    </row>
    <row r="258" spans="2:38" ht="12.75" customHeight="1">
      <c r="B258" s="507" t="s">
        <v>115</v>
      </c>
      <c r="C258" s="6" t="s">
        <v>880</v>
      </c>
      <c r="D258" s="12" t="s">
        <v>881</v>
      </c>
      <c r="E258" s="12" t="s">
        <v>886</v>
      </c>
      <c r="F258" s="6">
        <v>0</v>
      </c>
      <c r="G258" s="6">
        <v>0</v>
      </c>
      <c r="H258" s="6" t="s">
        <v>944</v>
      </c>
      <c r="I258" s="190">
        <v>0</v>
      </c>
      <c r="J258" s="190">
        <v>0</v>
      </c>
      <c r="K258" s="190">
        <v>0</v>
      </c>
      <c r="L258" s="190">
        <v>0</v>
      </c>
      <c r="M258" s="190">
        <v>0</v>
      </c>
      <c r="N258" s="190">
        <v>0</v>
      </c>
      <c r="O258" s="190">
        <v>0</v>
      </c>
      <c r="P258" s="190">
        <v>0</v>
      </c>
      <c r="Q258" s="190">
        <v>0</v>
      </c>
      <c r="R258" s="190">
        <v>0</v>
      </c>
      <c r="S258" s="190">
        <v>0</v>
      </c>
      <c r="T258" s="190">
        <v>0</v>
      </c>
      <c r="U258" s="190">
        <v>0</v>
      </c>
      <c r="V258" s="190">
        <v>0</v>
      </c>
      <c r="W258" s="190">
        <v>0</v>
      </c>
      <c r="X258" s="190">
        <v>0</v>
      </c>
      <c r="Y258" s="190">
        <v>0</v>
      </c>
      <c r="Z258" s="190">
        <v>0</v>
      </c>
      <c r="AA258" s="190">
        <v>0</v>
      </c>
      <c r="AB258" s="190">
        <v>0</v>
      </c>
      <c r="AC258" s="190">
        <v>0</v>
      </c>
      <c r="AD258" s="190">
        <v>0</v>
      </c>
      <c r="AE258" s="190">
        <v>0</v>
      </c>
      <c r="AF258" s="190">
        <v>0</v>
      </c>
      <c r="AG258" s="190">
        <v>0</v>
      </c>
      <c r="AH258" s="190">
        <v>0</v>
      </c>
      <c r="AI258" s="190">
        <v>0</v>
      </c>
      <c r="AJ258" s="190">
        <v>0</v>
      </c>
      <c r="AK258" s="190">
        <v>0</v>
      </c>
      <c r="AL258" s="190">
        <v>0</v>
      </c>
    </row>
    <row r="259" spans="2:38" ht="12.75" customHeight="1">
      <c r="B259" s="507" t="s">
        <v>115</v>
      </c>
      <c r="C259" s="6" t="s">
        <v>880</v>
      </c>
      <c r="D259" s="12" t="s">
        <v>881</v>
      </c>
      <c r="E259" s="12" t="s">
        <v>886</v>
      </c>
      <c r="F259" s="6">
        <v>0</v>
      </c>
      <c r="G259" s="6">
        <v>0</v>
      </c>
      <c r="H259" s="6" t="s">
        <v>945</v>
      </c>
      <c r="I259" s="190">
        <v>0</v>
      </c>
      <c r="J259" s="190">
        <v>0</v>
      </c>
      <c r="K259" s="190">
        <v>0</v>
      </c>
      <c r="L259" s="190">
        <v>0</v>
      </c>
      <c r="M259" s="190">
        <v>0</v>
      </c>
      <c r="N259" s="190">
        <v>0</v>
      </c>
      <c r="O259" s="190">
        <v>0</v>
      </c>
      <c r="P259" s="190">
        <v>0</v>
      </c>
      <c r="Q259" s="190">
        <v>0</v>
      </c>
      <c r="R259" s="190">
        <v>0</v>
      </c>
      <c r="S259" s="190">
        <v>0</v>
      </c>
      <c r="T259" s="190">
        <v>0</v>
      </c>
      <c r="U259" s="190">
        <v>0</v>
      </c>
      <c r="V259" s="190">
        <v>0</v>
      </c>
      <c r="W259" s="190">
        <v>0</v>
      </c>
      <c r="X259" s="190">
        <v>0</v>
      </c>
      <c r="Y259" s="190">
        <v>0</v>
      </c>
      <c r="Z259" s="190">
        <v>0</v>
      </c>
      <c r="AA259" s="190">
        <v>0</v>
      </c>
      <c r="AB259" s="190">
        <v>0</v>
      </c>
      <c r="AC259" s="190">
        <v>0</v>
      </c>
      <c r="AD259" s="190">
        <v>0</v>
      </c>
      <c r="AE259" s="190">
        <v>0</v>
      </c>
      <c r="AF259" s="190">
        <v>0</v>
      </c>
      <c r="AG259" s="190">
        <v>0</v>
      </c>
      <c r="AH259" s="190">
        <v>0</v>
      </c>
      <c r="AI259" s="190">
        <v>0</v>
      </c>
      <c r="AJ259" s="190">
        <v>0</v>
      </c>
      <c r="AK259" s="190">
        <v>0</v>
      </c>
      <c r="AL259" s="190">
        <v>0</v>
      </c>
    </row>
    <row r="260" spans="2:38" ht="12.75" customHeight="1">
      <c r="B260" s="507" t="s">
        <v>115</v>
      </c>
      <c r="C260" s="6" t="s">
        <v>880</v>
      </c>
      <c r="D260" s="12" t="s">
        <v>881</v>
      </c>
      <c r="E260" s="12" t="s">
        <v>886</v>
      </c>
      <c r="F260" s="6">
        <v>0</v>
      </c>
      <c r="G260" s="6">
        <v>0</v>
      </c>
      <c r="H260" s="6" t="s">
        <v>946</v>
      </c>
      <c r="I260" s="190">
        <v>0</v>
      </c>
      <c r="J260" s="190">
        <v>0</v>
      </c>
      <c r="K260" s="190">
        <v>0</v>
      </c>
      <c r="L260" s="190">
        <v>0</v>
      </c>
      <c r="M260" s="190">
        <v>0</v>
      </c>
      <c r="N260" s="190">
        <v>0</v>
      </c>
      <c r="O260" s="190">
        <v>0</v>
      </c>
      <c r="P260" s="190">
        <v>0</v>
      </c>
      <c r="Q260" s="190">
        <v>0</v>
      </c>
      <c r="R260" s="190">
        <v>0</v>
      </c>
      <c r="S260" s="190">
        <v>0</v>
      </c>
      <c r="T260" s="190">
        <v>0</v>
      </c>
      <c r="U260" s="190">
        <v>0</v>
      </c>
      <c r="V260" s="190">
        <v>0</v>
      </c>
      <c r="W260" s="190">
        <v>0</v>
      </c>
      <c r="X260" s="190">
        <v>0</v>
      </c>
      <c r="Y260" s="190">
        <v>0</v>
      </c>
      <c r="Z260" s="190">
        <v>0</v>
      </c>
      <c r="AA260" s="190">
        <v>0</v>
      </c>
      <c r="AB260" s="190">
        <v>0</v>
      </c>
      <c r="AC260" s="190">
        <v>0</v>
      </c>
      <c r="AD260" s="190">
        <v>0</v>
      </c>
      <c r="AE260" s="190">
        <v>0</v>
      </c>
      <c r="AF260" s="190">
        <v>0</v>
      </c>
      <c r="AG260" s="190">
        <v>0</v>
      </c>
      <c r="AH260" s="190">
        <v>0</v>
      </c>
      <c r="AI260" s="190">
        <v>0</v>
      </c>
      <c r="AJ260" s="190">
        <v>0</v>
      </c>
      <c r="AK260" s="190">
        <v>0</v>
      </c>
      <c r="AL260" s="190">
        <v>0</v>
      </c>
    </row>
    <row r="261" spans="2:38" ht="12.75" customHeight="1">
      <c r="B261" s="507" t="s">
        <v>115</v>
      </c>
      <c r="C261" s="6" t="s">
        <v>880</v>
      </c>
      <c r="D261" s="12" t="s">
        <v>881</v>
      </c>
      <c r="E261" s="12" t="s">
        <v>886</v>
      </c>
      <c r="F261" s="6">
        <v>0</v>
      </c>
      <c r="G261" s="6">
        <v>0</v>
      </c>
      <c r="H261" s="6" t="s">
        <v>947</v>
      </c>
      <c r="I261" s="190">
        <v>0</v>
      </c>
      <c r="J261" s="190">
        <v>0</v>
      </c>
      <c r="K261" s="190">
        <v>0</v>
      </c>
      <c r="L261" s="190">
        <v>0</v>
      </c>
      <c r="M261" s="190">
        <v>0</v>
      </c>
      <c r="N261" s="190">
        <v>0</v>
      </c>
      <c r="O261" s="190">
        <v>0</v>
      </c>
      <c r="P261" s="190">
        <v>0</v>
      </c>
      <c r="Q261" s="190">
        <v>0</v>
      </c>
      <c r="R261" s="190">
        <v>0</v>
      </c>
      <c r="S261" s="190">
        <v>0</v>
      </c>
      <c r="T261" s="190">
        <v>0</v>
      </c>
      <c r="U261" s="190">
        <v>0</v>
      </c>
      <c r="V261" s="190">
        <v>0</v>
      </c>
      <c r="W261" s="190">
        <v>0</v>
      </c>
      <c r="X261" s="190">
        <v>0</v>
      </c>
      <c r="Y261" s="190">
        <v>0</v>
      </c>
      <c r="Z261" s="190">
        <v>0</v>
      </c>
      <c r="AA261" s="190">
        <v>0</v>
      </c>
      <c r="AB261" s="190">
        <v>0</v>
      </c>
      <c r="AC261" s="190">
        <v>0</v>
      </c>
      <c r="AD261" s="190">
        <v>0</v>
      </c>
      <c r="AE261" s="190">
        <v>0</v>
      </c>
      <c r="AF261" s="190">
        <v>0</v>
      </c>
      <c r="AG261" s="190">
        <v>0</v>
      </c>
      <c r="AH261" s="190">
        <v>0</v>
      </c>
      <c r="AI261" s="190">
        <v>0</v>
      </c>
      <c r="AJ261" s="190">
        <v>0</v>
      </c>
      <c r="AK261" s="190">
        <v>0</v>
      </c>
      <c r="AL261" s="190">
        <v>0</v>
      </c>
    </row>
    <row r="262" spans="2:38" ht="12.75" customHeight="1">
      <c r="B262" s="507" t="s">
        <v>115</v>
      </c>
      <c r="C262" s="6" t="s">
        <v>880</v>
      </c>
      <c r="D262" s="12" t="s">
        <v>881</v>
      </c>
      <c r="E262" s="12" t="s">
        <v>886</v>
      </c>
      <c r="F262" s="6">
        <v>0</v>
      </c>
      <c r="G262" s="6">
        <v>0</v>
      </c>
      <c r="H262" s="6" t="s">
        <v>948</v>
      </c>
      <c r="I262" s="190">
        <v>0</v>
      </c>
      <c r="J262" s="190">
        <v>0</v>
      </c>
      <c r="K262" s="190">
        <v>0</v>
      </c>
      <c r="L262" s="190">
        <v>0</v>
      </c>
      <c r="M262" s="190">
        <v>0</v>
      </c>
      <c r="N262" s="190">
        <v>0</v>
      </c>
      <c r="O262" s="190">
        <v>0</v>
      </c>
      <c r="P262" s="190">
        <v>0</v>
      </c>
      <c r="Q262" s="190">
        <v>0</v>
      </c>
      <c r="R262" s="190">
        <v>0</v>
      </c>
      <c r="S262" s="190">
        <v>0</v>
      </c>
      <c r="T262" s="190">
        <v>0</v>
      </c>
      <c r="U262" s="190">
        <v>0</v>
      </c>
      <c r="V262" s="190">
        <v>0</v>
      </c>
      <c r="W262" s="190">
        <v>0</v>
      </c>
      <c r="X262" s="190">
        <v>0</v>
      </c>
      <c r="Y262" s="190">
        <v>0</v>
      </c>
      <c r="Z262" s="190">
        <v>0</v>
      </c>
      <c r="AA262" s="190">
        <v>0</v>
      </c>
      <c r="AB262" s="190">
        <v>0</v>
      </c>
      <c r="AC262" s="190">
        <v>0</v>
      </c>
      <c r="AD262" s="190">
        <v>0</v>
      </c>
      <c r="AE262" s="190">
        <v>0</v>
      </c>
      <c r="AF262" s="190">
        <v>0</v>
      </c>
      <c r="AG262" s="190">
        <v>0</v>
      </c>
      <c r="AH262" s="190">
        <v>0</v>
      </c>
      <c r="AI262" s="190">
        <v>0</v>
      </c>
      <c r="AJ262" s="190">
        <v>0</v>
      </c>
      <c r="AK262" s="190">
        <v>0</v>
      </c>
      <c r="AL262" s="190">
        <v>0</v>
      </c>
    </row>
    <row r="263" spans="2:38" ht="12.75" customHeight="1">
      <c r="B263" s="507" t="s">
        <v>115</v>
      </c>
      <c r="C263" s="6" t="s">
        <v>880</v>
      </c>
      <c r="D263" s="12" t="s">
        <v>881</v>
      </c>
      <c r="E263" s="12" t="s">
        <v>886</v>
      </c>
      <c r="F263" s="6">
        <v>0</v>
      </c>
      <c r="G263" s="6">
        <v>0</v>
      </c>
      <c r="H263" s="6" t="s">
        <v>949</v>
      </c>
      <c r="I263" s="190">
        <v>0</v>
      </c>
      <c r="J263" s="190">
        <v>0</v>
      </c>
      <c r="K263" s="190">
        <v>0</v>
      </c>
      <c r="L263" s="190">
        <v>0</v>
      </c>
      <c r="M263" s="190">
        <v>0</v>
      </c>
      <c r="N263" s="190">
        <v>0</v>
      </c>
      <c r="O263" s="190">
        <v>0</v>
      </c>
      <c r="P263" s="190">
        <v>0</v>
      </c>
      <c r="Q263" s="190">
        <v>0</v>
      </c>
      <c r="R263" s="190">
        <v>0</v>
      </c>
      <c r="S263" s="190">
        <v>0</v>
      </c>
      <c r="T263" s="190">
        <v>0</v>
      </c>
      <c r="U263" s="190">
        <v>0</v>
      </c>
      <c r="V263" s="190">
        <v>0</v>
      </c>
      <c r="W263" s="190">
        <v>0</v>
      </c>
      <c r="X263" s="190">
        <v>0</v>
      </c>
      <c r="Y263" s="190">
        <v>0</v>
      </c>
      <c r="Z263" s="190">
        <v>0</v>
      </c>
      <c r="AA263" s="190">
        <v>0</v>
      </c>
      <c r="AB263" s="190">
        <v>0</v>
      </c>
      <c r="AC263" s="190">
        <v>0</v>
      </c>
      <c r="AD263" s="190">
        <v>0</v>
      </c>
      <c r="AE263" s="190">
        <v>0</v>
      </c>
      <c r="AF263" s="190">
        <v>0</v>
      </c>
      <c r="AG263" s="190">
        <v>0</v>
      </c>
      <c r="AH263" s="190">
        <v>0</v>
      </c>
      <c r="AI263" s="190">
        <v>0</v>
      </c>
      <c r="AJ263" s="190">
        <v>0</v>
      </c>
      <c r="AK263" s="190">
        <v>0</v>
      </c>
      <c r="AL263" s="190">
        <v>0</v>
      </c>
    </row>
    <row r="264" spans="2:38" ht="12.75" customHeight="1">
      <c r="B264" s="507" t="s">
        <v>115</v>
      </c>
      <c r="C264" s="6" t="s">
        <v>880</v>
      </c>
      <c r="D264" s="12" t="s">
        <v>881</v>
      </c>
      <c r="E264" s="12" t="s">
        <v>886</v>
      </c>
      <c r="F264" s="6">
        <v>0</v>
      </c>
      <c r="G264" s="6">
        <v>0</v>
      </c>
      <c r="H264" s="6" t="s">
        <v>950</v>
      </c>
      <c r="I264" s="190">
        <v>769393.57810508052</v>
      </c>
      <c r="J264" s="190">
        <v>0</v>
      </c>
      <c r="K264" s="190">
        <v>0</v>
      </c>
      <c r="L264" s="190">
        <v>0</v>
      </c>
      <c r="M264" s="190">
        <v>0</v>
      </c>
      <c r="N264" s="190">
        <v>0</v>
      </c>
      <c r="O264" s="190">
        <v>0</v>
      </c>
      <c r="P264" s="190">
        <v>0</v>
      </c>
      <c r="Q264" s="190">
        <v>0</v>
      </c>
      <c r="R264" s="190">
        <v>0</v>
      </c>
      <c r="S264" s="190">
        <v>0</v>
      </c>
      <c r="T264" s="190">
        <v>0</v>
      </c>
      <c r="U264" s="190">
        <v>0</v>
      </c>
      <c r="V264" s="190">
        <v>0</v>
      </c>
      <c r="W264" s="190">
        <v>0</v>
      </c>
      <c r="X264" s="190">
        <v>0</v>
      </c>
      <c r="Y264" s="190">
        <v>0</v>
      </c>
      <c r="Z264" s="190">
        <v>0</v>
      </c>
      <c r="AA264" s="190">
        <v>0</v>
      </c>
      <c r="AB264" s="190">
        <v>0</v>
      </c>
      <c r="AC264" s="190">
        <v>0</v>
      </c>
      <c r="AD264" s="190">
        <v>0</v>
      </c>
      <c r="AE264" s="190">
        <v>0</v>
      </c>
      <c r="AF264" s="190">
        <v>0</v>
      </c>
      <c r="AG264" s="190">
        <v>0</v>
      </c>
      <c r="AH264" s="190">
        <v>0</v>
      </c>
      <c r="AI264" s="190">
        <v>0</v>
      </c>
      <c r="AJ264" s="190">
        <v>0</v>
      </c>
      <c r="AK264" s="190">
        <v>0</v>
      </c>
      <c r="AL264" s="190">
        <v>0</v>
      </c>
    </row>
    <row r="265" spans="2:38" ht="12.75" customHeight="1">
      <c r="B265" s="507" t="s">
        <v>115</v>
      </c>
      <c r="C265" s="6" t="s">
        <v>880</v>
      </c>
      <c r="D265" s="12" t="s">
        <v>881</v>
      </c>
      <c r="E265" s="12" t="s">
        <v>886</v>
      </c>
      <c r="F265" s="6">
        <v>0</v>
      </c>
      <c r="G265" s="6">
        <v>0</v>
      </c>
      <c r="H265" s="6" t="s">
        <v>951</v>
      </c>
      <c r="I265" s="190">
        <v>114149.45386838781</v>
      </c>
      <c r="J265" s="190">
        <v>79026.544985806948</v>
      </c>
      <c r="K265" s="190">
        <v>21951.818051613041</v>
      </c>
      <c r="L265" s="190">
        <v>0</v>
      </c>
      <c r="M265" s="190">
        <v>0</v>
      </c>
      <c r="N265" s="190">
        <v>0</v>
      </c>
      <c r="O265" s="190">
        <v>21951.818051613041</v>
      </c>
      <c r="P265" s="190">
        <v>0</v>
      </c>
      <c r="Q265" s="190">
        <v>0</v>
      </c>
      <c r="R265" s="190">
        <v>0</v>
      </c>
      <c r="S265" s="190">
        <v>0</v>
      </c>
      <c r="T265" s="190">
        <v>0</v>
      </c>
      <c r="U265" s="190">
        <v>0</v>
      </c>
      <c r="V265" s="190">
        <v>0</v>
      </c>
      <c r="W265" s="190">
        <v>0</v>
      </c>
      <c r="X265" s="190">
        <v>0</v>
      </c>
      <c r="Y265" s="190">
        <v>0</v>
      </c>
      <c r="Z265" s="190">
        <v>0</v>
      </c>
      <c r="AA265" s="190">
        <v>0</v>
      </c>
      <c r="AB265" s="190">
        <v>0</v>
      </c>
      <c r="AC265" s="190">
        <v>0</v>
      </c>
      <c r="AD265" s="190">
        <v>0</v>
      </c>
      <c r="AE265" s="190">
        <v>0</v>
      </c>
      <c r="AF265" s="190">
        <v>0</v>
      </c>
      <c r="AG265" s="190">
        <v>0</v>
      </c>
      <c r="AH265" s="190">
        <v>0</v>
      </c>
      <c r="AI265" s="190">
        <v>0</v>
      </c>
      <c r="AJ265" s="190">
        <v>0</v>
      </c>
      <c r="AK265" s="190">
        <v>0</v>
      </c>
      <c r="AL265" s="190">
        <v>0</v>
      </c>
    </row>
    <row r="266" spans="2:38" ht="12.75" customHeight="1">
      <c r="B266" s="507" t="s">
        <v>115</v>
      </c>
      <c r="C266" s="6" t="s">
        <v>880</v>
      </c>
      <c r="D266" s="12" t="s">
        <v>881</v>
      </c>
      <c r="E266" s="12" t="s">
        <v>886</v>
      </c>
      <c r="F266" s="6">
        <v>0</v>
      </c>
      <c r="G266" s="6">
        <v>0</v>
      </c>
      <c r="H266" s="6" t="s">
        <v>952</v>
      </c>
      <c r="I266" s="190">
        <v>192060.92325923691</v>
      </c>
      <c r="J266" s="190">
        <v>0</v>
      </c>
      <c r="K266" s="190">
        <v>0</v>
      </c>
      <c r="L266" s="190">
        <v>0</v>
      </c>
      <c r="M266" s="190">
        <v>0</v>
      </c>
      <c r="N266" s="190">
        <v>0</v>
      </c>
      <c r="O266" s="190">
        <v>0</v>
      </c>
      <c r="P266" s="190">
        <v>0</v>
      </c>
      <c r="Q266" s="190">
        <v>0</v>
      </c>
      <c r="R266" s="190">
        <v>0</v>
      </c>
      <c r="S266" s="190">
        <v>0</v>
      </c>
      <c r="T266" s="190">
        <v>0</v>
      </c>
      <c r="U266" s="190">
        <v>0</v>
      </c>
      <c r="V266" s="190">
        <v>0</v>
      </c>
      <c r="W266" s="190">
        <v>0</v>
      </c>
      <c r="X266" s="190">
        <v>0</v>
      </c>
      <c r="Y266" s="190">
        <v>0</v>
      </c>
      <c r="Z266" s="190">
        <v>0</v>
      </c>
      <c r="AA266" s="190">
        <v>0</v>
      </c>
      <c r="AB266" s="190">
        <v>0</v>
      </c>
      <c r="AC266" s="190">
        <v>0</v>
      </c>
      <c r="AD266" s="190">
        <v>0</v>
      </c>
      <c r="AE266" s="190">
        <v>0</v>
      </c>
      <c r="AF266" s="190">
        <v>0</v>
      </c>
      <c r="AG266" s="190">
        <v>0</v>
      </c>
      <c r="AH266" s="190">
        <v>0</v>
      </c>
      <c r="AI266" s="190">
        <v>0</v>
      </c>
      <c r="AJ266" s="190">
        <v>0</v>
      </c>
      <c r="AK266" s="190">
        <v>0</v>
      </c>
      <c r="AL266" s="190">
        <v>0</v>
      </c>
    </row>
    <row r="267" spans="2:38" ht="12.75" customHeight="1">
      <c r="B267" s="507" t="s">
        <v>115</v>
      </c>
      <c r="C267" s="6" t="s">
        <v>880</v>
      </c>
      <c r="D267" s="12" t="s">
        <v>881</v>
      </c>
      <c r="E267" s="12" t="s">
        <v>886</v>
      </c>
      <c r="F267" s="6">
        <v>0</v>
      </c>
      <c r="G267" s="6">
        <v>0</v>
      </c>
      <c r="H267" s="6" t="s">
        <v>953</v>
      </c>
      <c r="I267" s="190">
        <v>129216.14122659061</v>
      </c>
      <c r="J267" s="190">
        <v>0</v>
      </c>
      <c r="K267" s="190">
        <v>0</v>
      </c>
      <c r="L267" s="190">
        <v>0</v>
      </c>
      <c r="M267" s="190">
        <v>0</v>
      </c>
      <c r="N267" s="190">
        <v>0</v>
      </c>
      <c r="O267" s="190">
        <v>0</v>
      </c>
      <c r="P267" s="190">
        <v>0</v>
      </c>
      <c r="Q267" s="190">
        <v>0</v>
      </c>
      <c r="R267" s="190">
        <v>0</v>
      </c>
      <c r="S267" s="190">
        <v>0</v>
      </c>
      <c r="T267" s="190">
        <v>0</v>
      </c>
      <c r="U267" s="190">
        <v>0</v>
      </c>
      <c r="V267" s="190">
        <v>0</v>
      </c>
      <c r="W267" s="190">
        <v>0</v>
      </c>
      <c r="X267" s="190">
        <v>0</v>
      </c>
      <c r="Y267" s="190">
        <v>0</v>
      </c>
      <c r="Z267" s="190">
        <v>0</v>
      </c>
      <c r="AA267" s="190">
        <v>0</v>
      </c>
      <c r="AB267" s="190">
        <v>0</v>
      </c>
      <c r="AC267" s="190">
        <v>0</v>
      </c>
      <c r="AD267" s="190">
        <v>0</v>
      </c>
      <c r="AE267" s="190">
        <v>0</v>
      </c>
      <c r="AF267" s="190">
        <v>0</v>
      </c>
      <c r="AG267" s="190">
        <v>0</v>
      </c>
      <c r="AH267" s="190">
        <v>0</v>
      </c>
      <c r="AI267" s="190">
        <v>0</v>
      </c>
      <c r="AJ267" s="190">
        <v>0</v>
      </c>
      <c r="AK267" s="190">
        <v>0</v>
      </c>
      <c r="AL267" s="190">
        <v>0</v>
      </c>
    </row>
    <row r="268" spans="2:38" ht="12.75" customHeight="1">
      <c r="B268" s="507" t="s">
        <v>115</v>
      </c>
      <c r="C268" s="6" t="s">
        <v>880</v>
      </c>
      <c r="D268" s="12" t="s">
        <v>881</v>
      </c>
      <c r="E268" s="12" t="s">
        <v>886</v>
      </c>
      <c r="F268" s="6">
        <v>0</v>
      </c>
      <c r="G268" s="6">
        <v>0</v>
      </c>
      <c r="H268" s="6" t="s">
        <v>954</v>
      </c>
      <c r="I268" s="190">
        <v>3165304.2468096483</v>
      </c>
      <c r="J268" s="190">
        <v>0</v>
      </c>
      <c r="K268" s="190">
        <v>0</v>
      </c>
      <c r="L268" s="190">
        <v>0</v>
      </c>
      <c r="M268" s="190">
        <v>0</v>
      </c>
      <c r="N268" s="190">
        <v>0</v>
      </c>
      <c r="O268" s="190">
        <v>0</v>
      </c>
      <c r="P268" s="190">
        <v>0</v>
      </c>
      <c r="Q268" s="190">
        <v>0</v>
      </c>
      <c r="R268" s="190">
        <v>0</v>
      </c>
      <c r="S268" s="190">
        <v>0</v>
      </c>
      <c r="T268" s="190">
        <v>0</v>
      </c>
      <c r="U268" s="190">
        <v>0</v>
      </c>
      <c r="V268" s="190">
        <v>0</v>
      </c>
      <c r="W268" s="190">
        <v>0</v>
      </c>
      <c r="X268" s="190">
        <v>0</v>
      </c>
      <c r="Y268" s="190">
        <v>0</v>
      </c>
      <c r="Z268" s="190">
        <v>0</v>
      </c>
      <c r="AA268" s="190">
        <v>0</v>
      </c>
      <c r="AB268" s="190">
        <v>0</v>
      </c>
      <c r="AC268" s="190">
        <v>0</v>
      </c>
      <c r="AD268" s="190">
        <v>0</v>
      </c>
      <c r="AE268" s="190">
        <v>0</v>
      </c>
      <c r="AF268" s="190">
        <v>0</v>
      </c>
      <c r="AG268" s="190">
        <v>0</v>
      </c>
      <c r="AH268" s="190">
        <v>0</v>
      </c>
      <c r="AI268" s="190">
        <v>0</v>
      </c>
      <c r="AJ268" s="190">
        <v>0</v>
      </c>
      <c r="AK268" s="190">
        <v>0</v>
      </c>
      <c r="AL268" s="190">
        <v>0</v>
      </c>
    </row>
    <row r="269" spans="2:38" ht="12.75" customHeight="1">
      <c r="B269" s="507" t="s">
        <v>115</v>
      </c>
      <c r="C269" s="6" t="s">
        <v>880</v>
      </c>
      <c r="D269" s="12" t="s">
        <v>881</v>
      </c>
      <c r="E269" s="12" t="s">
        <v>886</v>
      </c>
      <c r="F269" s="6">
        <v>0</v>
      </c>
      <c r="G269" s="6">
        <v>0</v>
      </c>
      <c r="H269" s="6" t="s">
        <v>955</v>
      </c>
      <c r="I269" s="190">
        <v>3896919.3107817876</v>
      </c>
      <c r="J269" s="190">
        <v>0</v>
      </c>
      <c r="K269" s="190">
        <v>0</v>
      </c>
      <c r="L269" s="190">
        <v>0</v>
      </c>
      <c r="M269" s="190">
        <v>0</v>
      </c>
      <c r="N269" s="190">
        <v>0</v>
      </c>
      <c r="O269" s="190">
        <v>0</v>
      </c>
      <c r="P269" s="190">
        <v>0</v>
      </c>
      <c r="Q269" s="190">
        <v>0</v>
      </c>
      <c r="R269" s="190">
        <v>0</v>
      </c>
      <c r="S269" s="190">
        <v>0</v>
      </c>
      <c r="T269" s="190">
        <v>0</v>
      </c>
      <c r="U269" s="190">
        <v>0</v>
      </c>
      <c r="V269" s="190">
        <v>0</v>
      </c>
      <c r="W269" s="190">
        <v>0</v>
      </c>
      <c r="X269" s="190">
        <v>0</v>
      </c>
      <c r="Y269" s="190">
        <v>0</v>
      </c>
      <c r="Z269" s="190">
        <v>0</v>
      </c>
      <c r="AA269" s="190">
        <v>0</v>
      </c>
      <c r="AB269" s="190">
        <v>0</v>
      </c>
      <c r="AC269" s="190">
        <v>0</v>
      </c>
      <c r="AD269" s="190">
        <v>0</v>
      </c>
      <c r="AE269" s="190">
        <v>0</v>
      </c>
      <c r="AF269" s="190">
        <v>0</v>
      </c>
      <c r="AG269" s="190">
        <v>0</v>
      </c>
      <c r="AH269" s="190">
        <v>0</v>
      </c>
      <c r="AI269" s="190">
        <v>0</v>
      </c>
      <c r="AJ269" s="190">
        <v>0</v>
      </c>
      <c r="AK269" s="190">
        <v>0</v>
      </c>
      <c r="AL269" s="190">
        <v>0</v>
      </c>
    </row>
    <row r="270" spans="2:38" ht="12.75" customHeight="1">
      <c r="B270" s="507" t="s">
        <v>115</v>
      </c>
      <c r="C270" s="6" t="s">
        <v>880</v>
      </c>
      <c r="D270" s="12" t="s">
        <v>881</v>
      </c>
      <c r="E270" s="12" t="s">
        <v>886</v>
      </c>
      <c r="F270" s="6">
        <v>0</v>
      </c>
      <c r="G270" s="6">
        <v>0</v>
      </c>
      <c r="H270" s="6" t="s">
        <v>956</v>
      </c>
      <c r="I270" s="190">
        <v>0</v>
      </c>
      <c r="J270" s="190">
        <v>0</v>
      </c>
      <c r="K270" s="190">
        <v>0</v>
      </c>
      <c r="L270" s="190">
        <v>0</v>
      </c>
      <c r="M270" s="190">
        <v>0</v>
      </c>
      <c r="N270" s="190">
        <v>0</v>
      </c>
      <c r="O270" s="190">
        <v>0</v>
      </c>
      <c r="P270" s="190">
        <v>0</v>
      </c>
      <c r="Q270" s="190">
        <v>0</v>
      </c>
      <c r="R270" s="190">
        <v>0</v>
      </c>
      <c r="S270" s="190">
        <v>0</v>
      </c>
      <c r="T270" s="190">
        <v>0</v>
      </c>
      <c r="U270" s="190">
        <v>0</v>
      </c>
      <c r="V270" s="190">
        <v>0</v>
      </c>
      <c r="W270" s="190">
        <v>0</v>
      </c>
      <c r="X270" s="190">
        <v>0</v>
      </c>
      <c r="Y270" s="190">
        <v>0</v>
      </c>
      <c r="Z270" s="190">
        <v>0</v>
      </c>
      <c r="AA270" s="190">
        <v>0</v>
      </c>
      <c r="AB270" s="190">
        <v>0</v>
      </c>
      <c r="AC270" s="190">
        <v>0</v>
      </c>
      <c r="AD270" s="190">
        <v>0</v>
      </c>
      <c r="AE270" s="190">
        <v>0</v>
      </c>
      <c r="AF270" s="190">
        <v>0</v>
      </c>
      <c r="AG270" s="190">
        <v>0</v>
      </c>
      <c r="AH270" s="190">
        <v>0</v>
      </c>
      <c r="AI270" s="190">
        <v>0</v>
      </c>
      <c r="AJ270" s="190">
        <v>0</v>
      </c>
      <c r="AK270" s="190">
        <v>0</v>
      </c>
      <c r="AL270" s="190">
        <v>0</v>
      </c>
    </row>
    <row r="271" spans="2:38" ht="12.75" customHeight="1">
      <c r="B271" s="507" t="s">
        <v>115</v>
      </c>
      <c r="C271" s="6" t="s">
        <v>880</v>
      </c>
      <c r="D271" s="12" t="s">
        <v>881</v>
      </c>
      <c r="E271" s="12" t="s">
        <v>886</v>
      </c>
      <c r="F271" s="6">
        <v>1</v>
      </c>
      <c r="G271" s="6">
        <v>0</v>
      </c>
      <c r="H271" s="6" t="s">
        <v>957</v>
      </c>
      <c r="I271" s="190">
        <v>0</v>
      </c>
      <c r="J271" s="190">
        <v>0</v>
      </c>
      <c r="K271" s="190">
        <v>0</v>
      </c>
      <c r="L271" s="190">
        <v>0</v>
      </c>
      <c r="M271" s="190">
        <v>0</v>
      </c>
      <c r="N271" s="190">
        <v>0</v>
      </c>
      <c r="O271" s="190">
        <v>0</v>
      </c>
      <c r="P271" s="190">
        <v>0</v>
      </c>
      <c r="Q271" s="190">
        <v>0</v>
      </c>
      <c r="R271" s="190">
        <v>0</v>
      </c>
      <c r="S271" s="190">
        <v>0</v>
      </c>
      <c r="T271" s="190">
        <v>0</v>
      </c>
      <c r="U271" s="190">
        <v>0</v>
      </c>
      <c r="V271" s="190">
        <v>0</v>
      </c>
      <c r="W271" s="190">
        <v>0</v>
      </c>
      <c r="X271" s="190">
        <v>0</v>
      </c>
      <c r="Y271" s="190">
        <v>0</v>
      </c>
      <c r="Z271" s="190">
        <v>0</v>
      </c>
      <c r="AA271" s="190">
        <v>0</v>
      </c>
      <c r="AB271" s="190">
        <v>0</v>
      </c>
      <c r="AC271" s="190">
        <v>0</v>
      </c>
      <c r="AD271" s="190">
        <v>0</v>
      </c>
      <c r="AE271" s="190">
        <v>0</v>
      </c>
      <c r="AF271" s="190">
        <v>0</v>
      </c>
      <c r="AG271" s="190">
        <v>0</v>
      </c>
      <c r="AH271" s="190">
        <v>0</v>
      </c>
      <c r="AI271" s="190">
        <v>0</v>
      </c>
      <c r="AJ271" s="190">
        <v>0</v>
      </c>
      <c r="AK271" s="190">
        <v>0</v>
      </c>
      <c r="AL271" s="190">
        <v>0</v>
      </c>
    </row>
    <row r="272" spans="2:38" ht="12.75" customHeight="1">
      <c r="B272" s="507" t="s">
        <v>115</v>
      </c>
      <c r="C272" s="6" t="s">
        <v>880</v>
      </c>
      <c r="D272" s="12" t="s">
        <v>881</v>
      </c>
      <c r="E272" s="12" t="s">
        <v>886</v>
      </c>
      <c r="F272" s="6">
        <v>0</v>
      </c>
      <c r="G272" s="6">
        <v>0</v>
      </c>
      <c r="H272" s="6" t="s">
        <v>958</v>
      </c>
      <c r="I272" s="190">
        <v>0</v>
      </c>
      <c r="J272" s="190">
        <v>0</v>
      </c>
      <c r="K272" s="190">
        <v>0</v>
      </c>
      <c r="L272" s="190">
        <v>0</v>
      </c>
      <c r="M272" s="190">
        <v>0</v>
      </c>
      <c r="N272" s="190">
        <v>0</v>
      </c>
      <c r="O272" s="190">
        <v>0</v>
      </c>
      <c r="P272" s="190">
        <v>0</v>
      </c>
      <c r="Q272" s="190">
        <v>0</v>
      </c>
      <c r="R272" s="190">
        <v>0</v>
      </c>
      <c r="S272" s="190">
        <v>0</v>
      </c>
      <c r="T272" s="190">
        <v>0</v>
      </c>
      <c r="U272" s="190">
        <v>0</v>
      </c>
      <c r="V272" s="190">
        <v>0</v>
      </c>
      <c r="W272" s="190">
        <v>0</v>
      </c>
      <c r="X272" s="190">
        <v>0</v>
      </c>
      <c r="Y272" s="190">
        <v>0</v>
      </c>
      <c r="Z272" s="190">
        <v>0</v>
      </c>
      <c r="AA272" s="190">
        <v>0</v>
      </c>
      <c r="AB272" s="190">
        <v>0</v>
      </c>
      <c r="AC272" s="190">
        <v>0</v>
      </c>
      <c r="AD272" s="190">
        <v>0</v>
      </c>
      <c r="AE272" s="190">
        <v>0</v>
      </c>
      <c r="AF272" s="190">
        <v>0</v>
      </c>
      <c r="AG272" s="190">
        <v>0</v>
      </c>
      <c r="AH272" s="190">
        <v>0</v>
      </c>
      <c r="AI272" s="190">
        <v>0</v>
      </c>
      <c r="AJ272" s="190">
        <v>0</v>
      </c>
      <c r="AK272" s="190">
        <v>0</v>
      </c>
      <c r="AL272" s="190">
        <v>0</v>
      </c>
    </row>
    <row r="273" spans="2:38" ht="12.75" customHeight="1">
      <c r="B273" s="507" t="s">
        <v>115</v>
      </c>
      <c r="C273" s="6" t="s">
        <v>880</v>
      </c>
      <c r="D273" s="12" t="s">
        <v>881</v>
      </c>
      <c r="E273" s="12" t="s">
        <v>886</v>
      </c>
      <c r="F273" s="6">
        <v>0</v>
      </c>
      <c r="G273" s="6">
        <v>0</v>
      </c>
      <c r="H273" s="6" t="s">
        <v>959</v>
      </c>
      <c r="I273" s="190">
        <v>179629.19999999998</v>
      </c>
      <c r="J273" s="190">
        <v>78861.599999999991</v>
      </c>
      <c r="K273" s="190">
        <v>21906</v>
      </c>
      <c r="L273" s="190">
        <v>0</v>
      </c>
      <c r="M273" s="190">
        <v>0</v>
      </c>
      <c r="N273" s="190">
        <v>0</v>
      </c>
      <c r="O273" s="190">
        <v>30668.399999999998</v>
      </c>
      <c r="P273" s="190">
        <v>0</v>
      </c>
      <c r="Q273" s="190">
        <v>0</v>
      </c>
      <c r="R273" s="190">
        <v>0</v>
      </c>
      <c r="S273" s="190">
        <v>0</v>
      </c>
      <c r="T273" s="190">
        <v>0</v>
      </c>
      <c r="U273" s="190">
        <v>0</v>
      </c>
      <c r="V273" s="190">
        <v>0</v>
      </c>
      <c r="W273" s="190">
        <v>0</v>
      </c>
      <c r="X273" s="190">
        <v>0</v>
      </c>
      <c r="Y273" s="190">
        <v>0</v>
      </c>
      <c r="Z273" s="190">
        <v>0</v>
      </c>
      <c r="AA273" s="190">
        <v>0</v>
      </c>
      <c r="AB273" s="190">
        <v>0</v>
      </c>
      <c r="AC273" s="190">
        <v>0</v>
      </c>
      <c r="AD273" s="190">
        <v>0</v>
      </c>
      <c r="AE273" s="190">
        <v>0</v>
      </c>
      <c r="AF273" s="190">
        <v>0</v>
      </c>
      <c r="AG273" s="190">
        <v>0</v>
      </c>
      <c r="AH273" s="190">
        <v>0</v>
      </c>
      <c r="AI273" s="190">
        <v>0</v>
      </c>
      <c r="AJ273" s="190">
        <v>0</v>
      </c>
      <c r="AK273" s="190">
        <v>0</v>
      </c>
      <c r="AL273" s="190">
        <v>0</v>
      </c>
    </row>
    <row r="274" spans="2:38" ht="12.75" customHeight="1">
      <c r="B274" s="507" t="s">
        <v>115</v>
      </c>
      <c r="C274" s="6" t="s">
        <v>880</v>
      </c>
      <c r="D274" s="12" t="s">
        <v>881</v>
      </c>
      <c r="E274" s="12" t="s">
        <v>886</v>
      </c>
      <c r="F274" s="6">
        <v>0</v>
      </c>
      <c r="G274" s="6">
        <v>0</v>
      </c>
      <c r="H274" s="6" t="s">
        <v>960</v>
      </c>
      <c r="I274" s="190">
        <v>0</v>
      </c>
      <c r="J274" s="190">
        <v>0</v>
      </c>
      <c r="K274" s="190">
        <v>0</v>
      </c>
      <c r="L274" s="190">
        <v>0</v>
      </c>
      <c r="M274" s="190">
        <v>0</v>
      </c>
      <c r="N274" s="190">
        <v>0</v>
      </c>
      <c r="O274" s="190">
        <v>0</v>
      </c>
      <c r="P274" s="190">
        <v>0</v>
      </c>
      <c r="Q274" s="190">
        <v>0</v>
      </c>
      <c r="R274" s="190">
        <v>0</v>
      </c>
      <c r="S274" s="190">
        <v>0</v>
      </c>
      <c r="T274" s="190">
        <v>0</v>
      </c>
      <c r="U274" s="190">
        <v>0</v>
      </c>
      <c r="V274" s="190">
        <v>0</v>
      </c>
      <c r="W274" s="190">
        <v>0</v>
      </c>
      <c r="X274" s="190">
        <v>0</v>
      </c>
      <c r="Y274" s="190">
        <v>0</v>
      </c>
      <c r="Z274" s="190">
        <v>0</v>
      </c>
      <c r="AA274" s="190">
        <v>0</v>
      </c>
      <c r="AB274" s="190">
        <v>0</v>
      </c>
      <c r="AC274" s="190">
        <v>0</v>
      </c>
      <c r="AD274" s="190">
        <v>0</v>
      </c>
      <c r="AE274" s="190">
        <v>0</v>
      </c>
      <c r="AF274" s="190">
        <v>0</v>
      </c>
      <c r="AG274" s="190">
        <v>0</v>
      </c>
      <c r="AH274" s="190">
        <v>0</v>
      </c>
      <c r="AI274" s="190">
        <v>0</v>
      </c>
      <c r="AJ274" s="190">
        <v>0</v>
      </c>
      <c r="AK274" s="190">
        <v>0</v>
      </c>
      <c r="AL274" s="190">
        <v>0</v>
      </c>
    </row>
    <row r="275" spans="2:38" ht="12.75" customHeight="1">
      <c r="B275" s="507" t="s">
        <v>115</v>
      </c>
      <c r="C275" s="6" t="s">
        <v>880</v>
      </c>
      <c r="D275" s="12" t="s">
        <v>881</v>
      </c>
      <c r="E275" s="12" t="s">
        <v>886</v>
      </c>
      <c r="F275" s="6">
        <v>0</v>
      </c>
      <c r="G275" s="6">
        <v>0</v>
      </c>
      <c r="H275" s="6" t="s">
        <v>961</v>
      </c>
      <c r="I275" s="190">
        <v>0</v>
      </c>
      <c r="J275" s="190">
        <v>0</v>
      </c>
      <c r="K275" s="190">
        <v>0</v>
      </c>
      <c r="L275" s="190">
        <v>0</v>
      </c>
      <c r="M275" s="190">
        <v>0</v>
      </c>
      <c r="N275" s="190">
        <v>0</v>
      </c>
      <c r="O275" s="190">
        <v>0</v>
      </c>
      <c r="P275" s="190">
        <v>0</v>
      </c>
      <c r="Q275" s="190">
        <v>0</v>
      </c>
      <c r="R275" s="190">
        <v>0</v>
      </c>
      <c r="S275" s="190">
        <v>0</v>
      </c>
      <c r="T275" s="190">
        <v>0</v>
      </c>
      <c r="U275" s="190">
        <v>0</v>
      </c>
      <c r="V275" s="190">
        <v>0</v>
      </c>
      <c r="W275" s="190">
        <v>0</v>
      </c>
      <c r="X275" s="190">
        <v>0</v>
      </c>
      <c r="Y275" s="190">
        <v>0</v>
      </c>
      <c r="Z275" s="190">
        <v>0</v>
      </c>
      <c r="AA275" s="190">
        <v>0</v>
      </c>
      <c r="AB275" s="190">
        <v>0</v>
      </c>
      <c r="AC275" s="190">
        <v>0</v>
      </c>
      <c r="AD275" s="190">
        <v>0</v>
      </c>
      <c r="AE275" s="190">
        <v>0</v>
      </c>
      <c r="AF275" s="190">
        <v>0</v>
      </c>
      <c r="AG275" s="190">
        <v>0</v>
      </c>
      <c r="AH275" s="190">
        <v>0</v>
      </c>
      <c r="AI275" s="190">
        <v>0</v>
      </c>
      <c r="AJ275" s="190">
        <v>0</v>
      </c>
      <c r="AK275" s="190">
        <v>0</v>
      </c>
      <c r="AL275" s="190">
        <v>0</v>
      </c>
    </row>
    <row r="276" spans="2:38" ht="12.75" customHeight="1">
      <c r="B276" s="507" t="s">
        <v>115</v>
      </c>
      <c r="C276" s="6" t="s">
        <v>880</v>
      </c>
      <c r="D276" s="12" t="s">
        <v>881</v>
      </c>
      <c r="E276" s="12" t="s">
        <v>886</v>
      </c>
      <c r="F276" s="6">
        <v>0</v>
      </c>
      <c r="G276" s="6">
        <v>0</v>
      </c>
      <c r="H276" s="6" t="s">
        <v>962</v>
      </c>
      <c r="I276" s="190">
        <v>6369419.7385831876</v>
      </c>
      <c r="J276" s="190">
        <v>0</v>
      </c>
      <c r="K276" s="190">
        <v>0</v>
      </c>
      <c r="L276" s="190">
        <v>0</v>
      </c>
      <c r="M276" s="190">
        <v>0</v>
      </c>
      <c r="N276" s="190">
        <v>0</v>
      </c>
      <c r="O276" s="190">
        <v>0</v>
      </c>
      <c r="P276" s="190">
        <v>0</v>
      </c>
      <c r="Q276" s="190">
        <v>0</v>
      </c>
      <c r="R276" s="190">
        <v>0</v>
      </c>
      <c r="S276" s="190">
        <v>0</v>
      </c>
      <c r="T276" s="190">
        <v>0</v>
      </c>
      <c r="U276" s="190">
        <v>0</v>
      </c>
      <c r="V276" s="190">
        <v>0</v>
      </c>
      <c r="W276" s="190">
        <v>0</v>
      </c>
      <c r="X276" s="190">
        <v>0</v>
      </c>
      <c r="Y276" s="190">
        <v>0</v>
      </c>
      <c r="Z276" s="190">
        <v>0</v>
      </c>
      <c r="AA276" s="190">
        <v>0</v>
      </c>
      <c r="AB276" s="190">
        <v>0</v>
      </c>
      <c r="AC276" s="190">
        <v>0</v>
      </c>
      <c r="AD276" s="190">
        <v>0</v>
      </c>
      <c r="AE276" s="190">
        <v>0</v>
      </c>
      <c r="AF276" s="190">
        <v>0</v>
      </c>
      <c r="AG276" s="190">
        <v>0</v>
      </c>
      <c r="AH276" s="190">
        <v>0</v>
      </c>
      <c r="AI276" s="190">
        <v>0</v>
      </c>
      <c r="AJ276" s="190">
        <v>0</v>
      </c>
      <c r="AK276" s="190">
        <v>0</v>
      </c>
      <c r="AL276" s="190">
        <v>0</v>
      </c>
    </row>
    <row r="277" spans="2:38" ht="12.75" customHeight="1">
      <c r="B277" s="507" t="s">
        <v>115</v>
      </c>
      <c r="C277" s="6" t="s">
        <v>880</v>
      </c>
      <c r="D277" s="12" t="s">
        <v>881</v>
      </c>
      <c r="E277" s="12" t="s">
        <v>886</v>
      </c>
      <c r="F277" s="6">
        <v>0</v>
      </c>
      <c r="G277" s="6">
        <v>0</v>
      </c>
      <c r="H277" s="6" t="s">
        <v>963</v>
      </c>
      <c r="I277" s="190">
        <v>623981.05434347328</v>
      </c>
      <c r="J277" s="190">
        <v>0</v>
      </c>
      <c r="K277" s="190">
        <v>0</v>
      </c>
      <c r="L277" s="190">
        <v>0</v>
      </c>
      <c r="M277" s="190">
        <v>222850.37655124048</v>
      </c>
      <c r="N277" s="190">
        <v>222850.37655124048</v>
      </c>
      <c r="O277" s="190">
        <v>0</v>
      </c>
      <c r="P277" s="190">
        <v>0</v>
      </c>
      <c r="Q277" s="190">
        <v>0</v>
      </c>
      <c r="R277" s="190">
        <v>0</v>
      </c>
      <c r="S277" s="190">
        <v>0</v>
      </c>
      <c r="T277" s="190">
        <v>0</v>
      </c>
      <c r="U277" s="190">
        <v>0</v>
      </c>
      <c r="V277" s="190">
        <v>0</v>
      </c>
      <c r="W277" s="190">
        <v>0</v>
      </c>
      <c r="X277" s="190">
        <v>0</v>
      </c>
      <c r="Y277" s="190">
        <v>0</v>
      </c>
      <c r="Z277" s="190">
        <v>0</v>
      </c>
      <c r="AA277" s="190">
        <v>0</v>
      </c>
      <c r="AB277" s="190">
        <v>0</v>
      </c>
      <c r="AC277" s="190">
        <v>0</v>
      </c>
      <c r="AD277" s="190">
        <v>0</v>
      </c>
      <c r="AE277" s="190">
        <v>0</v>
      </c>
      <c r="AF277" s="190">
        <v>0</v>
      </c>
      <c r="AG277" s="190">
        <v>0</v>
      </c>
      <c r="AH277" s="190">
        <v>0</v>
      </c>
      <c r="AI277" s="190">
        <v>0</v>
      </c>
      <c r="AJ277" s="190">
        <v>0</v>
      </c>
      <c r="AK277" s="190">
        <v>0</v>
      </c>
      <c r="AL277" s="190">
        <v>0</v>
      </c>
    </row>
    <row r="278" spans="2:38" ht="12.75" customHeight="1">
      <c r="B278" s="507" t="s">
        <v>115</v>
      </c>
      <c r="C278" s="6" t="s">
        <v>880</v>
      </c>
      <c r="D278" s="12" t="s">
        <v>881</v>
      </c>
      <c r="E278" s="12" t="s">
        <v>886</v>
      </c>
      <c r="F278" s="6">
        <v>0</v>
      </c>
      <c r="G278" s="6">
        <v>0</v>
      </c>
      <c r="H278" s="6" t="s">
        <v>964</v>
      </c>
      <c r="I278" s="190">
        <v>242069.00270777955</v>
      </c>
      <c r="J278" s="190">
        <v>0</v>
      </c>
      <c r="K278" s="190">
        <v>0</v>
      </c>
      <c r="L278" s="190">
        <v>0</v>
      </c>
      <c r="M278" s="190">
        <v>0</v>
      </c>
      <c r="N278" s="190">
        <v>0</v>
      </c>
      <c r="O278" s="190">
        <v>0</v>
      </c>
      <c r="P278" s="190">
        <v>0</v>
      </c>
      <c r="Q278" s="190">
        <v>0</v>
      </c>
      <c r="R278" s="190">
        <v>0</v>
      </c>
      <c r="S278" s="190">
        <v>0</v>
      </c>
      <c r="T278" s="190">
        <v>0</v>
      </c>
      <c r="U278" s="190">
        <v>0</v>
      </c>
      <c r="V278" s="190">
        <v>0</v>
      </c>
      <c r="W278" s="190">
        <v>0</v>
      </c>
      <c r="X278" s="190">
        <v>0</v>
      </c>
      <c r="Y278" s="190">
        <v>0</v>
      </c>
      <c r="Z278" s="190">
        <v>0</v>
      </c>
      <c r="AA278" s="190">
        <v>0</v>
      </c>
      <c r="AB278" s="190">
        <v>0</v>
      </c>
      <c r="AC278" s="190">
        <v>0</v>
      </c>
      <c r="AD278" s="190">
        <v>0</v>
      </c>
      <c r="AE278" s="190">
        <v>0</v>
      </c>
      <c r="AF278" s="190">
        <v>0</v>
      </c>
      <c r="AG278" s="190">
        <v>0</v>
      </c>
      <c r="AH278" s="190">
        <v>0</v>
      </c>
      <c r="AI278" s="190">
        <v>0</v>
      </c>
      <c r="AJ278" s="190">
        <v>0</v>
      </c>
      <c r="AK278" s="190">
        <v>0</v>
      </c>
      <c r="AL278" s="190">
        <v>0</v>
      </c>
    </row>
    <row r="279" spans="2:38" ht="12.75" customHeight="1">
      <c r="B279" s="507" t="s">
        <v>115</v>
      </c>
      <c r="C279" s="6" t="s">
        <v>880</v>
      </c>
      <c r="D279" s="12" t="s">
        <v>881</v>
      </c>
      <c r="E279" s="12" t="s">
        <v>886</v>
      </c>
      <c r="F279" s="6">
        <v>0</v>
      </c>
      <c r="G279" s="6">
        <v>0</v>
      </c>
      <c r="H279" s="6" t="s">
        <v>965</v>
      </c>
      <c r="I279" s="190">
        <v>4091533.077142098</v>
      </c>
      <c r="J279" s="190">
        <v>0</v>
      </c>
      <c r="K279" s="190">
        <v>0</v>
      </c>
      <c r="L279" s="190">
        <v>0</v>
      </c>
      <c r="M279" s="190">
        <v>0</v>
      </c>
      <c r="N279" s="190">
        <v>0</v>
      </c>
      <c r="O279" s="190">
        <v>0</v>
      </c>
      <c r="P279" s="190">
        <v>0</v>
      </c>
      <c r="Q279" s="190">
        <v>0</v>
      </c>
      <c r="R279" s="190">
        <v>0</v>
      </c>
      <c r="S279" s="190">
        <v>0</v>
      </c>
      <c r="T279" s="190">
        <v>0</v>
      </c>
      <c r="U279" s="190">
        <v>0</v>
      </c>
      <c r="V279" s="190">
        <v>0</v>
      </c>
      <c r="W279" s="190">
        <v>0</v>
      </c>
      <c r="X279" s="190">
        <v>0</v>
      </c>
      <c r="Y279" s="190">
        <v>0</v>
      </c>
      <c r="Z279" s="190">
        <v>0</v>
      </c>
      <c r="AA279" s="190">
        <v>0</v>
      </c>
      <c r="AB279" s="190">
        <v>0</v>
      </c>
      <c r="AC279" s="190">
        <v>0</v>
      </c>
      <c r="AD279" s="190">
        <v>0</v>
      </c>
      <c r="AE279" s="190">
        <v>0</v>
      </c>
      <c r="AF279" s="190">
        <v>0</v>
      </c>
      <c r="AG279" s="190">
        <v>0</v>
      </c>
      <c r="AH279" s="190">
        <v>0</v>
      </c>
      <c r="AI279" s="190">
        <v>0</v>
      </c>
      <c r="AJ279" s="190">
        <v>0</v>
      </c>
      <c r="AK279" s="190">
        <v>0</v>
      </c>
      <c r="AL279" s="190">
        <v>0</v>
      </c>
    </row>
    <row r="280" spans="2:38" ht="12.75" customHeight="1">
      <c r="B280" s="507" t="s">
        <v>115</v>
      </c>
      <c r="C280" s="6" t="s">
        <v>880</v>
      </c>
      <c r="D280" s="12" t="s">
        <v>881</v>
      </c>
      <c r="E280" s="12" t="s">
        <v>886</v>
      </c>
      <c r="F280" s="6">
        <v>0</v>
      </c>
      <c r="G280" s="6">
        <v>0</v>
      </c>
      <c r="H280" s="6" t="s">
        <v>966</v>
      </c>
      <c r="I280" s="190">
        <v>0</v>
      </c>
      <c r="J280" s="190">
        <v>0</v>
      </c>
      <c r="K280" s="190">
        <v>0</v>
      </c>
      <c r="L280" s="190">
        <v>0</v>
      </c>
      <c r="M280" s="190">
        <v>0</v>
      </c>
      <c r="N280" s="190">
        <v>0</v>
      </c>
      <c r="O280" s="190">
        <v>0</v>
      </c>
      <c r="P280" s="190">
        <v>0</v>
      </c>
      <c r="Q280" s="190">
        <v>0</v>
      </c>
      <c r="R280" s="190">
        <v>0</v>
      </c>
      <c r="S280" s="190">
        <v>0</v>
      </c>
      <c r="T280" s="190">
        <v>0</v>
      </c>
      <c r="U280" s="190">
        <v>0</v>
      </c>
      <c r="V280" s="190">
        <v>0</v>
      </c>
      <c r="W280" s="190">
        <v>0</v>
      </c>
      <c r="X280" s="190">
        <v>0</v>
      </c>
      <c r="Y280" s="190">
        <v>0</v>
      </c>
      <c r="Z280" s="190">
        <v>0</v>
      </c>
      <c r="AA280" s="190">
        <v>0</v>
      </c>
      <c r="AB280" s="190">
        <v>0</v>
      </c>
      <c r="AC280" s="190">
        <v>0</v>
      </c>
      <c r="AD280" s="190">
        <v>0</v>
      </c>
      <c r="AE280" s="190">
        <v>0</v>
      </c>
      <c r="AF280" s="190">
        <v>0</v>
      </c>
      <c r="AG280" s="190">
        <v>0</v>
      </c>
      <c r="AH280" s="190">
        <v>0</v>
      </c>
      <c r="AI280" s="190">
        <v>0</v>
      </c>
      <c r="AJ280" s="190">
        <v>0</v>
      </c>
      <c r="AK280" s="190">
        <v>0</v>
      </c>
      <c r="AL280" s="190">
        <v>0</v>
      </c>
    </row>
    <row r="281" spans="2:38" ht="12.75" customHeight="1">
      <c r="B281" s="507" t="s">
        <v>115</v>
      </c>
      <c r="C281" s="6" t="s">
        <v>880</v>
      </c>
      <c r="D281" s="12" t="s">
        <v>881</v>
      </c>
      <c r="E281" s="12" t="s">
        <v>886</v>
      </c>
      <c r="F281" s="6">
        <v>0</v>
      </c>
      <c r="G281" s="6">
        <v>0</v>
      </c>
      <c r="H281" s="6" t="s">
        <v>967</v>
      </c>
      <c r="I281" s="190">
        <v>0</v>
      </c>
      <c r="J281" s="190">
        <v>0</v>
      </c>
      <c r="K281" s="190">
        <v>0</v>
      </c>
      <c r="L281" s="190">
        <v>0</v>
      </c>
      <c r="M281" s="190">
        <v>0</v>
      </c>
      <c r="N281" s="190">
        <v>3000000</v>
      </c>
      <c r="O281" s="190">
        <v>0</v>
      </c>
      <c r="P281" s="190">
        <v>0</v>
      </c>
      <c r="Q281" s="190">
        <v>0</v>
      </c>
      <c r="R281" s="190">
        <v>0</v>
      </c>
      <c r="S281" s="190">
        <v>0</v>
      </c>
      <c r="T281" s="190">
        <v>0</v>
      </c>
      <c r="U281" s="190">
        <v>0</v>
      </c>
      <c r="V281" s="190">
        <v>0</v>
      </c>
      <c r="W281" s="190">
        <v>0</v>
      </c>
      <c r="X281" s="190">
        <v>0</v>
      </c>
      <c r="Y281" s="190">
        <v>0</v>
      </c>
      <c r="Z281" s="190">
        <v>0</v>
      </c>
      <c r="AA281" s="190">
        <v>0</v>
      </c>
      <c r="AB281" s="190">
        <v>0</v>
      </c>
      <c r="AC281" s="190">
        <v>0</v>
      </c>
      <c r="AD281" s="190">
        <v>0</v>
      </c>
      <c r="AE281" s="190">
        <v>0</v>
      </c>
      <c r="AF281" s="190">
        <v>0</v>
      </c>
      <c r="AG281" s="190">
        <v>0</v>
      </c>
      <c r="AH281" s="190">
        <v>0</v>
      </c>
      <c r="AI281" s="190">
        <v>0</v>
      </c>
      <c r="AJ281" s="190">
        <v>0</v>
      </c>
      <c r="AK281" s="190">
        <v>0</v>
      </c>
      <c r="AL281" s="190">
        <v>0</v>
      </c>
    </row>
    <row r="282" spans="2:38" ht="12.75" customHeight="1">
      <c r="B282" s="507" t="s">
        <v>115</v>
      </c>
      <c r="C282" s="6" t="s">
        <v>880</v>
      </c>
      <c r="D282" s="12" t="s">
        <v>881</v>
      </c>
      <c r="E282" s="12" t="s">
        <v>886</v>
      </c>
      <c r="F282" s="6">
        <v>0</v>
      </c>
      <c r="G282" s="6">
        <v>0</v>
      </c>
      <c r="H282" s="6" t="s">
        <v>968</v>
      </c>
      <c r="I282" s="190">
        <v>0</v>
      </c>
      <c r="J282" s="190">
        <v>0</v>
      </c>
      <c r="K282" s="190">
        <v>0</v>
      </c>
      <c r="L282" s="190">
        <v>0</v>
      </c>
      <c r="M282" s="190">
        <v>0</v>
      </c>
      <c r="N282" s="190">
        <v>286246.88844123256</v>
      </c>
      <c r="O282" s="190">
        <v>0</v>
      </c>
      <c r="P282" s="190">
        <v>0</v>
      </c>
      <c r="Q282" s="190">
        <v>0</v>
      </c>
      <c r="R282" s="190">
        <v>0</v>
      </c>
      <c r="S282" s="190">
        <v>0</v>
      </c>
      <c r="T282" s="190">
        <v>0</v>
      </c>
      <c r="U282" s="190">
        <v>0</v>
      </c>
      <c r="V282" s="190">
        <v>0</v>
      </c>
      <c r="W282" s="190">
        <v>0</v>
      </c>
      <c r="X282" s="190">
        <v>0</v>
      </c>
      <c r="Y282" s="190">
        <v>0</v>
      </c>
      <c r="Z282" s="190">
        <v>0</v>
      </c>
      <c r="AA282" s="190">
        <v>0</v>
      </c>
      <c r="AB282" s="190">
        <v>0</v>
      </c>
      <c r="AC282" s="190">
        <v>0</v>
      </c>
      <c r="AD282" s="190">
        <v>0</v>
      </c>
      <c r="AE282" s="190">
        <v>0</v>
      </c>
      <c r="AF282" s="190">
        <v>0</v>
      </c>
      <c r="AG282" s="190">
        <v>0</v>
      </c>
      <c r="AH282" s="190">
        <v>0</v>
      </c>
      <c r="AI282" s="190">
        <v>0</v>
      </c>
      <c r="AJ282" s="190">
        <v>0</v>
      </c>
      <c r="AK282" s="190">
        <v>0</v>
      </c>
      <c r="AL282" s="190">
        <v>0</v>
      </c>
    </row>
    <row r="283" spans="2:38" ht="12.75" customHeight="1">
      <c r="B283" s="507" t="s">
        <v>115</v>
      </c>
      <c r="C283" s="6" t="s">
        <v>880</v>
      </c>
      <c r="D283" s="12" t="s">
        <v>881</v>
      </c>
      <c r="E283" s="12" t="s">
        <v>886</v>
      </c>
      <c r="F283" s="6">
        <v>0</v>
      </c>
      <c r="G283" s="6">
        <v>0</v>
      </c>
      <c r="H283" s="6" t="s">
        <v>964</v>
      </c>
      <c r="I283" s="190">
        <v>0</v>
      </c>
      <c r="J283" s="190">
        <v>0</v>
      </c>
      <c r="K283" s="190">
        <v>0</v>
      </c>
      <c r="L283" s="190">
        <v>0</v>
      </c>
      <c r="M283" s="190">
        <v>0</v>
      </c>
      <c r="N283" s="190">
        <v>228330.89193014853</v>
      </c>
      <c r="O283" s="190">
        <v>0</v>
      </c>
      <c r="P283" s="190">
        <v>0</v>
      </c>
      <c r="Q283" s="190">
        <v>0</v>
      </c>
      <c r="R283" s="190">
        <v>0</v>
      </c>
      <c r="S283" s="190">
        <v>0</v>
      </c>
      <c r="T283" s="190">
        <v>0</v>
      </c>
      <c r="U283" s="190">
        <v>0</v>
      </c>
      <c r="V283" s="190">
        <v>0</v>
      </c>
      <c r="W283" s="190">
        <v>0</v>
      </c>
      <c r="X283" s="190">
        <v>0</v>
      </c>
      <c r="Y283" s="190">
        <v>0</v>
      </c>
      <c r="Z283" s="190">
        <v>0</v>
      </c>
      <c r="AA283" s="190">
        <v>0</v>
      </c>
      <c r="AB283" s="190">
        <v>0</v>
      </c>
      <c r="AC283" s="190">
        <v>0</v>
      </c>
      <c r="AD283" s="190">
        <v>0</v>
      </c>
      <c r="AE283" s="190">
        <v>0</v>
      </c>
      <c r="AF283" s="190">
        <v>0</v>
      </c>
      <c r="AG283" s="190">
        <v>0</v>
      </c>
      <c r="AH283" s="190">
        <v>0</v>
      </c>
      <c r="AI283" s="190">
        <v>0</v>
      </c>
      <c r="AJ283" s="190">
        <v>0</v>
      </c>
      <c r="AK283" s="190">
        <v>0</v>
      </c>
      <c r="AL283" s="190">
        <v>0</v>
      </c>
    </row>
    <row r="284" spans="2:38" ht="12.75" customHeight="1">
      <c r="B284" s="507" t="s">
        <v>115</v>
      </c>
      <c r="C284" s="6" t="s">
        <v>880</v>
      </c>
      <c r="D284" s="12" t="s">
        <v>881</v>
      </c>
      <c r="E284" s="12" t="s">
        <v>886</v>
      </c>
      <c r="F284" s="6">
        <v>0</v>
      </c>
      <c r="G284" s="6">
        <v>0</v>
      </c>
      <c r="H284" s="6" t="s">
        <v>969</v>
      </c>
      <c r="I284" s="190">
        <v>0</v>
      </c>
      <c r="J284" s="190">
        <v>0</v>
      </c>
      <c r="K284" s="190">
        <v>0</v>
      </c>
      <c r="L284" s="190">
        <v>0</v>
      </c>
      <c r="M284" s="190">
        <v>0</v>
      </c>
      <c r="N284" s="190">
        <v>222850.37655124048</v>
      </c>
      <c r="O284" s="190">
        <v>0</v>
      </c>
      <c r="P284" s="190">
        <v>0</v>
      </c>
      <c r="Q284" s="190">
        <v>0</v>
      </c>
      <c r="R284" s="190">
        <v>0</v>
      </c>
      <c r="S284" s="190">
        <v>0</v>
      </c>
      <c r="T284" s="190">
        <v>0</v>
      </c>
      <c r="U284" s="190">
        <v>0</v>
      </c>
      <c r="V284" s="190">
        <v>0</v>
      </c>
      <c r="W284" s="190">
        <v>0</v>
      </c>
      <c r="X284" s="190">
        <v>0</v>
      </c>
      <c r="Y284" s="190">
        <v>0</v>
      </c>
      <c r="Z284" s="190">
        <v>0</v>
      </c>
      <c r="AA284" s="190">
        <v>0</v>
      </c>
      <c r="AB284" s="190">
        <v>0</v>
      </c>
      <c r="AC284" s="190">
        <v>0</v>
      </c>
      <c r="AD284" s="190">
        <v>0</v>
      </c>
      <c r="AE284" s="190">
        <v>0</v>
      </c>
      <c r="AF284" s="190">
        <v>0</v>
      </c>
      <c r="AG284" s="190">
        <v>0</v>
      </c>
      <c r="AH284" s="190">
        <v>0</v>
      </c>
      <c r="AI284" s="190">
        <v>0</v>
      </c>
      <c r="AJ284" s="190">
        <v>0</v>
      </c>
      <c r="AK284" s="190">
        <v>0</v>
      </c>
      <c r="AL284" s="190">
        <v>0</v>
      </c>
    </row>
    <row r="285" spans="2:38" ht="12.75" customHeight="1">
      <c r="B285" s="507" t="s">
        <v>115</v>
      </c>
      <c r="C285" s="6" t="s">
        <v>880</v>
      </c>
      <c r="D285" s="12" t="s">
        <v>881</v>
      </c>
      <c r="E285" s="12" t="s">
        <v>886</v>
      </c>
      <c r="F285" s="6">
        <v>0</v>
      </c>
      <c r="G285" s="6">
        <v>0</v>
      </c>
      <c r="H285" s="6" t="s">
        <v>965</v>
      </c>
      <c r="I285" s="190">
        <v>0</v>
      </c>
      <c r="J285" s="190">
        <v>0</v>
      </c>
      <c r="K285" s="190">
        <v>0</v>
      </c>
      <c r="L285" s="190">
        <v>0</v>
      </c>
      <c r="M285" s="190">
        <v>0</v>
      </c>
      <c r="N285" s="190">
        <v>0</v>
      </c>
      <c r="O285" s="190">
        <v>0</v>
      </c>
      <c r="P285" s="190">
        <v>0</v>
      </c>
      <c r="Q285" s="190">
        <v>0</v>
      </c>
      <c r="R285" s="190">
        <v>0</v>
      </c>
      <c r="S285" s="190">
        <v>0</v>
      </c>
      <c r="T285" s="190">
        <v>0</v>
      </c>
      <c r="U285" s="190">
        <v>0</v>
      </c>
      <c r="V285" s="190">
        <v>0</v>
      </c>
      <c r="W285" s="190">
        <v>0</v>
      </c>
      <c r="X285" s="190">
        <v>0</v>
      </c>
      <c r="Y285" s="190">
        <v>0</v>
      </c>
      <c r="Z285" s="190">
        <v>0</v>
      </c>
      <c r="AA285" s="190">
        <v>0</v>
      </c>
      <c r="AB285" s="190">
        <v>0</v>
      </c>
      <c r="AC285" s="190">
        <v>0</v>
      </c>
      <c r="AD285" s="190">
        <v>0</v>
      </c>
      <c r="AE285" s="190">
        <v>0</v>
      </c>
      <c r="AF285" s="190">
        <v>0</v>
      </c>
      <c r="AG285" s="190">
        <v>0</v>
      </c>
      <c r="AH285" s="190">
        <v>0</v>
      </c>
      <c r="AI285" s="190">
        <v>0</v>
      </c>
      <c r="AJ285" s="190">
        <v>0</v>
      </c>
      <c r="AK285" s="190">
        <v>0</v>
      </c>
      <c r="AL285" s="190">
        <v>0</v>
      </c>
    </row>
    <row r="286" spans="2:38" ht="12.75" customHeight="1">
      <c r="B286" s="507" t="s">
        <v>115</v>
      </c>
      <c r="C286" s="6" t="s">
        <v>880</v>
      </c>
      <c r="D286" s="12" t="s">
        <v>881</v>
      </c>
      <c r="E286" s="12" t="s">
        <v>886</v>
      </c>
      <c r="F286" s="6">
        <v>0</v>
      </c>
      <c r="G286" s="6">
        <v>0</v>
      </c>
      <c r="H286" s="6" t="s">
        <v>970</v>
      </c>
      <c r="I286" s="190">
        <v>0</v>
      </c>
      <c r="J286" s="190">
        <v>0</v>
      </c>
      <c r="K286" s="190">
        <v>0</v>
      </c>
      <c r="L286" s="190">
        <v>0</v>
      </c>
      <c r="M286" s="190">
        <v>0</v>
      </c>
      <c r="N286" s="190">
        <v>1082952.8374784226</v>
      </c>
      <c r="O286" s="190">
        <v>0</v>
      </c>
      <c r="P286" s="190">
        <v>0</v>
      </c>
      <c r="Q286" s="190">
        <v>0</v>
      </c>
      <c r="R286" s="190">
        <v>0</v>
      </c>
      <c r="S286" s="190">
        <v>0</v>
      </c>
      <c r="T286" s="190">
        <v>0</v>
      </c>
      <c r="U286" s="190">
        <v>0</v>
      </c>
      <c r="V286" s="190">
        <v>0</v>
      </c>
      <c r="W286" s="190">
        <v>0</v>
      </c>
      <c r="X286" s="190">
        <v>0</v>
      </c>
      <c r="Y286" s="190">
        <v>0</v>
      </c>
      <c r="Z286" s="190">
        <v>0</v>
      </c>
      <c r="AA286" s="190">
        <v>0</v>
      </c>
      <c r="AB286" s="190">
        <v>0</v>
      </c>
      <c r="AC286" s="190">
        <v>0</v>
      </c>
      <c r="AD286" s="190">
        <v>0</v>
      </c>
      <c r="AE286" s="190">
        <v>0</v>
      </c>
      <c r="AF286" s="190">
        <v>0</v>
      </c>
      <c r="AG286" s="190">
        <v>0</v>
      </c>
      <c r="AH286" s="190">
        <v>0</v>
      </c>
      <c r="AI286" s="190">
        <v>0</v>
      </c>
      <c r="AJ286" s="190">
        <v>0</v>
      </c>
      <c r="AK286" s="190">
        <v>0</v>
      </c>
      <c r="AL286" s="190">
        <v>0</v>
      </c>
    </row>
    <row r="287" spans="2:38" ht="12.75" customHeight="1">
      <c r="B287" s="507" t="s">
        <v>115</v>
      </c>
      <c r="C287" s="6" t="s">
        <v>880</v>
      </c>
      <c r="D287" s="12" t="s">
        <v>881</v>
      </c>
      <c r="E287" s="12" t="s">
        <v>886</v>
      </c>
      <c r="F287" s="6">
        <v>0</v>
      </c>
      <c r="G287" s="6">
        <v>0</v>
      </c>
      <c r="H287" s="6" t="s">
        <v>948</v>
      </c>
      <c r="I287" s="190">
        <v>602603.52594136586</v>
      </c>
      <c r="J287" s="190">
        <v>0</v>
      </c>
      <c r="K287" s="190">
        <v>0</v>
      </c>
      <c r="L287" s="190">
        <v>0</v>
      </c>
      <c r="M287" s="190">
        <v>0</v>
      </c>
      <c r="N287" s="190">
        <v>0</v>
      </c>
      <c r="O287" s="190">
        <v>0</v>
      </c>
      <c r="P287" s="190">
        <v>0</v>
      </c>
      <c r="Q287" s="190">
        <v>0</v>
      </c>
      <c r="R287" s="190">
        <v>0</v>
      </c>
      <c r="S287" s="190">
        <v>0</v>
      </c>
      <c r="T287" s="190">
        <v>0</v>
      </c>
      <c r="U287" s="190">
        <v>0</v>
      </c>
      <c r="V287" s="190">
        <v>0</v>
      </c>
      <c r="W287" s="190">
        <v>0</v>
      </c>
      <c r="X287" s="190">
        <v>0</v>
      </c>
      <c r="Y287" s="190">
        <v>0</v>
      </c>
      <c r="Z287" s="190">
        <v>0</v>
      </c>
      <c r="AA287" s="190">
        <v>0</v>
      </c>
      <c r="AB287" s="190">
        <v>0</v>
      </c>
      <c r="AC287" s="190">
        <v>0</v>
      </c>
      <c r="AD287" s="190">
        <v>0</v>
      </c>
      <c r="AE287" s="190">
        <v>0</v>
      </c>
      <c r="AF287" s="190">
        <v>0</v>
      </c>
      <c r="AG287" s="190">
        <v>0</v>
      </c>
      <c r="AH287" s="190">
        <v>0</v>
      </c>
      <c r="AI287" s="190">
        <v>0</v>
      </c>
      <c r="AJ287" s="190">
        <v>0</v>
      </c>
      <c r="AK287" s="190">
        <v>0</v>
      </c>
      <c r="AL287" s="190">
        <v>0</v>
      </c>
    </row>
    <row r="288" spans="2:38" ht="12.75" customHeight="1">
      <c r="B288" s="507" t="s">
        <v>115</v>
      </c>
      <c r="C288" s="6">
        <v>0</v>
      </c>
      <c r="D288" s="12" t="s">
        <v>971</v>
      </c>
      <c r="E288" s="12">
        <v>0</v>
      </c>
      <c r="F288" s="6">
        <v>0</v>
      </c>
      <c r="G288" s="6">
        <v>0</v>
      </c>
      <c r="H288" s="6">
        <v>0</v>
      </c>
      <c r="I288" s="190">
        <v>0</v>
      </c>
      <c r="J288" s="190">
        <v>0</v>
      </c>
      <c r="K288" s="190">
        <v>0</v>
      </c>
      <c r="L288" s="190">
        <v>0</v>
      </c>
      <c r="M288" s="190">
        <v>0</v>
      </c>
      <c r="N288" s="190">
        <v>0</v>
      </c>
      <c r="O288" s="190">
        <v>0</v>
      </c>
      <c r="P288" s="190">
        <v>0</v>
      </c>
      <c r="Q288" s="190">
        <v>0</v>
      </c>
      <c r="R288" s="190">
        <v>0</v>
      </c>
      <c r="S288" s="190">
        <v>0</v>
      </c>
      <c r="T288" s="190">
        <v>0</v>
      </c>
      <c r="U288" s="190">
        <v>0</v>
      </c>
      <c r="V288" s="190">
        <v>0</v>
      </c>
      <c r="W288" s="190">
        <v>0</v>
      </c>
      <c r="X288" s="190">
        <v>0</v>
      </c>
      <c r="Y288" s="190">
        <v>0</v>
      </c>
      <c r="Z288" s="190">
        <v>0</v>
      </c>
      <c r="AA288" s="190">
        <v>0</v>
      </c>
      <c r="AB288" s="190">
        <v>0</v>
      </c>
      <c r="AC288" s="190">
        <v>0</v>
      </c>
      <c r="AD288" s="190">
        <v>0</v>
      </c>
      <c r="AE288" s="190">
        <v>0</v>
      </c>
      <c r="AF288" s="190">
        <v>0</v>
      </c>
      <c r="AG288" s="190">
        <v>0</v>
      </c>
      <c r="AH288" s="190">
        <v>0</v>
      </c>
      <c r="AI288" s="190">
        <v>0</v>
      </c>
      <c r="AJ288" s="190">
        <v>0</v>
      </c>
      <c r="AK288" s="190">
        <v>0</v>
      </c>
      <c r="AL288" s="190">
        <v>0</v>
      </c>
    </row>
    <row r="289" spans="2:38" ht="12.75" customHeight="1">
      <c r="B289" s="507" t="s">
        <v>115</v>
      </c>
      <c r="C289" s="6">
        <v>0</v>
      </c>
      <c r="D289" s="12" t="s">
        <v>971</v>
      </c>
      <c r="E289" s="12">
        <v>0</v>
      </c>
      <c r="F289" s="6">
        <v>0</v>
      </c>
      <c r="G289" s="6">
        <v>0</v>
      </c>
      <c r="H289" s="6">
        <v>0</v>
      </c>
      <c r="I289" s="190">
        <v>0</v>
      </c>
      <c r="J289" s="190">
        <v>0</v>
      </c>
      <c r="K289" s="190">
        <v>0</v>
      </c>
      <c r="L289" s="190">
        <v>0</v>
      </c>
      <c r="M289" s="190">
        <v>0</v>
      </c>
      <c r="N289" s="190">
        <v>0</v>
      </c>
      <c r="O289" s="190">
        <v>0</v>
      </c>
      <c r="P289" s="190">
        <v>0</v>
      </c>
      <c r="Q289" s="190">
        <v>0</v>
      </c>
      <c r="R289" s="190">
        <v>0</v>
      </c>
      <c r="S289" s="190">
        <v>0</v>
      </c>
      <c r="T289" s="190">
        <v>0</v>
      </c>
      <c r="U289" s="190">
        <v>0</v>
      </c>
      <c r="V289" s="190">
        <v>0</v>
      </c>
      <c r="W289" s="190">
        <v>0</v>
      </c>
      <c r="X289" s="190">
        <v>0</v>
      </c>
      <c r="Y289" s="190">
        <v>0</v>
      </c>
      <c r="Z289" s="190">
        <v>0</v>
      </c>
      <c r="AA289" s="190">
        <v>0</v>
      </c>
      <c r="AB289" s="190">
        <v>0</v>
      </c>
      <c r="AC289" s="190">
        <v>0</v>
      </c>
      <c r="AD289" s="190">
        <v>0</v>
      </c>
      <c r="AE289" s="190">
        <v>0</v>
      </c>
      <c r="AF289" s="190">
        <v>0</v>
      </c>
      <c r="AG289" s="190">
        <v>0</v>
      </c>
      <c r="AH289" s="190">
        <v>0</v>
      </c>
      <c r="AI289" s="190">
        <v>0</v>
      </c>
      <c r="AJ289" s="190">
        <v>0</v>
      </c>
      <c r="AK289" s="190">
        <v>0</v>
      </c>
      <c r="AL289" s="190">
        <v>0</v>
      </c>
    </row>
    <row r="290" spans="2:38" ht="12.75" customHeight="1">
      <c r="B290" s="507" t="s">
        <v>115</v>
      </c>
      <c r="C290" s="6">
        <v>0</v>
      </c>
      <c r="D290" s="12" t="s">
        <v>971</v>
      </c>
      <c r="E290" s="12">
        <v>0</v>
      </c>
      <c r="F290" s="6">
        <v>0</v>
      </c>
      <c r="G290" s="6">
        <v>0</v>
      </c>
      <c r="H290" s="6">
        <v>0</v>
      </c>
      <c r="I290" s="190">
        <v>0</v>
      </c>
      <c r="J290" s="190">
        <v>0</v>
      </c>
      <c r="K290" s="190">
        <v>0</v>
      </c>
      <c r="L290" s="190">
        <v>0</v>
      </c>
      <c r="M290" s="190">
        <v>0</v>
      </c>
      <c r="N290" s="190">
        <v>0</v>
      </c>
      <c r="O290" s="190">
        <v>0</v>
      </c>
      <c r="P290" s="190">
        <v>0</v>
      </c>
      <c r="Q290" s="190">
        <v>0</v>
      </c>
      <c r="R290" s="190">
        <v>0</v>
      </c>
      <c r="S290" s="190">
        <v>0</v>
      </c>
      <c r="T290" s="190">
        <v>0</v>
      </c>
      <c r="U290" s="190">
        <v>0</v>
      </c>
      <c r="V290" s="190">
        <v>0</v>
      </c>
      <c r="W290" s="190">
        <v>0</v>
      </c>
      <c r="X290" s="190">
        <v>0</v>
      </c>
      <c r="Y290" s="190">
        <v>0</v>
      </c>
      <c r="Z290" s="190">
        <v>0</v>
      </c>
      <c r="AA290" s="190">
        <v>0</v>
      </c>
      <c r="AB290" s="190">
        <v>0</v>
      </c>
      <c r="AC290" s="190">
        <v>0</v>
      </c>
      <c r="AD290" s="190">
        <v>0</v>
      </c>
      <c r="AE290" s="190">
        <v>0</v>
      </c>
      <c r="AF290" s="190">
        <v>0</v>
      </c>
      <c r="AG290" s="190">
        <v>0</v>
      </c>
      <c r="AH290" s="190">
        <v>0</v>
      </c>
      <c r="AI290" s="190">
        <v>0</v>
      </c>
      <c r="AJ290" s="190">
        <v>0</v>
      </c>
      <c r="AK290" s="190">
        <v>0</v>
      </c>
      <c r="AL290" s="190">
        <v>0</v>
      </c>
    </row>
    <row r="291" spans="2:38" ht="12.75" customHeight="1">
      <c r="B291" s="507" t="s">
        <v>115</v>
      </c>
      <c r="C291" s="6">
        <v>0</v>
      </c>
      <c r="D291" s="12" t="s">
        <v>971</v>
      </c>
      <c r="E291" s="12">
        <v>0</v>
      </c>
      <c r="F291" s="6">
        <v>0</v>
      </c>
      <c r="G291" s="6">
        <v>0</v>
      </c>
      <c r="H291" s="6">
        <v>0</v>
      </c>
      <c r="I291" s="190">
        <v>0</v>
      </c>
      <c r="J291" s="190">
        <v>0</v>
      </c>
      <c r="K291" s="190">
        <v>0</v>
      </c>
      <c r="L291" s="190">
        <v>0</v>
      </c>
      <c r="M291" s="190">
        <v>0</v>
      </c>
      <c r="N291" s="190">
        <v>0</v>
      </c>
      <c r="O291" s="190">
        <v>0</v>
      </c>
      <c r="P291" s="190">
        <v>0</v>
      </c>
      <c r="Q291" s="190">
        <v>0</v>
      </c>
      <c r="R291" s="190">
        <v>0</v>
      </c>
      <c r="S291" s="190">
        <v>0</v>
      </c>
      <c r="T291" s="190">
        <v>0</v>
      </c>
      <c r="U291" s="190">
        <v>0</v>
      </c>
      <c r="V291" s="190">
        <v>0</v>
      </c>
      <c r="W291" s="190">
        <v>0</v>
      </c>
      <c r="X291" s="190">
        <v>0</v>
      </c>
      <c r="Y291" s="190">
        <v>0</v>
      </c>
      <c r="Z291" s="190">
        <v>0</v>
      </c>
      <c r="AA291" s="190">
        <v>0</v>
      </c>
      <c r="AB291" s="190">
        <v>0</v>
      </c>
      <c r="AC291" s="190">
        <v>0</v>
      </c>
      <c r="AD291" s="190">
        <v>0</v>
      </c>
      <c r="AE291" s="190">
        <v>0</v>
      </c>
      <c r="AF291" s="190">
        <v>0</v>
      </c>
      <c r="AG291" s="190">
        <v>0</v>
      </c>
      <c r="AH291" s="190">
        <v>0</v>
      </c>
      <c r="AI291" s="190">
        <v>0</v>
      </c>
      <c r="AJ291" s="190">
        <v>0</v>
      </c>
      <c r="AK291" s="190">
        <v>0</v>
      </c>
      <c r="AL291" s="190">
        <v>0</v>
      </c>
    </row>
    <row r="292" spans="2:38" ht="12.75" customHeight="1">
      <c r="B292" s="507" t="s">
        <v>115</v>
      </c>
      <c r="C292" s="6">
        <v>0</v>
      </c>
      <c r="D292" s="12" t="s">
        <v>971</v>
      </c>
      <c r="E292" s="12">
        <v>0</v>
      </c>
      <c r="F292" s="6">
        <v>0</v>
      </c>
      <c r="G292" s="6">
        <v>0</v>
      </c>
      <c r="H292" s="6">
        <v>0</v>
      </c>
      <c r="I292" s="190">
        <v>0</v>
      </c>
      <c r="J292" s="190">
        <v>0</v>
      </c>
      <c r="K292" s="190">
        <v>0</v>
      </c>
      <c r="L292" s="190">
        <v>0</v>
      </c>
      <c r="M292" s="190">
        <v>0</v>
      </c>
      <c r="N292" s="190">
        <v>0</v>
      </c>
      <c r="O292" s="190">
        <v>0</v>
      </c>
      <c r="P292" s="190">
        <v>0</v>
      </c>
      <c r="Q292" s="190">
        <v>0</v>
      </c>
      <c r="R292" s="190">
        <v>0</v>
      </c>
      <c r="S292" s="190">
        <v>0</v>
      </c>
      <c r="T292" s="190">
        <v>0</v>
      </c>
      <c r="U292" s="190">
        <v>0</v>
      </c>
      <c r="V292" s="190">
        <v>0</v>
      </c>
      <c r="W292" s="190">
        <v>0</v>
      </c>
      <c r="X292" s="190">
        <v>0</v>
      </c>
      <c r="Y292" s="190">
        <v>0</v>
      </c>
      <c r="Z292" s="190">
        <v>0</v>
      </c>
      <c r="AA292" s="190">
        <v>0</v>
      </c>
      <c r="AB292" s="190">
        <v>0</v>
      </c>
      <c r="AC292" s="190">
        <v>0</v>
      </c>
      <c r="AD292" s="190">
        <v>0</v>
      </c>
      <c r="AE292" s="190">
        <v>0</v>
      </c>
      <c r="AF292" s="190">
        <v>0</v>
      </c>
      <c r="AG292" s="190">
        <v>0</v>
      </c>
      <c r="AH292" s="190">
        <v>0</v>
      </c>
      <c r="AI292" s="190">
        <v>0</v>
      </c>
      <c r="AJ292" s="190">
        <v>0</v>
      </c>
      <c r="AK292" s="190">
        <v>0</v>
      </c>
      <c r="AL292" s="190">
        <v>0</v>
      </c>
    </row>
    <row r="293" spans="2:38" ht="12.75" customHeight="1">
      <c r="B293" s="507" t="s">
        <v>115</v>
      </c>
      <c r="C293" s="6">
        <v>0</v>
      </c>
      <c r="D293" s="12" t="s">
        <v>971</v>
      </c>
      <c r="E293" s="12">
        <v>0</v>
      </c>
      <c r="F293" s="6">
        <v>0</v>
      </c>
      <c r="G293" s="6">
        <v>0</v>
      </c>
      <c r="H293" s="6">
        <v>0</v>
      </c>
      <c r="I293" s="190">
        <v>0</v>
      </c>
      <c r="J293" s="190">
        <v>0</v>
      </c>
      <c r="K293" s="190">
        <v>0</v>
      </c>
      <c r="L293" s="190">
        <v>0</v>
      </c>
      <c r="M293" s="190">
        <v>0</v>
      </c>
      <c r="N293" s="190">
        <v>0</v>
      </c>
      <c r="O293" s="190">
        <v>0</v>
      </c>
      <c r="P293" s="190">
        <v>0</v>
      </c>
      <c r="Q293" s="190">
        <v>0</v>
      </c>
      <c r="R293" s="190">
        <v>0</v>
      </c>
      <c r="S293" s="190">
        <v>0</v>
      </c>
      <c r="T293" s="190">
        <v>0</v>
      </c>
      <c r="U293" s="190">
        <v>0</v>
      </c>
      <c r="V293" s="190">
        <v>0</v>
      </c>
      <c r="W293" s="190">
        <v>0</v>
      </c>
      <c r="X293" s="190">
        <v>0</v>
      </c>
      <c r="Y293" s="190">
        <v>0</v>
      </c>
      <c r="Z293" s="190">
        <v>0</v>
      </c>
      <c r="AA293" s="190">
        <v>0</v>
      </c>
      <c r="AB293" s="190">
        <v>0</v>
      </c>
      <c r="AC293" s="190">
        <v>0</v>
      </c>
      <c r="AD293" s="190">
        <v>0</v>
      </c>
      <c r="AE293" s="190">
        <v>0</v>
      </c>
      <c r="AF293" s="190">
        <v>0</v>
      </c>
      <c r="AG293" s="190">
        <v>0</v>
      </c>
      <c r="AH293" s="190">
        <v>0</v>
      </c>
      <c r="AI293" s="190">
        <v>0</v>
      </c>
      <c r="AJ293" s="190">
        <v>0</v>
      </c>
      <c r="AK293" s="190">
        <v>0</v>
      </c>
      <c r="AL293" s="190">
        <v>0</v>
      </c>
    </row>
    <row r="294" spans="2:38" ht="12.75" customHeight="1">
      <c r="B294" s="507" t="s">
        <v>115</v>
      </c>
      <c r="C294" s="6">
        <v>0</v>
      </c>
      <c r="D294" s="12" t="s">
        <v>971</v>
      </c>
      <c r="E294" s="12">
        <v>0</v>
      </c>
      <c r="F294" s="6">
        <v>0</v>
      </c>
      <c r="G294" s="6">
        <v>0</v>
      </c>
      <c r="H294" s="6">
        <v>0</v>
      </c>
      <c r="I294" s="190">
        <v>0</v>
      </c>
      <c r="J294" s="190">
        <v>0</v>
      </c>
      <c r="K294" s="190">
        <v>0</v>
      </c>
      <c r="L294" s="190">
        <v>0</v>
      </c>
      <c r="M294" s="190">
        <v>0</v>
      </c>
      <c r="N294" s="190">
        <v>0</v>
      </c>
      <c r="O294" s="190">
        <v>0</v>
      </c>
      <c r="P294" s="190">
        <v>0</v>
      </c>
      <c r="Q294" s="190">
        <v>0</v>
      </c>
      <c r="R294" s="190">
        <v>0</v>
      </c>
      <c r="S294" s="190">
        <v>0</v>
      </c>
      <c r="T294" s="190">
        <v>0</v>
      </c>
      <c r="U294" s="190">
        <v>0</v>
      </c>
      <c r="V294" s="190">
        <v>0</v>
      </c>
      <c r="W294" s="190">
        <v>0</v>
      </c>
      <c r="X294" s="190">
        <v>0</v>
      </c>
      <c r="Y294" s="190">
        <v>0</v>
      </c>
      <c r="Z294" s="190">
        <v>0</v>
      </c>
      <c r="AA294" s="190">
        <v>0</v>
      </c>
      <c r="AB294" s="190">
        <v>0</v>
      </c>
      <c r="AC294" s="190">
        <v>0</v>
      </c>
      <c r="AD294" s="190">
        <v>0</v>
      </c>
      <c r="AE294" s="190">
        <v>0</v>
      </c>
      <c r="AF294" s="190">
        <v>0</v>
      </c>
      <c r="AG294" s="190">
        <v>0</v>
      </c>
      <c r="AH294" s="190">
        <v>0</v>
      </c>
      <c r="AI294" s="190">
        <v>0</v>
      </c>
      <c r="AJ294" s="190">
        <v>0</v>
      </c>
      <c r="AK294" s="190">
        <v>0</v>
      </c>
      <c r="AL294" s="190">
        <v>0</v>
      </c>
    </row>
    <row r="295" spans="2:38" ht="12.75" customHeight="1">
      <c r="B295" s="507" t="s">
        <v>115</v>
      </c>
      <c r="C295" s="6">
        <v>0</v>
      </c>
      <c r="D295" s="12" t="s">
        <v>971</v>
      </c>
      <c r="E295" s="12">
        <v>0</v>
      </c>
      <c r="F295" s="6">
        <v>0</v>
      </c>
      <c r="G295" s="6">
        <v>0</v>
      </c>
      <c r="H295" s="6">
        <v>0</v>
      </c>
      <c r="I295" s="190">
        <v>0</v>
      </c>
      <c r="J295" s="190">
        <v>0</v>
      </c>
      <c r="K295" s="190">
        <v>0</v>
      </c>
      <c r="L295" s="190">
        <v>0</v>
      </c>
      <c r="M295" s="190">
        <v>0</v>
      </c>
      <c r="N295" s="190">
        <v>0</v>
      </c>
      <c r="O295" s="190">
        <v>0</v>
      </c>
      <c r="P295" s="190">
        <v>0</v>
      </c>
      <c r="Q295" s="190">
        <v>0</v>
      </c>
      <c r="R295" s="190">
        <v>0</v>
      </c>
      <c r="S295" s="190">
        <v>0</v>
      </c>
      <c r="T295" s="190">
        <v>0</v>
      </c>
      <c r="U295" s="190">
        <v>0</v>
      </c>
      <c r="V295" s="190">
        <v>0</v>
      </c>
      <c r="W295" s="190">
        <v>0</v>
      </c>
      <c r="X295" s="190">
        <v>0</v>
      </c>
      <c r="Y295" s="190">
        <v>0</v>
      </c>
      <c r="Z295" s="190">
        <v>0</v>
      </c>
      <c r="AA295" s="190">
        <v>0</v>
      </c>
      <c r="AB295" s="190">
        <v>0</v>
      </c>
      <c r="AC295" s="190">
        <v>0</v>
      </c>
      <c r="AD295" s="190">
        <v>0</v>
      </c>
      <c r="AE295" s="190">
        <v>0</v>
      </c>
      <c r="AF295" s="190">
        <v>0</v>
      </c>
      <c r="AG295" s="190">
        <v>0</v>
      </c>
      <c r="AH295" s="190">
        <v>0</v>
      </c>
      <c r="AI295" s="190">
        <v>0</v>
      </c>
      <c r="AJ295" s="190">
        <v>0</v>
      </c>
      <c r="AK295" s="190">
        <v>0</v>
      </c>
      <c r="AL295" s="190">
        <v>0</v>
      </c>
    </row>
    <row r="296" spans="2:38" ht="12.75" customHeight="1">
      <c r="B296" s="507" t="s">
        <v>115</v>
      </c>
      <c r="C296" s="6">
        <v>0</v>
      </c>
      <c r="D296" s="12" t="s">
        <v>971</v>
      </c>
      <c r="E296" s="12">
        <v>0</v>
      </c>
      <c r="F296" s="6">
        <v>0</v>
      </c>
      <c r="G296" s="6">
        <v>0</v>
      </c>
      <c r="H296" s="6">
        <v>0</v>
      </c>
      <c r="I296" s="190">
        <v>0</v>
      </c>
      <c r="J296" s="190">
        <v>0</v>
      </c>
      <c r="K296" s="190">
        <v>0</v>
      </c>
      <c r="L296" s="190">
        <v>0</v>
      </c>
      <c r="M296" s="190">
        <v>0</v>
      </c>
      <c r="N296" s="190">
        <v>0</v>
      </c>
      <c r="O296" s="190">
        <v>0</v>
      </c>
      <c r="P296" s="190">
        <v>0</v>
      </c>
      <c r="Q296" s="190">
        <v>0</v>
      </c>
      <c r="R296" s="190">
        <v>0</v>
      </c>
      <c r="S296" s="190">
        <v>0</v>
      </c>
      <c r="T296" s="190">
        <v>0</v>
      </c>
      <c r="U296" s="190">
        <v>0</v>
      </c>
      <c r="V296" s="190">
        <v>0</v>
      </c>
      <c r="W296" s="190">
        <v>0</v>
      </c>
      <c r="X296" s="190">
        <v>0</v>
      </c>
      <c r="Y296" s="190">
        <v>0</v>
      </c>
      <c r="Z296" s="190">
        <v>0</v>
      </c>
      <c r="AA296" s="190">
        <v>0</v>
      </c>
      <c r="AB296" s="190">
        <v>0</v>
      </c>
      <c r="AC296" s="190">
        <v>0</v>
      </c>
      <c r="AD296" s="190">
        <v>0</v>
      </c>
      <c r="AE296" s="190">
        <v>0</v>
      </c>
      <c r="AF296" s="190">
        <v>0</v>
      </c>
      <c r="AG296" s="190">
        <v>0</v>
      </c>
      <c r="AH296" s="190">
        <v>0</v>
      </c>
      <c r="AI296" s="190">
        <v>0</v>
      </c>
      <c r="AJ296" s="190">
        <v>0</v>
      </c>
      <c r="AK296" s="190">
        <v>0</v>
      </c>
      <c r="AL296" s="190">
        <v>0</v>
      </c>
    </row>
    <row r="297" spans="2:38" ht="12.75" customHeight="1">
      <c r="B297" s="507" t="s">
        <v>115</v>
      </c>
      <c r="C297" s="6">
        <v>0</v>
      </c>
      <c r="D297" s="12" t="s">
        <v>971</v>
      </c>
      <c r="E297" s="12">
        <v>0</v>
      </c>
      <c r="F297" s="6">
        <v>0</v>
      </c>
      <c r="G297" s="6">
        <v>0</v>
      </c>
      <c r="H297" s="6">
        <v>0</v>
      </c>
      <c r="I297" s="190">
        <v>0</v>
      </c>
      <c r="J297" s="190">
        <v>0</v>
      </c>
      <c r="K297" s="190">
        <v>0</v>
      </c>
      <c r="L297" s="190">
        <v>0</v>
      </c>
      <c r="M297" s="190">
        <v>0</v>
      </c>
      <c r="N297" s="190">
        <v>0</v>
      </c>
      <c r="O297" s="190">
        <v>0</v>
      </c>
      <c r="P297" s="190">
        <v>0</v>
      </c>
      <c r="Q297" s="190">
        <v>0</v>
      </c>
      <c r="R297" s="190">
        <v>0</v>
      </c>
      <c r="S297" s="190">
        <v>0</v>
      </c>
      <c r="T297" s="190">
        <v>0</v>
      </c>
      <c r="U297" s="190">
        <v>0</v>
      </c>
      <c r="V297" s="190">
        <v>0</v>
      </c>
      <c r="W297" s="190">
        <v>0</v>
      </c>
      <c r="X297" s="190">
        <v>0</v>
      </c>
      <c r="Y297" s="190">
        <v>0</v>
      </c>
      <c r="Z297" s="190">
        <v>0</v>
      </c>
      <c r="AA297" s="190">
        <v>0</v>
      </c>
      <c r="AB297" s="190">
        <v>0</v>
      </c>
      <c r="AC297" s="190">
        <v>0</v>
      </c>
      <c r="AD297" s="190">
        <v>0</v>
      </c>
      <c r="AE297" s="190">
        <v>0</v>
      </c>
      <c r="AF297" s="190">
        <v>0</v>
      </c>
      <c r="AG297" s="190">
        <v>0</v>
      </c>
      <c r="AH297" s="190">
        <v>0</v>
      </c>
      <c r="AI297" s="190">
        <v>0</v>
      </c>
      <c r="AJ297" s="190">
        <v>0</v>
      </c>
      <c r="AK297" s="190">
        <v>0</v>
      </c>
      <c r="AL297" s="190">
        <v>0</v>
      </c>
    </row>
    <row r="298" spans="2:38" ht="12.75" customHeight="1">
      <c r="B298" s="507" t="s">
        <v>115</v>
      </c>
      <c r="C298" s="6">
        <v>0</v>
      </c>
      <c r="D298" s="12" t="s">
        <v>971</v>
      </c>
      <c r="E298" s="12">
        <v>0</v>
      </c>
      <c r="F298" s="6">
        <v>0</v>
      </c>
      <c r="G298" s="6">
        <v>0</v>
      </c>
      <c r="H298" s="6">
        <v>0</v>
      </c>
      <c r="I298" s="190">
        <v>0</v>
      </c>
      <c r="J298" s="190">
        <v>0</v>
      </c>
      <c r="K298" s="190">
        <v>0</v>
      </c>
      <c r="L298" s="190">
        <v>0</v>
      </c>
      <c r="M298" s="190">
        <v>0</v>
      </c>
      <c r="N298" s="190">
        <v>0</v>
      </c>
      <c r="O298" s="190">
        <v>0</v>
      </c>
      <c r="P298" s="190">
        <v>0</v>
      </c>
      <c r="Q298" s="190">
        <v>0</v>
      </c>
      <c r="R298" s="190">
        <v>0</v>
      </c>
      <c r="S298" s="190">
        <v>0</v>
      </c>
      <c r="T298" s="190">
        <v>0</v>
      </c>
      <c r="U298" s="190">
        <v>0</v>
      </c>
      <c r="V298" s="190">
        <v>0</v>
      </c>
      <c r="W298" s="190">
        <v>0</v>
      </c>
      <c r="X298" s="190">
        <v>0</v>
      </c>
      <c r="Y298" s="190">
        <v>0</v>
      </c>
      <c r="Z298" s="190">
        <v>0</v>
      </c>
      <c r="AA298" s="190">
        <v>0</v>
      </c>
      <c r="AB298" s="190">
        <v>0</v>
      </c>
      <c r="AC298" s="190">
        <v>0</v>
      </c>
      <c r="AD298" s="190">
        <v>0</v>
      </c>
      <c r="AE298" s="190">
        <v>0</v>
      </c>
      <c r="AF298" s="190">
        <v>0</v>
      </c>
      <c r="AG298" s="190">
        <v>0</v>
      </c>
      <c r="AH298" s="190">
        <v>0</v>
      </c>
      <c r="AI298" s="190">
        <v>0</v>
      </c>
      <c r="AJ298" s="190">
        <v>0</v>
      </c>
      <c r="AK298" s="190">
        <v>0</v>
      </c>
      <c r="AL298" s="190">
        <v>0</v>
      </c>
    </row>
    <row r="299" spans="2:38" ht="12.75" customHeight="1">
      <c r="B299" s="507" t="s">
        <v>115</v>
      </c>
      <c r="C299" s="6" t="s">
        <v>880</v>
      </c>
      <c r="D299" s="12" t="s">
        <v>881</v>
      </c>
      <c r="E299" s="12" t="s">
        <v>972</v>
      </c>
      <c r="F299" s="6"/>
      <c r="G299" s="6"/>
      <c r="H299" s="6" t="s">
        <v>973</v>
      </c>
      <c r="I299" s="190"/>
      <c r="J299" s="190"/>
      <c r="K299" s="190"/>
      <c r="L299" s="190"/>
      <c r="M299" s="190"/>
      <c r="N299" s="190"/>
      <c r="O299" s="190"/>
      <c r="P299" s="190"/>
      <c r="Q299" s="190"/>
      <c r="R299" s="190"/>
      <c r="S299" s="190"/>
      <c r="T299" s="190"/>
      <c r="U299" s="190"/>
      <c r="V299" s="190"/>
      <c r="W299" s="190"/>
      <c r="X299" s="190"/>
      <c r="Y299" s="190"/>
      <c r="Z299" s="190"/>
      <c r="AA299" s="190"/>
      <c r="AB299" s="190"/>
      <c r="AC299" s="190"/>
      <c r="AD299" s="190"/>
      <c r="AE299" s="190"/>
      <c r="AF299" s="190"/>
      <c r="AG299" s="190"/>
      <c r="AH299" s="190"/>
      <c r="AI299" s="190"/>
      <c r="AJ299" s="190"/>
      <c r="AK299" s="190"/>
      <c r="AL299" s="190"/>
    </row>
    <row r="300" spans="2:38" ht="12.75" customHeight="1">
      <c r="B300" s="507" t="s">
        <v>115</v>
      </c>
      <c r="C300" s="6" t="s">
        <v>880</v>
      </c>
      <c r="D300" s="12" t="s">
        <v>881</v>
      </c>
      <c r="E300" s="12" t="s">
        <v>974</v>
      </c>
      <c r="F300" s="6">
        <v>0</v>
      </c>
      <c r="G300" s="6">
        <v>1</v>
      </c>
      <c r="H300" s="6" t="s">
        <v>975</v>
      </c>
      <c r="I300" s="190">
        <v>0</v>
      </c>
      <c r="J300" s="190">
        <v>0</v>
      </c>
      <c r="K300" s="190">
        <v>168287.7</v>
      </c>
      <c r="L300" s="190">
        <v>0</v>
      </c>
      <c r="M300" s="190">
        <v>3411292.1958080009</v>
      </c>
      <c r="N300" s="190">
        <v>1427526.1009006985</v>
      </c>
      <c r="O300" s="190">
        <v>476731.63033709448</v>
      </c>
      <c r="P300" s="190">
        <v>0</v>
      </c>
      <c r="Q300" s="190">
        <v>3411292.1958080009</v>
      </c>
      <c r="R300" s="190">
        <v>0</v>
      </c>
      <c r="S300" s="190">
        <v>1595813.8009006984</v>
      </c>
      <c r="T300" s="190">
        <v>0</v>
      </c>
      <c r="U300" s="190">
        <v>3719736.1261450956</v>
      </c>
      <c r="V300" s="190">
        <v>0</v>
      </c>
      <c r="W300" s="190">
        <v>168287.7</v>
      </c>
      <c r="X300" s="190">
        <v>1427526.1009006985</v>
      </c>
      <c r="Y300" s="190">
        <v>3411292.1958080009</v>
      </c>
      <c r="Z300" s="190">
        <v>0</v>
      </c>
      <c r="AA300" s="190">
        <v>476731.63033709448</v>
      </c>
      <c r="AB300" s="190">
        <v>0</v>
      </c>
      <c r="AC300" s="190">
        <v>4154166.1082286993</v>
      </c>
      <c r="AD300" s="190">
        <v>0</v>
      </c>
      <c r="AE300" s="190">
        <v>168287.7</v>
      </c>
      <c r="AF300" s="190">
        <v>0</v>
      </c>
      <c r="AG300" s="190">
        <v>3240479.5942090945</v>
      </c>
      <c r="AH300" s="190">
        <v>0</v>
      </c>
      <c r="AI300" s="190">
        <v>0</v>
      </c>
      <c r="AJ300" s="190">
        <v>0</v>
      </c>
      <c r="AK300" s="190">
        <v>0</v>
      </c>
      <c r="AL300" s="190">
        <v>0</v>
      </c>
    </row>
    <row r="301" spans="2:38" ht="12.75" customHeight="1">
      <c r="B301" s="507" t="s">
        <v>115</v>
      </c>
      <c r="C301" s="6" t="s">
        <v>880</v>
      </c>
      <c r="D301" s="12" t="s">
        <v>881</v>
      </c>
      <c r="E301" s="12" t="s">
        <v>976</v>
      </c>
      <c r="F301" s="6">
        <v>0</v>
      </c>
      <c r="G301" s="6">
        <v>1</v>
      </c>
      <c r="H301" s="6" t="s">
        <v>887</v>
      </c>
      <c r="I301" s="190">
        <v>0</v>
      </c>
      <c r="J301" s="190">
        <v>0</v>
      </c>
      <c r="K301" s="190">
        <v>0</v>
      </c>
      <c r="L301" s="190">
        <v>0</v>
      </c>
      <c r="M301" s="190">
        <v>0</v>
      </c>
      <c r="N301" s="190">
        <v>0</v>
      </c>
      <c r="O301" s="190">
        <v>0</v>
      </c>
      <c r="P301" s="190">
        <v>0</v>
      </c>
      <c r="Q301" s="190">
        <v>0</v>
      </c>
      <c r="R301" s="190">
        <v>0</v>
      </c>
      <c r="S301" s="190">
        <v>0</v>
      </c>
      <c r="T301" s="190">
        <v>0</v>
      </c>
      <c r="U301" s="190">
        <v>0</v>
      </c>
      <c r="V301" s="190">
        <v>0</v>
      </c>
      <c r="W301" s="190">
        <v>0</v>
      </c>
      <c r="X301" s="190">
        <v>0</v>
      </c>
      <c r="Y301" s="190">
        <v>0</v>
      </c>
      <c r="Z301" s="190">
        <v>0</v>
      </c>
      <c r="AA301" s="190">
        <v>0</v>
      </c>
      <c r="AB301" s="190">
        <v>0</v>
      </c>
      <c r="AC301" s="190">
        <v>0</v>
      </c>
      <c r="AD301" s="190">
        <v>0</v>
      </c>
      <c r="AE301" s="190">
        <v>0</v>
      </c>
      <c r="AF301" s="190">
        <v>0</v>
      </c>
      <c r="AG301" s="190">
        <v>0</v>
      </c>
      <c r="AH301" s="190">
        <v>0</v>
      </c>
      <c r="AI301" s="190">
        <v>0</v>
      </c>
      <c r="AJ301" s="190">
        <v>0</v>
      </c>
      <c r="AK301" s="190">
        <v>0</v>
      </c>
      <c r="AL301" s="190">
        <v>0</v>
      </c>
    </row>
    <row r="302" spans="2:38" ht="12.75" customHeight="1">
      <c r="B302" s="507" t="s">
        <v>115</v>
      </c>
      <c r="C302" s="6" t="s">
        <v>880</v>
      </c>
      <c r="D302" s="12" t="s">
        <v>881</v>
      </c>
      <c r="E302" s="12" t="s">
        <v>976</v>
      </c>
      <c r="F302" s="6">
        <v>0</v>
      </c>
      <c r="G302" s="6">
        <v>1</v>
      </c>
      <c r="H302" s="6" t="s">
        <v>888</v>
      </c>
      <c r="I302" s="190">
        <v>0</v>
      </c>
      <c r="J302" s="190">
        <v>0</v>
      </c>
      <c r="K302" s="190">
        <v>0</v>
      </c>
      <c r="L302" s="190">
        <v>0</v>
      </c>
      <c r="M302" s="190">
        <v>0</v>
      </c>
      <c r="N302" s="190">
        <v>0</v>
      </c>
      <c r="O302" s="190">
        <v>0</v>
      </c>
      <c r="P302" s="190">
        <v>0</v>
      </c>
      <c r="Q302" s="190">
        <v>0</v>
      </c>
      <c r="R302" s="190">
        <v>0</v>
      </c>
      <c r="S302" s="190">
        <v>0</v>
      </c>
      <c r="T302" s="190">
        <v>0</v>
      </c>
      <c r="U302" s="190">
        <v>0</v>
      </c>
      <c r="V302" s="190">
        <v>0</v>
      </c>
      <c r="W302" s="190">
        <v>0</v>
      </c>
      <c r="X302" s="190">
        <v>0</v>
      </c>
      <c r="Y302" s="190">
        <v>0</v>
      </c>
      <c r="Z302" s="190">
        <v>0</v>
      </c>
      <c r="AA302" s="190">
        <v>0</v>
      </c>
      <c r="AB302" s="190">
        <v>0</v>
      </c>
      <c r="AC302" s="190">
        <v>0</v>
      </c>
      <c r="AD302" s="190">
        <v>0</v>
      </c>
      <c r="AE302" s="190">
        <v>0</v>
      </c>
      <c r="AF302" s="190">
        <v>0</v>
      </c>
      <c r="AG302" s="190">
        <v>0</v>
      </c>
      <c r="AH302" s="190">
        <v>0</v>
      </c>
      <c r="AI302" s="190">
        <v>0</v>
      </c>
      <c r="AJ302" s="190">
        <v>0</v>
      </c>
      <c r="AK302" s="190">
        <v>0</v>
      </c>
      <c r="AL302" s="190">
        <v>0</v>
      </c>
    </row>
    <row r="303" spans="2:38" ht="12.75" customHeight="1">
      <c r="B303" s="507" t="s">
        <v>115</v>
      </c>
      <c r="C303" s="6" t="s">
        <v>880</v>
      </c>
      <c r="D303" s="12" t="s">
        <v>881</v>
      </c>
      <c r="E303" s="12" t="s">
        <v>976</v>
      </c>
      <c r="F303" s="6">
        <v>0</v>
      </c>
      <c r="G303" s="6">
        <v>1</v>
      </c>
      <c r="H303" s="6" t="s">
        <v>889</v>
      </c>
      <c r="I303" s="190">
        <v>0</v>
      </c>
      <c r="J303" s="190">
        <v>0</v>
      </c>
      <c r="K303" s="190">
        <v>0</v>
      </c>
      <c r="L303" s="190">
        <v>0</v>
      </c>
      <c r="M303" s="190">
        <v>0</v>
      </c>
      <c r="N303" s="190">
        <v>0</v>
      </c>
      <c r="O303" s="190">
        <v>0</v>
      </c>
      <c r="P303" s="190">
        <v>0</v>
      </c>
      <c r="Q303" s="190">
        <v>0</v>
      </c>
      <c r="R303" s="190">
        <v>0</v>
      </c>
      <c r="S303" s="190">
        <v>0</v>
      </c>
      <c r="T303" s="190">
        <v>0</v>
      </c>
      <c r="U303" s="190">
        <v>0</v>
      </c>
      <c r="V303" s="190">
        <v>0</v>
      </c>
      <c r="W303" s="190">
        <v>0</v>
      </c>
      <c r="X303" s="190">
        <v>0</v>
      </c>
      <c r="Y303" s="190">
        <v>0</v>
      </c>
      <c r="Z303" s="190">
        <v>0</v>
      </c>
      <c r="AA303" s="190">
        <v>0</v>
      </c>
      <c r="AB303" s="190">
        <v>0</v>
      </c>
      <c r="AC303" s="190">
        <v>0</v>
      </c>
      <c r="AD303" s="190">
        <v>0</v>
      </c>
      <c r="AE303" s="190">
        <v>0</v>
      </c>
      <c r="AF303" s="190">
        <v>0</v>
      </c>
      <c r="AG303" s="190">
        <v>0</v>
      </c>
      <c r="AH303" s="190">
        <v>0</v>
      </c>
      <c r="AI303" s="190">
        <v>0</v>
      </c>
      <c r="AJ303" s="190">
        <v>0</v>
      </c>
      <c r="AK303" s="190">
        <v>0</v>
      </c>
      <c r="AL303" s="190">
        <v>0</v>
      </c>
    </row>
    <row r="304" spans="2:38" ht="12.75" customHeight="1">
      <c r="B304" s="507" t="s">
        <v>115</v>
      </c>
      <c r="C304" s="6" t="s">
        <v>880</v>
      </c>
      <c r="D304" s="12" t="s">
        <v>881</v>
      </c>
      <c r="E304" s="12" t="s">
        <v>976</v>
      </c>
      <c r="F304" s="6">
        <v>1</v>
      </c>
      <c r="G304" s="6">
        <v>1</v>
      </c>
      <c r="H304" s="6" t="s">
        <v>890</v>
      </c>
      <c r="I304" s="190">
        <v>0</v>
      </c>
      <c r="J304" s="190">
        <v>0</v>
      </c>
      <c r="K304" s="190">
        <v>0</v>
      </c>
      <c r="L304" s="190">
        <v>0</v>
      </c>
      <c r="M304" s="190">
        <v>0</v>
      </c>
      <c r="N304" s="190">
        <v>0</v>
      </c>
      <c r="O304" s="190">
        <v>0</v>
      </c>
      <c r="P304" s="190">
        <v>0</v>
      </c>
      <c r="Q304" s="190">
        <v>0</v>
      </c>
      <c r="R304" s="190">
        <v>0</v>
      </c>
      <c r="S304" s="190">
        <v>0</v>
      </c>
      <c r="T304" s="190">
        <v>0</v>
      </c>
      <c r="U304" s="190">
        <v>0</v>
      </c>
      <c r="V304" s="190">
        <v>0</v>
      </c>
      <c r="W304" s="190">
        <v>0</v>
      </c>
      <c r="X304" s="190">
        <v>0</v>
      </c>
      <c r="Y304" s="190">
        <v>0</v>
      </c>
      <c r="Z304" s="190">
        <v>0</v>
      </c>
      <c r="AA304" s="190">
        <v>0</v>
      </c>
      <c r="AB304" s="190">
        <v>0</v>
      </c>
      <c r="AC304" s="190">
        <v>0</v>
      </c>
      <c r="AD304" s="190">
        <v>0</v>
      </c>
      <c r="AE304" s="190">
        <v>0</v>
      </c>
      <c r="AF304" s="190">
        <v>0</v>
      </c>
      <c r="AG304" s="190">
        <v>0</v>
      </c>
      <c r="AH304" s="190">
        <v>0</v>
      </c>
      <c r="AI304" s="190">
        <v>0</v>
      </c>
      <c r="AJ304" s="190">
        <v>0</v>
      </c>
      <c r="AK304" s="190">
        <v>0</v>
      </c>
      <c r="AL304" s="190">
        <v>0</v>
      </c>
    </row>
    <row r="305" spans="2:38" ht="12.75" customHeight="1">
      <c r="B305" s="507" t="s">
        <v>115</v>
      </c>
      <c r="C305" s="6" t="s">
        <v>880</v>
      </c>
      <c r="D305" s="12" t="s">
        <v>881</v>
      </c>
      <c r="E305" s="12" t="s">
        <v>976</v>
      </c>
      <c r="F305" s="6">
        <v>1</v>
      </c>
      <c r="G305" s="6">
        <v>1</v>
      </c>
      <c r="H305" s="6" t="s">
        <v>891</v>
      </c>
      <c r="I305" s="190">
        <v>0</v>
      </c>
      <c r="J305" s="190">
        <v>0</v>
      </c>
      <c r="K305" s="190">
        <v>0</v>
      </c>
      <c r="L305" s="190">
        <v>0</v>
      </c>
      <c r="M305" s="190">
        <v>0</v>
      </c>
      <c r="N305" s="190">
        <v>0</v>
      </c>
      <c r="O305" s="190">
        <v>0</v>
      </c>
      <c r="P305" s="190">
        <v>0</v>
      </c>
      <c r="Q305" s="190">
        <v>0</v>
      </c>
      <c r="R305" s="190">
        <v>0</v>
      </c>
      <c r="S305" s="190">
        <v>0</v>
      </c>
      <c r="T305" s="190">
        <v>0</v>
      </c>
      <c r="U305" s="190">
        <v>0</v>
      </c>
      <c r="V305" s="190">
        <v>0</v>
      </c>
      <c r="W305" s="190">
        <v>0</v>
      </c>
      <c r="X305" s="190">
        <v>0</v>
      </c>
      <c r="Y305" s="190">
        <v>0</v>
      </c>
      <c r="Z305" s="190">
        <v>0</v>
      </c>
      <c r="AA305" s="190">
        <v>0</v>
      </c>
      <c r="AB305" s="190">
        <v>0</v>
      </c>
      <c r="AC305" s="190">
        <v>0</v>
      </c>
      <c r="AD305" s="190">
        <v>0</v>
      </c>
      <c r="AE305" s="190">
        <v>0</v>
      </c>
      <c r="AF305" s="190">
        <v>0</v>
      </c>
      <c r="AG305" s="190">
        <v>0</v>
      </c>
      <c r="AH305" s="190">
        <v>0</v>
      </c>
      <c r="AI305" s="190">
        <v>0</v>
      </c>
      <c r="AJ305" s="190">
        <v>0</v>
      </c>
      <c r="AK305" s="190">
        <v>0</v>
      </c>
      <c r="AL305" s="190">
        <v>0</v>
      </c>
    </row>
    <row r="306" spans="2:38" ht="12.75" customHeight="1">
      <c r="B306" s="507" t="s">
        <v>115</v>
      </c>
      <c r="C306" s="6" t="s">
        <v>880</v>
      </c>
      <c r="D306" s="12" t="s">
        <v>881</v>
      </c>
      <c r="E306" s="12" t="s">
        <v>976</v>
      </c>
      <c r="F306" s="6">
        <v>1</v>
      </c>
      <c r="G306" s="6">
        <v>1</v>
      </c>
      <c r="H306" s="6" t="s">
        <v>892</v>
      </c>
      <c r="I306" s="190">
        <v>0</v>
      </c>
      <c r="J306" s="190">
        <v>0</v>
      </c>
      <c r="K306" s="190">
        <v>0</v>
      </c>
      <c r="L306" s="190">
        <v>0</v>
      </c>
      <c r="M306" s="190">
        <v>0</v>
      </c>
      <c r="N306" s="190">
        <v>0</v>
      </c>
      <c r="O306" s="190">
        <v>0</v>
      </c>
      <c r="P306" s="190">
        <v>0</v>
      </c>
      <c r="Q306" s="190">
        <v>0</v>
      </c>
      <c r="R306" s="190">
        <v>0</v>
      </c>
      <c r="S306" s="190">
        <v>0</v>
      </c>
      <c r="T306" s="190">
        <v>0</v>
      </c>
      <c r="U306" s="190">
        <v>0</v>
      </c>
      <c r="V306" s="190">
        <v>0</v>
      </c>
      <c r="W306" s="190">
        <v>0</v>
      </c>
      <c r="X306" s="190">
        <v>0</v>
      </c>
      <c r="Y306" s="190">
        <v>0</v>
      </c>
      <c r="Z306" s="190">
        <v>0</v>
      </c>
      <c r="AA306" s="190">
        <v>0</v>
      </c>
      <c r="AB306" s="190">
        <v>0</v>
      </c>
      <c r="AC306" s="190">
        <v>0</v>
      </c>
      <c r="AD306" s="190">
        <v>0</v>
      </c>
      <c r="AE306" s="190">
        <v>0</v>
      </c>
      <c r="AF306" s="190">
        <v>0</v>
      </c>
      <c r="AG306" s="190">
        <v>0</v>
      </c>
      <c r="AH306" s="190">
        <v>0</v>
      </c>
      <c r="AI306" s="190">
        <v>0</v>
      </c>
      <c r="AJ306" s="190">
        <v>0</v>
      </c>
      <c r="AK306" s="190">
        <v>0</v>
      </c>
      <c r="AL306" s="190">
        <v>0</v>
      </c>
    </row>
    <row r="307" spans="2:38" ht="12.75" customHeight="1">
      <c r="B307" s="507" t="s">
        <v>115</v>
      </c>
      <c r="C307" s="6" t="s">
        <v>880</v>
      </c>
      <c r="D307" s="12" t="s">
        <v>881</v>
      </c>
      <c r="E307" s="12" t="s">
        <v>976</v>
      </c>
      <c r="F307" s="6">
        <v>1</v>
      </c>
      <c r="G307" s="6">
        <v>1</v>
      </c>
      <c r="H307" s="6" t="s">
        <v>893</v>
      </c>
      <c r="I307" s="190">
        <v>0</v>
      </c>
      <c r="J307" s="190">
        <v>0</v>
      </c>
      <c r="K307" s="190">
        <v>0</v>
      </c>
      <c r="L307" s="190">
        <v>0</v>
      </c>
      <c r="M307" s="190">
        <v>0</v>
      </c>
      <c r="N307" s="190">
        <v>0</v>
      </c>
      <c r="O307" s="190">
        <v>0</v>
      </c>
      <c r="P307" s="190">
        <v>0</v>
      </c>
      <c r="Q307" s="190">
        <v>0</v>
      </c>
      <c r="R307" s="190">
        <v>0</v>
      </c>
      <c r="S307" s="190">
        <v>0</v>
      </c>
      <c r="T307" s="190">
        <v>0</v>
      </c>
      <c r="U307" s="190">
        <v>0</v>
      </c>
      <c r="V307" s="190">
        <v>0</v>
      </c>
      <c r="W307" s="190">
        <v>0</v>
      </c>
      <c r="X307" s="190">
        <v>0</v>
      </c>
      <c r="Y307" s="190">
        <v>0</v>
      </c>
      <c r="Z307" s="190">
        <v>0</v>
      </c>
      <c r="AA307" s="190">
        <v>0</v>
      </c>
      <c r="AB307" s="190">
        <v>0</v>
      </c>
      <c r="AC307" s="190">
        <v>0</v>
      </c>
      <c r="AD307" s="190">
        <v>0</v>
      </c>
      <c r="AE307" s="190">
        <v>0</v>
      </c>
      <c r="AF307" s="190">
        <v>0</v>
      </c>
      <c r="AG307" s="190">
        <v>0</v>
      </c>
      <c r="AH307" s="190">
        <v>0</v>
      </c>
      <c r="AI307" s="190">
        <v>0</v>
      </c>
      <c r="AJ307" s="190">
        <v>0</v>
      </c>
      <c r="AK307" s="190">
        <v>0</v>
      </c>
      <c r="AL307" s="190">
        <v>0</v>
      </c>
    </row>
    <row r="308" spans="2:38" ht="12.75" customHeight="1">
      <c r="B308" s="507" t="s">
        <v>115</v>
      </c>
      <c r="C308" s="6" t="s">
        <v>880</v>
      </c>
      <c r="D308" s="12" t="s">
        <v>881</v>
      </c>
      <c r="E308" s="12" t="s">
        <v>976</v>
      </c>
      <c r="F308" s="6">
        <v>1</v>
      </c>
      <c r="G308" s="6">
        <v>1</v>
      </c>
      <c r="H308" s="6" t="s">
        <v>894</v>
      </c>
      <c r="I308" s="190">
        <v>0</v>
      </c>
      <c r="J308" s="190">
        <v>0</v>
      </c>
      <c r="K308" s="190">
        <v>0</v>
      </c>
      <c r="L308" s="190">
        <v>0</v>
      </c>
      <c r="M308" s="190">
        <v>0</v>
      </c>
      <c r="N308" s="190">
        <v>0</v>
      </c>
      <c r="O308" s="190">
        <v>0</v>
      </c>
      <c r="P308" s="190">
        <v>0</v>
      </c>
      <c r="Q308" s="190">
        <v>0</v>
      </c>
      <c r="R308" s="190">
        <v>0</v>
      </c>
      <c r="S308" s="190">
        <v>0</v>
      </c>
      <c r="T308" s="190">
        <v>0</v>
      </c>
      <c r="U308" s="190">
        <v>0</v>
      </c>
      <c r="V308" s="190">
        <v>0</v>
      </c>
      <c r="W308" s="190">
        <v>0</v>
      </c>
      <c r="X308" s="190">
        <v>0</v>
      </c>
      <c r="Y308" s="190">
        <v>0</v>
      </c>
      <c r="Z308" s="190">
        <v>0</v>
      </c>
      <c r="AA308" s="190">
        <v>0</v>
      </c>
      <c r="AB308" s="190">
        <v>0</v>
      </c>
      <c r="AC308" s="190">
        <v>0</v>
      </c>
      <c r="AD308" s="190">
        <v>0</v>
      </c>
      <c r="AE308" s="190">
        <v>0</v>
      </c>
      <c r="AF308" s="190">
        <v>0</v>
      </c>
      <c r="AG308" s="190">
        <v>0</v>
      </c>
      <c r="AH308" s="190">
        <v>0</v>
      </c>
      <c r="AI308" s="190">
        <v>0</v>
      </c>
      <c r="AJ308" s="190">
        <v>0</v>
      </c>
      <c r="AK308" s="190">
        <v>0</v>
      </c>
      <c r="AL308" s="190">
        <v>0</v>
      </c>
    </row>
    <row r="309" spans="2:38" ht="12.75" customHeight="1">
      <c r="B309" s="507" t="s">
        <v>115</v>
      </c>
      <c r="C309" s="6" t="s">
        <v>880</v>
      </c>
      <c r="D309" s="12" t="s">
        <v>881</v>
      </c>
      <c r="E309" s="12" t="s">
        <v>976</v>
      </c>
      <c r="F309" s="6">
        <v>1</v>
      </c>
      <c r="G309" s="6">
        <v>1</v>
      </c>
      <c r="H309" s="6" t="s">
        <v>895</v>
      </c>
      <c r="I309" s="190">
        <v>0</v>
      </c>
      <c r="J309" s="190">
        <v>0</v>
      </c>
      <c r="K309" s="190">
        <v>0</v>
      </c>
      <c r="L309" s="190">
        <v>0</v>
      </c>
      <c r="M309" s="190">
        <v>0</v>
      </c>
      <c r="N309" s="190">
        <v>0</v>
      </c>
      <c r="O309" s="190">
        <v>0</v>
      </c>
      <c r="P309" s="190">
        <v>0</v>
      </c>
      <c r="Q309" s="190">
        <v>0</v>
      </c>
      <c r="R309" s="190">
        <v>0</v>
      </c>
      <c r="S309" s="190">
        <v>0</v>
      </c>
      <c r="T309" s="190">
        <v>0</v>
      </c>
      <c r="U309" s="190">
        <v>0</v>
      </c>
      <c r="V309" s="190">
        <v>0</v>
      </c>
      <c r="W309" s="190">
        <v>0</v>
      </c>
      <c r="X309" s="190">
        <v>0</v>
      </c>
      <c r="Y309" s="190">
        <v>0</v>
      </c>
      <c r="Z309" s="190">
        <v>0</v>
      </c>
      <c r="AA309" s="190">
        <v>0</v>
      </c>
      <c r="AB309" s="190">
        <v>0</v>
      </c>
      <c r="AC309" s="190">
        <v>0</v>
      </c>
      <c r="AD309" s="190">
        <v>0</v>
      </c>
      <c r="AE309" s="190">
        <v>0</v>
      </c>
      <c r="AF309" s="190">
        <v>0</v>
      </c>
      <c r="AG309" s="190">
        <v>0</v>
      </c>
      <c r="AH309" s="190">
        <v>0</v>
      </c>
      <c r="AI309" s="190">
        <v>0</v>
      </c>
      <c r="AJ309" s="190">
        <v>0</v>
      </c>
      <c r="AK309" s="190">
        <v>0</v>
      </c>
      <c r="AL309" s="190">
        <v>0</v>
      </c>
    </row>
    <row r="310" spans="2:38" ht="12.75" customHeight="1">
      <c r="B310" s="507" t="s">
        <v>115</v>
      </c>
      <c r="C310" s="6" t="s">
        <v>880</v>
      </c>
      <c r="D310" s="12" t="s">
        <v>881</v>
      </c>
      <c r="E310" s="12" t="s">
        <v>976</v>
      </c>
      <c r="F310" s="6">
        <v>1</v>
      </c>
      <c r="G310" s="6">
        <v>1</v>
      </c>
      <c r="H310" s="6" t="s">
        <v>896</v>
      </c>
      <c r="I310" s="190">
        <v>0</v>
      </c>
      <c r="J310" s="190">
        <v>0</v>
      </c>
      <c r="K310" s="190">
        <v>0</v>
      </c>
      <c r="L310" s="190">
        <v>0</v>
      </c>
      <c r="M310" s="190">
        <v>0</v>
      </c>
      <c r="N310" s="190">
        <v>0</v>
      </c>
      <c r="O310" s="190">
        <v>0</v>
      </c>
      <c r="P310" s="190">
        <v>0</v>
      </c>
      <c r="Q310" s="190">
        <v>0</v>
      </c>
      <c r="R310" s="190">
        <v>0</v>
      </c>
      <c r="S310" s="190">
        <v>0</v>
      </c>
      <c r="T310" s="190">
        <v>0</v>
      </c>
      <c r="U310" s="190">
        <v>0</v>
      </c>
      <c r="V310" s="190">
        <v>0</v>
      </c>
      <c r="W310" s="190">
        <v>0</v>
      </c>
      <c r="X310" s="190">
        <v>0</v>
      </c>
      <c r="Y310" s="190">
        <v>0</v>
      </c>
      <c r="Z310" s="190">
        <v>0</v>
      </c>
      <c r="AA310" s="190">
        <v>0</v>
      </c>
      <c r="AB310" s="190">
        <v>0</v>
      </c>
      <c r="AC310" s="190">
        <v>0</v>
      </c>
      <c r="AD310" s="190">
        <v>0</v>
      </c>
      <c r="AE310" s="190">
        <v>0</v>
      </c>
      <c r="AF310" s="190">
        <v>0</v>
      </c>
      <c r="AG310" s="190">
        <v>0</v>
      </c>
      <c r="AH310" s="190">
        <v>0</v>
      </c>
      <c r="AI310" s="190">
        <v>0</v>
      </c>
      <c r="AJ310" s="190">
        <v>0</v>
      </c>
      <c r="AK310" s="190">
        <v>0</v>
      </c>
      <c r="AL310" s="190">
        <v>0</v>
      </c>
    </row>
    <row r="311" spans="2:38" ht="12.75" customHeight="1">
      <c r="B311" s="507" t="s">
        <v>115</v>
      </c>
      <c r="C311" s="6" t="s">
        <v>880</v>
      </c>
      <c r="D311" s="12" t="s">
        <v>881</v>
      </c>
      <c r="E311" s="12" t="s">
        <v>976</v>
      </c>
      <c r="F311" s="6">
        <v>0</v>
      </c>
      <c r="G311" s="6">
        <v>1</v>
      </c>
      <c r="H311" s="6" t="s">
        <v>897</v>
      </c>
      <c r="I311" s="190">
        <v>0</v>
      </c>
      <c r="J311" s="190">
        <v>0</v>
      </c>
      <c r="K311" s="190">
        <v>0</v>
      </c>
      <c r="L311" s="190">
        <v>0</v>
      </c>
      <c r="M311" s="190">
        <v>680734.99946306855</v>
      </c>
      <c r="N311" s="190">
        <v>0</v>
      </c>
      <c r="O311" s="190">
        <v>0</v>
      </c>
      <c r="P311" s="190">
        <v>0</v>
      </c>
      <c r="Q311" s="190">
        <v>680734.99946306855</v>
      </c>
      <c r="R311" s="190">
        <v>0</v>
      </c>
      <c r="S311" s="190">
        <v>0</v>
      </c>
      <c r="T311" s="190">
        <v>0</v>
      </c>
      <c r="U311" s="190">
        <v>680734.99946306855</v>
      </c>
      <c r="V311" s="190">
        <v>0</v>
      </c>
      <c r="W311" s="190">
        <v>0</v>
      </c>
      <c r="X311" s="190">
        <v>0</v>
      </c>
      <c r="Y311" s="190">
        <v>680734.99946306855</v>
      </c>
      <c r="Z311" s="190">
        <v>0</v>
      </c>
      <c r="AA311" s="190">
        <v>0</v>
      </c>
      <c r="AB311" s="190">
        <v>0</v>
      </c>
      <c r="AC311" s="190">
        <v>624289.31128205126</v>
      </c>
      <c r="AD311" s="190">
        <v>0</v>
      </c>
      <c r="AE311" s="190">
        <v>0</v>
      </c>
      <c r="AF311" s="190">
        <v>0</v>
      </c>
      <c r="AG311" s="190">
        <v>629933.88010015304</v>
      </c>
      <c r="AH311" s="190">
        <v>0</v>
      </c>
      <c r="AI311" s="190">
        <v>0</v>
      </c>
      <c r="AJ311" s="190">
        <v>0</v>
      </c>
      <c r="AK311" s="190">
        <v>629933.88010015304</v>
      </c>
      <c r="AL311" s="190">
        <v>0</v>
      </c>
    </row>
    <row r="312" spans="2:38" ht="12.75" customHeight="1">
      <c r="B312" s="507" t="s">
        <v>115</v>
      </c>
      <c r="C312" s="6" t="s">
        <v>880</v>
      </c>
      <c r="D312" s="12" t="s">
        <v>881</v>
      </c>
      <c r="E312" s="12" t="s">
        <v>976</v>
      </c>
      <c r="F312" s="6">
        <v>0</v>
      </c>
      <c r="G312" s="6">
        <v>1</v>
      </c>
      <c r="H312" s="6" t="s">
        <v>898</v>
      </c>
      <c r="I312" s="190">
        <v>0</v>
      </c>
      <c r="J312" s="190">
        <v>0</v>
      </c>
      <c r="K312" s="190">
        <v>0</v>
      </c>
      <c r="L312" s="190">
        <v>0</v>
      </c>
      <c r="M312" s="190">
        <v>19159.479527055224</v>
      </c>
      <c r="N312" s="190">
        <v>0</v>
      </c>
      <c r="O312" s="190">
        <v>0</v>
      </c>
      <c r="P312" s="190">
        <v>0</v>
      </c>
      <c r="Q312" s="190">
        <v>19159.479527055224</v>
      </c>
      <c r="R312" s="190">
        <v>0</v>
      </c>
      <c r="S312" s="190">
        <v>0</v>
      </c>
      <c r="T312" s="190">
        <v>0</v>
      </c>
      <c r="U312" s="190">
        <v>19159.479527055224</v>
      </c>
      <c r="V312" s="190">
        <v>0</v>
      </c>
      <c r="W312" s="190">
        <v>0</v>
      </c>
      <c r="X312" s="190">
        <v>0</v>
      </c>
      <c r="Y312" s="190">
        <v>19159.479527055224</v>
      </c>
      <c r="Z312" s="190">
        <v>0</v>
      </c>
      <c r="AA312" s="190">
        <v>0</v>
      </c>
      <c r="AB312" s="190">
        <v>0</v>
      </c>
      <c r="AC312" s="190">
        <v>19159.479527055224</v>
      </c>
      <c r="AD312" s="190">
        <v>0</v>
      </c>
      <c r="AE312" s="190">
        <v>0</v>
      </c>
      <c r="AF312" s="190">
        <v>0</v>
      </c>
      <c r="AG312" s="190">
        <v>19159.479527055224</v>
      </c>
      <c r="AH312" s="190">
        <v>0</v>
      </c>
      <c r="AI312" s="190">
        <v>0</v>
      </c>
      <c r="AJ312" s="190">
        <v>0</v>
      </c>
      <c r="AK312" s="190">
        <v>19159.479527055224</v>
      </c>
      <c r="AL312" s="190">
        <v>0</v>
      </c>
    </row>
    <row r="313" spans="2:38" ht="12.75" customHeight="1">
      <c r="B313" s="507" t="s">
        <v>115</v>
      </c>
      <c r="C313" s="6" t="s">
        <v>880</v>
      </c>
      <c r="D313" s="12" t="s">
        <v>881</v>
      </c>
      <c r="E313" s="12" t="s">
        <v>976</v>
      </c>
      <c r="F313" s="6">
        <v>0</v>
      </c>
      <c r="G313" s="6">
        <v>1</v>
      </c>
      <c r="H313" s="6" t="s">
        <v>899</v>
      </c>
      <c r="I313" s="190">
        <v>0</v>
      </c>
      <c r="J313" s="190">
        <v>0</v>
      </c>
      <c r="K313" s="190">
        <v>0</v>
      </c>
      <c r="L313" s="190">
        <v>0</v>
      </c>
      <c r="M313" s="190">
        <v>22355.062067046878</v>
      </c>
      <c r="N313" s="190">
        <v>0</v>
      </c>
      <c r="O313" s="190">
        <v>0</v>
      </c>
      <c r="P313" s="190">
        <v>0</v>
      </c>
      <c r="Q313" s="190">
        <v>22355.062067046878</v>
      </c>
      <c r="R313" s="190">
        <v>0</v>
      </c>
      <c r="S313" s="190">
        <v>0</v>
      </c>
      <c r="T313" s="190">
        <v>0</v>
      </c>
      <c r="U313" s="190">
        <v>22355.062067046878</v>
      </c>
      <c r="V313" s="190">
        <v>0</v>
      </c>
      <c r="W313" s="190">
        <v>0</v>
      </c>
      <c r="X313" s="190">
        <v>0</v>
      </c>
      <c r="Y313" s="190">
        <v>22355.062067046878</v>
      </c>
      <c r="Z313" s="190">
        <v>0</v>
      </c>
      <c r="AA313" s="190">
        <v>0</v>
      </c>
      <c r="AB313" s="190">
        <v>0</v>
      </c>
      <c r="AC313" s="190">
        <v>22355.062067046878</v>
      </c>
      <c r="AD313" s="190">
        <v>0</v>
      </c>
      <c r="AE313" s="190">
        <v>0</v>
      </c>
      <c r="AF313" s="190">
        <v>0</v>
      </c>
      <c r="AG313" s="190">
        <v>22355.062067046878</v>
      </c>
      <c r="AH313" s="190">
        <v>0</v>
      </c>
      <c r="AI313" s="190">
        <v>0</v>
      </c>
      <c r="AJ313" s="190">
        <v>0</v>
      </c>
      <c r="AK313" s="190">
        <v>22355.062067046878</v>
      </c>
      <c r="AL313" s="190">
        <v>0</v>
      </c>
    </row>
    <row r="314" spans="2:38" ht="12.75" customHeight="1">
      <c r="B314" s="507" t="s">
        <v>115</v>
      </c>
      <c r="C314" s="6" t="s">
        <v>880</v>
      </c>
      <c r="D314" s="12" t="s">
        <v>881</v>
      </c>
      <c r="E314" s="12" t="s">
        <v>976</v>
      </c>
      <c r="F314" s="6">
        <v>0</v>
      </c>
      <c r="G314" s="6">
        <v>1</v>
      </c>
      <c r="H314" s="6" t="s">
        <v>900</v>
      </c>
      <c r="I314" s="190">
        <v>0</v>
      </c>
      <c r="J314" s="190">
        <v>0</v>
      </c>
      <c r="K314" s="190">
        <v>0</v>
      </c>
      <c r="L314" s="190">
        <v>0</v>
      </c>
      <c r="M314" s="190">
        <v>0</v>
      </c>
      <c r="N314" s="190">
        <v>0</v>
      </c>
      <c r="O314" s="190">
        <v>0</v>
      </c>
      <c r="P314" s="190">
        <v>0</v>
      </c>
      <c r="Q314" s="190">
        <v>0</v>
      </c>
      <c r="R314" s="190">
        <v>0</v>
      </c>
      <c r="S314" s="190">
        <v>0</v>
      </c>
      <c r="T314" s="190">
        <v>0</v>
      </c>
      <c r="U314" s="190">
        <v>0</v>
      </c>
      <c r="V314" s="190">
        <v>0</v>
      </c>
      <c r="W314" s="190">
        <v>0</v>
      </c>
      <c r="X314" s="190">
        <v>0</v>
      </c>
      <c r="Y314" s="190">
        <v>0</v>
      </c>
      <c r="Z314" s="190">
        <v>0</v>
      </c>
      <c r="AA314" s="190">
        <v>0</v>
      </c>
      <c r="AB314" s="190">
        <v>0</v>
      </c>
      <c r="AC314" s="190">
        <v>0</v>
      </c>
      <c r="AD314" s="190">
        <v>0</v>
      </c>
      <c r="AE314" s="190">
        <v>0</v>
      </c>
      <c r="AF314" s="190">
        <v>0</v>
      </c>
      <c r="AG314" s="190">
        <v>0</v>
      </c>
      <c r="AH314" s="190">
        <v>0</v>
      </c>
      <c r="AI314" s="190">
        <v>0</v>
      </c>
      <c r="AJ314" s="190">
        <v>0</v>
      </c>
      <c r="AK314" s="190">
        <v>0</v>
      </c>
      <c r="AL314" s="190">
        <v>0</v>
      </c>
    </row>
    <row r="315" spans="2:38" ht="12.75" customHeight="1">
      <c r="B315" s="507" t="s">
        <v>115</v>
      </c>
      <c r="C315" s="6" t="s">
        <v>880</v>
      </c>
      <c r="D315" s="12" t="s">
        <v>881</v>
      </c>
      <c r="E315" s="12" t="s">
        <v>976</v>
      </c>
      <c r="F315" s="6">
        <v>0</v>
      </c>
      <c r="G315" s="6">
        <v>1</v>
      </c>
      <c r="H315" s="6" t="s">
        <v>901</v>
      </c>
      <c r="I315" s="190">
        <v>0</v>
      </c>
      <c r="J315" s="190">
        <v>5456.0704571799506</v>
      </c>
      <c r="K315" s="190">
        <v>5456.0704571799506</v>
      </c>
      <c r="L315" s="190">
        <v>5456.0704571799506</v>
      </c>
      <c r="M315" s="190">
        <v>5456.0704571799506</v>
      </c>
      <c r="N315" s="190">
        <v>5048.901020076969</v>
      </c>
      <c r="O315" s="190">
        <v>5456.0704571799506</v>
      </c>
      <c r="P315" s="190">
        <v>5456.0704571799506</v>
      </c>
      <c r="Q315" s="190">
        <v>5456.0704571799506</v>
      </c>
      <c r="R315" s="190">
        <v>5456.0704571799506</v>
      </c>
      <c r="S315" s="190">
        <v>5456.0704571799506</v>
      </c>
      <c r="T315" s="190">
        <v>5456.0704571799506</v>
      </c>
      <c r="U315" s="190">
        <v>5456.0704571799506</v>
      </c>
      <c r="V315" s="190">
        <v>5456.0704571799506</v>
      </c>
      <c r="W315" s="190">
        <v>5456.0704571799506</v>
      </c>
      <c r="X315" s="190">
        <v>5456.0704571799506</v>
      </c>
      <c r="Y315" s="190">
        <v>5456.0704571799506</v>
      </c>
      <c r="Z315" s="190">
        <v>5456.0704571799506</v>
      </c>
      <c r="AA315" s="190">
        <v>5456.0704571799506</v>
      </c>
      <c r="AB315" s="190">
        <v>5048.901020076969</v>
      </c>
      <c r="AC315" s="190">
        <v>5048.901020076969</v>
      </c>
      <c r="AD315" s="190">
        <v>5048.901020076969</v>
      </c>
      <c r="AE315" s="190">
        <v>5048.901020076969</v>
      </c>
      <c r="AF315" s="190">
        <v>5048.901020076969</v>
      </c>
      <c r="AG315" s="190">
        <v>5048.901020076969</v>
      </c>
      <c r="AH315" s="190">
        <v>5048.901020076969</v>
      </c>
      <c r="AI315" s="190">
        <v>5048.901020076969</v>
      </c>
      <c r="AJ315" s="190">
        <v>5048.901020076969</v>
      </c>
      <c r="AK315" s="190">
        <v>5048.901020076969</v>
      </c>
      <c r="AL315" s="190">
        <v>5048.901020076969</v>
      </c>
    </row>
    <row r="316" spans="2:38" ht="12.75" customHeight="1">
      <c r="B316" s="507" t="s">
        <v>115</v>
      </c>
      <c r="C316" s="6" t="s">
        <v>880</v>
      </c>
      <c r="D316" s="12" t="s">
        <v>881</v>
      </c>
      <c r="E316" s="12" t="s">
        <v>976</v>
      </c>
      <c r="F316" s="6">
        <v>0</v>
      </c>
      <c r="G316" s="6">
        <v>1</v>
      </c>
      <c r="H316" s="6" t="s">
        <v>902</v>
      </c>
      <c r="I316" s="190">
        <v>0</v>
      </c>
      <c r="J316" s="190">
        <v>48267.312066768674</v>
      </c>
      <c r="K316" s="190">
        <v>48267.312066768674</v>
      </c>
      <c r="L316" s="190">
        <v>48267.312066768674</v>
      </c>
      <c r="M316" s="190">
        <v>48267.312066768674</v>
      </c>
      <c r="N316" s="190">
        <v>44665.273852830716</v>
      </c>
      <c r="O316" s="190">
        <v>48267.312066768674</v>
      </c>
      <c r="P316" s="190">
        <v>48267.312066768674</v>
      </c>
      <c r="Q316" s="190">
        <v>48267.312066768674</v>
      </c>
      <c r="R316" s="190">
        <v>48267.312066768674</v>
      </c>
      <c r="S316" s="190">
        <v>48267.312066768674</v>
      </c>
      <c r="T316" s="190">
        <v>48267.312066768674</v>
      </c>
      <c r="U316" s="190">
        <v>48267.312066768674</v>
      </c>
      <c r="V316" s="190">
        <v>48267.312066768674</v>
      </c>
      <c r="W316" s="190">
        <v>48267.312066768674</v>
      </c>
      <c r="X316" s="190">
        <v>48267.312066768674</v>
      </c>
      <c r="Y316" s="190">
        <v>48267.312066768674</v>
      </c>
      <c r="Z316" s="190">
        <v>48267.312066768674</v>
      </c>
      <c r="AA316" s="190">
        <v>48267.312066768674</v>
      </c>
      <c r="AB316" s="190">
        <v>44665.273852830716</v>
      </c>
      <c r="AC316" s="190">
        <v>44665.273852830716</v>
      </c>
      <c r="AD316" s="190">
        <v>44665.273852830716</v>
      </c>
      <c r="AE316" s="190">
        <v>44665.273852830716</v>
      </c>
      <c r="AF316" s="190">
        <v>44665.273852830716</v>
      </c>
      <c r="AG316" s="190">
        <v>44665.273852830716</v>
      </c>
      <c r="AH316" s="190">
        <v>44665.273852830716</v>
      </c>
      <c r="AI316" s="190">
        <v>44665.273852830716</v>
      </c>
      <c r="AJ316" s="190">
        <v>44665.273852830716</v>
      </c>
      <c r="AK316" s="190">
        <v>44665.273852830716</v>
      </c>
      <c r="AL316" s="190">
        <v>44665.273852830716</v>
      </c>
    </row>
    <row r="317" spans="2:38" ht="12.75" customHeight="1">
      <c r="B317" s="507" t="s">
        <v>115</v>
      </c>
      <c r="C317" s="6" t="s">
        <v>880</v>
      </c>
      <c r="D317" s="12" t="s">
        <v>881</v>
      </c>
      <c r="E317" s="12" t="s">
        <v>976</v>
      </c>
      <c r="F317" s="6">
        <v>0</v>
      </c>
      <c r="G317" s="6">
        <v>1</v>
      </c>
      <c r="H317" s="6" t="s">
        <v>903</v>
      </c>
      <c r="I317" s="190">
        <v>0</v>
      </c>
      <c r="J317" s="190">
        <v>0</v>
      </c>
      <c r="K317" s="190">
        <v>0</v>
      </c>
      <c r="L317" s="190">
        <v>0</v>
      </c>
      <c r="M317" s="190">
        <v>0</v>
      </c>
      <c r="N317" s="190">
        <v>0</v>
      </c>
      <c r="O317" s="190">
        <v>0</v>
      </c>
      <c r="P317" s="190">
        <v>0</v>
      </c>
      <c r="Q317" s="190">
        <v>0</v>
      </c>
      <c r="R317" s="190">
        <v>0</v>
      </c>
      <c r="S317" s="190">
        <v>0</v>
      </c>
      <c r="T317" s="190">
        <v>0</v>
      </c>
      <c r="U317" s="190">
        <v>0</v>
      </c>
      <c r="V317" s="190">
        <v>0</v>
      </c>
      <c r="W317" s="190">
        <v>0</v>
      </c>
      <c r="X317" s="190">
        <v>0</v>
      </c>
      <c r="Y317" s="190">
        <v>0</v>
      </c>
      <c r="Z317" s="190">
        <v>0</v>
      </c>
      <c r="AA317" s="190">
        <v>0</v>
      </c>
      <c r="AB317" s="190">
        <v>0</v>
      </c>
      <c r="AC317" s="190">
        <v>0</v>
      </c>
      <c r="AD317" s="190">
        <v>0</v>
      </c>
      <c r="AE317" s="190">
        <v>0</v>
      </c>
      <c r="AF317" s="190">
        <v>0</v>
      </c>
      <c r="AG317" s="190">
        <v>0</v>
      </c>
      <c r="AH317" s="190">
        <v>0</v>
      </c>
      <c r="AI317" s="190">
        <v>0</v>
      </c>
      <c r="AJ317" s="190">
        <v>0</v>
      </c>
      <c r="AK317" s="190">
        <v>0</v>
      </c>
      <c r="AL317" s="190">
        <v>0</v>
      </c>
    </row>
    <row r="318" spans="2:38" ht="12.75" customHeight="1">
      <c r="B318" s="507" t="s">
        <v>115</v>
      </c>
      <c r="C318" s="6" t="s">
        <v>880</v>
      </c>
      <c r="D318" s="12" t="s">
        <v>881</v>
      </c>
      <c r="E318" s="12" t="s">
        <v>976</v>
      </c>
      <c r="F318" s="6">
        <v>0</v>
      </c>
      <c r="G318" s="6">
        <v>1</v>
      </c>
      <c r="H318" s="6" t="s">
        <v>904</v>
      </c>
      <c r="I318" s="190">
        <v>0</v>
      </c>
      <c r="J318" s="190">
        <v>0</v>
      </c>
      <c r="K318" s="190">
        <v>0</v>
      </c>
      <c r="L318" s="190">
        <v>0</v>
      </c>
      <c r="M318" s="190">
        <v>0</v>
      </c>
      <c r="N318" s="190">
        <v>0</v>
      </c>
      <c r="O318" s="190">
        <v>0</v>
      </c>
      <c r="P318" s="190">
        <v>0</v>
      </c>
      <c r="Q318" s="190">
        <v>0</v>
      </c>
      <c r="R318" s="190">
        <v>0</v>
      </c>
      <c r="S318" s="190">
        <v>0</v>
      </c>
      <c r="T318" s="190">
        <v>0</v>
      </c>
      <c r="U318" s="190">
        <v>0</v>
      </c>
      <c r="V318" s="190">
        <v>0</v>
      </c>
      <c r="W318" s="190">
        <v>0</v>
      </c>
      <c r="X318" s="190">
        <v>36337.033430704316</v>
      </c>
      <c r="Y318" s="190">
        <v>0</v>
      </c>
      <c r="Z318" s="190">
        <v>0</v>
      </c>
      <c r="AA318" s="190">
        <v>0</v>
      </c>
      <c r="AB318" s="190">
        <v>0</v>
      </c>
      <c r="AC318" s="190">
        <v>0</v>
      </c>
      <c r="AD318" s="190">
        <v>0</v>
      </c>
      <c r="AE318" s="190">
        <v>0</v>
      </c>
      <c r="AF318" s="190">
        <v>0</v>
      </c>
      <c r="AG318" s="190">
        <v>0</v>
      </c>
      <c r="AH318" s="190">
        <v>0</v>
      </c>
      <c r="AI318" s="190">
        <v>0</v>
      </c>
      <c r="AJ318" s="190">
        <v>0</v>
      </c>
      <c r="AK318" s="190">
        <v>0</v>
      </c>
      <c r="AL318" s="190">
        <v>0</v>
      </c>
    </row>
    <row r="319" spans="2:38" ht="12.75" customHeight="1">
      <c r="B319" s="507" t="s">
        <v>115</v>
      </c>
      <c r="C319" s="6" t="s">
        <v>880</v>
      </c>
      <c r="D319" s="12" t="s">
        <v>881</v>
      </c>
      <c r="E319" s="12" t="s">
        <v>976</v>
      </c>
      <c r="F319" s="6">
        <v>0</v>
      </c>
      <c r="G319" s="6">
        <v>1</v>
      </c>
      <c r="H319" s="6" t="s">
        <v>905</v>
      </c>
      <c r="I319" s="190">
        <v>0</v>
      </c>
      <c r="J319" s="190">
        <v>0</v>
      </c>
      <c r="K319" s="190">
        <v>0</v>
      </c>
      <c r="L319" s="190">
        <v>0</v>
      </c>
      <c r="M319" s="190">
        <v>0</v>
      </c>
      <c r="N319" s="190">
        <v>0</v>
      </c>
      <c r="O319" s="190">
        <v>0</v>
      </c>
      <c r="P319" s="190">
        <v>0</v>
      </c>
      <c r="Q319" s="190">
        <v>0</v>
      </c>
      <c r="R319" s="190">
        <v>0</v>
      </c>
      <c r="S319" s="190">
        <v>0</v>
      </c>
      <c r="T319" s="190">
        <v>0</v>
      </c>
      <c r="U319" s="190">
        <v>0</v>
      </c>
      <c r="V319" s="190">
        <v>0</v>
      </c>
      <c r="W319" s="190">
        <v>0</v>
      </c>
      <c r="X319" s="190">
        <v>0</v>
      </c>
      <c r="Y319" s="190">
        <v>0</v>
      </c>
      <c r="Z319" s="190">
        <v>0</v>
      </c>
      <c r="AA319" s="190">
        <v>0</v>
      </c>
      <c r="AB319" s="190">
        <v>0</v>
      </c>
      <c r="AC319" s="190">
        <v>0</v>
      </c>
      <c r="AD319" s="190">
        <v>0</v>
      </c>
      <c r="AE319" s="190">
        <v>0</v>
      </c>
      <c r="AF319" s="190">
        <v>0</v>
      </c>
      <c r="AG319" s="190">
        <v>0</v>
      </c>
      <c r="AH319" s="190">
        <v>0</v>
      </c>
      <c r="AI319" s="190">
        <v>0</v>
      </c>
      <c r="AJ319" s="190">
        <v>0</v>
      </c>
      <c r="AK319" s="190">
        <v>0</v>
      </c>
      <c r="AL319" s="190">
        <v>0</v>
      </c>
    </row>
    <row r="320" spans="2:38" ht="12.75" customHeight="1">
      <c r="B320" s="507" t="s">
        <v>115</v>
      </c>
      <c r="C320" s="6" t="s">
        <v>880</v>
      </c>
      <c r="D320" s="12" t="s">
        <v>881</v>
      </c>
      <c r="E320" s="12" t="s">
        <v>976</v>
      </c>
      <c r="F320" s="6">
        <v>0</v>
      </c>
      <c r="G320" s="6">
        <v>1</v>
      </c>
      <c r="H320" s="6" t="s">
        <v>906</v>
      </c>
      <c r="I320" s="190">
        <v>0</v>
      </c>
      <c r="J320" s="190">
        <v>49028.988197523991</v>
      </c>
      <c r="K320" s="190">
        <v>49028.988197523991</v>
      </c>
      <c r="L320" s="190">
        <v>49028.988197523991</v>
      </c>
      <c r="M320" s="190">
        <v>49028.988197523991</v>
      </c>
      <c r="N320" s="190">
        <v>45370.108481290859</v>
      </c>
      <c r="O320" s="190">
        <v>49028.988197523991</v>
      </c>
      <c r="P320" s="190">
        <v>49028.988197523991</v>
      </c>
      <c r="Q320" s="190">
        <v>49028.988197523991</v>
      </c>
      <c r="R320" s="190">
        <v>49028.988197523991</v>
      </c>
      <c r="S320" s="190">
        <v>49028.988197523991</v>
      </c>
      <c r="T320" s="190">
        <v>49028.988197523991</v>
      </c>
      <c r="U320" s="190">
        <v>49028.988197523991</v>
      </c>
      <c r="V320" s="190">
        <v>49028.988197523991</v>
      </c>
      <c r="W320" s="190">
        <v>49028.988197523991</v>
      </c>
      <c r="X320" s="190">
        <v>49028.988197523991</v>
      </c>
      <c r="Y320" s="190">
        <v>49028.988197523991</v>
      </c>
      <c r="Z320" s="190">
        <v>49028.988197523991</v>
      </c>
      <c r="AA320" s="190">
        <v>49028.988197523991</v>
      </c>
      <c r="AB320" s="190">
        <v>45370.108481290859</v>
      </c>
      <c r="AC320" s="190">
        <v>45370.108481290859</v>
      </c>
      <c r="AD320" s="190">
        <v>45370.108481290859</v>
      </c>
      <c r="AE320" s="190">
        <v>45370.108481290859</v>
      </c>
      <c r="AF320" s="190">
        <v>45370.108481290859</v>
      </c>
      <c r="AG320" s="190">
        <v>45370.108481290859</v>
      </c>
      <c r="AH320" s="190">
        <v>45370.108481290859</v>
      </c>
      <c r="AI320" s="190">
        <v>45370.108481290859</v>
      </c>
      <c r="AJ320" s="190">
        <v>45370.108481290859</v>
      </c>
      <c r="AK320" s="190">
        <v>45370.108481290859</v>
      </c>
      <c r="AL320" s="190">
        <v>45370.108481290859</v>
      </c>
    </row>
    <row r="321" spans="2:38" ht="12.75" customHeight="1">
      <c r="B321" s="507" t="s">
        <v>115</v>
      </c>
      <c r="C321" s="6" t="s">
        <v>880</v>
      </c>
      <c r="D321" s="12" t="s">
        <v>881</v>
      </c>
      <c r="E321" s="12" t="s">
        <v>976</v>
      </c>
      <c r="F321" s="6">
        <v>0</v>
      </c>
      <c r="G321" s="6">
        <v>1</v>
      </c>
      <c r="H321" s="6" t="s">
        <v>907</v>
      </c>
      <c r="I321" s="190">
        <v>0</v>
      </c>
      <c r="J321" s="190">
        <v>19466.267909305883</v>
      </c>
      <c r="K321" s="190">
        <v>19466.267909305883</v>
      </c>
      <c r="L321" s="190">
        <v>19466.267909305883</v>
      </c>
      <c r="M321" s="190">
        <v>19466.267909305883</v>
      </c>
      <c r="N321" s="190">
        <v>19466.267909305883</v>
      </c>
      <c r="O321" s="190">
        <v>19466.267909305883</v>
      </c>
      <c r="P321" s="190">
        <v>19466.267909305883</v>
      </c>
      <c r="Q321" s="190">
        <v>19466.267909305883</v>
      </c>
      <c r="R321" s="190">
        <v>19466.267909305883</v>
      </c>
      <c r="S321" s="190">
        <v>19466.267909305883</v>
      </c>
      <c r="T321" s="190">
        <v>19466.267909305883</v>
      </c>
      <c r="U321" s="190">
        <v>19466.267909305883</v>
      </c>
      <c r="V321" s="190">
        <v>19466.267909305883</v>
      </c>
      <c r="W321" s="190">
        <v>19466.267909305883</v>
      </c>
      <c r="X321" s="190">
        <v>19466.267909305883</v>
      </c>
      <c r="Y321" s="190">
        <v>19466.267909305883</v>
      </c>
      <c r="Z321" s="190">
        <v>19466.267909305883</v>
      </c>
      <c r="AA321" s="190">
        <v>19466.267909305883</v>
      </c>
      <c r="AB321" s="190">
        <v>19466.267909305883</v>
      </c>
      <c r="AC321" s="190">
        <v>19466.267909305883</v>
      </c>
      <c r="AD321" s="190">
        <v>19466.267909305883</v>
      </c>
      <c r="AE321" s="190">
        <v>19466.267909305883</v>
      </c>
      <c r="AF321" s="190">
        <v>19466.267909305883</v>
      </c>
      <c r="AG321" s="190">
        <v>19466.267909305883</v>
      </c>
      <c r="AH321" s="190">
        <v>19466.267909305883</v>
      </c>
      <c r="AI321" s="190">
        <v>19466.267909305883</v>
      </c>
      <c r="AJ321" s="190">
        <v>19466.267909305883</v>
      </c>
      <c r="AK321" s="190">
        <v>19466.267909305883</v>
      </c>
      <c r="AL321" s="190">
        <v>19466.267909305883</v>
      </c>
    </row>
    <row r="322" spans="2:38" ht="12.75" customHeight="1">
      <c r="B322" s="507" t="s">
        <v>115</v>
      </c>
      <c r="C322" s="6" t="s">
        <v>880</v>
      </c>
      <c r="D322" s="12" t="s">
        <v>881</v>
      </c>
      <c r="E322" s="12" t="s">
        <v>976</v>
      </c>
      <c r="F322" s="6">
        <v>0</v>
      </c>
      <c r="G322" s="6">
        <v>1</v>
      </c>
      <c r="H322" s="6" t="s">
        <v>908</v>
      </c>
      <c r="I322" s="190">
        <v>0</v>
      </c>
      <c r="J322" s="190">
        <v>0</v>
      </c>
      <c r="K322" s="190">
        <v>0</v>
      </c>
      <c r="L322" s="190">
        <v>0</v>
      </c>
      <c r="M322" s="190">
        <v>0</v>
      </c>
      <c r="N322" s="190">
        <v>0</v>
      </c>
      <c r="O322" s="190">
        <v>0</v>
      </c>
      <c r="P322" s="190">
        <v>0</v>
      </c>
      <c r="Q322" s="190">
        <v>0</v>
      </c>
      <c r="R322" s="190">
        <v>0</v>
      </c>
      <c r="S322" s="190">
        <v>0</v>
      </c>
      <c r="T322" s="190">
        <v>0</v>
      </c>
      <c r="U322" s="190">
        <v>0</v>
      </c>
      <c r="V322" s="190">
        <v>0</v>
      </c>
      <c r="W322" s="190">
        <v>0</v>
      </c>
      <c r="X322" s="190">
        <v>0</v>
      </c>
      <c r="Y322" s="190">
        <v>0</v>
      </c>
      <c r="Z322" s="190">
        <v>0</v>
      </c>
      <c r="AA322" s="190">
        <v>0</v>
      </c>
      <c r="AB322" s="190">
        <v>0</v>
      </c>
      <c r="AC322" s="190">
        <v>0</v>
      </c>
      <c r="AD322" s="190">
        <v>0</v>
      </c>
      <c r="AE322" s="190">
        <v>0</v>
      </c>
      <c r="AF322" s="190">
        <v>0</v>
      </c>
      <c r="AG322" s="190">
        <v>0</v>
      </c>
      <c r="AH322" s="190">
        <v>0</v>
      </c>
      <c r="AI322" s="190">
        <v>0</v>
      </c>
      <c r="AJ322" s="190">
        <v>0</v>
      </c>
      <c r="AK322" s="190">
        <v>0</v>
      </c>
      <c r="AL322" s="190">
        <v>0</v>
      </c>
    </row>
    <row r="323" spans="2:38" ht="12.75" customHeight="1">
      <c r="B323" s="507" t="s">
        <v>115</v>
      </c>
      <c r="C323" s="6" t="s">
        <v>880</v>
      </c>
      <c r="D323" s="12" t="s">
        <v>881</v>
      </c>
      <c r="E323" s="12" t="s">
        <v>976</v>
      </c>
      <c r="F323" s="6">
        <v>0</v>
      </c>
      <c r="G323" s="6">
        <v>1</v>
      </c>
      <c r="H323" s="6" t="s">
        <v>909</v>
      </c>
      <c r="I323" s="190">
        <v>0</v>
      </c>
      <c r="J323" s="190">
        <v>0</v>
      </c>
      <c r="K323" s="190">
        <v>0</v>
      </c>
      <c r="L323" s="190">
        <v>0</v>
      </c>
      <c r="M323" s="190">
        <v>0</v>
      </c>
      <c r="N323" s="190">
        <v>0</v>
      </c>
      <c r="O323" s="190">
        <v>0</v>
      </c>
      <c r="P323" s="190">
        <v>0</v>
      </c>
      <c r="Q323" s="190">
        <v>0</v>
      </c>
      <c r="R323" s="190">
        <v>0</v>
      </c>
      <c r="S323" s="190">
        <v>0</v>
      </c>
      <c r="T323" s="190">
        <v>0</v>
      </c>
      <c r="U323" s="190">
        <v>0</v>
      </c>
      <c r="V323" s="190">
        <v>0</v>
      </c>
      <c r="W323" s="190">
        <v>0</v>
      </c>
      <c r="X323" s="190">
        <v>0</v>
      </c>
      <c r="Y323" s="190">
        <v>0</v>
      </c>
      <c r="Z323" s="190">
        <v>0</v>
      </c>
      <c r="AA323" s="190">
        <v>0</v>
      </c>
      <c r="AB323" s="190">
        <v>0</v>
      </c>
      <c r="AC323" s="190">
        <v>0</v>
      </c>
      <c r="AD323" s="190">
        <v>0</v>
      </c>
      <c r="AE323" s="190">
        <v>0</v>
      </c>
      <c r="AF323" s="190">
        <v>0</v>
      </c>
      <c r="AG323" s="190">
        <v>0</v>
      </c>
      <c r="AH323" s="190">
        <v>0</v>
      </c>
      <c r="AI323" s="190">
        <v>0</v>
      </c>
      <c r="AJ323" s="190">
        <v>0</v>
      </c>
      <c r="AK323" s="190">
        <v>0</v>
      </c>
      <c r="AL323" s="190">
        <v>0</v>
      </c>
    </row>
    <row r="324" spans="2:38" ht="12.75" customHeight="1">
      <c r="B324" s="507" t="s">
        <v>115</v>
      </c>
      <c r="C324" s="6" t="s">
        <v>880</v>
      </c>
      <c r="D324" s="12" t="s">
        <v>881</v>
      </c>
      <c r="E324" s="12" t="s">
        <v>976</v>
      </c>
      <c r="F324" s="6">
        <v>0</v>
      </c>
      <c r="G324" s="6">
        <v>1</v>
      </c>
      <c r="H324" s="6" t="s">
        <v>910</v>
      </c>
      <c r="I324" s="190">
        <v>0</v>
      </c>
      <c r="J324" s="190">
        <v>0</v>
      </c>
      <c r="K324" s="190">
        <v>0</v>
      </c>
      <c r="L324" s="190">
        <v>0</v>
      </c>
      <c r="M324" s="190">
        <v>0</v>
      </c>
      <c r="N324" s="190">
        <v>0</v>
      </c>
      <c r="O324" s="190">
        <v>0</v>
      </c>
      <c r="P324" s="190">
        <v>0</v>
      </c>
      <c r="Q324" s="190">
        <v>0</v>
      </c>
      <c r="R324" s="190">
        <v>0</v>
      </c>
      <c r="S324" s="190">
        <v>0</v>
      </c>
      <c r="T324" s="190">
        <v>0</v>
      </c>
      <c r="U324" s="190">
        <v>0</v>
      </c>
      <c r="V324" s="190">
        <v>0</v>
      </c>
      <c r="W324" s="190">
        <v>0</v>
      </c>
      <c r="X324" s="190">
        <v>0</v>
      </c>
      <c r="Y324" s="190">
        <v>0</v>
      </c>
      <c r="Z324" s="190">
        <v>0</v>
      </c>
      <c r="AA324" s="190">
        <v>0</v>
      </c>
      <c r="AB324" s="190">
        <v>0</v>
      </c>
      <c r="AC324" s="190">
        <v>0</v>
      </c>
      <c r="AD324" s="190">
        <v>0</v>
      </c>
      <c r="AE324" s="190">
        <v>0</v>
      </c>
      <c r="AF324" s="190">
        <v>0</v>
      </c>
      <c r="AG324" s="190">
        <v>0</v>
      </c>
      <c r="AH324" s="190">
        <v>0</v>
      </c>
      <c r="AI324" s="190">
        <v>0</v>
      </c>
      <c r="AJ324" s="190">
        <v>0</v>
      </c>
      <c r="AK324" s="190">
        <v>0</v>
      </c>
      <c r="AL324" s="190">
        <v>0</v>
      </c>
    </row>
    <row r="325" spans="2:38" ht="12.75" customHeight="1">
      <c r="B325" s="507" t="s">
        <v>115</v>
      </c>
      <c r="C325" s="6" t="s">
        <v>880</v>
      </c>
      <c r="D325" s="12" t="s">
        <v>881</v>
      </c>
      <c r="E325" s="12" t="s">
        <v>976</v>
      </c>
      <c r="F325" s="6">
        <v>0</v>
      </c>
      <c r="G325" s="6">
        <v>1</v>
      </c>
      <c r="H325" s="6" t="s">
        <v>889</v>
      </c>
      <c r="I325" s="190">
        <v>0</v>
      </c>
      <c r="J325" s="190">
        <v>0</v>
      </c>
      <c r="K325" s="190">
        <v>0</v>
      </c>
      <c r="L325" s="190">
        <v>0</v>
      </c>
      <c r="M325" s="190">
        <v>0</v>
      </c>
      <c r="N325" s="190">
        <v>0</v>
      </c>
      <c r="O325" s="190">
        <v>0</v>
      </c>
      <c r="P325" s="190">
        <v>0</v>
      </c>
      <c r="Q325" s="190">
        <v>0</v>
      </c>
      <c r="R325" s="190">
        <v>0</v>
      </c>
      <c r="S325" s="190">
        <v>0</v>
      </c>
      <c r="T325" s="190">
        <v>0</v>
      </c>
      <c r="U325" s="190">
        <v>0</v>
      </c>
      <c r="V325" s="190">
        <v>0</v>
      </c>
      <c r="W325" s="190">
        <v>0</v>
      </c>
      <c r="X325" s="190">
        <v>0</v>
      </c>
      <c r="Y325" s="190">
        <v>0</v>
      </c>
      <c r="Z325" s="190">
        <v>0</v>
      </c>
      <c r="AA325" s="190">
        <v>0</v>
      </c>
      <c r="AB325" s="190">
        <v>0</v>
      </c>
      <c r="AC325" s="190">
        <v>0</v>
      </c>
      <c r="AD325" s="190">
        <v>0</v>
      </c>
      <c r="AE325" s="190">
        <v>0</v>
      </c>
      <c r="AF325" s="190">
        <v>0</v>
      </c>
      <c r="AG325" s="190">
        <v>0</v>
      </c>
      <c r="AH325" s="190">
        <v>0</v>
      </c>
      <c r="AI325" s="190">
        <v>0</v>
      </c>
      <c r="AJ325" s="190">
        <v>0</v>
      </c>
      <c r="AK325" s="190">
        <v>0</v>
      </c>
      <c r="AL325" s="190">
        <v>0</v>
      </c>
    </row>
    <row r="326" spans="2:38" ht="12.75" customHeight="1">
      <c r="B326" s="507" t="s">
        <v>115</v>
      </c>
      <c r="C326" s="6" t="s">
        <v>880</v>
      </c>
      <c r="D326" s="12" t="s">
        <v>881</v>
      </c>
      <c r="E326" s="12" t="s">
        <v>976</v>
      </c>
      <c r="F326" s="6">
        <v>1</v>
      </c>
      <c r="G326" s="6">
        <v>1</v>
      </c>
      <c r="H326" s="6" t="s">
        <v>911</v>
      </c>
      <c r="I326" s="190">
        <v>0</v>
      </c>
      <c r="J326" s="190">
        <v>0</v>
      </c>
      <c r="K326" s="190">
        <v>0</v>
      </c>
      <c r="L326" s="190">
        <v>0</v>
      </c>
      <c r="M326" s="190">
        <v>0</v>
      </c>
      <c r="N326" s="190">
        <v>0</v>
      </c>
      <c r="O326" s="190">
        <v>0</v>
      </c>
      <c r="P326" s="190">
        <v>0</v>
      </c>
      <c r="Q326" s="190">
        <v>0</v>
      </c>
      <c r="R326" s="190">
        <v>0</v>
      </c>
      <c r="S326" s="190">
        <v>0</v>
      </c>
      <c r="T326" s="190">
        <v>0</v>
      </c>
      <c r="U326" s="190">
        <v>0</v>
      </c>
      <c r="V326" s="190">
        <v>0</v>
      </c>
      <c r="W326" s="190">
        <v>0</v>
      </c>
      <c r="X326" s="190">
        <v>0</v>
      </c>
      <c r="Y326" s="190">
        <v>0</v>
      </c>
      <c r="Z326" s="190">
        <v>0</v>
      </c>
      <c r="AA326" s="190">
        <v>0</v>
      </c>
      <c r="AB326" s="190">
        <v>0</v>
      </c>
      <c r="AC326" s="190">
        <v>0</v>
      </c>
      <c r="AD326" s="190">
        <v>0</v>
      </c>
      <c r="AE326" s="190">
        <v>0</v>
      </c>
      <c r="AF326" s="190">
        <v>0</v>
      </c>
      <c r="AG326" s="190">
        <v>0</v>
      </c>
      <c r="AH326" s="190">
        <v>0</v>
      </c>
      <c r="AI326" s="190">
        <v>0</v>
      </c>
      <c r="AJ326" s="190">
        <v>0</v>
      </c>
      <c r="AK326" s="190">
        <v>0</v>
      </c>
      <c r="AL326" s="190">
        <v>0</v>
      </c>
    </row>
    <row r="327" spans="2:38" ht="12.75" customHeight="1">
      <c r="B327" s="507" t="s">
        <v>115</v>
      </c>
      <c r="C327" s="6" t="s">
        <v>880</v>
      </c>
      <c r="D327" s="12" t="s">
        <v>881</v>
      </c>
      <c r="E327" s="12" t="s">
        <v>976</v>
      </c>
      <c r="F327" s="6">
        <v>1</v>
      </c>
      <c r="G327" s="6">
        <v>1</v>
      </c>
      <c r="H327" s="6" t="s">
        <v>890</v>
      </c>
      <c r="I327" s="190">
        <v>0</v>
      </c>
      <c r="J327" s="190">
        <v>0</v>
      </c>
      <c r="K327" s="190">
        <v>0</v>
      </c>
      <c r="L327" s="190">
        <v>0</v>
      </c>
      <c r="M327" s="190">
        <v>0</v>
      </c>
      <c r="N327" s="190">
        <v>0</v>
      </c>
      <c r="O327" s="190">
        <v>0</v>
      </c>
      <c r="P327" s="190">
        <v>0</v>
      </c>
      <c r="Q327" s="190">
        <v>0</v>
      </c>
      <c r="R327" s="190">
        <v>0</v>
      </c>
      <c r="S327" s="190">
        <v>0</v>
      </c>
      <c r="T327" s="190">
        <v>0</v>
      </c>
      <c r="U327" s="190">
        <v>0</v>
      </c>
      <c r="V327" s="190">
        <v>0</v>
      </c>
      <c r="W327" s="190">
        <v>0</v>
      </c>
      <c r="X327" s="190">
        <v>0</v>
      </c>
      <c r="Y327" s="190">
        <v>0</v>
      </c>
      <c r="Z327" s="190">
        <v>0</v>
      </c>
      <c r="AA327" s="190">
        <v>0</v>
      </c>
      <c r="AB327" s="190">
        <v>0</v>
      </c>
      <c r="AC327" s="190">
        <v>0</v>
      </c>
      <c r="AD327" s="190">
        <v>0</v>
      </c>
      <c r="AE327" s="190">
        <v>0</v>
      </c>
      <c r="AF327" s="190">
        <v>0</v>
      </c>
      <c r="AG327" s="190">
        <v>0</v>
      </c>
      <c r="AH327" s="190">
        <v>0</v>
      </c>
      <c r="AI327" s="190">
        <v>0</v>
      </c>
      <c r="AJ327" s="190">
        <v>0</v>
      </c>
      <c r="AK327" s="190">
        <v>0</v>
      </c>
      <c r="AL327" s="190">
        <v>0</v>
      </c>
    </row>
    <row r="328" spans="2:38" ht="12.75" customHeight="1">
      <c r="B328" s="507" t="s">
        <v>115</v>
      </c>
      <c r="C328" s="6" t="s">
        <v>880</v>
      </c>
      <c r="D328" s="12" t="s">
        <v>881</v>
      </c>
      <c r="E328" s="12" t="s">
        <v>976</v>
      </c>
      <c r="F328" s="6">
        <v>1</v>
      </c>
      <c r="G328" s="6">
        <v>1</v>
      </c>
      <c r="H328" s="6" t="s">
        <v>891</v>
      </c>
      <c r="I328" s="190">
        <v>0</v>
      </c>
      <c r="J328" s="190">
        <v>0</v>
      </c>
      <c r="K328" s="190">
        <v>0</v>
      </c>
      <c r="L328" s="190">
        <v>0</v>
      </c>
      <c r="M328" s="190">
        <v>0</v>
      </c>
      <c r="N328" s="190">
        <v>0</v>
      </c>
      <c r="O328" s="190">
        <v>0</v>
      </c>
      <c r="P328" s="190">
        <v>0</v>
      </c>
      <c r="Q328" s="190">
        <v>0</v>
      </c>
      <c r="R328" s="190">
        <v>0</v>
      </c>
      <c r="S328" s="190">
        <v>0</v>
      </c>
      <c r="T328" s="190">
        <v>0</v>
      </c>
      <c r="U328" s="190">
        <v>0</v>
      </c>
      <c r="V328" s="190">
        <v>0</v>
      </c>
      <c r="W328" s="190">
        <v>0</v>
      </c>
      <c r="X328" s="190">
        <v>0</v>
      </c>
      <c r="Y328" s="190">
        <v>0</v>
      </c>
      <c r="Z328" s="190">
        <v>0</v>
      </c>
      <c r="AA328" s="190">
        <v>0</v>
      </c>
      <c r="AB328" s="190">
        <v>0</v>
      </c>
      <c r="AC328" s="190">
        <v>0</v>
      </c>
      <c r="AD328" s="190">
        <v>0</v>
      </c>
      <c r="AE328" s="190">
        <v>0</v>
      </c>
      <c r="AF328" s="190">
        <v>0</v>
      </c>
      <c r="AG328" s="190">
        <v>0</v>
      </c>
      <c r="AH328" s="190">
        <v>0</v>
      </c>
      <c r="AI328" s="190">
        <v>0</v>
      </c>
      <c r="AJ328" s="190">
        <v>0</v>
      </c>
      <c r="AK328" s="190">
        <v>0</v>
      </c>
      <c r="AL328" s="190">
        <v>0</v>
      </c>
    </row>
    <row r="329" spans="2:38" ht="12.75" customHeight="1">
      <c r="B329" s="507" t="s">
        <v>115</v>
      </c>
      <c r="C329" s="6" t="s">
        <v>880</v>
      </c>
      <c r="D329" s="12" t="s">
        <v>881</v>
      </c>
      <c r="E329" s="12" t="s">
        <v>976</v>
      </c>
      <c r="F329" s="6">
        <v>1</v>
      </c>
      <c r="G329" s="6">
        <v>1</v>
      </c>
      <c r="H329" s="6" t="s">
        <v>892</v>
      </c>
      <c r="I329" s="190">
        <v>0</v>
      </c>
      <c r="J329" s="190">
        <v>0</v>
      </c>
      <c r="K329" s="190">
        <v>0</v>
      </c>
      <c r="L329" s="190">
        <v>0</v>
      </c>
      <c r="M329" s="190">
        <v>0</v>
      </c>
      <c r="N329" s="190">
        <v>0</v>
      </c>
      <c r="O329" s="190">
        <v>0</v>
      </c>
      <c r="P329" s="190">
        <v>0</v>
      </c>
      <c r="Q329" s="190">
        <v>0</v>
      </c>
      <c r="R329" s="190">
        <v>0</v>
      </c>
      <c r="S329" s="190">
        <v>0</v>
      </c>
      <c r="T329" s="190">
        <v>0</v>
      </c>
      <c r="U329" s="190">
        <v>0</v>
      </c>
      <c r="V329" s="190">
        <v>0</v>
      </c>
      <c r="W329" s="190">
        <v>0</v>
      </c>
      <c r="X329" s="190">
        <v>0</v>
      </c>
      <c r="Y329" s="190">
        <v>0</v>
      </c>
      <c r="Z329" s="190">
        <v>0</v>
      </c>
      <c r="AA329" s="190">
        <v>0</v>
      </c>
      <c r="AB329" s="190">
        <v>0</v>
      </c>
      <c r="AC329" s="190">
        <v>0</v>
      </c>
      <c r="AD329" s="190">
        <v>0</v>
      </c>
      <c r="AE329" s="190">
        <v>0</v>
      </c>
      <c r="AF329" s="190">
        <v>0</v>
      </c>
      <c r="AG329" s="190">
        <v>0</v>
      </c>
      <c r="AH329" s="190">
        <v>0</v>
      </c>
      <c r="AI329" s="190">
        <v>0</v>
      </c>
      <c r="AJ329" s="190">
        <v>0</v>
      </c>
      <c r="AK329" s="190">
        <v>0</v>
      </c>
      <c r="AL329" s="190">
        <v>0</v>
      </c>
    </row>
    <row r="330" spans="2:38" ht="12.75" customHeight="1">
      <c r="B330" s="507" t="s">
        <v>115</v>
      </c>
      <c r="C330" s="6" t="s">
        <v>880</v>
      </c>
      <c r="D330" s="12" t="s">
        <v>881</v>
      </c>
      <c r="E330" s="12" t="s">
        <v>976</v>
      </c>
      <c r="F330" s="6">
        <v>1</v>
      </c>
      <c r="G330" s="6">
        <v>1</v>
      </c>
      <c r="H330" s="6" t="s">
        <v>893</v>
      </c>
      <c r="I330" s="190">
        <v>0</v>
      </c>
      <c r="J330" s="190">
        <v>0</v>
      </c>
      <c r="K330" s="190">
        <v>0</v>
      </c>
      <c r="L330" s="190">
        <v>0</v>
      </c>
      <c r="M330" s="190">
        <v>0</v>
      </c>
      <c r="N330" s="190">
        <v>0</v>
      </c>
      <c r="O330" s="190">
        <v>0</v>
      </c>
      <c r="P330" s="190">
        <v>0</v>
      </c>
      <c r="Q330" s="190">
        <v>0</v>
      </c>
      <c r="R330" s="190">
        <v>0</v>
      </c>
      <c r="S330" s="190">
        <v>0</v>
      </c>
      <c r="T330" s="190">
        <v>0</v>
      </c>
      <c r="U330" s="190">
        <v>0</v>
      </c>
      <c r="V330" s="190">
        <v>0</v>
      </c>
      <c r="W330" s="190">
        <v>0</v>
      </c>
      <c r="X330" s="190">
        <v>0</v>
      </c>
      <c r="Y330" s="190">
        <v>0</v>
      </c>
      <c r="Z330" s="190">
        <v>0</v>
      </c>
      <c r="AA330" s="190">
        <v>0</v>
      </c>
      <c r="AB330" s="190">
        <v>0</v>
      </c>
      <c r="AC330" s="190">
        <v>0</v>
      </c>
      <c r="AD330" s="190">
        <v>0</v>
      </c>
      <c r="AE330" s="190">
        <v>0</v>
      </c>
      <c r="AF330" s="190">
        <v>0</v>
      </c>
      <c r="AG330" s="190">
        <v>0</v>
      </c>
      <c r="AH330" s="190">
        <v>0</v>
      </c>
      <c r="AI330" s="190">
        <v>0</v>
      </c>
      <c r="AJ330" s="190">
        <v>0</v>
      </c>
      <c r="AK330" s="190">
        <v>0</v>
      </c>
      <c r="AL330" s="190">
        <v>0</v>
      </c>
    </row>
    <row r="331" spans="2:38" ht="12.75" customHeight="1">
      <c r="B331" s="507" t="s">
        <v>115</v>
      </c>
      <c r="C331" s="6" t="s">
        <v>880</v>
      </c>
      <c r="D331" s="12" t="s">
        <v>881</v>
      </c>
      <c r="E331" s="12" t="s">
        <v>976</v>
      </c>
      <c r="F331" s="6">
        <v>0</v>
      </c>
      <c r="G331" s="6">
        <v>1</v>
      </c>
      <c r="H331" s="6" t="s">
        <v>897</v>
      </c>
      <c r="I331" s="190">
        <v>0</v>
      </c>
      <c r="J331" s="190">
        <v>0</v>
      </c>
      <c r="K331" s="190">
        <v>0</v>
      </c>
      <c r="L331" s="190">
        <v>0</v>
      </c>
      <c r="M331" s="190">
        <v>0</v>
      </c>
      <c r="N331" s="190">
        <v>0</v>
      </c>
      <c r="O331" s="190">
        <v>0</v>
      </c>
      <c r="P331" s="190">
        <v>0</v>
      </c>
      <c r="Q331" s="190">
        <v>0</v>
      </c>
      <c r="R331" s="190">
        <v>0</v>
      </c>
      <c r="S331" s="190">
        <v>0</v>
      </c>
      <c r="T331" s="190">
        <v>0</v>
      </c>
      <c r="U331" s="190">
        <v>0</v>
      </c>
      <c r="V331" s="190">
        <v>0</v>
      </c>
      <c r="W331" s="190">
        <v>0</v>
      </c>
      <c r="X331" s="190">
        <v>0</v>
      </c>
      <c r="Y331" s="190">
        <v>0</v>
      </c>
      <c r="Z331" s="190">
        <v>0</v>
      </c>
      <c r="AA331" s="190">
        <v>0</v>
      </c>
      <c r="AB331" s="190">
        <v>0</v>
      </c>
      <c r="AC331" s="190">
        <v>0</v>
      </c>
      <c r="AD331" s="190">
        <v>0</v>
      </c>
      <c r="AE331" s="190">
        <v>0</v>
      </c>
      <c r="AF331" s="190">
        <v>0</v>
      </c>
      <c r="AG331" s="190">
        <v>0</v>
      </c>
      <c r="AH331" s="190">
        <v>0</v>
      </c>
      <c r="AI331" s="190">
        <v>0</v>
      </c>
      <c r="AJ331" s="190">
        <v>0</v>
      </c>
      <c r="AK331" s="190">
        <v>0</v>
      </c>
      <c r="AL331" s="190">
        <v>0</v>
      </c>
    </row>
    <row r="332" spans="2:38" ht="12.75" customHeight="1">
      <c r="B332" s="507" t="s">
        <v>115</v>
      </c>
      <c r="C332" s="6" t="s">
        <v>880</v>
      </c>
      <c r="D332" s="12" t="s">
        <v>881</v>
      </c>
      <c r="E332" s="12" t="s">
        <v>976</v>
      </c>
      <c r="F332" s="6">
        <v>0</v>
      </c>
      <c r="G332" s="6">
        <v>1</v>
      </c>
      <c r="H332" s="6" t="s">
        <v>898</v>
      </c>
      <c r="I332" s="190">
        <v>0</v>
      </c>
      <c r="J332" s="190">
        <v>0</v>
      </c>
      <c r="K332" s="190">
        <v>0</v>
      </c>
      <c r="L332" s="190">
        <v>0</v>
      </c>
      <c r="M332" s="190">
        <v>0</v>
      </c>
      <c r="N332" s="190">
        <v>0</v>
      </c>
      <c r="O332" s="190">
        <v>0</v>
      </c>
      <c r="P332" s="190">
        <v>0</v>
      </c>
      <c r="Q332" s="190">
        <v>0</v>
      </c>
      <c r="R332" s="190">
        <v>0</v>
      </c>
      <c r="S332" s="190">
        <v>0</v>
      </c>
      <c r="T332" s="190">
        <v>0</v>
      </c>
      <c r="U332" s="190">
        <v>0</v>
      </c>
      <c r="V332" s="190">
        <v>0</v>
      </c>
      <c r="W332" s="190">
        <v>0</v>
      </c>
      <c r="X332" s="190">
        <v>0</v>
      </c>
      <c r="Y332" s="190">
        <v>0</v>
      </c>
      <c r="Z332" s="190">
        <v>0</v>
      </c>
      <c r="AA332" s="190">
        <v>0</v>
      </c>
      <c r="AB332" s="190">
        <v>0</v>
      </c>
      <c r="AC332" s="190">
        <v>0</v>
      </c>
      <c r="AD332" s="190">
        <v>0</v>
      </c>
      <c r="AE332" s="190">
        <v>0</v>
      </c>
      <c r="AF332" s="190">
        <v>0</v>
      </c>
      <c r="AG332" s="190">
        <v>0</v>
      </c>
      <c r="AH332" s="190">
        <v>0</v>
      </c>
      <c r="AI332" s="190">
        <v>0</v>
      </c>
      <c r="AJ332" s="190">
        <v>0</v>
      </c>
      <c r="AK332" s="190">
        <v>0</v>
      </c>
      <c r="AL332" s="190">
        <v>0</v>
      </c>
    </row>
    <row r="333" spans="2:38" ht="12.75" customHeight="1">
      <c r="B333" s="507" t="s">
        <v>115</v>
      </c>
      <c r="C333" s="6" t="s">
        <v>880</v>
      </c>
      <c r="D333" s="12" t="s">
        <v>881</v>
      </c>
      <c r="E333" s="12" t="s">
        <v>976</v>
      </c>
      <c r="F333" s="6">
        <v>0</v>
      </c>
      <c r="G333" s="6">
        <v>1</v>
      </c>
      <c r="H333" s="6" t="s">
        <v>912</v>
      </c>
      <c r="I333" s="190">
        <v>0</v>
      </c>
      <c r="J333" s="190">
        <v>0</v>
      </c>
      <c r="K333" s="190">
        <v>0</v>
      </c>
      <c r="L333" s="190">
        <v>0</v>
      </c>
      <c r="M333" s="190">
        <v>0</v>
      </c>
      <c r="N333" s="190">
        <v>0</v>
      </c>
      <c r="O333" s="190">
        <v>0</v>
      </c>
      <c r="P333" s="190">
        <v>0</v>
      </c>
      <c r="Q333" s="190">
        <v>0</v>
      </c>
      <c r="R333" s="190">
        <v>0</v>
      </c>
      <c r="S333" s="190">
        <v>0</v>
      </c>
      <c r="T333" s="190">
        <v>0</v>
      </c>
      <c r="U333" s="190">
        <v>0</v>
      </c>
      <c r="V333" s="190">
        <v>0</v>
      </c>
      <c r="W333" s="190">
        <v>0</v>
      </c>
      <c r="X333" s="190">
        <v>0</v>
      </c>
      <c r="Y333" s="190">
        <v>0</v>
      </c>
      <c r="Z333" s="190">
        <v>0</v>
      </c>
      <c r="AA333" s="190">
        <v>0</v>
      </c>
      <c r="AB333" s="190">
        <v>0</v>
      </c>
      <c r="AC333" s="190">
        <v>0</v>
      </c>
      <c r="AD333" s="190">
        <v>0</v>
      </c>
      <c r="AE333" s="190">
        <v>0</v>
      </c>
      <c r="AF333" s="190">
        <v>0</v>
      </c>
      <c r="AG333" s="190">
        <v>0</v>
      </c>
      <c r="AH333" s="190">
        <v>0</v>
      </c>
      <c r="AI333" s="190">
        <v>0</v>
      </c>
      <c r="AJ333" s="190">
        <v>0</v>
      </c>
      <c r="AK333" s="190">
        <v>0</v>
      </c>
      <c r="AL333" s="190">
        <v>0</v>
      </c>
    </row>
    <row r="334" spans="2:38" ht="12.75" customHeight="1">
      <c r="B334" s="507" t="s">
        <v>115</v>
      </c>
      <c r="C334" s="6" t="s">
        <v>880</v>
      </c>
      <c r="D334" s="12" t="s">
        <v>881</v>
      </c>
      <c r="E334" s="12" t="s">
        <v>976</v>
      </c>
      <c r="F334" s="6">
        <v>0</v>
      </c>
      <c r="G334" s="6">
        <v>1</v>
      </c>
      <c r="H334" s="6" t="s">
        <v>913</v>
      </c>
      <c r="I334" s="190">
        <v>0</v>
      </c>
      <c r="J334" s="190">
        <v>0</v>
      </c>
      <c r="K334" s="190">
        <v>0</v>
      </c>
      <c r="L334" s="190">
        <v>0</v>
      </c>
      <c r="M334" s="190">
        <v>0</v>
      </c>
      <c r="N334" s="190">
        <v>0</v>
      </c>
      <c r="O334" s="190">
        <v>0</v>
      </c>
      <c r="P334" s="190">
        <v>0</v>
      </c>
      <c r="Q334" s="190">
        <v>0</v>
      </c>
      <c r="R334" s="190">
        <v>0</v>
      </c>
      <c r="S334" s="190">
        <v>0</v>
      </c>
      <c r="T334" s="190">
        <v>0</v>
      </c>
      <c r="U334" s="190">
        <v>0</v>
      </c>
      <c r="V334" s="190">
        <v>0</v>
      </c>
      <c r="W334" s="190">
        <v>0</v>
      </c>
      <c r="X334" s="190">
        <v>0</v>
      </c>
      <c r="Y334" s="190">
        <v>0</v>
      </c>
      <c r="Z334" s="190">
        <v>0</v>
      </c>
      <c r="AA334" s="190">
        <v>0</v>
      </c>
      <c r="AB334" s="190">
        <v>0</v>
      </c>
      <c r="AC334" s="190">
        <v>0</v>
      </c>
      <c r="AD334" s="190">
        <v>0</v>
      </c>
      <c r="AE334" s="190">
        <v>0</v>
      </c>
      <c r="AF334" s="190">
        <v>0</v>
      </c>
      <c r="AG334" s="190">
        <v>0</v>
      </c>
      <c r="AH334" s="190">
        <v>0</v>
      </c>
      <c r="AI334" s="190">
        <v>0</v>
      </c>
      <c r="AJ334" s="190">
        <v>0</v>
      </c>
      <c r="AK334" s="190">
        <v>0</v>
      </c>
      <c r="AL334" s="190">
        <v>0</v>
      </c>
    </row>
    <row r="335" spans="2:38" ht="12.75" customHeight="1">
      <c r="B335" s="507" t="s">
        <v>115</v>
      </c>
      <c r="C335" s="6" t="s">
        <v>880</v>
      </c>
      <c r="D335" s="12" t="s">
        <v>881</v>
      </c>
      <c r="E335" s="12" t="s">
        <v>976</v>
      </c>
      <c r="F335" s="6">
        <v>0</v>
      </c>
      <c r="G335" s="6">
        <v>1</v>
      </c>
      <c r="H335" s="6" t="s">
        <v>914</v>
      </c>
      <c r="I335" s="190">
        <v>0</v>
      </c>
      <c r="J335" s="190">
        <v>184275.62411130866</v>
      </c>
      <c r="K335" s="190">
        <v>184275.62411130866</v>
      </c>
      <c r="L335" s="190">
        <v>184275.62411130866</v>
      </c>
      <c r="M335" s="190">
        <v>184275.62411130866</v>
      </c>
      <c r="N335" s="190">
        <v>184275.62411130866</v>
      </c>
      <c r="O335" s="190">
        <v>184275.62411130866</v>
      </c>
      <c r="P335" s="190">
        <v>184275.62411130866</v>
      </c>
      <c r="Q335" s="190">
        <v>184275.62411130866</v>
      </c>
      <c r="R335" s="190">
        <v>184275.62411130866</v>
      </c>
      <c r="S335" s="190">
        <v>184275.62411130866</v>
      </c>
      <c r="T335" s="190">
        <v>184275.62411130866</v>
      </c>
      <c r="U335" s="190">
        <v>184275.62411130866</v>
      </c>
      <c r="V335" s="190">
        <v>184275.62411130866</v>
      </c>
      <c r="W335" s="190">
        <v>184275.62411130866</v>
      </c>
      <c r="X335" s="190">
        <v>184275.62411130866</v>
      </c>
      <c r="Y335" s="190">
        <v>184275.62411130866</v>
      </c>
      <c r="Z335" s="190">
        <v>184275.62411130866</v>
      </c>
      <c r="AA335" s="190">
        <v>184275.62411130866</v>
      </c>
      <c r="AB335" s="190">
        <v>184275.62411130866</v>
      </c>
      <c r="AC335" s="190">
        <v>184275.62411130866</v>
      </c>
      <c r="AD335" s="190">
        <v>184275.62411130866</v>
      </c>
      <c r="AE335" s="190">
        <v>184275.62411130866</v>
      </c>
      <c r="AF335" s="190">
        <v>184275.62411130866</v>
      </c>
      <c r="AG335" s="190">
        <v>184275.62411130866</v>
      </c>
      <c r="AH335" s="190">
        <v>184275.62411130866</v>
      </c>
      <c r="AI335" s="190">
        <v>184275.62411130866</v>
      </c>
      <c r="AJ335" s="190">
        <v>184275.62411130866</v>
      </c>
      <c r="AK335" s="190">
        <v>184275.62411130866</v>
      </c>
      <c r="AL335" s="190">
        <v>184275.62411130866</v>
      </c>
    </row>
    <row r="336" spans="2:38" ht="12.75" customHeight="1">
      <c r="B336" s="507" t="s">
        <v>115</v>
      </c>
      <c r="C336" s="6" t="s">
        <v>880</v>
      </c>
      <c r="D336" s="12" t="s">
        <v>881</v>
      </c>
      <c r="E336" s="12" t="s">
        <v>976</v>
      </c>
      <c r="F336" s="6">
        <v>0</v>
      </c>
      <c r="G336" s="6">
        <v>1</v>
      </c>
      <c r="H336" s="6" t="s">
        <v>915</v>
      </c>
      <c r="I336" s="190">
        <v>0</v>
      </c>
      <c r="J336" s="190">
        <v>89563.520000000004</v>
      </c>
      <c r="K336" s="190">
        <v>89563.520000000004</v>
      </c>
      <c r="L336" s="190">
        <v>89563.520000000004</v>
      </c>
      <c r="M336" s="190">
        <v>89563.520000000004</v>
      </c>
      <c r="N336" s="190">
        <v>44781.760000000002</v>
      </c>
      <c r="O336" s="190">
        <v>89563.520000000004</v>
      </c>
      <c r="P336" s="190">
        <v>89563.520000000004</v>
      </c>
      <c r="Q336" s="190">
        <v>89563.520000000004</v>
      </c>
      <c r="R336" s="190">
        <v>89563.520000000004</v>
      </c>
      <c r="S336" s="190">
        <v>89563.520000000004</v>
      </c>
      <c r="T336" s="190">
        <v>89563.520000000004</v>
      </c>
      <c r="U336" s="190">
        <v>89563.520000000004</v>
      </c>
      <c r="V336" s="190">
        <v>89563.520000000004</v>
      </c>
      <c r="W336" s="190">
        <v>89563.520000000004</v>
      </c>
      <c r="X336" s="190">
        <v>89563.520000000004</v>
      </c>
      <c r="Y336" s="190">
        <v>89563.520000000004</v>
      </c>
      <c r="Z336" s="190">
        <v>89563.520000000004</v>
      </c>
      <c r="AA336" s="190">
        <v>89563.520000000004</v>
      </c>
      <c r="AB336" s="190">
        <v>44781.760000000002</v>
      </c>
      <c r="AC336" s="190">
        <v>44781.760000000002</v>
      </c>
      <c r="AD336" s="190">
        <v>44781.760000000002</v>
      </c>
      <c r="AE336" s="190">
        <v>44781.760000000002</v>
      </c>
      <c r="AF336" s="190">
        <v>44781.760000000002</v>
      </c>
      <c r="AG336" s="190">
        <v>44781.760000000002</v>
      </c>
      <c r="AH336" s="190">
        <v>44781.760000000002</v>
      </c>
      <c r="AI336" s="190">
        <v>44781.760000000002</v>
      </c>
      <c r="AJ336" s="190">
        <v>44781.760000000002</v>
      </c>
      <c r="AK336" s="190">
        <v>44781.760000000002</v>
      </c>
      <c r="AL336" s="190">
        <v>44781.760000000002</v>
      </c>
    </row>
    <row r="337" spans="2:38" ht="12.75" customHeight="1">
      <c r="B337" s="507" t="s">
        <v>115</v>
      </c>
      <c r="C337" s="6" t="s">
        <v>880</v>
      </c>
      <c r="D337" s="12" t="s">
        <v>881</v>
      </c>
      <c r="E337" s="12" t="s">
        <v>976</v>
      </c>
      <c r="F337" s="6">
        <v>0</v>
      </c>
      <c r="G337" s="6">
        <v>1</v>
      </c>
      <c r="H337" s="6" t="s">
        <v>916</v>
      </c>
      <c r="I337" s="190">
        <v>0</v>
      </c>
      <c r="J337" s="190">
        <v>23927.936514118792</v>
      </c>
      <c r="K337" s="190">
        <v>23927.936514118792</v>
      </c>
      <c r="L337" s="190">
        <v>23927.936514118792</v>
      </c>
      <c r="M337" s="190">
        <v>23927.936514118792</v>
      </c>
      <c r="N337" s="190">
        <v>23927.936514118792</v>
      </c>
      <c r="O337" s="190">
        <v>23927.936514118792</v>
      </c>
      <c r="P337" s="190">
        <v>23927.936514118792</v>
      </c>
      <c r="Q337" s="190">
        <v>23927.936514118792</v>
      </c>
      <c r="R337" s="190">
        <v>23927.936514118792</v>
      </c>
      <c r="S337" s="190">
        <v>23927.936514118792</v>
      </c>
      <c r="T337" s="190">
        <v>23927.936514118792</v>
      </c>
      <c r="U337" s="190">
        <v>23927.936514118792</v>
      </c>
      <c r="V337" s="190">
        <v>23927.936514118792</v>
      </c>
      <c r="W337" s="190">
        <v>23927.936514118792</v>
      </c>
      <c r="X337" s="190">
        <v>23927.936514118792</v>
      </c>
      <c r="Y337" s="190">
        <v>23927.936514118792</v>
      </c>
      <c r="Z337" s="190">
        <v>23927.936514118792</v>
      </c>
      <c r="AA337" s="190">
        <v>23927.936514118792</v>
      </c>
      <c r="AB337" s="190">
        <v>23927.936514118792</v>
      </c>
      <c r="AC337" s="190">
        <v>23927.936514118792</v>
      </c>
      <c r="AD337" s="190">
        <v>23927.936514118792</v>
      </c>
      <c r="AE337" s="190">
        <v>23927.936514118792</v>
      </c>
      <c r="AF337" s="190">
        <v>23927.936514118792</v>
      </c>
      <c r="AG337" s="190">
        <v>23927.936514118792</v>
      </c>
      <c r="AH337" s="190">
        <v>23927.936514118792</v>
      </c>
      <c r="AI337" s="190">
        <v>23927.936514118792</v>
      </c>
      <c r="AJ337" s="190">
        <v>23927.936514118792</v>
      </c>
      <c r="AK337" s="190">
        <v>23927.936514118792</v>
      </c>
      <c r="AL337" s="190">
        <v>23927.936514118792</v>
      </c>
    </row>
    <row r="338" spans="2:38" ht="12.75" customHeight="1">
      <c r="B338" s="507" t="s">
        <v>115</v>
      </c>
      <c r="C338" s="6" t="s">
        <v>880</v>
      </c>
      <c r="D338" s="12" t="s">
        <v>881</v>
      </c>
      <c r="E338" s="12" t="s">
        <v>976</v>
      </c>
      <c r="F338" s="6">
        <v>0</v>
      </c>
      <c r="G338" s="6">
        <v>1</v>
      </c>
      <c r="H338" s="6" t="s">
        <v>917</v>
      </c>
      <c r="I338" s="190">
        <v>0</v>
      </c>
      <c r="J338" s="190">
        <v>0</v>
      </c>
      <c r="K338" s="190">
        <v>0</v>
      </c>
      <c r="L338" s="190">
        <v>0</v>
      </c>
      <c r="M338" s="190">
        <v>0</v>
      </c>
      <c r="N338" s="190">
        <v>0</v>
      </c>
      <c r="O338" s="190">
        <v>0</v>
      </c>
      <c r="P338" s="190">
        <v>0</v>
      </c>
      <c r="Q338" s="190">
        <v>0</v>
      </c>
      <c r="R338" s="190">
        <v>0</v>
      </c>
      <c r="S338" s="190">
        <v>0</v>
      </c>
      <c r="T338" s="190">
        <v>0</v>
      </c>
      <c r="U338" s="190">
        <v>0</v>
      </c>
      <c r="V338" s="190">
        <v>0</v>
      </c>
      <c r="W338" s="190">
        <v>0</v>
      </c>
      <c r="X338" s="190">
        <v>0</v>
      </c>
      <c r="Y338" s="190">
        <v>0</v>
      </c>
      <c r="Z338" s="190">
        <v>0</v>
      </c>
      <c r="AA338" s="190">
        <v>0</v>
      </c>
      <c r="AB338" s="190">
        <v>0</v>
      </c>
      <c r="AC338" s="190">
        <v>0</v>
      </c>
      <c r="AD338" s="190">
        <v>0</v>
      </c>
      <c r="AE338" s="190">
        <v>0</v>
      </c>
      <c r="AF338" s="190">
        <v>0</v>
      </c>
      <c r="AG338" s="190">
        <v>0</v>
      </c>
      <c r="AH338" s="190">
        <v>0</v>
      </c>
      <c r="AI338" s="190">
        <v>0</v>
      </c>
      <c r="AJ338" s="190">
        <v>0</v>
      </c>
      <c r="AK338" s="190">
        <v>0</v>
      </c>
      <c r="AL338" s="190">
        <v>0</v>
      </c>
    </row>
    <row r="339" spans="2:38" ht="12.75" customHeight="1">
      <c r="B339" s="507" t="s">
        <v>115</v>
      </c>
      <c r="C339" s="6" t="s">
        <v>880</v>
      </c>
      <c r="D339" s="12" t="s">
        <v>881</v>
      </c>
      <c r="E339" s="12" t="s">
        <v>976</v>
      </c>
      <c r="F339" s="6">
        <v>0</v>
      </c>
      <c r="G339" s="6">
        <v>1</v>
      </c>
      <c r="H339" s="6" t="s">
        <v>918</v>
      </c>
      <c r="I339" s="190">
        <v>0</v>
      </c>
      <c r="J339" s="190">
        <v>0</v>
      </c>
      <c r="K339" s="190">
        <v>0</v>
      </c>
      <c r="L339" s="190">
        <v>0</v>
      </c>
      <c r="M339" s="190">
        <v>0</v>
      </c>
      <c r="N339" s="190">
        <v>0</v>
      </c>
      <c r="O339" s="190">
        <v>0</v>
      </c>
      <c r="P339" s="190">
        <v>0</v>
      </c>
      <c r="Q339" s="190">
        <v>0</v>
      </c>
      <c r="R339" s="190">
        <v>0</v>
      </c>
      <c r="S339" s="190">
        <v>0</v>
      </c>
      <c r="T339" s="190">
        <v>0</v>
      </c>
      <c r="U339" s="190">
        <v>0</v>
      </c>
      <c r="V339" s="190">
        <v>0</v>
      </c>
      <c r="W339" s="190">
        <v>0</v>
      </c>
      <c r="X339" s="190">
        <v>0</v>
      </c>
      <c r="Y339" s="190">
        <v>0</v>
      </c>
      <c r="Z339" s="190">
        <v>0</v>
      </c>
      <c r="AA339" s="190">
        <v>0</v>
      </c>
      <c r="AB339" s="190">
        <v>0</v>
      </c>
      <c r="AC339" s="190">
        <v>0</v>
      </c>
      <c r="AD339" s="190">
        <v>0</v>
      </c>
      <c r="AE339" s="190">
        <v>0</v>
      </c>
      <c r="AF339" s="190">
        <v>0</v>
      </c>
      <c r="AG339" s="190">
        <v>0</v>
      </c>
      <c r="AH339" s="190">
        <v>0</v>
      </c>
      <c r="AI339" s="190">
        <v>0</v>
      </c>
      <c r="AJ339" s="190">
        <v>0</v>
      </c>
      <c r="AK339" s="190">
        <v>0</v>
      </c>
      <c r="AL339" s="190">
        <v>0</v>
      </c>
    </row>
    <row r="340" spans="2:38" ht="12.75" customHeight="1">
      <c r="B340" s="507" t="s">
        <v>115</v>
      </c>
      <c r="C340" s="6" t="s">
        <v>880</v>
      </c>
      <c r="D340" s="12" t="s">
        <v>881</v>
      </c>
      <c r="E340" s="12" t="s">
        <v>976</v>
      </c>
      <c r="F340" s="6">
        <v>0</v>
      </c>
      <c r="G340" s="6">
        <v>1</v>
      </c>
      <c r="H340" s="6" t="s">
        <v>919</v>
      </c>
      <c r="I340" s="190">
        <v>0</v>
      </c>
      <c r="J340" s="190">
        <v>0</v>
      </c>
      <c r="K340" s="190">
        <v>0</v>
      </c>
      <c r="L340" s="190">
        <v>0</v>
      </c>
      <c r="M340" s="190">
        <v>0</v>
      </c>
      <c r="N340" s="190">
        <v>0</v>
      </c>
      <c r="O340" s="190">
        <v>0</v>
      </c>
      <c r="P340" s="190">
        <v>0</v>
      </c>
      <c r="Q340" s="190">
        <v>0</v>
      </c>
      <c r="R340" s="190">
        <v>0</v>
      </c>
      <c r="S340" s="190">
        <v>0</v>
      </c>
      <c r="T340" s="190">
        <v>0</v>
      </c>
      <c r="U340" s="190">
        <v>0</v>
      </c>
      <c r="V340" s="190">
        <v>0</v>
      </c>
      <c r="W340" s="190">
        <v>0</v>
      </c>
      <c r="X340" s="190">
        <v>0</v>
      </c>
      <c r="Y340" s="190">
        <v>0</v>
      </c>
      <c r="Z340" s="190">
        <v>0</v>
      </c>
      <c r="AA340" s="190">
        <v>0</v>
      </c>
      <c r="AB340" s="190">
        <v>0</v>
      </c>
      <c r="AC340" s="190">
        <v>0</v>
      </c>
      <c r="AD340" s="190">
        <v>0</v>
      </c>
      <c r="AE340" s="190">
        <v>0</v>
      </c>
      <c r="AF340" s="190">
        <v>0</v>
      </c>
      <c r="AG340" s="190">
        <v>0</v>
      </c>
      <c r="AH340" s="190">
        <v>0</v>
      </c>
      <c r="AI340" s="190">
        <v>0</v>
      </c>
      <c r="AJ340" s="190">
        <v>0</v>
      </c>
      <c r="AK340" s="190">
        <v>0</v>
      </c>
      <c r="AL340" s="190">
        <v>0</v>
      </c>
    </row>
    <row r="341" spans="2:38" ht="12.75" customHeight="1">
      <c r="B341" s="507" t="s">
        <v>115</v>
      </c>
      <c r="C341" s="6" t="s">
        <v>880</v>
      </c>
      <c r="D341" s="12" t="s">
        <v>881</v>
      </c>
      <c r="E341" s="12" t="s">
        <v>976</v>
      </c>
      <c r="F341" s="6">
        <v>0</v>
      </c>
      <c r="G341" s="6">
        <v>1</v>
      </c>
      <c r="H341" s="6" t="s">
        <v>920</v>
      </c>
      <c r="I341" s="190">
        <v>0</v>
      </c>
      <c r="J341" s="190">
        <v>0</v>
      </c>
      <c r="K341" s="190">
        <v>0</v>
      </c>
      <c r="L341" s="190">
        <v>0</v>
      </c>
      <c r="M341" s="190">
        <v>0</v>
      </c>
      <c r="N341" s="190">
        <v>0</v>
      </c>
      <c r="O341" s="190">
        <v>0</v>
      </c>
      <c r="P341" s="190">
        <v>0</v>
      </c>
      <c r="Q341" s="190">
        <v>0</v>
      </c>
      <c r="R341" s="190">
        <v>0</v>
      </c>
      <c r="S341" s="190">
        <v>0</v>
      </c>
      <c r="T341" s="190">
        <v>0</v>
      </c>
      <c r="U341" s="190">
        <v>0</v>
      </c>
      <c r="V341" s="190">
        <v>0</v>
      </c>
      <c r="W341" s="190">
        <v>0</v>
      </c>
      <c r="X341" s="190">
        <v>0</v>
      </c>
      <c r="Y341" s="190">
        <v>0</v>
      </c>
      <c r="Z341" s="190">
        <v>0</v>
      </c>
      <c r="AA341" s="190">
        <v>0</v>
      </c>
      <c r="AB341" s="190">
        <v>0</v>
      </c>
      <c r="AC341" s="190">
        <v>0</v>
      </c>
      <c r="AD341" s="190">
        <v>0</v>
      </c>
      <c r="AE341" s="190">
        <v>0</v>
      </c>
      <c r="AF341" s="190">
        <v>0</v>
      </c>
      <c r="AG341" s="190">
        <v>0</v>
      </c>
      <c r="AH341" s="190">
        <v>0</v>
      </c>
      <c r="AI341" s="190">
        <v>0</v>
      </c>
      <c r="AJ341" s="190">
        <v>0</v>
      </c>
      <c r="AK341" s="190">
        <v>0</v>
      </c>
      <c r="AL341" s="190">
        <v>0</v>
      </c>
    </row>
    <row r="342" spans="2:38" ht="12.75" customHeight="1">
      <c r="B342" s="507" t="s">
        <v>115</v>
      </c>
      <c r="C342" s="6" t="s">
        <v>880</v>
      </c>
      <c r="D342" s="12" t="s">
        <v>881</v>
      </c>
      <c r="E342" s="12" t="s">
        <v>976</v>
      </c>
      <c r="F342" s="6">
        <v>0</v>
      </c>
      <c r="G342" s="6">
        <v>1</v>
      </c>
      <c r="H342" s="6" t="s">
        <v>921</v>
      </c>
      <c r="I342" s="190">
        <v>0</v>
      </c>
      <c r="J342" s="190">
        <v>0</v>
      </c>
      <c r="K342" s="190">
        <v>0</v>
      </c>
      <c r="L342" s="190">
        <v>0</v>
      </c>
      <c r="M342" s="190">
        <v>0</v>
      </c>
      <c r="N342" s="190">
        <v>0</v>
      </c>
      <c r="O342" s="190">
        <v>0</v>
      </c>
      <c r="P342" s="190">
        <v>0</v>
      </c>
      <c r="Q342" s="190">
        <v>0</v>
      </c>
      <c r="R342" s="190">
        <v>0</v>
      </c>
      <c r="S342" s="190">
        <v>0</v>
      </c>
      <c r="T342" s="190">
        <v>0</v>
      </c>
      <c r="U342" s="190">
        <v>0</v>
      </c>
      <c r="V342" s="190">
        <v>0</v>
      </c>
      <c r="W342" s="190">
        <v>0</v>
      </c>
      <c r="X342" s="190">
        <v>0</v>
      </c>
      <c r="Y342" s="190">
        <v>0</v>
      </c>
      <c r="Z342" s="190">
        <v>0</v>
      </c>
      <c r="AA342" s="190">
        <v>0</v>
      </c>
      <c r="AB342" s="190">
        <v>0</v>
      </c>
      <c r="AC342" s="190">
        <v>0</v>
      </c>
      <c r="AD342" s="190">
        <v>0</v>
      </c>
      <c r="AE342" s="190">
        <v>0</v>
      </c>
      <c r="AF342" s="190">
        <v>0</v>
      </c>
      <c r="AG342" s="190">
        <v>0</v>
      </c>
      <c r="AH342" s="190">
        <v>0</v>
      </c>
      <c r="AI342" s="190">
        <v>0</v>
      </c>
      <c r="AJ342" s="190">
        <v>0</v>
      </c>
      <c r="AK342" s="190">
        <v>0</v>
      </c>
      <c r="AL342" s="190">
        <v>0</v>
      </c>
    </row>
    <row r="343" spans="2:38" ht="12.75" customHeight="1">
      <c r="B343" s="507" t="s">
        <v>115</v>
      </c>
      <c r="C343" s="6" t="s">
        <v>880</v>
      </c>
      <c r="D343" s="12" t="s">
        <v>881</v>
      </c>
      <c r="E343" s="12" t="s">
        <v>976</v>
      </c>
      <c r="F343" s="6">
        <v>0</v>
      </c>
      <c r="G343" s="6">
        <v>1</v>
      </c>
      <c r="H343" s="6" t="s">
        <v>922</v>
      </c>
      <c r="I343" s="190">
        <v>0</v>
      </c>
      <c r="J343" s="190">
        <v>0</v>
      </c>
      <c r="K343" s="190">
        <v>0</v>
      </c>
      <c r="L343" s="190">
        <v>0</v>
      </c>
      <c r="M343" s="190">
        <v>0</v>
      </c>
      <c r="N343" s="190">
        <v>0</v>
      </c>
      <c r="O343" s="190">
        <v>0</v>
      </c>
      <c r="P343" s="190">
        <v>0</v>
      </c>
      <c r="Q343" s="190">
        <v>0</v>
      </c>
      <c r="R343" s="190">
        <v>0</v>
      </c>
      <c r="S343" s="190">
        <v>0</v>
      </c>
      <c r="T343" s="190">
        <v>0</v>
      </c>
      <c r="U343" s="190">
        <v>0</v>
      </c>
      <c r="V343" s="190">
        <v>0</v>
      </c>
      <c r="W343" s="190">
        <v>0</v>
      </c>
      <c r="X343" s="190">
        <v>0</v>
      </c>
      <c r="Y343" s="190">
        <v>0</v>
      </c>
      <c r="Z343" s="190">
        <v>0</v>
      </c>
      <c r="AA343" s="190">
        <v>0</v>
      </c>
      <c r="AB343" s="190">
        <v>0</v>
      </c>
      <c r="AC343" s="190">
        <v>0</v>
      </c>
      <c r="AD343" s="190">
        <v>0</v>
      </c>
      <c r="AE343" s="190">
        <v>0</v>
      </c>
      <c r="AF343" s="190">
        <v>0</v>
      </c>
      <c r="AG343" s="190">
        <v>0</v>
      </c>
      <c r="AH343" s="190">
        <v>0</v>
      </c>
      <c r="AI343" s="190">
        <v>0</v>
      </c>
      <c r="AJ343" s="190">
        <v>0</v>
      </c>
      <c r="AK343" s="190">
        <v>0</v>
      </c>
      <c r="AL343" s="190">
        <v>0</v>
      </c>
    </row>
    <row r="344" spans="2:38" ht="12.75" customHeight="1">
      <c r="B344" s="507" t="s">
        <v>115</v>
      </c>
      <c r="C344" s="6" t="s">
        <v>880</v>
      </c>
      <c r="D344" s="12" t="s">
        <v>881</v>
      </c>
      <c r="E344" s="12" t="s">
        <v>976</v>
      </c>
      <c r="F344" s="6">
        <v>0</v>
      </c>
      <c r="G344" s="6">
        <v>1</v>
      </c>
      <c r="H344" s="6" t="s">
        <v>923</v>
      </c>
      <c r="I344" s="190">
        <v>0</v>
      </c>
      <c r="J344" s="190">
        <v>0</v>
      </c>
      <c r="K344" s="190">
        <v>0</v>
      </c>
      <c r="L344" s="190">
        <v>0</v>
      </c>
      <c r="M344" s="190">
        <v>0</v>
      </c>
      <c r="N344" s="190">
        <v>0</v>
      </c>
      <c r="O344" s="190">
        <v>0</v>
      </c>
      <c r="P344" s="190">
        <v>0</v>
      </c>
      <c r="Q344" s="190">
        <v>0</v>
      </c>
      <c r="R344" s="190">
        <v>0</v>
      </c>
      <c r="S344" s="190">
        <v>0</v>
      </c>
      <c r="T344" s="190">
        <v>0</v>
      </c>
      <c r="U344" s="190">
        <v>0</v>
      </c>
      <c r="V344" s="190">
        <v>0</v>
      </c>
      <c r="W344" s="190">
        <v>0</v>
      </c>
      <c r="X344" s="190">
        <v>0</v>
      </c>
      <c r="Y344" s="190">
        <v>0</v>
      </c>
      <c r="Z344" s="190">
        <v>0</v>
      </c>
      <c r="AA344" s="190">
        <v>0</v>
      </c>
      <c r="AB344" s="190">
        <v>0</v>
      </c>
      <c r="AC344" s="190">
        <v>0</v>
      </c>
      <c r="AD344" s="190">
        <v>0</v>
      </c>
      <c r="AE344" s="190">
        <v>0</v>
      </c>
      <c r="AF344" s="190">
        <v>0</v>
      </c>
      <c r="AG344" s="190">
        <v>0</v>
      </c>
      <c r="AH344" s="190">
        <v>0</v>
      </c>
      <c r="AI344" s="190">
        <v>0</v>
      </c>
      <c r="AJ344" s="190">
        <v>0</v>
      </c>
      <c r="AK344" s="190">
        <v>0</v>
      </c>
      <c r="AL344" s="190">
        <v>0</v>
      </c>
    </row>
    <row r="345" spans="2:38" ht="12.75" customHeight="1">
      <c r="B345" s="507" t="s">
        <v>115</v>
      </c>
      <c r="C345" s="6" t="s">
        <v>880</v>
      </c>
      <c r="D345" s="12" t="s">
        <v>881</v>
      </c>
      <c r="E345" s="12" t="s">
        <v>976</v>
      </c>
      <c r="F345" s="6">
        <v>0</v>
      </c>
      <c r="G345" s="6">
        <v>1</v>
      </c>
      <c r="H345" s="6" t="s">
        <v>924</v>
      </c>
      <c r="I345" s="190">
        <v>0</v>
      </c>
      <c r="J345" s="190">
        <v>0</v>
      </c>
      <c r="K345" s="190">
        <v>0</v>
      </c>
      <c r="L345" s="190">
        <v>0</v>
      </c>
      <c r="M345" s="190">
        <v>0</v>
      </c>
      <c r="N345" s="190">
        <v>0</v>
      </c>
      <c r="O345" s="190">
        <v>0</v>
      </c>
      <c r="P345" s="190">
        <v>0</v>
      </c>
      <c r="Q345" s="190">
        <v>0</v>
      </c>
      <c r="R345" s="190">
        <v>0</v>
      </c>
      <c r="S345" s="190">
        <v>0</v>
      </c>
      <c r="T345" s="190">
        <v>0</v>
      </c>
      <c r="U345" s="190">
        <v>0</v>
      </c>
      <c r="V345" s="190">
        <v>0</v>
      </c>
      <c r="W345" s="190">
        <v>0</v>
      </c>
      <c r="X345" s="190">
        <v>0</v>
      </c>
      <c r="Y345" s="190">
        <v>0</v>
      </c>
      <c r="Z345" s="190">
        <v>0</v>
      </c>
      <c r="AA345" s="190">
        <v>0</v>
      </c>
      <c r="AB345" s="190">
        <v>0</v>
      </c>
      <c r="AC345" s="190">
        <v>0</v>
      </c>
      <c r="AD345" s="190">
        <v>0</v>
      </c>
      <c r="AE345" s="190">
        <v>0</v>
      </c>
      <c r="AF345" s="190">
        <v>0</v>
      </c>
      <c r="AG345" s="190">
        <v>0</v>
      </c>
      <c r="AH345" s="190">
        <v>0</v>
      </c>
      <c r="AI345" s="190">
        <v>0</v>
      </c>
      <c r="AJ345" s="190">
        <v>0</v>
      </c>
      <c r="AK345" s="190">
        <v>0</v>
      </c>
      <c r="AL345" s="190">
        <v>0</v>
      </c>
    </row>
    <row r="346" spans="2:38" ht="12.75" customHeight="1">
      <c r="B346" s="507" t="s">
        <v>115</v>
      </c>
      <c r="C346" s="6" t="s">
        <v>880</v>
      </c>
      <c r="D346" s="12" t="s">
        <v>881</v>
      </c>
      <c r="E346" s="12" t="s">
        <v>976</v>
      </c>
      <c r="F346" s="6">
        <v>0</v>
      </c>
      <c r="G346" s="6">
        <v>1</v>
      </c>
      <c r="H346" s="6" t="s">
        <v>925</v>
      </c>
      <c r="I346" s="190">
        <v>0</v>
      </c>
      <c r="J346" s="190">
        <v>0</v>
      </c>
      <c r="K346" s="190">
        <v>0</v>
      </c>
      <c r="L346" s="190">
        <v>0</v>
      </c>
      <c r="M346" s="190">
        <v>0</v>
      </c>
      <c r="N346" s="190">
        <v>0</v>
      </c>
      <c r="O346" s="190">
        <v>0</v>
      </c>
      <c r="P346" s="190">
        <v>0</v>
      </c>
      <c r="Q346" s="190">
        <v>0</v>
      </c>
      <c r="R346" s="190">
        <v>0</v>
      </c>
      <c r="S346" s="190">
        <v>0</v>
      </c>
      <c r="T346" s="190">
        <v>0</v>
      </c>
      <c r="U346" s="190">
        <v>0</v>
      </c>
      <c r="V346" s="190">
        <v>0</v>
      </c>
      <c r="W346" s="190">
        <v>0</v>
      </c>
      <c r="X346" s="190">
        <v>0</v>
      </c>
      <c r="Y346" s="190">
        <v>2968301.5950919311</v>
      </c>
      <c r="Z346" s="190">
        <v>0</v>
      </c>
      <c r="AA346" s="190">
        <v>0</v>
      </c>
      <c r="AB346" s="190">
        <v>0</v>
      </c>
      <c r="AC346" s="190">
        <v>0</v>
      </c>
      <c r="AD346" s="190">
        <v>0</v>
      </c>
      <c r="AE346" s="190">
        <v>0</v>
      </c>
      <c r="AF346" s="190">
        <v>0</v>
      </c>
      <c r="AG346" s="190">
        <v>0</v>
      </c>
      <c r="AH346" s="190">
        <v>0</v>
      </c>
      <c r="AI346" s="190">
        <v>0</v>
      </c>
      <c r="AJ346" s="190">
        <v>0</v>
      </c>
      <c r="AK346" s="190">
        <v>0</v>
      </c>
      <c r="AL346" s="190">
        <v>0</v>
      </c>
    </row>
    <row r="347" spans="2:38" ht="12.75" customHeight="1">
      <c r="B347" s="507" t="s">
        <v>115</v>
      </c>
      <c r="C347" s="6" t="s">
        <v>880</v>
      </c>
      <c r="D347" s="12" t="s">
        <v>881</v>
      </c>
      <c r="E347" s="12" t="s">
        <v>976</v>
      </c>
      <c r="F347" s="6">
        <v>0</v>
      </c>
      <c r="G347" s="6">
        <v>1</v>
      </c>
      <c r="H347" s="6" t="s">
        <v>926</v>
      </c>
      <c r="I347" s="190">
        <v>0</v>
      </c>
      <c r="J347" s="190">
        <v>0</v>
      </c>
      <c r="K347" s="190">
        <v>0</v>
      </c>
      <c r="L347" s="190">
        <v>0</v>
      </c>
      <c r="M347" s="190">
        <v>0</v>
      </c>
      <c r="N347" s="190">
        <v>0</v>
      </c>
      <c r="O347" s="190">
        <v>0</v>
      </c>
      <c r="P347" s="190">
        <v>0</v>
      </c>
      <c r="Q347" s="190">
        <v>0</v>
      </c>
      <c r="R347" s="190">
        <v>0</v>
      </c>
      <c r="S347" s="190">
        <v>0</v>
      </c>
      <c r="T347" s="190">
        <v>0</v>
      </c>
      <c r="U347" s="190">
        <v>0</v>
      </c>
      <c r="V347" s="190">
        <v>0</v>
      </c>
      <c r="W347" s="190">
        <v>0</v>
      </c>
      <c r="X347" s="190">
        <v>0</v>
      </c>
      <c r="Y347" s="190">
        <v>172425.71238466175</v>
      </c>
      <c r="Z347" s="190">
        <v>0</v>
      </c>
      <c r="AA347" s="190">
        <v>0</v>
      </c>
      <c r="AB347" s="190">
        <v>0</v>
      </c>
      <c r="AC347" s="190">
        <v>0</v>
      </c>
      <c r="AD347" s="190">
        <v>0</v>
      </c>
      <c r="AE347" s="190">
        <v>0</v>
      </c>
      <c r="AF347" s="190">
        <v>0</v>
      </c>
      <c r="AG347" s="190">
        <v>0</v>
      </c>
      <c r="AH347" s="190">
        <v>0</v>
      </c>
      <c r="AI347" s="190">
        <v>0</v>
      </c>
      <c r="AJ347" s="190">
        <v>0</v>
      </c>
      <c r="AK347" s="190">
        <v>0</v>
      </c>
      <c r="AL347" s="190">
        <v>0</v>
      </c>
    </row>
    <row r="348" spans="2:38" ht="12.75" customHeight="1">
      <c r="B348" s="507" t="s">
        <v>115</v>
      </c>
      <c r="C348" s="6" t="s">
        <v>880</v>
      </c>
      <c r="D348" s="12" t="s">
        <v>881</v>
      </c>
      <c r="E348" s="12" t="s">
        <v>976</v>
      </c>
      <c r="F348" s="6">
        <v>0</v>
      </c>
      <c r="G348" s="6">
        <v>1</v>
      </c>
      <c r="H348" s="6" t="s">
        <v>927</v>
      </c>
      <c r="I348" s="190">
        <v>0</v>
      </c>
      <c r="J348" s="190">
        <v>0</v>
      </c>
      <c r="K348" s="190">
        <v>0</v>
      </c>
      <c r="L348" s="190">
        <v>0</v>
      </c>
      <c r="M348" s="190">
        <v>0</v>
      </c>
      <c r="N348" s="190">
        <v>0</v>
      </c>
      <c r="O348" s="190">
        <v>0</v>
      </c>
      <c r="P348" s="190">
        <v>0</v>
      </c>
      <c r="Q348" s="190">
        <v>0</v>
      </c>
      <c r="R348" s="190">
        <v>0</v>
      </c>
      <c r="S348" s="190">
        <v>0</v>
      </c>
      <c r="T348" s="190">
        <v>0</v>
      </c>
      <c r="U348" s="190">
        <v>0</v>
      </c>
      <c r="V348" s="190">
        <v>0</v>
      </c>
      <c r="W348" s="190">
        <v>0</v>
      </c>
      <c r="X348" s="190">
        <v>0</v>
      </c>
      <c r="Y348" s="190">
        <v>1213932.3398348638</v>
      </c>
      <c r="Z348" s="190">
        <v>0</v>
      </c>
      <c r="AA348" s="190">
        <v>0</v>
      </c>
      <c r="AB348" s="190">
        <v>0</v>
      </c>
      <c r="AC348" s="190">
        <v>0</v>
      </c>
      <c r="AD348" s="190">
        <v>0</v>
      </c>
      <c r="AE348" s="190">
        <v>0</v>
      </c>
      <c r="AF348" s="190">
        <v>0</v>
      </c>
      <c r="AG348" s="190">
        <v>0</v>
      </c>
      <c r="AH348" s="190">
        <v>0</v>
      </c>
      <c r="AI348" s="190">
        <v>0</v>
      </c>
      <c r="AJ348" s="190">
        <v>0</v>
      </c>
      <c r="AK348" s="190">
        <v>0</v>
      </c>
      <c r="AL348" s="190">
        <v>0</v>
      </c>
    </row>
    <row r="349" spans="2:38" ht="12.75" customHeight="1">
      <c r="B349" s="507" t="s">
        <v>115</v>
      </c>
      <c r="C349" s="6" t="s">
        <v>880</v>
      </c>
      <c r="D349" s="12" t="s">
        <v>881</v>
      </c>
      <c r="E349" s="12" t="s">
        <v>976</v>
      </c>
      <c r="F349" s="6">
        <v>0</v>
      </c>
      <c r="G349" s="6">
        <v>1</v>
      </c>
      <c r="H349" s="6" t="s">
        <v>928</v>
      </c>
      <c r="I349" s="190">
        <v>0</v>
      </c>
      <c r="J349" s="190">
        <v>0</v>
      </c>
      <c r="K349" s="190">
        <v>0</v>
      </c>
      <c r="L349" s="190">
        <v>0</v>
      </c>
      <c r="M349" s="190">
        <v>0</v>
      </c>
      <c r="N349" s="190">
        <v>0</v>
      </c>
      <c r="O349" s="190">
        <v>0</v>
      </c>
      <c r="P349" s="190">
        <v>0</v>
      </c>
      <c r="Q349" s="190">
        <v>0</v>
      </c>
      <c r="R349" s="190">
        <v>0</v>
      </c>
      <c r="S349" s="190">
        <v>0</v>
      </c>
      <c r="T349" s="190">
        <v>0</v>
      </c>
      <c r="U349" s="190">
        <v>0</v>
      </c>
      <c r="V349" s="190">
        <v>0</v>
      </c>
      <c r="W349" s="190">
        <v>0</v>
      </c>
      <c r="X349" s="190">
        <v>0</v>
      </c>
      <c r="Y349" s="190">
        <v>0</v>
      </c>
      <c r="Z349" s="190">
        <v>0</v>
      </c>
      <c r="AA349" s="190">
        <v>0</v>
      </c>
      <c r="AB349" s="190">
        <v>0</v>
      </c>
      <c r="AC349" s="190">
        <v>0</v>
      </c>
      <c r="AD349" s="190">
        <v>0</v>
      </c>
      <c r="AE349" s="190">
        <v>0</v>
      </c>
      <c r="AF349" s="190">
        <v>0</v>
      </c>
      <c r="AG349" s="190">
        <v>0</v>
      </c>
      <c r="AH349" s="190">
        <v>0</v>
      </c>
      <c r="AI349" s="190">
        <v>0</v>
      </c>
      <c r="AJ349" s="190">
        <v>0</v>
      </c>
      <c r="AK349" s="190">
        <v>0</v>
      </c>
      <c r="AL349" s="190">
        <v>0</v>
      </c>
    </row>
    <row r="350" spans="2:38" ht="12.75" customHeight="1">
      <c r="B350" s="507" t="s">
        <v>115</v>
      </c>
      <c r="C350" s="6" t="s">
        <v>880</v>
      </c>
      <c r="D350" s="12" t="s">
        <v>881</v>
      </c>
      <c r="E350" s="12" t="s">
        <v>976</v>
      </c>
      <c r="F350" s="6">
        <v>1</v>
      </c>
      <c r="G350" s="6">
        <v>1</v>
      </c>
      <c r="H350" s="6" t="s">
        <v>929</v>
      </c>
      <c r="I350" s="190">
        <v>0</v>
      </c>
      <c r="J350" s="190">
        <v>0</v>
      </c>
      <c r="K350" s="190">
        <v>0</v>
      </c>
      <c r="L350" s="190">
        <v>0</v>
      </c>
      <c r="M350" s="190">
        <v>0</v>
      </c>
      <c r="N350" s="190">
        <v>0</v>
      </c>
      <c r="O350" s="190">
        <v>0</v>
      </c>
      <c r="P350" s="190">
        <v>0</v>
      </c>
      <c r="Q350" s="190">
        <v>0</v>
      </c>
      <c r="R350" s="190">
        <v>0</v>
      </c>
      <c r="S350" s="190">
        <v>0</v>
      </c>
      <c r="T350" s="190">
        <v>0</v>
      </c>
      <c r="U350" s="190">
        <v>0</v>
      </c>
      <c r="V350" s="190">
        <v>0</v>
      </c>
      <c r="W350" s="190">
        <v>0</v>
      </c>
      <c r="X350" s="190">
        <v>0</v>
      </c>
      <c r="Y350" s="190">
        <v>0</v>
      </c>
      <c r="Z350" s="190">
        <v>0</v>
      </c>
      <c r="AA350" s="190">
        <v>0</v>
      </c>
      <c r="AB350" s="190">
        <v>0</v>
      </c>
      <c r="AC350" s="190">
        <v>0</v>
      </c>
      <c r="AD350" s="190">
        <v>0</v>
      </c>
      <c r="AE350" s="190">
        <v>0</v>
      </c>
      <c r="AF350" s="190">
        <v>0</v>
      </c>
      <c r="AG350" s="190">
        <v>0</v>
      </c>
      <c r="AH350" s="190">
        <v>0</v>
      </c>
      <c r="AI350" s="190">
        <v>0</v>
      </c>
      <c r="AJ350" s="190">
        <v>0</v>
      </c>
      <c r="AK350" s="190">
        <v>0</v>
      </c>
      <c r="AL350" s="190">
        <v>0</v>
      </c>
    </row>
    <row r="351" spans="2:38" ht="12.75" customHeight="1">
      <c r="B351" s="507" t="s">
        <v>115</v>
      </c>
      <c r="C351" s="6" t="s">
        <v>880</v>
      </c>
      <c r="D351" s="12" t="s">
        <v>881</v>
      </c>
      <c r="E351" s="12" t="s">
        <v>976</v>
      </c>
      <c r="F351" s="6">
        <v>1</v>
      </c>
      <c r="G351" s="6">
        <v>1</v>
      </c>
      <c r="H351" s="6" t="s">
        <v>930</v>
      </c>
      <c r="I351" s="190">
        <v>0</v>
      </c>
      <c r="J351" s="190">
        <v>0</v>
      </c>
      <c r="K351" s="190">
        <v>0</v>
      </c>
      <c r="L351" s="190">
        <v>0</v>
      </c>
      <c r="M351" s="190">
        <v>0</v>
      </c>
      <c r="N351" s="190">
        <v>0</v>
      </c>
      <c r="O351" s="190">
        <v>0</v>
      </c>
      <c r="P351" s="190">
        <v>0</v>
      </c>
      <c r="Q351" s="190">
        <v>0</v>
      </c>
      <c r="R351" s="190">
        <v>0</v>
      </c>
      <c r="S351" s="190">
        <v>0</v>
      </c>
      <c r="T351" s="190">
        <v>0</v>
      </c>
      <c r="U351" s="190">
        <v>0</v>
      </c>
      <c r="V351" s="190">
        <v>0</v>
      </c>
      <c r="W351" s="190">
        <v>0</v>
      </c>
      <c r="X351" s="190">
        <v>0</v>
      </c>
      <c r="Y351" s="190">
        <v>0</v>
      </c>
      <c r="Z351" s="190">
        <v>0</v>
      </c>
      <c r="AA351" s="190">
        <v>0</v>
      </c>
      <c r="AB351" s="190">
        <v>0</v>
      </c>
      <c r="AC351" s="190">
        <v>0</v>
      </c>
      <c r="AD351" s="190">
        <v>0</v>
      </c>
      <c r="AE351" s="190">
        <v>0</v>
      </c>
      <c r="AF351" s="190">
        <v>0</v>
      </c>
      <c r="AG351" s="190">
        <v>0</v>
      </c>
      <c r="AH351" s="190">
        <v>0</v>
      </c>
      <c r="AI351" s="190">
        <v>0</v>
      </c>
      <c r="AJ351" s="190">
        <v>0</v>
      </c>
      <c r="AK351" s="190">
        <v>0</v>
      </c>
      <c r="AL351" s="190">
        <v>0</v>
      </c>
    </row>
    <row r="352" spans="2:38" ht="12.75" customHeight="1">
      <c r="B352" s="507" t="s">
        <v>115</v>
      </c>
      <c r="C352" s="6" t="s">
        <v>880</v>
      </c>
      <c r="D352" s="12" t="s">
        <v>881</v>
      </c>
      <c r="E352" s="12" t="s">
        <v>976</v>
      </c>
      <c r="F352" s="6">
        <v>1</v>
      </c>
      <c r="G352" s="6">
        <v>1</v>
      </c>
      <c r="H352" s="6" t="s">
        <v>931</v>
      </c>
      <c r="I352" s="190">
        <v>0</v>
      </c>
      <c r="J352" s="190">
        <v>0</v>
      </c>
      <c r="K352" s="190">
        <v>0</v>
      </c>
      <c r="L352" s="190">
        <v>0</v>
      </c>
      <c r="M352" s="190">
        <v>0</v>
      </c>
      <c r="N352" s="190">
        <v>0</v>
      </c>
      <c r="O352" s="190">
        <v>0</v>
      </c>
      <c r="P352" s="190">
        <v>0</v>
      </c>
      <c r="Q352" s="190">
        <v>0</v>
      </c>
      <c r="R352" s="190">
        <v>0</v>
      </c>
      <c r="S352" s="190">
        <v>0</v>
      </c>
      <c r="T352" s="190">
        <v>0</v>
      </c>
      <c r="U352" s="190">
        <v>0</v>
      </c>
      <c r="V352" s="190">
        <v>0</v>
      </c>
      <c r="W352" s="190">
        <v>0</v>
      </c>
      <c r="X352" s="190">
        <v>0</v>
      </c>
      <c r="Y352" s="190">
        <v>0</v>
      </c>
      <c r="Z352" s="190">
        <v>0</v>
      </c>
      <c r="AA352" s="190">
        <v>0</v>
      </c>
      <c r="AB352" s="190">
        <v>0</v>
      </c>
      <c r="AC352" s="190">
        <v>0</v>
      </c>
      <c r="AD352" s="190">
        <v>0</v>
      </c>
      <c r="AE352" s="190">
        <v>0</v>
      </c>
      <c r="AF352" s="190">
        <v>0</v>
      </c>
      <c r="AG352" s="190">
        <v>0</v>
      </c>
      <c r="AH352" s="190">
        <v>0</v>
      </c>
      <c r="AI352" s="190">
        <v>0</v>
      </c>
      <c r="AJ352" s="190">
        <v>0</v>
      </c>
      <c r="AK352" s="190">
        <v>0</v>
      </c>
      <c r="AL352" s="190">
        <v>0</v>
      </c>
    </row>
    <row r="353" spans="2:38" ht="12.75" customHeight="1">
      <c r="B353" s="507" t="s">
        <v>115</v>
      </c>
      <c r="C353" s="6" t="s">
        <v>880</v>
      </c>
      <c r="D353" s="12" t="s">
        <v>881</v>
      </c>
      <c r="E353" s="12" t="s">
        <v>976</v>
      </c>
      <c r="F353" s="6">
        <v>1</v>
      </c>
      <c r="G353" s="6">
        <v>1</v>
      </c>
      <c r="H353" s="6" t="s">
        <v>932</v>
      </c>
      <c r="I353" s="190">
        <v>0</v>
      </c>
      <c r="J353" s="190">
        <v>0</v>
      </c>
      <c r="K353" s="190">
        <v>0</v>
      </c>
      <c r="L353" s="190">
        <v>0</v>
      </c>
      <c r="M353" s="190">
        <v>0</v>
      </c>
      <c r="N353" s="190">
        <v>0</v>
      </c>
      <c r="O353" s="190">
        <v>0</v>
      </c>
      <c r="P353" s="190">
        <v>0</v>
      </c>
      <c r="Q353" s="190">
        <v>0</v>
      </c>
      <c r="R353" s="190">
        <v>0</v>
      </c>
      <c r="S353" s="190">
        <v>0</v>
      </c>
      <c r="T353" s="190">
        <v>0</v>
      </c>
      <c r="U353" s="190">
        <v>0</v>
      </c>
      <c r="V353" s="190">
        <v>0</v>
      </c>
      <c r="W353" s="190">
        <v>0</v>
      </c>
      <c r="X353" s="190">
        <v>0</v>
      </c>
      <c r="Y353" s="190">
        <v>0</v>
      </c>
      <c r="Z353" s="190">
        <v>0</v>
      </c>
      <c r="AA353" s="190">
        <v>0</v>
      </c>
      <c r="AB353" s="190">
        <v>0</v>
      </c>
      <c r="AC353" s="190">
        <v>0</v>
      </c>
      <c r="AD353" s="190">
        <v>0</v>
      </c>
      <c r="AE353" s="190">
        <v>0</v>
      </c>
      <c r="AF353" s="190">
        <v>0</v>
      </c>
      <c r="AG353" s="190">
        <v>0</v>
      </c>
      <c r="AH353" s="190">
        <v>0</v>
      </c>
      <c r="AI353" s="190">
        <v>0</v>
      </c>
      <c r="AJ353" s="190">
        <v>0</v>
      </c>
      <c r="AK353" s="190">
        <v>0</v>
      </c>
      <c r="AL353" s="190">
        <v>0</v>
      </c>
    </row>
    <row r="354" spans="2:38" ht="12.75" customHeight="1">
      <c r="B354" s="507" t="s">
        <v>115</v>
      </c>
      <c r="C354" s="6" t="s">
        <v>880</v>
      </c>
      <c r="D354" s="12" t="s">
        <v>881</v>
      </c>
      <c r="E354" s="12" t="s">
        <v>976</v>
      </c>
      <c r="F354" s="6">
        <v>1</v>
      </c>
      <c r="G354" s="6">
        <v>1</v>
      </c>
      <c r="H354" s="6" t="s">
        <v>933</v>
      </c>
      <c r="I354" s="190">
        <v>0</v>
      </c>
      <c r="J354" s="190">
        <v>0</v>
      </c>
      <c r="K354" s="190">
        <v>0</v>
      </c>
      <c r="L354" s="190">
        <v>0</v>
      </c>
      <c r="M354" s="190">
        <v>0</v>
      </c>
      <c r="N354" s="190">
        <v>0</v>
      </c>
      <c r="O354" s="190">
        <v>0</v>
      </c>
      <c r="P354" s="190">
        <v>0</v>
      </c>
      <c r="Q354" s="190">
        <v>0</v>
      </c>
      <c r="R354" s="190">
        <v>0</v>
      </c>
      <c r="S354" s="190">
        <v>0</v>
      </c>
      <c r="T354" s="190">
        <v>0</v>
      </c>
      <c r="U354" s="190">
        <v>0</v>
      </c>
      <c r="V354" s="190">
        <v>0</v>
      </c>
      <c r="W354" s="190">
        <v>0</v>
      </c>
      <c r="X354" s="190">
        <v>0</v>
      </c>
      <c r="Y354" s="190">
        <v>0</v>
      </c>
      <c r="Z354" s="190">
        <v>0</v>
      </c>
      <c r="AA354" s="190">
        <v>0</v>
      </c>
      <c r="AB354" s="190">
        <v>0</v>
      </c>
      <c r="AC354" s="190">
        <v>0</v>
      </c>
      <c r="AD354" s="190">
        <v>0</v>
      </c>
      <c r="AE354" s="190">
        <v>0</v>
      </c>
      <c r="AF354" s="190">
        <v>0</v>
      </c>
      <c r="AG354" s="190">
        <v>0</v>
      </c>
      <c r="AH354" s="190">
        <v>0</v>
      </c>
      <c r="AI354" s="190">
        <v>0</v>
      </c>
      <c r="AJ354" s="190">
        <v>0</v>
      </c>
      <c r="AK354" s="190">
        <v>0</v>
      </c>
      <c r="AL354" s="190">
        <v>0</v>
      </c>
    </row>
    <row r="355" spans="2:38" ht="12.75" customHeight="1">
      <c r="B355" s="507" t="s">
        <v>115</v>
      </c>
      <c r="C355" s="6" t="s">
        <v>880</v>
      </c>
      <c r="D355" s="12" t="s">
        <v>881</v>
      </c>
      <c r="E355" s="12" t="s">
        <v>976</v>
      </c>
      <c r="F355" s="6">
        <v>1</v>
      </c>
      <c r="G355" s="6">
        <v>1</v>
      </c>
      <c r="H355" s="6" t="s">
        <v>934</v>
      </c>
      <c r="I355" s="190">
        <v>0</v>
      </c>
      <c r="J355" s="190">
        <v>0</v>
      </c>
      <c r="K355" s="190">
        <v>0</v>
      </c>
      <c r="L355" s="190">
        <v>0</v>
      </c>
      <c r="M355" s="190">
        <v>0</v>
      </c>
      <c r="N355" s="190">
        <v>0</v>
      </c>
      <c r="O355" s="190">
        <v>0</v>
      </c>
      <c r="P355" s="190">
        <v>0</v>
      </c>
      <c r="Q355" s="190">
        <v>0</v>
      </c>
      <c r="R355" s="190">
        <v>0</v>
      </c>
      <c r="S355" s="190">
        <v>0</v>
      </c>
      <c r="T355" s="190">
        <v>0</v>
      </c>
      <c r="U355" s="190">
        <v>0</v>
      </c>
      <c r="V355" s="190">
        <v>0</v>
      </c>
      <c r="W355" s="190">
        <v>0</v>
      </c>
      <c r="X355" s="190">
        <v>0</v>
      </c>
      <c r="Y355" s="190">
        <v>0</v>
      </c>
      <c r="Z355" s="190">
        <v>0</v>
      </c>
      <c r="AA355" s="190">
        <v>0</v>
      </c>
      <c r="AB355" s="190">
        <v>0</v>
      </c>
      <c r="AC355" s="190">
        <v>0</v>
      </c>
      <c r="AD355" s="190">
        <v>0</v>
      </c>
      <c r="AE355" s="190">
        <v>0</v>
      </c>
      <c r="AF355" s="190">
        <v>0</v>
      </c>
      <c r="AG355" s="190">
        <v>0</v>
      </c>
      <c r="AH355" s="190">
        <v>0</v>
      </c>
      <c r="AI355" s="190">
        <v>0</v>
      </c>
      <c r="AJ355" s="190">
        <v>0</v>
      </c>
      <c r="AK355" s="190">
        <v>0</v>
      </c>
      <c r="AL355" s="190">
        <v>0</v>
      </c>
    </row>
    <row r="356" spans="2:38" ht="12.75" customHeight="1">
      <c r="B356" s="507" t="s">
        <v>115</v>
      </c>
      <c r="C356" s="6" t="s">
        <v>880</v>
      </c>
      <c r="D356" s="12" t="s">
        <v>881</v>
      </c>
      <c r="E356" s="12" t="s">
        <v>976</v>
      </c>
      <c r="F356" s="6">
        <v>1</v>
      </c>
      <c r="G356" s="6">
        <v>1</v>
      </c>
      <c r="H356" s="6" t="s">
        <v>935</v>
      </c>
      <c r="I356" s="190">
        <v>0</v>
      </c>
      <c r="J356" s="190">
        <v>0</v>
      </c>
      <c r="K356" s="190">
        <v>0</v>
      </c>
      <c r="L356" s="190">
        <v>0</v>
      </c>
      <c r="M356" s="190">
        <v>0</v>
      </c>
      <c r="N356" s="190">
        <v>0</v>
      </c>
      <c r="O356" s="190">
        <v>0</v>
      </c>
      <c r="P356" s="190">
        <v>0</v>
      </c>
      <c r="Q356" s="190">
        <v>0</v>
      </c>
      <c r="R356" s="190">
        <v>0</v>
      </c>
      <c r="S356" s="190">
        <v>0</v>
      </c>
      <c r="T356" s="190">
        <v>0</v>
      </c>
      <c r="U356" s="190">
        <v>0</v>
      </c>
      <c r="V356" s="190">
        <v>0</v>
      </c>
      <c r="W356" s="190">
        <v>0</v>
      </c>
      <c r="X356" s="190">
        <v>0</v>
      </c>
      <c r="Y356" s="190">
        <v>0</v>
      </c>
      <c r="Z356" s="190">
        <v>0</v>
      </c>
      <c r="AA356" s="190">
        <v>0</v>
      </c>
      <c r="AB356" s="190">
        <v>0</v>
      </c>
      <c r="AC356" s="190">
        <v>0</v>
      </c>
      <c r="AD356" s="190">
        <v>0</v>
      </c>
      <c r="AE356" s="190">
        <v>0</v>
      </c>
      <c r="AF356" s="190">
        <v>0</v>
      </c>
      <c r="AG356" s="190">
        <v>0</v>
      </c>
      <c r="AH356" s="190">
        <v>0</v>
      </c>
      <c r="AI356" s="190">
        <v>0</v>
      </c>
      <c r="AJ356" s="190">
        <v>0</v>
      </c>
      <c r="AK356" s="190">
        <v>0</v>
      </c>
      <c r="AL356" s="190">
        <v>0</v>
      </c>
    </row>
    <row r="357" spans="2:38" ht="12.75" customHeight="1">
      <c r="B357" s="507" t="s">
        <v>115</v>
      </c>
      <c r="C357" s="6" t="s">
        <v>880</v>
      </c>
      <c r="D357" s="12" t="s">
        <v>881</v>
      </c>
      <c r="E357" s="12" t="s">
        <v>976</v>
      </c>
      <c r="F357" s="6">
        <v>0</v>
      </c>
      <c r="G357" s="6">
        <v>1</v>
      </c>
      <c r="H357" s="6" t="s">
        <v>936</v>
      </c>
      <c r="I357" s="190">
        <v>0</v>
      </c>
      <c r="J357" s="190">
        <v>0</v>
      </c>
      <c r="K357" s="190">
        <v>0</v>
      </c>
      <c r="L357" s="190">
        <v>0</v>
      </c>
      <c r="M357" s="190">
        <v>0</v>
      </c>
      <c r="N357" s="190">
        <v>0</v>
      </c>
      <c r="O357" s="190">
        <v>0</v>
      </c>
      <c r="P357" s="190">
        <v>0</v>
      </c>
      <c r="Q357" s="190">
        <v>0</v>
      </c>
      <c r="R357" s="190">
        <v>0</v>
      </c>
      <c r="S357" s="190">
        <v>0</v>
      </c>
      <c r="T357" s="190">
        <v>0</v>
      </c>
      <c r="U357" s="190">
        <v>0</v>
      </c>
      <c r="V357" s="190">
        <v>0</v>
      </c>
      <c r="W357" s="190">
        <v>0</v>
      </c>
      <c r="X357" s="190">
        <v>0</v>
      </c>
      <c r="Y357" s="190">
        <v>0</v>
      </c>
      <c r="Z357" s="190">
        <v>0</v>
      </c>
      <c r="AA357" s="190">
        <v>0</v>
      </c>
      <c r="AB357" s="190">
        <v>0</v>
      </c>
      <c r="AC357" s="190">
        <v>0</v>
      </c>
      <c r="AD357" s="190">
        <v>0</v>
      </c>
      <c r="AE357" s="190">
        <v>0</v>
      </c>
      <c r="AF357" s="190">
        <v>0</v>
      </c>
      <c r="AG357" s="190">
        <v>0</v>
      </c>
      <c r="AH357" s="190">
        <v>0</v>
      </c>
      <c r="AI357" s="190">
        <v>0</v>
      </c>
      <c r="AJ357" s="190">
        <v>0</v>
      </c>
      <c r="AK357" s="190">
        <v>0</v>
      </c>
      <c r="AL357" s="190">
        <v>0</v>
      </c>
    </row>
    <row r="358" spans="2:38" ht="12.75" customHeight="1">
      <c r="B358" s="507" t="s">
        <v>115</v>
      </c>
      <c r="C358" s="6" t="s">
        <v>880</v>
      </c>
      <c r="D358" s="12" t="s">
        <v>881</v>
      </c>
      <c r="E358" s="12" t="s">
        <v>976</v>
      </c>
      <c r="F358" s="6">
        <v>0</v>
      </c>
      <c r="G358" s="6">
        <v>1</v>
      </c>
      <c r="H358" s="6" t="s">
        <v>937</v>
      </c>
      <c r="I358" s="190">
        <v>0</v>
      </c>
      <c r="J358" s="190">
        <v>0</v>
      </c>
      <c r="K358" s="190">
        <v>0</v>
      </c>
      <c r="L358" s="190">
        <v>0</v>
      </c>
      <c r="M358" s="190">
        <v>0</v>
      </c>
      <c r="N358" s="190">
        <v>0</v>
      </c>
      <c r="O358" s="190">
        <v>0</v>
      </c>
      <c r="P358" s="190">
        <v>392187.06531251292</v>
      </c>
      <c r="Q358" s="190">
        <v>0</v>
      </c>
      <c r="R358" s="190">
        <v>0</v>
      </c>
      <c r="S358" s="190">
        <v>0</v>
      </c>
      <c r="T358" s="190">
        <v>0</v>
      </c>
      <c r="U358" s="190">
        <v>784374.13062502583</v>
      </c>
      <c r="V358" s="190">
        <v>0</v>
      </c>
      <c r="W358" s="190">
        <v>0</v>
      </c>
      <c r="X358" s="190">
        <v>0</v>
      </c>
      <c r="Y358" s="190">
        <v>0</v>
      </c>
      <c r="Z358" s="190">
        <v>1176561.1959375388</v>
      </c>
      <c r="AA358" s="190">
        <v>0</v>
      </c>
      <c r="AB358" s="190">
        <v>0</v>
      </c>
      <c r="AC358" s="190">
        <v>0</v>
      </c>
      <c r="AD358" s="190">
        <v>0</v>
      </c>
      <c r="AE358" s="190">
        <v>1176561.1959375388</v>
      </c>
      <c r="AF358" s="190">
        <v>0</v>
      </c>
      <c r="AG358" s="190">
        <v>0</v>
      </c>
      <c r="AH358" s="190">
        <v>0</v>
      </c>
      <c r="AI358" s="190">
        <v>0</v>
      </c>
      <c r="AJ358" s="190">
        <v>1176561.1959375388</v>
      </c>
      <c r="AK358" s="190">
        <v>0</v>
      </c>
      <c r="AL358" s="190">
        <v>0</v>
      </c>
    </row>
    <row r="359" spans="2:38" ht="12.75" customHeight="1">
      <c r="B359" s="507" t="s">
        <v>115</v>
      </c>
      <c r="C359" s="6" t="s">
        <v>880</v>
      </c>
      <c r="D359" s="12" t="s">
        <v>881</v>
      </c>
      <c r="E359" s="12" t="s">
        <v>976</v>
      </c>
      <c r="F359" s="6">
        <v>0</v>
      </c>
      <c r="G359" s="6">
        <v>1</v>
      </c>
      <c r="H359" s="6" t="s">
        <v>938</v>
      </c>
      <c r="I359" s="190">
        <v>0</v>
      </c>
      <c r="J359" s="190">
        <v>0</v>
      </c>
      <c r="K359" s="190">
        <v>0</v>
      </c>
      <c r="L359" s="190">
        <v>0</v>
      </c>
      <c r="M359" s="190">
        <v>0</v>
      </c>
      <c r="N359" s="190">
        <v>1171853.8350439433</v>
      </c>
      <c r="O359" s="190">
        <v>0</v>
      </c>
      <c r="P359" s="190">
        <v>0</v>
      </c>
      <c r="Q359" s="190">
        <v>0</v>
      </c>
      <c r="R359" s="190">
        <v>0</v>
      </c>
      <c r="S359" s="190">
        <v>937483.0680351546</v>
      </c>
      <c r="T359" s="190">
        <v>0</v>
      </c>
      <c r="U359" s="190">
        <v>0</v>
      </c>
      <c r="V359" s="190">
        <v>0</v>
      </c>
      <c r="W359" s="190">
        <v>0</v>
      </c>
      <c r="X359" s="190">
        <v>703112.30102636595</v>
      </c>
      <c r="Y359" s="190">
        <v>0</v>
      </c>
      <c r="Z359" s="190">
        <v>0</v>
      </c>
      <c r="AA359" s="190">
        <v>0</v>
      </c>
      <c r="AB359" s="190">
        <v>0</v>
      </c>
      <c r="AC359" s="190">
        <v>703112.30102636595</v>
      </c>
      <c r="AD359" s="190">
        <v>0</v>
      </c>
      <c r="AE359" s="190">
        <v>0</v>
      </c>
      <c r="AF359" s="190">
        <v>0</v>
      </c>
      <c r="AG359" s="190">
        <v>0</v>
      </c>
      <c r="AH359" s="190">
        <v>703112.30102636595</v>
      </c>
      <c r="AI359" s="190">
        <v>0</v>
      </c>
      <c r="AJ359" s="190">
        <v>0</v>
      </c>
      <c r="AK359" s="190">
        <v>0</v>
      </c>
      <c r="AL359" s="190">
        <v>0</v>
      </c>
    </row>
    <row r="360" spans="2:38" ht="12.75" customHeight="1">
      <c r="B360" s="507" t="s">
        <v>115</v>
      </c>
      <c r="C360" s="6" t="s">
        <v>880</v>
      </c>
      <c r="D360" s="12" t="s">
        <v>881</v>
      </c>
      <c r="E360" s="12" t="s">
        <v>976</v>
      </c>
      <c r="F360" s="6">
        <v>0</v>
      </c>
      <c r="G360" s="6">
        <v>1</v>
      </c>
      <c r="H360" s="6" t="s">
        <v>939</v>
      </c>
      <c r="I360" s="190">
        <v>0</v>
      </c>
      <c r="J360" s="190">
        <v>0</v>
      </c>
      <c r="K360" s="190">
        <v>0</v>
      </c>
      <c r="L360" s="190">
        <v>0</v>
      </c>
      <c r="M360" s="190">
        <v>0</v>
      </c>
      <c r="N360" s="190">
        <v>0</v>
      </c>
      <c r="O360" s="190">
        <v>0</v>
      </c>
      <c r="P360" s="190">
        <v>0</v>
      </c>
      <c r="Q360" s="190">
        <v>0</v>
      </c>
      <c r="R360" s="190">
        <v>0</v>
      </c>
      <c r="S360" s="190">
        <v>0</v>
      </c>
      <c r="T360" s="190">
        <v>0</v>
      </c>
      <c r="U360" s="190">
        <v>0</v>
      </c>
      <c r="V360" s="190">
        <v>0</v>
      </c>
      <c r="W360" s="190">
        <v>0</v>
      </c>
      <c r="X360" s="190">
        <v>0</v>
      </c>
      <c r="Y360" s="190">
        <v>0</v>
      </c>
      <c r="Z360" s="190">
        <v>0</v>
      </c>
      <c r="AA360" s="190">
        <v>0</v>
      </c>
      <c r="AB360" s="190">
        <v>0</v>
      </c>
      <c r="AC360" s="190">
        <v>0</v>
      </c>
      <c r="AD360" s="190">
        <v>0</v>
      </c>
      <c r="AE360" s="190">
        <v>0</v>
      </c>
      <c r="AF360" s="190">
        <v>0</v>
      </c>
      <c r="AG360" s="190">
        <v>0</v>
      </c>
      <c r="AH360" s="190">
        <v>0</v>
      </c>
      <c r="AI360" s="190">
        <v>0</v>
      </c>
      <c r="AJ360" s="190">
        <v>0</v>
      </c>
      <c r="AK360" s="190">
        <v>0</v>
      </c>
      <c r="AL360" s="190">
        <v>0</v>
      </c>
    </row>
    <row r="361" spans="2:38" ht="12.75" customHeight="1">
      <c r="B361" s="507" t="s">
        <v>115</v>
      </c>
      <c r="C361" s="6" t="s">
        <v>880</v>
      </c>
      <c r="D361" s="12" t="s">
        <v>881</v>
      </c>
      <c r="E361" s="12" t="s">
        <v>976</v>
      </c>
      <c r="F361" s="6">
        <v>0</v>
      </c>
      <c r="G361" s="6">
        <v>1</v>
      </c>
      <c r="H361" s="6" t="s">
        <v>940</v>
      </c>
      <c r="I361" s="190">
        <v>0</v>
      </c>
      <c r="J361" s="190">
        <v>0</v>
      </c>
      <c r="K361" s="190">
        <v>0</v>
      </c>
      <c r="L361" s="190">
        <v>0</v>
      </c>
      <c r="M361" s="190">
        <v>0</v>
      </c>
      <c r="N361" s="190">
        <v>0</v>
      </c>
      <c r="O361" s="190">
        <v>0</v>
      </c>
      <c r="P361" s="190">
        <v>0</v>
      </c>
      <c r="Q361" s="190">
        <v>0</v>
      </c>
      <c r="R361" s="190">
        <v>0</v>
      </c>
      <c r="S361" s="190">
        <v>0</v>
      </c>
      <c r="T361" s="190">
        <v>0</v>
      </c>
      <c r="U361" s="190">
        <v>0</v>
      </c>
      <c r="V361" s="190">
        <v>0</v>
      </c>
      <c r="W361" s="190">
        <v>0</v>
      </c>
      <c r="X361" s="190">
        <v>0</v>
      </c>
      <c r="Y361" s="190">
        <v>0</v>
      </c>
      <c r="Z361" s="190">
        <v>0</v>
      </c>
      <c r="AA361" s="190">
        <v>0</v>
      </c>
      <c r="AB361" s="190">
        <v>0</v>
      </c>
      <c r="AC361" s="190">
        <v>0</v>
      </c>
      <c r="AD361" s="190">
        <v>0</v>
      </c>
      <c r="AE361" s="190">
        <v>0</v>
      </c>
      <c r="AF361" s="190">
        <v>0</v>
      </c>
      <c r="AG361" s="190">
        <v>0</v>
      </c>
      <c r="AH361" s="190">
        <v>0</v>
      </c>
      <c r="AI361" s="190">
        <v>0</v>
      </c>
      <c r="AJ361" s="190">
        <v>0</v>
      </c>
      <c r="AK361" s="190">
        <v>0</v>
      </c>
      <c r="AL361" s="190">
        <v>0</v>
      </c>
    </row>
    <row r="362" spans="2:38" ht="12.75" customHeight="1">
      <c r="B362" s="507" t="s">
        <v>115</v>
      </c>
      <c r="C362" s="6" t="s">
        <v>880</v>
      </c>
      <c r="D362" s="12" t="s">
        <v>881</v>
      </c>
      <c r="E362" s="12" t="s">
        <v>976</v>
      </c>
      <c r="F362" s="6">
        <v>0</v>
      </c>
      <c r="G362" s="6">
        <v>1</v>
      </c>
      <c r="H362" s="6" t="s">
        <v>941</v>
      </c>
      <c r="I362" s="190">
        <v>0</v>
      </c>
      <c r="J362" s="190">
        <v>0</v>
      </c>
      <c r="K362" s="190">
        <v>0</v>
      </c>
      <c r="L362" s="190">
        <v>0</v>
      </c>
      <c r="M362" s="190">
        <v>0</v>
      </c>
      <c r="N362" s="190">
        <v>0</v>
      </c>
      <c r="O362" s="190">
        <v>0</v>
      </c>
      <c r="P362" s="190">
        <v>0</v>
      </c>
      <c r="Q362" s="190">
        <v>0</v>
      </c>
      <c r="R362" s="190">
        <v>0</v>
      </c>
      <c r="S362" s="190">
        <v>0</v>
      </c>
      <c r="T362" s="190">
        <v>0</v>
      </c>
      <c r="U362" s="190">
        <v>0</v>
      </c>
      <c r="V362" s="190">
        <v>0</v>
      </c>
      <c r="W362" s="190">
        <v>0</v>
      </c>
      <c r="X362" s="190">
        <v>0</v>
      </c>
      <c r="Y362" s="190">
        <v>0</v>
      </c>
      <c r="Z362" s="190">
        <v>0</v>
      </c>
      <c r="AA362" s="190">
        <v>0</v>
      </c>
      <c r="AB362" s="190">
        <v>0</v>
      </c>
      <c r="AC362" s="190">
        <v>0</v>
      </c>
      <c r="AD362" s="190">
        <v>0</v>
      </c>
      <c r="AE362" s="190">
        <v>0</v>
      </c>
      <c r="AF362" s="190">
        <v>0</v>
      </c>
      <c r="AG362" s="190">
        <v>0</v>
      </c>
      <c r="AH362" s="190">
        <v>0</v>
      </c>
      <c r="AI362" s="190">
        <v>0</v>
      </c>
      <c r="AJ362" s="190">
        <v>0</v>
      </c>
      <c r="AK362" s="190">
        <v>0</v>
      </c>
      <c r="AL362" s="190">
        <v>0</v>
      </c>
    </row>
    <row r="363" spans="2:38" ht="12.75" customHeight="1">
      <c r="B363" s="507" t="s">
        <v>115</v>
      </c>
      <c r="C363" s="6" t="s">
        <v>880</v>
      </c>
      <c r="D363" s="12" t="s">
        <v>881</v>
      </c>
      <c r="E363" s="12" t="s">
        <v>976</v>
      </c>
      <c r="F363" s="6">
        <v>0</v>
      </c>
      <c r="G363" s="6">
        <v>1</v>
      </c>
      <c r="H363" s="6" t="s">
        <v>942</v>
      </c>
      <c r="I363" s="190">
        <v>0</v>
      </c>
      <c r="J363" s="190">
        <v>0</v>
      </c>
      <c r="K363" s="190">
        <v>0</v>
      </c>
      <c r="L363" s="190">
        <v>0</v>
      </c>
      <c r="M363" s="190">
        <v>0</v>
      </c>
      <c r="N363" s="190">
        <v>0</v>
      </c>
      <c r="O363" s="190">
        <v>0</v>
      </c>
      <c r="P363" s="190">
        <v>0</v>
      </c>
      <c r="Q363" s="190">
        <v>0</v>
      </c>
      <c r="R363" s="190">
        <v>0</v>
      </c>
      <c r="S363" s="190">
        <v>0</v>
      </c>
      <c r="T363" s="190">
        <v>0</v>
      </c>
      <c r="U363" s="190">
        <v>0</v>
      </c>
      <c r="V363" s="190">
        <v>0</v>
      </c>
      <c r="W363" s="190">
        <v>0</v>
      </c>
      <c r="X363" s="190">
        <v>0</v>
      </c>
      <c r="Y363" s="190">
        <v>0</v>
      </c>
      <c r="Z363" s="190">
        <v>0</v>
      </c>
      <c r="AA363" s="190">
        <v>0</v>
      </c>
      <c r="AB363" s="190">
        <v>0</v>
      </c>
      <c r="AC363" s="190">
        <v>0</v>
      </c>
      <c r="AD363" s="190">
        <v>0</v>
      </c>
      <c r="AE363" s="190">
        <v>0</v>
      </c>
      <c r="AF363" s="190">
        <v>0</v>
      </c>
      <c r="AG363" s="190">
        <v>0</v>
      </c>
      <c r="AH363" s="190">
        <v>0</v>
      </c>
      <c r="AI363" s="190">
        <v>0</v>
      </c>
      <c r="AJ363" s="190">
        <v>0</v>
      </c>
      <c r="AK363" s="190">
        <v>0</v>
      </c>
      <c r="AL363" s="190">
        <v>0</v>
      </c>
    </row>
    <row r="364" spans="2:38" ht="12.75" customHeight="1">
      <c r="B364" s="507" t="s">
        <v>115</v>
      </c>
      <c r="C364" s="6" t="s">
        <v>880</v>
      </c>
      <c r="D364" s="12" t="s">
        <v>881</v>
      </c>
      <c r="E364" s="12" t="s">
        <v>976</v>
      </c>
      <c r="F364" s="6">
        <v>0</v>
      </c>
      <c r="G364" s="6">
        <v>1</v>
      </c>
      <c r="H364" s="6" t="s">
        <v>917</v>
      </c>
      <c r="I364" s="190">
        <v>0</v>
      </c>
      <c r="J364" s="190">
        <v>0</v>
      </c>
      <c r="K364" s="190">
        <v>0</v>
      </c>
      <c r="L364" s="190">
        <v>0</v>
      </c>
      <c r="M364" s="190">
        <v>0</v>
      </c>
      <c r="N364" s="190">
        <v>0</v>
      </c>
      <c r="O364" s="190">
        <v>0</v>
      </c>
      <c r="P364" s="190">
        <v>0</v>
      </c>
      <c r="Q364" s="190">
        <v>0</v>
      </c>
      <c r="R364" s="190">
        <v>0</v>
      </c>
      <c r="S364" s="190">
        <v>0</v>
      </c>
      <c r="T364" s="190">
        <v>0</v>
      </c>
      <c r="U364" s="190">
        <v>0</v>
      </c>
      <c r="V364" s="190">
        <v>0</v>
      </c>
      <c r="W364" s="190">
        <v>0</v>
      </c>
      <c r="X364" s="190">
        <v>0</v>
      </c>
      <c r="Y364" s="190">
        <v>0</v>
      </c>
      <c r="Z364" s="190">
        <v>0</v>
      </c>
      <c r="AA364" s="190">
        <v>0</v>
      </c>
      <c r="AB364" s="190">
        <v>0</v>
      </c>
      <c r="AC364" s="190">
        <v>0</v>
      </c>
      <c r="AD364" s="190">
        <v>0</v>
      </c>
      <c r="AE364" s="190">
        <v>0</v>
      </c>
      <c r="AF364" s="190">
        <v>0</v>
      </c>
      <c r="AG364" s="190">
        <v>0</v>
      </c>
      <c r="AH364" s="190">
        <v>0</v>
      </c>
      <c r="AI364" s="190">
        <v>0</v>
      </c>
      <c r="AJ364" s="190">
        <v>0</v>
      </c>
      <c r="AK364" s="190">
        <v>0</v>
      </c>
      <c r="AL364" s="190">
        <v>0</v>
      </c>
    </row>
    <row r="365" spans="2:38" ht="12.75" customHeight="1">
      <c r="B365" s="507" t="s">
        <v>115</v>
      </c>
      <c r="C365" s="6" t="s">
        <v>880</v>
      </c>
      <c r="D365" s="12" t="s">
        <v>881</v>
      </c>
      <c r="E365" s="12" t="s">
        <v>976</v>
      </c>
      <c r="F365" s="6">
        <v>0</v>
      </c>
      <c r="G365" s="6">
        <v>1</v>
      </c>
      <c r="H365" s="6" t="s">
        <v>943</v>
      </c>
      <c r="I365" s="190">
        <v>0</v>
      </c>
      <c r="J365" s="190">
        <v>0</v>
      </c>
      <c r="K365" s="190">
        <v>0</v>
      </c>
      <c r="L365" s="190">
        <v>0</v>
      </c>
      <c r="M365" s="190">
        <v>0</v>
      </c>
      <c r="N365" s="190">
        <v>0</v>
      </c>
      <c r="O365" s="190">
        <v>0</v>
      </c>
      <c r="P365" s="190">
        <v>0</v>
      </c>
      <c r="Q365" s="190">
        <v>0</v>
      </c>
      <c r="R365" s="190">
        <v>0</v>
      </c>
      <c r="S365" s="190">
        <v>0</v>
      </c>
      <c r="T365" s="190">
        <v>0</v>
      </c>
      <c r="U365" s="190">
        <v>0</v>
      </c>
      <c r="V365" s="190">
        <v>0</v>
      </c>
      <c r="W365" s="190">
        <v>0</v>
      </c>
      <c r="X365" s="190">
        <v>0</v>
      </c>
      <c r="Y365" s="190">
        <v>0</v>
      </c>
      <c r="Z365" s="190">
        <v>0</v>
      </c>
      <c r="AA365" s="190">
        <v>0</v>
      </c>
      <c r="AB365" s="190">
        <v>0</v>
      </c>
      <c r="AC365" s="190">
        <v>0</v>
      </c>
      <c r="AD365" s="190">
        <v>0</v>
      </c>
      <c r="AE365" s="190">
        <v>0</v>
      </c>
      <c r="AF365" s="190">
        <v>0</v>
      </c>
      <c r="AG365" s="190">
        <v>0</v>
      </c>
      <c r="AH365" s="190">
        <v>0</v>
      </c>
      <c r="AI365" s="190">
        <v>0</v>
      </c>
      <c r="AJ365" s="190">
        <v>0</v>
      </c>
      <c r="AK365" s="190">
        <v>0</v>
      </c>
      <c r="AL365" s="190">
        <v>0</v>
      </c>
    </row>
    <row r="366" spans="2:38" ht="12.75" customHeight="1">
      <c r="B366" s="507" t="s">
        <v>115</v>
      </c>
      <c r="C366" s="6" t="s">
        <v>880</v>
      </c>
      <c r="D366" s="12" t="s">
        <v>881</v>
      </c>
      <c r="E366" s="12" t="s">
        <v>976</v>
      </c>
      <c r="F366" s="6">
        <v>0</v>
      </c>
      <c r="G366" s="6">
        <v>1</v>
      </c>
      <c r="H366" s="6" t="s">
        <v>944</v>
      </c>
      <c r="I366" s="190">
        <v>0</v>
      </c>
      <c r="J366" s="190">
        <v>0</v>
      </c>
      <c r="K366" s="190">
        <v>0</v>
      </c>
      <c r="L366" s="190">
        <v>0</v>
      </c>
      <c r="M366" s="190">
        <v>0</v>
      </c>
      <c r="N366" s="190">
        <v>0</v>
      </c>
      <c r="O366" s="190">
        <v>0</v>
      </c>
      <c r="P366" s="190">
        <v>0</v>
      </c>
      <c r="Q366" s="190">
        <v>0</v>
      </c>
      <c r="R366" s="190">
        <v>0</v>
      </c>
      <c r="S366" s="190">
        <v>0</v>
      </c>
      <c r="T366" s="190">
        <v>0</v>
      </c>
      <c r="U366" s="190">
        <v>0</v>
      </c>
      <c r="V366" s="190">
        <v>0</v>
      </c>
      <c r="W366" s="190">
        <v>0</v>
      </c>
      <c r="X366" s="190">
        <v>0</v>
      </c>
      <c r="Y366" s="190">
        <v>0</v>
      </c>
      <c r="Z366" s="190">
        <v>0</v>
      </c>
      <c r="AA366" s="190">
        <v>0</v>
      </c>
      <c r="AB366" s="190">
        <v>0</v>
      </c>
      <c r="AC366" s="190">
        <v>0</v>
      </c>
      <c r="AD366" s="190">
        <v>0</v>
      </c>
      <c r="AE366" s="190">
        <v>0</v>
      </c>
      <c r="AF366" s="190">
        <v>0</v>
      </c>
      <c r="AG366" s="190">
        <v>0</v>
      </c>
      <c r="AH366" s="190">
        <v>0</v>
      </c>
      <c r="AI366" s="190">
        <v>0</v>
      </c>
      <c r="AJ366" s="190">
        <v>0</v>
      </c>
      <c r="AK366" s="190">
        <v>0</v>
      </c>
      <c r="AL366" s="190">
        <v>0</v>
      </c>
    </row>
    <row r="367" spans="2:38" ht="12.75" customHeight="1">
      <c r="B367" s="507" t="s">
        <v>115</v>
      </c>
      <c r="C367" s="6" t="s">
        <v>880</v>
      </c>
      <c r="D367" s="12" t="s">
        <v>881</v>
      </c>
      <c r="E367" s="12" t="s">
        <v>976</v>
      </c>
      <c r="F367" s="6">
        <v>0</v>
      </c>
      <c r="G367" s="6">
        <v>1</v>
      </c>
      <c r="H367" s="6" t="s">
        <v>945</v>
      </c>
      <c r="I367" s="190">
        <v>0</v>
      </c>
      <c r="J367" s="190">
        <v>0</v>
      </c>
      <c r="K367" s="190">
        <v>0</v>
      </c>
      <c r="L367" s="190">
        <v>0</v>
      </c>
      <c r="M367" s="190">
        <v>0</v>
      </c>
      <c r="N367" s="190">
        <v>0</v>
      </c>
      <c r="O367" s="190">
        <v>0</v>
      </c>
      <c r="P367" s="190">
        <v>0</v>
      </c>
      <c r="Q367" s="190">
        <v>0</v>
      </c>
      <c r="R367" s="190">
        <v>0</v>
      </c>
      <c r="S367" s="190">
        <v>0</v>
      </c>
      <c r="T367" s="190">
        <v>0</v>
      </c>
      <c r="U367" s="190">
        <v>0</v>
      </c>
      <c r="V367" s="190">
        <v>0</v>
      </c>
      <c r="W367" s="190">
        <v>0</v>
      </c>
      <c r="X367" s="190">
        <v>0</v>
      </c>
      <c r="Y367" s="190">
        <v>0</v>
      </c>
      <c r="Z367" s="190">
        <v>0</v>
      </c>
      <c r="AA367" s="190">
        <v>0</v>
      </c>
      <c r="AB367" s="190">
        <v>0</v>
      </c>
      <c r="AC367" s="190">
        <v>0</v>
      </c>
      <c r="AD367" s="190">
        <v>0</v>
      </c>
      <c r="AE367" s="190">
        <v>0</v>
      </c>
      <c r="AF367" s="190">
        <v>0</v>
      </c>
      <c r="AG367" s="190">
        <v>0</v>
      </c>
      <c r="AH367" s="190">
        <v>0</v>
      </c>
      <c r="AI367" s="190">
        <v>0</v>
      </c>
      <c r="AJ367" s="190">
        <v>0</v>
      </c>
      <c r="AK367" s="190">
        <v>0</v>
      </c>
      <c r="AL367" s="190">
        <v>0</v>
      </c>
    </row>
    <row r="368" spans="2:38" ht="12.75" customHeight="1">
      <c r="B368" s="507" t="s">
        <v>115</v>
      </c>
      <c r="C368" s="6" t="s">
        <v>880</v>
      </c>
      <c r="D368" s="12" t="s">
        <v>881</v>
      </c>
      <c r="E368" s="12" t="s">
        <v>976</v>
      </c>
      <c r="F368" s="6">
        <v>0</v>
      </c>
      <c r="G368" s="6">
        <v>1</v>
      </c>
      <c r="H368" s="6" t="s">
        <v>946</v>
      </c>
      <c r="I368" s="190">
        <v>0</v>
      </c>
      <c r="J368" s="190">
        <v>0</v>
      </c>
      <c r="K368" s="190">
        <v>0</v>
      </c>
      <c r="L368" s="190">
        <v>0</v>
      </c>
      <c r="M368" s="190">
        <v>0</v>
      </c>
      <c r="N368" s="190">
        <v>0</v>
      </c>
      <c r="O368" s="190">
        <v>0</v>
      </c>
      <c r="P368" s="190">
        <v>0</v>
      </c>
      <c r="Q368" s="190">
        <v>0</v>
      </c>
      <c r="R368" s="190">
        <v>0</v>
      </c>
      <c r="S368" s="190">
        <v>0</v>
      </c>
      <c r="T368" s="190">
        <v>0</v>
      </c>
      <c r="U368" s="190">
        <v>0</v>
      </c>
      <c r="V368" s="190">
        <v>0</v>
      </c>
      <c r="W368" s="190">
        <v>0</v>
      </c>
      <c r="X368" s="190">
        <v>0</v>
      </c>
      <c r="Y368" s="190">
        <v>0</v>
      </c>
      <c r="Z368" s="190">
        <v>0</v>
      </c>
      <c r="AA368" s="190">
        <v>0</v>
      </c>
      <c r="AB368" s="190">
        <v>0</v>
      </c>
      <c r="AC368" s="190">
        <v>0</v>
      </c>
      <c r="AD368" s="190">
        <v>0</v>
      </c>
      <c r="AE368" s="190">
        <v>0</v>
      </c>
      <c r="AF368" s="190">
        <v>0</v>
      </c>
      <c r="AG368" s="190">
        <v>0</v>
      </c>
      <c r="AH368" s="190">
        <v>0</v>
      </c>
      <c r="AI368" s="190">
        <v>0</v>
      </c>
      <c r="AJ368" s="190">
        <v>0</v>
      </c>
      <c r="AK368" s="190">
        <v>0</v>
      </c>
      <c r="AL368" s="190">
        <v>0</v>
      </c>
    </row>
    <row r="369" spans="2:38" ht="12.75" customHeight="1">
      <c r="B369" s="507" t="s">
        <v>115</v>
      </c>
      <c r="C369" s="6" t="s">
        <v>880</v>
      </c>
      <c r="D369" s="12" t="s">
        <v>881</v>
      </c>
      <c r="E369" s="12" t="s">
        <v>976</v>
      </c>
      <c r="F369" s="6">
        <v>0</v>
      </c>
      <c r="G369" s="6">
        <v>1</v>
      </c>
      <c r="H369" s="6" t="s">
        <v>947</v>
      </c>
      <c r="I369" s="190">
        <v>0</v>
      </c>
      <c r="J369" s="190">
        <v>0</v>
      </c>
      <c r="K369" s="190">
        <v>0</v>
      </c>
      <c r="L369" s="190">
        <v>0</v>
      </c>
      <c r="M369" s="190">
        <v>0</v>
      </c>
      <c r="N369" s="190">
        <v>0</v>
      </c>
      <c r="O369" s="190">
        <v>0</v>
      </c>
      <c r="P369" s="190">
        <v>0</v>
      </c>
      <c r="Q369" s="190">
        <v>0</v>
      </c>
      <c r="R369" s="190">
        <v>0</v>
      </c>
      <c r="S369" s="190">
        <v>0</v>
      </c>
      <c r="T369" s="190">
        <v>0</v>
      </c>
      <c r="U369" s="190">
        <v>0</v>
      </c>
      <c r="V369" s="190">
        <v>0</v>
      </c>
      <c r="W369" s="190">
        <v>0</v>
      </c>
      <c r="X369" s="190">
        <v>0</v>
      </c>
      <c r="Y369" s="190">
        <v>0</v>
      </c>
      <c r="Z369" s="190">
        <v>0</v>
      </c>
      <c r="AA369" s="190">
        <v>0</v>
      </c>
      <c r="AB369" s="190">
        <v>0</v>
      </c>
      <c r="AC369" s="190">
        <v>0</v>
      </c>
      <c r="AD369" s="190">
        <v>0</v>
      </c>
      <c r="AE369" s="190">
        <v>0</v>
      </c>
      <c r="AF369" s="190">
        <v>0</v>
      </c>
      <c r="AG369" s="190">
        <v>0</v>
      </c>
      <c r="AH369" s="190">
        <v>0</v>
      </c>
      <c r="AI369" s="190">
        <v>0</v>
      </c>
      <c r="AJ369" s="190">
        <v>0</v>
      </c>
      <c r="AK369" s="190">
        <v>0</v>
      </c>
      <c r="AL369" s="190">
        <v>0</v>
      </c>
    </row>
    <row r="370" spans="2:38" ht="12.75" customHeight="1">
      <c r="B370" s="507" t="s">
        <v>115</v>
      </c>
      <c r="C370" s="6" t="s">
        <v>880</v>
      </c>
      <c r="D370" s="12" t="s">
        <v>881</v>
      </c>
      <c r="E370" s="12" t="s">
        <v>976</v>
      </c>
      <c r="F370" s="6">
        <v>0</v>
      </c>
      <c r="G370" s="6">
        <v>1</v>
      </c>
      <c r="H370" s="6" t="s">
        <v>948</v>
      </c>
      <c r="I370" s="190">
        <v>0</v>
      </c>
      <c r="J370" s="190">
        <v>0</v>
      </c>
      <c r="K370" s="190">
        <v>0</v>
      </c>
      <c r="L370" s="190">
        <v>0</v>
      </c>
      <c r="M370" s="190">
        <v>0</v>
      </c>
      <c r="N370" s="190">
        <v>0</v>
      </c>
      <c r="O370" s="190">
        <v>0</v>
      </c>
      <c r="P370" s="190">
        <v>0</v>
      </c>
      <c r="Q370" s="190">
        <v>0</v>
      </c>
      <c r="R370" s="190">
        <v>0</v>
      </c>
      <c r="S370" s="190">
        <v>0</v>
      </c>
      <c r="T370" s="190">
        <v>0</v>
      </c>
      <c r="U370" s="190">
        <v>0</v>
      </c>
      <c r="V370" s="190">
        <v>0</v>
      </c>
      <c r="W370" s="190">
        <v>0</v>
      </c>
      <c r="X370" s="190">
        <v>0</v>
      </c>
      <c r="Y370" s="190">
        <v>0</v>
      </c>
      <c r="Z370" s="190">
        <v>0</v>
      </c>
      <c r="AA370" s="190">
        <v>0</v>
      </c>
      <c r="AB370" s="190">
        <v>0</v>
      </c>
      <c r="AC370" s="190">
        <v>0</v>
      </c>
      <c r="AD370" s="190">
        <v>0</v>
      </c>
      <c r="AE370" s="190">
        <v>0</v>
      </c>
      <c r="AF370" s="190">
        <v>0</v>
      </c>
      <c r="AG370" s="190">
        <v>0</v>
      </c>
      <c r="AH370" s="190">
        <v>0</v>
      </c>
      <c r="AI370" s="190">
        <v>0</v>
      </c>
      <c r="AJ370" s="190">
        <v>0</v>
      </c>
      <c r="AK370" s="190">
        <v>0</v>
      </c>
      <c r="AL370" s="190">
        <v>0</v>
      </c>
    </row>
    <row r="371" spans="2:38" ht="12.75" customHeight="1">
      <c r="B371" s="507" t="s">
        <v>115</v>
      </c>
      <c r="C371" s="6" t="s">
        <v>880</v>
      </c>
      <c r="D371" s="12" t="s">
        <v>881</v>
      </c>
      <c r="E371" s="12" t="s">
        <v>976</v>
      </c>
      <c r="F371" s="6">
        <v>0</v>
      </c>
      <c r="G371" s="6">
        <v>1</v>
      </c>
      <c r="H371" s="6" t="s">
        <v>949</v>
      </c>
      <c r="I371" s="190">
        <v>0</v>
      </c>
      <c r="J371" s="190">
        <v>0</v>
      </c>
      <c r="K371" s="190">
        <v>0</v>
      </c>
      <c r="L371" s="190">
        <v>0</v>
      </c>
      <c r="M371" s="190">
        <v>0</v>
      </c>
      <c r="N371" s="190">
        <v>0</v>
      </c>
      <c r="O371" s="190">
        <v>0</v>
      </c>
      <c r="P371" s="190">
        <v>0</v>
      </c>
      <c r="Q371" s="190">
        <v>0</v>
      </c>
      <c r="R371" s="190">
        <v>0</v>
      </c>
      <c r="S371" s="190">
        <v>0</v>
      </c>
      <c r="T371" s="190">
        <v>0</v>
      </c>
      <c r="U371" s="190">
        <v>0</v>
      </c>
      <c r="V371" s="190">
        <v>0</v>
      </c>
      <c r="W371" s="190">
        <v>0</v>
      </c>
      <c r="X371" s="190">
        <v>0</v>
      </c>
      <c r="Y371" s="190">
        <v>0</v>
      </c>
      <c r="Z371" s="190">
        <v>0</v>
      </c>
      <c r="AA371" s="190">
        <v>0</v>
      </c>
      <c r="AB371" s="190">
        <v>0</v>
      </c>
      <c r="AC371" s="190">
        <v>0</v>
      </c>
      <c r="AD371" s="190">
        <v>0</v>
      </c>
      <c r="AE371" s="190">
        <v>0</v>
      </c>
      <c r="AF371" s="190">
        <v>0</v>
      </c>
      <c r="AG371" s="190">
        <v>0</v>
      </c>
      <c r="AH371" s="190">
        <v>0</v>
      </c>
      <c r="AI371" s="190">
        <v>0</v>
      </c>
      <c r="AJ371" s="190">
        <v>0</v>
      </c>
      <c r="AK371" s="190">
        <v>0</v>
      </c>
      <c r="AL371" s="190">
        <v>0</v>
      </c>
    </row>
    <row r="372" spans="2:38" ht="12.75" customHeight="1">
      <c r="B372" s="507" t="s">
        <v>115</v>
      </c>
      <c r="C372" s="6" t="s">
        <v>880</v>
      </c>
      <c r="D372" s="12" t="s">
        <v>881</v>
      </c>
      <c r="E372" s="12" t="s">
        <v>976</v>
      </c>
      <c r="F372" s="6">
        <v>0</v>
      </c>
      <c r="G372" s="6">
        <v>1</v>
      </c>
      <c r="H372" s="6" t="s">
        <v>950</v>
      </c>
      <c r="I372" s="190">
        <v>0</v>
      </c>
      <c r="J372" s="190">
        <v>0</v>
      </c>
      <c r="K372" s="190">
        <v>0</v>
      </c>
      <c r="L372" s="190">
        <v>0</v>
      </c>
      <c r="M372" s="190">
        <v>0</v>
      </c>
      <c r="N372" s="190">
        <v>0</v>
      </c>
      <c r="O372" s="190">
        <v>0</v>
      </c>
      <c r="P372" s="190">
        <v>0</v>
      </c>
      <c r="Q372" s="190">
        <v>0</v>
      </c>
      <c r="R372" s="190">
        <v>0</v>
      </c>
      <c r="S372" s="190">
        <v>769393.57810508052</v>
      </c>
      <c r="T372" s="190">
        <v>0</v>
      </c>
      <c r="U372" s="190">
        <v>0</v>
      </c>
      <c r="V372" s="190">
        <v>0</v>
      </c>
      <c r="W372" s="190">
        <v>0</v>
      </c>
      <c r="X372" s="190">
        <v>0</v>
      </c>
      <c r="Y372" s="190">
        <v>0</v>
      </c>
      <c r="Z372" s="190">
        <v>0</v>
      </c>
      <c r="AA372" s="190">
        <v>0</v>
      </c>
      <c r="AB372" s="190">
        <v>0</v>
      </c>
      <c r="AC372" s="190">
        <v>769393.57810508052</v>
      </c>
      <c r="AD372" s="190">
        <v>0</v>
      </c>
      <c r="AE372" s="190">
        <v>0</v>
      </c>
      <c r="AF372" s="190">
        <v>0</v>
      </c>
      <c r="AG372" s="190">
        <v>0</v>
      </c>
      <c r="AH372" s="190">
        <v>0</v>
      </c>
      <c r="AI372" s="190">
        <v>0</v>
      </c>
      <c r="AJ372" s="190">
        <v>0</v>
      </c>
      <c r="AK372" s="190">
        <v>0</v>
      </c>
      <c r="AL372" s="190">
        <v>0</v>
      </c>
    </row>
    <row r="373" spans="2:38" ht="12.75" customHeight="1">
      <c r="B373" s="507" t="s">
        <v>115</v>
      </c>
      <c r="C373" s="6" t="s">
        <v>880</v>
      </c>
      <c r="D373" s="12" t="s">
        <v>881</v>
      </c>
      <c r="E373" s="12" t="s">
        <v>976</v>
      </c>
      <c r="F373" s="6">
        <v>0</v>
      </c>
      <c r="G373" s="6">
        <v>1</v>
      </c>
      <c r="H373" s="6" t="s">
        <v>951</v>
      </c>
      <c r="I373" s="190">
        <v>0</v>
      </c>
      <c r="J373" s="190">
        <v>0</v>
      </c>
      <c r="K373" s="190">
        <v>0</v>
      </c>
      <c r="L373" s="190">
        <v>0</v>
      </c>
      <c r="M373" s="190">
        <v>215127.81690580779</v>
      </c>
      <c r="N373" s="190">
        <v>0</v>
      </c>
      <c r="O373" s="190">
        <v>0</v>
      </c>
      <c r="P373" s="190">
        <v>0</v>
      </c>
      <c r="Q373" s="190">
        <v>215127.81690580779</v>
      </c>
      <c r="R373" s="190">
        <v>0</v>
      </c>
      <c r="S373" s="190">
        <v>0</v>
      </c>
      <c r="T373" s="190">
        <v>0</v>
      </c>
      <c r="U373" s="190">
        <v>215127.81690580779</v>
      </c>
      <c r="V373" s="190">
        <v>0</v>
      </c>
      <c r="W373" s="190">
        <v>0</v>
      </c>
      <c r="X373" s="190">
        <v>0</v>
      </c>
      <c r="Y373" s="190">
        <v>215127.81690580779</v>
      </c>
      <c r="Z373" s="190">
        <v>0</v>
      </c>
      <c r="AA373" s="190">
        <v>0</v>
      </c>
      <c r="AB373" s="190">
        <v>0</v>
      </c>
      <c r="AC373" s="190">
        <v>193175.99885419477</v>
      </c>
      <c r="AD373" s="190">
        <v>0</v>
      </c>
      <c r="AE373" s="190">
        <v>0</v>
      </c>
      <c r="AF373" s="190">
        <v>0</v>
      </c>
      <c r="AG373" s="190">
        <v>193175.99885419477</v>
      </c>
      <c r="AH373" s="190">
        <v>0</v>
      </c>
      <c r="AI373" s="190">
        <v>0</v>
      </c>
      <c r="AJ373" s="190">
        <v>0</v>
      </c>
      <c r="AK373" s="190">
        <v>193175.99885419477</v>
      </c>
      <c r="AL373" s="190">
        <v>0</v>
      </c>
    </row>
    <row r="374" spans="2:38" ht="12.75" customHeight="1">
      <c r="B374" s="507" t="s">
        <v>115</v>
      </c>
      <c r="C374" s="6" t="s">
        <v>880</v>
      </c>
      <c r="D374" s="12" t="s">
        <v>881</v>
      </c>
      <c r="E374" s="12" t="s">
        <v>976</v>
      </c>
      <c r="F374" s="6">
        <v>0</v>
      </c>
      <c r="G374" s="6">
        <v>1</v>
      </c>
      <c r="H374" s="6" t="s">
        <v>952</v>
      </c>
      <c r="I374" s="190">
        <v>0</v>
      </c>
      <c r="J374" s="190">
        <v>0</v>
      </c>
      <c r="K374" s="190">
        <v>0</v>
      </c>
      <c r="L374" s="190">
        <v>0</v>
      </c>
      <c r="M374" s="190">
        <v>192060.92325923691</v>
      </c>
      <c r="N374" s="190">
        <v>0</v>
      </c>
      <c r="O374" s="190">
        <v>0</v>
      </c>
      <c r="P374" s="190">
        <v>0</v>
      </c>
      <c r="Q374" s="190">
        <v>192060.92325923691</v>
      </c>
      <c r="R374" s="190">
        <v>0</v>
      </c>
      <c r="S374" s="190">
        <v>0</v>
      </c>
      <c r="T374" s="190">
        <v>0</v>
      </c>
      <c r="U374" s="190">
        <v>192060.92325923691</v>
      </c>
      <c r="V374" s="190">
        <v>0</v>
      </c>
      <c r="W374" s="190">
        <v>0</v>
      </c>
      <c r="X374" s="190">
        <v>0</v>
      </c>
      <c r="Y374" s="190">
        <v>192060.92325923691</v>
      </c>
      <c r="Z374" s="190">
        <v>0</v>
      </c>
      <c r="AA374" s="190">
        <v>0</v>
      </c>
      <c r="AB374" s="190">
        <v>0</v>
      </c>
      <c r="AC374" s="190">
        <v>192060.92325923691</v>
      </c>
      <c r="AD374" s="190">
        <v>0</v>
      </c>
      <c r="AE374" s="190">
        <v>0</v>
      </c>
      <c r="AF374" s="190">
        <v>0</v>
      </c>
      <c r="AG374" s="190">
        <v>192060.92325923691</v>
      </c>
      <c r="AH374" s="190">
        <v>0</v>
      </c>
      <c r="AI374" s="190">
        <v>0</v>
      </c>
      <c r="AJ374" s="190">
        <v>0</v>
      </c>
      <c r="AK374" s="190">
        <v>192060.92325923691</v>
      </c>
      <c r="AL374" s="190">
        <v>0</v>
      </c>
    </row>
    <row r="375" spans="2:38" ht="12.75" customHeight="1">
      <c r="B375" s="507" t="s">
        <v>115</v>
      </c>
      <c r="C375" s="6" t="s">
        <v>880</v>
      </c>
      <c r="D375" s="12" t="s">
        <v>881</v>
      </c>
      <c r="E375" s="12" t="s">
        <v>976</v>
      </c>
      <c r="F375" s="6">
        <v>0</v>
      </c>
      <c r="G375" s="6">
        <v>1</v>
      </c>
      <c r="H375" s="6" t="s">
        <v>953</v>
      </c>
      <c r="I375" s="190">
        <v>0</v>
      </c>
      <c r="J375" s="190">
        <v>0</v>
      </c>
      <c r="K375" s="190">
        <v>0</v>
      </c>
      <c r="L375" s="190">
        <v>0</v>
      </c>
      <c r="M375" s="190">
        <v>129216.14122659061</v>
      </c>
      <c r="N375" s="190">
        <v>0</v>
      </c>
      <c r="O375" s="190">
        <v>0</v>
      </c>
      <c r="P375" s="190">
        <v>0</v>
      </c>
      <c r="Q375" s="190">
        <v>129216.14122659061</v>
      </c>
      <c r="R375" s="190">
        <v>0</v>
      </c>
      <c r="S375" s="190">
        <v>0</v>
      </c>
      <c r="T375" s="190">
        <v>0</v>
      </c>
      <c r="U375" s="190">
        <v>129216.14122659061</v>
      </c>
      <c r="V375" s="190">
        <v>0</v>
      </c>
      <c r="W375" s="190">
        <v>0</v>
      </c>
      <c r="X375" s="190">
        <v>0</v>
      </c>
      <c r="Y375" s="190">
        <v>129216.14122659061</v>
      </c>
      <c r="Z375" s="190">
        <v>0</v>
      </c>
      <c r="AA375" s="190">
        <v>0</v>
      </c>
      <c r="AB375" s="190">
        <v>0</v>
      </c>
      <c r="AC375" s="190">
        <v>129216.14122659061</v>
      </c>
      <c r="AD375" s="190">
        <v>0</v>
      </c>
      <c r="AE375" s="190">
        <v>0</v>
      </c>
      <c r="AF375" s="190">
        <v>0</v>
      </c>
      <c r="AG375" s="190">
        <v>129216.14122659061</v>
      </c>
      <c r="AH375" s="190">
        <v>0</v>
      </c>
      <c r="AI375" s="190">
        <v>0</v>
      </c>
      <c r="AJ375" s="190">
        <v>0</v>
      </c>
      <c r="AK375" s="190">
        <v>129216.14122659061</v>
      </c>
      <c r="AL375" s="190">
        <v>0</v>
      </c>
    </row>
    <row r="376" spans="2:38" ht="12.75" customHeight="1">
      <c r="B376" s="507" t="s">
        <v>115</v>
      </c>
      <c r="C376" s="6" t="s">
        <v>880</v>
      </c>
      <c r="D376" s="12" t="s">
        <v>881</v>
      </c>
      <c r="E376" s="12" t="s">
        <v>976</v>
      </c>
      <c r="F376" s="6">
        <v>0</v>
      </c>
      <c r="G376" s="6">
        <v>1</v>
      </c>
      <c r="H376" s="6" t="s">
        <v>954</v>
      </c>
      <c r="I376" s="190">
        <v>0</v>
      </c>
      <c r="J376" s="190">
        <v>0</v>
      </c>
      <c r="K376" s="190">
        <v>0</v>
      </c>
      <c r="L376" s="190">
        <v>0</v>
      </c>
      <c r="M376" s="190">
        <v>3165304.2468096483</v>
      </c>
      <c r="N376" s="190">
        <v>0</v>
      </c>
      <c r="O376" s="190">
        <v>0</v>
      </c>
      <c r="P376" s="190">
        <v>0</v>
      </c>
      <c r="Q376" s="190">
        <v>3165304.2468096483</v>
      </c>
      <c r="R376" s="190">
        <v>0</v>
      </c>
      <c r="S376" s="190">
        <v>0</v>
      </c>
      <c r="T376" s="190">
        <v>0</v>
      </c>
      <c r="U376" s="190">
        <v>3165304.2468096483</v>
      </c>
      <c r="V376" s="190">
        <v>0</v>
      </c>
      <c r="W376" s="190">
        <v>0</v>
      </c>
      <c r="X376" s="190">
        <v>0</v>
      </c>
      <c r="Y376" s="190">
        <v>3165304.2468096483</v>
      </c>
      <c r="Z376" s="190">
        <v>0</v>
      </c>
      <c r="AA376" s="190">
        <v>0</v>
      </c>
      <c r="AB376" s="190">
        <v>0</v>
      </c>
      <c r="AC376" s="190">
        <v>3165304.2468096483</v>
      </c>
      <c r="AD376" s="190">
        <v>0</v>
      </c>
      <c r="AE376" s="190">
        <v>0</v>
      </c>
      <c r="AF376" s="190">
        <v>0</v>
      </c>
      <c r="AG376" s="190">
        <v>3165304.2468096483</v>
      </c>
      <c r="AH376" s="190">
        <v>0</v>
      </c>
      <c r="AI376" s="190">
        <v>0</v>
      </c>
      <c r="AJ376" s="190">
        <v>0</v>
      </c>
      <c r="AK376" s="190">
        <v>3165304.2468096483</v>
      </c>
      <c r="AL376" s="190">
        <v>0</v>
      </c>
    </row>
    <row r="377" spans="2:38" ht="12.75" customHeight="1">
      <c r="B377" s="507" t="s">
        <v>115</v>
      </c>
      <c r="C377" s="6" t="s">
        <v>880</v>
      </c>
      <c r="D377" s="12" t="s">
        <v>881</v>
      </c>
      <c r="E377" s="12" t="s">
        <v>976</v>
      </c>
      <c r="F377" s="6">
        <v>0</v>
      </c>
      <c r="G377" s="6">
        <v>1</v>
      </c>
      <c r="H377" s="6" t="s">
        <v>955</v>
      </c>
      <c r="I377" s="190">
        <v>0</v>
      </c>
      <c r="J377" s="190">
        <v>0</v>
      </c>
      <c r="K377" s="190">
        <v>0</v>
      </c>
      <c r="L377" s="190">
        <v>0</v>
      </c>
      <c r="M377" s="190">
        <v>0</v>
      </c>
      <c r="N377" s="190">
        <v>0</v>
      </c>
      <c r="O377" s="190">
        <v>0</v>
      </c>
      <c r="P377" s="190">
        <v>0</v>
      </c>
      <c r="Q377" s="190">
        <v>0</v>
      </c>
      <c r="R377" s="190">
        <v>0</v>
      </c>
      <c r="S377" s="190">
        <v>0</v>
      </c>
      <c r="T377" s="190">
        <v>0</v>
      </c>
      <c r="U377" s="190">
        <v>0</v>
      </c>
      <c r="V377" s="190">
        <v>0</v>
      </c>
      <c r="W377" s="190">
        <v>0</v>
      </c>
      <c r="X377" s="190">
        <v>0</v>
      </c>
      <c r="Y377" s="190">
        <v>0</v>
      </c>
      <c r="Z377" s="190">
        <v>0</v>
      </c>
      <c r="AA377" s="190">
        <v>0</v>
      </c>
      <c r="AB377" s="190">
        <v>0</v>
      </c>
      <c r="AC377" s="190">
        <v>0</v>
      </c>
      <c r="AD377" s="190">
        <v>0</v>
      </c>
      <c r="AE377" s="190">
        <v>0</v>
      </c>
      <c r="AF377" s="190">
        <v>0</v>
      </c>
      <c r="AG377" s="190">
        <v>0</v>
      </c>
      <c r="AH377" s="190">
        <v>0</v>
      </c>
      <c r="AI377" s="190">
        <v>0</v>
      </c>
      <c r="AJ377" s="190">
        <v>0</v>
      </c>
      <c r="AK377" s="190">
        <v>0</v>
      </c>
      <c r="AL377" s="190">
        <v>0</v>
      </c>
    </row>
    <row r="378" spans="2:38" ht="12.75" customHeight="1">
      <c r="B378" s="507" t="s">
        <v>115</v>
      </c>
      <c r="C378" s="6" t="s">
        <v>880</v>
      </c>
      <c r="D378" s="12" t="s">
        <v>881</v>
      </c>
      <c r="E378" s="12" t="s">
        <v>976</v>
      </c>
      <c r="F378" s="6">
        <v>0</v>
      </c>
      <c r="G378" s="6">
        <v>1</v>
      </c>
      <c r="H378" s="6" t="s">
        <v>956</v>
      </c>
      <c r="I378" s="190">
        <v>0</v>
      </c>
      <c r="J378" s="190">
        <v>0</v>
      </c>
      <c r="K378" s="190">
        <v>0</v>
      </c>
      <c r="L378" s="190">
        <v>0</v>
      </c>
      <c r="M378" s="190">
        <v>0</v>
      </c>
      <c r="N378" s="190">
        <v>0</v>
      </c>
      <c r="O378" s="190">
        <v>0</v>
      </c>
      <c r="P378" s="190">
        <v>0</v>
      </c>
      <c r="Q378" s="190">
        <v>0</v>
      </c>
      <c r="R378" s="190">
        <v>0</v>
      </c>
      <c r="S378" s="190">
        <v>0</v>
      </c>
      <c r="T378" s="190">
        <v>0</v>
      </c>
      <c r="U378" s="190">
        <v>0</v>
      </c>
      <c r="V378" s="190">
        <v>0</v>
      </c>
      <c r="W378" s="190">
        <v>0</v>
      </c>
      <c r="X378" s="190">
        <v>0</v>
      </c>
      <c r="Y378" s="190">
        <v>0</v>
      </c>
      <c r="Z378" s="190">
        <v>0</v>
      </c>
      <c r="AA378" s="190">
        <v>0</v>
      </c>
      <c r="AB378" s="190">
        <v>0</v>
      </c>
      <c r="AC378" s="190">
        <v>0</v>
      </c>
      <c r="AD378" s="190">
        <v>0</v>
      </c>
      <c r="AE378" s="190">
        <v>0</v>
      </c>
      <c r="AF378" s="190">
        <v>0</v>
      </c>
      <c r="AG378" s="190">
        <v>0</v>
      </c>
      <c r="AH378" s="190">
        <v>0</v>
      </c>
      <c r="AI378" s="190">
        <v>0</v>
      </c>
      <c r="AJ378" s="190">
        <v>0</v>
      </c>
      <c r="AK378" s="190">
        <v>0</v>
      </c>
      <c r="AL378" s="190">
        <v>0</v>
      </c>
    </row>
    <row r="379" spans="2:38" ht="12.75" customHeight="1">
      <c r="B379" s="507" t="s">
        <v>115</v>
      </c>
      <c r="C379" s="6" t="s">
        <v>880</v>
      </c>
      <c r="D379" s="12" t="s">
        <v>881</v>
      </c>
      <c r="E379" s="12" t="s">
        <v>976</v>
      </c>
      <c r="F379" s="6">
        <v>1</v>
      </c>
      <c r="G379" s="6">
        <v>1</v>
      </c>
      <c r="H379" s="6" t="s">
        <v>957</v>
      </c>
      <c r="I379" s="190">
        <v>0</v>
      </c>
      <c r="J379" s="190">
        <v>0</v>
      </c>
      <c r="K379" s="190">
        <v>0</v>
      </c>
      <c r="L379" s="190">
        <v>0</v>
      </c>
      <c r="M379" s="190">
        <v>0</v>
      </c>
      <c r="N379" s="190">
        <v>0</v>
      </c>
      <c r="O379" s="190">
        <v>0</v>
      </c>
      <c r="P379" s="190">
        <v>0</v>
      </c>
      <c r="Q379" s="190">
        <v>0</v>
      </c>
      <c r="R379" s="190">
        <v>0</v>
      </c>
      <c r="S379" s="190">
        <v>0</v>
      </c>
      <c r="T379" s="190">
        <v>0</v>
      </c>
      <c r="U379" s="190">
        <v>0</v>
      </c>
      <c r="V379" s="190">
        <v>0</v>
      </c>
      <c r="W379" s="190">
        <v>0</v>
      </c>
      <c r="X379" s="190">
        <v>0</v>
      </c>
      <c r="Y379" s="190">
        <v>0</v>
      </c>
      <c r="Z379" s="190">
        <v>0</v>
      </c>
      <c r="AA379" s="190">
        <v>0</v>
      </c>
      <c r="AB379" s="190">
        <v>0</v>
      </c>
      <c r="AC379" s="190">
        <v>0</v>
      </c>
      <c r="AD379" s="190">
        <v>0</v>
      </c>
      <c r="AE379" s="190">
        <v>0</v>
      </c>
      <c r="AF379" s="190">
        <v>0</v>
      </c>
      <c r="AG379" s="190">
        <v>0</v>
      </c>
      <c r="AH379" s="190">
        <v>0</v>
      </c>
      <c r="AI379" s="190">
        <v>0</v>
      </c>
      <c r="AJ379" s="190">
        <v>0</v>
      </c>
      <c r="AK379" s="190">
        <v>0</v>
      </c>
      <c r="AL379" s="190">
        <v>0</v>
      </c>
    </row>
    <row r="380" spans="2:38" ht="12.75" customHeight="1">
      <c r="B380" s="507" t="s">
        <v>115</v>
      </c>
      <c r="C380" s="6" t="s">
        <v>880</v>
      </c>
      <c r="D380" s="12" t="s">
        <v>881</v>
      </c>
      <c r="E380" s="12" t="s">
        <v>976</v>
      </c>
      <c r="F380" s="6">
        <v>0</v>
      </c>
      <c r="G380" s="6">
        <v>1</v>
      </c>
      <c r="H380" s="6" t="s">
        <v>958</v>
      </c>
      <c r="I380" s="190">
        <v>0</v>
      </c>
      <c r="J380" s="190">
        <v>0</v>
      </c>
      <c r="K380" s="190">
        <v>0</v>
      </c>
      <c r="L380" s="190">
        <v>0</v>
      </c>
      <c r="M380" s="190">
        <v>0</v>
      </c>
      <c r="N380" s="190">
        <v>0</v>
      </c>
      <c r="O380" s="190">
        <v>0</v>
      </c>
      <c r="P380" s="190">
        <v>0</v>
      </c>
      <c r="Q380" s="190">
        <v>0</v>
      </c>
      <c r="R380" s="190">
        <v>0</v>
      </c>
      <c r="S380" s="190">
        <v>0</v>
      </c>
      <c r="T380" s="190">
        <v>0</v>
      </c>
      <c r="U380" s="190">
        <v>0</v>
      </c>
      <c r="V380" s="190">
        <v>0</v>
      </c>
      <c r="W380" s="190">
        <v>0</v>
      </c>
      <c r="X380" s="190">
        <v>0</v>
      </c>
      <c r="Y380" s="190">
        <v>0</v>
      </c>
      <c r="Z380" s="190">
        <v>0</v>
      </c>
      <c r="AA380" s="190">
        <v>0</v>
      </c>
      <c r="AB380" s="190">
        <v>0</v>
      </c>
      <c r="AC380" s="190">
        <v>0</v>
      </c>
      <c r="AD380" s="190">
        <v>0</v>
      </c>
      <c r="AE380" s="190">
        <v>0</v>
      </c>
      <c r="AF380" s="190">
        <v>0</v>
      </c>
      <c r="AG380" s="190">
        <v>0</v>
      </c>
      <c r="AH380" s="190">
        <v>0</v>
      </c>
      <c r="AI380" s="190">
        <v>0</v>
      </c>
      <c r="AJ380" s="190">
        <v>0</v>
      </c>
      <c r="AK380" s="190">
        <v>0</v>
      </c>
      <c r="AL380" s="190">
        <v>0</v>
      </c>
    </row>
    <row r="381" spans="2:38" ht="12.75" customHeight="1">
      <c r="B381" s="507" t="s">
        <v>115</v>
      </c>
      <c r="C381" s="6" t="s">
        <v>880</v>
      </c>
      <c r="D381" s="12" t="s">
        <v>881</v>
      </c>
      <c r="E381" s="12" t="s">
        <v>976</v>
      </c>
      <c r="F381" s="6">
        <v>0</v>
      </c>
      <c r="G381" s="6">
        <v>1</v>
      </c>
      <c r="H381" s="6" t="s">
        <v>959</v>
      </c>
      <c r="I381" s="190">
        <v>0</v>
      </c>
      <c r="J381" s="190">
        <v>0</v>
      </c>
      <c r="K381" s="190">
        <v>280396.79999999999</v>
      </c>
      <c r="L381" s="190">
        <v>0</v>
      </c>
      <c r="M381" s="190">
        <v>280396.79999999999</v>
      </c>
      <c r="N381" s="190">
        <v>0</v>
      </c>
      <c r="O381" s="190">
        <v>280396.79999999999</v>
      </c>
      <c r="P381" s="190">
        <v>0</v>
      </c>
      <c r="Q381" s="190">
        <v>280396.79999999999</v>
      </c>
      <c r="R381" s="190">
        <v>0</v>
      </c>
      <c r="S381" s="190">
        <v>280396.79999999999</v>
      </c>
      <c r="T381" s="190">
        <v>0</v>
      </c>
      <c r="U381" s="190">
        <v>280396.79999999999</v>
      </c>
      <c r="V381" s="190">
        <v>0</v>
      </c>
      <c r="W381" s="190">
        <v>280396.79999999999</v>
      </c>
      <c r="X381" s="190">
        <v>0</v>
      </c>
      <c r="Y381" s="190">
        <v>280396.79999999999</v>
      </c>
      <c r="Z381" s="190">
        <v>0</v>
      </c>
      <c r="AA381" s="190">
        <v>280396.79999999999</v>
      </c>
      <c r="AB381" s="190">
        <v>0</v>
      </c>
      <c r="AC381" s="190">
        <v>249728.4</v>
      </c>
      <c r="AD381" s="190">
        <v>0</v>
      </c>
      <c r="AE381" s="190">
        <v>249728.4</v>
      </c>
      <c r="AF381" s="190">
        <v>0</v>
      </c>
      <c r="AG381" s="190">
        <v>249728.4</v>
      </c>
      <c r="AH381" s="190">
        <v>0</v>
      </c>
      <c r="AI381" s="190">
        <v>249728.4</v>
      </c>
      <c r="AJ381" s="190">
        <v>0</v>
      </c>
      <c r="AK381" s="190">
        <v>249728.4</v>
      </c>
      <c r="AL381" s="190">
        <v>0</v>
      </c>
    </row>
    <row r="382" spans="2:38" ht="12.75" customHeight="1">
      <c r="B382" s="507" t="s">
        <v>115</v>
      </c>
      <c r="C382" s="6" t="s">
        <v>880</v>
      </c>
      <c r="D382" s="12" t="s">
        <v>881</v>
      </c>
      <c r="E382" s="12" t="s">
        <v>976</v>
      </c>
      <c r="F382" s="6">
        <v>0</v>
      </c>
      <c r="G382" s="6">
        <v>1</v>
      </c>
      <c r="H382" s="6" t="s">
        <v>960</v>
      </c>
      <c r="I382" s="190">
        <v>0</v>
      </c>
      <c r="J382" s="190">
        <v>0</v>
      </c>
      <c r="K382" s="190">
        <v>0</v>
      </c>
      <c r="L382" s="190">
        <v>0</v>
      </c>
      <c r="M382" s="190">
        <v>0</v>
      </c>
      <c r="N382" s="190">
        <v>0</v>
      </c>
      <c r="O382" s="190">
        <v>0</v>
      </c>
      <c r="P382" s="190">
        <v>0</v>
      </c>
      <c r="Q382" s="190">
        <v>0</v>
      </c>
      <c r="R382" s="190">
        <v>0</v>
      </c>
      <c r="S382" s="190">
        <v>0</v>
      </c>
      <c r="T382" s="190">
        <v>0</v>
      </c>
      <c r="U382" s="190">
        <v>0</v>
      </c>
      <c r="V382" s="190">
        <v>0</v>
      </c>
      <c r="W382" s="190">
        <v>0</v>
      </c>
      <c r="X382" s="190">
        <v>0</v>
      </c>
      <c r="Y382" s="190">
        <v>0</v>
      </c>
      <c r="Z382" s="190">
        <v>0</v>
      </c>
      <c r="AA382" s="190">
        <v>0</v>
      </c>
      <c r="AB382" s="190">
        <v>0</v>
      </c>
      <c r="AC382" s="190">
        <v>0</v>
      </c>
      <c r="AD382" s="190">
        <v>0</v>
      </c>
      <c r="AE382" s="190">
        <v>0</v>
      </c>
      <c r="AF382" s="190">
        <v>0</v>
      </c>
      <c r="AG382" s="190">
        <v>0</v>
      </c>
      <c r="AH382" s="190">
        <v>0</v>
      </c>
      <c r="AI382" s="190">
        <v>0</v>
      </c>
      <c r="AJ382" s="190">
        <v>0</v>
      </c>
      <c r="AK382" s="190">
        <v>0</v>
      </c>
      <c r="AL382" s="190">
        <v>0</v>
      </c>
    </row>
    <row r="383" spans="2:38" ht="12.75" customHeight="1">
      <c r="B383" s="507" t="s">
        <v>115</v>
      </c>
      <c r="C383" s="6" t="s">
        <v>880</v>
      </c>
      <c r="D383" s="12" t="s">
        <v>881</v>
      </c>
      <c r="E383" s="12" t="s">
        <v>976</v>
      </c>
      <c r="F383" s="6">
        <v>0</v>
      </c>
      <c r="G383" s="6">
        <v>1</v>
      </c>
      <c r="H383" s="6" t="s">
        <v>961</v>
      </c>
      <c r="I383" s="190">
        <v>0</v>
      </c>
      <c r="J383" s="190">
        <v>0</v>
      </c>
      <c r="K383" s="190">
        <v>0</v>
      </c>
      <c r="L383" s="190">
        <v>0</v>
      </c>
      <c r="M383" s="190">
        <v>0</v>
      </c>
      <c r="N383" s="190">
        <v>0</v>
      </c>
      <c r="O383" s="190">
        <v>0</v>
      </c>
      <c r="P383" s="190">
        <v>0</v>
      </c>
      <c r="Q383" s="190">
        <v>0</v>
      </c>
      <c r="R383" s="190">
        <v>0</v>
      </c>
      <c r="S383" s="190">
        <v>0</v>
      </c>
      <c r="T383" s="190">
        <v>0</v>
      </c>
      <c r="U383" s="190">
        <v>0</v>
      </c>
      <c r="V383" s="190">
        <v>0</v>
      </c>
      <c r="W383" s="190">
        <v>0</v>
      </c>
      <c r="X383" s="190">
        <v>0</v>
      </c>
      <c r="Y383" s="190">
        <v>0</v>
      </c>
      <c r="Z383" s="190">
        <v>0</v>
      </c>
      <c r="AA383" s="190">
        <v>0</v>
      </c>
      <c r="AB383" s="190">
        <v>0</v>
      </c>
      <c r="AC383" s="190">
        <v>0</v>
      </c>
      <c r="AD383" s="190">
        <v>0</v>
      </c>
      <c r="AE383" s="190">
        <v>0</v>
      </c>
      <c r="AF383" s="190">
        <v>0</v>
      </c>
      <c r="AG383" s="190">
        <v>0</v>
      </c>
      <c r="AH383" s="190">
        <v>0</v>
      </c>
      <c r="AI383" s="190">
        <v>0</v>
      </c>
      <c r="AJ383" s="190">
        <v>0</v>
      </c>
      <c r="AK383" s="190">
        <v>0</v>
      </c>
      <c r="AL383" s="190">
        <v>0</v>
      </c>
    </row>
    <row r="384" spans="2:38" ht="12.75" customHeight="1">
      <c r="B384" s="507" t="s">
        <v>115</v>
      </c>
      <c r="C384" s="6" t="s">
        <v>880</v>
      </c>
      <c r="D384" s="12" t="s">
        <v>881</v>
      </c>
      <c r="E384" s="12" t="s">
        <v>976</v>
      </c>
      <c r="F384" s="6">
        <v>0</v>
      </c>
      <c r="G384" s="6">
        <v>1</v>
      </c>
      <c r="H384" s="6" t="s">
        <v>962</v>
      </c>
      <c r="I384" s="190">
        <v>0</v>
      </c>
      <c r="J384" s="190">
        <v>0</v>
      </c>
      <c r="K384" s="190">
        <v>0</v>
      </c>
      <c r="L384" s="190">
        <v>0</v>
      </c>
      <c r="M384" s="190">
        <v>0</v>
      </c>
      <c r="N384" s="190">
        <v>0</v>
      </c>
      <c r="O384" s="190">
        <v>0</v>
      </c>
      <c r="P384" s="190">
        <v>0</v>
      </c>
      <c r="Q384" s="190">
        <v>0</v>
      </c>
      <c r="R384" s="190">
        <v>0</v>
      </c>
      <c r="S384" s="190">
        <v>6369419.7385831876</v>
      </c>
      <c r="T384" s="190">
        <v>0</v>
      </c>
      <c r="U384" s="190">
        <v>0</v>
      </c>
      <c r="V384" s="190">
        <v>0</v>
      </c>
      <c r="W384" s="190">
        <v>0</v>
      </c>
      <c r="X384" s="190">
        <v>0</v>
      </c>
      <c r="Y384" s="190">
        <v>0</v>
      </c>
      <c r="Z384" s="190">
        <v>0</v>
      </c>
      <c r="AA384" s="190">
        <v>0</v>
      </c>
      <c r="AB384" s="190">
        <v>0</v>
      </c>
      <c r="AC384" s="190">
        <v>6369419.7385831876</v>
      </c>
      <c r="AD384" s="190">
        <v>0</v>
      </c>
      <c r="AE384" s="190">
        <v>0</v>
      </c>
      <c r="AF384" s="190">
        <v>0</v>
      </c>
      <c r="AG384" s="190">
        <v>0</v>
      </c>
      <c r="AH384" s="190">
        <v>0</v>
      </c>
      <c r="AI384" s="190">
        <v>0</v>
      </c>
      <c r="AJ384" s="190">
        <v>0</v>
      </c>
      <c r="AK384" s="190">
        <v>0</v>
      </c>
      <c r="AL384" s="190">
        <v>0</v>
      </c>
    </row>
    <row r="385" spans="2:38" ht="12.75" customHeight="1">
      <c r="B385" s="507" t="s">
        <v>115</v>
      </c>
      <c r="C385" s="6" t="s">
        <v>880</v>
      </c>
      <c r="D385" s="12" t="s">
        <v>881</v>
      </c>
      <c r="E385" s="12" t="s">
        <v>976</v>
      </c>
      <c r="F385" s="6">
        <v>0</v>
      </c>
      <c r="G385" s="6">
        <v>1</v>
      </c>
      <c r="H385" s="6" t="s">
        <v>977</v>
      </c>
      <c r="I385" s="190">
        <v>0</v>
      </c>
      <c r="J385" s="190">
        <v>0</v>
      </c>
      <c r="K385" s="190">
        <v>0</v>
      </c>
      <c r="L385" s="190">
        <v>0</v>
      </c>
      <c r="M385" s="190">
        <v>0</v>
      </c>
      <c r="N385" s="190">
        <v>0</v>
      </c>
      <c r="O385" s="190">
        <v>0</v>
      </c>
      <c r="P385" s="190">
        <v>0</v>
      </c>
      <c r="Q385" s="190">
        <v>0</v>
      </c>
      <c r="R385" s="190">
        <v>0</v>
      </c>
      <c r="S385" s="190">
        <v>-311990.52717173664</v>
      </c>
      <c r="T385" s="190">
        <v>0</v>
      </c>
      <c r="U385" s="190">
        <v>0</v>
      </c>
      <c r="V385" s="190">
        <v>0</v>
      </c>
      <c r="W385" s="190">
        <v>445700.75310248096</v>
      </c>
      <c r="X385" s="190">
        <v>0</v>
      </c>
      <c r="Y385" s="190">
        <v>0</v>
      </c>
      <c r="Z385" s="190">
        <v>0</v>
      </c>
      <c r="AA385" s="190">
        <v>0</v>
      </c>
      <c r="AB385" s="190">
        <v>0</v>
      </c>
      <c r="AC385" s="190">
        <v>0</v>
      </c>
      <c r="AD385" s="190">
        <v>0</v>
      </c>
      <c r="AE385" s="190">
        <v>0</v>
      </c>
      <c r="AF385" s="190">
        <v>0</v>
      </c>
      <c r="AG385" s="190">
        <v>445700.75310248096</v>
      </c>
      <c r="AH385" s="190">
        <v>0</v>
      </c>
      <c r="AI385" s="190">
        <v>0</v>
      </c>
      <c r="AJ385" s="190">
        <v>0</v>
      </c>
      <c r="AK385" s="190">
        <v>0</v>
      </c>
      <c r="AL385" s="190">
        <v>0</v>
      </c>
    </row>
    <row r="386" spans="2:38" ht="12.75" customHeight="1">
      <c r="B386" s="507" t="s">
        <v>115</v>
      </c>
      <c r="C386" s="6" t="s">
        <v>880</v>
      </c>
      <c r="D386" s="12" t="s">
        <v>881</v>
      </c>
      <c r="E386" s="12" t="s">
        <v>976</v>
      </c>
      <c r="F386" s="6">
        <v>0</v>
      </c>
      <c r="G386" s="6">
        <v>1</v>
      </c>
      <c r="H386" s="6" t="s">
        <v>964</v>
      </c>
      <c r="I386" s="190">
        <v>0</v>
      </c>
      <c r="J386" s="190">
        <v>0</v>
      </c>
      <c r="K386" s="190">
        <v>0</v>
      </c>
      <c r="L386" s="190">
        <v>0</v>
      </c>
      <c r="M386" s="190">
        <v>0</v>
      </c>
      <c r="N386" s="190">
        <v>0</v>
      </c>
      <c r="O386" s="190">
        <v>0</v>
      </c>
      <c r="P386" s="190">
        <v>0</v>
      </c>
      <c r="Q386" s="190">
        <v>0</v>
      </c>
      <c r="R386" s="190">
        <v>0</v>
      </c>
      <c r="S386" s="190">
        <v>242069.00270777955</v>
      </c>
      <c r="T386" s="190">
        <v>0</v>
      </c>
      <c r="U386" s="190">
        <v>0</v>
      </c>
      <c r="V386" s="190">
        <v>0</v>
      </c>
      <c r="W386" s="190">
        <v>0</v>
      </c>
      <c r="X386" s="190">
        <v>0</v>
      </c>
      <c r="Y386" s="190">
        <v>0</v>
      </c>
      <c r="Z386" s="190">
        <v>0</v>
      </c>
      <c r="AA386" s="190">
        <v>0</v>
      </c>
      <c r="AB386" s="190">
        <v>0</v>
      </c>
      <c r="AC386" s="190">
        <v>242069.00270777955</v>
      </c>
      <c r="AD386" s="190">
        <v>0</v>
      </c>
      <c r="AE386" s="190">
        <v>0</v>
      </c>
      <c r="AF386" s="190">
        <v>0</v>
      </c>
      <c r="AG386" s="190">
        <v>0</v>
      </c>
      <c r="AH386" s="190">
        <v>0</v>
      </c>
      <c r="AI386" s="190">
        <v>0</v>
      </c>
      <c r="AJ386" s="190">
        <v>0</v>
      </c>
      <c r="AK386" s="190">
        <v>0</v>
      </c>
      <c r="AL386" s="190">
        <v>0</v>
      </c>
    </row>
    <row r="387" spans="2:38" ht="12.75" customHeight="1">
      <c r="B387" s="507" t="s">
        <v>115</v>
      </c>
      <c r="C387" s="6" t="s">
        <v>880</v>
      </c>
      <c r="D387" s="12" t="s">
        <v>881</v>
      </c>
      <c r="E387" s="12" t="s">
        <v>976</v>
      </c>
      <c r="F387" s="6">
        <v>0</v>
      </c>
      <c r="G387" s="6">
        <v>1</v>
      </c>
      <c r="H387" s="6" t="s">
        <v>965</v>
      </c>
      <c r="I387" s="190">
        <v>0</v>
      </c>
      <c r="J387" s="190">
        <v>0</v>
      </c>
      <c r="K387" s="190">
        <v>0</v>
      </c>
      <c r="L387" s="190">
        <v>0</v>
      </c>
      <c r="M387" s="190">
        <v>0</v>
      </c>
      <c r="N387" s="190">
        <v>0</v>
      </c>
      <c r="O387" s="190">
        <v>0</v>
      </c>
      <c r="P387" s="190">
        <v>0</v>
      </c>
      <c r="Q387" s="190">
        <v>0</v>
      </c>
      <c r="R387" s="190">
        <v>0</v>
      </c>
      <c r="S387" s="190">
        <v>4091533.077142098</v>
      </c>
      <c r="T387" s="190">
        <v>0</v>
      </c>
      <c r="U387" s="190">
        <v>0</v>
      </c>
      <c r="V387" s="190">
        <v>0</v>
      </c>
      <c r="W387" s="190">
        <v>0</v>
      </c>
      <c r="X387" s="190">
        <v>0</v>
      </c>
      <c r="Y387" s="190">
        <v>0</v>
      </c>
      <c r="Z387" s="190">
        <v>0</v>
      </c>
      <c r="AA387" s="190">
        <v>0</v>
      </c>
      <c r="AB387" s="190">
        <v>0</v>
      </c>
      <c r="AC387" s="190">
        <v>4091533.077142098</v>
      </c>
      <c r="AD387" s="190">
        <v>0</v>
      </c>
      <c r="AE387" s="190">
        <v>0</v>
      </c>
      <c r="AF387" s="190">
        <v>0</v>
      </c>
      <c r="AG387" s="190">
        <v>0</v>
      </c>
      <c r="AH387" s="190">
        <v>0</v>
      </c>
      <c r="AI387" s="190">
        <v>0</v>
      </c>
      <c r="AJ387" s="190">
        <v>0</v>
      </c>
      <c r="AK387" s="190">
        <v>0</v>
      </c>
      <c r="AL387" s="190">
        <v>0</v>
      </c>
    </row>
    <row r="388" spans="2:38" ht="12.75" customHeight="1">
      <c r="B388" s="507" t="s">
        <v>115</v>
      </c>
      <c r="C388" s="6" t="s">
        <v>880</v>
      </c>
      <c r="D388" s="12" t="s">
        <v>881</v>
      </c>
      <c r="E388" s="12" t="s">
        <v>976</v>
      </c>
      <c r="F388" s="6">
        <v>0</v>
      </c>
      <c r="G388" s="6">
        <v>1</v>
      </c>
      <c r="H388" s="6" t="s">
        <v>966</v>
      </c>
      <c r="I388" s="190">
        <v>0</v>
      </c>
      <c r="J388" s="190">
        <v>0</v>
      </c>
      <c r="K388" s="190">
        <v>0</v>
      </c>
      <c r="L388" s="190">
        <v>0</v>
      </c>
      <c r="M388" s="190">
        <v>0</v>
      </c>
      <c r="N388" s="190">
        <v>0</v>
      </c>
      <c r="O388" s="190">
        <v>0</v>
      </c>
      <c r="P388" s="190">
        <v>0</v>
      </c>
      <c r="Q388" s="190">
        <v>0</v>
      </c>
      <c r="R388" s="190">
        <v>0</v>
      </c>
      <c r="S388" s="190">
        <v>0</v>
      </c>
      <c r="T388" s="190">
        <v>0</v>
      </c>
      <c r="U388" s="190">
        <v>0</v>
      </c>
      <c r="V388" s="190">
        <v>0</v>
      </c>
      <c r="W388" s="190">
        <v>0</v>
      </c>
      <c r="X388" s="190">
        <v>0</v>
      </c>
      <c r="Y388" s="190">
        <v>0</v>
      </c>
      <c r="Z388" s="190">
        <v>0</v>
      </c>
      <c r="AA388" s="190">
        <v>0</v>
      </c>
      <c r="AB388" s="190">
        <v>0</v>
      </c>
      <c r="AC388" s="190">
        <v>0</v>
      </c>
      <c r="AD388" s="190">
        <v>0</v>
      </c>
      <c r="AE388" s="190">
        <v>0</v>
      </c>
      <c r="AF388" s="190">
        <v>0</v>
      </c>
      <c r="AG388" s="190">
        <v>0</v>
      </c>
      <c r="AH388" s="190">
        <v>0</v>
      </c>
      <c r="AI388" s="190">
        <v>0</v>
      </c>
      <c r="AJ388" s="190">
        <v>0</v>
      </c>
      <c r="AK388" s="190">
        <v>0</v>
      </c>
      <c r="AL388" s="190">
        <v>0</v>
      </c>
    </row>
    <row r="389" spans="2:38" ht="12.75" customHeight="1">
      <c r="B389" s="507" t="s">
        <v>115</v>
      </c>
      <c r="C389" s="6" t="s">
        <v>880</v>
      </c>
      <c r="D389" s="12" t="s">
        <v>881</v>
      </c>
      <c r="E389" s="12" t="s">
        <v>976</v>
      </c>
      <c r="F389" s="6">
        <v>0</v>
      </c>
      <c r="G389" s="6">
        <v>1</v>
      </c>
      <c r="H389" s="6" t="s">
        <v>967</v>
      </c>
      <c r="I389" s="190">
        <v>0</v>
      </c>
      <c r="J389" s="190">
        <v>0</v>
      </c>
      <c r="K389" s="190">
        <v>0</v>
      </c>
      <c r="L389" s="190">
        <v>0</v>
      </c>
      <c r="M389" s="190">
        <v>0</v>
      </c>
      <c r="N389" s="190">
        <v>0</v>
      </c>
      <c r="O389" s="190">
        <v>0</v>
      </c>
      <c r="P389" s="190">
        <v>0</v>
      </c>
      <c r="Q389" s="190">
        <v>0</v>
      </c>
      <c r="R389" s="190">
        <v>0</v>
      </c>
      <c r="S389" s="190">
        <v>0</v>
      </c>
      <c r="T389" s="190">
        <v>0</v>
      </c>
      <c r="U389" s="190">
        <v>0</v>
      </c>
      <c r="V389" s="190">
        <v>0</v>
      </c>
      <c r="W389" s="190">
        <v>0</v>
      </c>
      <c r="X389" s="190">
        <v>3000000</v>
      </c>
      <c r="Y389" s="190">
        <v>0</v>
      </c>
      <c r="Z389" s="190">
        <v>0</v>
      </c>
      <c r="AA389" s="190">
        <v>0</v>
      </c>
      <c r="AB389" s="190">
        <v>0</v>
      </c>
      <c r="AC389" s="190">
        <v>0</v>
      </c>
      <c r="AD389" s="190">
        <v>0</v>
      </c>
      <c r="AE389" s="190">
        <v>0</v>
      </c>
      <c r="AF389" s="190">
        <v>0</v>
      </c>
      <c r="AG389" s="190">
        <v>0</v>
      </c>
      <c r="AH389" s="190">
        <v>3000000</v>
      </c>
      <c r="AI389" s="190">
        <v>0</v>
      </c>
      <c r="AJ389" s="190">
        <v>0</v>
      </c>
      <c r="AK389" s="190">
        <v>0</v>
      </c>
      <c r="AL389" s="190">
        <v>0</v>
      </c>
    </row>
    <row r="390" spans="2:38" ht="12.75" customHeight="1">
      <c r="B390" s="507" t="s">
        <v>115</v>
      </c>
      <c r="C390" s="6" t="s">
        <v>880</v>
      </c>
      <c r="D390" s="12" t="s">
        <v>881</v>
      </c>
      <c r="E390" s="12" t="s">
        <v>976</v>
      </c>
      <c r="F390" s="6">
        <v>0</v>
      </c>
      <c r="G390" s="6">
        <v>1</v>
      </c>
      <c r="H390" s="6" t="s">
        <v>968</v>
      </c>
      <c r="I390" s="190">
        <v>0</v>
      </c>
      <c r="J390" s="190">
        <v>0</v>
      </c>
      <c r="K390" s="190">
        <v>0</v>
      </c>
      <c r="L390" s="190">
        <v>0</v>
      </c>
      <c r="M390" s="190">
        <v>0</v>
      </c>
      <c r="N390" s="190">
        <v>0</v>
      </c>
      <c r="O390" s="190">
        <v>0</v>
      </c>
      <c r="P390" s="190">
        <v>0</v>
      </c>
      <c r="Q390" s="190">
        <v>0</v>
      </c>
      <c r="R390" s="190">
        <v>0</v>
      </c>
      <c r="S390" s="190">
        <v>0</v>
      </c>
      <c r="T390" s="190">
        <v>0</v>
      </c>
      <c r="U390" s="190">
        <v>0</v>
      </c>
      <c r="V390" s="190">
        <v>0</v>
      </c>
      <c r="W390" s="190">
        <v>0</v>
      </c>
      <c r="X390" s="190">
        <v>286246.88844123256</v>
      </c>
      <c r="Y390" s="190">
        <v>0</v>
      </c>
      <c r="Z390" s="190">
        <v>0</v>
      </c>
      <c r="AA390" s="190">
        <v>0</v>
      </c>
      <c r="AB390" s="190">
        <v>0</v>
      </c>
      <c r="AC390" s="190">
        <v>0</v>
      </c>
      <c r="AD390" s="190">
        <v>0</v>
      </c>
      <c r="AE390" s="190">
        <v>0</v>
      </c>
      <c r="AF390" s="190">
        <v>0</v>
      </c>
      <c r="AG390" s="190">
        <v>0</v>
      </c>
      <c r="AH390" s="190">
        <v>286246.88844123256</v>
      </c>
      <c r="AI390" s="190">
        <v>0</v>
      </c>
      <c r="AJ390" s="190">
        <v>0</v>
      </c>
      <c r="AK390" s="190">
        <v>0</v>
      </c>
      <c r="AL390" s="190">
        <v>0</v>
      </c>
    </row>
    <row r="391" spans="2:38" ht="12.75" customHeight="1">
      <c r="B391" s="507" t="s">
        <v>115</v>
      </c>
      <c r="C391" s="6" t="s">
        <v>880</v>
      </c>
      <c r="D391" s="12" t="s">
        <v>881</v>
      </c>
      <c r="E391" s="12" t="s">
        <v>976</v>
      </c>
      <c r="F391" s="6">
        <v>0</v>
      </c>
      <c r="G391" s="6">
        <v>1</v>
      </c>
      <c r="H391" s="6" t="s">
        <v>964</v>
      </c>
      <c r="I391" s="190">
        <v>0</v>
      </c>
      <c r="J391" s="190">
        <v>0</v>
      </c>
      <c r="K391" s="190">
        <v>0</v>
      </c>
      <c r="L391" s="190">
        <v>0</v>
      </c>
      <c r="M391" s="190">
        <v>0</v>
      </c>
      <c r="N391" s="190">
        <v>0</v>
      </c>
      <c r="O391" s="190">
        <v>0</v>
      </c>
      <c r="P391" s="190">
        <v>0</v>
      </c>
      <c r="Q391" s="190">
        <v>0</v>
      </c>
      <c r="R391" s="190">
        <v>0</v>
      </c>
      <c r="S391" s="190">
        <v>0</v>
      </c>
      <c r="T391" s="190">
        <v>0</v>
      </c>
      <c r="U391" s="190">
        <v>0</v>
      </c>
      <c r="V391" s="190">
        <v>0</v>
      </c>
      <c r="W391" s="190">
        <v>0</v>
      </c>
      <c r="X391" s="190">
        <v>228330.89193014853</v>
      </c>
      <c r="Y391" s="190">
        <v>0</v>
      </c>
      <c r="Z391" s="190">
        <v>0</v>
      </c>
      <c r="AA391" s="190">
        <v>0</v>
      </c>
      <c r="AB391" s="190">
        <v>0</v>
      </c>
      <c r="AC391" s="190">
        <v>0</v>
      </c>
      <c r="AD391" s="190">
        <v>0</v>
      </c>
      <c r="AE391" s="190">
        <v>0</v>
      </c>
      <c r="AF391" s="190">
        <v>0</v>
      </c>
      <c r="AG391" s="190">
        <v>0</v>
      </c>
      <c r="AH391" s="190">
        <v>228330.89193014853</v>
      </c>
      <c r="AI391" s="190">
        <v>0</v>
      </c>
      <c r="AJ391" s="190">
        <v>0</v>
      </c>
      <c r="AK391" s="190">
        <v>0</v>
      </c>
      <c r="AL391" s="190">
        <v>0</v>
      </c>
    </row>
    <row r="392" spans="2:38" ht="12.75" customHeight="1">
      <c r="B392" s="507" t="s">
        <v>115</v>
      </c>
      <c r="C392" s="6" t="s">
        <v>880</v>
      </c>
      <c r="D392" s="12" t="s">
        <v>881</v>
      </c>
      <c r="E392" s="12" t="s">
        <v>976</v>
      </c>
      <c r="F392" s="6">
        <v>0</v>
      </c>
      <c r="G392" s="6">
        <v>1</v>
      </c>
      <c r="H392" s="6" t="s">
        <v>969</v>
      </c>
      <c r="I392" s="190">
        <v>0</v>
      </c>
      <c r="J392" s="190">
        <v>0</v>
      </c>
      <c r="K392" s="190">
        <v>0</v>
      </c>
      <c r="L392" s="190">
        <v>0</v>
      </c>
      <c r="M392" s="190">
        <v>0</v>
      </c>
      <c r="N392" s="190">
        <v>0</v>
      </c>
      <c r="O392" s="190">
        <v>0</v>
      </c>
      <c r="P392" s="190">
        <v>0</v>
      </c>
      <c r="Q392" s="190">
        <v>0</v>
      </c>
      <c r="R392" s="190">
        <v>0</v>
      </c>
      <c r="S392" s="190">
        <v>0</v>
      </c>
      <c r="T392" s="190">
        <v>0</v>
      </c>
      <c r="U392" s="190">
        <v>0</v>
      </c>
      <c r="V392" s="190">
        <v>0</v>
      </c>
      <c r="W392" s="190">
        <v>0</v>
      </c>
      <c r="X392" s="190">
        <v>222850.37655124048</v>
      </c>
      <c r="Y392" s="190">
        <v>0</v>
      </c>
      <c r="Z392" s="190">
        <v>0</v>
      </c>
      <c r="AA392" s="190">
        <v>0</v>
      </c>
      <c r="AB392" s="190">
        <v>0</v>
      </c>
      <c r="AC392" s="190">
        <v>0</v>
      </c>
      <c r="AD392" s="190">
        <v>0</v>
      </c>
      <c r="AE392" s="190">
        <v>0</v>
      </c>
      <c r="AF392" s="190">
        <v>0</v>
      </c>
      <c r="AG392" s="190">
        <v>0</v>
      </c>
      <c r="AH392" s="190">
        <v>222850.37655124048</v>
      </c>
      <c r="AI392" s="190">
        <v>0</v>
      </c>
      <c r="AJ392" s="190">
        <v>0</v>
      </c>
      <c r="AK392" s="190">
        <v>0</v>
      </c>
      <c r="AL392" s="190">
        <v>0</v>
      </c>
    </row>
    <row r="393" spans="2:38" ht="12.75" customHeight="1">
      <c r="B393" s="507" t="s">
        <v>115</v>
      </c>
      <c r="C393" s="6" t="s">
        <v>880</v>
      </c>
      <c r="D393" s="12" t="s">
        <v>881</v>
      </c>
      <c r="E393" s="12" t="s">
        <v>976</v>
      </c>
      <c r="F393" s="6">
        <v>0</v>
      </c>
      <c r="G393" s="6">
        <v>1</v>
      </c>
      <c r="H393" s="6" t="s">
        <v>965</v>
      </c>
      <c r="I393" s="190">
        <v>0</v>
      </c>
      <c r="J393" s="190">
        <v>0</v>
      </c>
      <c r="K393" s="190">
        <v>0</v>
      </c>
      <c r="L393" s="190">
        <v>0</v>
      </c>
      <c r="M393" s="190">
        <v>0</v>
      </c>
      <c r="N393" s="190">
        <v>0</v>
      </c>
      <c r="O393" s="190">
        <v>0</v>
      </c>
      <c r="P393" s="190">
        <v>0</v>
      </c>
      <c r="Q393" s="190">
        <v>0</v>
      </c>
      <c r="R393" s="190">
        <v>0</v>
      </c>
      <c r="S393" s="190">
        <v>0</v>
      </c>
      <c r="T393" s="190">
        <v>0</v>
      </c>
      <c r="U393" s="190">
        <v>0</v>
      </c>
      <c r="V393" s="190">
        <v>0</v>
      </c>
      <c r="W393" s="190">
        <v>0</v>
      </c>
      <c r="X393" s="190">
        <v>1082952.8374784226</v>
      </c>
      <c r="Y393" s="190">
        <v>0</v>
      </c>
      <c r="Z393" s="190">
        <v>0</v>
      </c>
      <c r="AA393" s="190">
        <v>0</v>
      </c>
      <c r="AB393" s="190">
        <v>0</v>
      </c>
      <c r="AC393" s="190">
        <v>0</v>
      </c>
      <c r="AD393" s="190">
        <v>0</v>
      </c>
      <c r="AE393" s="190">
        <v>0</v>
      </c>
      <c r="AF393" s="190">
        <v>0</v>
      </c>
      <c r="AG393" s="190">
        <v>0</v>
      </c>
      <c r="AH393" s="190">
        <v>1082952.8374784226</v>
      </c>
      <c r="AI393" s="190">
        <v>0</v>
      </c>
      <c r="AJ393" s="190">
        <v>0</v>
      </c>
      <c r="AK393" s="190">
        <v>0</v>
      </c>
      <c r="AL393" s="190">
        <v>0</v>
      </c>
    </row>
    <row r="394" spans="2:38" ht="12.75" customHeight="1">
      <c r="B394" s="507" t="s">
        <v>115</v>
      </c>
      <c r="C394" s="6" t="s">
        <v>880</v>
      </c>
      <c r="D394" s="12" t="s">
        <v>881</v>
      </c>
      <c r="E394" s="12" t="s">
        <v>976</v>
      </c>
      <c r="F394" s="6">
        <v>0</v>
      </c>
      <c r="G394" s="6">
        <v>1</v>
      </c>
      <c r="H394" s="6" t="s">
        <v>970</v>
      </c>
      <c r="I394" s="190">
        <v>0</v>
      </c>
      <c r="J394" s="190">
        <v>0</v>
      </c>
      <c r="K394" s="190">
        <v>0</v>
      </c>
      <c r="L394" s="190">
        <v>0</v>
      </c>
      <c r="M394" s="190">
        <v>0</v>
      </c>
      <c r="N394" s="190">
        <v>0</v>
      </c>
      <c r="O394" s="190">
        <v>0</v>
      </c>
      <c r="P394" s="190">
        <v>0</v>
      </c>
      <c r="Q394" s="190">
        <v>0</v>
      </c>
      <c r="R394" s="190">
        <v>0</v>
      </c>
      <c r="S394" s="190">
        <v>0</v>
      </c>
      <c r="T394" s="190">
        <v>0</v>
      </c>
      <c r="U394" s="190">
        <v>0</v>
      </c>
      <c r="V394" s="190">
        <v>0</v>
      </c>
      <c r="W394" s="190">
        <v>0</v>
      </c>
      <c r="X394" s="190">
        <v>0</v>
      </c>
      <c r="Y394" s="190">
        <v>0</v>
      </c>
      <c r="Z394" s="190">
        <v>0</v>
      </c>
      <c r="AA394" s="190">
        <v>0</v>
      </c>
      <c r="AB394" s="190">
        <v>0</v>
      </c>
      <c r="AC394" s="190">
        <v>0</v>
      </c>
      <c r="AD394" s="190">
        <v>0</v>
      </c>
      <c r="AE394" s="190">
        <v>0</v>
      </c>
      <c r="AF394" s="190">
        <v>0</v>
      </c>
      <c r="AG394" s="190">
        <v>0</v>
      </c>
      <c r="AH394" s="190">
        <v>0</v>
      </c>
      <c r="AI394" s="190">
        <v>0</v>
      </c>
      <c r="AJ394" s="190">
        <v>0</v>
      </c>
      <c r="AK394" s="190">
        <v>0</v>
      </c>
      <c r="AL394" s="190">
        <v>0</v>
      </c>
    </row>
    <row r="395" spans="2:38" ht="12.75" customHeight="1">
      <c r="B395" s="507" t="s">
        <v>115</v>
      </c>
      <c r="C395" s="6" t="s">
        <v>880</v>
      </c>
      <c r="D395" s="12" t="s">
        <v>881</v>
      </c>
      <c r="E395" s="12" t="s">
        <v>976</v>
      </c>
      <c r="F395" s="6">
        <v>0</v>
      </c>
      <c r="G395" s="6">
        <v>1</v>
      </c>
      <c r="H395" s="6" t="s">
        <v>948</v>
      </c>
      <c r="I395" s="190">
        <v>0</v>
      </c>
      <c r="J395" s="190">
        <v>0</v>
      </c>
      <c r="K395" s="190">
        <v>0</v>
      </c>
      <c r="L395" s="190">
        <v>0</v>
      </c>
      <c r="M395" s="190">
        <v>0</v>
      </c>
      <c r="N395" s="190">
        <v>0</v>
      </c>
      <c r="O395" s="190">
        <v>0</v>
      </c>
      <c r="P395" s="190">
        <v>0</v>
      </c>
      <c r="Q395" s="190">
        <v>0</v>
      </c>
      <c r="R395" s="190">
        <v>0</v>
      </c>
      <c r="S395" s="190">
        <v>602603.52594136586</v>
      </c>
      <c r="T395" s="190">
        <v>0</v>
      </c>
      <c r="U395" s="190">
        <v>0</v>
      </c>
      <c r="V395" s="190">
        <v>0</v>
      </c>
      <c r="W395" s="190">
        <v>0</v>
      </c>
      <c r="X395" s="190">
        <v>0</v>
      </c>
      <c r="Y395" s="190">
        <v>0</v>
      </c>
      <c r="Z395" s="190">
        <v>0</v>
      </c>
      <c r="AA395" s="190">
        <v>0</v>
      </c>
      <c r="AB395" s="190">
        <v>0</v>
      </c>
      <c r="AC395" s="190">
        <v>602603.52594136586</v>
      </c>
      <c r="AD395" s="190">
        <v>0</v>
      </c>
      <c r="AE395" s="190">
        <v>0</v>
      </c>
      <c r="AF395" s="190">
        <v>0</v>
      </c>
      <c r="AG395" s="190">
        <v>0</v>
      </c>
      <c r="AH395" s="190">
        <v>0</v>
      </c>
      <c r="AI395" s="190">
        <v>0</v>
      </c>
      <c r="AJ395" s="190">
        <v>0</v>
      </c>
      <c r="AK395" s="190">
        <v>0</v>
      </c>
      <c r="AL395" s="190">
        <v>0</v>
      </c>
    </row>
    <row r="396" spans="2:38" ht="12.75" customHeight="1">
      <c r="B396" s="507" t="s">
        <v>115</v>
      </c>
      <c r="C396" s="6">
        <v>0</v>
      </c>
      <c r="D396" s="12" t="s">
        <v>971</v>
      </c>
      <c r="E396" s="12">
        <v>0</v>
      </c>
      <c r="F396" s="6">
        <v>0</v>
      </c>
      <c r="G396" s="6">
        <v>1</v>
      </c>
      <c r="H396" s="6">
        <v>0</v>
      </c>
      <c r="I396" s="190">
        <v>0</v>
      </c>
      <c r="J396" s="190">
        <v>0</v>
      </c>
      <c r="K396" s="190">
        <v>0</v>
      </c>
      <c r="L396" s="190">
        <v>0</v>
      </c>
      <c r="M396" s="190">
        <v>0</v>
      </c>
      <c r="N396" s="190">
        <v>0</v>
      </c>
      <c r="O396" s="190">
        <v>0</v>
      </c>
      <c r="P396" s="190">
        <v>0</v>
      </c>
      <c r="Q396" s="190">
        <v>0</v>
      </c>
      <c r="R396" s="190">
        <v>0</v>
      </c>
      <c r="S396" s="190">
        <v>0</v>
      </c>
      <c r="T396" s="190">
        <v>0</v>
      </c>
      <c r="U396" s="190">
        <v>0</v>
      </c>
      <c r="V396" s="190">
        <v>0</v>
      </c>
      <c r="W396" s="190">
        <v>0</v>
      </c>
      <c r="X396" s="190">
        <v>0</v>
      </c>
      <c r="Y396" s="190">
        <v>0</v>
      </c>
      <c r="Z396" s="190">
        <v>0</v>
      </c>
      <c r="AA396" s="190">
        <v>0</v>
      </c>
      <c r="AB396" s="190">
        <v>0</v>
      </c>
      <c r="AC396" s="190">
        <v>0</v>
      </c>
      <c r="AD396" s="190">
        <v>0</v>
      </c>
      <c r="AE396" s="190">
        <v>0</v>
      </c>
      <c r="AF396" s="190">
        <v>0</v>
      </c>
      <c r="AG396" s="190">
        <v>0</v>
      </c>
      <c r="AH396" s="190">
        <v>0</v>
      </c>
      <c r="AI396" s="190">
        <v>0</v>
      </c>
      <c r="AJ396" s="190">
        <v>0</v>
      </c>
      <c r="AK396" s="190">
        <v>0</v>
      </c>
      <c r="AL396" s="190">
        <v>0</v>
      </c>
    </row>
    <row r="397" spans="2:38" ht="12.75" customHeight="1">
      <c r="B397" s="507" t="s">
        <v>115</v>
      </c>
      <c r="C397" s="6">
        <v>0</v>
      </c>
      <c r="D397" s="12" t="s">
        <v>971</v>
      </c>
      <c r="E397" s="12">
        <v>0</v>
      </c>
      <c r="F397" s="6">
        <v>0</v>
      </c>
      <c r="G397" s="6">
        <v>1</v>
      </c>
      <c r="H397" s="6">
        <v>0</v>
      </c>
      <c r="I397" s="190">
        <v>0</v>
      </c>
      <c r="J397" s="190">
        <v>0</v>
      </c>
      <c r="K397" s="190">
        <v>0</v>
      </c>
      <c r="L397" s="190">
        <v>0</v>
      </c>
      <c r="M397" s="190">
        <v>0</v>
      </c>
      <c r="N397" s="190">
        <v>0</v>
      </c>
      <c r="O397" s="190">
        <v>0</v>
      </c>
      <c r="P397" s="190">
        <v>0</v>
      </c>
      <c r="Q397" s="190">
        <v>0</v>
      </c>
      <c r="R397" s="190">
        <v>0</v>
      </c>
      <c r="S397" s="190">
        <v>0</v>
      </c>
      <c r="T397" s="190">
        <v>0</v>
      </c>
      <c r="U397" s="190">
        <v>0</v>
      </c>
      <c r="V397" s="190">
        <v>0</v>
      </c>
      <c r="W397" s="190">
        <v>0</v>
      </c>
      <c r="X397" s="190">
        <v>0</v>
      </c>
      <c r="Y397" s="190">
        <v>0</v>
      </c>
      <c r="Z397" s="190">
        <v>0</v>
      </c>
      <c r="AA397" s="190">
        <v>0</v>
      </c>
      <c r="AB397" s="190">
        <v>0</v>
      </c>
      <c r="AC397" s="190">
        <v>0</v>
      </c>
      <c r="AD397" s="190">
        <v>0</v>
      </c>
      <c r="AE397" s="190">
        <v>0</v>
      </c>
      <c r="AF397" s="190">
        <v>0</v>
      </c>
      <c r="AG397" s="190">
        <v>0</v>
      </c>
      <c r="AH397" s="190">
        <v>0</v>
      </c>
      <c r="AI397" s="190">
        <v>0</v>
      </c>
      <c r="AJ397" s="190">
        <v>0</v>
      </c>
      <c r="AK397" s="190">
        <v>0</v>
      </c>
      <c r="AL397" s="190">
        <v>0</v>
      </c>
    </row>
    <row r="398" spans="2:38" ht="12.75" customHeight="1">
      <c r="B398" s="507" t="s">
        <v>115</v>
      </c>
      <c r="C398" s="6">
        <v>0</v>
      </c>
      <c r="D398" s="12" t="s">
        <v>971</v>
      </c>
      <c r="E398" s="12">
        <v>0</v>
      </c>
      <c r="F398" s="6">
        <v>0</v>
      </c>
      <c r="G398" s="6">
        <v>1</v>
      </c>
      <c r="H398" s="6">
        <v>0</v>
      </c>
      <c r="I398" s="190">
        <v>0</v>
      </c>
      <c r="J398" s="190">
        <v>0</v>
      </c>
      <c r="K398" s="190">
        <v>0</v>
      </c>
      <c r="L398" s="190">
        <v>0</v>
      </c>
      <c r="M398" s="190">
        <v>0</v>
      </c>
      <c r="N398" s="190">
        <v>0</v>
      </c>
      <c r="O398" s="190">
        <v>0</v>
      </c>
      <c r="P398" s="190">
        <v>0</v>
      </c>
      <c r="Q398" s="190">
        <v>0</v>
      </c>
      <c r="R398" s="190">
        <v>0</v>
      </c>
      <c r="S398" s="190">
        <v>0</v>
      </c>
      <c r="T398" s="190">
        <v>0</v>
      </c>
      <c r="U398" s="190">
        <v>0</v>
      </c>
      <c r="V398" s="190">
        <v>0</v>
      </c>
      <c r="W398" s="190">
        <v>0</v>
      </c>
      <c r="X398" s="190">
        <v>0</v>
      </c>
      <c r="Y398" s="190">
        <v>0</v>
      </c>
      <c r="Z398" s="190">
        <v>0</v>
      </c>
      <c r="AA398" s="190">
        <v>0</v>
      </c>
      <c r="AB398" s="190">
        <v>0</v>
      </c>
      <c r="AC398" s="190">
        <v>0</v>
      </c>
      <c r="AD398" s="190">
        <v>0</v>
      </c>
      <c r="AE398" s="190">
        <v>0</v>
      </c>
      <c r="AF398" s="190">
        <v>0</v>
      </c>
      <c r="AG398" s="190">
        <v>0</v>
      </c>
      <c r="AH398" s="190">
        <v>0</v>
      </c>
      <c r="AI398" s="190">
        <v>0</v>
      </c>
      <c r="AJ398" s="190">
        <v>0</v>
      </c>
      <c r="AK398" s="190">
        <v>0</v>
      </c>
      <c r="AL398" s="190">
        <v>0</v>
      </c>
    </row>
    <row r="399" spans="2:38" ht="12.75" customHeight="1">
      <c r="B399" s="507" t="s">
        <v>115</v>
      </c>
      <c r="C399" s="6">
        <v>0</v>
      </c>
      <c r="D399" s="12" t="s">
        <v>971</v>
      </c>
      <c r="E399" s="12">
        <v>0</v>
      </c>
      <c r="F399" s="6">
        <v>0</v>
      </c>
      <c r="G399" s="6">
        <v>1</v>
      </c>
      <c r="H399" s="6">
        <v>0</v>
      </c>
      <c r="I399" s="190">
        <v>0</v>
      </c>
      <c r="J399" s="190">
        <v>0</v>
      </c>
      <c r="K399" s="190">
        <v>0</v>
      </c>
      <c r="L399" s="190">
        <v>0</v>
      </c>
      <c r="M399" s="190">
        <v>0</v>
      </c>
      <c r="N399" s="190">
        <v>0</v>
      </c>
      <c r="O399" s="190">
        <v>0</v>
      </c>
      <c r="P399" s="190">
        <v>0</v>
      </c>
      <c r="Q399" s="190">
        <v>0</v>
      </c>
      <c r="R399" s="190">
        <v>0</v>
      </c>
      <c r="S399" s="190">
        <v>0</v>
      </c>
      <c r="T399" s="190">
        <v>0</v>
      </c>
      <c r="U399" s="190">
        <v>0</v>
      </c>
      <c r="V399" s="190">
        <v>0</v>
      </c>
      <c r="W399" s="190">
        <v>0</v>
      </c>
      <c r="X399" s="190">
        <v>0</v>
      </c>
      <c r="Y399" s="190">
        <v>0</v>
      </c>
      <c r="Z399" s="190">
        <v>0</v>
      </c>
      <c r="AA399" s="190">
        <v>0</v>
      </c>
      <c r="AB399" s="190">
        <v>0</v>
      </c>
      <c r="AC399" s="190">
        <v>0</v>
      </c>
      <c r="AD399" s="190">
        <v>0</v>
      </c>
      <c r="AE399" s="190">
        <v>0</v>
      </c>
      <c r="AF399" s="190">
        <v>0</v>
      </c>
      <c r="AG399" s="190">
        <v>0</v>
      </c>
      <c r="AH399" s="190">
        <v>0</v>
      </c>
      <c r="AI399" s="190">
        <v>0</v>
      </c>
      <c r="AJ399" s="190">
        <v>0</v>
      </c>
      <c r="AK399" s="190">
        <v>0</v>
      </c>
      <c r="AL399" s="190">
        <v>0</v>
      </c>
    </row>
    <row r="400" spans="2:38" ht="12.75" customHeight="1">
      <c r="B400" s="507" t="s">
        <v>115</v>
      </c>
      <c r="C400" s="6">
        <v>0</v>
      </c>
      <c r="D400" s="12" t="s">
        <v>971</v>
      </c>
      <c r="E400" s="12">
        <v>0</v>
      </c>
      <c r="F400" s="6">
        <v>0</v>
      </c>
      <c r="G400" s="6">
        <v>1</v>
      </c>
      <c r="H400" s="6">
        <v>0</v>
      </c>
      <c r="I400" s="190">
        <v>0</v>
      </c>
      <c r="J400" s="190">
        <v>0</v>
      </c>
      <c r="K400" s="190">
        <v>0</v>
      </c>
      <c r="L400" s="190">
        <v>0</v>
      </c>
      <c r="M400" s="190">
        <v>0</v>
      </c>
      <c r="N400" s="190">
        <v>0</v>
      </c>
      <c r="O400" s="190">
        <v>0</v>
      </c>
      <c r="P400" s="190">
        <v>0</v>
      </c>
      <c r="Q400" s="190">
        <v>0</v>
      </c>
      <c r="R400" s="190">
        <v>0</v>
      </c>
      <c r="S400" s="190">
        <v>0</v>
      </c>
      <c r="T400" s="190">
        <v>0</v>
      </c>
      <c r="U400" s="190">
        <v>0</v>
      </c>
      <c r="V400" s="190">
        <v>0</v>
      </c>
      <c r="W400" s="190">
        <v>0</v>
      </c>
      <c r="X400" s="190">
        <v>0</v>
      </c>
      <c r="Y400" s="190">
        <v>0</v>
      </c>
      <c r="Z400" s="190">
        <v>0</v>
      </c>
      <c r="AA400" s="190">
        <v>0</v>
      </c>
      <c r="AB400" s="190">
        <v>0</v>
      </c>
      <c r="AC400" s="190">
        <v>0</v>
      </c>
      <c r="AD400" s="190">
        <v>0</v>
      </c>
      <c r="AE400" s="190">
        <v>0</v>
      </c>
      <c r="AF400" s="190">
        <v>0</v>
      </c>
      <c r="AG400" s="190">
        <v>0</v>
      </c>
      <c r="AH400" s="190">
        <v>0</v>
      </c>
      <c r="AI400" s="190">
        <v>0</v>
      </c>
      <c r="AJ400" s="190">
        <v>0</v>
      </c>
      <c r="AK400" s="190">
        <v>0</v>
      </c>
      <c r="AL400" s="190">
        <v>0</v>
      </c>
    </row>
    <row r="401" spans="2:38" ht="12.75" customHeight="1">
      <c r="B401" s="507" t="s">
        <v>115</v>
      </c>
      <c r="C401" s="6">
        <v>0</v>
      </c>
      <c r="D401" s="12" t="s">
        <v>971</v>
      </c>
      <c r="E401" s="12">
        <v>0</v>
      </c>
      <c r="F401" s="6">
        <v>0</v>
      </c>
      <c r="G401" s="6">
        <v>1</v>
      </c>
      <c r="H401" s="6">
        <v>0</v>
      </c>
      <c r="I401" s="190">
        <v>0</v>
      </c>
      <c r="J401" s="190">
        <v>0</v>
      </c>
      <c r="K401" s="190">
        <v>0</v>
      </c>
      <c r="L401" s="190">
        <v>0</v>
      </c>
      <c r="M401" s="190">
        <v>0</v>
      </c>
      <c r="N401" s="190">
        <v>0</v>
      </c>
      <c r="O401" s="190">
        <v>0</v>
      </c>
      <c r="P401" s="190">
        <v>0</v>
      </c>
      <c r="Q401" s="190">
        <v>0</v>
      </c>
      <c r="R401" s="190">
        <v>0</v>
      </c>
      <c r="S401" s="190">
        <v>0</v>
      </c>
      <c r="T401" s="190">
        <v>0</v>
      </c>
      <c r="U401" s="190">
        <v>0</v>
      </c>
      <c r="V401" s="190">
        <v>0</v>
      </c>
      <c r="W401" s="190">
        <v>0</v>
      </c>
      <c r="X401" s="190">
        <v>0</v>
      </c>
      <c r="Y401" s="190">
        <v>0</v>
      </c>
      <c r="Z401" s="190">
        <v>0</v>
      </c>
      <c r="AA401" s="190">
        <v>0</v>
      </c>
      <c r="AB401" s="190">
        <v>0</v>
      </c>
      <c r="AC401" s="190">
        <v>0</v>
      </c>
      <c r="AD401" s="190">
        <v>0</v>
      </c>
      <c r="AE401" s="190">
        <v>0</v>
      </c>
      <c r="AF401" s="190">
        <v>0</v>
      </c>
      <c r="AG401" s="190">
        <v>0</v>
      </c>
      <c r="AH401" s="190">
        <v>0</v>
      </c>
      <c r="AI401" s="190">
        <v>0</v>
      </c>
      <c r="AJ401" s="190">
        <v>0</v>
      </c>
      <c r="AK401" s="190">
        <v>0</v>
      </c>
      <c r="AL401" s="190">
        <v>0</v>
      </c>
    </row>
    <row r="402" spans="2:38" ht="12.75" customHeight="1">
      <c r="B402" s="507" t="s">
        <v>115</v>
      </c>
      <c r="C402" s="6">
        <v>0</v>
      </c>
      <c r="D402" s="12" t="s">
        <v>971</v>
      </c>
      <c r="E402" s="12">
        <v>0</v>
      </c>
      <c r="F402" s="6">
        <v>0</v>
      </c>
      <c r="G402" s="6">
        <v>1</v>
      </c>
      <c r="H402" s="6">
        <v>0</v>
      </c>
      <c r="I402" s="190">
        <v>0</v>
      </c>
      <c r="J402" s="190">
        <v>0</v>
      </c>
      <c r="K402" s="190">
        <v>0</v>
      </c>
      <c r="L402" s="190">
        <v>0</v>
      </c>
      <c r="M402" s="190">
        <v>0</v>
      </c>
      <c r="N402" s="190">
        <v>0</v>
      </c>
      <c r="O402" s="190">
        <v>0</v>
      </c>
      <c r="P402" s="190">
        <v>0</v>
      </c>
      <c r="Q402" s="190">
        <v>0</v>
      </c>
      <c r="R402" s="190">
        <v>0</v>
      </c>
      <c r="S402" s="190">
        <v>0</v>
      </c>
      <c r="T402" s="190">
        <v>0</v>
      </c>
      <c r="U402" s="190">
        <v>0</v>
      </c>
      <c r="V402" s="190">
        <v>0</v>
      </c>
      <c r="W402" s="190">
        <v>0</v>
      </c>
      <c r="X402" s="190">
        <v>0</v>
      </c>
      <c r="Y402" s="190">
        <v>0</v>
      </c>
      <c r="Z402" s="190">
        <v>0</v>
      </c>
      <c r="AA402" s="190">
        <v>0</v>
      </c>
      <c r="AB402" s="190">
        <v>0</v>
      </c>
      <c r="AC402" s="190">
        <v>0</v>
      </c>
      <c r="AD402" s="190">
        <v>0</v>
      </c>
      <c r="AE402" s="190">
        <v>0</v>
      </c>
      <c r="AF402" s="190">
        <v>0</v>
      </c>
      <c r="AG402" s="190">
        <v>0</v>
      </c>
      <c r="AH402" s="190">
        <v>0</v>
      </c>
      <c r="AI402" s="190">
        <v>0</v>
      </c>
      <c r="AJ402" s="190">
        <v>0</v>
      </c>
      <c r="AK402" s="190">
        <v>0</v>
      </c>
      <c r="AL402" s="190">
        <v>0</v>
      </c>
    </row>
    <row r="403" spans="2:38" ht="12.75" customHeight="1">
      <c r="B403" s="507" t="s">
        <v>115</v>
      </c>
      <c r="C403" s="6">
        <v>0</v>
      </c>
      <c r="D403" s="12" t="s">
        <v>971</v>
      </c>
      <c r="E403" s="12">
        <v>0</v>
      </c>
      <c r="F403" s="6">
        <v>0</v>
      </c>
      <c r="G403" s="6">
        <v>1</v>
      </c>
      <c r="H403" s="6">
        <v>0</v>
      </c>
      <c r="I403" s="190">
        <v>0</v>
      </c>
      <c r="J403" s="190">
        <v>0</v>
      </c>
      <c r="K403" s="190">
        <v>0</v>
      </c>
      <c r="L403" s="190">
        <v>0</v>
      </c>
      <c r="M403" s="190">
        <v>0</v>
      </c>
      <c r="N403" s="190">
        <v>0</v>
      </c>
      <c r="O403" s="190">
        <v>0</v>
      </c>
      <c r="P403" s="190">
        <v>0</v>
      </c>
      <c r="Q403" s="190">
        <v>0</v>
      </c>
      <c r="R403" s="190">
        <v>0</v>
      </c>
      <c r="S403" s="190">
        <v>0</v>
      </c>
      <c r="T403" s="190">
        <v>0</v>
      </c>
      <c r="U403" s="190">
        <v>0</v>
      </c>
      <c r="V403" s="190">
        <v>0</v>
      </c>
      <c r="W403" s="190">
        <v>0</v>
      </c>
      <c r="X403" s="190">
        <v>0</v>
      </c>
      <c r="Y403" s="190">
        <v>0</v>
      </c>
      <c r="Z403" s="190">
        <v>0</v>
      </c>
      <c r="AA403" s="190">
        <v>0</v>
      </c>
      <c r="AB403" s="190">
        <v>0</v>
      </c>
      <c r="AC403" s="190">
        <v>0</v>
      </c>
      <c r="AD403" s="190">
        <v>0</v>
      </c>
      <c r="AE403" s="190">
        <v>0</v>
      </c>
      <c r="AF403" s="190">
        <v>0</v>
      </c>
      <c r="AG403" s="190">
        <v>0</v>
      </c>
      <c r="AH403" s="190">
        <v>0</v>
      </c>
      <c r="AI403" s="190">
        <v>0</v>
      </c>
      <c r="AJ403" s="190">
        <v>0</v>
      </c>
      <c r="AK403" s="190">
        <v>0</v>
      </c>
      <c r="AL403" s="190">
        <v>0</v>
      </c>
    </row>
    <row r="404" spans="2:38" ht="12.75" customHeight="1">
      <c r="B404" s="507" t="s">
        <v>115</v>
      </c>
      <c r="C404" s="6">
        <v>0</v>
      </c>
      <c r="D404" s="12" t="s">
        <v>971</v>
      </c>
      <c r="E404" s="12">
        <v>0</v>
      </c>
      <c r="F404" s="6">
        <v>0</v>
      </c>
      <c r="G404" s="6">
        <v>1</v>
      </c>
      <c r="H404" s="6">
        <v>0</v>
      </c>
      <c r="I404" s="190">
        <v>0</v>
      </c>
      <c r="J404" s="190">
        <v>0</v>
      </c>
      <c r="K404" s="190">
        <v>0</v>
      </c>
      <c r="L404" s="190">
        <v>0</v>
      </c>
      <c r="M404" s="190">
        <v>0</v>
      </c>
      <c r="N404" s="190">
        <v>0</v>
      </c>
      <c r="O404" s="190">
        <v>0</v>
      </c>
      <c r="P404" s="190">
        <v>0</v>
      </c>
      <c r="Q404" s="190">
        <v>0</v>
      </c>
      <c r="R404" s="190">
        <v>0</v>
      </c>
      <c r="S404" s="190">
        <v>0</v>
      </c>
      <c r="T404" s="190">
        <v>0</v>
      </c>
      <c r="U404" s="190">
        <v>0</v>
      </c>
      <c r="V404" s="190">
        <v>0</v>
      </c>
      <c r="W404" s="190">
        <v>0</v>
      </c>
      <c r="X404" s="190">
        <v>0</v>
      </c>
      <c r="Y404" s="190">
        <v>0</v>
      </c>
      <c r="Z404" s="190">
        <v>0</v>
      </c>
      <c r="AA404" s="190">
        <v>0</v>
      </c>
      <c r="AB404" s="190">
        <v>0</v>
      </c>
      <c r="AC404" s="190">
        <v>0</v>
      </c>
      <c r="AD404" s="190">
        <v>0</v>
      </c>
      <c r="AE404" s="190">
        <v>0</v>
      </c>
      <c r="AF404" s="190">
        <v>0</v>
      </c>
      <c r="AG404" s="190">
        <v>0</v>
      </c>
      <c r="AH404" s="190">
        <v>0</v>
      </c>
      <c r="AI404" s="190">
        <v>0</v>
      </c>
      <c r="AJ404" s="190">
        <v>0</v>
      </c>
      <c r="AK404" s="190">
        <v>0</v>
      </c>
      <c r="AL404" s="190">
        <v>0</v>
      </c>
    </row>
    <row r="405" spans="2:38" ht="12.75" customHeight="1">
      <c r="B405" s="507" t="s">
        <v>115</v>
      </c>
      <c r="C405" s="6">
        <v>0</v>
      </c>
      <c r="D405" s="12" t="s">
        <v>971</v>
      </c>
      <c r="E405" s="12">
        <v>0</v>
      </c>
      <c r="F405" s="6">
        <v>0</v>
      </c>
      <c r="G405" s="6">
        <v>1</v>
      </c>
      <c r="H405" s="6">
        <v>0</v>
      </c>
      <c r="I405" s="190">
        <v>0</v>
      </c>
      <c r="J405" s="190">
        <v>0</v>
      </c>
      <c r="K405" s="190">
        <v>0</v>
      </c>
      <c r="L405" s="190">
        <v>0</v>
      </c>
      <c r="M405" s="190">
        <v>0</v>
      </c>
      <c r="N405" s="190">
        <v>0</v>
      </c>
      <c r="O405" s="190">
        <v>0</v>
      </c>
      <c r="P405" s="190">
        <v>0</v>
      </c>
      <c r="Q405" s="190">
        <v>0</v>
      </c>
      <c r="R405" s="190">
        <v>0</v>
      </c>
      <c r="S405" s="190">
        <v>0</v>
      </c>
      <c r="T405" s="190">
        <v>0</v>
      </c>
      <c r="U405" s="190">
        <v>0</v>
      </c>
      <c r="V405" s="190">
        <v>0</v>
      </c>
      <c r="W405" s="190">
        <v>0</v>
      </c>
      <c r="X405" s="190">
        <v>0</v>
      </c>
      <c r="Y405" s="190">
        <v>0</v>
      </c>
      <c r="Z405" s="190">
        <v>0</v>
      </c>
      <c r="AA405" s="190">
        <v>0</v>
      </c>
      <c r="AB405" s="190">
        <v>0</v>
      </c>
      <c r="AC405" s="190">
        <v>0</v>
      </c>
      <c r="AD405" s="190">
        <v>0</v>
      </c>
      <c r="AE405" s="190">
        <v>0</v>
      </c>
      <c r="AF405" s="190">
        <v>0</v>
      </c>
      <c r="AG405" s="190">
        <v>0</v>
      </c>
      <c r="AH405" s="190">
        <v>0</v>
      </c>
      <c r="AI405" s="190">
        <v>0</v>
      </c>
      <c r="AJ405" s="190">
        <v>0</v>
      </c>
      <c r="AK405" s="190">
        <v>0</v>
      </c>
      <c r="AL405" s="190">
        <v>0</v>
      </c>
    </row>
    <row r="406" spans="2:38" ht="12.75" customHeight="1">
      <c r="B406" s="507" t="s">
        <v>115</v>
      </c>
      <c r="C406" s="6" t="s">
        <v>880</v>
      </c>
      <c r="D406" s="12" t="s">
        <v>881</v>
      </c>
      <c r="E406" s="12" t="s">
        <v>978</v>
      </c>
      <c r="F406" s="6">
        <v>0</v>
      </c>
      <c r="G406" s="6">
        <v>1</v>
      </c>
      <c r="H406" s="6" t="s">
        <v>979</v>
      </c>
      <c r="I406" s="190">
        <v>4480078.1475818893</v>
      </c>
      <c r="J406" s="190">
        <v>0</v>
      </c>
      <c r="K406" s="190">
        <v>18111682.424018439</v>
      </c>
      <c r="L406" s="190">
        <v>0</v>
      </c>
      <c r="M406" s="190">
        <v>0</v>
      </c>
      <c r="N406" s="190">
        <v>0</v>
      </c>
      <c r="O406" s="190">
        <v>0</v>
      </c>
      <c r="P406" s="190">
        <v>0</v>
      </c>
      <c r="Q406" s="190">
        <v>0</v>
      </c>
      <c r="R406" s="190">
        <v>0</v>
      </c>
      <c r="S406" s="190">
        <v>0</v>
      </c>
      <c r="T406" s="190">
        <v>0</v>
      </c>
      <c r="U406" s="190">
        <v>0</v>
      </c>
      <c r="V406" s="190">
        <v>0</v>
      </c>
      <c r="W406" s="190">
        <v>0</v>
      </c>
      <c r="X406" s="190">
        <v>0</v>
      </c>
      <c r="Y406" s="190">
        <v>0</v>
      </c>
      <c r="Z406" s="190">
        <v>0</v>
      </c>
      <c r="AA406" s="190">
        <v>0</v>
      </c>
      <c r="AB406" s="190">
        <v>0</v>
      </c>
      <c r="AC406" s="190">
        <v>0</v>
      </c>
      <c r="AD406" s="190">
        <v>0</v>
      </c>
      <c r="AE406" s="190">
        <v>0</v>
      </c>
      <c r="AF406" s="190">
        <v>0</v>
      </c>
      <c r="AG406" s="190">
        <v>0</v>
      </c>
      <c r="AH406" s="190">
        <v>0</v>
      </c>
      <c r="AI406" s="190">
        <v>0</v>
      </c>
      <c r="AJ406" s="190">
        <v>0</v>
      </c>
      <c r="AK406" s="190">
        <v>0</v>
      </c>
      <c r="AL406" s="190">
        <v>0</v>
      </c>
    </row>
    <row r="407" spans="2:38" ht="12.75" customHeight="1">
      <c r="B407" s="507" t="s">
        <v>115</v>
      </c>
      <c r="C407" s="6" t="s">
        <v>880</v>
      </c>
      <c r="D407" s="12" t="s">
        <v>881</v>
      </c>
      <c r="E407" s="12" t="s">
        <v>980</v>
      </c>
      <c r="F407" s="6">
        <v>0</v>
      </c>
      <c r="G407" s="6">
        <v>0</v>
      </c>
      <c r="H407" s="6" t="s">
        <v>804</v>
      </c>
      <c r="I407" s="190">
        <v>55263.625494281783</v>
      </c>
      <c r="J407" s="190">
        <v>0</v>
      </c>
      <c r="K407" s="190">
        <v>223415.12839291949</v>
      </c>
      <c r="L407" s="190">
        <v>0</v>
      </c>
      <c r="M407" s="190">
        <v>0</v>
      </c>
      <c r="N407" s="190">
        <v>0</v>
      </c>
      <c r="O407" s="190">
        <v>0</v>
      </c>
      <c r="P407" s="190">
        <v>0</v>
      </c>
      <c r="Q407" s="190">
        <v>0</v>
      </c>
      <c r="R407" s="190">
        <v>0</v>
      </c>
      <c r="S407" s="190">
        <v>0</v>
      </c>
      <c r="T407" s="190">
        <v>0</v>
      </c>
      <c r="U407" s="190">
        <v>0</v>
      </c>
      <c r="V407" s="190">
        <v>0</v>
      </c>
      <c r="W407" s="190">
        <v>0</v>
      </c>
      <c r="X407" s="190">
        <v>0</v>
      </c>
      <c r="Y407" s="190">
        <v>0</v>
      </c>
      <c r="Z407" s="190">
        <v>0</v>
      </c>
      <c r="AA407" s="190">
        <v>0</v>
      </c>
      <c r="AB407" s="190">
        <v>0</v>
      </c>
      <c r="AC407" s="190">
        <v>0</v>
      </c>
      <c r="AD407" s="190">
        <v>0</v>
      </c>
      <c r="AE407" s="190">
        <v>0</v>
      </c>
      <c r="AF407" s="190">
        <v>0</v>
      </c>
      <c r="AG407" s="190">
        <v>0</v>
      </c>
      <c r="AH407" s="190">
        <v>0</v>
      </c>
      <c r="AI407" s="190">
        <v>0</v>
      </c>
      <c r="AJ407" s="190">
        <v>0</v>
      </c>
      <c r="AK407" s="190">
        <v>0</v>
      </c>
      <c r="AL407" s="190">
        <v>0</v>
      </c>
    </row>
    <row r="408" spans="2:38" ht="12.75" customHeight="1">
      <c r="B408" s="507" t="s">
        <v>115</v>
      </c>
      <c r="C408" s="6" t="s">
        <v>880</v>
      </c>
      <c r="D408" s="12" t="s">
        <v>881</v>
      </c>
      <c r="E408" s="12" t="s">
        <v>981</v>
      </c>
      <c r="F408" s="6">
        <v>0</v>
      </c>
      <c r="G408" s="6">
        <v>0</v>
      </c>
      <c r="H408" s="6" t="s">
        <v>806</v>
      </c>
      <c r="I408" s="190">
        <v>13913.680809453761</v>
      </c>
      <c r="J408" s="190">
        <v>0</v>
      </c>
      <c r="K408" s="190">
        <v>56249.056348716316</v>
      </c>
      <c r="L408" s="190">
        <v>0</v>
      </c>
      <c r="M408" s="190">
        <v>0</v>
      </c>
      <c r="N408" s="190">
        <v>0</v>
      </c>
      <c r="O408" s="190">
        <v>0</v>
      </c>
      <c r="P408" s="190">
        <v>0</v>
      </c>
      <c r="Q408" s="190">
        <v>0</v>
      </c>
      <c r="R408" s="190">
        <v>0</v>
      </c>
      <c r="S408" s="190">
        <v>0</v>
      </c>
      <c r="T408" s="190">
        <v>0</v>
      </c>
      <c r="U408" s="190">
        <v>0</v>
      </c>
      <c r="V408" s="190">
        <v>0</v>
      </c>
      <c r="W408" s="190">
        <v>0</v>
      </c>
      <c r="X408" s="190">
        <v>0</v>
      </c>
      <c r="Y408" s="190">
        <v>0</v>
      </c>
      <c r="Z408" s="190">
        <v>0</v>
      </c>
      <c r="AA408" s="190">
        <v>0</v>
      </c>
      <c r="AB408" s="190">
        <v>0</v>
      </c>
      <c r="AC408" s="190">
        <v>0</v>
      </c>
      <c r="AD408" s="190">
        <v>0</v>
      </c>
      <c r="AE408" s="190">
        <v>0</v>
      </c>
      <c r="AF408" s="190">
        <v>0</v>
      </c>
      <c r="AG408" s="190">
        <v>0</v>
      </c>
      <c r="AH408" s="190">
        <v>0</v>
      </c>
      <c r="AI408" s="190">
        <v>0</v>
      </c>
      <c r="AJ408" s="190">
        <v>0</v>
      </c>
      <c r="AK408" s="190">
        <v>0</v>
      </c>
      <c r="AL408" s="190">
        <v>0</v>
      </c>
    </row>
    <row r="409" spans="2:38" ht="12.75" customHeight="1">
      <c r="B409" s="507" t="s">
        <v>115</v>
      </c>
      <c r="C409" s="6" t="s">
        <v>880</v>
      </c>
      <c r="D409" s="12" t="s">
        <v>881</v>
      </c>
      <c r="E409" s="12" t="s">
        <v>982</v>
      </c>
      <c r="F409" s="6">
        <v>0</v>
      </c>
      <c r="G409" s="6">
        <v>0</v>
      </c>
      <c r="H409" s="6" t="s">
        <v>808</v>
      </c>
      <c r="I409" s="190">
        <v>259.00271729540873</v>
      </c>
      <c r="J409" s="190">
        <v>0</v>
      </c>
      <c r="K409" s="190">
        <v>1047.0743607774368</v>
      </c>
      <c r="L409" s="190">
        <v>0</v>
      </c>
      <c r="M409" s="190">
        <v>0</v>
      </c>
      <c r="N409" s="190">
        <v>0</v>
      </c>
      <c r="O409" s="190">
        <v>0</v>
      </c>
      <c r="P409" s="190">
        <v>0</v>
      </c>
      <c r="Q409" s="190">
        <v>0</v>
      </c>
      <c r="R409" s="190">
        <v>0</v>
      </c>
      <c r="S409" s="190">
        <v>0</v>
      </c>
      <c r="T409" s="190">
        <v>0</v>
      </c>
      <c r="U409" s="190">
        <v>0</v>
      </c>
      <c r="V409" s="190">
        <v>0</v>
      </c>
      <c r="W409" s="190">
        <v>0</v>
      </c>
      <c r="X409" s="190">
        <v>0</v>
      </c>
      <c r="Y409" s="190">
        <v>0</v>
      </c>
      <c r="Z409" s="190">
        <v>0</v>
      </c>
      <c r="AA409" s="190">
        <v>0</v>
      </c>
      <c r="AB409" s="190">
        <v>0</v>
      </c>
      <c r="AC409" s="190">
        <v>0</v>
      </c>
      <c r="AD409" s="190">
        <v>0</v>
      </c>
      <c r="AE409" s="190">
        <v>0</v>
      </c>
      <c r="AF409" s="190">
        <v>0</v>
      </c>
      <c r="AG409" s="190">
        <v>0</v>
      </c>
      <c r="AH409" s="190">
        <v>0</v>
      </c>
      <c r="AI409" s="190">
        <v>0</v>
      </c>
      <c r="AJ409" s="190">
        <v>0</v>
      </c>
      <c r="AK409" s="190">
        <v>0</v>
      </c>
      <c r="AL409" s="190">
        <v>0</v>
      </c>
    </row>
    <row r="410" spans="2:38" ht="12.75" customHeight="1">
      <c r="B410" s="507" t="s">
        <v>115</v>
      </c>
      <c r="C410" s="6" t="s">
        <v>880</v>
      </c>
      <c r="D410" s="12" t="s">
        <v>881</v>
      </c>
      <c r="E410" s="12" t="s">
        <v>983</v>
      </c>
      <c r="F410" s="6">
        <v>0</v>
      </c>
      <c r="G410" s="6">
        <v>0</v>
      </c>
      <c r="H410" s="6" t="s">
        <v>810</v>
      </c>
      <c r="I410" s="190">
        <v>112897.96931906362</v>
      </c>
      <c r="J410" s="190">
        <v>0</v>
      </c>
      <c r="K410" s="190">
        <v>456414.39708526467</v>
      </c>
      <c r="L410" s="190">
        <v>0</v>
      </c>
      <c r="M410" s="190">
        <v>0</v>
      </c>
      <c r="N410" s="190">
        <v>0</v>
      </c>
      <c r="O410" s="190">
        <v>0</v>
      </c>
      <c r="P410" s="190">
        <v>0</v>
      </c>
      <c r="Q410" s="190">
        <v>0</v>
      </c>
      <c r="R410" s="190">
        <v>0</v>
      </c>
      <c r="S410" s="190">
        <v>0</v>
      </c>
      <c r="T410" s="190">
        <v>0</v>
      </c>
      <c r="U410" s="190">
        <v>0</v>
      </c>
      <c r="V410" s="190">
        <v>0</v>
      </c>
      <c r="W410" s="190">
        <v>0</v>
      </c>
      <c r="X410" s="190">
        <v>0</v>
      </c>
      <c r="Y410" s="190">
        <v>0</v>
      </c>
      <c r="Z410" s="190">
        <v>0</v>
      </c>
      <c r="AA410" s="190">
        <v>0</v>
      </c>
      <c r="AB410" s="190">
        <v>0</v>
      </c>
      <c r="AC410" s="190">
        <v>0</v>
      </c>
      <c r="AD410" s="190">
        <v>0</v>
      </c>
      <c r="AE410" s="190">
        <v>0</v>
      </c>
      <c r="AF410" s="190">
        <v>0</v>
      </c>
      <c r="AG410" s="190">
        <v>0</v>
      </c>
      <c r="AH410" s="190">
        <v>0</v>
      </c>
      <c r="AI410" s="190">
        <v>0</v>
      </c>
      <c r="AJ410" s="190">
        <v>0</v>
      </c>
      <c r="AK410" s="190">
        <v>0</v>
      </c>
      <c r="AL410" s="190">
        <v>0</v>
      </c>
    </row>
    <row r="411" spans="2:38" ht="12.75" customHeight="1">
      <c r="B411" s="507" t="s">
        <v>115</v>
      </c>
      <c r="C411" s="6" t="s">
        <v>984</v>
      </c>
      <c r="D411" s="12" t="s">
        <v>985</v>
      </c>
      <c r="E411" s="12">
        <v>7</v>
      </c>
      <c r="F411" s="6"/>
      <c r="G411" s="6"/>
      <c r="H411" s="6" t="s">
        <v>79</v>
      </c>
      <c r="I411" s="190"/>
      <c r="J411" s="190"/>
      <c r="K411" s="190"/>
      <c r="L411" s="190"/>
      <c r="M411" s="190"/>
      <c r="N411" s="190"/>
      <c r="O411" s="190"/>
      <c r="P411" s="190"/>
      <c r="Q411" s="190"/>
      <c r="R411" s="190"/>
      <c r="S411" s="190"/>
      <c r="T411" s="190"/>
      <c r="U411" s="190"/>
      <c r="V411" s="190"/>
      <c r="W411" s="190"/>
      <c r="X411" s="190"/>
      <c r="Y411" s="190"/>
      <c r="Z411" s="190"/>
      <c r="AA411" s="190"/>
      <c r="AB411" s="190"/>
      <c r="AC411" s="190"/>
      <c r="AD411" s="190"/>
      <c r="AE411" s="190"/>
      <c r="AF411" s="190"/>
      <c r="AG411" s="190"/>
      <c r="AH411" s="190"/>
      <c r="AI411" s="190"/>
      <c r="AJ411" s="190"/>
      <c r="AK411" s="190"/>
      <c r="AL411" s="190"/>
    </row>
    <row r="412" spans="2:38" ht="12.75" customHeight="1">
      <c r="B412" s="507" t="s">
        <v>115</v>
      </c>
      <c r="C412" s="6" t="s">
        <v>984</v>
      </c>
      <c r="D412" s="12" t="s">
        <v>985</v>
      </c>
      <c r="E412" s="12" t="s">
        <v>986</v>
      </c>
      <c r="F412" s="6">
        <v>0</v>
      </c>
      <c r="G412" s="6">
        <v>0</v>
      </c>
      <c r="H412" s="6" t="s">
        <v>987</v>
      </c>
      <c r="I412" s="190">
        <v>1807248.8242809335</v>
      </c>
      <c r="J412" s="190">
        <v>3752940.8487210707</v>
      </c>
      <c r="K412" s="190">
        <v>299150.96742810262</v>
      </c>
      <c r="L412" s="190">
        <v>139141.87359265395</v>
      </c>
      <c r="M412" s="190">
        <v>139141.87359265395</v>
      </c>
      <c r="N412" s="190">
        <v>139141.87359265395</v>
      </c>
      <c r="O412" s="190">
        <v>139141.87359265395</v>
      </c>
      <c r="P412" s="190">
        <v>139141.87359265395</v>
      </c>
      <c r="Q412" s="190">
        <v>0</v>
      </c>
      <c r="R412" s="190">
        <v>0</v>
      </c>
      <c r="S412" s="190">
        <v>0</v>
      </c>
      <c r="T412" s="190">
        <v>0</v>
      </c>
      <c r="U412" s="190">
        <v>1440505.795738827</v>
      </c>
      <c r="V412" s="190">
        <v>0</v>
      </c>
      <c r="W412" s="190">
        <v>0</v>
      </c>
      <c r="X412" s="190">
        <v>0</v>
      </c>
      <c r="Y412" s="190">
        <v>0</v>
      </c>
      <c r="Z412" s="190">
        <v>0</v>
      </c>
      <c r="AA412" s="190">
        <v>0</v>
      </c>
      <c r="AB412" s="190">
        <v>0</v>
      </c>
      <c r="AC412" s="190">
        <v>0</v>
      </c>
      <c r="AD412" s="190">
        <v>0</v>
      </c>
      <c r="AE412" s="190">
        <v>0</v>
      </c>
      <c r="AF412" s="190">
        <v>0</v>
      </c>
      <c r="AG412" s="190">
        <v>0</v>
      </c>
      <c r="AH412" s="190">
        <v>0</v>
      </c>
      <c r="AI412" s="190">
        <v>0</v>
      </c>
      <c r="AJ412" s="190">
        <v>0</v>
      </c>
      <c r="AK412" s="190">
        <v>0</v>
      </c>
      <c r="AL412" s="190">
        <v>0</v>
      </c>
    </row>
    <row r="413" spans="2:38" ht="12.75" customHeight="1">
      <c r="B413" s="507" t="s">
        <v>115</v>
      </c>
      <c r="C413" s="6" t="s">
        <v>984</v>
      </c>
      <c r="D413" s="12" t="s">
        <v>985</v>
      </c>
      <c r="E413" s="12" t="s">
        <v>988</v>
      </c>
      <c r="F413" s="6">
        <v>0</v>
      </c>
      <c r="G413" s="6">
        <v>0</v>
      </c>
      <c r="H413" s="6" t="s">
        <v>989</v>
      </c>
      <c r="I413" s="190">
        <v>0</v>
      </c>
      <c r="J413" s="190">
        <v>0</v>
      </c>
      <c r="K413" s="190">
        <v>0</v>
      </c>
      <c r="L413" s="190">
        <v>18153919.296099998</v>
      </c>
      <c r="M413" s="190">
        <v>0</v>
      </c>
      <c r="N413" s="190">
        <v>0</v>
      </c>
      <c r="O413" s="190">
        <v>0</v>
      </c>
      <c r="P413" s="190">
        <v>0</v>
      </c>
      <c r="Q413" s="190">
        <v>0</v>
      </c>
      <c r="R413" s="190">
        <v>0</v>
      </c>
      <c r="S413" s="190">
        <v>0</v>
      </c>
      <c r="T413" s="190">
        <v>0</v>
      </c>
      <c r="U413" s="190">
        <v>0</v>
      </c>
      <c r="V413" s="190">
        <v>0</v>
      </c>
      <c r="W413" s="190">
        <v>0</v>
      </c>
      <c r="X413" s="190">
        <v>0</v>
      </c>
      <c r="Y413" s="190">
        <v>0</v>
      </c>
      <c r="Z413" s="190">
        <v>0</v>
      </c>
      <c r="AA413" s="190">
        <v>0</v>
      </c>
      <c r="AB413" s="190">
        <v>0</v>
      </c>
      <c r="AC413" s="190">
        <v>0</v>
      </c>
      <c r="AD413" s="190">
        <v>0</v>
      </c>
      <c r="AE413" s="190">
        <v>0</v>
      </c>
      <c r="AF413" s="190">
        <v>0</v>
      </c>
      <c r="AG413" s="190">
        <v>0</v>
      </c>
      <c r="AH413" s="190">
        <v>0</v>
      </c>
      <c r="AI413" s="190">
        <v>0</v>
      </c>
      <c r="AJ413" s="190">
        <v>0</v>
      </c>
      <c r="AK413" s="190">
        <v>0</v>
      </c>
      <c r="AL413" s="190">
        <v>0</v>
      </c>
    </row>
    <row r="414" spans="2:38" ht="12.75" customHeight="1">
      <c r="B414" s="507" t="s">
        <v>115</v>
      </c>
      <c r="C414" s="6" t="s">
        <v>984</v>
      </c>
      <c r="D414" s="12" t="s">
        <v>985</v>
      </c>
      <c r="E414" s="12" t="s">
        <v>990</v>
      </c>
      <c r="F414" s="6">
        <v>0</v>
      </c>
      <c r="G414" s="6">
        <v>0</v>
      </c>
      <c r="H414" s="6" t="s">
        <v>991</v>
      </c>
      <c r="I414" s="190">
        <v>63390.209007250945</v>
      </c>
      <c r="J414" s="190">
        <v>82000</v>
      </c>
      <c r="K414" s="190">
        <v>87996.937502117653</v>
      </c>
      <c r="L414" s="190">
        <v>87996.937502117653</v>
      </c>
      <c r="M414" s="190">
        <v>147996.93750211765</v>
      </c>
      <c r="N414" s="190">
        <v>87996.937502117653</v>
      </c>
      <c r="O414" s="190">
        <v>87996.937502117653</v>
      </c>
      <c r="P414" s="190">
        <v>147996.93750211765</v>
      </c>
      <c r="Q414" s="190">
        <v>87996.937502117653</v>
      </c>
      <c r="R414" s="190">
        <v>87996.937502117653</v>
      </c>
      <c r="S414" s="190">
        <v>147996.93750211765</v>
      </c>
      <c r="T414" s="190">
        <v>87996.937502117653</v>
      </c>
      <c r="U414" s="190">
        <v>87996.937502117653</v>
      </c>
      <c r="V414" s="190">
        <v>147996.93750211765</v>
      </c>
      <c r="W414" s="190">
        <v>87996.937502117653</v>
      </c>
      <c r="X414" s="190">
        <v>87996.937502117653</v>
      </c>
      <c r="Y414" s="190">
        <v>147996.93750211765</v>
      </c>
      <c r="Z414" s="190">
        <v>87996.937502117653</v>
      </c>
      <c r="AA414" s="190">
        <v>87996.937502117653</v>
      </c>
      <c r="AB414" s="190">
        <v>147996.93750211765</v>
      </c>
      <c r="AC414" s="190">
        <v>87996.937502117653</v>
      </c>
      <c r="AD414" s="190">
        <v>87996.937502117653</v>
      </c>
      <c r="AE414" s="190">
        <v>147996.93750211765</v>
      </c>
      <c r="AF414" s="190">
        <v>87996.937502117653</v>
      </c>
      <c r="AG414" s="190">
        <v>87996.937502117653</v>
      </c>
      <c r="AH414" s="190">
        <v>147996.93750211765</v>
      </c>
      <c r="AI414" s="190">
        <v>87996.937502117653</v>
      </c>
      <c r="AJ414" s="190">
        <v>87996.937502117653</v>
      </c>
      <c r="AK414" s="190">
        <v>147996.93750211765</v>
      </c>
      <c r="AL414" s="190">
        <v>87996.937502117653</v>
      </c>
    </row>
    <row r="415" spans="2:38" ht="12.75" customHeight="1">
      <c r="B415" s="507" t="s">
        <v>115</v>
      </c>
      <c r="C415" s="6" t="s">
        <v>984</v>
      </c>
      <c r="D415" s="12" t="s">
        <v>985</v>
      </c>
      <c r="E415" s="12" t="s">
        <v>992</v>
      </c>
      <c r="F415" s="6">
        <v>1</v>
      </c>
      <c r="G415" s="6">
        <v>0</v>
      </c>
      <c r="H415" s="6" t="s">
        <v>993</v>
      </c>
      <c r="I415" s="190">
        <v>19634492.259456225</v>
      </c>
      <c r="J415" s="190">
        <v>19634492.259456225</v>
      </c>
      <c r="K415" s="190">
        <v>19634492.259456225</v>
      </c>
      <c r="L415" s="190">
        <v>19634492.259456225</v>
      </c>
      <c r="M415" s="190">
        <v>19634492.259456225</v>
      </c>
      <c r="N415" s="190">
        <v>0</v>
      </c>
      <c r="O415" s="190">
        <v>0</v>
      </c>
      <c r="P415" s="190">
        <v>0</v>
      </c>
      <c r="Q415" s="190">
        <v>0</v>
      </c>
      <c r="R415" s="190">
        <v>0</v>
      </c>
      <c r="S415" s="190">
        <v>0</v>
      </c>
      <c r="T415" s="190">
        <v>0</v>
      </c>
      <c r="U415" s="190">
        <v>0</v>
      </c>
      <c r="V415" s="190">
        <v>0</v>
      </c>
      <c r="W415" s="190">
        <v>0</v>
      </c>
      <c r="X415" s="190">
        <v>0</v>
      </c>
      <c r="Y415" s="190">
        <v>0</v>
      </c>
      <c r="Z415" s="190">
        <v>0</v>
      </c>
      <c r="AA415" s="190">
        <v>0</v>
      </c>
      <c r="AB415" s="190">
        <v>0</v>
      </c>
      <c r="AC415" s="190">
        <v>0</v>
      </c>
      <c r="AD415" s="190">
        <v>0</v>
      </c>
      <c r="AE415" s="190">
        <v>0</v>
      </c>
      <c r="AF415" s="190">
        <v>0</v>
      </c>
      <c r="AG415" s="190">
        <v>0</v>
      </c>
      <c r="AH415" s="190">
        <v>0</v>
      </c>
      <c r="AI415" s="190">
        <v>0</v>
      </c>
      <c r="AJ415" s="190">
        <v>0</v>
      </c>
      <c r="AK415" s="190">
        <v>0</v>
      </c>
      <c r="AL415" s="190">
        <v>0</v>
      </c>
    </row>
    <row r="416" spans="2:38" ht="12.75" customHeight="1">
      <c r="B416" s="507" t="s">
        <v>115</v>
      </c>
      <c r="C416" s="6" t="s">
        <v>984</v>
      </c>
      <c r="D416" s="12" t="s">
        <v>985</v>
      </c>
      <c r="E416" s="12" t="s">
        <v>994</v>
      </c>
      <c r="F416" s="6">
        <v>1</v>
      </c>
      <c r="G416" s="6">
        <v>0</v>
      </c>
      <c r="H416" s="6" t="s">
        <v>995</v>
      </c>
      <c r="I416" s="190">
        <v>0</v>
      </c>
      <c r="J416" s="190">
        <v>0</v>
      </c>
      <c r="K416" s="190">
        <v>2455771.1924159252</v>
      </c>
      <c r="L416" s="190">
        <v>0</v>
      </c>
      <c r="M416" s="190">
        <v>1200000</v>
      </c>
      <c r="N416" s="190">
        <v>0</v>
      </c>
      <c r="O416" s="190">
        <v>0</v>
      </c>
      <c r="P416" s="190">
        <v>0</v>
      </c>
      <c r="Q416" s="190">
        <v>0</v>
      </c>
      <c r="R416" s="190">
        <v>0</v>
      </c>
      <c r="S416" s="190">
        <v>0</v>
      </c>
      <c r="T416" s="190">
        <v>0</v>
      </c>
      <c r="U416" s="190">
        <v>0</v>
      </c>
      <c r="V416" s="190">
        <v>0</v>
      </c>
      <c r="W416" s="190">
        <v>0</v>
      </c>
      <c r="X416" s="190">
        <v>0</v>
      </c>
      <c r="Y416" s="190">
        <v>0</v>
      </c>
      <c r="Z416" s="190">
        <v>0</v>
      </c>
      <c r="AA416" s="190">
        <v>0</v>
      </c>
      <c r="AB416" s="190">
        <v>0</v>
      </c>
      <c r="AC416" s="190">
        <v>0</v>
      </c>
      <c r="AD416" s="190">
        <v>0</v>
      </c>
      <c r="AE416" s="190">
        <v>0</v>
      </c>
      <c r="AF416" s="190">
        <v>0</v>
      </c>
      <c r="AG416" s="190">
        <v>0</v>
      </c>
      <c r="AH416" s="190">
        <v>0</v>
      </c>
      <c r="AI416" s="190">
        <v>0</v>
      </c>
      <c r="AJ416" s="190">
        <v>0</v>
      </c>
      <c r="AK416" s="190">
        <v>0</v>
      </c>
      <c r="AL416" s="190">
        <v>0</v>
      </c>
    </row>
    <row r="417" spans="2:38" ht="12.75" customHeight="1">
      <c r="B417" s="507" t="s">
        <v>115</v>
      </c>
      <c r="C417" s="6" t="s">
        <v>984</v>
      </c>
      <c r="D417" s="12" t="s">
        <v>985</v>
      </c>
      <c r="E417" s="12" t="s">
        <v>996</v>
      </c>
      <c r="F417" s="6">
        <v>0</v>
      </c>
      <c r="G417" s="6">
        <v>0</v>
      </c>
      <c r="H417" s="6" t="s">
        <v>997</v>
      </c>
      <c r="I417" s="190">
        <v>0</v>
      </c>
      <c r="J417" s="190">
        <v>0</v>
      </c>
      <c r="K417" s="190">
        <v>1830227.9370406021</v>
      </c>
      <c r="L417" s="190">
        <v>2803654.7250245307</v>
      </c>
      <c r="M417" s="190">
        <v>2803654.7250245307</v>
      </c>
      <c r="N417" s="190">
        <v>2803654.7250245307</v>
      </c>
      <c r="O417" s="190">
        <v>2803654.7250245307</v>
      </c>
      <c r="P417" s="190">
        <v>973426.78798392857</v>
      </c>
      <c r="Q417" s="190">
        <v>973426.78798392857</v>
      </c>
      <c r="R417" s="190">
        <v>973426.78798392857</v>
      </c>
      <c r="S417" s="190">
        <v>0</v>
      </c>
      <c r="T417" s="190">
        <v>0</v>
      </c>
      <c r="U417" s="190">
        <v>0</v>
      </c>
      <c r="V417" s="190">
        <v>0</v>
      </c>
      <c r="W417" s="190">
        <v>0</v>
      </c>
      <c r="X417" s="190">
        <v>0</v>
      </c>
      <c r="Y417" s="190">
        <v>0</v>
      </c>
      <c r="Z417" s="190">
        <v>0</v>
      </c>
      <c r="AA417" s="190">
        <v>0</v>
      </c>
      <c r="AB417" s="190">
        <v>0</v>
      </c>
      <c r="AC417" s="190">
        <v>0</v>
      </c>
      <c r="AD417" s="190">
        <v>0</v>
      </c>
      <c r="AE417" s="190">
        <v>0</v>
      </c>
      <c r="AF417" s="190">
        <v>0</v>
      </c>
      <c r="AG417" s="190">
        <v>0</v>
      </c>
      <c r="AH417" s="190">
        <v>0</v>
      </c>
      <c r="AI417" s="190">
        <v>0</v>
      </c>
      <c r="AJ417" s="190">
        <v>0</v>
      </c>
      <c r="AK417" s="190">
        <v>0</v>
      </c>
      <c r="AL417" s="190">
        <v>0</v>
      </c>
    </row>
    <row r="418" spans="2:38" ht="12.75" customHeight="1">
      <c r="B418" s="507" t="s">
        <v>115</v>
      </c>
      <c r="C418" s="6" t="s">
        <v>984</v>
      </c>
      <c r="D418" s="12" t="s">
        <v>985</v>
      </c>
      <c r="E418" s="12" t="s">
        <v>998</v>
      </c>
      <c r="F418" s="6">
        <v>0</v>
      </c>
      <c r="G418" s="6">
        <v>0</v>
      </c>
      <c r="H418" s="6" t="s">
        <v>999</v>
      </c>
      <c r="I418" s="190">
        <v>0</v>
      </c>
      <c r="J418" s="190">
        <v>3580238.9889180008</v>
      </c>
      <c r="K418" s="190">
        <v>7330339.7439360013</v>
      </c>
      <c r="L418" s="190">
        <v>29521015.383696001</v>
      </c>
      <c r="M418" s="190">
        <v>0</v>
      </c>
      <c r="N418" s="190">
        <v>0</v>
      </c>
      <c r="O418" s="190">
        <v>0</v>
      </c>
      <c r="P418" s="190">
        <v>0</v>
      </c>
      <c r="Q418" s="190">
        <v>0</v>
      </c>
      <c r="R418" s="190">
        <v>0</v>
      </c>
      <c r="S418" s="190">
        <v>0</v>
      </c>
      <c r="T418" s="190">
        <v>0</v>
      </c>
      <c r="U418" s="190">
        <v>0</v>
      </c>
      <c r="V418" s="190">
        <v>0</v>
      </c>
      <c r="W418" s="190">
        <v>0</v>
      </c>
      <c r="X418" s="190">
        <v>0</v>
      </c>
      <c r="Y418" s="190">
        <v>0</v>
      </c>
      <c r="Z418" s="190">
        <v>0</v>
      </c>
      <c r="AA418" s="190">
        <v>0</v>
      </c>
      <c r="AB418" s="190">
        <v>0</v>
      </c>
      <c r="AC418" s="190">
        <v>0</v>
      </c>
      <c r="AD418" s="190">
        <v>0</v>
      </c>
      <c r="AE418" s="190">
        <v>0</v>
      </c>
      <c r="AF418" s="190">
        <v>0</v>
      </c>
      <c r="AG418" s="190">
        <v>0</v>
      </c>
      <c r="AH418" s="190">
        <v>0</v>
      </c>
      <c r="AI418" s="190">
        <v>0</v>
      </c>
      <c r="AJ418" s="190">
        <v>0</v>
      </c>
      <c r="AK418" s="190">
        <v>0</v>
      </c>
      <c r="AL418" s="190">
        <v>0</v>
      </c>
    </row>
    <row r="419" spans="2:38" ht="12.75" customHeight="1">
      <c r="B419" s="507" t="s">
        <v>115</v>
      </c>
      <c r="C419" s="6" t="s">
        <v>984</v>
      </c>
      <c r="D419" s="12" t="s">
        <v>985</v>
      </c>
      <c r="E419" s="12" t="s">
        <v>1000</v>
      </c>
      <c r="F419" s="6">
        <v>0</v>
      </c>
      <c r="G419" s="6">
        <v>1</v>
      </c>
      <c r="H419" s="6" t="s">
        <v>1001</v>
      </c>
      <c r="I419" s="190">
        <v>1834628.9860248594</v>
      </c>
      <c r="J419" s="190">
        <v>133460.67002756009</v>
      </c>
      <c r="K419" s="190">
        <v>133460.67002756009</v>
      </c>
      <c r="L419" s="190">
        <v>133460.67002756009</v>
      </c>
      <c r="M419" s="190">
        <v>263304.37115523207</v>
      </c>
      <c r="N419" s="190">
        <v>610083.61757301819</v>
      </c>
      <c r="O419" s="190">
        <v>133460.67002756009</v>
      </c>
      <c r="P419" s="190">
        <v>83531.347467730637</v>
      </c>
      <c r="Q419" s="190">
        <v>213375.04859540262</v>
      </c>
      <c r="R419" s="190">
        <v>83531.347467730637</v>
      </c>
      <c r="S419" s="190">
        <v>560154.29501318873</v>
      </c>
      <c r="T419" s="190">
        <v>83531.347467730637</v>
      </c>
      <c r="U419" s="190">
        <v>213375.04859540262</v>
      </c>
      <c r="V419" s="190">
        <v>83531.347467730637</v>
      </c>
      <c r="W419" s="190">
        <v>83531.347467730637</v>
      </c>
      <c r="X419" s="190">
        <v>560154.29501318873</v>
      </c>
      <c r="Y419" s="190">
        <v>213375.04859540262</v>
      </c>
      <c r="Z419" s="190">
        <v>83531.347467730637</v>
      </c>
      <c r="AA419" s="190">
        <v>83531.347467730637</v>
      </c>
      <c r="AB419" s="190">
        <v>83531.347467730637</v>
      </c>
      <c r="AC419" s="190">
        <v>689997.99614086084</v>
      </c>
      <c r="AD419" s="190">
        <v>83531.347467730637</v>
      </c>
      <c r="AE419" s="190">
        <v>83531.347467730637</v>
      </c>
      <c r="AF419" s="190">
        <v>83531.347467730637</v>
      </c>
      <c r="AG419" s="190">
        <v>213375.04859540262</v>
      </c>
      <c r="AH419" s="190">
        <v>560154.29501318873</v>
      </c>
      <c r="AI419" s="190">
        <v>83531.347467730637</v>
      </c>
      <c r="AJ419" s="190">
        <v>83531.347467730637</v>
      </c>
      <c r="AK419" s="190">
        <v>213375.04859540262</v>
      </c>
      <c r="AL419" s="190">
        <v>83531.347467730637</v>
      </c>
    </row>
    <row r="420" spans="2:38" ht="12.75" customHeight="1">
      <c r="B420" s="6"/>
      <c r="C420" s="6"/>
      <c r="D420" s="12"/>
      <c r="E420" s="12"/>
      <c r="F420" s="12"/>
      <c r="G420" s="12"/>
      <c r="H420" s="20"/>
      <c r="I420" s="187"/>
      <c r="J420" s="187"/>
      <c r="K420" s="187"/>
      <c r="L420" s="187"/>
      <c r="M420" s="187"/>
      <c r="N420" s="187"/>
      <c r="O420" s="187"/>
      <c r="P420" s="187"/>
      <c r="Q420" s="187"/>
      <c r="R420" s="187"/>
      <c r="S420" s="187"/>
      <c r="T420" s="187"/>
      <c r="U420" s="187"/>
      <c r="V420" s="187"/>
      <c r="W420" s="187"/>
      <c r="X420" s="187"/>
      <c r="Y420" s="187"/>
      <c r="Z420" s="187"/>
      <c r="AA420" s="187"/>
      <c r="AB420" s="187"/>
      <c r="AC420" s="187"/>
      <c r="AD420" s="187"/>
      <c r="AE420" s="187"/>
      <c r="AF420" s="187"/>
      <c r="AG420" s="187"/>
      <c r="AH420" s="187"/>
      <c r="AI420" s="187"/>
      <c r="AJ420" s="187"/>
      <c r="AK420" s="187"/>
      <c r="AL420" s="187"/>
    </row>
    <row r="421" spans="2:38" ht="12.75" customHeight="1">
      <c r="B421" s="6"/>
      <c r="C421" s="6"/>
      <c r="D421" s="12"/>
      <c r="E421" s="12"/>
      <c r="F421" s="12"/>
      <c r="G421" s="6"/>
      <c r="H421" s="6"/>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c r="AK421" s="190"/>
      <c r="AL421" s="190"/>
    </row>
    <row r="422" spans="2:38" ht="12.75" customHeight="1">
      <c r="B422" s="6"/>
      <c r="C422" s="6"/>
      <c r="D422" s="12"/>
      <c r="E422" s="12"/>
      <c r="F422" s="12"/>
      <c r="G422" s="12"/>
      <c r="H422" s="6"/>
      <c r="I422" s="7"/>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row>
    <row r="423" spans="2:38" ht="12.75" customHeight="1">
      <c r="B423" s="6"/>
      <c r="C423" s="6"/>
      <c r="D423" s="12"/>
      <c r="E423" s="12"/>
      <c r="F423" s="12"/>
      <c r="G423" s="12"/>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row>
    <row r="424" spans="2:38" ht="12.75" customHeight="1">
      <c r="B424" s="6"/>
      <c r="C424" s="6"/>
      <c r="D424" s="12"/>
      <c r="E424" s="12"/>
      <c r="F424" s="12"/>
      <c r="G424" s="12"/>
      <c r="H424" s="6"/>
      <c r="I424" s="7"/>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row>
    <row r="425" spans="2:38" ht="12.75" customHeight="1">
      <c r="B425" s="6"/>
      <c r="C425" s="6"/>
      <c r="D425" s="12"/>
      <c r="E425" s="12"/>
      <c r="F425" s="12"/>
      <c r="G425" s="12"/>
      <c r="H425" s="6"/>
      <c r="I425" s="190"/>
      <c r="J425" s="190"/>
      <c r="K425" s="190"/>
      <c r="L425" s="190"/>
      <c r="M425" s="190"/>
      <c r="N425" s="190"/>
      <c r="O425" s="190"/>
      <c r="P425" s="190"/>
      <c r="Q425" s="190"/>
      <c r="R425" s="190"/>
      <c r="S425" s="190"/>
      <c r="T425" s="190"/>
      <c r="U425" s="190"/>
      <c r="V425" s="190"/>
      <c r="W425" s="190"/>
      <c r="X425" s="190"/>
      <c r="Y425" s="190"/>
      <c r="Z425" s="190"/>
      <c r="AA425" s="190"/>
      <c r="AB425" s="190"/>
      <c r="AC425" s="190"/>
      <c r="AD425" s="190"/>
      <c r="AE425" s="190"/>
      <c r="AF425" s="190"/>
      <c r="AG425" s="190"/>
      <c r="AH425" s="190"/>
      <c r="AI425" s="190"/>
      <c r="AJ425" s="190"/>
      <c r="AK425" s="190"/>
      <c r="AL425" s="190"/>
    </row>
    <row r="426" spans="2:38" ht="12.75" customHeight="1">
      <c r="B426" s="6"/>
      <c r="C426" s="6"/>
      <c r="D426" s="12"/>
      <c r="E426" s="12"/>
      <c r="F426" s="12"/>
      <c r="G426" s="12"/>
      <c r="H426" s="6"/>
      <c r="I426" s="190"/>
      <c r="J426" s="190"/>
      <c r="K426" s="190"/>
      <c r="L426" s="190"/>
      <c r="M426" s="190"/>
      <c r="N426" s="190"/>
      <c r="O426" s="190"/>
      <c r="P426" s="190"/>
      <c r="Q426" s="190"/>
      <c r="R426" s="190"/>
      <c r="S426" s="190"/>
      <c r="T426" s="190"/>
      <c r="U426" s="190"/>
      <c r="V426" s="190"/>
      <c r="W426" s="190"/>
      <c r="X426" s="190"/>
      <c r="Y426" s="190"/>
      <c r="Z426" s="190"/>
      <c r="AA426" s="190"/>
      <c r="AB426" s="190"/>
      <c r="AC426" s="190"/>
      <c r="AD426" s="190"/>
      <c r="AE426" s="190"/>
      <c r="AF426" s="190"/>
      <c r="AG426" s="190"/>
      <c r="AH426" s="190"/>
      <c r="AI426" s="190"/>
      <c r="AJ426" s="190"/>
      <c r="AK426" s="190"/>
      <c r="AL426" s="190"/>
    </row>
    <row r="427" spans="2:38" ht="12.75" customHeight="1">
      <c r="B427" s="6"/>
      <c r="C427" s="6"/>
      <c r="D427" s="12"/>
      <c r="E427" s="12"/>
      <c r="F427" s="12"/>
      <c r="G427" s="12"/>
      <c r="H427" s="6"/>
      <c r="I427" s="190"/>
      <c r="J427" s="190"/>
      <c r="K427" s="190"/>
      <c r="L427" s="190"/>
      <c r="M427" s="190"/>
      <c r="N427" s="190"/>
      <c r="O427" s="190"/>
      <c r="P427" s="190"/>
      <c r="Q427" s="190"/>
      <c r="R427" s="190"/>
      <c r="S427" s="190"/>
      <c r="T427" s="190"/>
      <c r="U427" s="190"/>
      <c r="V427" s="190"/>
      <c r="W427" s="190"/>
      <c r="X427" s="190"/>
      <c r="Y427" s="190"/>
      <c r="Z427" s="190"/>
      <c r="AA427" s="190"/>
      <c r="AB427" s="190"/>
      <c r="AC427" s="190"/>
      <c r="AD427" s="190"/>
      <c r="AE427" s="190"/>
      <c r="AF427" s="190"/>
      <c r="AG427" s="190"/>
      <c r="AH427" s="190"/>
      <c r="AI427" s="190"/>
      <c r="AJ427" s="190"/>
      <c r="AK427" s="190"/>
      <c r="AL427" s="190"/>
    </row>
    <row r="428" spans="2:38" ht="12.75" customHeight="1">
      <c r="B428" s="6"/>
      <c r="C428" s="6"/>
      <c r="D428" s="12"/>
      <c r="E428" s="12"/>
      <c r="F428" s="12"/>
      <c r="G428" s="12"/>
      <c r="H428" s="6"/>
      <c r="I428" s="190"/>
      <c r="J428" s="190"/>
      <c r="K428" s="190"/>
      <c r="L428" s="190"/>
      <c r="M428" s="190"/>
      <c r="N428" s="190"/>
      <c r="O428" s="190"/>
      <c r="P428" s="190"/>
      <c r="Q428" s="190"/>
      <c r="R428" s="190"/>
      <c r="S428" s="190"/>
      <c r="T428" s="190"/>
      <c r="U428" s="190"/>
      <c r="V428" s="190"/>
      <c r="W428" s="190"/>
      <c r="X428" s="190"/>
      <c r="Y428" s="190"/>
      <c r="Z428" s="190"/>
      <c r="AA428" s="190"/>
      <c r="AB428" s="190"/>
      <c r="AC428" s="190"/>
      <c r="AD428" s="190"/>
      <c r="AE428" s="190"/>
      <c r="AF428" s="190"/>
      <c r="AG428" s="190"/>
      <c r="AH428" s="190"/>
      <c r="AI428" s="190"/>
      <c r="AJ428" s="190"/>
      <c r="AK428" s="190"/>
      <c r="AL428" s="190"/>
    </row>
    <row r="429" spans="2:38" ht="12.75" customHeight="1">
      <c r="B429" s="6"/>
      <c r="C429" s="6"/>
      <c r="D429" s="12"/>
      <c r="E429" s="12"/>
      <c r="F429" s="12"/>
      <c r="G429" s="12"/>
      <c r="H429" s="6"/>
      <c r="I429" s="190"/>
      <c r="J429" s="190"/>
      <c r="K429" s="190"/>
      <c r="L429" s="190"/>
      <c r="M429" s="190"/>
      <c r="N429" s="190"/>
      <c r="O429" s="190"/>
      <c r="P429" s="190"/>
      <c r="Q429" s="190"/>
      <c r="R429" s="190"/>
      <c r="S429" s="190"/>
      <c r="T429" s="190"/>
      <c r="U429" s="190"/>
      <c r="V429" s="190"/>
      <c r="W429" s="190"/>
      <c r="X429" s="190"/>
      <c r="Y429" s="190"/>
      <c r="Z429" s="190"/>
      <c r="AA429" s="190"/>
      <c r="AB429" s="190"/>
      <c r="AC429" s="190"/>
      <c r="AD429" s="190"/>
      <c r="AE429" s="190"/>
      <c r="AF429" s="190"/>
      <c r="AG429" s="190"/>
      <c r="AH429" s="190"/>
      <c r="AI429" s="190"/>
      <c r="AJ429" s="190"/>
      <c r="AK429" s="190"/>
      <c r="AL429" s="190"/>
    </row>
    <row r="430" spans="2:38" ht="12.75" customHeight="1">
      <c r="B430" s="6"/>
      <c r="C430" s="6"/>
      <c r="D430" s="12"/>
      <c r="E430" s="12"/>
      <c r="F430" s="12"/>
      <c r="G430" s="12"/>
      <c r="H430" s="6"/>
      <c r="I430" s="190"/>
      <c r="J430" s="190"/>
      <c r="K430" s="190"/>
      <c r="L430" s="190"/>
      <c r="M430" s="190"/>
      <c r="N430" s="190"/>
      <c r="O430" s="190"/>
      <c r="P430" s="190"/>
      <c r="Q430" s="190"/>
      <c r="R430" s="190"/>
      <c r="S430" s="190"/>
      <c r="T430" s="190"/>
      <c r="U430" s="190"/>
      <c r="V430" s="190"/>
      <c r="W430" s="190"/>
      <c r="X430" s="190"/>
      <c r="Y430" s="190"/>
      <c r="Z430" s="190"/>
      <c r="AA430" s="190"/>
      <c r="AB430" s="190"/>
      <c r="AC430" s="190"/>
      <c r="AD430" s="190"/>
      <c r="AE430" s="190"/>
      <c r="AF430" s="190"/>
      <c r="AG430" s="190"/>
      <c r="AH430" s="190"/>
      <c r="AI430" s="190"/>
      <c r="AJ430" s="190"/>
      <c r="AK430" s="190"/>
      <c r="AL430" s="190"/>
    </row>
    <row r="431" spans="2:38" ht="12.75" customHeight="1">
      <c r="B431" s="6"/>
      <c r="C431" s="6"/>
      <c r="D431" s="12"/>
      <c r="E431" s="12"/>
      <c r="F431" s="12"/>
      <c r="G431" s="12"/>
      <c r="H431" s="6"/>
      <c r="I431" s="190"/>
      <c r="J431" s="190"/>
      <c r="K431" s="190"/>
      <c r="L431" s="190"/>
      <c r="M431" s="190"/>
      <c r="N431" s="190"/>
      <c r="O431" s="190"/>
      <c r="P431" s="190"/>
      <c r="Q431" s="190"/>
      <c r="R431" s="190"/>
      <c r="S431" s="190"/>
      <c r="T431" s="190"/>
      <c r="U431" s="190"/>
      <c r="V431" s="190"/>
      <c r="W431" s="190"/>
      <c r="X431" s="190"/>
      <c r="Y431" s="190"/>
      <c r="Z431" s="190"/>
      <c r="AA431" s="190"/>
      <c r="AB431" s="190"/>
      <c r="AC431" s="190"/>
      <c r="AD431" s="190"/>
      <c r="AE431" s="190"/>
      <c r="AF431" s="190"/>
      <c r="AG431" s="190"/>
      <c r="AH431" s="190"/>
      <c r="AI431" s="190"/>
      <c r="AJ431" s="190"/>
      <c r="AK431" s="190"/>
      <c r="AL431" s="190"/>
    </row>
    <row r="432" spans="2:38" ht="12.75" customHeight="1">
      <c r="B432" s="6"/>
      <c r="C432" s="6"/>
      <c r="D432" s="12"/>
      <c r="E432" s="12"/>
      <c r="F432" s="12"/>
      <c r="G432" s="12"/>
      <c r="H432" s="6"/>
      <c r="I432" s="190"/>
      <c r="J432" s="190"/>
      <c r="K432" s="190"/>
      <c r="L432" s="190"/>
      <c r="M432" s="190"/>
      <c r="N432" s="190"/>
      <c r="O432" s="190"/>
      <c r="P432" s="190"/>
      <c r="Q432" s="190"/>
      <c r="R432" s="190"/>
      <c r="S432" s="190"/>
      <c r="T432" s="190"/>
      <c r="U432" s="190"/>
      <c r="V432" s="190"/>
      <c r="W432" s="190"/>
      <c r="X432" s="190"/>
      <c r="Y432" s="190"/>
      <c r="Z432" s="190"/>
      <c r="AA432" s="190"/>
      <c r="AB432" s="190"/>
      <c r="AC432" s="190"/>
      <c r="AD432" s="190"/>
      <c r="AE432" s="190"/>
      <c r="AF432" s="190"/>
      <c r="AG432" s="190"/>
      <c r="AH432" s="190"/>
      <c r="AI432" s="190"/>
      <c r="AJ432" s="190"/>
      <c r="AK432" s="190"/>
      <c r="AL432" s="190"/>
    </row>
    <row r="433" spans="2:38" ht="12.75" customHeight="1">
      <c r="B433" s="6"/>
      <c r="C433" s="6"/>
      <c r="D433" s="12"/>
      <c r="E433" s="12"/>
      <c r="F433" s="12"/>
      <c r="G433" s="12"/>
      <c r="H433" s="6"/>
      <c r="I433" s="190"/>
      <c r="J433" s="190"/>
      <c r="K433" s="190"/>
      <c r="L433" s="190"/>
      <c r="M433" s="190"/>
      <c r="N433" s="190"/>
      <c r="O433" s="190"/>
      <c r="P433" s="190"/>
      <c r="Q433" s="190"/>
      <c r="R433" s="190"/>
      <c r="S433" s="190"/>
      <c r="T433" s="190"/>
      <c r="U433" s="190"/>
      <c r="V433" s="190"/>
      <c r="W433" s="190"/>
      <c r="X433" s="190"/>
      <c r="Y433" s="190"/>
      <c r="Z433" s="190"/>
      <c r="AA433" s="190"/>
      <c r="AB433" s="190"/>
      <c r="AC433" s="190"/>
      <c r="AD433" s="190"/>
      <c r="AE433" s="190"/>
      <c r="AF433" s="190"/>
      <c r="AG433" s="190"/>
      <c r="AH433" s="190"/>
      <c r="AI433" s="190"/>
      <c r="AJ433" s="190"/>
      <c r="AK433" s="190"/>
      <c r="AL433" s="190"/>
    </row>
    <row r="434" spans="2:38" ht="12.75" customHeight="1">
      <c r="B434" s="6"/>
      <c r="C434" s="6"/>
      <c r="D434" s="12"/>
      <c r="E434" s="12"/>
      <c r="F434" s="12"/>
      <c r="G434" s="12"/>
      <c r="H434" s="6"/>
      <c r="I434" s="190"/>
      <c r="J434" s="190"/>
      <c r="K434" s="190"/>
      <c r="L434" s="190"/>
      <c r="M434" s="190"/>
      <c r="N434" s="190"/>
      <c r="O434" s="190"/>
      <c r="P434" s="190"/>
      <c r="Q434" s="190"/>
      <c r="R434" s="190"/>
      <c r="S434" s="190"/>
      <c r="T434" s="190"/>
      <c r="U434" s="190"/>
      <c r="V434" s="190"/>
      <c r="W434" s="190"/>
      <c r="X434" s="190"/>
      <c r="Y434" s="190"/>
      <c r="Z434" s="190"/>
      <c r="AA434" s="190"/>
      <c r="AB434" s="190"/>
      <c r="AC434" s="190"/>
      <c r="AD434" s="190"/>
      <c r="AE434" s="190"/>
      <c r="AF434" s="190"/>
      <c r="AG434" s="190"/>
      <c r="AH434" s="190"/>
      <c r="AI434" s="190"/>
      <c r="AJ434" s="190"/>
      <c r="AK434" s="190"/>
      <c r="AL434" s="190"/>
    </row>
    <row r="435" spans="2:38" ht="12.75" customHeight="1">
      <c r="B435" s="6"/>
      <c r="C435" s="6"/>
      <c r="D435" s="12"/>
      <c r="E435" s="12"/>
      <c r="F435" s="12"/>
      <c r="G435" s="12"/>
      <c r="H435" s="6"/>
      <c r="I435" s="190"/>
      <c r="J435" s="190"/>
      <c r="K435" s="190"/>
      <c r="L435" s="190"/>
      <c r="M435" s="190"/>
      <c r="N435" s="190"/>
      <c r="O435" s="190"/>
      <c r="P435" s="190"/>
      <c r="Q435" s="190"/>
      <c r="R435" s="190"/>
      <c r="S435" s="190"/>
      <c r="T435" s="190"/>
      <c r="U435" s="190"/>
      <c r="V435" s="190"/>
      <c r="W435" s="190"/>
      <c r="X435" s="190"/>
      <c r="Y435" s="190"/>
      <c r="Z435" s="190"/>
      <c r="AA435" s="190"/>
      <c r="AB435" s="190"/>
      <c r="AC435" s="190"/>
      <c r="AD435" s="190"/>
      <c r="AE435" s="190"/>
      <c r="AF435" s="190"/>
      <c r="AG435" s="190"/>
      <c r="AH435" s="190"/>
      <c r="AI435" s="190"/>
      <c r="AJ435" s="190"/>
      <c r="AK435" s="190"/>
      <c r="AL435" s="190"/>
    </row>
    <row r="436" spans="2:38" ht="12.75" customHeight="1">
      <c r="B436" s="6"/>
      <c r="C436" s="6"/>
      <c r="D436" s="12"/>
      <c r="E436" s="12"/>
      <c r="F436" s="12"/>
      <c r="G436" s="12"/>
      <c r="H436" s="6"/>
      <c r="I436" s="190"/>
      <c r="J436" s="190"/>
      <c r="K436" s="190"/>
      <c r="L436" s="190"/>
      <c r="M436" s="190"/>
      <c r="N436" s="190"/>
      <c r="O436" s="190"/>
      <c r="P436" s="190"/>
      <c r="Q436" s="190"/>
      <c r="R436" s="190"/>
      <c r="S436" s="190"/>
      <c r="T436" s="190"/>
      <c r="U436" s="190"/>
      <c r="V436" s="190"/>
      <c r="W436" s="190"/>
      <c r="X436" s="190"/>
      <c r="Y436" s="190"/>
      <c r="Z436" s="190"/>
      <c r="AA436" s="190"/>
      <c r="AB436" s="190"/>
      <c r="AC436" s="190"/>
      <c r="AD436" s="190"/>
      <c r="AE436" s="190"/>
      <c r="AF436" s="190"/>
      <c r="AG436" s="190"/>
      <c r="AH436" s="190"/>
      <c r="AI436" s="190"/>
      <c r="AJ436" s="190"/>
      <c r="AK436" s="190"/>
      <c r="AL436" s="190"/>
    </row>
    <row r="437" spans="2:38" ht="12.75" customHeight="1">
      <c r="B437" s="6"/>
      <c r="C437" s="6"/>
      <c r="D437" s="12"/>
      <c r="E437" s="12"/>
      <c r="F437" s="12"/>
      <c r="G437" s="12"/>
      <c r="H437" s="6"/>
      <c r="I437" s="190"/>
      <c r="J437" s="190"/>
      <c r="K437" s="190"/>
      <c r="L437" s="190"/>
      <c r="M437" s="190"/>
      <c r="N437" s="190"/>
      <c r="O437" s="190"/>
      <c r="P437" s="190"/>
      <c r="Q437" s="190"/>
      <c r="R437" s="190"/>
      <c r="S437" s="190"/>
      <c r="T437" s="190"/>
      <c r="U437" s="190"/>
      <c r="V437" s="190"/>
      <c r="W437" s="190"/>
      <c r="X437" s="190"/>
      <c r="Y437" s="190"/>
      <c r="Z437" s="190"/>
      <c r="AA437" s="190"/>
      <c r="AB437" s="190"/>
      <c r="AC437" s="190"/>
      <c r="AD437" s="190"/>
      <c r="AE437" s="190"/>
      <c r="AF437" s="190"/>
      <c r="AG437" s="190"/>
      <c r="AH437" s="190"/>
      <c r="AI437" s="190"/>
      <c r="AJ437" s="190"/>
      <c r="AK437" s="190"/>
      <c r="AL437" s="190"/>
    </row>
    <row r="438" spans="2:38" ht="12.75" customHeight="1">
      <c r="B438" s="6"/>
      <c r="C438" s="6"/>
      <c r="D438" s="12"/>
      <c r="E438" s="12"/>
      <c r="F438" s="12"/>
      <c r="G438" s="12"/>
      <c r="H438" s="6"/>
      <c r="I438" s="190"/>
      <c r="J438" s="190"/>
      <c r="K438" s="190"/>
      <c r="L438" s="190"/>
      <c r="M438" s="190"/>
      <c r="N438" s="190"/>
      <c r="O438" s="190"/>
      <c r="P438" s="190"/>
      <c r="Q438" s="190"/>
      <c r="R438" s="190"/>
      <c r="S438" s="190"/>
      <c r="T438" s="190"/>
      <c r="U438" s="190"/>
      <c r="V438" s="190"/>
      <c r="W438" s="190"/>
      <c r="X438" s="190"/>
      <c r="Y438" s="190"/>
      <c r="Z438" s="190"/>
      <c r="AA438" s="190"/>
      <c r="AB438" s="190"/>
      <c r="AC438" s="190"/>
      <c r="AD438" s="190"/>
      <c r="AE438" s="190"/>
      <c r="AF438" s="190"/>
      <c r="AG438" s="190"/>
      <c r="AH438" s="190"/>
      <c r="AI438" s="190"/>
      <c r="AJ438" s="190"/>
      <c r="AK438" s="190"/>
      <c r="AL438" s="190"/>
    </row>
    <row r="439" spans="2:38" ht="12.75" customHeight="1">
      <c r="B439" s="6"/>
      <c r="C439" s="6"/>
      <c r="D439" s="12"/>
      <c r="E439" s="12"/>
      <c r="F439" s="12"/>
      <c r="G439" s="12"/>
      <c r="H439" s="6"/>
      <c r="I439" s="190"/>
      <c r="J439" s="190"/>
      <c r="K439" s="190"/>
      <c r="L439" s="190"/>
      <c r="M439" s="190"/>
      <c r="N439" s="190"/>
      <c r="O439" s="190"/>
      <c r="P439" s="190"/>
      <c r="Q439" s="190"/>
      <c r="R439" s="190"/>
      <c r="S439" s="190"/>
      <c r="T439" s="190"/>
      <c r="U439" s="190"/>
      <c r="V439" s="190"/>
      <c r="W439" s="190"/>
      <c r="X439" s="190"/>
      <c r="Y439" s="190"/>
      <c r="Z439" s="190"/>
      <c r="AA439" s="190"/>
      <c r="AB439" s="190"/>
      <c r="AC439" s="190"/>
      <c r="AD439" s="190"/>
      <c r="AE439" s="190"/>
      <c r="AF439" s="190"/>
      <c r="AG439" s="190"/>
      <c r="AH439" s="190"/>
      <c r="AI439" s="190"/>
      <c r="AJ439" s="190"/>
      <c r="AK439" s="190"/>
      <c r="AL439" s="190"/>
    </row>
    <row r="440" spans="2:38" ht="12.75" customHeight="1">
      <c r="B440" s="6"/>
      <c r="C440" s="6"/>
      <c r="D440" s="12"/>
      <c r="E440" s="12"/>
      <c r="F440" s="12"/>
      <c r="G440" s="12"/>
      <c r="H440" s="6"/>
      <c r="I440" s="190"/>
      <c r="J440" s="190"/>
      <c r="K440" s="190"/>
      <c r="L440" s="190"/>
      <c r="M440" s="190"/>
      <c r="N440" s="190"/>
      <c r="O440" s="190"/>
      <c r="P440" s="190"/>
      <c r="Q440" s="190"/>
      <c r="R440" s="190"/>
      <c r="S440" s="190"/>
      <c r="T440" s="190"/>
      <c r="U440" s="190"/>
      <c r="V440" s="190"/>
      <c r="W440" s="190"/>
      <c r="X440" s="190"/>
      <c r="Y440" s="190"/>
      <c r="Z440" s="190"/>
      <c r="AA440" s="190"/>
      <c r="AB440" s="190"/>
      <c r="AC440" s="190"/>
      <c r="AD440" s="190"/>
      <c r="AE440" s="190"/>
      <c r="AF440" s="190"/>
      <c r="AG440" s="190"/>
      <c r="AH440" s="190"/>
      <c r="AI440" s="190"/>
      <c r="AJ440" s="190"/>
      <c r="AK440" s="190"/>
      <c r="AL440" s="190"/>
    </row>
    <row r="441" spans="2:38" ht="12.75" customHeight="1">
      <c r="B441" s="6"/>
      <c r="C441" s="6"/>
      <c r="D441" s="12"/>
      <c r="E441" s="12"/>
      <c r="F441" s="12"/>
      <c r="G441" s="12"/>
      <c r="H441" s="6"/>
      <c r="I441" s="190"/>
      <c r="J441" s="190"/>
      <c r="K441" s="190"/>
      <c r="L441" s="190"/>
      <c r="M441" s="190"/>
      <c r="N441" s="190"/>
      <c r="O441" s="190"/>
      <c r="P441" s="190"/>
      <c r="Q441" s="190"/>
      <c r="R441" s="190"/>
      <c r="S441" s="190"/>
      <c r="T441" s="190"/>
      <c r="U441" s="190"/>
      <c r="V441" s="190"/>
      <c r="W441" s="190"/>
      <c r="X441" s="190"/>
      <c r="Y441" s="190"/>
      <c r="Z441" s="190"/>
      <c r="AA441" s="190"/>
      <c r="AB441" s="190"/>
      <c r="AC441" s="190"/>
      <c r="AD441" s="190"/>
      <c r="AE441" s="190"/>
      <c r="AF441" s="190"/>
      <c r="AG441" s="190"/>
      <c r="AH441" s="190"/>
      <c r="AI441" s="190"/>
      <c r="AJ441" s="190"/>
      <c r="AK441" s="190"/>
      <c r="AL441" s="190"/>
    </row>
    <row r="442" spans="2:38" ht="12.75" customHeight="1">
      <c r="B442" s="6"/>
      <c r="C442" s="6"/>
      <c r="D442" s="12"/>
      <c r="E442" s="12"/>
      <c r="F442" s="12"/>
      <c r="G442" s="12"/>
      <c r="H442" s="6"/>
      <c r="I442" s="190"/>
      <c r="J442" s="190"/>
      <c r="K442" s="190"/>
      <c r="L442" s="190"/>
      <c r="M442" s="190"/>
      <c r="N442" s="190"/>
      <c r="O442" s="190"/>
      <c r="P442" s="190"/>
      <c r="Q442" s="190"/>
      <c r="R442" s="190"/>
      <c r="S442" s="190"/>
      <c r="T442" s="190"/>
      <c r="U442" s="190"/>
      <c r="V442" s="190"/>
      <c r="W442" s="190"/>
      <c r="X442" s="190"/>
      <c r="Y442" s="190"/>
      <c r="Z442" s="190"/>
      <c r="AA442" s="190"/>
      <c r="AB442" s="190"/>
      <c r="AC442" s="190"/>
      <c r="AD442" s="190"/>
      <c r="AE442" s="190"/>
      <c r="AF442" s="190"/>
      <c r="AG442" s="190"/>
      <c r="AH442" s="190"/>
      <c r="AI442" s="190"/>
      <c r="AJ442" s="190"/>
      <c r="AK442" s="190"/>
      <c r="AL442" s="190"/>
    </row>
    <row r="443" spans="2:38" ht="12.75" customHeight="1">
      <c r="B443" s="6"/>
      <c r="C443" s="6"/>
      <c r="D443" s="12"/>
      <c r="E443" s="12"/>
      <c r="F443" s="12"/>
      <c r="G443" s="12"/>
      <c r="H443" s="6"/>
      <c r="I443" s="190"/>
      <c r="J443" s="190"/>
      <c r="K443" s="190"/>
      <c r="L443" s="190"/>
      <c r="M443" s="190"/>
      <c r="N443" s="190"/>
      <c r="O443" s="190"/>
      <c r="P443" s="190"/>
      <c r="Q443" s="190"/>
      <c r="R443" s="190"/>
      <c r="S443" s="190"/>
      <c r="T443" s="190"/>
      <c r="U443" s="190"/>
      <c r="V443" s="190"/>
      <c r="W443" s="190"/>
      <c r="X443" s="190"/>
      <c r="Y443" s="190"/>
      <c r="Z443" s="190"/>
      <c r="AA443" s="190"/>
      <c r="AB443" s="190"/>
      <c r="AC443" s="190"/>
      <c r="AD443" s="190"/>
      <c r="AE443" s="190"/>
      <c r="AF443" s="190"/>
      <c r="AG443" s="190"/>
      <c r="AH443" s="190"/>
      <c r="AI443" s="190"/>
      <c r="AJ443" s="190"/>
      <c r="AK443" s="190"/>
      <c r="AL443" s="190"/>
    </row>
    <row r="444" spans="2:38" ht="12.75" customHeight="1">
      <c r="B444" s="6"/>
      <c r="C444" s="6"/>
      <c r="D444" s="12"/>
      <c r="E444" s="12"/>
      <c r="F444" s="12"/>
      <c r="G444" s="12"/>
      <c r="H444" s="6"/>
      <c r="I444" s="190"/>
      <c r="J444" s="190"/>
      <c r="K444" s="190"/>
      <c r="L444" s="190"/>
      <c r="M444" s="190"/>
      <c r="N444" s="190"/>
      <c r="O444" s="190"/>
      <c r="P444" s="190"/>
      <c r="Q444" s="190"/>
      <c r="R444" s="190"/>
      <c r="S444" s="190"/>
      <c r="T444" s="190"/>
      <c r="U444" s="190"/>
      <c r="V444" s="190"/>
      <c r="W444" s="190"/>
      <c r="X444" s="190"/>
      <c r="Y444" s="190"/>
      <c r="Z444" s="190"/>
      <c r="AA444" s="190"/>
      <c r="AB444" s="190"/>
      <c r="AC444" s="190"/>
      <c r="AD444" s="190"/>
      <c r="AE444" s="190"/>
      <c r="AF444" s="190"/>
      <c r="AG444" s="190"/>
      <c r="AH444" s="190"/>
      <c r="AI444" s="190"/>
      <c r="AJ444" s="190"/>
      <c r="AK444" s="190"/>
      <c r="AL444" s="190"/>
    </row>
    <row r="445" spans="2:38" ht="12.75" customHeight="1">
      <c r="B445" s="6"/>
      <c r="C445" s="6"/>
      <c r="D445" s="12"/>
      <c r="E445" s="12"/>
      <c r="F445" s="12"/>
      <c r="G445" s="12"/>
      <c r="H445" s="6"/>
      <c r="I445" s="190"/>
      <c r="J445" s="190"/>
      <c r="K445" s="190"/>
      <c r="L445" s="190"/>
      <c r="M445" s="190"/>
      <c r="N445" s="190"/>
      <c r="O445" s="190"/>
      <c r="P445" s="190"/>
      <c r="Q445" s="190"/>
      <c r="R445" s="190"/>
      <c r="S445" s="190"/>
      <c r="T445" s="190"/>
      <c r="U445" s="190"/>
      <c r="V445" s="190"/>
      <c r="W445" s="190"/>
      <c r="X445" s="190"/>
      <c r="Y445" s="190"/>
      <c r="Z445" s="190"/>
      <c r="AA445" s="190"/>
      <c r="AB445" s="190"/>
      <c r="AC445" s="190"/>
      <c r="AD445" s="190"/>
      <c r="AE445" s="190"/>
      <c r="AF445" s="190"/>
      <c r="AG445" s="190"/>
      <c r="AH445" s="190"/>
      <c r="AI445" s="190"/>
      <c r="AJ445" s="190"/>
      <c r="AK445" s="190"/>
      <c r="AL445" s="190"/>
    </row>
    <row r="446" spans="2:38" ht="12.75" customHeight="1">
      <c r="B446" s="6"/>
      <c r="C446" s="6"/>
      <c r="D446" s="12"/>
      <c r="E446" s="12"/>
      <c r="F446" s="12"/>
      <c r="G446" s="12"/>
      <c r="H446" s="6"/>
      <c r="I446" s="190"/>
      <c r="J446" s="190"/>
      <c r="K446" s="190"/>
      <c r="L446" s="190"/>
      <c r="M446" s="190"/>
      <c r="N446" s="190"/>
      <c r="O446" s="190"/>
      <c r="P446" s="190"/>
      <c r="Q446" s="190"/>
      <c r="R446" s="190"/>
      <c r="S446" s="190"/>
      <c r="T446" s="190"/>
      <c r="U446" s="190"/>
      <c r="V446" s="190"/>
      <c r="W446" s="190"/>
      <c r="X446" s="190"/>
      <c r="Y446" s="190"/>
      <c r="Z446" s="190"/>
      <c r="AA446" s="190"/>
      <c r="AB446" s="190"/>
      <c r="AC446" s="190"/>
      <c r="AD446" s="190"/>
      <c r="AE446" s="190"/>
      <c r="AF446" s="190"/>
      <c r="AG446" s="190"/>
      <c r="AH446" s="190"/>
      <c r="AI446" s="190"/>
      <c r="AJ446" s="190"/>
      <c r="AK446" s="190"/>
      <c r="AL446" s="190"/>
    </row>
    <row r="447" spans="2:38" ht="12.75" customHeight="1">
      <c r="B447" s="6"/>
      <c r="C447" s="6"/>
      <c r="D447" s="12"/>
      <c r="E447" s="12"/>
      <c r="F447" s="12"/>
      <c r="G447" s="12"/>
      <c r="H447" s="6"/>
      <c r="I447" s="190"/>
      <c r="J447" s="190"/>
      <c r="K447" s="190"/>
      <c r="L447" s="190"/>
      <c r="M447" s="190"/>
      <c r="N447" s="190"/>
      <c r="O447" s="190"/>
      <c r="P447" s="190"/>
      <c r="Q447" s="190"/>
      <c r="R447" s="190"/>
      <c r="S447" s="190"/>
      <c r="T447" s="190"/>
      <c r="U447" s="190"/>
      <c r="V447" s="190"/>
      <c r="W447" s="190"/>
      <c r="X447" s="190"/>
      <c r="Y447" s="190"/>
      <c r="Z447" s="190"/>
      <c r="AA447" s="190"/>
      <c r="AB447" s="190"/>
      <c r="AC447" s="190"/>
      <c r="AD447" s="190"/>
      <c r="AE447" s="190"/>
      <c r="AF447" s="190"/>
      <c r="AG447" s="190"/>
      <c r="AH447" s="190"/>
      <c r="AI447" s="190"/>
      <c r="AJ447" s="190"/>
      <c r="AK447" s="190"/>
      <c r="AL447" s="190"/>
    </row>
    <row r="448" spans="2:38" ht="12.75" customHeight="1">
      <c r="B448" s="6"/>
      <c r="C448" s="6"/>
      <c r="D448" s="12"/>
      <c r="E448" s="12"/>
      <c r="F448" s="12"/>
      <c r="G448" s="12"/>
      <c r="H448" s="6"/>
      <c r="I448" s="190"/>
      <c r="J448" s="190"/>
      <c r="K448" s="190"/>
      <c r="L448" s="190"/>
      <c r="M448" s="190"/>
      <c r="N448" s="190"/>
      <c r="O448" s="190"/>
      <c r="P448" s="190"/>
      <c r="Q448" s="190"/>
      <c r="R448" s="190"/>
      <c r="S448" s="190"/>
      <c r="T448" s="190"/>
      <c r="U448" s="190"/>
      <c r="V448" s="190"/>
      <c r="W448" s="190"/>
      <c r="X448" s="190"/>
      <c r="Y448" s="190"/>
      <c r="Z448" s="190"/>
      <c r="AA448" s="190"/>
      <c r="AB448" s="190"/>
      <c r="AC448" s="190"/>
      <c r="AD448" s="190"/>
      <c r="AE448" s="190"/>
      <c r="AF448" s="190"/>
      <c r="AG448" s="190"/>
      <c r="AH448" s="190"/>
      <c r="AI448" s="190"/>
      <c r="AJ448" s="190"/>
      <c r="AK448" s="190"/>
      <c r="AL448" s="190"/>
    </row>
    <row r="449" spans="2:38" ht="12.75" customHeight="1">
      <c r="B449" s="6"/>
      <c r="C449" s="6"/>
      <c r="D449" s="12"/>
      <c r="E449" s="12"/>
      <c r="F449" s="12"/>
      <c r="G449" s="12"/>
      <c r="H449" s="6"/>
      <c r="I449" s="190"/>
      <c r="J449" s="190"/>
      <c r="K449" s="190"/>
      <c r="L449" s="190"/>
      <c r="M449" s="190"/>
      <c r="N449" s="190"/>
      <c r="O449" s="190"/>
      <c r="P449" s="190"/>
      <c r="Q449" s="190"/>
      <c r="R449" s="190"/>
      <c r="S449" s="190"/>
      <c r="T449" s="190"/>
      <c r="U449" s="190"/>
      <c r="V449" s="190"/>
      <c r="W449" s="190"/>
      <c r="X449" s="190"/>
      <c r="Y449" s="190"/>
      <c r="Z449" s="190"/>
      <c r="AA449" s="190"/>
      <c r="AB449" s="190"/>
      <c r="AC449" s="190"/>
      <c r="AD449" s="190"/>
      <c r="AE449" s="190"/>
      <c r="AF449" s="190"/>
      <c r="AG449" s="190"/>
      <c r="AH449" s="190"/>
      <c r="AI449" s="190"/>
      <c r="AJ449" s="190"/>
      <c r="AK449" s="190"/>
      <c r="AL449" s="190"/>
    </row>
    <row r="450" spans="2:38" ht="12.75" customHeight="1">
      <c r="B450" s="6"/>
      <c r="C450" s="6"/>
      <c r="D450" s="12"/>
      <c r="E450" s="12"/>
      <c r="F450" s="12"/>
      <c r="G450" s="12"/>
      <c r="H450" s="6"/>
      <c r="I450" s="190"/>
      <c r="J450" s="190"/>
      <c r="K450" s="190"/>
      <c r="L450" s="190"/>
      <c r="M450" s="190"/>
      <c r="N450" s="190"/>
      <c r="O450" s="190"/>
      <c r="P450" s="190"/>
      <c r="Q450" s="190"/>
      <c r="R450" s="190"/>
      <c r="S450" s="190"/>
      <c r="T450" s="190"/>
      <c r="U450" s="190"/>
      <c r="V450" s="190"/>
      <c r="W450" s="190"/>
      <c r="X450" s="190"/>
      <c r="Y450" s="190"/>
      <c r="Z450" s="190"/>
      <c r="AA450" s="190"/>
      <c r="AB450" s="190"/>
      <c r="AC450" s="190"/>
      <c r="AD450" s="190"/>
      <c r="AE450" s="190"/>
      <c r="AF450" s="190"/>
      <c r="AG450" s="190"/>
      <c r="AH450" s="190"/>
      <c r="AI450" s="190"/>
      <c r="AJ450" s="190"/>
      <c r="AK450" s="190"/>
      <c r="AL450" s="190"/>
    </row>
    <row r="451" spans="2:38" ht="12.75" customHeight="1">
      <c r="B451" s="6"/>
      <c r="C451" s="6"/>
      <c r="D451" s="12"/>
      <c r="E451" s="12"/>
      <c r="F451" s="12"/>
      <c r="G451" s="12"/>
      <c r="H451" s="6"/>
      <c r="I451" s="190"/>
      <c r="J451" s="190"/>
      <c r="K451" s="190"/>
      <c r="L451" s="190"/>
      <c r="M451" s="190"/>
      <c r="N451" s="190"/>
      <c r="O451" s="190"/>
      <c r="P451" s="190"/>
      <c r="Q451" s="190"/>
      <c r="R451" s="190"/>
      <c r="S451" s="190"/>
      <c r="T451" s="190"/>
      <c r="U451" s="190"/>
      <c r="V451" s="190"/>
      <c r="W451" s="190"/>
      <c r="X451" s="190"/>
      <c r="Y451" s="190"/>
      <c r="Z451" s="190"/>
      <c r="AA451" s="190"/>
      <c r="AB451" s="190"/>
      <c r="AC451" s="190"/>
      <c r="AD451" s="190"/>
      <c r="AE451" s="190"/>
      <c r="AF451" s="190"/>
      <c r="AG451" s="190"/>
      <c r="AH451" s="190"/>
      <c r="AI451" s="190"/>
      <c r="AJ451" s="190"/>
      <c r="AK451" s="190"/>
      <c r="AL451" s="190"/>
    </row>
    <row r="452" spans="2:38" ht="12.75" customHeight="1">
      <c r="B452" s="6"/>
      <c r="C452" s="6"/>
      <c r="D452" s="12"/>
      <c r="E452" s="12"/>
      <c r="F452" s="12"/>
      <c r="G452" s="12"/>
      <c r="H452" s="6"/>
      <c r="I452" s="190"/>
      <c r="J452" s="190"/>
      <c r="K452" s="190"/>
      <c r="L452" s="190"/>
      <c r="M452" s="190"/>
      <c r="N452" s="190"/>
      <c r="O452" s="190"/>
      <c r="P452" s="190"/>
      <c r="Q452" s="190"/>
      <c r="R452" s="190"/>
      <c r="S452" s="190"/>
      <c r="T452" s="190"/>
      <c r="U452" s="190"/>
      <c r="V452" s="190"/>
      <c r="W452" s="190"/>
      <c r="X452" s="190"/>
      <c r="Y452" s="190"/>
      <c r="Z452" s="190"/>
      <c r="AA452" s="190"/>
      <c r="AB452" s="190"/>
      <c r="AC452" s="190"/>
      <c r="AD452" s="190"/>
      <c r="AE452" s="190"/>
      <c r="AF452" s="190"/>
      <c r="AG452" s="190"/>
      <c r="AH452" s="190"/>
      <c r="AI452" s="190"/>
      <c r="AJ452" s="190"/>
      <c r="AK452" s="190"/>
      <c r="AL452" s="190"/>
    </row>
    <row r="453" spans="2:38" ht="12.75" customHeight="1">
      <c r="B453" s="6"/>
      <c r="C453" s="6"/>
      <c r="D453" s="12"/>
      <c r="E453" s="12"/>
      <c r="F453" s="12"/>
      <c r="G453" s="12"/>
      <c r="H453" s="6"/>
      <c r="I453" s="190"/>
      <c r="J453" s="190"/>
      <c r="K453" s="190"/>
      <c r="L453" s="190"/>
      <c r="M453" s="190"/>
      <c r="N453" s="190"/>
      <c r="O453" s="190"/>
      <c r="P453" s="190"/>
      <c r="Q453" s="190"/>
      <c r="R453" s="190"/>
      <c r="S453" s="190"/>
      <c r="T453" s="190"/>
      <c r="U453" s="190"/>
      <c r="V453" s="190"/>
      <c r="W453" s="190"/>
      <c r="X453" s="190"/>
      <c r="Y453" s="190"/>
      <c r="Z453" s="190"/>
      <c r="AA453" s="190"/>
      <c r="AB453" s="190"/>
      <c r="AC453" s="190"/>
      <c r="AD453" s="190"/>
      <c r="AE453" s="190"/>
      <c r="AF453" s="190"/>
      <c r="AG453" s="190"/>
      <c r="AH453" s="190"/>
      <c r="AI453" s="190"/>
      <c r="AJ453" s="190"/>
      <c r="AK453" s="190"/>
      <c r="AL453" s="190"/>
    </row>
    <row r="454" spans="2:38" ht="12.75" customHeight="1">
      <c r="B454" s="6"/>
      <c r="C454" s="6"/>
      <c r="D454" s="12"/>
      <c r="E454" s="12"/>
      <c r="F454" s="12"/>
      <c r="G454" s="12"/>
      <c r="H454" s="6"/>
      <c r="I454" s="190"/>
      <c r="J454" s="190"/>
      <c r="K454" s="190"/>
      <c r="L454" s="190"/>
      <c r="M454" s="190"/>
      <c r="N454" s="190"/>
      <c r="O454" s="190"/>
      <c r="P454" s="190"/>
      <c r="Q454" s="190"/>
      <c r="R454" s="190"/>
      <c r="S454" s="190"/>
      <c r="T454" s="190"/>
      <c r="U454" s="190"/>
      <c r="V454" s="190"/>
      <c r="W454" s="190"/>
      <c r="X454" s="190"/>
      <c r="Y454" s="190"/>
      <c r="Z454" s="190"/>
      <c r="AA454" s="190"/>
      <c r="AB454" s="190"/>
      <c r="AC454" s="190"/>
      <c r="AD454" s="190"/>
      <c r="AE454" s="190"/>
      <c r="AF454" s="190"/>
      <c r="AG454" s="190"/>
      <c r="AH454" s="190"/>
      <c r="AI454" s="190"/>
      <c r="AJ454" s="190"/>
      <c r="AK454" s="190"/>
      <c r="AL454" s="190"/>
    </row>
    <row r="455" spans="2:38" ht="12.75" customHeight="1">
      <c r="B455" s="6"/>
      <c r="C455" s="6"/>
      <c r="D455" s="12"/>
      <c r="E455" s="12"/>
      <c r="F455" s="12"/>
      <c r="G455" s="12"/>
      <c r="H455" s="6"/>
      <c r="I455" s="190"/>
      <c r="J455" s="190"/>
      <c r="K455" s="190"/>
      <c r="L455" s="190"/>
      <c r="M455" s="190"/>
      <c r="N455" s="190"/>
      <c r="O455" s="190"/>
      <c r="P455" s="190"/>
      <c r="Q455" s="190"/>
      <c r="R455" s="190"/>
      <c r="S455" s="190"/>
      <c r="T455" s="190"/>
      <c r="U455" s="190"/>
      <c r="V455" s="190"/>
      <c r="W455" s="190"/>
      <c r="X455" s="190"/>
      <c r="Y455" s="190"/>
      <c r="Z455" s="190"/>
      <c r="AA455" s="190"/>
      <c r="AB455" s="190"/>
      <c r="AC455" s="190"/>
      <c r="AD455" s="190"/>
      <c r="AE455" s="190"/>
      <c r="AF455" s="190"/>
      <c r="AG455" s="190"/>
      <c r="AH455" s="190"/>
      <c r="AI455" s="190"/>
      <c r="AJ455" s="190"/>
      <c r="AK455" s="190"/>
      <c r="AL455" s="190"/>
    </row>
    <row r="456" spans="2:38" ht="12.75" customHeight="1">
      <c r="B456" s="6"/>
      <c r="C456" s="6"/>
      <c r="D456" s="12"/>
      <c r="E456" s="12"/>
      <c r="F456" s="12"/>
      <c r="G456" s="12"/>
      <c r="H456" s="6"/>
      <c r="I456" s="190"/>
      <c r="J456" s="190"/>
      <c r="K456" s="190"/>
      <c r="L456" s="190"/>
      <c r="M456" s="190"/>
      <c r="N456" s="190"/>
      <c r="O456" s="190"/>
      <c r="P456" s="190"/>
      <c r="Q456" s="190"/>
      <c r="R456" s="190"/>
      <c r="S456" s="190"/>
      <c r="T456" s="190"/>
      <c r="U456" s="190"/>
      <c r="V456" s="190"/>
      <c r="W456" s="190"/>
      <c r="X456" s="190"/>
      <c r="Y456" s="190"/>
      <c r="Z456" s="190"/>
      <c r="AA456" s="190"/>
      <c r="AB456" s="190"/>
      <c r="AC456" s="190"/>
      <c r="AD456" s="190"/>
      <c r="AE456" s="190"/>
      <c r="AF456" s="190"/>
      <c r="AG456" s="190"/>
      <c r="AH456" s="190"/>
      <c r="AI456" s="190"/>
      <c r="AJ456" s="190"/>
      <c r="AK456" s="190"/>
      <c r="AL456" s="190"/>
    </row>
    <row r="457" spans="2:38" ht="12.75" customHeight="1">
      <c r="B457" s="6"/>
      <c r="C457" s="6"/>
      <c r="D457" s="12"/>
      <c r="E457" s="12"/>
      <c r="F457" s="12"/>
      <c r="G457" s="12"/>
      <c r="H457" s="6"/>
      <c r="I457" s="190"/>
      <c r="J457" s="190"/>
      <c r="K457" s="190"/>
      <c r="L457" s="190"/>
      <c r="M457" s="190"/>
      <c r="N457" s="190"/>
      <c r="O457" s="190"/>
      <c r="P457" s="190"/>
      <c r="Q457" s="190"/>
      <c r="R457" s="190"/>
      <c r="S457" s="190"/>
      <c r="T457" s="190"/>
      <c r="U457" s="190"/>
      <c r="V457" s="190"/>
      <c r="W457" s="190"/>
      <c r="X457" s="190"/>
      <c r="Y457" s="190"/>
      <c r="Z457" s="190"/>
      <c r="AA457" s="190"/>
      <c r="AB457" s="190"/>
      <c r="AC457" s="190"/>
      <c r="AD457" s="190"/>
      <c r="AE457" s="190"/>
      <c r="AF457" s="190"/>
      <c r="AG457" s="190"/>
      <c r="AH457" s="190"/>
      <c r="AI457" s="190"/>
      <c r="AJ457" s="190"/>
      <c r="AK457" s="190"/>
      <c r="AL457" s="190"/>
    </row>
    <row r="458" spans="2:38" ht="12.75" customHeight="1">
      <c r="B458" s="6"/>
      <c r="C458" s="6"/>
      <c r="D458" s="12"/>
      <c r="E458" s="12"/>
      <c r="F458" s="12"/>
      <c r="G458" s="12"/>
      <c r="H458" s="6"/>
      <c r="I458" s="190"/>
      <c r="J458" s="190"/>
      <c r="K458" s="190"/>
      <c r="L458" s="190"/>
      <c r="M458" s="190"/>
      <c r="N458" s="190"/>
      <c r="O458" s="190"/>
      <c r="P458" s="190"/>
      <c r="Q458" s="190"/>
      <c r="R458" s="190"/>
      <c r="S458" s="190"/>
      <c r="T458" s="190"/>
      <c r="U458" s="190"/>
      <c r="V458" s="190"/>
      <c r="W458" s="190"/>
      <c r="X458" s="190"/>
      <c r="Y458" s="190"/>
      <c r="Z458" s="190"/>
      <c r="AA458" s="190"/>
      <c r="AB458" s="190"/>
      <c r="AC458" s="190"/>
      <c r="AD458" s="190"/>
      <c r="AE458" s="190"/>
      <c r="AF458" s="190"/>
      <c r="AG458" s="190"/>
      <c r="AH458" s="190"/>
      <c r="AI458" s="190"/>
      <c r="AJ458" s="190"/>
      <c r="AK458" s="190"/>
      <c r="AL458" s="190"/>
    </row>
    <row r="459" spans="2:38" ht="12.75" customHeight="1">
      <c r="B459" s="6"/>
      <c r="C459" s="6"/>
      <c r="D459" s="12"/>
      <c r="E459" s="12"/>
      <c r="F459" s="12"/>
      <c r="G459" s="12"/>
      <c r="H459" s="6"/>
      <c r="I459" s="190"/>
      <c r="J459" s="190"/>
      <c r="K459" s="190"/>
      <c r="L459" s="190"/>
      <c r="M459" s="190"/>
      <c r="N459" s="190"/>
      <c r="O459" s="190"/>
      <c r="P459" s="190"/>
      <c r="Q459" s="190"/>
      <c r="R459" s="190"/>
      <c r="S459" s="190"/>
      <c r="T459" s="190"/>
      <c r="U459" s="190"/>
      <c r="V459" s="190"/>
      <c r="W459" s="190"/>
      <c r="X459" s="190"/>
      <c r="Y459" s="190"/>
      <c r="Z459" s="190"/>
      <c r="AA459" s="190"/>
      <c r="AB459" s="190"/>
      <c r="AC459" s="190"/>
      <c r="AD459" s="190"/>
      <c r="AE459" s="190"/>
      <c r="AF459" s="190"/>
      <c r="AG459" s="190"/>
      <c r="AH459" s="190"/>
      <c r="AI459" s="190"/>
      <c r="AJ459" s="190"/>
      <c r="AK459" s="190"/>
      <c r="AL459" s="190"/>
    </row>
    <row r="460" spans="2:38" ht="12.75" customHeight="1">
      <c r="B460" s="6"/>
      <c r="C460" s="6"/>
      <c r="D460" s="12"/>
      <c r="E460" s="12"/>
      <c r="F460" s="12"/>
      <c r="G460" s="12"/>
      <c r="H460" s="6"/>
      <c r="I460" s="190"/>
      <c r="J460" s="190"/>
      <c r="K460" s="190"/>
      <c r="L460" s="190"/>
      <c r="M460" s="190"/>
      <c r="N460" s="190"/>
      <c r="O460" s="190"/>
      <c r="P460" s="190"/>
      <c r="Q460" s="190"/>
      <c r="R460" s="190"/>
      <c r="S460" s="190"/>
      <c r="T460" s="190"/>
      <c r="U460" s="190"/>
      <c r="V460" s="190"/>
      <c r="W460" s="190"/>
      <c r="X460" s="190"/>
      <c r="Y460" s="190"/>
      <c r="Z460" s="190"/>
      <c r="AA460" s="190"/>
      <c r="AB460" s="190"/>
      <c r="AC460" s="190"/>
      <c r="AD460" s="190"/>
      <c r="AE460" s="190"/>
      <c r="AF460" s="190"/>
      <c r="AG460" s="190"/>
      <c r="AH460" s="190"/>
      <c r="AI460" s="190"/>
      <c r="AJ460" s="190"/>
      <c r="AK460" s="190"/>
      <c r="AL460" s="190"/>
    </row>
    <row r="461" spans="2:38" ht="12.75" customHeight="1">
      <c r="B461" s="6"/>
      <c r="C461" s="6"/>
      <c r="D461" s="12"/>
      <c r="E461" s="12"/>
      <c r="F461" s="12"/>
      <c r="G461" s="12"/>
      <c r="H461" s="6"/>
      <c r="I461" s="190"/>
      <c r="J461" s="190"/>
      <c r="K461" s="190"/>
      <c r="L461" s="190"/>
      <c r="M461" s="190"/>
      <c r="N461" s="190"/>
      <c r="O461" s="190"/>
      <c r="P461" s="190"/>
      <c r="Q461" s="190"/>
      <c r="R461" s="190"/>
      <c r="S461" s="190"/>
      <c r="T461" s="190"/>
      <c r="U461" s="190"/>
      <c r="V461" s="190"/>
      <c r="W461" s="190"/>
      <c r="X461" s="190"/>
      <c r="Y461" s="190"/>
      <c r="Z461" s="190"/>
      <c r="AA461" s="190"/>
      <c r="AB461" s="190"/>
      <c r="AC461" s="190"/>
      <c r="AD461" s="190"/>
      <c r="AE461" s="190"/>
      <c r="AF461" s="190"/>
      <c r="AG461" s="190"/>
      <c r="AH461" s="190"/>
      <c r="AI461" s="190"/>
      <c r="AJ461" s="190"/>
      <c r="AK461" s="190"/>
      <c r="AL461" s="190"/>
    </row>
    <row r="462" spans="2:38" ht="12.75" customHeight="1">
      <c r="B462" s="6"/>
      <c r="C462" s="6"/>
      <c r="D462" s="12"/>
      <c r="E462" s="12"/>
      <c r="F462" s="12"/>
      <c r="G462" s="12"/>
      <c r="H462" s="6"/>
      <c r="I462" s="190"/>
      <c r="J462" s="190"/>
      <c r="K462" s="190"/>
      <c r="L462" s="190"/>
      <c r="M462" s="190"/>
      <c r="N462" s="190"/>
      <c r="O462" s="190"/>
      <c r="P462" s="190"/>
      <c r="Q462" s="190"/>
      <c r="R462" s="190"/>
      <c r="S462" s="190"/>
      <c r="T462" s="190"/>
      <c r="U462" s="190"/>
      <c r="V462" s="190"/>
      <c r="W462" s="190"/>
      <c r="X462" s="190"/>
      <c r="Y462" s="190"/>
      <c r="Z462" s="190"/>
      <c r="AA462" s="190"/>
      <c r="AB462" s="190"/>
      <c r="AC462" s="190"/>
      <c r="AD462" s="190"/>
      <c r="AE462" s="190"/>
      <c r="AF462" s="190"/>
      <c r="AG462" s="190"/>
      <c r="AH462" s="190"/>
      <c r="AI462" s="190"/>
      <c r="AJ462" s="190"/>
      <c r="AK462" s="190"/>
      <c r="AL462" s="190"/>
    </row>
    <row r="463" spans="2:38" ht="12.75" customHeight="1">
      <c r="B463" s="6"/>
      <c r="C463" s="6"/>
      <c r="D463" s="12"/>
      <c r="E463" s="12"/>
      <c r="F463" s="12"/>
      <c r="G463" s="12"/>
      <c r="H463" s="6"/>
      <c r="I463" s="190"/>
      <c r="J463" s="190"/>
      <c r="K463" s="190"/>
      <c r="L463" s="190"/>
      <c r="M463" s="190"/>
      <c r="N463" s="190"/>
      <c r="O463" s="190"/>
      <c r="P463" s="190"/>
      <c r="Q463" s="190"/>
      <c r="R463" s="190"/>
      <c r="S463" s="190"/>
      <c r="T463" s="190"/>
      <c r="U463" s="190"/>
      <c r="V463" s="190"/>
      <c r="W463" s="190"/>
      <c r="X463" s="190"/>
      <c r="Y463" s="190"/>
      <c r="Z463" s="190"/>
      <c r="AA463" s="190"/>
      <c r="AB463" s="190"/>
      <c r="AC463" s="190"/>
      <c r="AD463" s="190"/>
      <c r="AE463" s="190"/>
      <c r="AF463" s="190"/>
      <c r="AG463" s="190"/>
      <c r="AH463" s="190"/>
      <c r="AI463" s="190"/>
      <c r="AJ463" s="190"/>
      <c r="AK463" s="190"/>
      <c r="AL463" s="190"/>
    </row>
    <row r="464" spans="2:38" ht="12.75" customHeight="1">
      <c r="B464" s="6"/>
      <c r="C464" s="6"/>
      <c r="D464" s="12"/>
      <c r="E464" s="12"/>
      <c r="F464" s="12"/>
      <c r="G464" s="12"/>
      <c r="H464" s="6"/>
      <c r="I464" s="190"/>
      <c r="J464" s="190"/>
      <c r="K464" s="190"/>
      <c r="L464" s="190"/>
      <c r="M464" s="190"/>
      <c r="N464" s="190"/>
      <c r="O464" s="190"/>
      <c r="P464" s="190"/>
      <c r="Q464" s="190"/>
      <c r="R464" s="190"/>
      <c r="S464" s="190"/>
      <c r="T464" s="190"/>
      <c r="U464" s="190"/>
      <c r="V464" s="190"/>
      <c r="W464" s="190"/>
      <c r="X464" s="190"/>
      <c r="Y464" s="190"/>
      <c r="Z464" s="190"/>
      <c r="AA464" s="190"/>
      <c r="AB464" s="190"/>
      <c r="AC464" s="190"/>
      <c r="AD464" s="190"/>
      <c r="AE464" s="190"/>
      <c r="AF464" s="190"/>
      <c r="AG464" s="190"/>
      <c r="AH464" s="190"/>
      <c r="AI464" s="190"/>
      <c r="AJ464" s="190"/>
      <c r="AK464" s="190"/>
      <c r="AL464" s="190"/>
    </row>
    <row r="465" spans="2:38" ht="12.75" customHeight="1">
      <c r="B465" s="6"/>
      <c r="C465" s="6"/>
      <c r="D465" s="12"/>
      <c r="E465" s="12"/>
      <c r="F465" s="12"/>
      <c r="G465" s="12"/>
      <c r="H465" s="6"/>
      <c r="I465" s="190"/>
      <c r="J465" s="190"/>
      <c r="K465" s="190"/>
      <c r="L465" s="190"/>
      <c r="M465" s="190"/>
      <c r="N465" s="190"/>
      <c r="O465" s="190"/>
      <c r="P465" s="190"/>
      <c r="Q465" s="190"/>
      <c r="R465" s="190"/>
      <c r="S465" s="190"/>
      <c r="T465" s="190"/>
      <c r="U465" s="190"/>
      <c r="V465" s="190"/>
      <c r="W465" s="190"/>
      <c r="X465" s="190"/>
      <c r="Y465" s="190"/>
      <c r="Z465" s="190"/>
      <c r="AA465" s="190"/>
      <c r="AB465" s="190"/>
      <c r="AC465" s="190"/>
      <c r="AD465" s="190"/>
      <c r="AE465" s="190"/>
      <c r="AF465" s="190"/>
      <c r="AG465" s="190"/>
      <c r="AH465" s="190"/>
      <c r="AI465" s="190"/>
      <c r="AJ465" s="190"/>
      <c r="AK465" s="190"/>
      <c r="AL465" s="190"/>
    </row>
    <row r="466" spans="2:38" ht="12.75" customHeight="1">
      <c r="B466" s="6"/>
      <c r="C466" s="6"/>
      <c r="D466" s="12"/>
      <c r="E466" s="12"/>
      <c r="F466" s="12"/>
      <c r="G466" s="12"/>
      <c r="H466" s="6"/>
      <c r="I466" s="190"/>
      <c r="J466" s="190"/>
      <c r="K466" s="190"/>
      <c r="L466" s="190"/>
      <c r="M466" s="190"/>
      <c r="N466" s="190"/>
      <c r="O466" s="190"/>
      <c r="P466" s="190"/>
      <c r="Q466" s="190"/>
      <c r="R466" s="190"/>
      <c r="S466" s="190"/>
      <c r="T466" s="190"/>
      <c r="U466" s="190"/>
      <c r="V466" s="190"/>
      <c r="W466" s="190"/>
      <c r="X466" s="190"/>
      <c r="Y466" s="190"/>
      <c r="Z466" s="190"/>
      <c r="AA466" s="190"/>
      <c r="AB466" s="190"/>
      <c r="AC466" s="190"/>
      <c r="AD466" s="190"/>
      <c r="AE466" s="190"/>
      <c r="AF466" s="190"/>
      <c r="AG466" s="190"/>
      <c r="AH466" s="190"/>
      <c r="AI466" s="190"/>
      <c r="AJ466" s="190"/>
      <c r="AK466" s="190"/>
      <c r="AL466" s="190"/>
    </row>
    <row r="467" spans="2:38" ht="12.75" customHeight="1">
      <c r="B467" s="6"/>
      <c r="C467" s="6"/>
      <c r="D467" s="12"/>
      <c r="E467" s="12"/>
      <c r="F467" s="12"/>
      <c r="G467" s="12"/>
      <c r="H467" s="6"/>
      <c r="I467" s="190"/>
      <c r="J467" s="190"/>
      <c r="K467" s="190"/>
      <c r="L467" s="190"/>
      <c r="M467" s="190"/>
      <c r="N467" s="190"/>
      <c r="O467" s="190"/>
      <c r="P467" s="190"/>
      <c r="Q467" s="190"/>
      <c r="R467" s="190"/>
      <c r="S467" s="190"/>
      <c r="T467" s="190"/>
      <c r="U467" s="190"/>
      <c r="V467" s="190"/>
      <c r="W467" s="190"/>
      <c r="X467" s="190"/>
      <c r="Y467" s="190"/>
      <c r="Z467" s="190"/>
      <c r="AA467" s="190"/>
      <c r="AB467" s="190"/>
      <c r="AC467" s="190"/>
      <c r="AD467" s="190"/>
      <c r="AE467" s="190"/>
      <c r="AF467" s="190"/>
      <c r="AG467" s="190"/>
      <c r="AH467" s="190"/>
      <c r="AI467" s="190"/>
      <c r="AJ467" s="190"/>
      <c r="AK467" s="190"/>
      <c r="AL467" s="190"/>
    </row>
    <row r="468" spans="2:38" ht="12.75" customHeight="1">
      <c r="B468" s="6"/>
      <c r="C468" s="6"/>
      <c r="D468" s="12"/>
      <c r="E468" s="12"/>
      <c r="F468" s="12"/>
      <c r="G468" s="12"/>
      <c r="H468" s="6"/>
      <c r="I468" s="190"/>
      <c r="J468" s="190"/>
      <c r="K468" s="190"/>
      <c r="L468" s="190"/>
      <c r="M468" s="190"/>
      <c r="N468" s="190"/>
      <c r="O468" s="190"/>
      <c r="P468" s="190"/>
      <c r="Q468" s="190"/>
      <c r="R468" s="190"/>
      <c r="S468" s="190"/>
      <c r="T468" s="190"/>
      <c r="U468" s="190"/>
      <c r="V468" s="190"/>
      <c r="W468" s="190"/>
      <c r="X468" s="190"/>
      <c r="Y468" s="190"/>
      <c r="Z468" s="190"/>
      <c r="AA468" s="190"/>
      <c r="AB468" s="190"/>
      <c r="AC468" s="190"/>
      <c r="AD468" s="190"/>
      <c r="AE468" s="190"/>
      <c r="AF468" s="190"/>
      <c r="AG468" s="190"/>
      <c r="AH468" s="190"/>
      <c r="AI468" s="190"/>
      <c r="AJ468" s="190"/>
      <c r="AK468" s="190"/>
      <c r="AL468" s="190"/>
    </row>
    <row r="469" spans="2:38" ht="12.75" customHeight="1">
      <c r="B469" s="6"/>
      <c r="C469" s="6"/>
      <c r="D469" s="12"/>
      <c r="E469" s="12"/>
      <c r="F469" s="12"/>
      <c r="G469" s="12"/>
      <c r="H469" s="6"/>
      <c r="I469" s="190"/>
      <c r="J469" s="190"/>
      <c r="K469" s="190"/>
      <c r="L469" s="190"/>
      <c r="M469" s="190"/>
      <c r="N469" s="190"/>
      <c r="O469" s="190"/>
      <c r="P469" s="190"/>
      <c r="Q469" s="190"/>
      <c r="R469" s="190"/>
      <c r="S469" s="190"/>
      <c r="T469" s="190"/>
      <c r="U469" s="190"/>
      <c r="V469" s="190"/>
      <c r="W469" s="190"/>
      <c r="X469" s="190"/>
      <c r="Y469" s="190"/>
      <c r="Z469" s="190"/>
      <c r="AA469" s="190"/>
      <c r="AB469" s="190"/>
      <c r="AC469" s="190"/>
      <c r="AD469" s="190"/>
      <c r="AE469" s="190"/>
      <c r="AF469" s="190"/>
      <c r="AG469" s="190"/>
      <c r="AH469" s="190"/>
      <c r="AI469" s="190"/>
      <c r="AJ469" s="190"/>
      <c r="AK469" s="190"/>
      <c r="AL469" s="190"/>
    </row>
    <row r="470" spans="2:38" ht="12.75" customHeight="1">
      <c r="B470" s="6"/>
      <c r="C470" s="6"/>
      <c r="D470" s="12"/>
      <c r="E470" s="12"/>
      <c r="F470" s="12"/>
      <c r="G470" s="12"/>
      <c r="H470" s="6"/>
      <c r="I470" s="190"/>
      <c r="J470" s="190"/>
      <c r="K470" s="190"/>
      <c r="L470" s="190"/>
      <c r="M470" s="190"/>
      <c r="N470" s="190"/>
      <c r="O470" s="190"/>
      <c r="P470" s="190"/>
      <c r="Q470" s="190"/>
      <c r="R470" s="190"/>
      <c r="S470" s="190"/>
      <c r="T470" s="190"/>
      <c r="U470" s="190"/>
      <c r="V470" s="190"/>
      <c r="W470" s="190"/>
      <c r="X470" s="190"/>
      <c r="Y470" s="190"/>
      <c r="Z470" s="190"/>
      <c r="AA470" s="190"/>
      <c r="AB470" s="190"/>
      <c r="AC470" s="190"/>
      <c r="AD470" s="190"/>
      <c r="AE470" s="190"/>
      <c r="AF470" s="190"/>
      <c r="AG470" s="190"/>
      <c r="AH470" s="190"/>
      <c r="AI470" s="190"/>
      <c r="AJ470" s="190"/>
      <c r="AK470" s="190"/>
      <c r="AL470" s="190"/>
    </row>
    <row r="471" spans="2:38" ht="12.75" customHeight="1">
      <c r="B471" s="6"/>
      <c r="C471" s="6"/>
      <c r="D471" s="12"/>
      <c r="E471" s="12"/>
      <c r="F471" s="12"/>
      <c r="G471" s="12"/>
      <c r="H471" s="6"/>
      <c r="I471" s="190"/>
      <c r="J471" s="190"/>
      <c r="K471" s="190"/>
      <c r="L471" s="190"/>
      <c r="M471" s="190"/>
      <c r="N471" s="190"/>
      <c r="O471" s="190"/>
      <c r="P471" s="190"/>
      <c r="Q471" s="190"/>
      <c r="R471" s="190"/>
      <c r="S471" s="190"/>
      <c r="T471" s="190"/>
      <c r="U471" s="190"/>
      <c r="V471" s="190"/>
      <c r="W471" s="190"/>
      <c r="X471" s="190"/>
      <c r="Y471" s="190"/>
      <c r="Z471" s="190"/>
      <c r="AA471" s="190"/>
      <c r="AB471" s="190"/>
      <c r="AC471" s="190"/>
      <c r="AD471" s="190"/>
      <c r="AE471" s="190"/>
      <c r="AF471" s="190"/>
      <c r="AG471" s="190"/>
      <c r="AH471" s="190"/>
      <c r="AI471" s="190"/>
      <c r="AJ471" s="190"/>
      <c r="AK471" s="190"/>
      <c r="AL471" s="190"/>
    </row>
    <row r="472" spans="2:38" ht="12.75" customHeight="1">
      <c r="B472" s="6"/>
      <c r="C472" s="6"/>
      <c r="D472" s="12"/>
      <c r="E472" s="12"/>
      <c r="F472" s="12"/>
      <c r="G472" s="12"/>
      <c r="H472" s="6"/>
      <c r="I472" s="190"/>
      <c r="J472" s="190"/>
      <c r="K472" s="190"/>
      <c r="L472" s="190"/>
      <c r="M472" s="190"/>
      <c r="N472" s="190"/>
      <c r="O472" s="190"/>
      <c r="P472" s="190"/>
      <c r="Q472" s="190"/>
      <c r="R472" s="190"/>
      <c r="S472" s="190"/>
      <c r="T472" s="190"/>
      <c r="U472" s="190"/>
      <c r="V472" s="190"/>
      <c r="W472" s="190"/>
      <c r="X472" s="190"/>
      <c r="Y472" s="190"/>
      <c r="Z472" s="190"/>
      <c r="AA472" s="190"/>
      <c r="AB472" s="190"/>
      <c r="AC472" s="190"/>
      <c r="AD472" s="190"/>
      <c r="AE472" s="190"/>
      <c r="AF472" s="190"/>
      <c r="AG472" s="190"/>
      <c r="AH472" s="190"/>
      <c r="AI472" s="190"/>
      <c r="AJ472" s="190"/>
      <c r="AK472" s="190"/>
      <c r="AL472" s="190"/>
    </row>
    <row r="473" spans="2:38" ht="12.75" customHeight="1">
      <c r="B473" s="6"/>
      <c r="C473" s="6"/>
      <c r="D473" s="12"/>
      <c r="E473" s="12"/>
      <c r="F473" s="12"/>
      <c r="G473" s="12"/>
      <c r="H473" s="6"/>
      <c r="I473" s="190"/>
      <c r="J473" s="190"/>
      <c r="K473" s="190"/>
      <c r="L473" s="190"/>
      <c r="M473" s="190"/>
      <c r="N473" s="190"/>
      <c r="O473" s="190"/>
      <c r="P473" s="190"/>
      <c r="Q473" s="190"/>
      <c r="R473" s="190"/>
      <c r="S473" s="190"/>
      <c r="T473" s="190"/>
      <c r="U473" s="190"/>
      <c r="V473" s="190"/>
      <c r="W473" s="190"/>
      <c r="X473" s="190"/>
      <c r="Y473" s="190"/>
      <c r="Z473" s="190"/>
      <c r="AA473" s="190"/>
      <c r="AB473" s="190"/>
      <c r="AC473" s="190"/>
      <c r="AD473" s="190"/>
      <c r="AE473" s="190"/>
      <c r="AF473" s="190"/>
      <c r="AG473" s="190"/>
      <c r="AH473" s="190"/>
      <c r="AI473" s="190"/>
      <c r="AJ473" s="190"/>
      <c r="AK473" s="190"/>
      <c r="AL473" s="190"/>
    </row>
    <row r="474" spans="2:38" ht="12.75" customHeight="1">
      <c r="B474" s="6"/>
      <c r="C474" s="6"/>
      <c r="D474" s="12"/>
      <c r="E474" s="12"/>
      <c r="F474" s="12"/>
      <c r="G474" s="12"/>
      <c r="H474" s="6"/>
      <c r="I474" s="190"/>
      <c r="J474" s="190"/>
      <c r="K474" s="190"/>
      <c r="L474" s="190"/>
      <c r="M474" s="190"/>
      <c r="N474" s="190"/>
      <c r="O474" s="190"/>
      <c r="P474" s="190"/>
      <c r="Q474" s="190"/>
      <c r="R474" s="190"/>
      <c r="S474" s="190"/>
      <c r="T474" s="190"/>
      <c r="U474" s="190"/>
      <c r="V474" s="190"/>
      <c r="W474" s="190"/>
      <c r="X474" s="190"/>
      <c r="Y474" s="190"/>
      <c r="Z474" s="190"/>
      <c r="AA474" s="190"/>
      <c r="AB474" s="190"/>
      <c r="AC474" s="190"/>
      <c r="AD474" s="190"/>
      <c r="AE474" s="190"/>
      <c r="AF474" s="190"/>
      <c r="AG474" s="190"/>
      <c r="AH474" s="190"/>
      <c r="AI474" s="190"/>
      <c r="AJ474" s="190"/>
      <c r="AK474" s="190"/>
      <c r="AL474" s="190"/>
    </row>
    <row r="475" spans="2:38" ht="12.75" customHeight="1">
      <c r="B475" s="6"/>
      <c r="C475" s="6"/>
      <c r="D475" s="12"/>
      <c r="E475" s="12"/>
      <c r="F475" s="12"/>
      <c r="G475" s="12"/>
      <c r="H475" s="6"/>
      <c r="I475" s="190"/>
      <c r="J475" s="190"/>
      <c r="K475" s="190"/>
      <c r="L475" s="190"/>
      <c r="M475" s="190"/>
      <c r="N475" s="190"/>
      <c r="O475" s="190"/>
      <c r="P475" s="190"/>
      <c r="Q475" s="190"/>
      <c r="R475" s="190"/>
      <c r="S475" s="190"/>
      <c r="T475" s="190"/>
      <c r="U475" s="190"/>
      <c r="V475" s="190"/>
      <c r="W475" s="190"/>
      <c r="X475" s="190"/>
      <c r="Y475" s="190"/>
      <c r="Z475" s="190"/>
      <c r="AA475" s="190"/>
      <c r="AB475" s="190"/>
      <c r="AC475" s="190"/>
      <c r="AD475" s="190"/>
      <c r="AE475" s="190"/>
      <c r="AF475" s="190"/>
      <c r="AG475" s="190"/>
      <c r="AH475" s="190"/>
      <c r="AI475" s="190"/>
      <c r="AJ475" s="190"/>
      <c r="AK475" s="190"/>
      <c r="AL475" s="190"/>
    </row>
    <row r="476" spans="2:38" ht="12.75" customHeight="1">
      <c r="B476" s="6"/>
      <c r="C476" s="6"/>
      <c r="D476" s="12"/>
      <c r="E476" s="12"/>
      <c r="F476" s="12"/>
      <c r="G476" s="12"/>
      <c r="H476" s="6"/>
      <c r="I476" s="190"/>
      <c r="J476" s="190"/>
      <c r="K476" s="190"/>
      <c r="L476" s="190"/>
      <c r="M476" s="190"/>
      <c r="N476" s="190"/>
      <c r="O476" s="190"/>
      <c r="P476" s="190"/>
      <c r="Q476" s="190"/>
      <c r="R476" s="190"/>
      <c r="S476" s="190"/>
      <c r="T476" s="190"/>
      <c r="U476" s="190"/>
      <c r="V476" s="190"/>
      <c r="W476" s="190"/>
      <c r="X476" s="190"/>
      <c r="Y476" s="190"/>
      <c r="Z476" s="190"/>
      <c r="AA476" s="190"/>
      <c r="AB476" s="190"/>
      <c r="AC476" s="190"/>
      <c r="AD476" s="190"/>
      <c r="AE476" s="190"/>
      <c r="AF476" s="190"/>
      <c r="AG476" s="190"/>
      <c r="AH476" s="190"/>
      <c r="AI476" s="190"/>
      <c r="AJ476" s="190"/>
      <c r="AK476" s="190"/>
      <c r="AL476" s="190"/>
    </row>
    <row r="477" spans="2:38" ht="12.75" customHeight="1">
      <c r="B477" s="6"/>
      <c r="C477" s="6"/>
      <c r="D477" s="12"/>
      <c r="E477" s="12"/>
      <c r="F477" s="12"/>
      <c r="G477" s="12"/>
      <c r="H477" s="6"/>
      <c r="I477" s="190"/>
      <c r="J477" s="190"/>
      <c r="K477" s="190"/>
      <c r="L477" s="190"/>
      <c r="M477" s="190"/>
      <c r="N477" s="190"/>
      <c r="O477" s="190"/>
      <c r="P477" s="190"/>
      <c r="Q477" s="190"/>
      <c r="R477" s="190"/>
      <c r="S477" s="190"/>
      <c r="T477" s="190"/>
      <c r="U477" s="190"/>
      <c r="V477" s="190"/>
      <c r="W477" s="190"/>
      <c r="X477" s="190"/>
      <c r="Y477" s="190"/>
      <c r="Z477" s="190"/>
      <c r="AA477" s="190"/>
      <c r="AB477" s="190"/>
      <c r="AC477" s="190"/>
      <c r="AD477" s="190"/>
      <c r="AE477" s="190"/>
      <c r="AF477" s="190"/>
      <c r="AG477" s="190"/>
      <c r="AH477" s="190"/>
      <c r="AI477" s="190"/>
      <c r="AJ477" s="190"/>
      <c r="AK477" s="190"/>
      <c r="AL477" s="190"/>
    </row>
    <row r="478" spans="2:38" ht="12.75" customHeight="1">
      <c r="B478" s="6"/>
      <c r="C478" s="6"/>
      <c r="D478" s="12"/>
      <c r="E478" s="12"/>
      <c r="F478" s="12"/>
      <c r="G478" s="12"/>
      <c r="H478" s="6"/>
      <c r="I478" s="190"/>
      <c r="J478" s="190"/>
      <c r="K478" s="190"/>
      <c r="L478" s="190"/>
      <c r="M478" s="190"/>
      <c r="N478" s="190"/>
      <c r="O478" s="190"/>
      <c r="P478" s="190"/>
      <c r="Q478" s="190"/>
      <c r="R478" s="190"/>
      <c r="S478" s="190"/>
      <c r="T478" s="190"/>
      <c r="U478" s="190"/>
      <c r="V478" s="190"/>
      <c r="W478" s="190"/>
      <c r="X478" s="190"/>
      <c r="Y478" s="190"/>
      <c r="Z478" s="190"/>
      <c r="AA478" s="190"/>
      <c r="AB478" s="190"/>
      <c r="AC478" s="190"/>
      <c r="AD478" s="190"/>
      <c r="AE478" s="190"/>
      <c r="AF478" s="190"/>
      <c r="AG478" s="190"/>
      <c r="AH478" s="190"/>
      <c r="AI478" s="190"/>
      <c r="AJ478" s="190"/>
      <c r="AK478" s="190"/>
      <c r="AL478" s="190"/>
    </row>
    <row r="479" spans="2:38" ht="12.75" customHeight="1">
      <c r="B479" s="6"/>
      <c r="C479" s="6"/>
      <c r="D479" s="12"/>
      <c r="E479" s="12"/>
      <c r="F479" s="12"/>
      <c r="G479" s="12"/>
      <c r="H479" s="6"/>
      <c r="I479" s="190"/>
      <c r="J479" s="190"/>
      <c r="K479" s="190"/>
      <c r="L479" s="190"/>
      <c r="M479" s="190"/>
      <c r="N479" s="190"/>
      <c r="O479" s="190"/>
      <c r="P479" s="190"/>
      <c r="Q479" s="190"/>
      <c r="R479" s="190"/>
      <c r="S479" s="190"/>
      <c r="T479" s="190"/>
      <c r="U479" s="190"/>
      <c r="V479" s="190"/>
      <c r="W479" s="190"/>
      <c r="X479" s="190"/>
      <c r="Y479" s="190"/>
      <c r="Z479" s="190"/>
      <c r="AA479" s="190"/>
      <c r="AB479" s="190"/>
      <c r="AC479" s="190"/>
      <c r="AD479" s="190"/>
      <c r="AE479" s="190"/>
      <c r="AF479" s="190"/>
      <c r="AG479" s="190"/>
      <c r="AH479" s="190"/>
      <c r="AI479" s="190"/>
      <c r="AJ479" s="190"/>
      <c r="AK479" s="190"/>
      <c r="AL479" s="190"/>
    </row>
    <row r="480" spans="2:38" ht="12.75" customHeight="1">
      <c r="B480" s="6"/>
      <c r="C480" s="6"/>
      <c r="D480" s="12"/>
      <c r="E480" s="12"/>
      <c r="F480" s="12"/>
      <c r="G480" s="12"/>
      <c r="H480" s="6"/>
      <c r="I480" s="190"/>
      <c r="J480" s="190"/>
      <c r="K480" s="190"/>
      <c r="L480" s="190"/>
      <c r="M480" s="190"/>
      <c r="N480" s="190"/>
      <c r="O480" s="190"/>
      <c r="P480" s="190"/>
      <c r="Q480" s="190"/>
      <c r="R480" s="190"/>
      <c r="S480" s="190"/>
      <c r="T480" s="190"/>
      <c r="U480" s="190"/>
      <c r="V480" s="190"/>
      <c r="W480" s="190"/>
      <c r="X480" s="190"/>
      <c r="Y480" s="190"/>
      <c r="Z480" s="190"/>
      <c r="AA480" s="190"/>
      <c r="AB480" s="190"/>
      <c r="AC480" s="190"/>
      <c r="AD480" s="190"/>
      <c r="AE480" s="190"/>
      <c r="AF480" s="190"/>
      <c r="AG480" s="190"/>
      <c r="AH480" s="190"/>
      <c r="AI480" s="190"/>
      <c r="AJ480" s="190"/>
      <c r="AK480" s="190"/>
      <c r="AL480" s="190"/>
    </row>
    <row r="481" spans="2:38" ht="12.75" customHeight="1">
      <c r="B481" s="6"/>
      <c r="C481" s="6"/>
      <c r="D481" s="12"/>
      <c r="E481" s="12"/>
      <c r="F481" s="12"/>
      <c r="G481" s="12"/>
      <c r="H481" s="6"/>
      <c r="I481" s="190"/>
      <c r="J481" s="190"/>
      <c r="K481" s="190"/>
      <c r="L481" s="190"/>
      <c r="M481" s="190"/>
      <c r="N481" s="190"/>
      <c r="O481" s="190"/>
      <c r="P481" s="190"/>
      <c r="Q481" s="190"/>
      <c r="R481" s="190"/>
      <c r="S481" s="190"/>
      <c r="T481" s="190"/>
      <c r="U481" s="190"/>
      <c r="V481" s="190"/>
      <c r="W481" s="190"/>
      <c r="X481" s="190"/>
      <c r="Y481" s="190"/>
      <c r="Z481" s="190"/>
      <c r="AA481" s="190"/>
      <c r="AB481" s="190"/>
      <c r="AC481" s="190"/>
      <c r="AD481" s="190"/>
      <c r="AE481" s="190"/>
      <c r="AF481" s="190"/>
      <c r="AG481" s="190"/>
      <c r="AH481" s="190"/>
      <c r="AI481" s="190"/>
      <c r="AJ481" s="190"/>
      <c r="AK481" s="190"/>
      <c r="AL481" s="190"/>
    </row>
    <row r="482" spans="2:38" ht="12.75" customHeight="1">
      <c r="B482" s="6"/>
      <c r="C482" s="6"/>
      <c r="D482" s="12"/>
      <c r="E482" s="12"/>
      <c r="F482" s="12"/>
      <c r="G482" s="12"/>
      <c r="H482" s="6"/>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c r="AE482" s="190"/>
      <c r="AF482" s="190"/>
      <c r="AG482" s="190"/>
      <c r="AH482" s="190"/>
      <c r="AI482" s="190"/>
      <c r="AJ482" s="190"/>
      <c r="AK482" s="190"/>
      <c r="AL482" s="190"/>
    </row>
    <row r="483" spans="2:38" ht="12.75" customHeight="1">
      <c r="B483" s="6"/>
      <c r="C483" s="6"/>
      <c r="D483" s="12"/>
      <c r="E483" s="12"/>
      <c r="F483" s="12"/>
      <c r="G483" s="12"/>
      <c r="H483" s="6"/>
      <c r="I483" s="190"/>
      <c r="J483" s="190"/>
      <c r="K483" s="190"/>
      <c r="L483" s="190"/>
      <c r="M483" s="190"/>
      <c r="N483" s="190"/>
      <c r="O483" s="190"/>
      <c r="P483" s="190"/>
      <c r="Q483" s="190"/>
      <c r="R483" s="190"/>
      <c r="S483" s="190"/>
      <c r="T483" s="190"/>
      <c r="U483" s="190"/>
      <c r="V483" s="190"/>
      <c r="W483" s="190"/>
      <c r="X483" s="190"/>
      <c r="Y483" s="190"/>
      <c r="Z483" s="190"/>
      <c r="AA483" s="190"/>
      <c r="AB483" s="190"/>
      <c r="AC483" s="190"/>
      <c r="AD483" s="190"/>
      <c r="AE483" s="190"/>
      <c r="AF483" s="190"/>
      <c r="AG483" s="190"/>
      <c r="AH483" s="190"/>
      <c r="AI483" s="190"/>
      <c r="AJ483" s="190"/>
      <c r="AK483" s="190"/>
      <c r="AL483" s="190"/>
    </row>
    <row r="484" spans="2:38" ht="12.75" customHeight="1">
      <c r="B484" s="6"/>
      <c r="C484" s="6"/>
      <c r="D484" s="12"/>
      <c r="E484" s="12"/>
      <c r="F484" s="12"/>
      <c r="G484" s="12"/>
      <c r="H484" s="6"/>
      <c r="I484" s="190"/>
      <c r="J484" s="190"/>
      <c r="K484" s="190"/>
      <c r="L484" s="190"/>
      <c r="M484" s="190"/>
      <c r="N484" s="190"/>
      <c r="O484" s="190"/>
      <c r="P484" s="190"/>
      <c r="Q484" s="190"/>
      <c r="R484" s="190"/>
      <c r="S484" s="190"/>
      <c r="T484" s="190"/>
      <c r="U484" s="190"/>
      <c r="V484" s="190"/>
      <c r="W484" s="190"/>
      <c r="X484" s="190"/>
      <c r="Y484" s="190"/>
      <c r="Z484" s="190"/>
      <c r="AA484" s="190"/>
      <c r="AB484" s="190"/>
      <c r="AC484" s="190"/>
      <c r="AD484" s="190"/>
      <c r="AE484" s="190"/>
      <c r="AF484" s="190"/>
      <c r="AG484" s="190"/>
      <c r="AH484" s="190"/>
      <c r="AI484" s="190"/>
      <c r="AJ484" s="190"/>
      <c r="AK484" s="190"/>
      <c r="AL484" s="190"/>
    </row>
    <row r="485" spans="2:38" ht="12.75" customHeight="1">
      <c r="B485" s="6"/>
      <c r="C485" s="6"/>
      <c r="D485" s="12"/>
      <c r="E485" s="12"/>
      <c r="F485" s="12"/>
      <c r="G485" s="12"/>
      <c r="H485" s="6"/>
      <c r="I485" s="190"/>
      <c r="J485" s="190"/>
      <c r="K485" s="190"/>
      <c r="L485" s="190"/>
      <c r="M485" s="190"/>
      <c r="N485" s="190"/>
      <c r="O485" s="190"/>
      <c r="P485" s="190"/>
      <c r="Q485" s="190"/>
      <c r="R485" s="190"/>
      <c r="S485" s="190"/>
      <c r="T485" s="190"/>
      <c r="U485" s="190"/>
      <c r="V485" s="190"/>
      <c r="W485" s="190"/>
      <c r="X485" s="190"/>
      <c r="Y485" s="190"/>
      <c r="Z485" s="190"/>
      <c r="AA485" s="190"/>
      <c r="AB485" s="190"/>
      <c r="AC485" s="190"/>
      <c r="AD485" s="190"/>
      <c r="AE485" s="190"/>
      <c r="AF485" s="190"/>
      <c r="AG485" s="190"/>
      <c r="AH485" s="190"/>
      <c r="AI485" s="190"/>
      <c r="AJ485" s="190"/>
      <c r="AK485" s="190"/>
      <c r="AL485" s="190"/>
    </row>
    <row r="486" spans="2:38" ht="12.75" customHeight="1">
      <c r="B486" s="6"/>
      <c r="C486" s="6"/>
      <c r="D486" s="12"/>
      <c r="E486" s="12"/>
      <c r="F486" s="12"/>
      <c r="G486" s="12"/>
      <c r="H486" s="6"/>
      <c r="I486" s="190"/>
      <c r="J486" s="190"/>
      <c r="K486" s="190"/>
      <c r="L486" s="190"/>
      <c r="M486" s="190"/>
      <c r="N486" s="190"/>
      <c r="O486" s="190"/>
      <c r="P486" s="190"/>
      <c r="Q486" s="190"/>
      <c r="R486" s="190"/>
      <c r="S486" s="190"/>
      <c r="T486" s="190"/>
      <c r="U486" s="190"/>
      <c r="V486" s="190"/>
      <c r="W486" s="190"/>
      <c r="X486" s="190"/>
      <c r="Y486" s="190"/>
      <c r="Z486" s="190"/>
      <c r="AA486" s="190"/>
      <c r="AB486" s="190"/>
      <c r="AC486" s="190"/>
      <c r="AD486" s="190"/>
      <c r="AE486" s="190"/>
      <c r="AF486" s="190"/>
      <c r="AG486" s="190"/>
      <c r="AH486" s="190"/>
      <c r="AI486" s="190"/>
      <c r="AJ486" s="190"/>
      <c r="AK486" s="190"/>
      <c r="AL486" s="190"/>
    </row>
    <row r="487" spans="2:38" ht="12.75" customHeight="1">
      <c r="B487" s="6"/>
      <c r="C487" s="6"/>
      <c r="D487" s="12"/>
      <c r="E487" s="12"/>
      <c r="F487" s="12"/>
      <c r="G487" s="12"/>
      <c r="H487" s="6"/>
      <c r="I487" s="190"/>
      <c r="J487" s="190"/>
      <c r="K487" s="190"/>
      <c r="L487" s="190"/>
      <c r="M487" s="190"/>
      <c r="N487" s="190"/>
      <c r="O487" s="190"/>
      <c r="P487" s="190"/>
      <c r="Q487" s="190"/>
      <c r="R487" s="190"/>
      <c r="S487" s="190"/>
      <c r="T487" s="190"/>
      <c r="U487" s="190"/>
      <c r="V487" s="190"/>
      <c r="W487" s="190"/>
      <c r="X487" s="190"/>
      <c r="Y487" s="190"/>
      <c r="Z487" s="190"/>
      <c r="AA487" s="190"/>
      <c r="AB487" s="190"/>
      <c r="AC487" s="190"/>
      <c r="AD487" s="190"/>
      <c r="AE487" s="190"/>
      <c r="AF487" s="190"/>
      <c r="AG487" s="190"/>
      <c r="AH487" s="190"/>
      <c r="AI487" s="190"/>
      <c r="AJ487" s="190"/>
      <c r="AK487" s="190"/>
      <c r="AL487" s="190"/>
    </row>
    <row r="488" spans="2:38" ht="12.75" customHeight="1">
      <c r="B488" s="6"/>
      <c r="C488" s="6"/>
      <c r="D488" s="12"/>
      <c r="E488" s="12"/>
      <c r="F488" s="12"/>
      <c r="G488" s="12"/>
      <c r="H488" s="6"/>
      <c r="I488" s="190"/>
      <c r="J488" s="190"/>
      <c r="K488" s="190"/>
      <c r="L488" s="190"/>
      <c r="M488" s="190"/>
      <c r="N488" s="190"/>
      <c r="O488" s="190"/>
      <c r="P488" s="190"/>
      <c r="Q488" s="190"/>
      <c r="R488" s="190"/>
      <c r="S488" s="190"/>
      <c r="T488" s="190"/>
      <c r="U488" s="190"/>
      <c r="V488" s="190"/>
      <c r="W488" s="190"/>
      <c r="X488" s="190"/>
      <c r="Y488" s="190"/>
      <c r="Z488" s="190"/>
      <c r="AA488" s="190"/>
      <c r="AB488" s="190"/>
      <c r="AC488" s="190"/>
      <c r="AD488" s="190"/>
      <c r="AE488" s="190"/>
      <c r="AF488" s="190"/>
      <c r="AG488" s="190"/>
      <c r="AH488" s="190"/>
      <c r="AI488" s="190"/>
      <c r="AJ488" s="190"/>
      <c r="AK488" s="190"/>
      <c r="AL488" s="190"/>
    </row>
    <row r="489" spans="2:38" ht="12.75" customHeight="1">
      <c r="B489" s="6"/>
      <c r="C489" s="6"/>
      <c r="D489" s="12"/>
      <c r="E489" s="12"/>
      <c r="F489" s="12"/>
      <c r="G489" s="12"/>
      <c r="H489" s="6"/>
      <c r="I489" s="190"/>
      <c r="J489" s="190"/>
      <c r="K489" s="190"/>
      <c r="L489" s="190"/>
      <c r="M489" s="190"/>
      <c r="N489" s="190"/>
      <c r="O489" s="190"/>
      <c r="P489" s="190"/>
      <c r="Q489" s="190"/>
      <c r="R489" s="190"/>
      <c r="S489" s="190"/>
      <c r="T489" s="190"/>
      <c r="U489" s="190"/>
      <c r="V489" s="190"/>
      <c r="W489" s="190"/>
      <c r="X489" s="190"/>
      <c r="Y489" s="190"/>
      <c r="Z489" s="190"/>
      <c r="AA489" s="190"/>
      <c r="AB489" s="190"/>
      <c r="AC489" s="190"/>
      <c r="AD489" s="190"/>
      <c r="AE489" s="190"/>
      <c r="AF489" s="190"/>
      <c r="AG489" s="190"/>
      <c r="AH489" s="190"/>
      <c r="AI489" s="190"/>
      <c r="AJ489" s="190"/>
      <c r="AK489" s="190"/>
      <c r="AL489" s="190"/>
    </row>
    <row r="490" spans="2:38" ht="12.75" customHeight="1">
      <c r="B490" s="6"/>
      <c r="C490" s="6"/>
      <c r="D490" s="12"/>
      <c r="E490" s="12"/>
      <c r="F490" s="12"/>
      <c r="G490" s="12"/>
      <c r="H490" s="6"/>
      <c r="I490" s="190"/>
      <c r="J490" s="190"/>
      <c r="K490" s="190"/>
      <c r="L490" s="190"/>
      <c r="M490" s="190"/>
      <c r="N490" s="190"/>
      <c r="O490" s="190"/>
      <c r="P490" s="190"/>
      <c r="Q490" s="190"/>
      <c r="R490" s="190"/>
      <c r="S490" s="190"/>
      <c r="T490" s="190"/>
      <c r="U490" s="190"/>
      <c r="V490" s="190"/>
      <c r="W490" s="190"/>
      <c r="X490" s="190"/>
      <c r="Y490" s="190"/>
      <c r="Z490" s="190"/>
      <c r="AA490" s="190"/>
      <c r="AB490" s="190"/>
      <c r="AC490" s="190"/>
      <c r="AD490" s="190"/>
      <c r="AE490" s="190"/>
      <c r="AF490" s="190"/>
      <c r="AG490" s="190"/>
      <c r="AH490" s="190"/>
      <c r="AI490" s="190"/>
      <c r="AJ490" s="190"/>
      <c r="AK490" s="190"/>
      <c r="AL490" s="190"/>
    </row>
    <row r="491" spans="2:38" ht="12.75" customHeight="1">
      <c r="B491" s="6"/>
      <c r="C491" s="6"/>
      <c r="D491" s="12"/>
      <c r="E491" s="12"/>
      <c r="F491" s="12"/>
      <c r="G491" s="12"/>
      <c r="H491" s="6"/>
      <c r="I491" s="190"/>
      <c r="J491" s="190"/>
      <c r="K491" s="190"/>
      <c r="L491" s="190"/>
      <c r="M491" s="190"/>
      <c r="N491" s="190"/>
      <c r="O491" s="190"/>
      <c r="P491" s="190"/>
      <c r="Q491" s="190"/>
      <c r="R491" s="190"/>
      <c r="S491" s="190"/>
      <c r="T491" s="190"/>
      <c r="U491" s="190"/>
      <c r="V491" s="190"/>
      <c r="W491" s="190"/>
      <c r="X491" s="190"/>
      <c r="Y491" s="190"/>
      <c r="Z491" s="190"/>
      <c r="AA491" s="190"/>
      <c r="AB491" s="190"/>
      <c r="AC491" s="190"/>
      <c r="AD491" s="190"/>
      <c r="AE491" s="190"/>
      <c r="AF491" s="190"/>
      <c r="AG491" s="190"/>
      <c r="AH491" s="190"/>
      <c r="AI491" s="190"/>
      <c r="AJ491" s="190"/>
      <c r="AK491" s="190"/>
      <c r="AL491" s="190"/>
    </row>
    <row r="492" spans="2:38" ht="12.75" customHeight="1">
      <c r="B492" s="6"/>
      <c r="C492" s="6"/>
      <c r="D492" s="12"/>
      <c r="E492" s="12"/>
      <c r="F492" s="12"/>
      <c r="G492" s="12"/>
      <c r="H492" s="6"/>
      <c r="I492" s="190"/>
      <c r="J492" s="190"/>
      <c r="K492" s="190"/>
      <c r="L492" s="190"/>
      <c r="M492" s="190"/>
      <c r="N492" s="190"/>
      <c r="O492" s="190"/>
      <c r="P492" s="190"/>
      <c r="Q492" s="190"/>
      <c r="R492" s="190"/>
      <c r="S492" s="190"/>
      <c r="T492" s="190"/>
      <c r="U492" s="190"/>
      <c r="V492" s="190"/>
      <c r="W492" s="190"/>
      <c r="X492" s="190"/>
      <c r="Y492" s="190"/>
      <c r="Z492" s="190"/>
      <c r="AA492" s="190"/>
      <c r="AB492" s="190"/>
      <c r="AC492" s="190"/>
      <c r="AD492" s="190"/>
      <c r="AE492" s="190"/>
      <c r="AF492" s="190"/>
      <c r="AG492" s="190"/>
      <c r="AH492" s="190"/>
      <c r="AI492" s="190"/>
      <c r="AJ492" s="190"/>
      <c r="AK492" s="190"/>
      <c r="AL492" s="190"/>
    </row>
    <row r="493" spans="2:38" ht="12.75" customHeight="1">
      <c r="B493" s="6"/>
      <c r="C493" s="6"/>
      <c r="D493" s="12"/>
      <c r="E493" s="12"/>
      <c r="F493" s="12"/>
      <c r="G493" s="12"/>
      <c r="H493" s="6"/>
      <c r="I493" s="190"/>
      <c r="J493" s="190"/>
      <c r="K493" s="190"/>
      <c r="L493" s="190"/>
      <c r="M493" s="190"/>
      <c r="N493" s="190"/>
      <c r="O493" s="190"/>
      <c r="P493" s="190"/>
      <c r="Q493" s="190"/>
      <c r="R493" s="190"/>
      <c r="S493" s="190"/>
      <c r="T493" s="190"/>
      <c r="U493" s="190"/>
      <c r="V493" s="190"/>
      <c r="W493" s="190"/>
      <c r="X493" s="190"/>
      <c r="Y493" s="190"/>
      <c r="Z493" s="190"/>
      <c r="AA493" s="190"/>
      <c r="AB493" s="190"/>
      <c r="AC493" s="190"/>
      <c r="AD493" s="190"/>
      <c r="AE493" s="190"/>
      <c r="AF493" s="190"/>
      <c r="AG493" s="190"/>
      <c r="AH493" s="190"/>
      <c r="AI493" s="190"/>
      <c r="AJ493" s="190"/>
      <c r="AK493" s="190"/>
      <c r="AL493" s="190"/>
    </row>
    <row r="494" spans="2:38" ht="12.75" customHeight="1">
      <c r="B494" s="6"/>
      <c r="C494" s="6"/>
      <c r="D494" s="12"/>
      <c r="E494" s="12"/>
      <c r="F494" s="12"/>
      <c r="G494" s="12"/>
      <c r="H494" s="6"/>
      <c r="I494" s="190"/>
      <c r="J494" s="190"/>
      <c r="K494" s="190"/>
      <c r="L494" s="190"/>
      <c r="M494" s="190"/>
      <c r="N494" s="190"/>
      <c r="O494" s="190"/>
      <c r="P494" s="190"/>
      <c r="Q494" s="190"/>
      <c r="R494" s="190"/>
      <c r="S494" s="190"/>
      <c r="T494" s="190"/>
      <c r="U494" s="190"/>
      <c r="V494" s="190"/>
      <c r="W494" s="190"/>
      <c r="X494" s="190"/>
      <c r="Y494" s="190"/>
      <c r="Z494" s="190"/>
      <c r="AA494" s="190"/>
      <c r="AB494" s="190"/>
      <c r="AC494" s="190"/>
      <c r="AD494" s="190"/>
      <c r="AE494" s="190"/>
      <c r="AF494" s="190"/>
      <c r="AG494" s="190"/>
      <c r="AH494" s="190"/>
      <c r="AI494" s="190"/>
      <c r="AJ494" s="190"/>
      <c r="AK494" s="190"/>
      <c r="AL494" s="190"/>
    </row>
    <row r="495" spans="2:38" ht="12.75" customHeight="1">
      <c r="B495" s="6"/>
      <c r="C495" s="6"/>
      <c r="D495" s="12"/>
      <c r="E495" s="12"/>
      <c r="F495" s="12"/>
      <c r="G495" s="12"/>
      <c r="H495" s="6"/>
      <c r="I495" s="190"/>
      <c r="J495" s="190"/>
      <c r="K495" s="190"/>
      <c r="L495" s="190"/>
      <c r="M495" s="190"/>
      <c r="N495" s="190"/>
      <c r="O495" s="190"/>
      <c r="P495" s="190"/>
      <c r="Q495" s="190"/>
      <c r="R495" s="190"/>
      <c r="S495" s="190"/>
      <c r="T495" s="190"/>
      <c r="U495" s="190"/>
      <c r="V495" s="190"/>
      <c r="W495" s="190"/>
      <c r="X495" s="190"/>
      <c r="Y495" s="190"/>
      <c r="Z495" s="190"/>
      <c r="AA495" s="190"/>
      <c r="AB495" s="190"/>
      <c r="AC495" s="190"/>
      <c r="AD495" s="190"/>
      <c r="AE495" s="190"/>
      <c r="AF495" s="190"/>
      <c r="AG495" s="190"/>
      <c r="AH495" s="190"/>
      <c r="AI495" s="190"/>
      <c r="AJ495" s="190"/>
      <c r="AK495" s="190"/>
      <c r="AL495" s="190"/>
    </row>
    <row r="496" spans="2:38" ht="12.75" customHeight="1">
      <c r="B496" s="6"/>
      <c r="C496" s="6"/>
      <c r="D496" s="12"/>
      <c r="E496" s="12"/>
      <c r="F496" s="12"/>
      <c r="G496" s="12"/>
      <c r="H496" s="6"/>
      <c r="I496" s="190"/>
      <c r="J496" s="190"/>
      <c r="K496" s="190"/>
      <c r="L496" s="190"/>
      <c r="M496" s="190"/>
      <c r="N496" s="190"/>
      <c r="O496" s="190"/>
      <c r="P496" s="190"/>
      <c r="Q496" s="190"/>
      <c r="R496" s="190"/>
      <c r="S496" s="190"/>
      <c r="T496" s="190"/>
      <c r="U496" s="190"/>
      <c r="V496" s="190"/>
      <c r="W496" s="190"/>
      <c r="X496" s="190"/>
      <c r="Y496" s="190"/>
      <c r="Z496" s="190"/>
      <c r="AA496" s="190"/>
      <c r="AB496" s="190"/>
      <c r="AC496" s="190"/>
      <c r="AD496" s="190"/>
      <c r="AE496" s="190"/>
      <c r="AF496" s="190"/>
      <c r="AG496" s="190"/>
      <c r="AH496" s="190"/>
      <c r="AI496" s="190"/>
      <c r="AJ496" s="190"/>
      <c r="AK496" s="190"/>
      <c r="AL496" s="190"/>
    </row>
    <row r="497" spans="2:38" ht="12.75" customHeight="1">
      <c r="B497" s="6"/>
      <c r="C497" s="6"/>
      <c r="D497" s="12"/>
      <c r="E497" s="12"/>
      <c r="F497" s="12"/>
      <c r="G497" s="12"/>
      <c r="H497" s="6"/>
      <c r="I497" s="190"/>
      <c r="J497" s="190"/>
      <c r="K497" s="190"/>
      <c r="L497" s="190"/>
      <c r="M497" s="190"/>
      <c r="N497" s="190"/>
      <c r="O497" s="190"/>
      <c r="P497" s="190"/>
      <c r="Q497" s="190"/>
      <c r="R497" s="190"/>
      <c r="S497" s="190"/>
      <c r="T497" s="190"/>
      <c r="U497" s="190"/>
      <c r="V497" s="190"/>
      <c r="W497" s="190"/>
      <c r="X497" s="190"/>
      <c r="Y497" s="190"/>
      <c r="Z497" s="190"/>
      <c r="AA497" s="190"/>
      <c r="AB497" s="190"/>
      <c r="AC497" s="190"/>
      <c r="AD497" s="190"/>
      <c r="AE497" s="190"/>
      <c r="AF497" s="190"/>
      <c r="AG497" s="190"/>
      <c r="AH497" s="190"/>
      <c r="AI497" s="190"/>
      <c r="AJ497" s="190"/>
      <c r="AK497" s="190"/>
      <c r="AL497" s="190"/>
    </row>
    <row r="498" spans="2:38" ht="12.75" customHeight="1">
      <c r="B498" s="6"/>
      <c r="C498" s="6"/>
      <c r="D498" s="12"/>
      <c r="E498" s="12"/>
      <c r="F498" s="12"/>
      <c r="G498" s="12"/>
      <c r="H498" s="6"/>
      <c r="I498" s="190"/>
      <c r="J498" s="190"/>
      <c r="K498" s="190"/>
      <c r="L498" s="190"/>
      <c r="M498" s="190"/>
      <c r="N498" s="190"/>
      <c r="O498" s="190"/>
      <c r="P498" s="190"/>
      <c r="Q498" s="190"/>
      <c r="R498" s="190"/>
      <c r="S498" s="190"/>
      <c r="T498" s="190"/>
      <c r="U498" s="190"/>
      <c r="V498" s="190"/>
      <c r="W498" s="190"/>
      <c r="X498" s="190"/>
      <c r="Y498" s="190"/>
      <c r="Z498" s="190"/>
      <c r="AA498" s="190"/>
      <c r="AB498" s="190"/>
      <c r="AC498" s="190"/>
      <c r="AD498" s="190"/>
      <c r="AE498" s="190"/>
      <c r="AF498" s="190"/>
      <c r="AG498" s="190"/>
      <c r="AH498" s="190"/>
      <c r="AI498" s="190"/>
      <c r="AJ498" s="190"/>
      <c r="AK498" s="190"/>
      <c r="AL498" s="190"/>
    </row>
    <row r="499" spans="2:38" ht="12.75" customHeight="1">
      <c r="B499" s="6"/>
      <c r="C499" s="6"/>
      <c r="D499" s="12"/>
      <c r="E499" s="12"/>
      <c r="F499" s="12"/>
      <c r="G499" s="12"/>
      <c r="H499" s="6"/>
      <c r="I499" s="190"/>
      <c r="J499" s="190"/>
      <c r="K499" s="190"/>
      <c r="L499" s="190"/>
      <c r="M499" s="190"/>
      <c r="N499" s="190"/>
      <c r="O499" s="190"/>
      <c r="P499" s="190"/>
      <c r="Q499" s="190"/>
      <c r="R499" s="190"/>
      <c r="S499" s="190"/>
      <c r="T499" s="190"/>
      <c r="U499" s="190"/>
      <c r="V499" s="190"/>
      <c r="W499" s="190"/>
      <c r="X499" s="190"/>
      <c r="Y499" s="190"/>
      <c r="Z499" s="190"/>
      <c r="AA499" s="190"/>
      <c r="AB499" s="190"/>
      <c r="AC499" s="190"/>
      <c r="AD499" s="190"/>
      <c r="AE499" s="190"/>
      <c r="AF499" s="190"/>
      <c r="AG499" s="190"/>
      <c r="AH499" s="190"/>
      <c r="AI499" s="190"/>
      <c r="AJ499" s="190"/>
      <c r="AK499" s="190"/>
      <c r="AL499" s="190"/>
    </row>
    <row r="500" spans="2:38" ht="12.75" customHeight="1">
      <c r="B500" s="6"/>
      <c r="C500" s="6"/>
      <c r="D500" s="12"/>
      <c r="E500" s="12"/>
      <c r="F500" s="12"/>
      <c r="G500" s="12"/>
      <c r="H500" s="6"/>
      <c r="I500" s="190"/>
      <c r="J500" s="190"/>
      <c r="K500" s="190"/>
      <c r="L500" s="190"/>
      <c r="M500" s="190"/>
      <c r="N500" s="190"/>
      <c r="O500" s="190"/>
      <c r="P500" s="190"/>
      <c r="Q500" s="190"/>
      <c r="R500" s="190"/>
      <c r="S500" s="190"/>
      <c r="T500" s="190"/>
      <c r="U500" s="190"/>
      <c r="V500" s="190"/>
      <c r="W500" s="190"/>
      <c r="X500" s="190"/>
      <c r="Y500" s="190"/>
      <c r="Z500" s="190"/>
      <c r="AA500" s="190"/>
      <c r="AB500" s="190"/>
      <c r="AC500" s="190"/>
      <c r="AD500" s="190"/>
      <c r="AE500" s="190"/>
      <c r="AF500" s="190"/>
      <c r="AG500" s="190"/>
      <c r="AH500" s="190"/>
      <c r="AI500" s="190"/>
      <c r="AJ500" s="190"/>
      <c r="AK500" s="190"/>
      <c r="AL500" s="190"/>
    </row>
    <row r="501" spans="2:38" ht="12.75" customHeight="1">
      <c r="B501" s="6"/>
      <c r="C501" s="6"/>
      <c r="D501" s="12"/>
      <c r="E501" s="12"/>
      <c r="F501" s="12"/>
      <c r="G501" s="12"/>
      <c r="H501" s="6"/>
      <c r="I501" s="190"/>
      <c r="J501" s="190"/>
      <c r="K501" s="190"/>
      <c r="L501" s="190"/>
      <c r="M501" s="190"/>
      <c r="N501" s="190"/>
      <c r="O501" s="190"/>
      <c r="P501" s="190"/>
      <c r="Q501" s="190"/>
      <c r="R501" s="190"/>
      <c r="S501" s="190"/>
      <c r="T501" s="190"/>
      <c r="U501" s="190"/>
      <c r="V501" s="190"/>
      <c r="W501" s="190"/>
      <c r="X501" s="190"/>
      <c r="Y501" s="190"/>
      <c r="Z501" s="190"/>
      <c r="AA501" s="190"/>
      <c r="AB501" s="190"/>
      <c r="AC501" s="190"/>
      <c r="AD501" s="190"/>
      <c r="AE501" s="190"/>
      <c r="AF501" s="190"/>
      <c r="AG501" s="190"/>
      <c r="AH501" s="190"/>
      <c r="AI501" s="190"/>
      <c r="AJ501" s="190"/>
      <c r="AK501" s="190"/>
      <c r="AL501" s="190"/>
    </row>
    <row r="502" spans="2:38" ht="12.75" customHeight="1">
      <c r="B502" s="6"/>
      <c r="C502" s="6"/>
      <c r="D502" s="12"/>
      <c r="E502" s="12"/>
      <c r="F502" s="12"/>
      <c r="G502" s="12"/>
      <c r="H502" s="6"/>
      <c r="I502" s="190"/>
      <c r="J502" s="190"/>
      <c r="K502" s="190"/>
      <c r="L502" s="190"/>
      <c r="M502" s="190"/>
      <c r="N502" s="190"/>
      <c r="O502" s="190"/>
      <c r="P502" s="190"/>
      <c r="Q502" s="190"/>
      <c r="R502" s="190"/>
      <c r="S502" s="190"/>
      <c r="T502" s="190"/>
      <c r="U502" s="190"/>
      <c r="V502" s="190"/>
      <c r="W502" s="190"/>
      <c r="X502" s="190"/>
      <c r="Y502" s="190"/>
      <c r="Z502" s="190"/>
      <c r="AA502" s="190"/>
      <c r="AB502" s="190"/>
      <c r="AC502" s="190"/>
      <c r="AD502" s="190"/>
      <c r="AE502" s="190"/>
      <c r="AF502" s="190"/>
      <c r="AG502" s="190"/>
      <c r="AH502" s="190"/>
      <c r="AI502" s="190"/>
      <c r="AJ502" s="190"/>
      <c r="AK502" s="190"/>
      <c r="AL502" s="190"/>
    </row>
    <row r="503" spans="2:38" ht="12.75" customHeight="1">
      <c r="B503" s="6"/>
      <c r="C503" s="6"/>
      <c r="D503" s="12"/>
      <c r="E503" s="12"/>
      <c r="F503" s="12"/>
      <c r="G503" s="12"/>
      <c r="H503" s="6"/>
      <c r="I503" s="190"/>
      <c r="J503" s="190"/>
      <c r="K503" s="190"/>
      <c r="L503" s="190"/>
      <c r="M503" s="190"/>
      <c r="N503" s="190"/>
      <c r="O503" s="190"/>
      <c r="P503" s="190"/>
      <c r="Q503" s="190"/>
      <c r="R503" s="190"/>
      <c r="S503" s="190"/>
      <c r="T503" s="190"/>
      <c r="U503" s="190"/>
      <c r="V503" s="190"/>
      <c r="W503" s="190"/>
      <c r="X503" s="190"/>
      <c r="Y503" s="190"/>
      <c r="Z503" s="190"/>
      <c r="AA503" s="190"/>
      <c r="AB503" s="190"/>
      <c r="AC503" s="190"/>
      <c r="AD503" s="190"/>
      <c r="AE503" s="190"/>
      <c r="AF503" s="190"/>
      <c r="AG503" s="190"/>
      <c r="AH503" s="190"/>
      <c r="AI503" s="190"/>
      <c r="AJ503" s="190"/>
      <c r="AK503" s="190"/>
      <c r="AL503" s="190"/>
    </row>
    <row r="504" spans="2:38" ht="12.75" customHeight="1">
      <c r="B504" s="6"/>
      <c r="C504" s="6"/>
      <c r="D504" s="12"/>
      <c r="E504" s="12"/>
      <c r="F504" s="12"/>
      <c r="G504" s="12"/>
      <c r="H504" s="6"/>
      <c r="I504" s="190"/>
      <c r="J504" s="190"/>
      <c r="K504" s="190"/>
      <c r="L504" s="190"/>
      <c r="M504" s="190"/>
      <c r="N504" s="190"/>
      <c r="O504" s="190"/>
      <c r="P504" s="190"/>
      <c r="Q504" s="190"/>
      <c r="R504" s="190"/>
      <c r="S504" s="190"/>
      <c r="T504" s="190"/>
      <c r="U504" s="190"/>
      <c r="V504" s="190"/>
      <c r="W504" s="190"/>
      <c r="X504" s="190"/>
      <c r="Y504" s="190"/>
      <c r="Z504" s="190"/>
      <c r="AA504" s="190"/>
      <c r="AB504" s="190"/>
      <c r="AC504" s="190"/>
      <c r="AD504" s="190"/>
      <c r="AE504" s="190"/>
      <c r="AF504" s="190"/>
      <c r="AG504" s="190"/>
      <c r="AH504" s="190"/>
      <c r="AI504" s="190"/>
      <c r="AJ504" s="190"/>
      <c r="AK504" s="190"/>
      <c r="AL504" s="190"/>
    </row>
    <row r="505" spans="2:38" ht="12.75" customHeight="1">
      <c r="B505" s="6"/>
      <c r="C505" s="6"/>
      <c r="D505" s="12"/>
      <c r="E505" s="12"/>
      <c r="F505" s="12"/>
      <c r="G505" s="12"/>
      <c r="H505" s="6"/>
      <c r="I505" s="190"/>
      <c r="J505" s="190"/>
      <c r="K505" s="190"/>
      <c r="L505" s="190"/>
      <c r="M505" s="190"/>
      <c r="N505" s="190"/>
      <c r="O505" s="190"/>
      <c r="P505" s="190"/>
      <c r="Q505" s="190"/>
      <c r="R505" s="190"/>
      <c r="S505" s="190"/>
      <c r="T505" s="190"/>
      <c r="U505" s="190"/>
      <c r="V505" s="190"/>
      <c r="W505" s="190"/>
      <c r="X505" s="190"/>
      <c r="Y505" s="190"/>
      <c r="Z505" s="190"/>
      <c r="AA505" s="190"/>
      <c r="AB505" s="190"/>
      <c r="AC505" s="190"/>
      <c r="AD505" s="190"/>
      <c r="AE505" s="190"/>
      <c r="AF505" s="190"/>
      <c r="AG505" s="190"/>
      <c r="AH505" s="190"/>
      <c r="AI505" s="190"/>
      <c r="AJ505" s="190"/>
      <c r="AK505" s="190"/>
      <c r="AL505" s="190"/>
    </row>
    <row r="506" spans="2:38" ht="12.75" customHeight="1">
      <c r="B506" s="6"/>
      <c r="C506" s="6"/>
      <c r="D506" s="12"/>
      <c r="E506" s="12"/>
      <c r="F506" s="12"/>
      <c r="G506" s="12"/>
      <c r="H506" s="6"/>
      <c r="I506" s="190"/>
      <c r="J506" s="190"/>
      <c r="K506" s="190"/>
      <c r="L506" s="190"/>
      <c r="M506" s="190"/>
      <c r="N506" s="190"/>
      <c r="O506" s="190"/>
      <c r="P506" s="190"/>
      <c r="Q506" s="190"/>
      <c r="R506" s="190"/>
      <c r="S506" s="190"/>
      <c r="T506" s="190"/>
      <c r="U506" s="190"/>
      <c r="V506" s="190"/>
      <c r="W506" s="190"/>
      <c r="X506" s="190"/>
      <c r="Y506" s="190"/>
      <c r="Z506" s="190"/>
      <c r="AA506" s="190"/>
      <c r="AB506" s="190"/>
      <c r="AC506" s="190"/>
      <c r="AD506" s="190"/>
      <c r="AE506" s="190"/>
      <c r="AF506" s="190"/>
      <c r="AG506" s="190"/>
      <c r="AH506" s="190"/>
      <c r="AI506" s="190"/>
      <c r="AJ506" s="190"/>
      <c r="AK506" s="190"/>
      <c r="AL506" s="190"/>
    </row>
    <row r="507" spans="2:38" ht="12.75" customHeight="1">
      <c r="B507" s="6"/>
      <c r="C507" s="6"/>
      <c r="D507" s="12"/>
      <c r="E507" s="12"/>
      <c r="F507" s="12"/>
      <c r="G507" s="12"/>
      <c r="H507" s="6"/>
      <c r="I507" s="190"/>
      <c r="J507" s="190"/>
      <c r="K507" s="190"/>
      <c r="L507" s="190"/>
      <c r="M507" s="190"/>
      <c r="N507" s="190"/>
      <c r="O507" s="190"/>
      <c r="P507" s="190"/>
      <c r="Q507" s="190"/>
      <c r="R507" s="190"/>
      <c r="S507" s="190"/>
      <c r="T507" s="190"/>
      <c r="U507" s="190"/>
      <c r="V507" s="190"/>
      <c r="W507" s="190"/>
      <c r="X507" s="190"/>
      <c r="Y507" s="190"/>
      <c r="Z507" s="190"/>
      <c r="AA507" s="190"/>
      <c r="AB507" s="190"/>
      <c r="AC507" s="190"/>
      <c r="AD507" s="190"/>
      <c r="AE507" s="190"/>
      <c r="AF507" s="190"/>
      <c r="AG507" s="190"/>
      <c r="AH507" s="190"/>
      <c r="AI507" s="190"/>
      <c r="AJ507" s="190"/>
      <c r="AK507" s="190"/>
      <c r="AL507" s="190"/>
    </row>
    <row r="508" spans="2:38" ht="12.75" customHeight="1">
      <c r="B508" s="6"/>
      <c r="C508" s="6"/>
      <c r="D508" s="12"/>
      <c r="E508" s="12"/>
      <c r="F508" s="12"/>
      <c r="G508" s="12"/>
      <c r="H508" s="6"/>
      <c r="I508" s="190"/>
      <c r="J508" s="190"/>
      <c r="K508" s="190"/>
      <c r="L508" s="190"/>
      <c r="M508" s="190"/>
      <c r="N508" s="190"/>
      <c r="O508" s="190"/>
      <c r="P508" s="190"/>
      <c r="Q508" s="190"/>
      <c r="R508" s="190"/>
      <c r="S508" s="190"/>
      <c r="T508" s="190"/>
      <c r="U508" s="190"/>
      <c r="V508" s="190"/>
      <c r="W508" s="190"/>
      <c r="X508" s="190"/>
      <c r="Y508" s="190"/>
      <c r="Z508" s="190"/>
      <c r="AA508" s="190"/>
      <c r="AB508" s="190"/>
      <c r="AC508" s="190"/>
      <c r="AD508" s="190"/>
      <c r="AE508" s="190"/>
      <c r="AF508" s="190"/>
      <c r="AG508" s="190"/>
      <c r="AH508" s="190"/>
      <c r="AI508" s="190"/>
      <c r="AJ508" s="190"/>
      <c r="AK508" s="190"/>
      <c r="AL508" s="190"/>
    </row>
    <row r="509" spans="2:38" ht="12.75" customHeight="1">
      <c r="B509" s="6"/>
      <c r="C509" s="6"/>
      <c r="D509" s="12"/>
      <c r="E509" s="12"/>
      <c r="F509" s="12"/>
      <c r="G509" s="12"/>
      <c r="H509" s="6"/>
      <c r="I509" s="190"/>
      <c r="J509" s="190"/>
      <c r="K509" s="190"/>
      <c r="L509" s="190"/>
      <c r="M509" s="190"/>
      <c r="N509" s="190"/>
      <c r="O509" s="190"/>
      <c r="P509" s="190"/>
      <c r="Q509" s="190"/>
      <c r="R509" s="190"/>
      <c r="S509" s="190"/>
      <c r="T509" s="190"/>
      <c r="U509" s="190"/>
      <c r="V509" s="190"/>
      <c r="W509" s="190"/>
      <c r="X509" s="190"/>
      <c r="Y509" s="190"/>
      <c r="Z509" s="190"/>
      <c r="AA509" s="190"/>
      <c r="AB509" s="190"/>
      <c r="AC509" s="190"/>
      <c r="AD509" s="190"/>
      <c r="AE509" s="190"/>
      <c r="AF509" s="190"/>
      <c r="AG509" s="190"/>
      <c r="AH509" s="190"/>
      <c r="AI509" s="190"/>
      <c r="AJ509" s="190"/>
      <c r="AK509" s="190"/>
      <c r="AL509" s="190"/>
    </row>
    <row r="510" spans="2:38" ht="12.75" customHeight="1">
      <c r="B510" s="6"/>
      <c r="C510" s="6"/>
      <c r="D510" s="12"/>
      <c r="E510" s="12"/>
      <c r="F510" s="12"/>
      <c r="G510" s="12"/>
      <c r="H510" s="6"/>
      <c r="I510" s="190"/>
      <c r="J510" s="190"/>
      <c r="K510" s="190"/>
      <c r="L510" s="190"/>
      <c r="M510" s="190"/>
      <c r="N510" s="190"/>
      <c r="O510" s="190"/>
      <c r="P510" s="190"/>
      <c r="Q510" s="190"/>
      <c r="R510" s="190"/>
      <c r="S510" s="190"/>
      <c r="T510" s="190"/>
      <c r="U510" s="190"/>
      <c r="V510" s="190"/>
      <c r="W510" s="190"/>
      <c r="X510" s="190"/>
      <c r="Y510" s="190"/>
      <c r="Z510" s="190"/>
      <c r="AA510" s="190"/>
      <c r="AB510" s="190"/>
      <c r="AC510" s="190"/>
      <c r="AD510" s="190"/>
      <c r="AE510" s="190"/>
      <c r="AF510" s="190"/>
      <c r="AG510" s="190"/>
      <c r="AH510" s="190"/>
      <c r="AI510" s="190"/>
      <c r="AJ510" s="190"/>
      <c r="AK510" s="190"/>
      <c r="AL510" s="190"/>
    </row>
    <row r="511" spans="2:38" ht="12.75" customHeight="1">
      <c r="B511" s="6"/>
      <c r="C511" s="6"/>
      <c r="D511" s="12"/>
      <c r="E511" s="12"/>
      <c r="F511" s="12"/>
      <c r="G511" s="12"/>
      <c r="H511" s="6"/>
      <c r="I511" s="190"/>
      <c r="J511" s="190"/>
      <c r="K511" s="190"/>
      <c r="L511" s="190"/>
      <c r="M511" s="190"/>
      <c r="N511" s="190"/>
      <c r="O511" s="190"/>
      <c r="P511" s="190"/>
      <c r="Q511" s="190"/>
      <c r="R511" s="190"/>
      <c r="S511" s="190"/>
      <c r="T511" s="190"/>
      <c r="U511" s="190"/>
      <c r="V511" s="190"/>
      <c r="W511" s="190"/>
      <c r="X511" s="190"/>
      <c r="Y511" s="190"/>
      <c r="Z511" s="190"/>
      <c r="AA511" s="190"/>
      <c r="AB511" s="190"/>
      <c r="AC511" s="190"/>
      <c r="AD511" s="190"/>
      <c r="AE511" s="190"/>
      <c r="AF511" s="190"/>
      <c r="AG511" s="190"/>
      <c r="AH511" s="190"/>
      <c r="AI511" s="190"/>
      <c r="AJ511" s="190"/>
      <c r="AK511" s="190"/>
      <c r="AL511" s="190"/>
    </row>
    <row r="512" spans="2:38" ht="12.75" customHeight="1">
      <c r="B512" s="6"/>
      <c r="C512" s="6"/>
      <c r="D512" s="12"/>
      <c r="E512" s="12"/>
      <c r="F512" s="12"/>
      <c r="G512" s="12"/>
      <c r="H512" s="6"/>
      <c r="I512" s="190"/>
      <c r="J512" s="190"/>
      <c r="K512" s="190"/>
      <c r="L512" s="190"/>
      <c r="M512" s="190"/>
      <c r="N512" s="190"/>
      <c r="O512" s="190"/>
      <c r="P512" s="190"/>
      <c r="Q512" s="190"/>
      <c r="R512" s="190"/>
      <c r="S512" s="190"/>
      <c r="T512" s="190"/>
      <c r="U512" s="190"/>
      <c r="V512" s="190"/>
      <c r="W512" s="190"/>
      <c r="X512" s="190"/>
      <c r="Y512" s="190"/>
      <c r="Z512" s="190"/>
      <c r="AA512" s="190"/>
      <c r="AB512" s="190"/>
      <c r="AC512" s="190"/>
      <c r="AD512" s="190"/>
      <c r="AE512" s="190"/>
      <c r="AF512" s="190"/>
      <c r="AG512" s="190"/>
      <c r="AH512" s="190"/>
      <c r="AI512" s="190"/>
      <c r="AJ512" s="190"/>
      <c r="AK512" s="190"/>
      <c r="AL512" s="190"/>
    </row>
    <row r="513" spans="2:38" ht="12.75" customHeight="1">
      <c r="B513" s="6"/>
      <c r="C513" s="6"/>
      <c r="D513" s="12"/>
      <c r="E513" s="12"/>
      <c r="F513" s="12"/>
      <c r="G513" s="12"/>
      <c r="H513" s="6"/>
      <c r="I513" s="190"/>
      <c r="J513" s="190"/>
      <c r="K513" s="190"/>
      <c r="L513" s="190"/>
      <c r="M513" s="190"/>
      <c r="N513" s="190"/>
      <c r="O513" s="190"/>
      <c r="P513" s="190"/>
      <c r="Q513" s="190"/>
      <c r="R513" s="190"/>
      <c r="S513" s="190"/>
      <c r="T513" s="190"/>
      <c r="U513" s="190"/>
      <c r="V513" s="190"/>
      <c r="W513" s="190"/>
      <c r="X513" s="190"/>
      <c r="Y513" s="190"/>
      <c r="Z513" s="190"/>
      <c r="AA513" s="190"/>
      <c r="AB513" s="190"/>
      <c r="AC513" s="190"/>
      <c r="AD513" s="190"/>
      <c r="AE513" s="190"/>
      <c r="AF513" s="190"/>
      <c r="AG513" s="190"/>
      <c r="AH513" s="190"/>
      <c r="AI513" s="190"/>
      <c r="AJ513" s="190"/>
      <c r="AK513" s="190"/>
      <c r="AL513" s="190"/>
    </row>
    <row r="514" spans="2:38" ht="12.75" customHeight="1">
      <c r="B514" s="6"/>
      <c r="C514" s="6"/>
      <c r="D514" s="12"/>
      <c r="E514" s="12"/>
      <c r="F514" s="12"/>
      <c r="G514" s="12"/>
      <c r="H514" s="6"/>
      <c r="I514" s="190"/>
      <c r="J514" s="190"/>
      <c r="K514" s="190"/>
      <c r="L514" s="190"/>
      <c r="M514" s="190"/>
      <c r="N514" s="190"/>
      <c r="O514" s="190"/>
      <c r="P514" s="190"/>
      <c r="Q514" s="190"/>
      <c r="R514" s="190"/>
      <c r="S514" s="190"/>
      <c r="T514" s="190"/>
      <c r="U514" s="190"/>
      <c r="V514" s="190"/>
      <c r="W514" s="190"/>
      <c r="X514" s="190"/>
      <c r="Y514" s="190"/>
      <c r="Z514" s="190"/>
      <c r="AA514" s="190"/>
      <c r="AB514" s="190"/>
      <c r="AC514" s="190"/>
      <c r="AD514" s="190"/>
      <c r="AE514" s="190"/>
      <c r="AF514" s="190"/>
      <c r="AG514" s="190"/>
      <c r="AH514" s="190"/>
      <c r="AI514" s="190"/>
      <c r="AJ514" s="190"/>
      <c r="AK514" s="190"/>
      <c r="AL514" s="190"/>
    </row>
    <row r="515" spans="2:38" ht="12.75" customHeight="1">
      <c r="B515" s="6"/>
      <c r="C515" s="6"/>
      <c r="D515" s="12"/>
      <c r="E515" s="12"/>
      <c r="F515" s="12"/>
      <c r="G515" s="12"/>
      <c r="H515" s="6"/>
      <c r="I515" s="190"/>
      <c r="J515" s="190"/>
      <c r="K515" s="190"/>
      <c r="L515" s="190"/>
      <c r="M515" s="190"/>
      <c r="N515" s="190"/>
      <c r="O515" s="190"/>
      <c r="P515" s="190"/>
      <c r="Q515" s="190"/>
      <c r="R515" s="190"/>
      <c r="S515" s="190"/>
      <c r="T515" s="190"/>
      <c r="U515" s="190"/>
      <c r="V515" s="190"/>
      <c r="W515" s="190"/>
      <c r="X515" s="190"/>
      <c r="Y515" s="190"/>
      <c r="Z515" s="190"/>
      <c r="AA515" s="190"/>
      <c r="AB515" s="190"/>
      <c r="AC515" s="190"/>
      <c r="AD515" s="190"/>
      <c r="AE515" s="190"/>
      <c r="AF515" s="190"/>
      <c r="AG515" s="190"/>
      <c r="AH515" s="190"/>
      <c r="AI515" s="190"/>
      <c r="AJ515" s="190"/>
      <c r="AK515" s="190"/>
      <c r="AL515" s="190"/>
    </row>
    <row r="516" spans="2:38" ht="12.75" customHeight="1">
      <c r="B516" s="6"/>
      <c r="C516" s="6"/>
      <c r="D516" s="12"/>
      <c r="E516" s="12"/>
      <c r="F516" s="12"/>
      <c r="G516" s="12"/>
      <c r="H516" s="6"/>
      <c r="I516" s="190"/>
      <c r="J516" s="190"/>
      <c r="K516" s="190"/>
      <c r="L516" s="190"/>
      <c r="M516" s="190"/>
      <c r="N516" s="190"/>
      <c r="O516" s="190"/>
      <c r="P516" s="190"/>
      <c r="Q516" s="190"/>
      <c r="R516" s="190"/>
      <c r="S516" s="190"/>
      <c r="T516" s="190"/>
      <c r="U516" s="190"/>
      <c r="V516" s="190"/>
      <c r="W516" s="190"/>
      <c r="X516" s="190"/>
      <c r="Y516" s="190"/>
      <c r="Z516" s="190"/>
      <c r="AA516" s="190"/>
      <c r="AB516" s="190"/>
      <c r="AC516" s="190"/>
      <c r="AD516" s="190"/>
      <c r="AE516" s="190"/>
      <c r="AF516" s="190"/>
      <c r="AG516" s="190"/>
      <c r="AH516" s="190"/>
      <c r="AI516" s="190"/>
      <c r="AJ516" s="190"/>
      <c r="AK516" s="190"/>
      <c r="AL516" s="190"/>
    </row>
    <row r="517" spans="2:38" ht="12.75" customHeight="1">
      <c r="B517" s="6"/>
      <c r="C517" s="6"/>
      <c r="D517" s="12"/>
      <c r="E517" s="12"/>
      <c r="F517" s="12"/>
      <c r="G517" s="12"/>
      <c r="H517" s="6"/>
      <c r="I517" s="190"/>
      <c r="J517" s="190"/>
      <c r="K517" s="190"/>
      <c r="L517" s="190"/>
      <c r="M517" s="190"/>
      <c r="N517" s="190"/>
      <c r="O517" s="190"/>
      <c r="P517" s="190"/>
      <c r="Q517" s="190"/>
      <c r="R517" s="190"/>
      <c r="S517" s="190"/>
      <c r="T517" s="190"/>
      <c r="U517" s="190"/>
      <c r="V517" s="190"/>
      <c r="W517" s="190"/>
      <c r="X517" s="190"/>
      <c r="Y517" s="190"/>
      <c r="Z517" s="190"/>
      <c r="AA517" s="190"/>
      <c r="AB517" s="190"/>
      <c r="AC517" s="190"/>
      <c r="AD517" s="190"/>
      <c r="AE517" s="190"/>
      <c r="AF517" s="190"/>
      <c r="AG517" s="190"/>
      <c r="AH517" s="190"/>
      <c r="AI517" s="190"/>
      <c r="AJ517" s="190"/>
      <c r="AK517" s="190"/>
      <c r="AL517" s="190"/>
    </row>
    <row r="518" spans="2:38" ht="12.75" customHeight="1">
      <c r="B518" s="6"/>
      <c r="C518" s="6"/>
      <c r="D518" s="12"/>
      <c r="E518" s="12"/>
      <c r="F518" s="12"/>
      <c r="G518" s="12"/>
      <c r="H518" s="6"/>
      <c r="I518" s="190"/>
      <c r="J518" s="190"/>
      <c r="K518" s="190"/>
      <c r="L518" s="190"/>
      <c r="M518" s="190"/>
      <c r="N518" s="190"/>
      <c r="O518" s="190"/>
      <c r="P518" s="190"/>
      <c r="Q518" s="190"/>
      <c r="R518" s="190"/>
      <c r="S518" s="190"/>
      <c r="T518" s="190"/>
      <c r="U518" s="190"/>
      <c r="V518" s="190"/>
      <c r="W518" s="190"/>
      <c r="X518" s="190"/>
      <c r="Y518" s="190"/>
      <c r="Z518" s="190"/>
      <c r="AA518" s="190"/>
      <c r="AB518" s="190"/>
      <c r="AC518" s="190"/>
      <c r="AD518" s="190"/>
      <c r="AE518" s="190"/>
      <c r="AF518" s="190"/>
      <c r="AG518" s="190"/>
      <c r="AH518" s="190"/>
      <c r="AI518" s="190"/>
      <c r="AJ518" s="190"/>
      <c r="AK518" s="190"/>
      <c r="AL518" s="190"/>
    </row>
    <row r="519" spans="2:38" ht="12.75" customHeight="1">
      <c r="B519" s="6"/>
      <c r="C519" s="6"/>
      <c r="D519" s="12"/>
      <c r="E519" s="12"/>
      <c r="F519" s="12"/>
      <c r="G519" s="12"/>
      <c r="H519" s="6"/>
      <c r="I519" s="190"/>
      <c r="J519" s="190"/>
      <c r="K519" s="190"/>
      <c r="L519" s="190"/>
      <c r="M519" s="190"/>
      <c r="N519" s="190"/>
      <c r="O519" s="190"/>
      <c r="P519" s="190"/>
      <c r="Q519" s="190"/>
      <c r="R519" s="190"/>
      <c r="S519" s="190"/>
      <c r="T519" s="190"/>
      <c r="U519" s="190"/>
      <c r="V519" s="190"/>
      <c r="W519" s="190"/>
      <c r="X519" s="190"/>
      <c r="Y519" s="190"/>
      <c r="Z519" s="190"/>
      <c r="AA519" s="190"/>
      <c r="AB519" s="190"/>
      <c r="AC519" s="190"/>
      <c r="AD519" s="190"/>
      <c r="AE519" s="190"/>
      <c r="AF519" s="190"/>
      <c r="AG519" s="190"/>
      <c r="AH519" s="190"/>
      <c r="AI519" s="190"/>
      <c r="AJ519" s="190"/>
      <c r="AK519" s="190"/>
      <c r="AL519" s="190"/>
    </row>
    <row r="520" spans="2:38" ht="12.75" customHeight="1">
      <c r="B520" s="6"/>
      <c r="C520" s="6"/>
      <c r="D520" s="12"/>
      <c r="E520" s="12"/>
      <c r="F520" s="12"/>
      <c r="G520" s="12"/>
      <c r="H520" s="6"/>
      <c r="I520" s="190"/>
      <c r="J520" s="190"/>
      <c r="K520" s="190"/>
      <c r="L520" s="190"/>
      <c r="M520" s="190"/>
      <c r="N520" s="190"/>
      <c r="O520" s="190"/>
      <c r="P520" s="190"/>
      <c r="Q520" s="190"/>
      <c r="R520" s="190"/>
      <c r="S520" s="190"/>
      <c r="T520" s="190"/>
      <c r="U520" s="190"/>
      <c r="V520" s="190"/>
      <c r="W520" s="190"/>
      <c r="X520" s="190"/>
      <c r="Y520" s="190"/>
      <c r="Z520" s="190"/>
      <c r="AA520" s="190"/>
      <c r="AB520" s="190"/>
      <c r="AC520" s="190"/>
      <c r="AD520" s="190"/>
      <c r="AE520" s="190"/>
      <c r="AF520" s="190"/>
      <c r="AG520" s="190"/>
      <c r="AH520" s="190"/>
      <c r="AI520" s="190"/>
      <c r="AJ520" s="190"/>
      <c r="AK520" s="190"/>
      <c r="AL520" s="190"/>
    </row>
    <row r="521" spans="2:38" ht="12.75" customHeight="1">
      <c r="B521" s="6"/>
      <c r="C521" s="6"/>
      <c r="D521" s="12"/>
      <c r="E521" s="12"/>
      <c r="F521" s="12"/>
      <c r="G521" s="12"/>
      <c r="H521" s="6"/>
      <c r="I521" s="190"/>
      <c r="J521" s="190"/>
      <c r="K521" s="190"/>
      <c r="L521" s="190"/>
      <c r="M521" s="190"/>
      <c r="N521" s="190"/>
      <c r="O521" s="190"/>
      <c r="P521" s="190"/>
      <c r="Q521" s="190"/>
      <c r="R521" s="190"/>
      <c r="S521" s="190"/>
      <c r="T521" s="190"/>
      <c r="U521" s="190"/>
      <c r="V521" s="190"/>
      <c r="W521" s="190"/>
      <c r="X521" s="190"/>
      <c r="Y521" s="190"/>
      <c r="Z521" s="190"/>
      <c r="AA521" s="190"/>
      <c r="AB521" s="190"/>
      <c r="AC521" s="190"/>
      <c r="AD521" s="190"/>
      <c r="AE521" s="190"/>
      <c r="AF521" s="190"/>
      <c r="AG521" s="190"/>
      <c r="AH521" s="190"/>
      <c r="AI521" s="190"/>
      <c r="AJ521" s="190"/>
      <c r="AK521" s="190"/>
      <c r="AL521" s="190"/>
    </row>
    <row r="522" spans="2:38" ht="12.75" customHeight="1">
      <c r="B522" s="6"/>
      <c r="C522" s="6"/>
      <c r="D522" s="12"/>
      <c r="E522" s="12"/>
      <c r="F522" s="12"/>
      <c r="G522" s="12"/>
      <c r="H522" s="6"/>
      <c r="I522" s="190"/>
      <c r="J522" s="190"/>
      <c r="K522" s="190"/>
      <c r="L522" s="190"/>
      <c r="M522" s="190"/>
      <c r="N522" s="190"/>
      <c r="O522" s="190"/>
      <c r="P522" s="190"/>
      <c r="Q522" s="190"/>
      <c r="R522" s="190"/>
      <c r="S522" s="190"/>
      <c r="T522" s="190"/>
      <c r="U522" s="190"/>
      <c r="V522" s="190"/>
      <c r="W522" s="190"/>
      <c r="X522" s="190"/>
      <c r="Y522" s="190"/>
      <c r="Z522" s="190"/>
      <c r="AA522" s="190"/>
      <c r="AB522" s="190"/>
      <c r="AC522" s="190"/>
      <c r="AD522" s="190"/>
      <c r="AE522" s="190"/>
      <c r="AF522" s="190"/>
      <c r="AG522" s="190"/>
      <c r="AH522" s="190"/>
      <c r="AI522" s="190"/>
      <c r="AJ522" s="190"/>
      <c r="AK522" s="190"/>
      <c r="AL522" s="190"/>
    </row>
    <row r="523" spans="2:38" ht="12.75" customHeight="1">
      <c r="B523" s="6"/>
      <c r="C523" s="6"/>
      <c r="D523" s="12"/>
      <c r="E523" s="12"/>
      <c r="F523" s="12"/>
      <c r="G523" s="12"/>
      <c r="H523" s="6"/>
      <c r="I523" s="190"/>
      <c r="J523" s="190"/>
      <c r="K523" s="190"/>
      <c r="L523" s="190"/>
      <c r="M523" s="190"/>
      <c r="N523" s="190"/>
      <c r="O523" s="190"/>
      <c r="P523" s="190"/>
      <c r="Q523" s="190"/>
      <c r="R523" s="190"/>
      <c r="S523" s="190"/>
      <c r="T523" s="190"/>
      <c r="U523" s="190"/>
      <c r="V523" s="190"/>
      <c r="W523" s="190"/>
      <c r="X523" s="190"/>
      <c r="Y523" s="190"/>
      <c r="Z523" s="190"/>
      <c r="AA523" s="190"/>
      <c r="AB523" s="190"/>
      <c r="AC523" s="190"/>
      <c r="AD523" s="190"/>
      <c r="AE523" s="190"/>
      <c r="AF523" s="190"/>
      <c r="AG523" s="190"/>
      <c r="AH523" s="190"/>
      <c r="AI523" s="190"/>
      <c r="AJ523" s="190"/>
      <c r="AK523" s="190"/>
      <c r="AL523" s="190"/>
    </row>
    <row r="524" spans="2:38" ht="12.75" customHeight="1">
      <c r="B524" s="6"/>
      <c r="C524" s="6"/>
      <c r="D524" s="12"/>
      <c r="E524" s="12"/>
      <c r="F524" s="12"/>
      <c r="G524" s="12"/>
      <c r="H524" s="6"/>
      <c r="I524" s="190"/>
      <c r="J524" s="190"/>
      <c r="K524" s="190"/>
      <c r="L524" s="190"/>
      <c r="M524" s="190"/>
      <c r="N524" s="190"/>
      <c r="O524" s="190"/>
      <c r="P524" s="190"/>
      <c r="Q524" s="190"/>
      <c r="R524" s="190"/>
      <c r="S524" s="190"/>
      <c r="T524" s="190"/>
      <c r="U524" s="190"/>
      <c r="V524" s="190"/>
      <c r="W524" s="190"/>
      <c r="X524" s="190"/>
      <c r="Y524" s="190"/>
      <c r="Z524" s="190"/>
      <c r="AA524" s="190"/>
      <c r="AB524" s="190"/>
      <c r="AC524" s="190"/>
      <c r="AD524" s="190"/>
      <c r="AE524" s="190"/>
      <c r="AF524" s="190"/>
      <c r="AG524" s="190"/>
      <c r="AH524" s="190"/>
      <c r="AI524" s="190"/>
      <c r="AJ524" s="190"/>
      <c r="AK524" s="190"/>
      <c r="AL524" s="190"/>
    </row>
    <row r="525" spans="2:38" ht="12.75" customHeight="1">
      <c r="B525" s="6"/>
      <c r="C525" s="6"/>
      <c r="D525" s="12"/>
      <c r="E525" s="12"/>
      <c r="F525" s="12"/>
      <c r="G525" s="12"/>
      <c r="H525" s="6"/>
      <c r="I525" s="190"/>
      <c r="J525" s="190"/>
      <c r="K525" s="190"/>
      <c r="L525" s="190"/>
      <c r="M525" s="190"/>
      <c r="N525" s="190"/>
      <c r="O525" s="190"/>
      <c r="P525" s="190"/>
      <c r="Q525" s="190"/>
      <c r="R525" s="190"/>
      <c r="S525" s="190"/>
      <c r="T525" s="190"/>
      <c r="U525" s="190"/>
      <c r="V525" s="190"/>
      <c r="W525" s="190"/>
      <c r="X525" s="190"/>
      <c r="Y525" s="190"/>
      <c r="Z525" s="190"/>
      <c r="AA525" s="190"/>
      <c r="AB525" s="190"/>
      <c r="AC525" s="190"/>
      <c r="AD525" s="190"/>
      <c r="AE525" s="190"/>
      <c r="AF525" s="190"/>
      <c r="AG525" s="190"/>
      <c r="AH525" s="190"/>
      <c r="AI525" s="190"/>
      <c r="AJ525" s="190"/>
      <c r="AK525" s="190"/>
      <c r="AL525" s="190"/>
    </row>
    <row r="526" spans="2:38" ht="12.75" customHeight="1">
      <c r="B526" s="6"/>
      <c r="C526" s="6"/>
      <c r="D526" s="12"/>
      <c r="E526" s="12"/>
      <c r="F526" s="12"/>
      <c r="G526" s="12"/>
      <c r="H526" s="6"/>
      <c r="I526" s="190"/>
      <c r="J526" s="190"/>
      <c r="K526" s="190"/>
      <c r="L526" s="190"/>
      <c r="M526" s="190"/>
      <c r="N526" s="190"/>
      <c r="O526" s="190"/>
      <c r="P526" s="190"/>
      <c r="Q526" s="190"/>
      <c r="R526" s="190"/>
      <c r="S526" s="190"/>
      <c r="T526" s="190"/>
      <c r="U526" s="190"/>
      <c r="V526" s="190"/>
      <c r="W526" s="190"/>
      <c r="X526" s="190"/>
      <c r="Y526" s="190"/>
      <c r="Z526" s="190"/>
      <c r="AA526" s="190"/>
      <c r="AB526" s="190"/>
      <c r="AC526" s="190"/>
      <c r="AD526" s="190"/>
      <c r="AE526" s="190"/>
      <c r="AF526" s="190"/>
      <c r="AG526" s="190"/>
      <c r="AH526" s="190"/>
      <c r="AI526" s="190"/>
      <c r="AJ526" s="190"/>
      <c r="AK526" s="190"/>
      <c r="AL526" s="190"/>
    </row>
    <row r="527" spans="2:38" ht="12.75" customHeight="1">
      <c r="B527" s="6"/>
      <c r="C527" s="6"/>
      <c r="D527" s="12"/>
      <c r="E527" s="12"/>
      <c r="F527" s="12"/>
      <c r="G527" s="12"/>
      <c r="H527" s="6"/>
      <c r="I527" s="190"/>
      <c r="J527" s="190"/>
      <c r="K527" s="190"/>
      <c r="L527" s="190"/>
      <c r="M527" s="190"/>
      <c r="N527" s="190"/>
      <c r="O527" s="190"/>
      <c r="P527" s="190"/>
      <c r="Q527" s="190"/>
      <c r="R527" s="190"/>
      <c r="S527" s="190"/>
      <c r="T527" s="190"/>
      <c r="U527" s="190"/>
      <c r="V527" s="190"/>
      <c r="W527" s="190"/>
      <c r="X527" s="190"/>
      <c r="Y527" s="190"/>
      <c r="Z527" s="190"/>
      <c r="AA527" s="190"/>
      <c r="AB527" s="190"/>
      <c r="AC527" s="190"/>
      <c r="AD527" s="190"/>
      <c r="AE527" s="190"/>
      <c r="AF527" s="190"/>
      <c r="AG527" s="190"/>
      <c r="AH527" s="190"/>
      <c r="AI527" s="190"/>
      <c r="AJ527" s="190"/>
      <c r="AK527" s="190"/>
      <c r="AL527" s="190"/>
    </row>
    <row r="528" spans="2:38" ht="12.75" customHeight="1">
      <c r="B528" s="6"/>
      <c r="C528" s="6"/>
      <c r="D528" s="12"/>
      <c r="E528" s="12"/>
      <c r="F528" s="12"/>
      <c r="G528" s="12"/>
      <c r="H528" s="6"/>
      <c r="I528" s="190"/>
      <c r="J528" s="190"/>
      <c r="K528" s="190"/>
      <c r="L528" s="190"/>
      <c r="M528" s="190"/>
      <c r="N528" s="190"/>
      <c r="O528" s="190"/>
      <c r="P528" s="190"/>
      <c r="Q528" s="190"/>
      <c r="R528" s="190"/>
      <c r="S528" s="190"/>
      <c r="T528" s="190"/>
      <c r="U528" s="190"/>
      <c r="V528" s="190"/>
      <c r="W528" s="190"/>
      <c r="X528" s="190"/>
      <c r="Y528" s="190"/>
      <c r="Z528" s="190"/>
      <c r="AA528" s="190"/>
      <c r="AB528" s="190"/>
      <c r="AC528" s="190"/>
      <c r="AD528" s="190"/>
      <c r="AE528" s="190"/>
      <c r="AF528" s="190"/>
      <c r="AG528" s="190"/>
      <c r="AH528" s="190"/>
      <c r="AI528" s="190"/>
      <c r="AJ528" s="190"/>
      <c r="AK528" s="190"/>
      <c r="AL528" s="190"/>
    </row>
    <row r="529" spans="2:38" ht="12.75" customHeight="1">
      <c r="B529" s="6"/>
      <c r="C529" s="6"/>
      <c r="D529" s="12"/>
      <c r="E529" s="12"/>
      <c r="F529" s="12"/>
      <c r="G529" s="12"/>
      <c r="H529" s="6"/>
      <c r="I529" s="190"/>
      <c r="J529" s="190"/>
      <c r="K529" s="190"/>
      <c r="L529" s="190"/>
      <c r="M529" s="190"/>
      <c r="N529" s="190"/>
      <c r="O529" s="190"/>
      <c r="P529" s="190"/>
      <c r="Q529" s="190"/>
      <c r="R529" s="190"/>
      <c r="S529" s="190"/>
      <c r="T529" s="190"/>
      <c r="U529" s="190"/>
      <c r="V529" s="190"/>
      <c r="W529" s="190"/>
      <c r="X529" s="190"/>
      <c r="Y529" s="190"/>
      <c r="Z529" s="190"/>
      <c r="AA529" s="190"/>
      <c r="AB529" s="190"/>
      <c r="AC529" s="190"/>
      <c r="AD529" s="190"/>
      <c r="AE529" s="190"/>
      <c r="AF529" s="190"/>
      <c r="AG529" s="190"/>
      <c r="AH529" s="190"/>
      <c r="AI529" s="190"/>
      <c r="AJ529" s="190"/>
      <c r="AK529" s="190"/>
      <c r="AL529" s="190"/>
    </row>
    <row r="530" spans="2:38" ht="12.75" customHeight="1">
      <c r="B530" s="6"/>
      <c r="C530" s="6"/>
      <c r="D530" s="12"/>
      <c r="E530" s="12"/>
      <c r="F530" s="12"/>
      <c r="G530" s="12"/>
      <c r="H530" s="6"/>
      <c r="I530" s="190"/>
      <c r="J530" s="190"/>
      <c r="K530" s="190"/>
      <c r="L530" s="190"/>
      <c r="M530" s="190"/>
      <c r="N530" s="190"/>
      <c r="O530" s="190"/>
      <c r="P530" s="190"/>
      <c r="Q530" s="190"/>
      <c r="R530" s="190"/>
      <c r="S530" s="190"/>
      <c r="T530" s="190"/>
      <c r="U530" s="190"/>
      <c r="V530" s="190"/>
      <c r="W530" s="190"/>
      <c r="X530" s="190"/>
      <c r="Y530" s="190"/>
      <c r="Z530" s="190"/>
      <c r="AA530" s="190"/>
      <c r="AB530" s="190"/>
      <c r="AC530" s="190"/>
      <c r="AD530" s="190"/>
      <c r="AE530" s="190"/>
      <c r="AF530" s="190"/>
      <c r="AG530" s="190"/>
      <c r="AH530" s="190"/>
      <c r="AI530" s="190"/>
      <c r="AJ530" s="190"/>
      <c r="AK530" s="190"/>
      <c r="AL530" s="190"/>
    </row>
    <row r="531" spans="2:38" ht="12.75" customHeight="1">
      <c r="B531" s="6"/>
      <c r="C531" s="6"/>
      <c r="D531" s="12"/>
      <c r="E531" s="12"/>
      <c r="F531" s="12"/>
      <c r="G531" s="12"/>
      <c r="H531" s="6"/>
      <c r="I531" s="190"/>
      <c r="J531" s="190"/>
      <c r="K531" s="190"/>
      <c r="L531" s="190"/>
      <c r="M531" s="190"/>
      <c r="N531" s="190"/>
      <c r="O531" s="190"/>
      <c r="P531" s="190"/>
      <c r="Q531" s="190"/>
      <c r="R531" s="190"/>
      <c r="S531" s="190"/>
      <c r="T531" s="190"/>
      <c r="U531" s="190"/>
      <c r="V531" s="190"/>
      <c r="W531" s="190"/>
      <c r="X531" s="190"/>
      <c r="Y531" s="190"/>
      <c r="Z531" s="190"/>
      <c r="AA531" s="190"/>
      <c r="AB531" s="190"/>
      <c r="AC531" s="190"/>
      <c r="AD531" s="190"/>
      <c r="AE531" s="190"/>
      <c r="AF531" s="190"/>
      <c r="AG531" s="190"/>
      <c r="AH531" s="190"/>
      <c r="AI531" s="190"/>
      <c r="AJ531" s="190"/>
      <c r="AK531" s="190"/>
      <c r="AL531" s="190"/>
    </row>
    <row r="532" spans="2:38" ht="12.75" customHeight="1">
      <c r="B532" s="6"/>
      <c r="C532" s="6"/>
      <c r="D532" s="12"/>
      <c r="E532" s="12"/>
      <c r="F532" s="12"/>
      <c r="G532" s="12"/>
      <c r="H532" s="6"/>
      <c r="I532" s="190"/>
      <c r="J532" s="190"/>
      <c r="K532" s="190"/>
      <c r="L532" s="190"/>
      <c r="M532" s="190"/>
      <c r="N532" s="190"/>
      <c r="O532" s="190"/>
      <c r="P532" s="190"/>
      <c r="Q532" s="190"/>
      <c r="R532" s="190"/>
      <c r="S532" s="190"/>
      <c r="T532" s="190"/>
      <c r="U532" s="190"/>
      <c r="V532" s="190"/>
      <c r="W532" s="190"/>
      <c r="X532" s="190"/>
      <c r="Y532" s="190"/>
      <c r="Z532" s="190"/>
      <c r="AA532" s="190"/>
      <c r="AB532" s="190"/>
      <c r="AC532" s="190"/>
      <c r="AD532" s="190"/>
      <c r="AE532" s="190"/>
      <c r="AF532" s="190"/>
      <c r="AG532" s="190"/>
      <c r="AH532" s="190"/>
      <c r="AI532" s="190"/>
      <c r="AJ532" s="190"/>
      <c r="AK532" s="190"/>
      <c r="AL532" s="190"/>
    </row>
    <row r="533" spans="2:38" ht="12.75" customHeight="1">
      <c r="B533" s="6"/>
      <c r="C533" s="6"/>
      <c r="D533" s="12"/>
      <c r="E533" s="12"/>
      <c r="F533" s="12"/>
      <c r="G533" s="12"/>
      <c r="H533" s="6"/>
      <c r="I533" s="190"/>
      <c r="J533" s="190"/>
      <c r="K533" s="190"/>
      <c r="L533" s="190"/>
      <c r="M533" s="190"/>
      <c r="N533" s="190"/>
      <c r="O533" s="190"/>
      <c r="P533" s="190"/>
      <c r="Q533" s="190"/>
      <c r="R533" s="190"/>
      <c r="S533" s="190"/>
      <c r="T533" s="190"/>
      <c r="U533" s="190"/>
      <c r="V533" s="190"/>
      <c r="W533" s="190"/>
      <c r="X533" s="190"/>
      <c r="Y533" s="190"/>
      <c r="Z533" s="190"/>
      <c r="AA533" s="190"/>
      <c r="AB533" s="190"/>
      <c r="AC533" s="190"/>
      <c r="AD533" s="190"/>
      <c r="AE533" s="190"/>
      <c r="AF533" s="190"/>
      <c r="AG533" s="190"/>
      <c r="AH533" s="190"/>
      <c r="AI533" s="190"/>
      <c r="AJ533" s="190"/>
      <c r="AK533" s="190"/>
      <c r="AL533" s="190"/>
    </row>
    <row r="534" spans="2:38" ht="12.75" customHeight="1">
      <c r="B534" s="6"/>
      <c r="C534" s="6"/>
      <c r="D534" s="12"/>
      <c r="E534" s="12"/>
      <c r="F534" s="12"/>
      <c r="G534" s="12"/>
      <c r="H534" s="6"/>
      <c r="I534" s="190"/>
      <c r="J534" s="190"/>
      <c r="K534" s="190"/>
      <c r="L534" s="190"/>
      <c r="M534" s="190"/>
      <c r="N534" s="190"/>
      <c r="O534" s="190"/>
      <c r="P534" s="190"/>
      <c r="Q534" s="190"/>
      <c r="R534" s="190"/>
      <c r="S534" s="190"/>
      <c r="T534" s="190"/>
      <c r="U534" s="190"/>
      <c r="V534" s="190"/>
      <c r="W534" s="190"/>
      <c r="X534" s="190"/>
      <c r="Y534" s="190"/>
      <c r="Z534" s="190"/>
      <c r="AA534" s="190"/>
      <c r="AB534" s="190"/>
      <c r="AC534" s="190"/>
      <c r="AD534" s="190"/>
      <c r="AE534" s="190"/>
      <c r="AF534" s="190"/>
      <c r="AG534" s="190"/>
      <c r="AH534" s="190"/>
      <c r="AI534" s="190"/>
      <c r="AJ534" s="190"/>
      <c r="AK534" s="190"/>
      <c r="AL534" s="190"/>
    </row>
    <row r="535" spans="2:38" ht="12.75" customHeight="1">
      <c r="B535" s="6"/>
      <c r="C535" s="6"/>
      <c r="D535" s="12"/>
      <c r="E535" s="12"/>
      <c r="F535" s="12"/>
      <c r="G535" s="12"/>
      <c r="H535" s="6"/>
      <c r="I535" s="190"/>
      <c r="J535" s="190"/>
      <c r="K535" s="190"/>
      <c r="L535" s="190"/>
      <c r="M535" s="190"/>
      <c r="N535" s="190"/>
      <c r="O535" s="190"/>
      <c r="P535" s="190"/>
      <c r="Q535" s="190"/>
      <c r="R535" s="190"/>
      <c r="S535" s="190"/>
      <c r="T535" s="190"/>
      <c r="U535" s="190"/>
      <c r="V535" s="190"/>
      <c r="W535" s="190"/>
      <c r="X535" s="190"/>
      <c r="Y535" s="190"/>
      <c r="Z535" s="190"/>
      <c r="AA535" s="190"/>
      <c r="AB535" s="190"/>
      <c r="AC535" s="190"/>
      <c r="AD535" s="190"/>
      <c r="AE535" s="190"/>
      <c r="AF535" s="190"/>
      <c r="AG535" s="190"/>
      <c r="AH535" s="190"/>
      <c r="AI535" s="190"/>
      <c r="AJ535" s="190"/>
      <c r="AK535" s="190"/>
      <c r="AL535" s="190"/>
    </row>
    <row r="536" spans="2:38" ht="12.75" customHeight="1">
      <c r="B536" s="6"/>
      <c r="C536" s="6"/>
      <c r="D536" s="12"/>
      <c r="E536" s="12"/>
      <c r="F536" s="12"/>
      <c r="G536" s="12"/>
      <c r="H536" s="6"/>
      <c r="I536" s="190"/>
      <c r="J536" s="190"/>
      <c r="K536" s="190"/>
      <c r="L536" s="190"/>
      <c r="M536" s="190"/>
      <c r="N536" s="190"/>
      <c r="O536" s="190"/>
      <c r="P536" s="190"/>
      <c r="Q536" s="190"/>
      <c r="R536" s="190"/>
      <c r="S536" s="190"/>
      <c r="T536" s="190"/>
      <c r="U536" s="190"/>
      <c r="V536" s="190"/>
      <c r="W536" s="190"/>
      <c r="X536" s="190"/>
      <c r="Y536" s="190"/>
      <c r="Z536" s="190"/>
      <c r="AA536" s="190"/>
      <c r="AB536" s="190"/>
      <c r="AC536" s="190"/>
      <c r="AD536" s="190"/>
      <c r="AE536" s="190"/>
      <c r="AF536" s="190"/>
      <c r="AG536" s="190"/>
      <c r="AH536" s="190"/>
      <c r="AI536" s="190"/>
      <c r="AJ536" s="190"/>
      <c r="AK536" s="190"/>
      <c r="AL536" s="190"/>
    </row>
    <row r="537" spans="2:38" ht="12.75" customHeight="1">
      <c r="B537" s="6"/>
      <c r="C537" s="6"/>
      <c r="D537" s="12"/>
      <c r="E537" s="12"/>
      <c r="F537" s="12"/>
      <c r="G537" s="12"/>
      <c r="H537" s="6"/>
      <c r="I537" s="190"/>
      <c r="J537" s="190"/>
      <c r="K537" s="190"/>
      <c r="L537" s="190"/>
      <c r="M537" s="190"/>
      <c r="N537" s="190"/>
      <c r="O537" s="190"/>
      <c r="P537" s="190"/>
      <c r="Q537" s="190"/>
      <c r="R537" s="190"/>
      <c r="S537" s="190"/>
      <c r="T537" s="190"/>
      <c r="U537" s="190"/>
      <c r="V537" s="190"/>
      <c r="W537" s="190"/>
      <c r="X537" s="190"/>
      <c r="Y537" s="190"/>
      <c r="Z537" s="190"/>
      <c r="AA537" s="190"/>
      <c r="AB537" s="190"/>
      <c r="AC537" s="190"/>
      <c r="AD537" s="190"/>
      <c r="AE537" s="190"/>
      <c r="AF537" s="190"/>
      <c r="AG537" s="190"/>
      <c r="AH537" s="190"/>
      <c r="AI537" s="190"/>
      <c r="AJ537" s="190"/>
      <c r="AK537" s="190"/>
      <c r="AL537" s="190"/>
    </row>
    <row r="538" spans="2:38" ht="12.75" customHeight="1">
      <c r="B538" s="6"/>
      <c r="C538" s="6"/>
      <c r="D538" s="12"/>
      <c r="E538" s="12"/>
      <c r="F538" s="12"/>
      <c r="G538" s="12"/>
      <c r="H538" s="6"/>
      <c r="I538" s="190"/>
      <c r="J538" s="190"/>
      <c r="K538" s="190"/>
      <c r="L538" s="190"/>
      <c r="M538" s="190"/>
      <c r="N538" s="190"/>
      <c r="O538" s="190"/>
      <c r="P538" s="190"/>
      <c r="Q538" s="190"/>
      <c r="R538" s="190"/>
      <c r="S538" s="190"/>
      <c r="T538" s="190"/>
      <c r="U538" s="190"/>
      <c r="V538" s="190"/>
      <c r="W538" s="190"/>
      <c r="X538" s="190"/>
      <c r="Y538" s="190"/>
      <c r="Z538" s="190"/>
      <c r="AA538" s="190"/>
      <c r="AB538" s="190"/>
      <c r="AC538" s="190"/>
      <c r="AD538" s="190"/>
      <c r="AE538" s="190"/>
      <c r="AF538" s="190"/>
      <c r="AG538" s="190"/>
      <c r="AH538" s="190"/>
      <c r="AI538" s="190"/>
      <c r="AJ538" s="190"/>
      <c r="AK538" s="190"/>
      <c r="AL538" s="190"/>
    </row>
    <row r="539" spans="2:38" ht="12.75" customHeight="1">
      <c r="B539" s="6"/>
      <c r="C539" s="6"/>
      <c r="D539" s="12"/>
      <c r="E539" s="12"/>
      <c r="F539" s="12"/>
      <c r="G539" s="12"/>
      <c r="H539" s="6"/>
      <c r="I539" s="190"/>
      <c r="J539" s="190"/>
      <c r="K539" s="190"/>
      <c r="L539" s="190"/>
      <c r="M539" s="190"/>
      <c r="N539" s="190"/>
      <c r="O539" s="190"/>
      <c r="P539" s="190"/>
      <c r="Q539" s="190"/>
      <c r="R539" s="190"/>
      <c r="S539" s="190"/>
      <c r="T539" s="190"/>
      <c r="U539" s="190"/>
      <c r="V539" s="190"/>
      <c r="W539" s="190"/>
      <c r="X539" s="190"/>
      <c r="Y539" s="190"/>
      <c r="Z539" s="190"/>
      <c r="AA539" s="190"/>
      <c r="AB539" s="190"/>
      <c r="AC539" s="190"/>
      <c r="AD539" s="190"/>
      <c r="AE539" s="190"/>
      <c r="AF539" s="190"/>
      <c r="AG539" s="190"/>
      <c r="AH539" s="190"/>
      <c r="AI539" s="190"/>
      <c r="AJ539" s="190"/>
      <c r="AK539" s="190"/>
      <c r="AL539" s="190"/>
    </row>
    <row r="540" spans="2:38" ht="12.75" customHeight="1">
      <c r="B540" s="6"/>
      <c r="C540" s="6"/>
      <c r="D540" s="12"/>
      <c r="E540" s="12"/>
      <c r="F540" s="12"/>
      <c r="G540" s="12"/>
      <c r="H540" s="6"/>
      <c r="I540" s="190"/>
      <c r="J540" s="190"/>
      <c r="K540" s="190"/>
      <c r="L540" s="190"/>
      <c r="M540" s="190"/>
      <c r="N540" s="190"/>
      <c r="O540" s="190"/>
      <c r="P540" s="190"/>
      <c r="Q540" s="190"/>
      <c r="R540" s="190"/>
      <c r="S540" s="190"/>
      <c r="T540" s="190"/>
      <c r="U540" s="190"/>
      <c r="V540" s="190"/>
      <c r="W540" s="190"/>
      <c r="X540" s="190"/>
      <c r="Y540" s="190"/>
      <c r="Z540" s="190"/>
      <c r="AA540" s="190"/>
      <c r="AB540" s="190"/>
      <c r="AC540" s="190"/>
      <c r="AD540" s="190"/>
      <c r="AE540" s="190"/>
      <c r="AF540" s="190"/>
      <c r="AG540" s="190"/>
      <c r="AH540" s="190"/>
      <c r="AI540" s="190"/>
      <c r="AJ540" s="190"/>
      <c r="AK540" s="190"/>
      <c r="AL540" s="190"/>
    </row>
    <row r="541" spans="2:38" ht="12.75" customHeight="1">
      <c r="B541" s="6"/>
      <c r="C541" s="6"/>
      <c r="D541" s="12"/>
      <c r="E541" s="12"/>
      <c r="F541" s="12"/>
      <c r="G541" s="12"/>
      <c r="H541" s="6"/>
      <c r="I541" s="190"/>
      <c r="J541" s="190"/>
      <c r="K541" s="190"/>
      <c r="L541" s="190"/>
      <c r="M541" s="190"/>
      <c r="N541" s="190"/>
      <c r="O541" s="190"/>
      <c r="P541" s="190"/>
      <c r="Q541" s="190"/>
      <c r="R541" s="190"/>
      <c r="S541" s="190"/>
      <c r="T541" s="190"/>
      <c r="U541" s="190"/>
      <c r="V541" s="190"/>
      <c r="W541" s="190"/>
      <c r="X541" s="190"/>
      <c r="Y541" s="190"/>
      <c r="Z541" s="190"/>
      <c r="AA541" s="190"/>
      <c r="AB541" s="190"/>
      <c r="AC541" s="190"/>
      <c r="AD541" s="190"/>
      <c r="AE541" s="190"/>
      <c r="AF541" s="190"/>
      <c r="AG541" s="190"/>
      <c r="AH541" s="190"/>
      <c r="AI541" s="190"/>
      <c r="AJ541" s="190"/>
      <c r="AK541" s="190"/>
      <c r="AL541" s="190"/>
    </row>
    <row r="542" spans="2:38" ht="12.75" customHeight="1">
      <c r="B542" s="6"/>
      <c r="C542" s="6"/>
      <c r="D542" s="12"/>
      <c r="E542" s="12"/>
      <c r="F542" s="12"/>
      <c r="G542" s="12"/>
      <c r="H542" s="6"/>
      <c r="I542" s="190"/>
      <c r="J542" s="190"/>
      <c r="K542" s="190"/>
      <c r="L542" s="190"/>
      <c r="M542" s="190"/>
      <c r="N542" s="190"/>
      <c r="O542" s="190"/>
      <c r="P542" s="190"/>
      <c r="Q542" s="190"/>
      <c r="R542" s="190"/>
      <c r="S542" s="190"/>
      <c r="T542" s="190"/>
      <c r="U542" s="190"/>
      <c r="V542" s="190"/>
      <c r="W542" s="190"/>
      <c r="X542" s="190"/>
      <c r="Y542" s="190"/>
      <c r="Z542" s="190"/>
      <c r="AA542" s="190"/>
      <c r="AB542" s="190"/>
      <c r="AC542" s="190"/>
      <c r="AD542" s="190"/>
      <c r="AE542" s="190"/>
      <c r="AF542" s="190"/>
      <c r="AG542" s="190"/>
      <c r="AH542" s="190"/>
      <c r="AI542" s="190"/>
      <c r="AJ542" s="190"/>
      <c r="AK542" s="190"/>
      <c r="AL542" s="190"/>
    </row>
    <row r="543" spans="2:38" ht="12.75" customHeight="1">
      <c r="B543" s="6"/>
      <c r="C543" s="6"/>
      <c r="D543" s="12"/>
      <c r="E543" s="12"/>
      <c r="F543" s="12"/>
      <c r="G543" s="12"/>
      <c r="H543" s="6"/>
      <c r="I543" s="190"/>
      <c r="J543" s="190"/>
      <c r="K543" s="190"/>
      <c r="L543" s="190"/>
      <c r="M543" s="190"/>
      <c r="N543" s="190"/>
      <c r="O543" s="190"/>
      <c r="P543" s="190"/>
      <c r="Q543" s="190"/>
      <c r="R543" s="190"/>
      <c r="S543" s="190"/>
      <c r="T543" s="190"/>
      <c r="U543" s="190"/>
      <c r="V543" s="190"/>
      <c r="W543" s="190"/>
      <c r="X543" s="190"/>
      <c r="Y543" s="190"/>
      <c r="Z543" s="190"/>
      <c r="AA543" s="190"/>
      <c r="AB543" s="190"/>
      <c r="AC543" s="190"/>
      <c r="AD543" s="190"/>
      <c r="AE543" s="190"/>
      <c r="AF543" s="190"/>
      <c r="AG543" s="190"/>
      <c r="AH543" s="190"/>
      <c r="AI543" s="190"/>
      <c r="AJ543" s="190"/>
      <c r="AK543" s="190"/>
      <c r="AL543" s="190"/>
    </row>
    <row r="544" spans="2:38" ht="12.75" customHeight="1">
      <c r="B544" s="6"/>
      <c r="C544" s="6"/>
      <c r="D544" s="12"/>
      <c r="E544" s="12"/>
      <c r="F544" s="12"/>
      <c r="G544" s="12"/>
      <c r="H544" s="6"/>
      <c r="I544" s="190"/>
      <c r="J544" s="190"/>
      <c r="K544" s="190"/>
      <c r="L544" s="190"/>
      <c r="M544" s="190"/>
      <c r="N544" s="190"/>
      <c r="O544" s="190"/>
      <c r="P544" s="190"/>
      <c r="Q544" s="190"/>
      <c r="R544" s="190"/>
      <c r="S544" s="190"/>
      <c r="T544" s="190"/>
      <c r="U544" s="190"/>
      <c r="V544" s="190"/>
      <c r="W544" s="190"/>
      <c r="X544" s="190"/>
      <c r="Y544" s="190"/>
      <c r="Z544" s="190"/>
      <c r="AA544" s="190"/>
      <c r="AB544" s="190"/>
      <c r="AC544" s="190"/>
      <c r="AD544" s="190"/>
      <c r="AE544" s="190"/>
      <c r="AF544" s="190"/>
      <c r="AG544" s="190"/>
      <c r="AH544" s="190"/>
      <c r="AI544" s="190"/>
      <c r="AJ544" s="190"/>
      <c r="AK544" s="190"/>
      <c r="AL544" s="190"/>
    </row>
    <row r="545" spans="2:38" ht="12.75" customHeight="1">
      <c r="B545" s="6"/>
      <c r="C545" s="6"/>
      <c r="D545" s="12"/>
      <c r="E545" s="12"/>
      <c r="F545" s="12"/>
      <c r="G545" s="12"/>
      <c r="H545" s="6"/>
      <c r="I545" s="190"/>
      <c r="J545" s="190"/>
      <c r="K545" s="190"/>
      <c r="L545" s="190"/>
      <c r="M545" s="190"/>
      <c r="N545" s="190"/>
      <c r="O545" s="190"/>
      <c r="P545" s="190"/>
      <c r="Q545" s="190"/>
      <c r="R545" s="190"/>
      <c r="S545" s="190"/>
      <c r="T545" s="190"/>
      <c r="U545" s="190"/>
      <c r="V545" s="190"/>
      <c r="W545" s="190"/>
      <c r="X545" s="190"/>
      <c r="Y545" s="190"/>
      <c r="Z545" s="190"/>
      <c r="AA545" s="190"/>
      <c r="AB545" s="190"/>
      <c r="AC545" s="190"/>
      <c r="AD545" s="190"/>
      <c r="AE545" s="190"/>
      <c r="AF545" s="190"/>
      <c r="AG545" s="190"/>
      <c r="AH545" s="190"/>
      <c r="AI545" s="190"/>
      <c r="AJ545" s="190"/>
      <c r="AK545" s="190"/>
      <c r="AL545" s="190"/>
    </row>
    <row r="546" spans="2:38" ht="12.75" customHeight="1">
      <c r="B546" s="6"/>
      <c r="C546" s="6"/>
      <c r="D546" s="12"/>
      <c r="E546" s="12"/>
      <c r="F546" s="12"/>
      <c r="G546" s="12"/>
      <c r="H546" s="6"/>
      <c r="I546" s="190"/>
      <c r="J546" s="190"/>
      <c r="K546" s="190"/>
      <c r="L546" s="190"/>
      <c r="M546" s="190"/>
      <c r="N546" s="190"/>
      <c r="O546" s="190"/>
      <c r="P546" s="190"/>
      <c r="Q546" s="190"/>
      <c r="R546" s="190"/>
      <c r="S546" s="190"/>
      <c r="T546" s="190"/>
      <c r="U546" s="190"/>
      <c r="V546" s="190"/>
      <c r="W546" s="190"/>
      <c r="X546" s="190"/>
      <c r="Y546" s="190"/>
      <c r="Z546" s="190"/>
      <c r="AA546" s="190"/>
      <c r="AB546" s="190"/>
      <c r="AC546" s="190"/>
      <c r="AD546" s="190"/>
      <c r="AE546" s="190"/>
      <c r="AF546" s="190"/>
      <c r="AG546" s="190"/>
      <c r="AH546" s="190"/>
      <c r="AI546" s="190"/>
      <c r="AJ546" s="190"/>
      <c r="AK546" s="190"/>
      <c r="AL546" s="190"/>
    </row>
    <row r="547" spans="2:38" ht="12.75" customHeight="1">
      <c r="B547" s="6"/>
      <c r="C547" s="6"/>
      <c r="D547" s="12"/>
      <c r="E547" s="12"/>
      <c r="F547" s="12"/>
      <c r="G547" s="12"/>
      <c r="H547" s="6"/>
      <c r="I547" s="190"/>
      <c r="J547" s="190"/>
      <c r="K547" s="190"/>
      <c r="L547" s="190"/>
      <c r="M547" s="190"/>
      <c r="N547" s="190"/>
      <c r="O547" s="190"/>
      <c r="P547" s="190"/>
      <c r="Q547" s="190"/>
      <c r="R547" s="190"/>
      <c r="S547" s="190"/>
      <c r="T547" s="190"/>
      <c r="U547" s="190"/>
      <c r="V547" s="190"/>
      <c r="W547" s="190"/>
      <c r="X547" s="190"/>
      <c r="Y547" s="190"/>
      <c r="Z547" s="190"/>
      <c r="AA547" s="190"/>
      <c r="AB547" s="190"/>
      <c r="AC547" s="190"/>
      <c r="AD547" s="190"/>
      <c r="AE547" s="190"/>
      <c r="AF547" s="190"/>
      <c r="AG547" s="190"/>
      <c r="AH547" s="190"/>
      <c r="AI547" s="190"/>
      <c r="AJ547" s="190"/>
      <c r="AK547" s="190"/>
      <c r="AL547" s="190"/>
    </row>
    <row r="548" spans="2:38" ht="12.75" customHeight="1">
      <c r="B548" s="6"/>
      <c r="C548" s="6"/>
      <c r="D548" s="12"/>
      <c r="E548" s="12"/>
      <c r="F548" s="12"/>
      <c r="G548" s="12"/>
      <c r="H548" s="6"/>
      <c r="I548" s="190"/>
      <c r="J548" s="190"/>
      <c r="K548" s="190"/>
      <c r="L548" s="190"/>
      <c r="M548" s="190"/>
      <c r="N548" s="190"/>
      <c r="O548" s="190"/>
      <c r="P548" s="190"/>
      <c r="Q548" s="190"/>
      <c r="R548" s="190"/>
      <c r="S548" s="190"/>
      <c r="T548" s="190"/>
      <c r="U548" s="190"/>
      <c r="V548" s="190"/>
      <c r="W548" s="190"/>
      <c r="X548" s="190"/>
      <c r="Y548" s="190"/>
      <c r="Z548" s="190"/>
      <c r="AA548" s="190"/>
      <c r="AB548" s="190"/>
      <c r="AC548" s="190"/>
      <c r="AD548" s="190"/>
      <c r="AE548" s="190"/>
      <c r="AF548" s="190"/>
      <c r="AG548" s="190"/>
      <c r="AH548" s="190"/>
      <c r="AI548" s="190"/>
      <c r="AJ548" s="190"/>
      <c r="AK548" s="190"/>
      <c r="AL548" s="190"/>
    </row>
    <row r="549" spans="2:38" ht="12.75" customHeight="1">
      <c r="B549" s="6"/>
      <c r="C549" s="6"/>
      <c r="D549" s="12"/>
      <c r="E549" s="12"/>
      <c r="F549" s="12"/>
      <c r="G549" s="12"/>
      <c r="H549" s="6"/>
      <c r="I549" s="190"/>
      <c r="J549" s="190"/>
      <c r="K549" s="190"/>
      <c r="L549" s="190"/>
      <c r="M549" s="190"/>
      <c r="N549" s="190"/>
      <c r="O549" s="190"/>
      <c r="P549" s="190"/>
      <c r="Q549" s="190"/>
      <c r="R549" s="190"/>
      <c r="S549" s="190"/>
      <c r="T549" s="190"/>
      <c r="U549" s="190"/>
      <c r="V549" s="190"/>
      <c r="W549" s="190"/>
      <c r="X549" s="190"/>
      <c r="Y549" s="190"/>
      <c r="Z549" s="190"/>
      <c r="AA549" s="190"/>
      <c r="AB549" s="190"/>
      <c r="AC549" s="190"/>
      <c r="AD549" s="190"/>
      <c r="AE549" s="190"/>
      <c r="AF549" s="190"/>
      <c r="AG549" s="190"/>
      <c r="AH549" s="190"/>
      <c r="AI549" s="190"/>
      <c r="AJ549" s="190"/>
      <c r="AK549" s="190"/>
      <c r="AL549" s="190"/>
    </row>
    <row r="550" spans="2:38" ht="12.75" customHeight="1">
      <c r="B550" s="6"/>
      <c r="C550" s="6"/>
      <c r="D550" s="12"/>
      <c r="E550" s="12"/>
      <c r="F550" s="12"/>
      <c r="G550" s="12"/>
      <c r="H550" s="6"/>
      <c r="I550" s="190"/>
      <c r="J550" s="190"/>
      <c r="K550" s="190"/>
      <c r="L550" s="190"/>
      <c r="M550" s="190"/>
      <c r="N550" s="190"/>
      <c r="O550" s="190"/>
      <c r="P550" s="190"/>
      <c r="Q550" s="190"/>
      <c r="R550" s="190"/>
      <c r="S550" s="190"/>
      <c r="T550" s="190"/>
      <c r="U550" s="190"/>
      <c r="V550" s="190"/>
      <c r="W550" s="190"/>
      <c r="X550" s="190"/>
      <c r="Y550" s="190"/>
      <c r="Z550" s="190"/>
      <c r="AA550" s="190"/>
      <c r="AB550" s="190"/>
      <c r="AC550" s="190"/>
      <c r="AD550" s="190"/>
      <c r="AE550" s="190"/>
      <c r="AF550" s="190"/>
      <c r="AG550" s="190"/>
      <c r="AH550" s="190"/>
      <c r="AI550" s="190"/>
      <c r="AJ550" s="190"/>
      <c r="AK550" s="190"/>
      <c r="AL550" s="190"/>
    </row>
    <row r="551" spans="2:38" ht="12.75" customHeight="1">
      <c r="B551" s="6"/>
      <c r="C551" s="6"/>
      <c r="D551" s="12"/>
      <c r="E551" s="12"/>
      <c r="F551" s="12"/>
      <c r="G551" s="12"/>
      <c r="H551" s="6"/>
      <c r="I551" s="190"/>
      <c r="J551" s="190"/>
      <c r="K551" s="190"/>
      <c r="L551" s="190"/>
      <c r="M551" s="190"/>
      <c r="N551" s="190"/>
      <c r="O551" s="190"/>
      <c r="P551" s="190"/>
      <c r="Q551" s="190"/>
      <c r="R551" s="190"/>
      <c r="S551" s="190"/>
      <c r="T551" s="190"/>
      <c r="U551" s="190"/>
      <c r="V551" s="190"/>
      <c r="W551" s="190"/>
      <c r="X551" s="190"/>
      <c r="Y551" s="190"/>
      <c r="Z551" s="190"/>
      <c r="AA551" s="190"/>
      <c r="AB551" s="190"/>
      <c r="AC551" s="190"/>
      <c r="AD551" s="190"/>
      <c r="AE551" s="190"/>
      <c r="AF551" s="190"/>
      <c r="AG551" s="190"/>
      <c r="AH551" s="190"/>
      <c r="AI551" s="190"/>
      <c r="AJ551" s="190"/>
      <c r="AK551" s="190"/>
      <c r="AL551" s="190"/>
    </row>
    <row r="552" spans="2:38" ht="12.75" customHeight="1">
      <c r="B552" s="6"/>
      <c r="C552" s="6"/>
      <c r="D552" s="12"/>
      <c r="E552" s="12"/>
      <c r="F552" s="12"/>
      <c r="G552" s="12"/>
      <c r="H552" s="6"/>
      <c r="I552" s="190"/>
      <c r="J552" s="190"/>
      <c r="K552" s="190"/>
      <c r="L552" s="190"/>
      <c r="M552" s="190"/>
      <c r="N552" s="190"/>
      <c r="O552" s="190"/>
      <c r="P552" s="190"/>
      <c r="Q552" s="190"/>
      <c r="R552" s="190"/>
      <c r="S552" s="190"/>
      <c r="T552" s="190"/>
      <c r="U552" s="190"/>
      <c r="V552" s="190"/>
      <c r="W552" s="190"/>
      <c r="X552" s="190"/>
      <c r="Y552" s="190"/>
      <c r="Z552" s="190"/>
      <c r="AA552" s="190"/>
      <c r="AB552" s="190"/>
      <c r="AC552" s="190"/>
      <c r="AD552" s="190"/>
      <c r="AE552" s="190"/>
      <c r="AF552" s="190"/>
      <c r="AG552" s="190"/>
      <c r="AH552" s="190"/>
      <c r="AI552" s="190"/>
      <c r="AJ552" s="190"/>
      <c r="AK552" s="190"/>
      <c r="AL552" s="190"/>
    </row>
    <row r="553" spans="2:38" ht="12.75" customHeight="1">
      <c r="B553" s="6"/>
      <c r="C553" s="6"/>
      <c r="D553" s="12"/>
      <c r="E553" s="12"/>
      <c r="F553" s="12"/>
      <c r="G553" s="12"/>
      <c r="H553" s="6"/>
      <c r="I553" s="190"/>
      <c r="J553" s="190"/>
      <c r="K553" s="190"/>
      <c r="L553" s="190"/>
      <c r="M553" s="190"/>
      <c r="N553" s="190"/>
      <c r="O553" s="190"/>
      <c r="P553" s="190"/>
      <c r="Q553" s="190"/>
      <c r="R553" s="190"/>
      <c r="S553" s="190"/>
      <c r="T553" s="190"/>
      <c r="U553" s="190"/>
      <c r="V553" s="190"/>
      <c r="W553" s="190"/>
      <c r="X553" s="190"/>
      <c r="Y553" s="190"/>
      <c r="Z553" s="190"/>
      <c r="AA553" s="190"/>
      <c r="AB553" s="190"/>
      <c r="AC553" s="190"/>
      <c r="AD553" s="190"/>
      <c r="AE553" s="190"/>
      <c r="AF553" s="190"/>
      <c r="AG553" s="190"/>
      <c r="AH553" s="190"/>
      <c r="AI553" s="190"/>
      <c r="AJ553" s="190"/>
      <c r="AK553" s="190"/>
      <c r="AL553" s="190"/>
    </row>
    <row r="554" spans="2:38" ht="12.75" customHeight="1">
      <c r="B554" s="6"/>
      <c r="C554" s="6"/>
      <c r="D554" s="12"/>
      <c r="E554" s="12"/>
      <c r="F554" s="12"/>
      <c r="G554" s="12"/>
      <c r="H554" s="6"/>
      <c r="I554" s="190"/>
      <c r="J554" s="190"/>
      <c r="K554" s="190"/>
      <c r="L554" s="190"/>
      <c r="M554" s="190"/>
      <c r="N554" s="190"/>
      <c r="O554" s="190"/>
      <c r="P554" s="190"/>
      <c r="Q554" s="190"/>
      <c r="R554" s="190"/>
      <c r="S554" s="190"/>
      <c r="T554" s="190"/>
      <c r="U554" s="190"/>
      <c r="V554" s="190"/>
      <c r="W554" s="190"/>
      <c r="X554" s="190"/>
      <c r="Y554" s="190"/>
      <c r="Z554" s="190"/>
      <c r="AA554" s="190"/>
      <c r="AB554" s="190"/>
      <c r="AC554" s="190"/>
      <c r="AD554" s="190"/>
      <c r="AE554" s="190"/>
      <c r="AF554" s="190"/>
      <c r="AG554" s="190"/>
      <c r="AH554" s="190"/>
      <c r="AI554" s="190"/>
      <c r="AJ554" s="190"/>
      <c r="AK554" s="190"/>
      <c r="AL554" s="190"/>
    </row>
    <row r="555" spans="2:38" ht="12.75" customHeight="1">
      <c r="B555" s="6"/>
      <c r="C555" s="6"/>
      <c r="D555" s="12"/>
      <c r="E555" s="12"/>
      <c r="F555" s="12"/>
      <c r="G555" s="12"/>
      <c r="H555" s="6"/>
      <c r="I555" s="190"/>
      <c r="J555" s="190"/>
      <c r="K555" s="190"/>
      <c r="L555" s="190"/>
      <c r="M555" s="190"/>
      <c r="N555" s="190"/>
      <c r="O555" s="190"/>
      <c r="P555" s="190"/>
      <c r="Q555" s="190"/>
      <c r="R555" s="190"/>
      <c r="S555" s="190"/>
      <c r="T555" s="190"/>
      <c r="U555" s="190"/>
      <c r="V555" s="190"/>
      <c r="W555" s="190"/>
      <c r="X555" s="190"/>
      <c r="Y555" s="190"/>
      <c r="Z555" s="190"/>
      <c r="AA555" s="190"/>
      <c r="AB555" s="190"/>
      <c r="AC555" s="190"/>
      <c r="AD555" s="190"/>
      <c r="AE555" s="190"/>
      <c r="AF555" s="190"/>
      <c r="AG555" s="190"/>
      <c r="AH555" s="190"/>
      <c r="AI555" s="190"/>
      <c r="AJ555" s="190"/>
      <c r="AK555" s="190"/>
      <c r="AL555" s="190"/>
    </row>
    <row r="556" spans="2:38" ht="12.75" customHeight="1">
      <c r="B556" s="6"/>
      <c r="C556" s="6"/>
      <c r="D556" s="12"/>
      <c r="E556" s="12"/>
      <c r="F556" s="12"/>
      <c r="G556" s="12"/>
      <c r="H556" s="6"/>
      <c r="I556" s="190"/>
      <c r="J556" s="190"/>
      <c r="K556" s="190"/>
      <c r="L556" s="190"/>
      <c r="M556" s="190"/>
      <c r="N556" s="190"/>
      <c r="O556" s="190"/>
      <c r="P556" s="190"/>
      <c r="Q556" s="190"/>
      <c r="R556" s="190"/>
      <c r="S556" s="190"/>
      <c r="T556" s="190"/>
      <c r="U556" s="190"/>
      <c r="V556" s="190"/>
      <c r="W556" s="190"/>
      <c r="X556" s="190"/>
      <c r="Y556" s="190"/>
      <c r="Z556" s="190"/>
      <c r="AA556" s="190"/>
      <c r="AB556" s="190"/>
      <c r="AC556" s="190"/>
      <c r="AD556" s="190"/>
      <c r="AE556" s="190"/>
      <c r="AF556" s="190"/>
      <c r="AG556" s="190"/>
      <c r="AH556" s="190"/>
      <c r="AI556" s="190"/>
      <c r="AJ556" s="190"/>
      <c r="AK556" s="190"/>
      <c r="AL556" s="190"/>
    </row>
    <row r="557" spans="2:38" ht="12.75" customHeight="1">
      <c r="B557" s="6"/>
      <c r="C557" s="6"/>
      <c r="D557" s="12"/>
      <c r="E557" s="12"/>
      <c r="F557" s="12"/>
      <c r="G557" s="12"/>
      <c r="H557" s="6"/>
      <c r="I557" s="190"/>
      <c r="J557" s="190"/>
      <c r="K557" s="190"/>
      <c r="L557" s="190"/>
      <c r="M557" s="190"/>
      <c r="N557" s="190"/>
      <c r="O557" s="190"/>
      <c r="P557" s="190"/>
      <c r="Q557" s="190"/>
      <c r="R557" s="190"/>
      <c r="S557" s="190"/>
      <c r="T557" s="190"/>
      <c r="U557" s="190"/>
      <c r="V557" s="190"/>
      <c r="W557" s="190"/>
      <c r="X557" s="190"/>
      <c r="Y557" s="190"/>
      <c r="Z557" s="190"/>
      <c r="AA557" s="190"/>
      <c r="AB557" s="190"/>
      <c r="AC557" s="190"/>
      <c r="AD557" s="190"/>
      <c r="AE557" s="190"/>
      <c r="AF557" s="190"/>
      <c r="AG557" s="190"/>
      <c r="AH557" s="190"/>
      <c r="AI557" s="190"/>
      <c r="AJ557" s="190"/>
      <c r="AK557" s="190"/>
      <c r="AL557" s="190"/>
    </row>
    <row r="558" spans="2:38" ht="12.75" customHeight="1">
      <c r="B558" s="6"/>
      <c r="C558" s="6"/>
      <c r="D558" s="12"/>
      <c r="E558" s="12"/>
      <c r="F558" s="12"/>
      <c r="G558" s="12"/>
      <c r="H558" s="6"/>
      <c r="I558" s="190"/>
      <c r="J558" s="190"/>
      <c r="K558" s="190"/>
      <c r="L558" s="190"/>
      <c r="M558" s="190"/>
      <c r="N558" s="190"/>
      <c r="O558" s="190"/>
      <c r="P558" s="190"/>
      <c r="Q558" s="190"/>
      <c r="R558" s="190"/>
      <c r="S558" s="190"/>
      <c r="T558" s="190"/>
      <c r="U558" s="190"/>
      <c r="V558" s="190"/>
      <c r="W558" s="190"/>
      <c r="X558" s="190"/>
      <c r="Y558" s="190"/>
      <c r="Z558" s="190"/>
      <c r="AA558" s="190"/>
      <c r="AB558" s="190"/>
      <c r="AC558" s="190"/>
      <c r="AD558" s="190"/>
      <c r="AE558" s="190"/>
      <c r="AF558" s="190"/>
      <c r="AG558" s="190"/>
      <c r="AH558" s="190"/>
      <c r="AI558" s="190"/>
      <c r="AJ558" s="190"/>
      <c r="AK558" s="190"/>
      <c r="AL558" s="190"/>
    </row>
    <row r="559" spans="2:38" ht="12.75" customHeight="1">
      <c r="B559" s="6"/>
      <c r="C559" s="6"/>
      <c r="D559" s="12"/>
      <c r="E559" s="12"/>
      <c r="F559" s="12"/>
      <c r="G559" s="12"/>
      <c r="H559" s="6"/>
      <c r="I559" s="190"/>
      <c r="J559" s="190"/>
      <c r="K559" s="190"/>
      <c r="L559" s="190"/>
      <c r="M559" s="190"/>
      <c r="N559" s="190"/>
      <c r="O559" s="190"/>
      <c r="P559" s="190"/>
      <c r="Q559" s="190"/>
      <c r="R559" s="190"/>
      <c r="S559" s="190"/>
      <c r="T559" s="190"/>
      <c r="U559" s="190"/>
      <c r="V559" s="190"/>
      <c r="W559" s="190"/>
      <c r="X559" s="190"/>
      <c r="Y559" s="190"/>
      <c r="Z559" s="190"/>
      <c r="AA559" s="190"/>
      <c r="AB559" s="190"/>
      <c r="AC559" s="190"/>
      <c r="AD559" s="190"/>
      <c r="AE559" s="190"/>
      <c r="AF559" s="190"/>
      <c r="AG559" s="190"/>
      <c r="AH559" s="190"/>
      <c r="AI559" s="190"/>
      <c r="AJ559" s="190"/>
      <c r="AK559" s="190"/>
      <c r="AL559" s="190"/>
    </row>
    <row r="560" spans="2:38" ht="12.75" customHeight="1">
      <c r="B560" s="6"/>
      <c r="C560" s="6"/>
      <c r="D560" s="12"/>
      <c r="E560" s="12"/>
      <c r="F560" s="12"/>
      <c r="G560" s="12"/>
      <c r="H560" s="6"/>
      <c r="I560" s="190"/>
      <c r="J560" s="190"/>
      <c r="K560" s="190"/>
      <c r="L560" s="190"/>
      <c r="M560" s="190"/>
      <c r="N560" s="190"/>
      <c r="O560" s="190"/>
      <c r="P560" s="190"/>
      <c r="Q560" s="190"/>
      <c r="R560" s="190"/>
      <c r="S560" s="190"/>
      <c r="T560" s="190"/>
      <c r="U560" s="190"/>
      <c r="V560" s="190"/>
      <c r="W560" s="190"/>
      <c r="X560" s="190"/>
      <c r="Y560" s="190"/>
      <c r="Z560" s="190"/>
      <c r="AA560" s="190"/>
      <c r="AB560" s="190"/>
      <c r="AC560" s="190"/>
      <c r="AD560" s="190"/>
      <c r="AE560" s="190"/>
      <c r="AF560" s="190"/>
      <c r="AG560" s="190"/>
      <c r="AH560" s="190"/>
      <c r="AI560" s="190"/>
      <c r="AJ560" s="190"/>
      <c r="AK560" s="190"/>
      <c r="AL560" s="190"/>
    </row>
    <row r="561" spans="2:38" ht="12.75" customHeight="1">
      <c r="B561" s="6"/>
      <c r="C561" s="6"/>
      <c r="D561" s="12"/>
      <c r="E561" s="12"/>
      <c r="F561" s="12"/>
      <c r="G561" s="12"/>
      <c r="H561" s="6"/>
      <c r="I561" s="190"/>
      <c r="J561" s="190"/>
      <c r="K561" s="190"/>
      <c r="L561" s="190"/>
      <c r="M561" s="190"/>
      <c r="N561" s="190"/>
      <c r="O561" s="190"/>
      <c r="P561" s="190"/>
      <c r="Q561" s="190"/>
      <c r="R561" s="190"/>
      <c r="S561" s="190"/>
      <c r="T561" s="190"/>
      <c r="U561" s="190"/>
      <c r="V561" s="190"/>
      <c r="W561" s="190"/>
      <c r="X561" s="190"/>
      <c r="Y561" s="190"/>
      <c r="Z561" s="190"/>
      <c r="AA561" s="190"/>
      <c r="AB561" s="190"/>
      <c r="AC561" s="190"/>
      <c r="AD561" s="190"/>
      <c r="AE561" s="190"/>
      <c r="AF561" s="190"/>
      <c r="AG561" s="190"/>
      <c r="AH561" s="190"/>
      <c r="AI561" s="190"/>
      <c r="AJ561" s="190"/>
      <c r="AK561" s="190"/>
      <c r="AL561" s="190"/>
    </row>
    <row r="562" spans="2:38" ht="12.75" customHeight="1">
      <c r="B562" s="6"/>
      <c r="C562" s="6"/>
      <c r="D562" s="12"/>
      <c r="E562" s="12"/>
      <c r="F562" s="12"/>
      <c r="G562" s="12"/>
      <c r="H562" s="6"/>
      <c r="I562" s="190"/>
      <c r="J562" s="190"/>
      <c r="K562" s="190"/>
      <c r="L562" s="190"/>
      <c r="M562" s="190"/>
      <c r="N562" s="190"/>
      <c r="O562" s="190"/>
      <c r="P562" s="190"/>
      <c r="Q562" s="190"/>
      <c r="R562" s="190"/>
      <c r="S562" s="190"/>
      <c r="T562" s="190"/>
      <c r="U562" s="190"/>
      <c r="V562" s="190"/>
      <c r="W562" s="190"/>
      <c r="X562" s="190"/>
      <c r="Y562" s="190"/>
      <c r="Z562" s="190"/>
      <c r="AA562" s="190"/>
      <c r="AB562" s="190"/>
      <c r="AC562" s="190"/>
      <c r="AD562" s="190"/>
      <c r="AE562" s="190"/>
      <c r="AF562" s="190"/>
      <c r="AG562" s="190"/>
      <c r="AH562" s="190"/>
      <c r="AI562" s="190"/>
      <c r="AJ562" s="190"/>
      <c r="AK562" s="190"/>
      <c r="AL562" s="190"/>
    </row>
    <row r="563" spans="2:38" ht="12.75" customHeight="1">
      <c r="B563" s="6"/>
      <c r="C563" s="6"/>
      <c r="D563" s="12"/>
      <c r="E563" s="12"/>
      <c r="F563" s="12"/>
      <c r="G563" s="12"/>
      <c r="H563" s="6"/>
      <c r="I563" s="190"/>
      <c r="J563" s="190"/>
      <c r="K563" s="190"/>
      <c r="L563" s="190"/>
      <c r="M563" s="190"/>
      <c r="N563" s="190"/>
      <c r="O563" s="190"/>
      <c r="P563" s="190"/>
      <c r="Q563" s="190"/>
      <c r="R563" s="190"/>
      <c r="S563" s="190"/>
      <c r="T563" s="190"/>
      <c r="U563" s="190"/>
      <c r="V563" s="190"/>
      <c r="W563" s="190"/>
      <c r="X563" s="190"/>
      <c r="Y563" s="190"/>
      <c r="Z563" s="190"/>
      <c r="AA563" s="190"/>
      <c r="AB563" s="190"/>
      <c r="AC563" s="190"/>
      <c r="AD563" s="190"/>
      <c r="AE563" s="190"/>
      <c r="AF563" s="190"/>
      <c r="AG563" s="190"/>
      <c r="AH563" s="190"/>
      <c r="AI563" s="190"/>
      <c r="AJ563" s="190"/>
      <c r="AK563" s="190"/>
      <c r="AL563" s="190"/>
    </row>
    <row r="564" spans="2:38" ht="12.75" customHeight="1">
      <c r="B564" s="6"/>
      <c r="C564" s="6"/>
      <c r="D564" s="12"/>
      <c r="E564" s="12"/>
      <c r="F564" s="12"/>
      <c r="G564" s="12"/>
      <c r="H564" s="6"/>
      <c r="I564" s="190"/>
      <c r="J564" s="190"/>
      <c r="K564" s="190"/>
      <c r="L564" s="190"/>
      <c r="M564" s="190"/>
      <c r="N564" s="190"/>
      <c r="O564" s="190"/>
      <c r="P564" s="190"/>
      <c r="Q564" s="190"/>
      <c r="R564" s="190"/>
      <c r="S564" s="190"/>
      <c r="T564" s="190"/>
      <c r="U564" s="190"/>
      <c r="V564" s="190"/>
      <c r="W564" s="190"/>
      <c r="X564" s="190"/>
      <c r="Y564" s="190"/>
      <c r="Z564" s="190"/>
      <c r="AA564" s="190"/>
      <c r="AB564" s="190"/>
      <c r="AC564" s="190"/>
      <c r="AD564" s="190"/>
      <c r="AE564" s="190"/>
      <c r="AF564" s="190"/>
      <c r="AG564" s="190"/>
      <c r="AH564" s="190"/>
      <c r="AI564" s="190"/>
      <c r="AJ564" s="190"/>
      <c r="AK564" s="190"/>
      <c r="AL564" s="190"/>
    </row>
    <row r="565" spans="2:38" ht="12.75" customHeight="1">
      <c r="B565" s="6"/>
      <c r="C565" s="6"/>
      <c r="D565" s="12"/>
      <c r="E565" s="12"/>
      <c r="F565" s="12"/>
      <c r="G565" s="12"/>
      <c r="H565" s="6"/>
      <c r="I565" s="190"/>
      <c r="J565" s="190"/>
      <c r="K565" s="190"/>
      <c r="L565" s="190"/>
      <c r="M565" s="190"/>
      <c r="N565" s="190"/>
      <c r="O565" s="190"/>
      <c r="P565" s="190"/>
      <c r="Q565" s="190"/>
      <c r="R565" s="190"/>
      <c r="S565" s="190"/>
      <c r="T565" s="190"/>
      <c r="U565" s="190"/>
      <c r="V565" s="190"/>
      <c r="W565" s="190"/>
      <c r="X565" s="190"/>
      <c r="Y565" s="190"/>
      <c r="Z565" s="190"/>
      <c r="AA565" s="190"/>
      <c r="AB565" s="190"/>
      <c r="AC565" s="190"/>
      <c r="AD565" s="190"/>
      <c r="AE565" s="190"/>
      <c r="AF565" s="190"/>
      <c r="AG565" s="190"/>
      <c r="AH565" s="190"/>
      <c r="AI565" s="190"/>
      <c r="AJ565" s="190"/>
      <c r="AK565" s="190"/>
      <c r="AL565" s="190"/>
    </row>
    <row r="566" spans="2:38" ht="12.75" customHeight="1">
      <c r="B566" s="6"/>
      <c r="C566" s="6"/>
      <c r="D566" s="12"/>
      <c r="E566" s="12"/>
      <c r="F566" s="12"/>
      <c r="G566" s="12"/>
      <c r="H566" s="6"/>
      <c r="I566" s="190"/>
      <c r="J566" s="190"/>
      <c r="K566" s="190"/>
      <c r="L566" s="190"/>
      <c r="M566" s="190"/>
      <c r="N566" s="190"/>
      <c r="O566" s="190"/>
      <c r="P566" s="190"/>
      <c r="Q566" s="190"/>
      <c r="R566" s="190"/>
      <c r="S566" s="190"/>
      <c r="T566" s="190"/>
      <c r="U566" s="190"/>
      <c r="V566" s="190"/>
      <c r="W566" s="190"/>
      <c r="X566" s="190"/>
      <c r="Y566" s="190"/>
      <c r="Z566" s="190"/>
      <c r="AA566" s="190"/>
      <c r="AB566" s="190"/>
      <c r="AC566" s="190"/>
      <c r="AD566" s="190"/>
      <c r="AE566" s="190"/>
      <c r="AF566" s="190"/>
      <c r="AG566" s="190"/>
      <c r="AH566" s="190"/>
      <c r="AI566" s="190"/>
      <c r="AJ566" s="190"/>
      <c r="AK566" s="190"/>
      <c r="AL566" s="190"/>
    </row>
    <row r="567" spans="2:38" ht="12.75" customHeight="1">
      <c r="B567" s="6"/>
      <c r="C567" s="6"/>
      <c r="D567" s="12"/>
      <c r="E567" s="12"/>
      <c r="F567" s="12"/>
      <c r="G567" s="12"/>
      <c r="H567" s="6"/>
      <c r="I567" s="190"/>
      <c r="J567" s="190"/>
      <c r="K567" s="190"/>
      <c r="L567" s="190"/>
      <c r="M567" s="190"/>
      <c r="N567" s="190"/>
      <c r="O567" s="190"/>
      <c r="P567" s="190"/>
      <c r="Q567" s="190"/>
      <c r="R567" s="190"/>
      <c r="S567" s="190"/>
      <c r="T567" s="190"/>
      <c r="U567" s="190"/>
      <c r="V567" s="190"/>
      <c r="W567" s="190"/>
      <c r="X567" s="190"/>
      <c r="Y567" s="190"/>
      <c r="Z567" s="190"/>
      <c r="AA567" s="190"/>
      <c r="AB567" s="190"/>
      <c r="AC567" s="190"/>
      <c r="AD567" s="190"/>
      <c r="AE567" s="190"/>
      <c r="AF567" s="190"/>
      <c r="AG567" s="190"/>
      <c r="AH567" s="190"/>
      <c r="AI567" s="190"/>
      <c r="AJ567" s="190"/>
      <c r="AK567" s="190"/>
      <c r="AL567" s="190"/>
    </row>
    <row r="568" spans="2:38" ht="12.75" customHeight="1">
      <c r="B568" s="6"/>
      <c r="C568" s="6"/>
      <c r="D568" s="12"/>
      <c r="E568" s="12"/>
      <c r="F568" s="12"/>
      <c r="G568" s="12"/>
      <c r="H568" s="6"/>
      <c r="I568" s="190"/>
      <c r="J568" s="190"/>
      <c r="K568" s="190"/>
      <c r="L568" s="190"/>
      <c r="M568" s="190"/>
      <c r="N568" s="190"/>
      <c r="O568" s="190"/>
      <c r="P568" s="190"/>
      <c r="Q568" s="190"/>
      <c r="R568" s="190"/>
      <c r="S568" s="190"/>
      <c r="T568" s="190"/>
      <c r="U568" s="190"/>
      <c r="V568" s="190"/>
      <c r="W568" s="190"/>
      <c r="X568" s="190"/>
      <c r="Y568" s="190"/>
      <c r="Z568" s="190"/>
      <c r="AA568" s="190"/>
      <c r="AB568" s="190"/>
      <c r="AC568" s="190"/>
      <c r="AD568" s="190"/>
      <c r="AE568" s="190"/>
      <c r="AF568" s="190"/>
      <c r="AG568" s="190"/>
      <c r="AH568" s="190"/>
      <c r="AI568" s="190"/>
      <c r="AJ568" s="190"/>
      <c r="AK568" s="190"/>
      <c r="AL568" s="190"/>
    </row>
    <row r="569" spans="2:38" ht="12.75" customHeight="1">
      <c r="B569" s="6"/>
      <c r="C569" s="6"/>
      <c r="D569" s="12"/>
      <c r="E569" s="12"/>
      <c r="F569" s="12"/>
      <c r="G569" s="12"/>
      <c r="H569" s="6"/>
      <c r="I569" s="190"/>
      <c r="J569" s="190"/>
      <c r="K569" s="190"/>
      <c r="L569" s="190"/>
      <c r="M569" s="190"/>
      <c r="N569" s="190"/>
      <c r="O569" s="190"/>
      <c r="P569" s="190"/>
      <c r="Q569" s="190"/>
      <c r="R569" s="190"/>
      <c r="S569" s="190"/>
      <c r="T569" s="190"/>
      <c r="U569" s="190"/>
      <c r="V569" s="190"/>
      <c r="W569" s="190"/>
      <c r="X569" s="190"/>
      <c r="Y569" s="190"/>
      <c r="Z569" s="190"/>
      <c r="AA569" s="190"/>
      <c r="AB569" s="190"/>
      <c r="AC569" s="190"/>
      <c r="AD569" s="190"/>
      <c r="AE569" s="190"/>
      <c r="AF569" s="190"/>
      <c r="AG569" s="190"/>
      <c r="AH569" s="190"/>
      <c r="AI569" s="190"/>
      <c r="AJ569" s="190"/>
      <c r="AK569" s="190"/>
      <c r="AL569" s="190"/>
    </row>
    <row r="570" spans="2:38" ht="12.75" customHeight="1">
      <c r="B570" s="6"/>
      <c r="C570" s="6"/>
      <c r="D570" s="12"/>
      <c r="E570" s="12"/>
      <c r="F570" s="12"/>
      <c r="G570" s="12"/>
      <c r="H570" s="6"/>
      <c r="I570" s="190"/>
      <c r="J570" s="190"/>
      <c r="K570" s="190"/>
      <c r="L570" s="190"/>
      <c r="M570" s="190"/>
      <c r="N570" s="190"/>
      <c r="O570" s="190"/>
      <c r="P570" s="190"/>
      <c r="Q570" s="190"/>
      <c r="R570" s="190"/>
      <c r="S570" s="190"/>
      <c r="T570" s="190"/>
      <c r="U570" s="190"/>
      <c r="V570" s="190"/>
      <c r="W570" s="190"/>
      <c r="X570" s="190"/>
      <c r="Y570" s="190"/>
      <c r="Z570" s="190"/>
      <c r="AA570" s="190"/>
      <c r="AB570" s="190"/>
      <c r="AC570" s="190"/>
      <c r="AD570" s="190"/>
      <c r="AE570" s="190"/>
      <c r="AF570" s="190"/>
      <c r="AG570" s="190"/>
      <c r="AH570" s="190"/>
      <c r="AI570" s="190"/>
      <c r="AJ570" s="190"/>
      <c r="AK570" s="190"/>
      <c r="AL570" s="190"/>
    </row>
    <row r="571" spans="2:38" ht="12.75" customHeight="1">
      <c r="B571" s="6"/>
      <c r="C571" s="6"/>
      <c r="D571" s="12"/>
      <c r="E571" s="12"/>
      <c r="F571" s="12"/>
      <c r="G571" s="12"/>
      <c r="H571" s="6"/>
      <c r="I571" s="190"/>
      <c r="J571" s="190"/>
      <c r="K571" s="190"/>
      <c r="L571" s="190"/>
      <c r="M571" s="190"/>
      <c r="N571" s="190"/>
      <c r="O571" s="190"/>
      <c r="P571" s="190"/>
      <c r="Q571" s="190"/>
      <c r="R571" s="190"/>
      <c r="S571" s="190"/>
      <c r="T571" s="190"/>
      <c r="U571" s="190"/>
      <c r="V571" s="190"/>
      <c r="W571" s="190"/>
      <c r="X571" s="190"/>
      <c r="Y571" s="190"/>
      <c r="Z571" s="190"/>
      <c r="AA571" s="190"/>
      <c r="AB571" s="190"/>
      <c r="AC571" s="190"/>
      <c r="AD571" s="190"/>
      <c r="AE571" s="190"/>
      <c r="AF571" s="190"/>
      <c r="AG571" s="190"/>
      <c r="AH571" s="190"/>
      <c r="AI571" s="190"/>
      <c r="AJ571" s="190"/>
      <c r="AK571" s="190"/>
      <c r="AL571" s="190"/>
    </row>
    <row r="572" spans="2:38" ht="12.75" customHeight="1">
      <c r="B572" s="6"/>
      <c r="C572" s="6"/>
      <c r="D572" s="12"/>
      <c r="E572" s="12"/>
      <c r="F572" s="12"/>
      <c r="G572" s="12"/>
      <c r="H572" s="6"/>
      <c r="I572" s="190"/>
      <c r="J572" s="190"/>
      <c r="K572" s="190"/>
      <c r="L572" s="190"/>
      <c r="M572" s="190"/>
      <c r="N572" s="190"/>
      <c r="O572" s="190"/>
      <c r="P572" s="190"/>
      <c r="Q572" s="190"/>
      <c r="R572" s="190"/>
      <c r="S572" s="190"/>
      <c r="T572" s="190"/>
      <c r="U572" s="190"/>
      <c r="V572" s="190"/>
      <c r="W572" s="190"/>
      <c r="X572" s="190"/>
      <c r="Y572" s="190"/>
      <c r="Z572" s="190"/>
      <c r="AA572" s="190"/>
      <c r="AB572" s="190"/>
      <c r="AC572" s="190"/>
      <c r="AD572" s="190"/>
      <c r="AE572" s="190"/>
      <c r="AF572" s="190"/>
      <c r="AG572" s="190"/>
      <c r="AH572" s="190"/>
      <c r="AI572" s="190"/>
      <c r="AJ572" s="190"/>
      <c r="AK572" s="190"/>
      <c r="AL572" s="190"/>
    </row>
    <row r="573" spans="2:38" ht="12.75" customHeight="1">
      <c r="B573" s="6"/>
      <c r="C573" s="6"/>
      <c r="D573" s="12"/>
      <c r="E573" s="12"/>
      <c r="F573" s="12"/>
      <c r="G573" s="12"/>
      <c r="H573" s="6"/>
      <c r="I573" s="190"/>
      <c r="J573" s="190"/>
      <c r="K573" s="190"/>
      <c r="L573" s="190"/>
      <c r="M573" s="190"/>
      <c r="N573" s="190"/>
      <c r="O573" s="190"/>
      <c r="P573" s="190"/>
      <c r="Q573" s="190"/>
      <c r="R573" s="190"/>
      <c r="S573" s="190"/>
      <c r="T573" s="190"/>
      <c r="U573" s="190"/>
      <c r="V573" s="190"/>
      <c r="W573" s="190"/>
      <c r="X573" s="190"/>
      <c r="Y573" s="190"/>
      <c r="Z573" s="190"/>
      <c r="AA573" s="190"/>
      <c r="AB573" s="190"/>
      <c r="AC573" s="190"/>
      <c r="AD573" s="190"/>
      <c r="AE573" s="190"/>
      <c r="AF573" s="190"/>
      <c r="AG573" s="190"/>
      <c r="AH573" s="190"/>
      <c r="AI573" s="190"/>
      <c r="AJ573" s="190"/>
      <c r="AK573" s="190"/>
      <c r="AL573" s="190"/>
    </row>
    <row r="574" spans="2:38" ht="12.75" customHeight="1">
      <c r="B574" s="6"/>
      <c r="C574" s="6"/>
      <c r="D574" s="12"/>
      <c r="E574" s="12"/>
      <c r="F574" s="12"/>
      <c r="G574" s="12"/>
      <c r="H574" s="6"/>
      <c r="I574" s="190"/>
      <c r="J574" s="190"/>
      <c r="K574" s="190"/>
      <c r="L574" s="190"/>
      <c r="M574" s="190"/>
      <c r="N574" s="190"/>
      <c r="O574" s="190"/>
      <c r="P574" s="190"/>
      <c r="Q574" s="190"/>
      <c r="R574" s="190"/>
      <c r="S574" s="190"/>
      <c r="T574" s="190"/>
      <c r="U574" s="190"/>
      <c r="V574" s="190"/>
      <c r="W574" s="190"/>
      <c r="X574" s="190"/>
      <c r="Y574" s="190"/>
      <c r="Z574" s="190"/>
      <c r="AA574" s="190"/>
      <c r="AB574" s="190"/>
      <c r="AC574" s="190"/>
      <c r="AD574" s="190"/>
      <c r="AE574" s="190"/>
      <c r="AF574" s="190"/>
      <c r="AG574" s="190"/>
      <c r="AH574" s="190"/>
      <c r="AI574" s="190"/>
      <c r="AJ574" s="190"/>
      <c r="AK574" s="190"/>
      <c r="AL574" s="190"/>
    </row>
    <row r="575" spans="2:38" ht="12.75" customHeight="1">
      <c r="B575" s="6"/>
      <c r="C575" s="6"/>
      <c r="D575" s="12"/>
      <c r="E575" s="12"/>
      <c r="F575" s="12"/>
      <c r="G575" s="12"/>
      <c r="H575" s="6"/>
      <c r="I575" s="190"/>
      <c r="J575" s="190"/>
      <c r="K575" s="190"/>
      <c r="L575" s="190"/>
      <c r="M575" s="190"/>
      <c r="N575" s="190"/>
      <c r="O575" s="190"/>
      <c r="P575" s="190"/>
      <c r="Q575" s="190"/>
      <c r="R575" s="190"/>
      <c r="S575" s="190"/>
      <c r="T575" s="190"/>
      <c r="U575" s="190"/>
      <c r="V575" s="190"/>
      <c r="W575" s="190"/>
      <c r="X575" s="190"/>
      <c r="Y575" s="190"/>
      <c r="Z575" s="190"/>
      <c r="AA575" s="190"/>
      <c r="AB575" s="190"/>
      <c r="AC575" s="190"/>
      <c r="AD575" s="190"/>
      <c r="AE575" s="190"/>
      <c r="AF575" s="190"/>
      <c r="AG575" s="190"/>
      <c r="AH575" s="190"/>
      <c r="AI575" s="190"/>
      <c r="AJ575" s="190"/>
      <c r="AK575" s="190"/>
      <c r="AL575" s="190"/>
    </row>
    <row r="576" spans="2:38" ht="12.75" customHeight="1">
      <c r="B576" s="6"/>
      <c r="C576" s="6"/>
      <c r="D576" s="12"/>
      <c r="E576" s="12"/>
      <c r="F576" s="12"/>
      <c r="G576" s="12"/>
      <c r="H576" s="6"/>
      <c r="I576" s="190"/>
      <c r="J576" s="190"/>
      <c r="K576" s="190"/>
      <c r="L576" s="190"/>
      <c r="M576" s="190"/>
      <c r="N576" s="190"/>
      <c r="O576" s="190"/>
      <c r="P576" s="190"/>
      <c r="Q576" s="190"/>
      <c r="R576" s="190"/>
      <c r="S576" s="190"/>
      <c r="T576" s="190"/>
      <c r="U576" s="190"/>
      <c r="V576" s="190"/>
      <c r="W576" s="190"/>
      <c r="X576" s="190"/>
      <c r="Y576" s="190"/>
      <c r="Z576" s="190"/>
      <c r="AA576" s="190"/>
      <c r="AB576" s="190"/>
      <c r="AC576" s="190"/>
      <c r="AD576" s="190"/>
      <c r="AE576" s="190"/>
      <c r="AF576" s="190"/>
      <c r="AG576" s="190"/>
      <c r="AH576" s="190"/>
      <c r="AI576" s="190"/>
      <c r="AJ576" s="190"/>
      <c r="AK576" s="190"/>
      <c r="AL576" s="190"/>
    </row>
    <row r="577" spans="2:38" ht="12.75" customHeight="1">
      <c r="B577" s="6"/>
      <c r="C577" s="6"/>
      <c r="D577" s="12"/>
      <c r="E577" s="12"/>
      <c r="F577" s="12"/>
      <c r="G577" s="12"/>
      <c r="H577" s="6"/>
      <c r="I577" s="190"/>
      <c r="J577" s="190"/>
      <c r="K577" s="190"/>
      <c r="L577" s="190"/>
      <c r="M577" s="190"/>
      <c r="N577" s="190"/>
      <c r="O577" s="190"/>
      <c r="P577" s="190"/>
      <c r="Q577" s="190"/>
      <c r="R577" s="190"/>
      <c r="S577" s="190"/>
      <c r="T577" s="190"/>
      <c r="U577" s="190"/>
      <c r="V577" s="190"/>
      <c r="W577" s="190"/>
      <c r="X577" s="190"/>
      <c r="Y577" s="190"/>
      <c r="Z577" s="190"/>
      <c r="AA577" s="190"/>
      <c r="AB577" s="190"/>
      <c r="AC577" s="190"/>
      <c r="AD577" s="190"/>
      <c r="AE577" s="190"/>
      <c r="AF577" s="190"/>
      <c r="AG577" s="190"/>
      <c r="AH577" s="190"/>
      <c r="AI577" s="190"/>
      <c r="AJ577" s="190"/>
      <c r="AK577" s="190"/>
      <c r="AL577" s="190"/>
    </row>
    <row r="578" spans="2:38" ht="12.75" customHeight="1">
      <c r="B578" s="6"/>
      <c r="C578" s="6"/>
      <c r="D578" s="12"/>
      <c r="E578" s="12"/>
      <c r="F578" s="12"/>
      <c r="G578" s="12"/>
      <c r="H578" s="6"/>
      <c r="I578" s="190"/>
      <c r="J578" s="190"/>
      <c r="K578" s="190"/>
      <c r="L578" s="190"/>
      <c r="M578" s="190"/>
      <c r="N578" s="190"/>
      <c r="O578" s="190"/>
      <c r="P578" s="190"/>
      <c r="Q578" s="190"/>
      <c r="R578" s="190"/>
      <c r="S578" s="190"/>
      <c r="T578" s="190"/>
      <c r="U578" s="190"/>
      <c r="V578" s="190"/>
      <c r="W578" s="190"/>
      <c r="X578" s="190"/>
      <c r="Y578" s="190"/>
      <c r="Z578" s="190"/>
      <c r="AA578" s="190"/>
      <c r="AB578" s="190"/>
      <c r="AC578" s="190"/>
      <c r="AD578" s="190"/>
      <c r="AE578" s="190"/>
      <c r="AF578" s="190"/>
      <c r="AG578" s="190"/>
      <c r="AH578" s="190"/>
      <c r="AI578" s="190"/>
      <c r="AJ578" s="190"/>
      <c r="AK578" s="190"/>
      <c r="AL578" s="190"/>
    </row>
    <row r="579" spans="2:38" ht="12.75" customHeight="1">
      <c r="B579" s="6"/>
      <c r="C579" s="6"/>
      <c r="D579" s="12"/>
      <c r="E579" s="12"/>
      <c r="F579" s="12"/>
      <c r="G579" s="12"/>
      <c r="H579" s="6"/>
      <c r="I579" s="190"/>
      <c r="J579" s="190"/>
      <c r="K579" s="190"/>
      <c r="L579" s="190"/>
      <c r="M579" s="190"/>
      <c r="N579" s="190"/>
      <c r="O579" s="190"/>
      <c r="P579" s="190"/>
      <c r="Q579" s="190"/>
      <c r="R579" s="190"/>
      <c r="S579" s="190"/>
      <c r="T579" s="190"/>
      <c r="U579" s="190"/>
      <c r="V579" s="190"/>
      <c r="W579" s="190"/>
      <c r="X579" s="190"/>
      <c r="Y579" s="190"/>
      <c r="Z579" s="190"/>
      <c r="AA579" s="190"/>
      <c r="AB579" s="190"/>
      <c r="AC579" s="190"/>
      <c r="AD579" s="190"/>
      <c r="AE579" s="190"/>
      <c r="AF579" s="190"/>
      <c r="AG579" s="190"/>
      <c r="AH579" s="190"/>
      <c r="AI579" s="190"/>
      <c r="AJ579" s="190"/>
      <c r="AK579" s="190"/>
      <c r="AL579" s="190"/>
    </row>
    <row r="580" spans="2:38" ht="12.75" customHeight="1">
      <c r="B580" s="6"/>
      <c r="C580" s="6"/>
      <c r="D580" s="12"/>
      <c r="E580" s="12"/>
      <c r="F580" s="12"/>
      <c r="G580" s="12"/>
      <c r="H580" s="6"/>
      <c r="I580" s="190"/>
      <c r="J580" s="190"/>
      <c r="K580" s="190"/>
      <c r="L580" s="190"/>
      <c r="M580" s="190"/>
      <c r="N580" s="190"/>
      <c r="O580" s="190"/>
      <c r="P580" s="190"/>
      <c r="Q580" s="190"/>
      <c r="R580" s="190"/>
      <c r="S580" s="190"/>
      <c r="T580" s="190"/>
      <c r="U580" s="190"/>
      <c r="V580" s="190"/>
      <c r="W580" s="190"/>
      <c r="X580" s="190"/>
      <c r="Y580" s="190"/>
      <c r="Z580" s="190"/>
      <c r="AA580" s="190"/>
      <c r="AB580" s="190"/>
      <c r="AC580" s="190"/>
      <c r="AD580" s="190"/>
      <c r="AE580" s="190"/>
      <c r="AF580" s="190"/>
      <c r="AG580" s="190"/>
      <c r="AH580" s="190"/>
      <c r="AI580" s="190"/>
      <c r="AJ580" s="190"/>
      <c r="AK580" s="190"/>
      <c r="AL580" s="190"/>
    </row>
    <row r="581" spans="2:38" ht="12.75" customHeight="1">
      <c r="B581" s="6"/>
      <c r="C581" s="6"/>
      <c r="D581" s="12"/>
      <c r="E581" s="12"/>
      <c r="F581" s="12"/>
      <c r="G581" s="12"/>
      <c r="H581" s="6"/>
      <c r="I581" s="190"/>
      <c r="J581" s="190"/>
      <c r="K581" s="190"/>
      <c r="L581" s="190"/>
      <c r="M581" s="190"/>
      <c r="N581" s="190"/>
      <c r="O581" s="190"/>
      <c r="P581" s="190"/>
      <c r="Q581" s="190"/>
      <c r="R581" s="190"/>
      <c r="S581" s="190"/>
      <c r="T581" s="190"/>
      <c r="U581" s="190"/>
      <c r="V581" s="190"/>
      <c r="W581" s="190"/>
      <c r="X581" s="190"/>
      <c r="Y581" s="190"/>
      <c r="Z581" s="190"/>
      <c r="AA581" s="190"/>
      <c r="AB581" s="190"/>
      <c r="AC581" s="190"/>
      <c r="AD581" s="190"/>
      <c r="AE581" s="190"/>
      <c r="AF581" s="190"/>
      <c r="AG581" s="190"/>
      <c r="AH581" s="190"/>
      <c r="AI581" s="190"/>
      <c r="AJ581" s="190"/>
      <c r="AK581" s="190"/>
      <c r="AL581" s="190"/>
    </row>
    <row r="582" spans="2:38" ht="12.75" customHeight="1">
      <c r="B582" s="6"/>
      <c r="C582" s="6"/>
      <c r="D582" s="12"/>
      <c r="E582" s="12"/>
      <c r="F582" s="12"/>
      <c r="G582" s="12"/>
      <c r="H582" s="6"/>
      <c r="I582" s="190"/>
      <c r="J582" s="190"/>
      <c r="K582" s="190"/>
      <c r="L582" s="190"/>
      <c r="M582" s="190"/>
      <c r="N582" s="190"/>
      <c r="O582" s="190"/>
      <c r="P582" s="190"/>
      <c r="Q582" s="190"/>
      <c r="R582" s="190"/>
      <c r="S582" s="190"/>
      <c r="T582" s="190"/>
      <c r="U582" s="190"/>
      <c r="V582" s="190"/>
      <c r="W582" s="190"/>
      <c r="X582" s="190"/>
      <c r="Y582" s="190"/>
      <c r="Z582" s="190"/>
      <c r="AA582" s="190"/>
      <c r="AB582" s="190"/>
      <c r="AC582" s="190"/>
      <c r="AD582" s="190"/>
      <c r="AE582" s="190"/>
      <c r="AF582" s="190"/>
      <c r="AG582" s="190"/>
      <c r="AH582" s="190"/>
      <c r="AI582" s="190"/>
      <c r="AJ582" s="190"/>
      <c r="AK582" s="190"/>
      <c r="AL582" s="190"/>
    </row>
    <row r="583" spans="2:38" ht="12.75" customHeight="1">
      <c r="B583" s="6"/>
      <c r="C583" s="6"/>
      <c r="D583" s="12"/>
      <c r="E583" s="12"/>
      <c r="F583" s="12"/>
      <c r="G583" s="12"/>
      <c r="H583" s="6"/>
      <c r="I583" s="190"/>
      <c r="J583" s="190"/>
      <c r="K583" s="190"/>
      <c r="L583" s="190"/>
      <c r="M583" s="190"/>
      <c r="N583" s="190"/>
      <c r="O583" s="190"/>
      <c r="P583" s="190"/>
      <c r="Q583" s="190"/>
      <c r="R583" s="190"/>
      <c r="S583" s="190"/>
      <c r="T583" s="190"/>
      <c r="U583" s="190"/>
      <c r="V583" s="190"/>
      <c r="W583" s="190"/>
      <c r="X583" s="190"/>
      <c r="Y583" s="190"/>
      <c r="Z583" s="190"/>
      <c r="AA583" s="190"/>
      <c r="AB583" s="190"/>
      <c r="AC583" s="190"/>
      <c r="AD583" s="190"/>
      <c r="AE583" s="190"/>
      <c r="AF583" s="190"/>
      <c r="AG583" s="190"/>
      <c r="AH583" s="190"/>
      <c r="AI583" s="190"/>
      <c r="AJ583" s="190"/>
      <c r="AK583" s="190"/>
      <c r="AL583" s="190"/>
    </row>
    <row r="584" spans="2:38" ht="12.75" customHeight="1">
      <c r="B584" s="6"/>
      <c r="C584" s="6"/>
      <c r="D584" s="12"/>
      <c r="E584" s="12"/>
      <c r="F584" s="12"/>
      <c r="G584" s="12"/>
      <c r="H584" s="6"/>
      <c r="I584" s="190"/>
      <c r="J584" s="190"/>
      <c r="K584" s="190"/>
      <c r="L584" s="190"/>
      <c r="M584" s="190"/>
      <c r="N584" s="190"/>
      <c r="O584" s="190"/>
      <c r="P584" s="190"/>
      <c r="Q584" s="190"/>
      <c r="R584" s="190"/>
      <c r="S584" s="190"/>
      <c r="T584" s="190"/>
      <c r="U584" s="190"/>
      <c r="V584" s="190"/>
      <c r="W584" s="190"/>
      <c r="X584" s="190"/>
      <c r="Y584" s="190"/>
      <c r="Z584" s="190"/>
      <c r="AA584" s="190"/>
      <c r="AB584" s="190"/>
      <c r="AC584" s="190"/>
      <c r="AD584" s="190"/>
      <c r="AE584" s="190"/>
      <c r="AF584" s="190"/>
      <c r="AG584" s="190"/>
      <c r="AH584" s="190"/>
      <c r="AI584" s="190"/>
      <c r="AJ584" s="190"/>
      <c r="AK584" s="190"/>
      <c r="AL584" s="190"/>
    </row>
    <row r="585" spans="2:38" ht="12.75" customHeight="1">
      <c r="B585" s="6"/>
      <c r="C585" s="6"/>
      <c r="D585" s="12"/>
      <c r="E585" s="12"/>
      <c r="F585" s="12"/>
      <c r="G585" s="12"/>
      <c r="H585" s="6"/>
      <c r="I585" s="190"/>
      <c r="J585" s="190"/>
      <c r="K585" s="190"/>
      <c r="L585" s="190"/>
      <c r="M585" s="190"/>
      <c r="N585" s="190"/>
      <c r="O585" s="190"/>
      <c r="P585" s="190"/>
      <c r="Q585" s="190"/>
      <c r="R585" s="190"/>
      <c r="S585" s="190"/>
      <c r="T585" s="190"/>
      <c r="U585" s="190"/>
      <c r="V585" s="190"/>
      <c r="W585" s="190"/>
      <c r="X585" s="190"/>
      <c r="Y585" s="190"/>
      <c r="Z585" s="190"/>
      <c r="AA585" s="190"/>
      <c r="AB585" s="190"/>
      <c r="AC585" s="190"/>
      <c r="AD585" s="190"/>
      <c r="AE585" s="190"/>
      <c r="AF585" s="190"/>
      <c r="AG585" s="190"/>
      <c r="AH585" s="190"/>
      <c r="AI585" s="190"/>
      <c r="AJ585" s="190"/>
      <c r="AK585" s="190"/>
      <c r="AL585" s="190"/>
    </row>
    <row r="586" spans="2:38" ht="12.75" customHeight="1">
      <c r="B586" s="6"/>
      <c r="C586" s="6"/>
      <c r="D586" s="12"/>
      <c r="E586" s="12"/>
      <c r="F586" s="12"/>
      <c r="G586" s="12"/>
      <c r="H586" s="6"/>
      <c r="I586" s="190"/>
      <c r="J586" s="190"/>
      <c r="K586" s="190"/>
      <c r="L586" s="190"/>
      <c r="M586" s="190"/>
      <c r="N586" s="190"/>
      <c r="O586" s="190"/>
      <c r="P586" s="190"/>
      <c r="Q586" s="190"/>
      <c r="R586" s="190"/>
      <c r="S586" s="190"/>
      <c r="T586" s="190"/>
      <c r="U586" s="190"/>
      <c r="V586" s="190"/>
      <c r="W586" s="190"/>
      <c r="X586" s="190"/>
      <c r="Y586" s="190"/>
      <c r="Z586" s="190"/>
      <c r="AA586" s="190"/>
      <c r="AB586" s="190"/>
      <c r="AC586" s="190"/>
      <c r="AD586" s="190"/>
      <c r="AE586" s="190"/>
      <c r="AF586" s="190"/>
      <c r="AG586" s="190"/>
      <c r="AH586" s="190"/>
      <c r="AI586" s="190"/>
      <c r="AJ586" s="190"/>
      <c r="AK586" s="190"/>
      <c r="AL586" s="190"/>
    </row>
    <row r="587" spans="2:38" ht="12.75" customHeight="1">
      <c r="B587" s="6"/>
      <c r="C587" s="6"/>
      <c r="D587" s="12"/>
      <c r="E587" s="12"/>
      <c r="F587" s="12"/>
      <c r="G587" s="12"/>
      <c r="H587" s="6"/>
      <c r="I587" s="190"/>
      <c r="J587" s="190"/>
      <c r="K587" s="190"/>
      <c r="L587" s="190"/>
      <c r="M587" s="190"/>
      <c r="N587" s="190"/>
      <c r="O587" s="190"/>
      <c r="P587" s="190"/>
      <c r="Q587" s="190"/>
      <c r="R587" s="190"/>
      <c r="S587" s="190"/>
      <c r="T587" s="190"/>
      <c r="U587" s="190"/>
      <c r="V587" s="190"/>
      <c r="W587" s="190"/>
      <c r="X587" s="190"/>
      <c r="Y587" s="190"/>
      <c r="Z587" s="190"/>
      <c r="AA587" s="190"/>
      <c r="AB587" s="190"/>
      <c r="AC587" s="190"/>
      <c r="AD587" s="190"/>
      <c r="AE587" s="190"/>
      <c r="AF587" s="190"/>
      <c r="AG587" s="190"/>
      <c r="AH587" s="190"/>
      <c r="AI587" s="190"/>
      <c r="AJ587" s="190"/>
      <c r="AK587" s="190"/>
      <c r="AL587" s="190"/>
    </row>
    <row r="588" spans="2:38" ht="12.75" customHeight="1">
      <c r="B588" s="6"/>
      <c r="C588" s="6"/>
      <c r="D588" s="12"/>
      <c r="E588" s="12"/>
      <c r="F588" s="12"/>
      <c r="G588" s="12"/>
      <c r="H588" s="6"/>
      <c r="I588" s="190"/>
      <c r="J588" s="190"/>
      <c r="K588" s="190"/>
      <c r="L588" s="190"/>
      <c r="M588" s="190"/>
      <c r="N588" s="190"/>
      <c r="O588" s="190"/>
      <c r="P588" s="190"/>
      <c r="Q588" s="190"/>
      <c r="R588" s="190"/>
      <c r="S588" s="190"/>
      <c r="T588" s="190"/>
      <c r="U588" s="190"/>
      <c r="V588" s="190"/>
      <c r="W588" s="190"/>
      <c r="X588" s="190"/>
      <c r="Y588" s="190"/>
      <c r="Z588" s="190"/>
      <c r="AA588" s="190"/>
      <c r="AB588" s="190"/>
      <c r="AC588" s="190"/>
      <c r="AD588" s="190"/>
      <c r="AE588" s="190"/>
      <c r="AF588" s="190"/>
      <c r="AG588" s="190"/>
      <c r="AH588" s="190"/>
      <c r="AI588" s="190"/>
      <c r="AJ588" s="190"/>
      <c r="AK588" s="190"/>
      <c r="AL588" s="190"/>
    </row>
    <row r="589" spans="2:38" ht="12.75" customHeight="1">
      <c r="B589" s="6"/>
      <c r="C589" s="6"/>
      <c r="D589" s="12"/>
      <c r="E589" s="12"/>
      <c r="F589" s="12"/>
      <c r="G589" s="12"/>
      <c r="H589" s="6"/>
      <c r="I589" s="190"/>
      <c r="J589" s="190"/>
      <c r="K589" s="190"/>
      <c r="L589" s="190"/>
      <c r="M589" s="190"/>
      <c r="N589" s="190"/>
      <c r="O589" s="190"/>
      <c r="P589" s="190"/>
      <c r="Q589" s="190"/>
      <c r="R589" s="190"/>
      <c r="S589" s="190"/>
      <c r="T589" s="190"/>
      <c r="U589" s="190"/>
      <c r="V589" s="190"/>
      <c r="W589" s="190"/>
      <c r="X589" s="190"/>
      <c r="Y589" s="190"/>
      <c r="Z589" s="190"/>
      <c r="AA589" s="190"/>
      <c r="AB589" s="190"/>
      <c r="AC589" s="190"/>
      <c r="AD589" s="190"/>
      <c r="AE589" s="190"/>
      <c r="AF589" s="190"/>
      <c r="AG589" s="190"/>
      <c r="AH589" s="190"/>
      <c r="AI589" s="190"/>
      <c r="AJ589" s="190"/>
      <c r="AK589" s="190"/>
      <c r="AL589" s="190"/>
    </row>
    <row r="590" spans="2:38" ht="12.75" customHeight="1">
      <c r="B590" s="6"/>
      <c r="C590" s="6"/>
      <c r="D590" s="12"/>
      <c r="E590" s="12"/>
      <c r="F590" s="12"/>
      <c r="G590" s="12"/>
      <c r="H590" s="6"/>
      <c r="I590" s="190"/>
      <c r="J590" s="190"/>
      <c r="K590" s="190"/>
      <c r="L590" s="190"/>
      <c r="M590" s="190"/>
      <c r="N590" s="190"/>
      <c r="O590" s="190"/>
      <c r="P590" s="190"/>
      <c r="Q590" s="190"/>
      <c r="R590" s="190"/>
      <c r="S590" s="190"/>
      <c r="T590" s="190"/>
      <c r="U590" s="190"/>
      <c r="V590" s="190"/>
      <c r="W590" s="190"/>
      <c r="X590" s="190"/>
      <c r="Y590" s="190"/>
      <c r="Z590" s="190"/>
      <c r="AA590" s="190"/>
      <c r="AB590" s="190"/>
      <c r="AC590" s="190"/>
      <c r="AD590" s="190"/>
      <c r="AE590" s="190"/>
      <c r="AF590" s="190"/>
      <c r="AG590" s="190"/>
      <c r="AH590" s="190"/>
      <c r="AI590" s="190"/>
      <c r="AJ590" s="190"/>
      <c r="AK590" s="190"/>
      <c r="AL590" s="190"/>
    </row>
    <row r="591" spans="2:38" ht="12.75" customHeight="1">
      <c r="B591" s="6"/>
      <c r="C591" s="6"/>
      <c r="D591" s="12"/>
      <c r="E591" s="12"/>
      <c r="F591" s="12"/>
      <c r="G591" s="12"/>
      <c r="H591" s="6"/>
      <c r="I591" s="190"/>
      <c r="J591" s="190"/>
      <c r="K591" s="190"/>
      <c r="L591" s="190"/>
      <c r="M591" s="190"/>
      <c r="N591" s="190"/>
      <c r="O591" s="190"/>
      <c r="P591" s="190"/>
      <c r="Q591" s="190"/>
      <c r="R591" s="190"/>
      <c r="S591" s="190"/>
      <c r="T591" s="190"/>
      <c r="U591" s="190"/>
      <c r="V591" s="190"/>
      <c r="W591" s="190"/>
      <c r="X591" s="190"/>
      <c r="Y591" s="190"/>
      <c r="Z591" s="190"/>
      <c r="AA591" s="190"/>
      <c r="AB591" s="190"/>
      <c r="AC591" s="190"/>
      <c r="AD591" s="190"/>
      <c r="AE591" s="190"/>
      <c r="AF591" s="190"/>
      <c r="AG591" s="190"/>
      <c r="AH591" s="190"/>
      <c r="AI591" s="190"/>
      <c r="AJ591" s="190"/>
      <c r="AK591" s="190"/>
      <c r="AL591" s="190"/>
    </row>
    <row r="592" spans="2:38" ht="12.75" customHeight="1">
      <c r="B592" s="6"/>
      <c r="C592" s="6"/>
      <c r="D592" s="12"/>
      <c r="E592" s="12"/>
      <c r="F592" s="12"/>
      <c r="G592" s="12"/>
      <c r="H592" s="6"/>
      <c r="I592" s="190"/>
      <c r="J592" s="190"/>
      <c r="K592" s="190"/>
      <c r="L592" s="190"/>
      <c r="M592" s="190"/>
      <c r="N592" s="190"/>
      <c r="O592" s="190"/>
      <c r="P592" s="190"/>
      <c r="Q592" s="190"/>
      <c r="R592" s="190"/>
      <c r="S592" s="190"/>
      <c r="T592" s="190"/>
      <c r="U592" s="190"/>
      <c r="V592" s="190"/>
      <c r="W592" s="190"/>
      <c r="X592" s="190"/>
      <c r="Y592" s="190"/>
      <c r="Z592" s="190"/>
      <c r="AA592" s="190"/>
      <c r="AB592" s="190"/>
      <c r="AC592" s="190"/>
      <c r="AD592" s="190"/>
      <c r="AE592" s="190"/>
      <c r="AF592" s="190"/>
      <c r="AG592" s="190"/>
      <c r="AH592" s="190"/>
      <c r="AI592" s="190"/>
      <c r="AJ592" s="190"/>
      <c r="AK592" s="190"/>
      <c r="AL592" s="190"/>
    </row>
    <row r="593" spans="2:38" ht="12.75" customHeight="1">
      <c r="B593" s="6"/>
      <c r="C593" s="6"/>
      <c r="D593" s="12"/>
      <c r="E593" s="12"/>
      <c r="F593" s="12"/>
      <c r="G593" s="12"/>
      <c r="H593" s="6"/>
      <c r="I593" s="190"/>
      <c r="J593" s="190"/>
      <c r="K593" s="190"/>
      <c r="L593" s="190"/>
      <c r="M593" s="190"/>
      <c r="N593" s="190"/>
      <c r="O593" s="190"/>
      <c r="P593" s="190"/>
      <c r="Q593" s="190"/>
      <c r="R593" s="190"/>
      <c r="S593" s="190"/>
      <c r="T593" s="190"/>
      <c r="U593" s="190"/>
      <c r="V593" s="190"/>
      <c r="W593" s="190"/>
      <c r="X593" s="190"/>
      <c r="Y593" s="190"/>
      <c r="Z593" s="190"/>
      <c r="AA593" s="190"/>
      <c r="AB593" s="190"/>
      <c r="AC593" s="190"/>
      <c r="AD593" s="190"/>
      <c r="AE593" s="190"/>
      <c r="AF593" s="190"/>
      <c r="AG593" s="190"/>
      <c r="AH593" s="190"/>
      <c r="AI593" s="190"/>
      <c r="AJ593" s="190"/>
      <c r="AK593" s="190"/>
      <c r="AL593" s="190"/>
    </row>
    <row r="594" spans="2:38" ht="12.75" customHeight="1">
      <c r="B594" s="6"/>
      <c r="C594" s="6"/>
      <c r="D594" s="12"/>
      <c r="E594" s="12"/>
      <c r="F594" s="12"/>
      <c r="G594" s="12"/>
      <c r="H594" s="6"/>
      <c r="I594" s="190"/>
      <c r="J594" s="190"/>
      <c r="K594" s="190"/>
      <c r="L594" s="190"/>
      <c r="M594" s="190"/>
      <c r="N594" s="190"/>
      <c r="O594" s="190"/>
      <c r="P594" s="190"/>
      <c r="Q594" s="190"/>
      <c r="R594" s="190"/>
      <c r="S594" s="190"/>
      <c r="T594" s="190"/>
      <c r="U594" s="190"/>
      <c r="V594" s="190"/>
      <c r="W594" s="190"/>
      <c r="X594" s="190"/>
      <c r="Y594" s="190"/>
      <c r="Z594" s="190"/>
      <c r="AA594" s="190"/>
      <c r="AB594" s="190"/>
      <c r="AC594" s="190"/>
      <c r="AD594" s="190"/>
      <c r="AE594" s="190"/>
      <c r="AF594" s="190"/>
      <c r="AG594" s="190"/>
      <c r="AH594" s="190"/>
      <c r="AI594" s="190"/>
      <c r="AJ594" s="190"/>
      <c r="AK594" s="190"/>
      <c r="AL594" s="190"/>
    </row>
    <row r="595" spans="2:38" ht="12.75" customHeight="1">
      <c r="B595" s="6"/>
      <c r="C595" s="6"/>
      <c r="D595" s="12"/>
      <c r="E595" s="12"/>
      <c r="F595" s="12"/>
      <c r="G595" s="12"/>
      <c r="H595" s="6"/>
      <c r="I595" s="190"/>
      <c r="J595" s="190"/>
      <c r="K595" s="190"/>
      <c r="L595" s="190"/>
      <c r="M595" s="190"/>
      <c r="N595" s="190"/>
      <c r="O595" s="190"/>
      <c r="P595" s="190"/>
      <c r="Q595" s="190"/>
      <c r="R595" s="190"/>
      <c r="S595" s="190"/>
      <c r="T595" s="190"/>
      <c r="U595" s="190"/>
      <c r="V595" s="190"/>
      <c r="W595" s="190"/>
      <c r="X595" s="190"/>
      <c r="Y595" s="190"/>
      <c r="Z595" s="190"/>
      <c r="AA595" s="190"/>
      <c r="AB595" s="190"/>
      <c r="AC595" s="190"/>
      <c r="AD595" s="190"/>
      <c r="AE595" s="190"/>
      <c r="AF595" s="190"/>
      <c r="AG595" s="190"/>
      <c r="AH595" s="190"/>
      <c r="AI595" s="190"/>
      <c r="AJ595" s="190"/>
      <c r="AK595" s="190"/>
      <c r="AL595" s="190"/>
    </row>
    <row r="596" spans="2:38" ht="12.75" customHeight="1">
      <c r="B596" s="6"/>
      <c r="C596" s="6"/>
      <c r="D596" s="12"/>
      <c r="E596" s="12"/>
      <c r="F596" s="12"/>
      <c r="G596" s="12"/>
      <c r="H596" s="6"/>
      <c r="I596" s="190"/>
      <c r="J596" s="190"/>
      <c r="K596" s="190"/>
      <c r="L596" s="190"/>
      <c r="M596" s="190"/>
      <c r="N596" s="190"/>
      <c r="O596" s="190"/>
      <c r="P596" s="190"/>
      <c r="Q596" s="190"/>
      <c r="R596" s="190"/>
      <c r="S596" s="190"/>
      <c r="T596" s="190"/>
      <c r="U596" s="190"/>
      <c r="V596" s="190"/>
      <c r="W596" s="190"/>
      <c r="X596" s="190"/>
      <c r="Y596" s="190"/>
      <c r="Z596" s="190"/>
      <c r="AA596" s="190"/>
      <c r="AB596" s="190"/>
      <c r="AC596" s="190"/>
      <c r="AD596" s="190"/>
      <c r="AE596" s="190"/>
      <c r="AF596" s="190"/>
      <c r="AG596" s="190"/>
      <c r="AH596" s="190"/>
      <c r="AI596" s="190"/>
      <c r="AJ596" s="190"/>
      <c r="AK596" s="190"/>
      <c r="AL596" s="190"/>
    </row>
    <row r="597" spans="2:38" ht="12.75" customHeight="1">
      <c r="B597" s="6"/>
      <c r="C597" s="6"/>
      <c r="D597" s="12"/>
      <c r="E597" s="12"/>
      <c r="F597" s="12"/>
      <c r="G597" s="12"/>
      <c r="H597" s="6"/>
      <c r="I597" s="190"/>
      <c r="J597" s="190"/>
      <c r="K597" s="190"/>
      <c r="L597" s="190"/>
      <c r="M597" s="190"/>
      <c r="N597" s="190"/>
      <c r="O597" s="190"/>
      <c r="P597" s="190"/>
      <c r="Q597" s="190"/>
      <c r="R597" s="190"/>
      <c r="S597" s="190"/>
      <c r="T597" s="190"/>
      <c r="U597" s="190"/>
      <c r="V597" s="190"/>
      <c r="W597" s="190"/>
      <c r="X597" s="190"/>
      <c r="Y597" s="190"/>
      <c r="Z597" s="190"/>
      <c r="AA597" s="190"/>
      <c r="AB597" s="190"/>
      <c r="AC597" s="190"/>
      <c r="AD597" s="190"/>
      <c r="AE597" s="190"/>
      <c r="AF597" s="190"/>
      <c r="AG597" s="190"/>
      <c r="AH597" s="190"/>
      <c r="AI597" s="190"/>
      <c r="AJ597" s="190"/>
      <c r="AK597" s="190"/>
      <c r="AL597" s="190"/>
    </row>
    <row r="598" spans="2:38" ht="12.75" customHeight="1">
      <c r="B598" s="6"/>
      <c r="C598" s="6"/>
      <c r="D598" s="12"/>
      <c r="E598" s="12"/>
      <c r="F598" s="12"/>
      <c r="G598" s="12"/>
      <c r="H598" s="6"/>
      <c r="I598" s="190"/>
      <c r="J598" s="190"/>
      <c r="K598" s="190"/>
      <c r="L598" s="190"/>
      <c r="M598" s="190"/>
      <c r="N598" s="190"/>
      <c r="O598" s="190"/>
      <c r="P598" s="190"/>
      <c r="Q598" s="190"/>
      <c r="R598" s="190"/>
      <c r="S598" s="190"/>
      <c r="T598" s="190"/>
      <c r="U598" s="190"/>
      <c r="V598" s="190"/>
      <c r="W598" s="190"/>
      <c r="X598" s="190"/>
      <c r="Y598" s="190"/>
      <c r="Z598" s="190"/>
      <c r="AA598" s="190"/>
      <c r="AB598" s="190"/>
      <c r="AC598" s="190"/>
      <c r="AD598" s="190"/>
      <c r="AE598" s="190"/>
      <c r="AF598" s="190"/>
      <c r="AG598" s="190"/>
      <c r="AH598" s="190"/>
      <c r="AI598" s="190"/>
      <c r="AJ598" s="190"/>
      <c r="AK598" s="190"/>
      <c r="AL598" s="190"/>
    </row>
    <row r="599" spans="2:38" ht="12.75" customHeight="1">
      <c r="B599" s="6"/>
      <c r="C599" s="6"/>
      <c r="D599" s="12"/>
      <c r="E599" s="12"/>
      <c r="F599" s="12"/>
      <c r="G599" s="12"/>
      <c r="H599" s="6"/>
      <c r="I599" s="190"/>
      <c r="J599" s="190"/>
      <c r="K599" s="190"/>
      <c r="L599" s="190"/>
      <c r="M599" s="190"/>
      <c r="N599" s="190"/>
      <c r="O599" s="190"/>
      <c r="P599" s="190"/>
      <c r="Q599" s="190"/>
      <c r="R599" s="190"/>
      <c r="S599" s="190"/>
      <c r="T599" s="190"/>
      <c r="U599" s="190"/>
      <c r="V599" s="190"/>
      <c r="W599" s="190"/>
      <c r="X599" s="190"/>
      <c r="Y599" s="190"/>
      <c r="Z599" s="190"/>
      <c r="AA599" s="190"/>
      <c r="AB599" s="190"/>
      <c r="AC599" s="190"/>
      <c r="AD599" s="190"/>
      <c r="AE599" s="190"/>
      <c r="AF599" s="190"/>
      <c r="AG599" s="190"/>
      <c r="AH599" s="190"/>
      <c r="AI599" s="190"/>
      <c r="AJ599" s="190"/>
      <c r="AK599" s="190"/>
      <c r="AL599" s="190"/>
    </row>
    <row r="600" spans="2:38" ht="12.75" customHeight="1">
      <c r="B600" s="6"/>
      <c r="C600" s="6"/>
      <c r="D600" s="12"/>
      <c r="E600" s="12"/>
      <c r="F600" s="12"/>
      <c r="G600" s="12"/>
      <c r="H600" s="6"/>
      <c r="I600" s="190"/>
      <c r="J600" s="190"/>
      <c r="K600" s="190"/>
      <c r="L600" s="190"/>
      <c r="M600" s="190"/>
      <c r="N600" s="190"/>
      <c r="O600" s="190"/>
      <c r="P600" s="190"/>
      <c r="Q600" s="190"/>
      <c r="R600" s="190"/>
      <c r="S600" s="190"/>
      <c r="T600" s="190"/>
      <c r="U600" s="190"/>
      <c r="V600" s="190"/>
      <c r="W600" s="190"/>
      <c r="X600" s="190"/>
      <c r="Y600" s="190"/>
      <c r="Z600" s="190"/>
      <c r="AA600" s="190"/>
      <c r="AB600" s="190"/>
      <c r="AC600" s="190"/>
      <c r="AD600" s="190"/>
      <c r="AE600" s="190"/>
      <c r="AF600" s="190"/>
      <c r="AG600" s="190"/>
      <c r="AH600" s="190"/>
      <c r="AI600" s="190"/>
      <c r="AJ600" s="190"/>
      <c r="AK600" s="190"/>
      <c r="AL600" s="190"/>
    </row>
    <row r="601" spans="2:38" ht="12.75" customHeight="1">
      <c r="B601" s="6"/>
      <c r="C601" s="6"/>
      <c r="D601" s="12"/>
      <c r="E601" s="12"/>
      <c r="F601" s="12"/>
      <c r="G601" s="12"/>
      <c r="H601" s="6"/>
      <c r="I601" s="190"/>
      <c r="J601" s="190"/>
      <c r="K601" s="190"/>
      <c r="L601" s="190"/>
      <c r="M601" s="190"/>
      <c r="N601" s="190"/>
      <c r="O601" s="190"/>
      <c r="P601" s="190"/>
      <c r="Q601" s="190"/>
      <c r="R601" s="190"/>
      <c r="S601" s="190"/>
      <c r="T601" s="190"/>
      <c r="U601" s="190"/>
      <c r="V601" s="190"/>
      <c r="W601" s="190"/>
      <c r="X601" s="190"/>
      <c r="Y601" s="190"/>
      <c r="Z601" s="190"/>
      <c r="AA601" s="190"/>
      <c r="AB601" s="190"/>
      <c r="AC601" s="190"/>
      <c r="AD601" s="190"/>
      <c r="AE601" s="190"/>
      <c r="AF601" s="190"/>
      <c r="AG601" s="190"/>
      <c r="AH601" s="190"/>
      <c r="AI601" s="190"/>
      <c r="AJ601" s="190"/>
      <c r="AK601" s="190"/>
      <c r="AL601" s="190"/>
    </row>
    <row r="602" spans="2:38" ht="12.75" customHeight="1">
      <c r="B602" s="6"/>
      <c r="C602" s="6"/>
      <c r="D602" s="12"/>
      <c r="E602" s="12"/>
      <c r="F602" s="12"/>
      <c r="G602" s="12"/>
      <c r="H602" s="6"/>
      <c r="I602" s="190"/>
      <c r="J602" s="190"/>
      <c r="K602" s="190"/>
      <c r="L602" s="190"/>
      <c r="M602" s="190"/>
      <c r="N602" s="190"/>
      <c r="O602" s="190"/>
      <c r="P602" s="190"/>
      <c r="Q602" s="190"/>
      <c r="R602" s="190"/>
      <c r="S602" s="190"/>
      <c r="T602" s="190"/>
      <c r="U602" s="190"/>
      <c r="V602" s="190"/>
      <c r="W602" s="190"/>
      <c r="X602" s="190"/>
      <c r="Y602" s="190"/>
      <c r="Z602" s="190"/>
      <c r="AA602" s="190"/>
      <c r="AB602" s="190"/>
      <c r="AC602" s="190"/>
      <c r="AD602" s="190"/>
      <c r="AE602" s="190"/>
      <c r="AF602" s="190"/>
      <c r="AG602" s="190"/>
      <c r="AH602" s="190"/>
      <c r="AI602" s="190"/>
      <c r="AJ602" s="190"/>
      <c r="AK602" s="190"/>
      <c r="AL602" s="190"/>
    </row>
    <row r="603" spans="2:38" ht="12.75" customHeight="1">
      <c r="B603" s="6"/>
      <c r="C603" s="6"/>
      <c r="D603" s="12"/>
      <c r="E603" s="12"/>
      <c r="F603" s="12"/>
      <c r="G603" s="12"/>
      <c r="H603" s="6"/>
      <c r="I603" s="190"/>
      <c r="J603" s="190"/>
      <c r="K603" s="190"/>
      <c r="L603" s="190"/>
      <c r="M603" s="190"/>
      <c r="N603" s="190"/>
      <c r="O603" s="190"/>
      <c r="P603" s="190"/>
      <c r="Q603" s="190"/>
      <c r="R603" s="190"/>
      <c r="S603" s="190"/>
      <c r="T603" s="190"/>
      <c r="U603" s="190"/>
      <c r="V603" s="190"/>
      <c r="W603" s="190"/>
      <c r="X603" s="190"/>
      <c r="Y603" s="190"/>
      <c r="Z603" s="190"/>
      <c r="AA603" s="190"/>
      <c r="AB603" s="190"/>
      <c r="AC603" s="190"/>
      <c r="AD603" s="190"/>
      <c r="AE603" s="190"/>
      <c r="AF603" s="190"/>
      <c r="AG603" s="190"/>
      <c r="AH603" s="190"/>
      <c r="AI603" s="190"/>
      <c r="AJ603" s="190"/>
      <c r="AK603" s="190"/>
      <c r="AL603" s="190"/>
    </row>
    <row r="604" spans="2:38" ht="12.75" customHeight="1">
      <c r="B604" s="6"/>
      <c r="C604" s="6"/>
      <c r="D604" s="12"/>
      <c r="E604" s="12"/>
      <c r="F604" s="12"/>
      <c r="G604" s="12"/>
      <c r="H604" s="6"/>
      <c r="I604" s="190"/>
      <c r="J604" s="190"/>
      <c r="K604" s="190"/>
      <c r="L604" s="190"/>
      <c r="M604" s="190"/>
      <c r="N604" s="190"/>
      <c r="O604" s="190"/>
      <c r="P604" s="190"/>
      <c r="Q604" s="190"/>
      <c r="R604" s="190"/>
      <c r="S604" s="190"/>
      <c r="T604" s="190"/>
      <c r="U604" s="190"/>
      <c r="V604" s="190"/>
      <c r="W604" s="190"/>
      <c r="X604" s="190"/>
      <c r="Y604" s="190"/>
      <c r="Z604" s="190"/>
      <c r="AA604" s="190"/>
      <c r="AB604" s="190"/>
      <c r="AC604" s="190"/>
      <c r="AD604" s="190"/>
      <c r="AE604" s="190"/>
      <c r="AF604" s="190"/>
      <c r="AG604" s="190"/>
      <c r="AH604" s="190"/>
      <c r="AI604" s="190"/>
      <c r="AJ604" s="190"/>
      <c r="AK604" s="190"/>
      <c r="AL604" s="190"/>
    </row>
    <row r="605" spans="2:38" ht="12.75" customHeight="1">
      <c r="B605" s="6"/>
      <c r="C605" s="6"/>
      <c r="D605" s="12"/>
      <c r="E605" s="12"/>
      <c r="F605" s="12"/>
      <c r="G605" s="12"/>
      <c r="H605" s="6"/>
      <c r="I605" s="190"/>
      <c r="J605" s="190"/>
      <c r="K605" s="190"/>
      <c r="L605" s="190"/>
      <c r="M605" s="190"/>
      <c r="N605" s="190"/>
      <c r="O605" s="190"/>
      <c r="P605" s="190"/>
      <c r="Q605" s="190"/>
      <c r="R605" s="190"/>
      <c r="S605" s="190"/>
      <c r="T605" s="190"/>
      <c r="U605" s="190"/>
      <c r="V605" s="190"/>
      <c r="W605" s="190"/>
      <c r="X605" s="190"/>
      <c r="Y605" s="190"/>
      <c r="Z605" s="190"/>
      <c r="AA605" s="190"/>
      <c r="AB605" s="190"/>
      <c r="AC605" s="190"/>
      <c r="AD605" s="190"/>
      <c r="AE605" s="190"/>
      <c r="AF605" s="190"/>
      <c r="AG605" s="190"/>
      <c r="AH605" s="190"/>
      <c r="AI605" s="190"/>
      <c r="AJ605" s="190"/>
      <c r="AK605" s="190"/>
      <c r="AL605" s="190"/>
    </row>
    <row r="606" spans="2:38" ht="12.75" customHeight="1">
      <c r="B606" s="6"/>
      <c r="C606" s="6"/>
      <c r="D606" s="12"/>
      <c r="E606" s="12"/>
      <c r="F606" s="12"/>
      <c r="G606" s="12"/>
      <c r="H606" s="6"/>
      <c r="I606" s="190"/>
      <c r="J606" s="190"/>
      <c r="K606" s="190"/>
      <c r="L606" s="190"/>
      <c r="M606" s="190"/>
      <c r="N606" s="190"/>
      <c r="O606" s="190"/>
      <c r="P606" s="190"/>
      <c r="Q606" s="190"/>
      <c r="R606" s="190"/>
      <c r="S606" s="190"/>
      <c r="T606" s="190"/>
      <c r="U606" s="190"/>
      <c r="V606" s="190"/>
      <c r="W606" s="190"/>
      <c r="X606" s="190"/>
      <c r="Y606" s="190"/>
      <c r="Z606" s="190"/>
      <c r="AA606" s="190"/>
      <c r="AB606" s="190"/>
      <c r="AC606" s="190"/>
      <c r="AD606" s="190"/>
      <c r="AE606" s="190"/>
      <c r="AF606" s="190"/>
      <c r="AG606" s="190"/>
      <c r="AH606" s="190"/>
      <c r="AI606" s="190"/>
      <c r="AJ606" s="190"/>
      <c r="AK606" s="190"/>
      <c r="AL606" s="190"/>
    </row>
    <row r="607" spans="2:38" ht="12.75" customHeight="1">
      <c r="B607" s="6"/>
      <c r="C607" s="6"/>
      <c r="D607" s="12"/>
      <c r="E607" s="12"/>
      <c r="F607" s="12"/>
      <c r="G607" s="12"/>
      <c r="H607" s="6"/>
      <c r="I607" s="190"/>
      <c r="J607" s="190"/>
      <c r="K607" s="190"/>
      <c r="L607" s="190"/>
      <c r="M607" s="190"/>
      <c r="N607" s="190"/>
      <c r="O607" s="190"/>
      <c r="P607" s="190"/>
      <c r="Q607" s="190"/>
      <c r="R607" s="190"/>
      <c r="S607" s="190"/>
      <c r="T607" s="190"/>
      <c r="U607" s="190"/>
      <c r="V607" s="190"/>
      <c r="W607" s="190"/>
      <c r="X607" s="190"/>
      <c r="Y607" s="190"/>
      <c r="Z607" s="190"/>
      <c r="AA607" s="190"/>
      <c r="AB607" s="190"/>
      <c r="AC607" s="190"/>
      <c r="AD607" s="190"/>
      <c r="AE607" s="190"/>
      <c r="AF607" s="190"/>
      <c r="AG607" s="190"/>
      <c r="AH607" s="190"/>
      <c r="AI607" s="190"/>
      <c r="AJ607" s="190"/>
      <c r="AK607" s="190"/>
      <c r="AL607" s="190"/>
    </row>
    <row r="608" spans="2:38" ht="12.75" customHeight="1">
      <c r="B608" s="6"/>
      <c r="C608" s="6"/>
      <c r="D608" s="12"/>
      <c r="E608" s="12"/>
      <c r="F608" s="12"/>
      <c r="G608" s="12"/>
      <c r="H608" s="6"/>
      <c r="I608" s="190"/>
      <c r="J608" s="190"/>
      <c r="K608" s="190"/>
      <c r="L608" s="190"/>
      <c r="M608" s="190"/>
      <c r="N608" s="190"/>
      <c r="O608" s="190"/>
      <c r="P608" s="190"/>
      <c r="Q608" s="190"/>
      <c r="R608" s="190"/>
      <c r="S608" s="190"/>
      <c r="T608" s="190"/>
      <c r="U608" s="190"/>
      <c r="V608" s="190"/>
      <c r="W608" s="190"/>
      <c r="X608" s="190"/>
      <c r="Y608" s="190"/>
      <c r="Z608" s="190"/>
      <c r="AA608" s="190"/>
      <c r="AB608" s="190"/>
      <c r="AC608" s="190"/>
      <c r="AD608" s="190"/>
      <c r="AE608" s="190"/>
      <c r="AF608" s="190"/>
      <c r="AG608" s="190"/>
      <c r="AH608" s="190"/>
      <c r="AI608" s="190"/>
      <c r="AJ608" s="190"/>
      <c r="AK608" s="190"/>
      <c r="AL608" s="190"/>
    </row>
    <row r="609" spans="2:38" ht="12.75" customHeight="1">
      <c r="B609" s="6"/>
      <c r="C609" s="6"/>
      <c r="D609" s="12"/>
      <c r="E609" s="12"/>
      <c r="F609" s="12"/>
      <c r="G609" s="12"/>
      <c r="H609" s="6"/>
      <c r="I609" s="190"/>
      <c r="J609" s="190"/>
      <c r="K609" s="190"/>
      <c r="L609" s="190"/>
      <c r="M609" s="190"/>
      <c r="N609" s="190"/>
      <c r="O609" s="190"/>
      <c r="P609" s="190"/>
      <c r="Q609" s="190"/>
      <c r="R609" s="190"/>
      <c r="S609" s="190"/>
      <c r="T609" s="190"/>
      <c r="U609" s="190"/>
      <c r="V609" s="190"/>
      <c r="W609" s="190"/>
      <c r="X609" s="190"/>
      <c r="Y609" s="190"/>
      <c r="Z609" s="190"/>
      <c r="AA609" s="190"/>
      <c r="AB609" s="190"/>
      <c r="AC609" s="190"/>
      <c r="AD609" s="190"/>
      <c r="AE609" s="190"/>
      <c r="AF609" s="190"/>
      <c r="AG609" s="190"/>
      <c r="AH609" s="190"/>
      <c r="AI609" s="190"/>
      <c r="AJ609" s="190"/>
      <c r="AK609" s="190"/>
      <c r="AL609" s="190"/>
    </row>
    <row r="610" spans="2:38" ht="12.75" customHeight="1">
      <c r="B610" s="6"/>
      <c r="C610" s="6"/>
      <c r="D610" s="12"/>
      <c r="E610" s="12"/>
      <c r="F610" s="12"/>
      <c r="G610" s="12"/>
      <c r="H610" s="6"/>
      <c r="I610" s="190"/>
      <c r="J610" s="190"/>
      <c r="K610" s="190"/>
      <c r="L610" s="190"/>
      <c r="M610" s="190"/>
      <c r="N610" s="190"/>
      <c r="O610" s="190"/>
      <c r="P610" s="190"/>
      <c r="Q610" s="190"/>
      <c r="R610" s="190"/>
      <c r="S610" s="190"/>
      <c r="T610" s="190"/>
      <c r="U610" s="190"/>
      <c r="V610" s="190"/>
      <c r="W610" s="190"/>
      <c r="X610" s="190"/>
      <c r="Y610" s="190"/>
      <c r="Z610" s="190"/>
      <c r="AA610" s="190"/>
      <c r="AB610" s="190"/>
      <c r="AC610" s="190"/>
      <c r="AD610" s="190"/>
      <c r="AE610" s="190"/>
      <c r="AF610" s="190"/>
      <c r="AG610" s="190"/>
      <c r="AH610" s="190"/>
      <c r="AI610" s="190"/>
      <c r="AJ610" s="190"/>
      <c r="AK610" s="190"/>
      <c r="AL610" s="190"/>
    </row>
    <row r="611" spans="2:38" ht="12.75" customHeight="1">
      <c r="B611" s="6"/>
      <c r="C611" s="6"/>
      <c r="D611" s="12"/>
      <c r="E611" s="12"/>
      <c r="F611" s="12"/>
      <c r="G611" s="12"/>
      <c r="H611" s="6"/>
      <c r="I611" s="190"/>
      <c r="J611" s="190"/>
      <c r="K611" s="190"/>
      <c r="L611" s="190"/>
      <c r="M611" s="190"/>
      <c r="N611" s="190"/>
      <c r="O611" s="190"/>
      <c r="P611" s="190"/>
      <c r="Q611" s="190"/>
      <c r="R611" s="190"/>
      <c r="S611" s="190"/>
      <c r="T611" s="190"/>
      <c r="U611" s="190"/>
      <c r="V611" s="190"/>
      <c r="W611" s="190"/>
      <c r="X611" s="190"/>
      <c r="Y611" s="190"/>
      <c r="Z611" s="190"/>
      <c r="AA611" s="190"/>
      <c r="AB611" s="190"/>
      <c r="AC611" s="190"/>
      <c r="AD611" s="190"/>
      <c r="AE611" s="190"/>
      <c r="AF611" s="190"/>
      <c r="AG611" s="190"/>
      <c r="AH611" s="190"/>
      <c r="AI611" s="190"/>
      <c r="AJ611" s="190"/>
      <c r="AK611" s="190"/>
      <c r="AL611" s="190"/>
    </row>
    <row r="612" spans="2:38" ht="12.75" customHeight="1">
      <c r="B612" s="6"/>
      <c r="C612" s="6"/>
      <c r="D612" s="12"/>
      <c r="E612" s="12"/>
      <c r="F612" s="12"/>
      <c r="G612" s="12"/>
      <c r="H612" s="6"/>
      <c r="I612" s="190"/>
      <c r="J612" s="190"/>
      <c r="K612" s="190"/>
      <c r="L612" s="190"/>
      <c r="M612" s="190"/>
      <c r="N612" s="190"/>
      <c r="O612" s="190"/>
      <c r="P612" s="190"/>
      <c r="Q612" s="190"/>
      <c r="R612" s="190"/>
      <c r="S612" s="190"/>
      <c r="T612" s="190"/>
      <c r="U612" s="190"/>
      <c r="V612" s="190"/>
      <c r="W612" s="190"/>
      <c r="X612" s="190"/>
      <c r="Y612" s="190"/>
      <c r="Z612" s="190"/>
      <c r="AA612" s="190"/>
      <c r="AB612" s="190"/>
      <c r="AC612" s="190"/>
      <c r="AD612" s="190"/>
      <c r="AE612" s="190"/>
      <c r="AF612" s="190"/>
      <c r="AG612" s="190"/>
      <c r="AH612" s="190"/>
      <c r="AI612" s="190"/>
      <c r="AJ612" s="190"/>
      <c r="AK612" s="190"/>
      <c r="AL612" s="190"/>
    </row>
    <row r="613" spans="2:38" ht="12.75" customHeight="1">
      <c r="B613" s="6"/>
      <c r="C613" s="6"/>
      <c r="D613" s="12"/>
      <c r="E613" s="12"/>
      <c r="F613" s="12"/>
      <c r="G613" s="12"/>
      <c r="H613" s="6"/>
      <c r="I613" s="190"/>
      <c r="J613" s="190"/>
      <c r="K613" s="190"/>
      <c r="L613" s="190"/>
      <c r="M613" s="190"/>
      <c r="N613" s="190"/>
      <c r="O613" s="190"/>
      <c r="P613" s="190"/>
      <c r="Q613" s="190"/>
      <c r="R613" s="190"/>
      <c r="S613" s="190"/>
      <c r="T613" s="190"/>
      <c r="U613" s="190"/>
      <c r="V613" s="190"/>
      <c r="W613" s="190"/>
      <c r="X613" s="190"/>
      <c r="Y613" s="190"/>
      <c r="Z613" s="190"/>
      <c r="AA613" s="190"/>
      <c r="AB613" s="190"/>
      <c r="AC613" s="190"/>
      <c r="AD613" s="190"/>
      <c r="AE613" s="190"/>
      <c r="AF613" s="190"/>
      <c r="AG613" s="190"/>
      <c r="AH613" s="190"/>
      <c r="AI613" s="190"/>
      <c r="AJ613" s="190"/>
      <c r="AK613" s="190"/>
      <c r="AL613" s="190"/>
    </row>
    <row r="614" spans="2:38" ht="12.75" customHeight="1">
      <c r="B614" s="6"/>
      <c r="C614" s="6"/>
      <c r="D614" s="12"/>
      <c r="E614" s="12"/>
      <c r="F614" s="12"/>
      <c r="G614" s="12"/>
      <c r="H614" s="6"/>
      <c r="I614" s="190"/>
      <c r="J614" s="190"/>
      <c r="K614" s="190"/>
      <c r="L614" s="190"/>
      <c r="M614" s="190"/>
      <c r="N614" s="190"/>
      <c r="O614" s="190"/>
      <c r="P614" s="190"/>
      <c r="Q614" s="190"/>
      <c r="R614" s="190"/>
      <c r="S614" s="190"/>
      <c r="T614" s="190"/>
      <c r="U614" s="190"/>
      <c r="V614" s="190"/>
      <c r="W614" s="190"/>
      <c r="X614" s="190"/>
      <c r="Y614" s="190"/>
      <c r="Z614" s="190"/>
      <c r="AA614" s="190"/>
      <c r="AB614" s="190"/>
      <c r="AC614" s="190"/>
      <c r="AD614" s="190"/>
      <c r="AE614" s="190"/>
      <c r="AF614" s="190"/>
      <c r="AG614" s="190"/>
      <c r="AH614" s="190"/>
      <c r="AI614" s="190"/>
      <c r="AJ614" s="190"/>
      <c r="AK614" s="190"/>
      <c r="AL614" s="190"/>
    </row>
    <row r="615" spans="2:38" ht="12.75" customHeight="1">
      <c r="B615" s="6"/>
      <c r="C615" s="6"/>
      <c r="D615" s="12"/>
      <c r="E615" s="12"/>
      <c r="F615" s="12"/>
      <c r="G615" s="12"/>
      <c r="H615" s="6"/>
      <c r="I615" s="190"/>
      <c r="J615" s="190"/>
      <c r="K615" s="190"/>
      <c r="L615" s="190"/>
      <c r="M615" s="190"/>
      <c r="N615" s="190"/>
      <c r="O615" s="190"/>
      <c r="P615" s="190"/>
      <c r="Q615" s="190"/>
      <c r="R615" s="190"/>
      <c r="S615" s="190"/>
      <c r="T615" s="190"/>
      <c r="U615" s="190"/>
      <c r="V615" s="190"/>
      <c r="W615" s="190"/>
      <c r="X615" s="190"/>
      <c r="Y615" s="190"/>
      <c r="Z615" s="190"/>
      <c r="AA615" s="190"/>
      <c r="AB615" s="190"/>
      <c r="AC615" s="190"/>
      <c r="AD615" s="190"/>
      <c r="AE615" s="190"/>
      <c r="AF615" s="190"/>
      <c r="AG615" s="190"/>
      <c r="AH615" s="190"/>
      <c r="AI615" s="190"/>
      <c r="AJ615" s="190"/>
      <c r="AK615" s="190"/>
      <c r="AL615" s="190"/>
    </row>
    <row r="616" spans="2:38" ht="12.75" customHeight="1">
      <c r="B616" s="6"/>
      <c r="C616" s="6"/>
      <c r="D616" s="12"/>
      <c r="E616" s="12"/>
      <c r="F616" s="12"/>
      <c r="G616" s="12"/>
      <c r="H616" s="6"/>
      <c r="I616" s="190"/>
      <c r="J616" s="190"/>
      <c r="K616" s="190"/>
      <c r="L616" s="190"/>
      <c r="M616" s="190"/>
      <c r="N616" s="190"/>
      <c r="O616" s="190"/>
      <c r="P616" s="190"/>
      <c r="Q616" s="190"/>
      <c r="R616" s="190"/>
      <c r="S616" s="190"/>
      <c r="T616" s="190"/>
      <c r="U616" s="190"/>
      <c r="V616" s="190"/>
      <c r="W616" s="190"/>
      <c r="X616" s="190"/>
      <c r="Y616" s="190"/>
      <c r="Z616" s="190"/>
      <c r="AA616" s="190"/>
      <c r="AB616" s="190"/>
      <c r="AC616" s="190"/>
      <c r="AD616" s="190"/>
      <c r="AE616" s="190"/>
      <c r="AF616" s="190"/>
      <c r="AG616" s="190"/>
      <c r="AH616" s="190"/>
      <c r="AI616" s="190"/>
      <c r="AJ616" s="190"/>
      <c r="AK616" s="190"/>
      <c r="AL616" s="190"/>
    </row>
    <row r="617" spans="2:38" ht="12.75" customHeight="1">
      <c r="B617" s="6"/>
      <c r="C617" s="6"/>
      <c r="D617" s="12"/>
      <c r="E617" s="12"/>
      <c r="F617" s="12"/>
      <c r="G617" s="12"/>
      <c r="H617" s="6"/>
      <c r="I617" s="190"/>
      <c r="J617" s="190"/>
      <c r="K617" s="190"/>
      <c r="L617" s="190"/>
      <c r="M617" s="190"/>
      <c r="N617" s="190"/>
      <c r="O617" s="190"/>
      <c r="P617" s="190"/>
      <c r="Q617" s="190"/>
      <c r="R617" s="190"/>
      <c r="S617" s="190"/>
      <c r="T617" s="190"/>
      <c r="U617" s="190"/>
      <c r="V617" s="190"/>
      <c r="W617" s="190"/>
      <c r="X617" s="190"/>
      <c r="Y617" s="190"/>
      <c r="Z617" s="190"/>
      <c r="AA617" s="190"/>
      <c r="AB617" s="190"/>
      <c r="AC617" s="190"/>
      <c r="AD617" s="190"/>
      <c r="AE617" s="190"/>
      <c r="AF617" s="190"/>
      <c r="AG617" s="190"/>
      <c r="AH617" s="190"/>
      <c r="AI617" s="190"/>
      <c r="AJ617" s="190"/>
      <c r="AK617" s="190"/>
      <c r="AL617" s="190"/>
    </row>
    <row r="618" spans="2:38" ht="12.75" customHeight="1">
      <c r="B618" s="6"/>
      <c r="C618" s="6"/>
      <c r="D618" s="12"/>
      <c r="E618" s="12"/>
      <c r="F618" s="12"/>
      <c r="G618" s="12"/>
      <c r="H618" s="6"/>
      <c r="I618" s="190"/>
      <c r="J618" s="190"/>
      <c r="K618" s="190"/>
      <c r="L618" s="190"/>
      <c r="M618" s="190"/>
      <c r="N618" s="190"/>
      <c r="O618" s="190"/>
      <c r="P618" s="190"/>
      <c r="Q618" s="190"/>
      <c r="R618" s="190"/>
      <c r="S618" s="190"/>
      <c r="T618" s="190"/>
      <c r="U618" s="190"/>
      <c r="V618" s="190"/>
      <c r="W618" s="190"/>
      <c r="X618" s="190"/>
      <c r="Y618" s="190"/>
      <c r="Z618" s="190"/>
      <c r="AA618" s="190"/>
      <c r="AB618" s="190"/>
      <c r="AC618" s="190"/>
      <c r="AD618" s="190"/>
      <c r="AE618" s="190"/>
      <c r="AF618" s="190"/>
      <c r="AG618" s="190"/>
      <c r="AH618" s="190"/>
      <c r="AI618" s="190"/>
      <c r="AJ618" s="190"/>
      <c r="AK618" s="190"/>
      <c r="AL618" s="190"/>
    </row>
    <row r="619" spans="2:38" ht="12.75" customHeight="1">
      <c r="B619" s="6"/>
      <c r="C619" s="6"/>
      <c r="D619" s="12"/>
      <c r="E619" s="12"/>
      <c r="F619" s="12"/>
      <c r="G619" s="12"/>
      <c r="H619" s="6"/>
      <c r="I619" s="190"/>
      <c r="J619" s="190"/>
      <c r="K619" s="190"/>
      <c r="L619" s="190"/>
      <c r="M619" s="190"/>
      <c r="N619" s="190"/>
      <c r="O619" s="190"/>
      <c r="P619" s="190"/>
      <c r="Q619" s="190"/>
      <c r="R619" s="190"/>
      <c r="S619" s="190"/>
      <c r="T619" s="190"/>
      <c r="U619" s="190"/>
      <c r="V619" s="190"/>
      <c r="W619" s="190"/>
      <c r="X619" s="190"/>
      <c r="Y619" s="190"/>
      <c r="Z619" s="190"/>
      <c r="AA619" s="190"/>
      <c r="AB619" s="190"/>
      <c r="AC619" s="190"/>
      <c r="AD619" s="190"/>
      <c r="AE619" s="190"/>
      <c r="AF619" s="190"/>
      <c r="AG619" s="190"/>
      <c r="AH619" s="190"/>
      <c r="AI619" s="190"/>
      <c r="AJ619" s="190"/>
      <c r="AK619" s="190"/>
      <c r="AL619" s="190"/>
    </row>
    <row r="620" spans="2:38" ht="12.75" customHeight="1">
      <c r="B620" s="6"/>
      <c r="C620" s="6"/>
      <c r="D620" s="12"/>
      <c r="E620" s="12"/>
      <c r="F620" s="12"/>
      <c r="G620" s="12"/>
      <c r="H620" s="6"/>
      <c r="I620" s="190"/>
      <c r="J620" s="190"/>
      <c r="K620" s="190"/>
      <c r="L620" s="190"/>
      <c r="M620" s="190"/>
      <c r="N620" s="190"/>
      <c r="O620" s="190"/>
      <c r="P620" s="190"/>
      <c r="Q620" s="190"/>
      <c r="R620" s="190"/>
      <c r="S620" s="190"/>
      <c r="T620" s="190"/>
      <c r="U620" s="190"/>
      <c r="V620" s="190"/>
      <c r="W620" s="190"/>
      <c r="X620" s="190"/>
      <c r="Y620" s="190"/>
      <c r="Z620" s="190"/>
      <c r="AA620" s="190"/>
      <c r="AB620" s="190"/>
      <c r="AC620" s="190"/>
      <c r="AD620" s="190"/>
      <c r="AE620" s="190"/>
      <c r="AF620" s="190"/>
      <c r="AG620" s="190"/>
      <c r="AH620" s="190"/>
      <c r="AI620" s="190"/>
      <c r="AJ620" s="190"/>
      <c r="AK620" s="190"/>
      <c r="AL620" s="190"/>
    </row>
    <row r="621" spans="2:38" ht="12.75" customHeight="1">
      <c r="B621" s="6"/>
      <c r="C621" s="6"/>
      <c r="D621" s="12"/>
      <c r="E621" s="12"/>
      <c r="F621" s="12"/>
      <c r="G621" s="12"/>
      <c r="H621" s="6"/>
      <c r="I621" s="190"/>
      <c r="J621" s="190"/>
      <c r="K621" s="190"/>
      <c r="L621" s="190"/>
      <c r="M621" s="190"/>
      <c r="N621" s="190"/>
      <c r="O621" s="190"/>
      <c r="P621" s="190"/>
      <c r="Q621" s="190"/>
      <c r="R621" s="190"/>
      <c r="S621" s="190"/>
      <c r="T621" s="190"/>
      <c r="U621" s="190"/>
      <c r="V621" s="190"/>
      <c r="W621" s="190"/>
      <c r="X621" s="190"/>
      <c r="Y621" s="190"/>
      <c r="Z621" s="190"/>
      <c r="AA621" s="190"/>
      <c r="AB621" s="190"/>
      <c r="AC621" s="190"/>
      <c r="AD621" s="190"/>
      <c r="AE621" s="190"/>
      <c r="AF621" s="190"/>
      <c r="AG621" s="190"/>
      <c r="AH621" s="190"/>
      <c r="AI621" s="190"/>
      <c r="AJ621" s="190"/>
      <c r="AK621" s="190"/>
      <c r="AL621" s="190"/>
    </row>
    <row r="622" spans="2:38" ht="12.75" customHeight="1">
      <c r="B622" s="6"/>
      <c r="C622" s="6"/>
      <c r="D622" s="12"/>
      <c r="E622" s="12"/>
      <c r="F622" s="12"/>
      <c r="G622" s="12"/>
      <c r="H622" s="6"/>
      <c r="I622" s="190"/>
      <c r="J622" s="190"/>
      <c r="K622" s="190"/>
      <c r="L622" s="190"/>
      <c r="M622" s="190"/>
      <c r="N622" s="190"/>
      <c r="O622" s="190"/>
      <c r="P622" s="190"/>
      <c r="Q622" s="190"/>
      <c r="R622" s="190"/>
      <c r="S622" s="190"/>
      <c r="T622" s="190"/>
      <c r="U622" s="190"/>
      <c r="V622" s="190"/>
      <c r="W622" s="190"/>
      <c r="X622" s="190"/>
      <c r="Y622" s="190"/>
      <c r="Z622" s="190"/>
      <c r="AA622" s="190"/>
      <c r="AB622" s="190"/>
      <c r="AC622" s="190"/>
      <c r="AD622" s="190"/>
      <c r="AE622" s="190"/>
      <c r="AF622" s="190"/>
      <c r="AG622" s="190"/>
      <c r="AH622" s="190"/>
      <c r="AI622" s="190"/>
      <c r="AJ622" s="190"/>
      <c r="AK622" s="190"/>
      <c r="AL622" s="190"/>
    </row>
    <row r="623" spans="2:38" ht="12.75" customHeight="1">
      <c r="B623" s="6"/>
      <c r="C623" s="6"/>
      <c r="D623" s="12"/>
      <c r="E623" s="12"/>
      <c r="F623" s="12"/>
      <c r="G623" s="12"/>
      <c r="H623" s="6"/>
      <c r="I623" s="190"/>
      <c r="J623" s="190"/>
      <c r="K623" s="190"/>
      <c r="L623" s="190"/>
      <c r="M623" s="190"/>
      <c r="N623" s="190"/>
      <c r="O623" s="190"/>
      <c r="P623" s="190"/>
      <c r="Q623" s="190"/>
      <c r="R623" s="190"/>
      <c r="S623" s="190"/>
      <c r="T623" s="190"/>
      <c r="U623" s="190"/>
      <c r="V623" s="190"/>
      <c r="W623" s="190"/>
      <c r="X623" s="190"/>
      <c r="Y623" s="190"/>
      <c r="Z623" s="190"/>
      <c r="AA623" s="190"/>
      <c r="AB623" s="190"/>
      <c r="AC623" s="190"/>
      <c r="AD623" s="190"/>
      <c r="AE623" s="190"/>
      <c r="AF623" s="190"/>
      <c r="AG623" s="190"/>
      <c r="AH623" s="190"/>
      <c r="AI623" s="190"/>
      <c r="AJ623" s="190"/>
      <c r="AK623" s="190"/>
      <c r="AL623" s="190"/>
    </row>
    <row r="624" spans="2:38" ht="12.75" customHeight="1">
      <c r="B624" s="6"/>
      <c r="C624" s="6"/>
      <c r="D624" s="12"/>
      <c r="E624" s="12"/>
      <c r="F624" s="12"/>
      <c r="G624" s="12"/>
      <c r="H624" s="6"/>
      <c r="I624" s="190"/>
      <c r="J624" s="190"/>
      <c r="K624" s="190"/>
      <c r="L624" s="190"/>
      <c r="M624" s="190"/>
      <c r="N624" s="190"/>
      <c r="O624" s="190"/>
      <c r="P624" s="190"/>
      <c r="Q624" s="190"/>
      <c r="R624" s="190"/>
      <c r="S624" s="190"/>
      <c r="T624" s="190"/>
      <c r="U624" s="190"/>
      <c r="V624" s="190"/>
      <c r="W624" s="190"/>
      <c r="X624" s="190"/>
      <c r="Y624" s="190"/>
      <c r="Z624" s="190"/>
      <c r="AA624" s="190"/>
      <c r="AB624" s="190"/>
      <c r="AC624" s="190"/>
      <c r="AD624" s="190"/>
      <c r="AE624" s="190"/>
      <c r="AF624" s="190"/>
      <c r="AG624" s="190"/>
      <c r="AH624" s="190"/>
      <c r="AI624" s="190"/>
      <c r="AJ624" s="190"/>
      <c r="AK624" s="190"/>
      <c r="AL624" s="190"/>
    </row>
    <row r="625" spans="2:38" ht="12.75" customHeight="1">
      <c r="B625" s="6"/>
      <c r="C625" s="6"/>
      <c r="D625" s="12"/>
      <c r="E625" s="12"/>
      <c r="F625" s="12"/>
      <c r="G625" s="12"/>
      <c r="H625" s="6"/>
      <c r="I625" s="190"/>
      <c r="J625" s="190"/>
      <c r="K625" s="190"/>
      <c r="L625" s="190"/>
      <c r="M625" s="190"/>
      <c r="N625" s="190"/>
      <c r="O625" s="190"/>
      <c r="P625" s="190"/>
      <c r="Q625" s="190"/>
      <c r="R625" s="190"/>
      <c r="S625" s="190"/>
      <c r="T625" s="190"/>
      <c r="U625" s="190"/>
      <c r="V625" s="190"/>
      <c r="W625" s="190"/>
      <c r="X625" s="190"/>
      <c r="Y625" s="190"/>
      <c r="Z625" s="190"/>
      <c r="AA625" s="190"/>
      <c r="AB625" s="190"/>
      <c r="AC625" s="190"/>
      <c r="AD625" s="190"/>
      <c r="AE625" s="190"/>
      <c r="AF625" s="190"/>
      <c r="AG625" s="190"/>
      <c r="AH625" s="190"/>
      <c r="AI625" s="190"/>
      <c r="AJ625" s="190"/>
      <c r="AK625" s="190"/>
      <c r="AL625" s="190"/>
    </row>
    <row r="626" spans="2:38" ht="12.75" customHeight="1">
      <c r="B626" s="6"/>
      <c r="C626" s="6"/>
      <c r="D626" s="12"/>
      <c r="E626" s="12"/>
      <c r="F626" s="12"/>
      <c r="G626" s="12"/>
      <c r="H626" s="6"/>
      <c r="I626" s="190"/>
      <c r="J626" s="190"/>
      <c r="K626" s="190"/>
      <c r="L626" s="190"/>
      <c r="M626" s="190"/>
      <c r="N626" s="190"/>
      <c r="O626" s="190"/>
      <c r="P626" s="190"/>
      <c r="Q626" s="190"/>
      <c r="R626" s="190"/>
      <c r="S626" s="190"/>
      <c r="T626" s="190"/>
      <c r="U626" s="190"/>
      <c r="V626" s="190"/>
      <c r="W626" s="190"/>
      <c r="X626" s="190"/>
      <c r="Y626" s="190"/>
      <c r="Z626" s="190"/>
      <c r="AA626" s="190"/>
      <c r="AB626" s="190"/>
      <c r="AC626" s="190"/>
      <c r="AD626" s="190"/>
      <c r="AE626" s="190"/>
      <c r="AF626" s="190"/>
      <c r="AG626" s="190"/>
      <c r="AH626" s="190"/>
      <c r="AI626" s="190"/>
      <c r="AJ626" s="190"/>
      <c r="AK626" s="190"/>
      <c r="AL626" s="190"/>
    </row>
    <row r="627" spans="2:38" ht="12.75" customHeight="1">
      <c r="B627" s="6"/>
      <c r="C627" s="6"/>
      <c r="D627" s="12"/>
      <c r="E627" s="12"/>
      <c r="F627" s="12"/>
      <c r="G627" s="12"/>
      <c r="H627" s="6"/>
      <c r="I627" s="190"/>
      <c r="J627" s="190"/>
      <c r="K627" s="190"/>
      <c r="L627" s="190"/>
      <c r="M627" s="190"/>
      <c r="N627" s="190"/>
      <c r="O627" s="190"/>
      <c r="P627" s="190"/>
      <c r="Q627" s="190"/>
      <c r="R627" s="190"/>
      <c r="S627" s="190"/>
      <c r="T627" s="190"/>
      <c r="U627" s="190"/>
      <c r="V627" s="190"/>
      <c r="W627" s="190"/>
      <c r="X627" s="190"/>
      <c r="Y627" s="190"/>
      <c r="Z627" s="190"/>
      <c r="AA627" s="190"/>
      <c r="AB627" s="190"/>
      <c r="AC627" s="190"/>
      <c r="AD627" s="190"/>
      <c r="AE627" s="190"/>
      <c r="AF627" s="190"/>
      <c r="AG627" s="190"/>
      <c r="AH627" s="190"/>
      <c r="AI627" s="190"/>
      <c r="AJ627" s="190"/>
      <c r="AK627" s="190"/>
      <c r="AL627" s="190"/>
    </row>
    <row r="628" spans="2:38" ht="12.75" customHeight="1">
      <c r="B628" s="6"/>
      <c r="C628" s="6"/>
      <c r="D628" s="12"/>
      <c r="E628" s="12"/>
      <c r="F628" s="12"/>
      <c r="G628" s="12"/>
      <c r="H628" s="6"/>
      <c r="I628" s="190"/>
      <c r="J628" s="190"/>
      <c r="K628" s="190"/>
      <c r="L628" s="190"/>
      <c r="M628" s="190"/>
      <c r="N628" s="190"/>
      <c r="O628" s="190"/>
      <c r="P628" s="190"/>
      <c r="Q628" s="190"/>
      <c r="R628" s="190"/>
      <c r="S628" s="190"/>
      <c r="T628" s="190"/>
      <c r="U628" s="190"/>
      <c r="V628" s="190"/>
      <c r="W628" s="190"/>
      <c r="X628" s="190"/>
      <c r="Y628" s="190"/>
      <c r="Z628" s="190"/>
      <c r="AA628" s="190"/>
      <c r="AB628" s="190"/>
      <c r="AC628" s="190"/>
      <c r="AD628" s="190"/>
      <c r="AE628" s="190"/>
      <c r="AF628" s="190"/>
      <c r="AG628" s="190"/>
      <c r="AH628" s="190"/>
      <c r="AI628" s="190"/>
      <c r="AJ628" s="190"/>
      <c r="AK628" s="190"/>
      <c r="AL628" s="190"/>
    </row>
    <row r="629" spans="2:38" ht="12.75" customHeight="1">
      <c r="B629" s="6"/>
      <c r="C629" s="6"/>
      <c r="D629" s="12"/>
      <c r="E629" s="12"/>
      <c r="F629" s="12"/>
      <c r="G629" s="12"/>
      <c r="H629" s="6"/>
      <c r="I629" s="190"/>
      <c r="J629" s="190"/>
      <c r="K629" s="190"/>
      <c r="L629" s="190"/>
      <c r="M629" s="190"/>
      <c r="N629" s="190"/>
      <c r="O629" s="190"/>
      <c r="P629" s="190"/>
      <c r="Q629" s="190"/>
      <c r="R629" s="190"/>
      <c r="S629" s="190"/>
      <c r="T629" s="190"/>
      <c r="U629" s="190"/>
      <c r="V629" s="190"/>
      <c r="W629" s="190"/>
      <c r="X629" s="190"/>
      <c r="Y629" s="190"/>
      <c r="Z629" s="190"/>
      <c r="AA629" s="190"/>
      <c r="AB629" s="190"/>
      <c r="AC629" s="190"/>
      <c r="AD629" s="190"/>
      <c r="AE629" s="190"/>
      <c r="AF629" s="190"/>
      <c r="AG629" s="190"/>
      <c r="AH629" s="190"/>
      <c r="AI629" s="190"/>
      <c r="AJ629" s="190"/>
      <c r="AK629" s="190"/>
      <c r="AL629" s="190"/>
    </row>
    <row r="630" spans="2:38" ht="12.75" customHeight="1">
      <c r="B630" s="6"/>
      <c r="C630" s="6"/>
      <c r="D630" s="12"/>
      <c r="E630" s="12"/>
      <c r="F630" s="12"/>
      <c r="G630" s="12"/>
      <c r="H630" s="6"/>
      <c r="I630" s="190"/>
      <c r="J630" s="190"/>
      <c r="K630" s="190"/>
      <c r="L630" s="190"/>
      <c r="M630" s="190"/>
      <c r="N630" s="190"/>
      <c r="O630" s="190"/>
      <c r="P630" s="190"/>
      <c r="Q630" s="190"/>
      <c r="R630" s="190"/>
      <c r="S630" s="190"/>
      <c r="T630" s="190"/>
      <c r="U630" s="190"/>
      <c r="V630" s="190"/>
      <c r="W630" s="190"/>
      <c r="X630" s="190"/>
      <c r="Y630" s="190"/>
      <c r="Z630" s="190"/>
      <c r="AA630" s="190"/>
      <c r="AB630" s="190"/>
      <c r="AC630" s="190"/>
      <c r="AD630" s="190"/>
      <c r="AE630" s="190"/>
      <c r="AF630" s="190"/>
      <c r="AG630" s="190"/>
      <c r="AH630" s="190"/>
      <c r="AI630" s="190"/>
      <c r="AJ630" s="190"/>
      <c r="AK630" s="190"/>
      <c r="AL630" s="190"/>
    </row>
    <row r="631" spans="2:38" ht="12.75" customHeight="1">
      <c r="B631" s="6"/>
      <c r="C631" s="6"/>
      <c r="D631" s="12"/>
      <c r="E631" s="12"/>
      <c r="F631" s="12"/>
      <c r="G631" s="12"/>
      <c r="H631" s="6"/>
      <c r="I631" s="190"/>
      <c r="J631" s="190"/>
      <c r="K631" s="190"/>
      <c r="L631" s="190"/>
      <c r="M631" s="190"/>
      <c r="N631" s="190"/>
      <c r="O631" s="190"/>
      <c r="P631" s="190"/>
      <c r="Q631" s="190"/>
      <c r="R631" s="190"/>
      <c r="S631" s="190"/>
      <c r="T631" s="190"/>
      <c r="U631" s="190"/>
      <c r="V631" s="190"/>
      <c r="W631" s="190"/>
      <c r="X631" s="190"/>
      <c r="Y631" s="190"/>
      <c r="Z631" s="190"/>
      <c r="AA631" s="190"/>
      <c r="AB631" s="190"/>
      <c r="AC631" s="190"/>
      <c r="AD631" s="190"/>
      <c r="AE631" s="190"/>
      <c r="AF631" s="190"/>
      <c r="AG631" s="190"/>
      <c r="AH631" s="190"/>
      <c r="AI631" s="190"/>
      <c r="AJ631" s="190"/>
      <c r="AK631" s="190"/>
      <c r="AL631" s="190"/>
    </row>
    <row r="632" spans="2:38" ht="12.75" customHeight="1">
      <c r="B632" s="6"/>
      <c r="C632" s="6"/>
      <c r="D632" s="12"/>
      <c r="E632" s="12"/>
      <c r="F632" s="12"/>
      <c r="G632" s="12"/>
      <c r="H632" s="6"/>
      <c r="I632" s="190"/>
      <c r="J632" s="190"/>
      <c r="K632" s="190"/>
      <c r="L632" s="190"/>
      <c r="M632" s="190"/>
      <c r="N632" s="190"/>
      <c r="O632" s="190"/>
      <c r="P632" s="190"/>
      <c r="Q632" s="190"/>
      <c r="R632" s="190"/>
      <c r="S632" s="190"/>
      <c r="T632" s="190"/>
      <c r="U632" s="190"/>
      <c r="V632" s="190"/>
      <c r="W632" s="190"/>
      <c r="X632" s="190"/>
      <c r="Y632" s="190"/>
      <c r="Z632" s="190"/>
      <c r="AA632" s="190"/>
      <c r="AB632" s="190"/>
      <c r="AC632" s="190"/>
      <c r="AD632" s="190"/>
      <c r="AE632" s="190"/>
      <c r="AF632" s="190"/>
      <c r="AG632" s="190"/>
      <c r="AH632" s="190"/>
      <c r="AI632" s="190"/>
      <c r="AJ632" s="190"/>
      <c r="AK632" s="190"/>
      <c r="AL632" s="190"/>
    </row>
    <row r="633" spans="2:38" ht="12.75" customHeight="1">
      <c r="B633" s="6"/>
      <c r="C633" s="6"/>
      <c r="D633" s="12"/>
      <c r="E633" s="12"/>
      <c r="F633" s="12"/>
      <c r="G633" s="12"/>
      <c r="H633" s="6"/>
      <c r="I633" s="190"/>
      <c r="J633" s="190"/>
      <c r="K633" s="190"/>
      <c r="L633" s="190"/>
      <c r="M633" s="190"/>
      <c r="N633" s="190"/>
      <c r="O633" s="190"/>
      <c r="P633" s="190"/>
      <c r="Q633" s="190"/>
      <c r="R633" s="190"/>
      <c r="S633" s="190"/>
      <c r="T633" s="190"/>
      <c r="U633" s="190"/>
      <c r="V633" s="190"/>
      <c r="W633" s="190"/>
      <c r="X633" s="190"/>
      <c r="Y633" s="190"/>
      <c r="Z633" s="190"/>
      <c r="AA633" s="190"/>
      <c r="AB633" s="190"/>
      <c r="AC633" s="190"/>
      <c r="AD633" s="190"/>
      <c r="AE633" s="190"/>
      <c r="AF633" s="190"/>
      <c r="AG633" s="190"/>
      <c r="AH633" s="190"/>
      <c r="AI633" s="190"/>
      <c r="AJ633" s="190"/>
      <c r="AK633" s="190"/>
      <c r="AL633" s="190"/>
    </row>
    <row r="634" spans="2:38" ht="12.75" customHeight="1">
      <c r="B634" s="6"/>
      <c r="C634" s="6"/>
      <c r="D634" s="12"/>
      <c r="E634" s="12"/>
      <c r="F634" s="12"/>
      <c r="G634" s="12"/>
      <c r="H634" s="6"/>
      <c r="I634" s="190"/>
      <c r="J634" s="190"/>
      <c r="K634" s="190"/>
      <c r="L634" s="190"/>
      <c r="M634" s="190"/>
      <c r="N634" s="190"/>
      <c r="O634" s="190"/>
      <c r="P634" s="190"/>
      <c r="Q634" s="190"/>
      <c r="R634" s="190"/>
      <c r="S634" s="190"/>
      <c r="T634" s="190"/>
      <c r="U634" s="190"/>
      <c r="V634" s="190"/>
      <c r="W634" s="190"/>
      <c r="X634" s="190"/>
      <c r="Y634" s="190"/>
      <c r="Z634" s="190"/>
      <c r="AA634" s="190"/>
      <c r="AB634" s="190"/>
      <c r="AC634" s="190"/>
      <c r="AD634" s="190"/>
      <c r="AE634" s="190"/>
      <c r="AF634" s="190"/>
      <c r="AG634" s="190"/>
      <c r="AH634" s="190"/>
      <c r="AI634" s="190"/>
      <c r="AJ634" s="190"/>
      <c r="AK634" s="190"/>
      <c r="AL634" s="190"/>
    </row>
    <row r="635" spans="2:38" ht="12.75" customHeight="1">
      <c r="B635" s="6"/>
      <c r="C635" s="6"/>
      <c r="D635" s="12"/>
      <c r="E635" s="12"/>
      <c r="F635" s="12"/>
      <c r="G635" s="12"/>
      <c r="H635" s="6"/>
      <c r="I635" s="190"/>
      <c r="J635" s="190"/>
      <c r="K635" s="190"/>
      <c r="L635" s="190"/>
      <c r="M635" s="190"/>
      <c r="N635" s="190"/>
      <c r="O635" s="190"/>
      <c r="P635" s="190"/>
      <c r="Q635" s="190"/>
      <c r="R635" s="190"/>
      <c r="S635" s="190"/>
      <c r="T635" s="190"/>
      <c r="U635" s="190"/>
      <c r="V635" s="190"/>
      <c r="W635" s="190"/>
      <c r="X635" s="190"/>
      <c r="Y635" s="190"/>
      <c r="Z635" s="190"/>
      <c r="AA635" s="190"/>
      <c r="AB635" s="190"/>
      <c r="AC635" s="190"/>
      <c r="AD635" s="190"/>
      <c r="AE635" s="190"/>
      <c r="AF635" s="190"/>
      <c r="AG635" s="190"/>
      <c r="AH635" s="190"/>
      <c r="AI635" s="190"/>
      <c r="AJ635" s="190"/>
      <c r="AK635" s="190"/>
      <c r="AL635" s="190"/>
    </row>
    <row r="636" spans="2:38" ht="12.75" customHeight="1">
      <c r="B636" s="6"/>
      <c r="C636" s="6"/>
      <c r="D636" s="12"/>
      <c r="E636" s="12"/>
      <c r="F636" s="12"/>
      <c r="G636" s="12"/>
      <c r="H636" s="6"/>
      <c r="I636" s="190"/>
      <c r="J636" s="190"/>
      <c r="K636" s="190"/>
      <c r="L636" s="190"/>
      <c r="M636" s="190"/>
      <c r="N636" s="190"/>
      <c r="O636" s="190"/>
      <c r="P636" s="190"/>
      <c r="Q636" s="190"/>
      <c r="R636" s="190"/>
      <c r="S636" s="190"/>
      <c r="T636" s="190"/>
      <c r="U636" s="190"/>
      <c r="V636" s="190"/>
      <c r="W636" s="190"/>
      <c r="X636" s="190"/>
      <c r="Y636" s="190"/>
      <c r="Z636" s="190"/>
      <c r="AA636" s="190"/>
      <c r="AB636" s="190"/>
      <c r="AC636" s="190"/>
      <c r="AD636" s="190"/>
      <c r="AE636" s="190"/>
      <c r="AF636" s="190"/>
      <c r="AG636" s="190"/>
      <c r="AH636" s="190"/>
      <c r="AI636" s="190"/>
      <c r="AJ636" s="190"/>
      <c r="AK636" s="190"/>
      <c r="AL636" s="190"/>
    </row>
    <row r="637" spans="2:38" ht="12.75" customHeight="1">
      <c r="B637" s="6"/>
      <c r="C637" s="6"/>
      <c r="D637" s="12"/>
      <c r="E637" s="12"/>
      <c r="F637" s="12"/>
      <c r="G637" s="12"/>
      <c r="H637" s="6"/>
      <c r="I637" s="190"/>
      <c r="J637" s="190"/>
      <c r="K637" s="190"/>
      <c r="L637" s="190"/>
      <c r="M637" s="190"/>
      <c r="N637" s="190"/>
      <c r="O637" s="190"/>
      <c r="P637" s="190"/>
      <c r="Q637" s="190"/>
      <c r="R637" s="190"/>
      <c r="S637" s="190"/>
      <c r="T637" s="190"/>
      <c r="U637" s="190"/>
      <c r="V637" s="190"/>
      <c r="W637" s="190"/>
      <c r="X637" s="190"/>
      <c r="Y637" s="190"/>
      <c r="Z637" s="190"/>
      <c r="AA637" s="190"/>
      <c r="AB637" s="190"/>
      <c r="AC637" s="190"/>
      <c r="AD637" s="190"/>
      <c r="AE637" s="190"/>
      <c r="AF637" s="190"/>
      <c r="AG637" s="190"/>
      <c r="AH637" s="190"/>
      <c r="AI637" s="190"/>
      <c r="AJ637" s="190"/>
      <c r="AK637" s="190"/>
      <c r="AL637" s="190"/>
    </row>
    <row r="638" spans="2:38" ht="12.75" customHeight="1">
      <c r="B638" s="6"/>
      <c r="C638" s="6"/>
      <c r="D638" s="12"/>
      <c r="E638" s="12"/>
      <c r="F638" s="12"/>
      <c r="G638" s="12"/>
      <c r="H638" s="6"/>
      <c r="I638" s="190"/>
      <c r="J638" s="190"/>
      <c r="K638" s="190"/>
      <c r="L638" s="190"/>
      <c r="M638" s="190"/>
      <c r="N638" s="190"/>
      <c r="O638" s="190"/>
      <c r="P638" s="190"/>
      <c r="Q638" s="190"/>
      <c r="R638" s="190"/>
      <c r="S638" s="190"/>
      <c r="T638" s="190"/>
      <c r="U638" s="190"/>
      <c r="V638" s="190"/>
      <c r="W638" s="190"/>
      <c r="X638" s="190"/>
      <c r="Y638" s="190"/>
      <c r="Z638" s="190"/>
      <c r="AA638" s="190"/>
      <c r="AB638" s="190"/>
      <c r="AC638" s="190"/>
      <c r="AD638" s="190"/>
      <c r="AE638" s="190"/>
      <c r="AF638" s="190"/>
      <c r="AG638" s="190"/>
      <c r="AH638" s="190"/>
      <c r="AI638" s="190"/>
      <c r="AJ638" s="190"/>
      <c r="AK638" s="190"/>
      <c r="AL638" s="190"/>
    </row>
    <row r="639" spans="2:38" ht="12.75" customHeight="1">
      <c r="B639" s="6"/>
      <c r="C639" s="6"/>
      <c r="D639" s="12"/>
      <c r="E639" s="12"/>
      <c r="F639" s="12"/>
      <c r="G639" s="12"/>
      <c r="H639" s="6"/>
      <c r="I639" s="190"/>
      <c r="J639" s="190"/>
      <c r="K639" s="190"/>
      <c r="L639" s="190"/>
      <c r="M639" s="190"/>
      <c r="N639" s="190"/>
      <c r="O639" s="190"/>
      <c r="P639" s="190"/>
      <c r="Q639" s="190"/>
      <c r="R639" s="190"/>
      <c r="S639" s="190"/>
      <c r="T639" s="190"/>
      <c r="U639" s="190"/>
      <c r="V639" s="190"/>
      <c r="W639" s="190"/>
      <c r="X639" s="190"/>
      <c r="Y639" s="190"/>
      <c r="Z639" s="190"/>
      <c r="AA639" s="190"/>
      <c r="AB639" s="190"/>
      <c r="AC639" s="190"/>
      <c r="AD639" s="190"/>
      <c r="AE639" s="190"/>
      <c r="AF639" s="190"/>
      <c r="AG639" s="190"/>
      <c r="AH639" s="190"/>
      <c r="AI639" s="190"/>
      <c r="AJ639" s="190"/>
      <c r="AK639" s="190"/>
      <c r="AL639" s="190"/>
    </row>
    <row r="640" spans="2:38" ht="12.75" customHeight="1">
      <c r="B640" s="6"/>
      <c r="C640" s="6"/>
      <c r="D640" s="12"/>
      <c r="E640" s="12"/>
      <c r="F640" s="12"/>
      <c r="G640" s="12"/>
      <c r="H640" s="6"/>
      <c r="I640" s="190"/>
      <c r="J640" s="190"/>
      <c r="K640" s="190"/>
      <c r="L640" s="190"/>
      <c r="M640" s="190"/>
      <c r="N640" s="190"/>
      <c r="O640" s="190"/>
      <c r="P640" s="190"/>
      <c r="Q640" s="190"/>
      <c r="R640" s="190"/>
      <c r="S640" s="190"/>
      <c r="T640" s="190"/>
      <c r="U640" s="190"/>
      <c r="V640" s="190"/>
      <c r="W640" s="190"/>
      <c r="X640" s="190"/>
      <c r="Y640" s="190"/>
      <c r="Z640" s="190"/>
      <c r="AA640" s="190"/>
      <c r="AB640" s="190"/>
      <c r="AC640" s="190"/>
      <c r="AD640" s="190"/>
      <c r="AE640" s="190"/>
      <c r="AF640" s="190"/>
      <c r="AG640" s="190"/>
      <c r="AH640" s="190"/>
      <c r="AI640" s="190"/>
      <c r="AJ640" s="190"/>
      <c r="AK640" s="190"/>
      <c r="AL640" s="190"/>
    </row>
    <row r="641" spans="2:38" ht="12.75" customHeight="1">
      <c r="B641" s="6"/>
      <c r="C641" s="6"/>
      <c r="D641" s="12"/>
      <c r="E641" s="12"/>
      <c r="F641" s="12"/>
      <c r="G641" s="12"/>
      <c r="H641" s="6"/>
      <c r="I641" s="190"/>
      <c r="J641" s="190"/>
      <c r="K641" s="190"/>
      <c r="L641" s="190"/>
      <c r="M641" s="190"/>
      <c r="N641" s="190"/>
      <c r="O641" s="190"/>
      <c r="P641" s="190"/>
      <c r="Q641" s="190"/>
      <c r="R641" s="190"/>
      <c r="S641" s="190"/>
      <c r="T641" s="190"/>
      <c r="U641" s="190"/>
      <c r="V641" s="190"/>
      <c r="W641" s="190"/>
      <c r="X641" s="190"/>
      <c r="Y641" s="190"/>
      <c r="Z641" s="190"/>
      <c r="AA641" s="190"/>
      <c r="AB641" s="190"/>
      <c r="AC641" s="190"/>
      <c r="AD641" s="190"/>
      <c r="AE641" s="190"/>
      <c r="AF641" s="190"/>
      <c r="AG641" s="190"/>
      <c r="AH641" s="190"/>
      <c r="AI641" s="190"/>
      <c r="AJ641" s="190"/>
      <c r="AK641" s="190"/>
      <c r="AL641" s="190"/>
    </row>
    <row r="642" spans="2:38" ht="12.75" customHeight="1">
      <c r="B642" s="6"/>
      <c r="C642" s="6"/>
      <c r="D642" s="12"/>
      <c r="E642" s="12"/>
      <c r="F642" s="12"/>
      <c r="G642" s="12"/>
      <c r="H642" s="6"/>
      <c r="I642" s="190"/>
      <c r="J642" s="190"/>
      <c r="K642" s="190"/>
      <c r="L642" s="190"/>
      <c r="M642" s="190"/>
      <c r="N642" s="190"/>
      <c r="O642" s="190"/>
      <c r="P642" s="190"/>
      <c r="Q642" s="190"/>
      <c r="R642" s="190"/>
      <c r="S642" s="190"/>
      <c r="T642" s="190"/>
      <c r="U642" s="190"/>
      <c r="V642" s="190"/>
      <c r="W642" s="190"/>
      <c r="X642" s="190"/>
      <c r="Y642" s="190"/>
      <c r="Z642" s="190"/>
      <c r="AA642" s="190"/>
      <c r="AB642" s="190"/>
      <c r="AC642" s="190"/>
      <c r="AD642" s="190"/>
      <c r="AE642" s="190"/>
      <c r="AF642" s="190"/>
      <c r="AG642" s="190"/>
      <c r="AH642" s="190"/>
      <c r="AI642" s="190"/>
      <c r="AJ642" s="190"/>
      <c r="AK642" s="190"/>
      <c r="AL642" s="190"/>
    </row>
    <row r="643" spans="2:38" ht="12.75" customHeight="1">
      <c r="B643" s="6"/>
      <c r="C643" s="6"/>
      <c r="D643" s="12"/>
      <c r="E643" s="12"/>
      <c r="F643" s="12"/>
      <c r="G643" s="12"/>
      <c r="H643" s="6"/>
      <c r="I643" s="190"/>
      <c r="J643" s="190"/>
      <c r="K643" s="190"/>
      <c r="L643" s="190"/>
      <c r="M643" s="190"/>
      <c r="N643" s="190"/>
      <c r="O643" s="190"/>
      <c r="P643" s="190"/>
      <c r="Q643" s="190"/>
      <c r="R643" s="190"/>
      <c r="S643" s="190"/>
      <c r="T643" s="190"/>
      <c r="U643" s="190"/>
      <c r="V643" s="190"/>
      <c r="W643" s="190"/>
      <c r="X643" s="190"/>
      <c r="Y643" s="190"/>
      <c r="Z643" s="190"/>
      <c r="AA643" s="190"/>
      <c r="AB643" s="190"/>
      <c r="AC643" s="190"/>
      <c r="AD643" s="190"/>
      <c r="AE643" s="190"/>
      <c r="AF643" s="190"/>
      <c r="AG643" s="190"/>
      <c r="AH643" s="190"/>
      <c r="AI643" s="190"/>
      <c r="AJ643" s="190"/>
      <c r="AK643" s="190"/>
      <c r="AL643" s="190"/>
    </row>
    <row r="644" spans="2:38" ht="12.75" customHeight="1">
      <c r="B644" s="6"/>
      <c r="C644" s="6"/>
      <c r="D644" s="12"/>
      <c r="E644" s="12"/>
      <c r="F644" s="12"/>
      <c r="G644" s="12"/>
      <c r="H644" s="6"/>
      <c r="I644" s="190"/>
      <c r="J644" s="190"/>
      <c r="K644" s="190"/>
      <c r="L644" s="190"/>
      <c r="M644" s="190"/>
      <c r="N644" s="190"/>
      <c r="O644" s="190"/>
      <c r="P644" s="190"/>
      <c r="Q644" s="190"/>
      <c r="R644" s="190"/>
      <c r="S644" s="190"/>
      <c r="T644" s="190"/>
      <c r="U644" s="190"/>
      <c r="V644" s="190"/>
      <c r="W644" s="190"/>
      <c r="X644" s="190"/>
      <c r="Y644" s="190"/>
      <c r="Z644" s="190"/>
      <c r="AA644" s="190"/>
      <c r="AB644" s="190"/>
      <c r="AC644" s="190"/>
      <c r="AD644" s="190"/>
      <c r="AE644" s="190"/>
      <c r="AF644" s="190"/>
      <c r="AG644" s="190"/>
      <c r="AH644" s="190"/>
      <c r="AI644" s="190"/>
      <c r="AJ644" s="190"/>
      <c r="AK644" s="190"/>
      <c r="AL644" s="190"/>
    </row>
    <row r="645" spans="2:38" ht="12.75" customHeight="1">
      <c r="B645" s="6"/>
      <c r="C645" s="6"/>
      <c r="D645" s="12"/>
      <c r="E645" s="12"/>
      <c r="F645" s="12"/>
      <c r="G645" s="12"/>
      <c r="H645" s="6"/>
      <c r="I645" s="190"/>
      <c r="J645" s="190"/>
      <c r="K645" s="190"/>
      <c r="L645" s="190"/>
      <c r="M645" s="190"/>
      <c r="N645" s="190"/>
      <c r="O645" s="190"/>
      <c r="P645" s="190"/>
      <c r="Q645" s="190"/>
      <c r="R645" s="190"/>
      <c r="S645" s="190"/>
      <c r="T645" s="190"/>
      <c r="U645" s="190"/>
      <c r="V645" s="190"/>
      <c r="W645" s="190"/>
      <c r="X645" s="190"/>
      <c r="Y645" s="190"/>
      <c r="Z645" s="190"/>
      <c r="AA645" s="190"/>
      <c r="AB645" s="190"/>
      <c r="AC645" s="190"/>
      <c r="AD645" s="190"/>
      <c r="AE645" s="190"/>
      <c r="AF645" s="190"/>
      <c r="AG645" s="190"/>
      <c r="AH645" s="190"/>
      <c r="AI645" s="190"/>
      <c r="AJ645" s="190"/>
      <c r="AK645" s="190"/>
      <c r="AL645" s="190"/>
    </row>
    <row r="646" spans="2:38" ht="12.75" customHeight="1">
      <c r="B646" s="6"/>
      <c r="C646" s="6"/>
      <c r="D646" s="12"/>
      <c r="E646" s="12"/>
      <c r="F646" s="12"/>
      <c r="G646" s="12"/>
      <c r="H646" s="6"/>
      <c r="I646" s="190"/>
      <c r="J646" s="190"/>
      <c r="K646" s="190"/>
      <c r="L646" s="190"/>
      <c r="M646" s="190"/>
      <c r="N646" s="190"/>
      <c r="O646" s="190"/>
      <c r="P646" s="190"/>
      <c r="Q646" s="190"/>
      <c r="R646" s="190"/>
      <c r="S646" s="190"/>
      <c r="T646" s="190"/>
      <c r="U646" s="190"/>
      <c r="V646" s="190"/>
      <c r="W646" s="190"/>
      <c r="X646" s="190"/>
      <c r="Y646" s="190"/>
      <c r="Z646" s="190"/>
      <c r="AA646" s="190"/>
      <c r="AB646" s="190"/>
      <c r="AC646" s="190"/>
      <c r="AD646" s="190"/>
      <c r="AE646" s="190"/>
      <c r="AF646" s="190"/>
      <c r="AG646" s="190"/>
      <c r="AH646" s="190"/>
      <c r="AI646" s="190"/>
      <c r="AJ646" s="190"/>
      <c r="AK646" s="190"/>
      <c r="AL646" s="190"/>
    </row>
    <row r="647" spans="2:38" ht="12.75" customHeight="1">
      <c r="B647" s="6"/>
      <c r="C647" s="6"/>
      <c r="D647" s="12"/>
      <c r="E647" s="12"/>
      <c r="F647" s="12"/>
      <c r="G647" s="12"/>
      <c r="H647" s="6"/>
      <c r="I647" s="190"/>
      <c r="J647" s="190"/>
      <c r="K647" s="190"/>
      <c r="L647" s="190"/>
      <c r="M647" s="190"/>
      <c r="N647" s="190"/>
      <c r="O647" s="190"/>
      <c r="P647" s="190"/>
      <c r="Q647" s="190"/>
      <c r="R647" s="190"/>
      <c r="S647" s="190"/>
      <c r="T647" s="190"/>
      <c r="U647" s="190"/>
      <c r="V647" s="190"/>
      <c r="W647" s="190"/>
      <c r="X647" s="190"/>
      <c r="Y647" s="190"/>
      <c r="Z647" s="190"/>
      <c r="AA647" s="190"/>
      <c r="AB647" s="190"/>
      <c r="AC647" s="190"/>
      <c r="AD647" s="190"/>
      <c r="AE647" s="190"/>
      <c r="AF647" s="190"/>
      <c r="AG647" s="190"/>
      <c r="AH647" s="190"/>
      <c r="AI647" s="190"/>
      <c r="AJ647" s="190"/>
      <c r="AK647" s="190"/>
      <c r="AL647" s="190"/>
    </row>
    <row r="648" spans="2:38" ht="12.75" customHeight="1">
      <c r="B648" s="6"/>
      <c r="C648" s="6"/>
      <c r="D648" s="12"/>
      <c r="E648" s="12"/>
      <c r="F648" s="12"/>
      <c r="G648" s="12"/>
      <c r="H648" s="6"/>
      <c r="I648" s="190"/>
      <c r="J648" s="190"/>
      <c r="K648" s="190"/>
      <c r="L648" s="190"/>
      <c r="M648" s="190"/>
      <c r="N648" s="190"/>
      <c r="O648" s="190"/>
      <c r="P648" s="190"/>
      <c r="Q648" s="190"/>
      <c r="R648" s="190"/>
      <c r="S648" s="190"/>
      <c r="T648" s="190"/>
      <c r="U648" s="190"/>
      <c r="V648" s="190"/>
      <c r="W648" s="190"/>
      <c r="X648" s="190"/>
      <c r="Y648" s="190"/>
      <c r="Z648" s="190"/>
      <c r="AA648" s="190"/>
      <c r="AB648" s="190"/>
      <c r="AC648" s="190"/>
      <c r="AD648" s="190"/>
      <c r="AE648" s="190"/>
      <c r="AF648" s="190"/>
      <c r="AG648" s="190"/>
      <c r="AH648" s="190"/>
      <c r="AI648" s="190"/>
      <c r="AJ648" s="190"/>
      <c r="AK648" s="190"/>
      <c r="AL648" s="190"/>
    </row>
    <row r="649" spans="2:38" ht="12.75" customHeight="1">
      <c r="B649" s="6"/>
      <c r="C649" s="6"/>
      <c r="D649" s="12"/>
      <c r="E649" s="12"/>
      <c r="F649" s="12"/>
      <c r="G649" s="12"/>
      <c r="H649" s="6"/>
      <c r="I649" s="190"/>
      <c r="J649" s="190"/>
      <c r="K649" s="190"/>
      <c r="L649" s="190"/>
      <c r="M649" s="190"/>
      <c r="N649" s="190"/>
      <c r="O649" s="190"/>
      <c r="P649" s="190"/>
      <c r="Q649" s="190"/>
      <c r="R649" s="190"/>
      <c r="S649" s="190"/>
      <c r="T649" s="190"/>
      <c r="U649" s="190"/>
      <c r="V649" s="190"/>
      <c r="W649" s="190"/>
      <c r="X649" s="190"/>
      <c r="Y649" s="190"/>
      <c r="Z649" s="190"/>
      <c r="AA649" s="190"/>
      <c r="AB649" s="190"/>
      <c r="AC649" s="190"/>
      <c r="AD649" s="190"/>
      <c r="AE649" s="190"/>
      <c r="AF649" s="190"/>
      <c r="AG649" s="190"/>
      <c r="AH649" s="190"/>
      <c r="AI649" s="190"/>
      <c r="AJ649" s="190"/>
      <c r="AK649" s="190"/>
      <c r="AL649" s="190"/>
    </row>
    <row r="650" spans="2:38" ht="12.75" customHeight="1">
      <c r="B650" s="6"/>
      <c r="C650" s="6"/>
      <c r="D650" s="12"/>
      <c r="E650" s="12"/>
      <c r="F650" s="12"/>
      <c r="G650" s="12"/>
      <c r="H650" s="6"/>
      <c r="I650" s="190"/>
      <c r="J650" s="190"/>
      <c r="K650" s="190"/>
      <c r="L650" s="190"/>
      <c r="M650" s="190"/>
      <c r="N650" s="190"/>
      <c r="O650" s="190"/>
      <c r="P650" s="190"/>
      <c r="Q650" s="190"/>
      <c r="R650" s="190"/>
      <c r="S650" s="190"/>
      <c r="T650" s="190"/>
      <c r="U650" s="190"/>
      <c r="V650" s="190"/>
      <c r="W650" s="190"/>
      <c r="X650" s="190"/>
      <c r="Y650" s="190"/>
      <c r="Z650" s="190"/>
      <c r="AA650" s="190"/>
      <c r="AB650" s="190"/>
      <c r="AC650" s="190"/>
      <c r="AD650" s="190"/>
      <c r="AE650" s="190"/>
      <c r="AF650" s="190"/>
      <c r="AG650" s="190"/>
      <c r="AH650" s="190"/>
      <c r="AI650" s="190"/>
      <c r="AJ650" s="190"/>
      <c r="AK650" s="190"/>
      <c r="AL650" s="190"/>
    </row>
    <row r="651" spans="2:38" ht="12.75" customHeight="1">
      <c r="B651" s="6"/>
      <c r="C651" s="6"/>
      <c r="D651" s="12"/>
      <c r="E651" s="12"/>
      <c r="F651" s="12"/>
      <c r="G651" s="12"/>
      <c r="H651" s="6"/>
      <c r="I651" s="190"/>
      <c r="J651" s="190"/>
      <c r="K651" s="190"/>
      <c r="L651" s="190"/>
      <c r="M651" s="190"/>
      <c r="N651" s="190"/>
      <c r="O651" s="190"/>
      <c r="P651" s="190"/>
      <c r="Q651" s="190"/>
      <c r="R651" s="190"/>
      <c r="S651" s="190"/>
      <c r="T651" s="190"/>
      <c r="U651" s="190"/>
      <c r="V651" s="190"/>
      <c r="W651" s="190"/>
      <c r="X651" s="190"/>
      <c r="Y651" s="190"/>
      <c r="Z651" s="190"/>
      <c r="AA651" s="190"/>
      <c r="AB651" s="190"/>
      <c r="AC651" s="190"/>
      <c r="AD651" s="190"/>
      <c r="AE651" s="190"/>
      <c r="AF651" s="190"/>
      <c r="AG651" s="190"/>
      <c r="AH651" s="190"/>
      <c r="AI651" s="190"/>
      <c r="AJ651" s="190"/>
      <c r="AK651" s="190"/>
      <c r="AL651" s="190"/>
    </row>
    <row r="652" spans="2:38" ht="12.75" customHeight="1">
      <c r="B652" s="6"/>
      <c r="C652" s="6"/>
      <c r="D652" s="12"/>
      <c r="E652" s="12"/>
      <c r="F652" s="12"/>
      <c r="G652" s="12"/>
      <c r="H652" s="6"/>
      <c r="I652" s="190"/>
      <c r="J652" s="190"/>
      <c r="K652" s="190"/>
      <c r="L652" s="190"/>
      <c r="M652" s="190"/>
      <c r="N652" s="190"/>
      <c r="O652" s="190"/>
      <c r="P652" s="190"/>
      <c r="Q652" s="190"/>
      <c r="R652" s="190"/>
      <c r="S652" s="190"/>
      <c r="T652" s="190"/>
      <c r="U652" s="190"/>
      <c r="V652" s="190"/>
      <c r="W652" s="190"/>
      <c r="X652" s="190"/>
      <c r="Y652" s="190"/>
      <c r="Z652" s="190"/>
      <c r="AA652" s="190"/>
      <c r="AB652" s="190"/>
      <c r="AC652" s="190"/>
      <c r="AD652" s="190"/>
      <c r="AE652" s="190"/>
      <c r="AF652" s="190"/>
      <c r="AG652" s="190"/>
      <c r="AH652" s="190"/>
      <c r="AI652" s="190"/>
      <c r="AJ652" s="190"/>
      <c r="AK652" s="190"/>
      <c r="AL652" s="190"/>
    </row>
    <row r="653" spans="2:38" ht="12.75" customHeight="1">
      <c r="B653" s="6"/>
      <c r="C653" s="6"/>
      <c r="D653" s="12"/>
      <c r="E653" s="12"/>
      <c r="F653" s="12"/>
      <c r="G653" s="12"/>
      <c r="H653" s="6"/>
      <c r="I653" s="190"/>
      <c r="J653" s="190"/>
      <c r="K653" s="190"/>
      <c r="L653" s="190"/>
      <c r="M653" s="190"/>
      <c r="N653" s="190"/>
      <c r="O653" s="190"/>
      <c r="P653" s="190"/>
      <c r="Q653" s="190"/>
      <c r="R653" s="190"/>
      <c r="S653" s="190"/>
      <c r="T653" s="190"/>
      <c r="U653" s="190"/>
      <c r="V653" s="190"/>
      <c r="W653" s="190"/>
      <c r="X653" s="190"/>
      <c r="Y653" s="190"/>
      <c r="Z653" s="190"/>
      <c r="AA653" s="190"/>
      <c r="AB653" s="190"/>
      <c r="AC653" s="190"/>
      <c r="AD653" s="190"/>
      <c r="AE653" s="190"/>
      <c r="AF653" s="190"/>
      <c r="AG653" s="190"/>
      <c r="AH653" s="190"/>
      <c r="AI653" s="190"/>
      <c r="AJ653" s="190"/>
      <c r="AK653" s="190"/>
      <c r="AL653" s="190"/>
    </row>
    <row r="654" spans="2:38" ht="12.75" customHeight="1">
      <c r="B654" s="6"/>
      <c r="C654" s="6"/>
      <c r="D654" s="12"/>
      <c r="E654" s="12"/>
      <c r="F654" s="12"/>
      <c r="G654" s="12"/>
      <c r="H654" s="6"/>
      <c r="I654" s="190"/>
      <c r="J654" s="190"/>
      <c r="K654" s="190"/>
      <c r="L654" s="190"/>
      <c r="M654" s="190"/>
      <c r="N654" s="190"/>
      <c r="O654" s="190"/>
      <c r="P654" s="190"/>
      <c r="Q654" s="190"/>
      <c r="R654" s="190"/>
      <c r="S654" s="190"/>
      <c r="T654" s="190"/>
      <c r="U654" s="190"/>
      <c r="V654" s="190"/>
      <c r="W654" s="190"/>
      <c r="X654" s="190"/>
      <c r="Y654" s="190"/>
      <c r="Z654" s="190"/>
      <c r="AA654" s="190"/>
      <c r="AB654" s="190"/>
      <c r="AC654" s="190"/>
      <c r="AD654" s="190"/>
      <c r="AE654" s="190"/>
      <c r="AF654" s="190"/>
      <c r="AG654" s="190"/>
      <c r="AH654" s="190"/>
      <c r="AI654" s="190"/>
      <c r="AJ654" s="190"/>
      <c r="AK654" s="190"/>
      <c r="AL654" s="190"/>
    </row>
    <row r="655" spans="2:38" ht="12.75" customHeight="1">
      <c r="B655" s="6"/>
      <c r="C655" s="6"/>
      <c r="D655" s="12"/>
      <c r="E655" s="12"/>
      <c r="F655" s="12"/>
      <c r="G655" s="12"/>
      <c r="H655" s="6"/>
      <c r="I655" s="190"/>
      <c r="J655" s="190"/>
      <c r="K655" s="190"/>
      <c r="L655" s="190"/>
      <c r="M655" s="190"/>
      <c r="N655" s="190"/>
      <c r="O655" s="190"/>
      <c r="P655" s="190"/>
      <c r="Q655" s="190"/>
      <c r="R655" s="190"/>
      <c r="S655" s="190"/>
      <c r="T655" s="190"/>
      <c r="U655" s="190"/>
      <c r="V655" s="190"/>
      <c r="W655" s="190"/>
      <c r="X655" s="190"/>
      <c r="Y655" s="190"/>
      <c r="Z655" s="190"/>
      <c r="AA655" s="190"/>
      <c r="AB655" s="190"/>
      <c r="AC655" s="190"/>
      <c r="AD655" s="190"/>
      <c r="AE655" s="190"/>
      <c r="AF655" s="190"/>
      <c r="AG655" s="190"/>
      <c r="AH655" s="190"/>
      <c r="AI655" s="190"/>
      <c r="AJ655" s="190"/>
      <c r="AK655" s="190"/>
      <c r="AL655" s="190"/>
    </row>
    <row r="656" spans="2:38" ht="12.75" customHeight="1">
      <c r="B656" s="6"/>
      <c r="C656" s="6"/>
      <c r="D656" s="12"/>
      <c r="E656" s="12"/>
      <c r="F656" s="12"/>
      <c r="G656" s="12"/>
      <c r="H656" s="6"/>
      <c r="I656" s="190"/>
      <c r="J656" s="190"/>
      <c r="K656" s="190"/>
      <c r="L656" s="190"/>
      <c r="M656" s="190"/>
      <c r="N656" s="190"/>
      <c r="O656" s="190"/>
      <c r="P656" s="190"/>
      <c r="Q656" s="190"/>
      <c r="R656" s="190"/>
      <c r="S656" s="190"/>
      <c r="T656" s="190"/>
      <c r="U656" s="190"/>
      <c r="V656" s="190"/>
      <c r="W656" s="190"/>
      <c r="X656" s="190"/>
      <c r="Y656" s="190"/>
      <c r="Z656" s="190"/>
      <c r="AA656" s="190"/>
      <c r="AB656" s="190"/>
      <c r="AC656" s="190"/>
      <c r="AD656" s="190"/>
      <c r="AE656" s="190"/>
      <c r="AF656" s="190"/>
      <c r="AG656" s="190"/>
      <c r="AH656" s="190"/>
      <c r="AI656" s="190"/>
      <c r="AJ656" s="190"/>
      <c r="AK656" s="190"/>
      <c r="AL656" s="190"/>
    </row>
    <row r="657" spans="2:38" ht="12.75" customHeight="1">
      <c r="B657" s="6"/>
      <c r="C657" s="6"/>
      <c r="D657" s="12"/>
      <c r="E657" s="12"/>
      <c r="F657" s="12"/>
      <c r="G657" s="12"/>
      <c r="H657" s="6"/>
      <c r="I657" s="190"/>
      <c r="J657" s="190"/>
      <c r="K657" s="190"/>
      <c r="L657" s="190"/>
      <c r="M657" s="190"/>
      <c r="N657" s="190"/>
      <c r="O657" s="190"/>
      <c r="P657" s="190"/>
      <c r="Q657" s="190"/>
      <c r="R657" s="190"/>
      <c r="S657" s="190"/>
      <c r="T657" s="190"/>
      <c r="U657" s="190"/>
      <c r="V657" s="190"/>
      <c r="W657" s="190"/>
      <c r="X657" s="190"/>
      <c r="Y657" s="190"/>
      <c r="Z657" s="190"/>
      <c r="AA657" s="190"/>
      <c r="AB657" s="190"/>
      <c r="AC657" s="190"/>
      <c r="AD657" s="190"/>
      <c r="AE657" s="190"/>
      <c r="AF657" s="190"/>
      <c r="AG657" s="190"/>
      <c r="AH657" s="190"/>
      <c r="AI657" s="190"/>
      <c r="AJ657" s="190"/>
      <c r="AK657" s="190"/>
      <c r="AL657" s="190"/>
    </row>
    <row r="658" spans="2:38" ht="12.75" customHeight="1">
      <c r="B658" s="6"/>
      <c r="C658" s="6"/>
      <c r="D658" s="12"/>
      <c r="E658" s="12"/>
      <c r="F658" s="12"/>
      <c r="G658" s="12"/>
      <c r="H658" s="6"/>
      <c r="I658" s="190"/>
      <c r="J658" s="190"/>
      <c r="K658" s="190"/>
      <c r="L658" s="190"/>
      <c r="M658" s="190"/>
      <c r="N658" s="190"/>
      <c r="O658" s="190"/>
      <c r="P658" s="190"/>
      <c r="Q658" s="190"/>
      <c r="R658" s="190"/>
      <c r="S658" s="190"/>
      <c r="T658" s="190"/>
      <c r="U658" s="190"/>
      <c r="V658" s="190"/>
      <c r="W658" s="190"/>
      <c r="X658" s="190"/>
      <c r="Y658" s="190"/>
      <c r="Z658" s="190"/>
      <c r="AA658" s="190"/>
      <c r="AB658" s="190"/>
      <c r="AC658" s="190"/>
      <c r="AD658" s="190"/>
      <c r="AE658" s="190"/>
      <c r="AF658" s="190"/>
      <c r="AG658" s="190"/>
      <c r="AH658" s="190"/>
      <c r="AI658" s="190"/>
      <c r="AJ658" s="190"/>
      <c r="AK658" s="190"/>
      <c r="AL658" s="190"/>
    </row>
    <row r="659" spans="2:38" ht="12.75" customHeight="1">
      <c r="B659" s="6"/>
      <c r="C659" s="6"/>
      <c r="D659" s="12"/>
      <c r="E659" s="12"/>
      <c r="F659" s="12"/>
      <c r="G659" s="12"/>
      <c r="H659" s="6"/>
      <c r="I659" s="190"/>
      <c r="J659" s="190"/>
      <c r="K659" s="190"/>
      <c r="L659" s="190"/>
      <c r="M659" s="190"/>
      <c r="N659" s="190"/>
      <c r="O659" s="190"/>
      <c r="P659" s="190"/>
      <c r="Q659" s="190"/>
      <c r="R659" s="190"/>
      <c r="S659" s="190"/>
      <c r="T659" s="190"/>
      <c r="U659" s="190"/>
      <c r="V659" s="190"/>
      <c r="W659" s="190"/>
      <c r="X659" s="190"/>
      <c r="Y659" s="190"/>
      <c r="Z659" s="190"/>
      <c r="AA659" s="190"/>
      <c r="AB659" s="190"/>
      <c r="AC659" s="190"/>
      <c r="AD659" s="190"/>
      <c r="AE659" s="190"/>
      <c r="AF659" s="190"/>
      <c r="AG659" s="190"/>
      <c r="AH659" s="190"/>
      <c r="AI659" s="190"/>
      <c r="AJ659" s="190"/>
      <c r="AK659" s="190"/>
      <c r="AL659" s="190"/>
    </row>
    <row r="660" spans="2:38" ht="12.75" customHeight="1">
      <c r="B660" s="6"/>
      <c r="C660" s="6"/>
      <c r="D660" s="12"/>
      <c r="E660" s="12"/>
      <c r="F660" s="12"/>
      <c r="G660" s="12"/>
      <c r="H660" s="6"/>
      <c r="I660" s="190"/>
      <c r="J660" s="190"/>
      <c r="K660" s="190"/>
      <c r="L660" s="190"/>
      <c r="M660" s="190"/>
      <c r="N660" s="190"/>
      <c r="O660" s="190"/>
      <c r="P660" s="190"/>
      <c r="Q660" s="190"/>
      <c r="R660" s="190"/>
      <c r="S660" s="190"/>
      <c r="T660" s="190"/>
      <c r="U660" s="190"/>
      <c r="V660" s="190"/>
      <c r="W660" s="190"/>
      <c r="X660" s="190"/>
      <c r="Y660" s="190"/>
      <c r="Z660" s="190"/>
      <c r="AA660" s="190"/>
      <c r="AB660" s="190"/>
      <c r="AC660" s="190"/>
      <c r="AD660" s="190"/>
      <c r="AE660" s="190"/>
      <c r="AF660" s="190"/>
      <c r="AG660" s="190"/>
      <c r="AH660" s="190"/>
      <c r="AI660" s="190"/>
      <c r="AJ660" s="190"/>
      <c r="AK660" s="190"/>
      <c r="AL660" s="190"/>
    </row>
    <row r="661" spans="2:38" ht="12.75" customHeight="1">
      <c r="B661" s="6"/>
      <c r="C661" s="6"/>
      <c r="D661" s="12"/>
      <c r="E661" s="12"/>
      <c r="F661" s="12"/>
      <c r="G661" s="12"/>
      <c r="H661" s="6"/>
      <c r="I661" s="190"/>
      <c r="J661" s="190"/>
      <c r="K661" s="190"/>
      <c r="L661" s="190"/>
      <c r="M661" s="190"/>
      <c r="N661" s="190"/>
      <c r="O661" s="190"/>
      <c r="P661" s="190"/>
      <c r="Q661" s="190"/>
      <c r="R661" s="190"/>
      <c r="S661" s="190"/>
      <c r="T661" s="190"/>
      <c r="U661" s="190"/>
      <c r="V661" s="190"/>
      <c r="W661" s="190"/>
      <c r="X661" s="190"/>
      <c r="Y661" s="190"/>
      <c r="Z661" s="190"/>
      <c r="AA661" s="190"/>
      <c r="AB661" s="190"/>
      <c r="AC661" s="190"/>
      <c r="AD661" s="190"/>
      <c r="AE661" s="190"/>
      <c r="AF661" s="190"/>
      <c r="AG661" s="190"/>
      <c r="AH661" s="190"/>
      <c r="AI661" s="190"/>
      <c r="AJ661" s="190"/>
      <c r="AK661" s="190"/>
      <c r="AL661" s="190"/>
    </row>
    <row r="662" spans="2:38" ht="12.75" customHeight="1">
      <c r="B662" s="6"/>
      <c r="C662" s="6"/>
      <c r="D662" s="12"/>
      <c r="E662" s="12"/>
      <c r="F662" s="12"/>
      <c r="G662" s="12"/>
      <c r="H662" s="6"/>
      <c r="I662" s="190"/>
      <c r="J662" s="190"/>
      <c r="K662" s="190"/>
      <c r="L662" s="190"/>
      <c r="M662" s="190"/>
      <c r="N662" s="190"/>
      <c r="O662" s="190"/>
      <c r="P662" s="190"/>
      <c r="Q662" s="190"/>
      <c r="R662" s="190"/>
      <c r="S662" s="190"/>
      <c r="T662" s="190"/>
      <c r="U662" s="190"/>
      <c r="V662" s="190"/>
      <c r="W662" s="190"/>
      <c r="X662" s="190"/>
      <c r="Y662" s="190"/>
      <c r="Z662" s="190"/>
      <c r="AA662" s="190"/>
      <c r="AB662" s="190"/>
      <c r="AC662" s="190"/>
      <c r="AD662" s="190"/>
      <c r="AE662" s="190"/>
      <c r="AF662" s="190"/>
      <c r="AG662" s="190"/>
      <c r="AH662" s="190"/>
      <c r="AI662" s="190"/>
      <c r="AJ662" s="190"/>
      <c r="AK662" s="190"/>
      <c r="AL662" s="190"/>
    </row>
    <row r="663" spans="2:38" ht="12.75" customHeight="1">
      <c r="B663" s="6"/>
      <c r="C663" s="6"/>
      <c r="D663" s="12"/>
      <c r="E663" s="12"/>
      <c r="F663" s="12"/>
      <c r="G663" s="12"/>
      <c r="H663" s="6"/>
      <c r="I663" s="190"/>
      <c r="J663" s="190"/>
      <c r="K663" s="190"/>
      <c r="L663" s="190"/>
      <c r="M663" s="190"/>
      <c r="N663" s="190"/>
      <c r="O663" s="190"/>
      <c r="P663" s="190"/>
      <c r="Q663" s="190"/>
      <c r="R663" s="190"/>
      <c r="S663" s="190"/>
      <c r="T663" s="190"/>
      <c r="U663" s="190"/>
      <c r="V663" s="190"/>
      <c r="W663" s="190"/>
      <c r="X663" s="190"/>
      <c r="Y663" s="190"/>
      <c r="Z663" s="190"/>
      <c r="AA663" s="190"/>
      <c r="AB663" s="190"/>
      <c r="AC663" s="190"/>
      <c r="AD663" s="190"/>
      <c r="AE663" s="190"/>
      <c r="AF663" s="190"/>
      <c r="AG663" s="190"/>
      <c r="AH663" s="190"/>
      <c r="AI663" s="190"/>
      <c r="AJ663" s="190"/>
      <c r="AK663" s="190"/>
      <c r="AL663" s="190"/>
    </row>
    <row r="664" spans="2:38" ht="12.75" customHeight="1">
      <c r="B664" s="6"/>
      <c r="C664" s="6"/>
      <c r="D664" s="12"/>
      <c r="E664" s="12"/>
      <c r="F664" s="12"/>
      <c r="G664" s="12"/>
      <c r="H664" s="6"/>
      <c r="I664" s="190"/>
      <c r="J664" s="190"/>
      <c r="K664" s="190"/>
      <c r="L664" s="190"/>
      <c r="M664" s="190"/>
      <c r="N664" s="190"/>
      <c r="O664" s="190"/>
      <c r="P664" s="190"/>
      <c r="Q664" s="190"/>
      <c r="R664" s="190"/>
      <c r="S664" s="190"/>
      <c r="T664" s="190"/>
      <c r="U664" s="190"/>
      <c r="V664" s="190"/>
      <c r="W664" s="190"/>
      <c r="X664" s="190"/>
      <c r="Y664" s="190"/>
      <c r="Z664" s="190"/>
      <c r="AA664" s="190"/>
      <c r="AB664" s="190"/>
      <c r="AC664" s="190"/>
      <c r="AD664" s="190"/>
      <c r="AE664" s="190"/>
      <c r="AF664" s="190"/>
      <c r="AG664" s="190"/>
      <c r="AH664" s="190"/>
      <c r="AI664" s="190"/>
      <c r="AJ664" s="190"/>
      <c r="AK664" s="190"/>
      <c r="AL664" s="190"/>
    </row>
    <row r="665" spans="2:38" ht="12.75" customHeight="1">
      <c r="B665" s="6"/>
      <c r="C665" s="6"/>
      <c r="D665" s="12"/>
      <c r="E665" s="12"/>
      <c r="F665" s="12"/>
      <c r="G665" s="12"/>
      <c r="H665" s="6"/>
      <c r="I665" s="190"/>
      <c r="J665" s="190"/>
      <c r="K665" s="190"/>
      <c r="L665" s="190"/>
      <c r="M665" s="190"/>
      <c r="N665" s="190"/>
      <c r="O665" s="190"/>
      <c r="P665" s="190"/>
      <c r="Q665" s="190"/>
      <c r="R665" s="190"/>
      <c r="S665" s="190"/>
      <c r="T665" s="190"/>
      <c r="U665" s="190"/>
      <c r="V665" s="190"/>
      <c r="W665" s="190"/>
      <c r="X665" s="190"/>
      <c r="Y665" s="190"/>
      <c r="Z665" s="190"/>
      <c r="AA665" s="190"/>
      <c r="AB665" s="190"/>
      <c r="AC665" s="190"/>
      <c r="AD665" s="190"/>
      <c r="AE665" s="190"/>
      <c r="AF665" s="190"/>
      <c r="AG665" s="190"/>
      <c r="AH665" s="190"/>
      <c r="AI665" s="190"/>
      <c r="AJ665" s="190"/>
      <c r="AK665" s="190"/>
      <c r="AL665" s="190"/>
    </row>
    <row r="666" spans="2:38" ht="12.75" customHeight="1">
      <c r="B666" s="6"/>
      <c r="C666" s="6"/>
      <c r="D666" s="12"/>
      <c r="E666" s="12"/>
      <c r="F666" s="12"/>
      <c r="G666" s="12"/>
      <c r="H666" s="6"/>
      <c r="I666" s="190"/>
      <c r="J666" s="190"/>
      <c r="K666" s="190"/>
      <c r="L666" s="190"/>
      <c r="M666" s="190"/>
      <c r="N666" s="190"/>
      <c r="O666" s="190"/>
      <c r="P666" s="190"/>
      <c r="Q666" s="190"/>
      <c r="R666" s="190"/>
      <c r="S666" s="190"/>
      <c r="T666" s="190"/>
      <c r="U666" s="190"/>
      <c r="V666" s="190"/>
      <c r="W666" s="190"/>
      <c r="X666" s="190"/>
      <c r="Y666" s="190"/>
      <c r="Z666" s="190"/>
      <c r="AA666" s="190"/>
      <c r="AB666" s="190"/>
      <c r="AC666" s="190"/>
      <c r="AD666" s="190"/>
      <c r="AE666" s="190"/>
      <c r="AF666" s="190"/>
      <c r="AG666" s="190"/>
      <c r="AH666" s="190"/>
      <c r="AI666" s="190"/>
      <c r="AJ666" s="190"/>
      <c r="AK666" s="190"/>
      <c r="AL666" s="190"/>
    </row>
    <row r="667" spans="2:38" ht="12.75" customHeight="1">
      <c r="B667" s="6"/>
      <c r="C667" s="6"/>
      <c r="D667" s="12"/>
      <c r="E667" s="12"/>
      <c r="F667" s="12"/>
      <c r="G667" s="12"/>
      <c r="H667" s="6"/>
      <c r="I667" s="190"/>
      <c r="J667" s="190"/>
      <c r="K667" s="190"/>
      <c r="L667" s="190"/>
      <c r="M667" s="190"/>
      <c r="N667" s="190"/>
      <c r="O667" s="190"/>
      <c r="P667" s="190"/>
      <c r="Q667" s="190"/>
      <c r="R667" s="190"/>
      <c r="S667" s="190"/>
      <c r="T667" s="190"/>
      <c r="U667" s="190"/>
      <c r="V667" s="190"/>
      <c r="W667" s="190"/>
      <c r="X667" s="190"/>
      <c r="Y667" s="190"/>
      <c r="Z667" s="190"/>
      <c r="AA667" s="190"/>
      <c r="AB667" s="190"/>
      <c r="AC667" s="190"/>
      <c r="AD667" s="190"/>
      <c r="AE667" s="190"/>
      <c r="AF667" s="190"/>
      <c r="AG667" s="190"/>
      <c r="AH667" s="190"/>
      <c r="AI667" s="190"/>
      <c r="AJ667" s="190"/>
      <c r="AK667" s="190"/>
      <c r="AL667" s="190"/>
    </row>
    <row r="668" spans="2:38" ht="12.75" customHeight="1">
      <c r="B668" s="6"/>
      <c r="C668" s="6"/>
      <c r="D668" s="12"/>
      <c r="E668" s="12"/>
      <c r="F668" s="12"/>
      <c r="G668" s="12"/>
      <c r="H668" s="6"/>
      <c r="I668" s="190"/>
      <c r="J668" s="190"/>
      <c r="K668" s="190"/>
      <c r="L668" s="190"/>
      <c r="M668" s="190"/>
      <c r="N668" s="190"/>
      <c r="O668" s="190"/>
      <c r="P668" s="190"/>
      <c r="Q668" s="190"/>
      <c r="R668" s="190"/>
      <c r="S668" s="190"/>
      <c r="T668" s="190"/>
      <c r="U668" s="190"/>
      <c r="V668" s="190"/>
      <c r="W668" s="190"/>
      <c r="X668" s="190"/>
      <c r="Y668" s="190"/>
      <c r="Z668" s="190"/>
      <c r="AA668" s="190"/>
      <c r="AB668" s="190"/>
      <c r="AC668" s="190"/>
      <c r="AD668" s="190"/>
      <c r="AE668" s="190"/>
      <c r="AF668" s="190"/>
      <c r="AG668" s="190"/>
      <c r="AH668" s="190"/>
      <c r="AI668" s="190"/>
      <c r="AJ668" s="190"/>
      <c r="AK668" s="190"/>
      <c r="AL668" s="190"/>
    </row>
    <row r="669" spans="2:38" ht="12.75" customHeight="1">
      <c r="B669" s="6"/>
      <c r="C669" s="6"/>
      <c r="D669" s="12"/>
      <c r="E669" s="12"/>
      <c r="F669" s="12"/>
      <c r="G669" s="12"/>
      <c r="H669" s="6"/>
      <c r="I669" s="190"/>
      <c r="J669" s="190"/>
      <c r="K669" s="190"/>
      <c r="L669" s="190"/>
      <c r="M669" s="190"/>
      <c r="N669" s="190"/>
      <c r="O669" s="190"/>
      <c r="P669" s="190"/>
      <c r="Q669" s="190"/>
      <c r="R669" s="190"/>
      <c r="S669" s="190"/>
      <c r="T669" s="190"/>
      <c r="U669" s="190"/>
      <c r="V669" s="190"/>
      <c r="W669" s="190"/>
      <c r="X669" s="190"/>
      <c r="Y669" s="190"/>
      <c r="Z669" s="190"/>
      <c r="AA669" s="190"/>
      <c r="AB669" s="190"/>
      <c r="AC669" s="190"/>
      <c r="AD669" s="190"/>
      <c r="AE669" s="190"/>
      <c r="AF669" s="190"/>
      <c r="AG669" s="190"/>
      <c r="AH669" s="190"/>
      <c r="AI669" s="190"/>
      <c r="AJ669" s="190"/>
      <c r="AK669" s="190"/>
      <c r="AL669" s="190"/>
    </row>
    <row r="670" spans="2:38" ht="12.75" customHeight="1">
      <c r="B670" s="6"/>
      <c r="C670" s="6"/>
      <c r="D670" s="12"/>
      <c r="E670" s="12"/>
      <c r="F670" s="12"/>
      <c r="G670" s="12"/>
      <c r="H670" s="6"/>
      <c r="I670" s="190"/>
      <c r="J670" s="190"/>
      <c r="K670" s="190"/>
      <c r="L670" s="190"/>
      <c r="M670" s="190"/>
      <c r="N670" s="190"/>
      <c r="O670" s="190"/>
      <c r="P670" s="190"/>
      <c r="Q670" s="190"/>
      <c r="R670" s="190"/>
      <c r="S670" s="190"/>
      <c r="T670" s="190"/>
      <c r="U670" s="190"/>
      <c r="V670" s="190"/>
      <c r="W670" s="190"/>
      <c r="X670" s="190"/>
      <c r="Y670" s="190"/>
      <c r="Z670" s="190"/>
      <c r="AA670" s="190"/>
      <c r="AB670" s="190"/>
      <c r="AC670" s="190"/>
      <c r="AD670" s="190"/>
      <c r="AE670" s="190"/>
      <c r="AF670" s="190"/>
      <c r="AG670" s="190"/>
      <c r="AH670" s="190"/>
      <c r="AI670" s="190"/>
      <c r="AJ670" s="190"/>
      <c r="AK670" s="190"/>
      <c r="AL670" s="190"/>
    </row>
    <row r="671" spans="2:38" ht="12.75" customHeight="1">
      <c r="B671" s="6"/>
      <c r="C671" s="6"/>
      <c r="D671" s="12"/>
      <c r="E671" s="12"/>
      <c r="F671" s="12"/>
      <c r="G671" s="12"/>
      <c r="H671" s="6"/>
      <c r="I671" s="190"/>
      <c r="J671" s="190"/>
      <c r="K671" s="190"/>
      <c r="L671" s="190"/>
      <c r="M671" s="190"/>
      <c r="N671" s="190"/>
      <c r="O671" s="190"/>
      <c r="P671" s="190"/>
      <c r="Q671" s="190"/>
      <c r="R671" s="190"/>
      <c r="S671" s="190"/>
      <c r="T671" s="190"/>
      <c r="U671" s="190"/>
      <c r="V671" s="190"/>
      <c r="W671" s="190"/>
      <c r="X671" s="190"/>
      <c r="Y671" s="190"/>
      <c r="Z671" s="190"/>
      <c r="AA671" s="190"/>
      <c r="AB671" s="190"/>
      <c r="AC671" s="190"/>
      <c r="AD671" s="190"/>
      <c r="AE671" s="190"/>
      <c r="AF671" s="190"/>
      <c r="AG671" s="190"/>
      <c r="AH671" s="190"/>
      <c r="AI671" s="190"/>
      <c r="AJ671" s="190"/>
      <c r="AK671" s="190"/>
      <c r="AL671" s="190"/>
    </row>
    <row r="672" spans="2:38" ht="12.75" customHeight="1">
      <c r="B672" s="6"/>
      <c r="C672" s="6"/>
      <c r="D672" s="12"/>
      <c r="E672" s="12"/>
      <c r="F672" s="12"/>
      <c r="G672" s="12"/>
      <c r="H672" s="6"/>
      <c r="I672" s="190"/>
      <c r="J672" s="190"/>
      <c r="K672" s="190"/>
      <c r="L672" s="190"/>
      <c r="M672" s="190"/>
      <c r="N672" s="190"/>
      <c r="O672" s="190"/>
      <c r="P672" s="190"/>
      <c r="Q672" s="190"/>
      <c r="R672" s="190"/>
      <c r="S672" s="190"/>
      <c r="T672" s="190"/>
      <c r="U672" s="190"/>
      <c r="V672" s="190"/>
      <c r="W672" s="190"/>
      <c r="X672" s="190"/>
      <c r="Y672" s="190"/>
      <c r="Z672" s="190"/>
      <c r="AA672" s="190"/>
      <c r="AB672" s="190"/>
      <c r="AC672" s="190"/>
      <c r="AD672" s="190"/>
      <c r="AE672" s="190"/>
      <c r="AF672" s="190"/>
      <c r="AG672" s="190"/>
      <c r="AH672" s="190"/>
      <c r="AI672" s="190"/>
      <c r="AJ672" s="190"/>
      <c r="AK672" s="190"/>
      <c r="AL672" s="190"/>
    </row>
    <row r="673" spans="2:38" ht="12.75" customHeight="1">
      <c r="B673" s="6"/>
      <c r="C673" s="6"/>
      <c r="D673" s="12"/>
      <c r="E673" s="12"/>
      <c r="F673" s="12"/>
      <c r="G673" s="12"/>
      <c r="H673" s="6"/>
      <c r="I673" s="190"/>
      <c r="J673" s="190"/>
      <c r="K673" s="190"/>
      <c r="L673" s="190"/>
      <c r="M673" s="190"/>
      <c r="N673" s="190"/>
      <c r="O673" s="190"/>
      <c r="P673" s="190"/>
      <c r="Q673" s="190"/>
      <c r="R673" s="190"/>
      <c r="S673" s="190"/>
      <c r="T673" s="190"/>
      <c r="U673" s="190"/>
      <c r="V673" s="190"/>
      <c r="W673" s="190"/>
      <c r="X673" s="190"/>
      <c r="Y673" s="190"/>
      <c r="Z673" s="190"/>
      <c r="AA673" s="190"/>
      <c r="AB673" s="190"/>
      <c r="AC673" s="190"/>
      <c r="AD673" s="190"/>
      <c r="AE673" s="190"/>
      <c r="AF673" s="190"/>
      <c r="AG673" s="190"/>
      <c r="AH673" s="190"/>
      <c r="AI673" s="190"/>
      <c r="AJ673" s="190"/>
      <c r="AK673" s="190"/>
      <c r="AL673" s="190"/>
    </row>
    <row r="674" spans="2:38" ht="12.75" customHeight="1">
      <c r="B674" s="6"/>
      <c r="C674" s="6"/>
      <c r="D674" s="12"/>
      <c r="E674" s="12"/>
      <c r="F674" s="12"/>
      <c r="G674" s="12"/>
      <c r="H674" s="6"/>
      <c r="I674" s="190"/>
      <c r="J674" s="190"/>
      <c r="K674" s="190"/>
      <c r="L674" s="190"/>
      <c r="M674" s="190"/>
      <c r="N674" s="190"/>
      <c r="O674" s="190"/>
      <c r="P674" s="190"/>
      <c r="Q674" s="190"/>
      <c r="R674" s="190"/>
      <c r="S674" s="190"/>
      <c r="T674" s="190"/>
      <c r="U674" s="190"/>
      <c r="V674" s="190"/>
      <c r="W674" s="190"/>
      <c r="X674" s="190"/>
      <c r="Y674" s="190"/>
      <c r="Z674" s="190"/>
      <c r="AA674" s="190"/>
      <c r="AB674" s="190"/>
      <c r="AC674" s="190"/>
      <c r="AD674" s="190"/>
      <c r="AE674" s="190"/>
      <c r="AF674" s="190"/>
      <c r="AG674" s="190"/>
      <c r="AH674" s="190"/>
      <c r="AI674" s="190"/>
      <c r="AJ674" s="190"/>
      <c r="AK674" s="190"/>
      <c r="AL674" s="190"/>
    </row>
    <row r="675" spans="2:38" ht="12.75" customHeight="1">
      <c r="B675" s="6"/>
      <c r="C675" s="6"/>
      <c r="D675" s="12"/>
      <c r="E675" s="12"/>
      <c r="F675" s="12"/>
      <c r="G675" s="12"/>
      <c r="H675" s="6"/>
      <c r="I675" s="190"/>
      <c r="J675" s="190"/>
      <c r="K675" s="190"/>
      <c r="L675" s="190"/>
      <c r="M675" s="190"/>
      <c r="N675" s="190"/>
      <c r="O675" s="190"/>
      <c r="P675" s="190"/>
      <c r="Q675" s="190"/>
      <c r="R675" s="190"/>
      <c r="S675" s="190"/>
      <c r="T675" s="190"/>
      <c r="U675" s="190"/>
      <c r="V675" s="190"/>
      <c r="W675" s="190"/>
      <c r="X675" s="190"/>
      <c r="Y675" s="190"/>
      <c r="Z675" s="190"/>
      <c r="AA675" s="190"/>
      <c r="AB675" s="190"/>
      <c r="AC675" s="190"/>
      <c r="AD675" s="190"/>
      <c r="AE675" s="190"/>
      <c r="AF675" s="190"/>
      <c r="AG675" s="190"/>
      <c r="AH675" s="190"/>
      <c r="AI675" s="190"/>
      <c r="AJ675" s="190"/>
      <c r="AK675" s="190"/>
      <c r="AL675" s="190"/>
    </row>
    <row r="676" spans="2:38" ht="12.75" customHeight="1">
      <c r="B676" s="6"/>
      <c r="C676" s="6"/>
      <c r="D676" s="12"/>
      <c r="E676" s="12"/>
      <c r="F676" s="12"/>
      <c r="G676" s="12"/>
      <c r="H676" s="6"/>
      <c r="I676" s="190"/>
      <c r="J676" s="190"/>
      <c r="K676" s="190"/>
      <c r="L676" s="190"/>
      <c r="M676" s="190"/>
      <c r="N676" s="190"/>
      <c r="O676" s="190"/>
      <c r="P676" s="190"/>
      <c r="Q676" s="190"/>
      <c r="R676" s="190"/>
      <c r="S676" s="190"/>
      <c r="T676" s="190"/>
      <c r="U676" s="190"/>
      <c r="V676" s="190"/>
      <c r="W676" s="190"/>
      <c r="X676" s="190"/>
      <c r="Y676" s="190"/>
      <c r="Z676" s="190"/>
      <c r="AA676" s="190"/>
      <c r="AB676" s="190"/>
      <c r="AC676" s="190"/>
      <c r="AD676" s="190"/>
      <c r="AE676" s="190"/>
      <c r="AF676" s="190"/>
      <c r="AG676" s="190"/>
      <c r="AH676" s="190"/>
      <c r="AI676" s="190"/>
      <c r="AJ676" s="190"/>
      <c r="AK676" s="190"/>
      <c r="AL676" s="190"/>
    </row>
    <row r="677" spans="2:38" ht="12.75" customHeight="1">
      <c r="B677" s="6"/>
      <c r="C677" s="6"/>
      <c r="D677" s="12"/>
      <c r="E677" s="12"/>
      <c r="F677" s="12"/>
      <c r="G677" s="12"/>
      <c r="H677" s="6"/>
      <c r="I677" s="190"/>
      <c r="J677" s="190"/>
      <c r="K677" s="190"/>
      <c r="L677" s="190"/>
      <c r="M677" s="190"/>
      <c r="N677" s="190"/>
      <c r="O677" s="190"/>
      <c r="P677" s="190"/>
      <c r="Q677" s="190"/>
      <c r="R677" s="190"/>
      <c r="S677" s="190"/>
      <c r="T677" s="190"/>
      <c r="U677" s="190"/>
      <c r="V677" s="190"/>
      <c r="W677" s="190"/>
      <c r="X677" s="190"/>
      <c r="Y677" s="190"/>
      <c r="Z677" s="190"/>
      <c r="AA677" s="190"/>
      <c r="AB677" s="190"/>
      <c r="AC677" s="190"/>
      <c r="AD677" s="190"/>
      <c r="AE677" s="190"/>
      <c r="AF677" s="190"/>
      <c r="AG677" s="190"/>
      <c r="AH677" s="190"/>
      <c r="AI677" s="190"/>
      <c r="AJ677" s="190"/>
      <c r="AK677" s="190"/>
      <c r="AL677" s="190"/>
    </row>
    <row r="678" spans="2:38" ht="12.75" customHeight="1">
      <c r="B678" s="6"/>
      <c r="C678" s="6"/>
      <c r="D678" s="12"/>
      <c r="E678" s="12"/>
      <c r="F678" s="12"/>
      <c r="G678" s="12"/>
      <c r="H678" s="6"/>
      <c r="I678" s="190"/>
      <c r="J678" s="190"/>
      <c r="K678" s="190"/>
      <c r="L678" s="190"/>
      <c r="M678" s="190"/>
      <c r="N678" s="190"/>
      <c r="O678" s="190"/>
      <c r="P678" s="190"/>
      <c r="Q678" s="190"/>
      <c r="R678" s="190"/>
      <c r="S678" s="190"/>
      <c r="T678" s="190"/>
      <c r="U678" s="190"/>
      <c r="V678" s="190"/>
      <c r="W678" s="190"/>
      <c r="X678" s="190"/>
      <c r="Y678" s="190"/>
      <c r="Z678" s="190"/>
      <c r="AA678" s="190"/>
      <c r="AB678" s="190"/>
      <c r="AC678" s="190"/>
      <c r="AD678" s="190"/>
      <c r="AE678" s="190"/>
      <c r="AF678" s="190"/>
      <c r="AG678" s="190"/>
      <c r="AH678" s="190"/>
      <c r="AI678" s="190"/>
      <c r="AJ678" s="190"/>
      <c r="AK678" s="190"/>
      <c r="AL678" s="190"/>
    </row>
    <row r="679" spans="2:38" ht="12.75" customHeight="1">
      <c r="B679" s="6"/>
      <c r="C679" s="6"/>
      <c r="D679" s="12"/>
      <c r="E679" s="12"/>
      <c r="F679" s="12"/>
      <c r="G679" s="12"/>
      <c r="H679" s="6"/>
      <c r="I679" s="190"/>
      <c r="J679" s="190"/>
      <c r="K679" s="190"/>
      <c r="L679" s="190"/>
      <c r="M679" s="190"/>
      <c r="N679" s="190"/>
      <c r="O679" s="190"/>
      <c r="P679" s="190"/>
      <c r="Q679" s="190"/>
      <c r="R679" s="190"/>
      <c r="S679" s="190"/>
      <c r="T679" s="190"/>
      <c r="U679" s="190"/>
      <c r="V679" s="190"/>
      <c r="W679" s="190"/>
      <c r="X679" s="190"/>
      <c r="Y679" s="190"/>
      <c r="Z679" s="190"/>
      <c r="AA679" s="190"/>
      <c r="AB679" s="190"/>
      <c r="AC679" s="190"/>
      <c r="AD679" s="190"/>
      <c r="AE679" s="190"/>
      <c r="AF679" s="190"/>
      <c r="AG679" s="190"/>
      <c r="AH679" s="190"/>
      <c r="AI679" s="190"/>
      <c r="AJ679" s="190"/>
      <c r="AK679" s="190"/>
      <c r="AL679" s="190"/>
    </row>
    <row r="680" spans="2:38" ht="12.75" customHeight="1">
      <c r="B680" s="6"/>
      <c r="C680" s="6"/>
      <c r="D680" s="12"/>
      <c r="E680" s="12"/>
      <c r="F680" s="12"/>
      <c r="G680" s="12"/>
      <c r="H680" s="6"/>
      <c r="I680" s="190"/>
      <c r="J680" s="190"/>
      <c r="K680" s="190"/>
      <c r="L680" s="190"/>
      <c r="M680" s="190"/>
      <c r="N680" s="190"/>
      <c r="O680" s="190"/>
      <c r="P680" s="190"/>
      <c r="Q680" s="190"/>
      <c r="R680" s="190"/>
      <c r="S680" s="190"/>
      <c r="T680" s="190"/>
      <c r="U680" s="190"/>
      <c r="V680" s="190"/>
      <c r="W680" s="190"/>
      <c r="X680" s="190"/>
      <c r="Y680" s="190"/>
      <c r="Z680" s="190"/>
      <c r="AA680" s="190"/>
      <c r="AB680" s="190"/>
      <c r="AC680" s="190"/>
      <c r="AD680" s="190"/>
      <c r="AE680" s="190"/>
      <c r="AF680" s="190"/>
      <c r="AG680" s="190"/>
      <c r="AH680" s="190"/>
      <c r="AI680" s="190"/>
      <c r="AJ680" s="190"/>
      <c r="AK680" s="190"/>
      <c r="AL680" s="190"/>
    </row>
    <row r="681" spans="2:38" ht="12.75" customHeight="1">
      <c r="B681" s="6"/>
      <c r="C681" s="6"/>
      <c r="D681" s="12"/>
      <c r="E681" s="12"/>
      <c r="F681" s="12"/>
      <c r="G681" s="12"/>
      <c r="H681" s="6"/>
      <c r="I681" s="190"/>
      <c r="J681" s="190"/>
      <c r="K681" s="190"/>
      <c r="L681" s="190"/>
      <c r="M681" s="190"/>
      <c r="N681" s="190"/>
      <c r="O681" s="190"/>
      <c r="P681" s="190"/>
      <c r="Q681" s="190"/>
      <c r="R681" s="190"/>
      <c r="S681" s="190"/>
      <c r="T681" s="190"/>
      <c r="U681" s="190"/>
      <c r="V681" s="190"/>
      <c r="W681" s="190"/>
      <c r="X681" s="190"/>
      <c r="Y681" s="190"/>
      <c r="Z681" s="190"/>
      <c r="AA681" s="190"/>
      <c r="AB681" s="190"/>
      <c r="AC681" s="190"/>
      <c r="AD681" s="190"/>
      <c r="AE681" s="190"/>
      <c r="AF681" s="190"/>
      <c r="AG681" s="190"/>
      <c r="AH681" s="190"/>
      <c r="AI681" s="190"/>
      <c r="AJ681" s="190"/>
      <c r="AK681" s="190"/>
      <c r="AL681" s="190"/>
    </row>
    <row r="682" spans="2:38" ht="12.75" customHeight="1">
      <c r="B682" s="6"/>
      <c r="C682" s="6"/>
      <c r="D682" s="12"/>
      <c r="E682" s="12"/>
      <c r="F682" s="12"/>
      <c r="G682" s="12"/>
      <c r="H682" s="6"/>
      <c r="I682" s="190"/>
      <c r="J682" s="190"/>
      <c r="K682" s="190"/>
      <c r="L682" s="190"/>
      <c r="M682" s="190"/>
      <c r="N682" s="190"/>
      <c r="O682" s="190"/>
      <c r="P682" s="190"/>
      <c r="Q682" s="190"/>
      <c r="R682" s="190"/>
      <c r="S682" s="190"/>
      <c r="T682" s="190"/>
      <c r="U682" s="190"/>
      <c r="V682" s="190"/>
      <c r="W682" s="190"/>
      <c r="X682" s="190"/>
      <c r="Y682" s="190"/>
      <c r="Z682" s="190"/>
      <c r="AA682" s="190"/>
      <c r="AB682" s="190"/>
      <c r="AC682" s="190"/>
      <c r="AD682" s="190"/>
      <c r="AE682" s="190"/>
      <c r="AF682" s="190"/>
      <c r="AG682" s="190"/>
      <c r="AH682" s="190"/>
      <c r="AI682" s="190"/>
      <c r="AJ682" s="190"/>
      <c r="AK682" s="190"/>
      <c r="AL682" s="190"/>
    </row>
    <row r="683" spans="2:38" ht="12.75" customHeight="1">
      <c r="B683" s="6"/>
      <c r="C683" s="6"/>
      <c r="D683" s="12"/>
      <c r="E683" s="12"/>
      <c r="F683" s="12"/>
      <c r="G683" s="12"/>
      <c r="H683" s="6"/>
      <c r="I683" s="190"/>
      <c r="J683" s="190"/>
      <c r="K683" s="190"/>
      <c r="L683" s="190"/>
      <c r="M683" s="190"/>
      <c r="N683" s="190"/>
      <c r="O683" s="190"/>
      <c r="P683" s="190"/>
      <c r="Q683" s="190"/>
      <c r="R683" s="190"/>
      <c r="S683" s="190"/>
      <c r="T683" s="190"/>
      <c r="U683" s="190"/>
      <c r="V683" s="190"/>
      <c r="W683" s="190"/>
      <c r="X683" s="190"/>
      <c r="Y683" s="190"/>
      <c r="Z683" s="190"/>
      <c r="AA683" s="190"/>
      <c r="AB683" s="190"/>
      <c r="AC683" s="190"/>
      <c r="AD683" s="190"/>
      <c r="AE683" s="190"/>
      <c r="AF683" s="190"/>
      <c r="AG683" s="190"/>
      <c r="AH683" s="190"/>
      <c r="AI683" s="190"/>
      <c r="AJ683" s="190"/>
      <c r="AK683" s="190"/>
      <c r="AL683" s="190"/>
    </row>
    <row r="684" spans="2:38" ht="12.75" customHeight="1">
      <c r="B684" s="6"/>
      <c r="C684" s="6"/>
      <c r="D684" s="12"/>
      <c r="E684" s="12"/>
      <c r="F684" s="12"/>
      <c r="G684" s="12"/>
      <c r="H684" s="6"/>
      <c r="I684" s="190"/>
      <c r="J684" s="190"/>
      <c r="K684" s="190"/>
      <c r="L684" s="190"/>
      <c r="M684" s="190"/>
      <c r="N684" s="190"/>
      <c r="O684" s="190"/>
      <c r="P684" s="190"/>
      <c r="Q684" s="190"/>
      <c r="R684" s="190"/>
      <c r="S684" s="190"/>
      <c r="T684" s="190"/>
      <c r="U684" s="190"/>
      <c r="V684" s="190"/>
      <c r="W684" s="190"/>
      <c r="X684" s="190"/>
      <c r="Y684" s="190"/>
      <c r="Z684" s="190"/>
      <c r="AA684" s="190"/>
      <c r="AB684" s="190"/>
      <c r="AC684" s="190"/>
      <c r="AD684" s="190"/>
      <c r="AE684" s="190"/>
      <c r="AF684" s="190"/>
      <c r="AG684" s="190"/>
      <c r="AH684" s="190"/>
      <c r="AI684" s="190"/>
      <c r="AJ684" s="190"/>
      <c r="AK684" s="190"/>
      <c r="AL684" s="190"/>
    </row>
    <row r="685" spans="2:38" ht="12.75" customHeight="1">
      <c r="B685" s="6"/>
      <c r="C685" s="6"/>
      <c r="D685" s="12"/>
      <c r="E685" s="12"/>
      <c r="F685" s="12"/>
      <c r="G685" s="12"/>
      <c r="H685" s="6"/>
      <c r="I685" s="190"/>
      <c r="J685" s="190"/>
      <c r="K685" s="190"/>
      <c r="L685" s="190"/>
      <c r="M685" s="190"/>
      <c r="N685" s="190"/>
      <c r="O685" s="190"/>
      <c r="P685" s="190"/>
      <c r="Q685" s="190"/>
      <c r="R685" s="190"/>
      <c r="S685" s="190"/>
      <c r="T685" s="190"/>
      <c r="U685" s="190"/>
      <c r="V685" s="190"/>
      <c r="W685" s="190"/>
      <c r="X685" s="190"/>
      <c r="Y685" s="190"/>
      <c r="Z685" s="190"/>
      <c r="AA685" s="190"/>
      <c r="AB685" s="190"/>
      <c r="AC685" s="190"/>
      <c r="AD685" s="190"/>
      <c r="AE685" s="190"/>
      <c r="AF685" s="190"/>
      <c r="AG685" s="190"/>
      <c r="AH685" s="190"/>
      <c r="AI685" s="190"/>
      <c r="AJ685" s="190"/>
      <c r="AK685" s="190"/>
      <c r="AL685" s="190"/>
    </row>
    <row r="686" spans="2:38" ht="12.75" customHeight="1">
      <c r="B686" s="6"/>
      <c r="C686" s="6"/>
      <c r="D686" s="12"/>
      <c r="E686" s="12"/>
      <c r="F686" s="12"/>
      <c r="G686" s="12"/>
      <c r="H686" s="6"/>
      <c r="I686" s="190"/>
      <c r="J686" s="190"/>
      <c r="K686" s="190"/>
      <c r="L686" s="190"/>
      <c r="M686" s="190"/>
      <c r="N686" s="190"/>
      <c r="O686" s="190"/>
      <c r="P686" s="190"/>
      <c r="Q686" s="190"/>
      <c r="R686" s="190"/>
      <c r="S686" s="190"/>
      <c r="T686" s="190"/>
      <c r="U686" s="190"/>
      <c r="V686" s="190"/>
      <c r="W686" s="190"/>
      <c r="X686" s="190"/>
      <c r="Y686" s="190"/>
      <c r="Z686" s="190"/>
      <c r="AA686" s="190"/>
      <c r="AB686" s="190"/>
      <c r="AC686" s="190"/>
      <c r="AD686" s="190"/>
      <c r="AE686" s="190"/>
      <c r="AF686" s="190"/>
      <c r="AG686" s="190"/>
      <c r="AH686" s="190"/>
      <c r="AI686" s="190"/>
      <c r="AJ686" s="190"/>
      <c r="AK686" s="190"/>
      <c r="AL686" s="190"/>
    </row>
    <row r="687" spans="2:38" ht="12.75" customHeight="1">
      <c r="B687" s="6"/>
      <c r="C687" s="6"/>
      <c r="D687" s="12"/>
      <c r="E687" s="12"/>
      <c r="F687" s="12"/>
      <c r="G687" s="12"/>
      <c r="H687" s="6"/>
      <c r="I687" s="190"/>
      <c r="J687" s="190"/>
      <c r="K687" s="190"/>
      <c r="L687" s="190"/>
      <c r="M687" s="190"/>
      <c r="N687" s="190"/>
      <c r="O687" s="190"/>
      <c r="P687" s="190"/>
      <c r="Q687" s="190"/>
      <c r="R687" s="190"/>
      <c r="S687" s="190"/>
      <c r="T687" s="190"/>
      <c r="U687" s="190"/>
      <c r="V687" s="190"/>
      <c r="W687" s="190"/>
      <c r="X687" s="190"/>
      <c r="Y687" s="190"/>
      <c r="Z687" s="190"/>
      <c r="AA687" s="190"/>
      <c r="AB687" s="190"/>
      <c r="AC687" s="190"/>
      <c r="AD687" s="190"/>
      <c r="AE687" s="190"/>
      <c r="AF687" s="190"/>
      <c r="AG687" s="190"/>
      <c r="AH687" s="190"/>
      <c r="AI687" s="190"/>
      <c r="AJ687" s="190"/>
      <c r="AK687" s="190"/>
      <c r="AL687" s="190"/>
    </row>
    <row r="688" spans="2:38" ht="12.75" customHeight="1">
      <c r="B688" s="6"/>
      <c r="C688" s="6"/>
      <c r="D688" s="12"/>
      <c r="E688" s="12"/>
      <c r="F688" s="12"/>
      <c r="G688" s="12"/>
      <c r="H688" s="6"/>
      <c r="I688" s="190"/>
      <c r="J688" s="190"/>
      <c r="K688" s="190"/>
      <c r="L688" s="190"/>
      <c r="M688" s="190"/>
      <c r="N688" s="190"/>
      <c r="O688" s="190"/>
      <c r="P688" s="190"/>
      <c r="Q688" s="190"/>
      <c r="R688" s="190"/>
      <c r="S688" s="190"/>
      <c r="T688" s="190"/>
      <c r="U688" s="190"/>
      <c r="V688" s="190"/>
      <c r="W688" s="190"/>
      <c r="X688" s="190"/>
      <c r="Y688" s="190"/>
      <c r="Z688" s="190"/>
      <c r="AA688" s="190"/>
      <c r="AB688" s="190"/>
      <c r="AC688" s="190"/>
      <c r="AD688" s="190"/>
      <c r="AE688" s="190"/>
      <c r="AF688" s="190"/>
      <c r="AG688" s="190"/>
      <c r="AH688" s="190"/>
      <c r="AI688" s="190"/>
      <c r="AJ688" s="190"/>
      <c r="AK688" s="190"/>
      <c r="AL688" s="190"/>
    </row>
    <row r="689" spans="2:38" ht="12.75" customHeight="1">
      <c r="B689" s="6"/>
      <c r="C689" s="6"/>
      <c r="D689" s="12"/>
      <c r="E689" s="12"/>
      <c r="F689" s="12"/>
      <c r="G689" s="12"/>
      <c r="H689" s="6"/>
      <c r="I689" s="190"/>
      <c r="J689" s="190"/>
      <c r="K689" s="190"/>
      <c r="L689" s="190"/>
      <c r="M689" s="190"/>
      <c r="N689" s="190"/>
      <c r="O689" s="190"/>
      <c r="P689" s="190"/>
      <c r="Q689" s="190"/>
      <c r="R689" s="190"/>
      <c r="S689" s="190"/>
      <c r="T689" s="190"/>
      <c r="U689" s="190"/>
      <c r="V689" s="190"/>
      <c r="W689" s="190"/>
      <c r="X689" s="190"/>
      <c r="Y689" s="190"/>
      <c r="Z689" s="190"/>
      <c r="AA689" s="190"/>
      <c r="AB689" s="190"/>
      <c r="AC689" s="190"/>
      <c r="AD689" s="190"/>
      <c r="AE689" s="190"/>
      <c r="AF689" s="190"/>
      <c r="AG689" s="190"/>
      <c r="AH689" s="190"/>
      <c r="AI689" s="190"/>
      <c r="AJ689" s="190"/>
      <c r="AK689" s="190"/>
      <c r="AL689" s="190"/>
    </row>
    <row r="690" spans="2:38" ht="12.75" customHeight="1">
      <c r="B690" s="6"/>
      <c r="C690" s="6"/>
      <c r="D690" s="12"/>
      <c r="E690" s="12"/>
      <c r="F690" s="12"/>
      <c r="G690" s="12"/>
      <c r="H690" s="6"/>
      <c r="I690" s="190"/>
      <c r="J690" s="190"/>
      <c r="K690" s="190"/>
      <c r="L690" s="190"/>
      <c r="M690" s="190"/>
      <c r="N690" s="190"/>
      <c r="O690" s="190"/>
      <c r="P690" s="190"/>
      <c r="Q690" s="190"/>
      <c r="R690" s="190"/>
      <c r="S690" s="190"/>
      <c r="T690" s="190"/>
      <c r="U690" s="190"/>
      <c r="V690" s="190"/>
      <c r="W690" s="190"/>
      <c r="X690" s="190"/>
      <c r="Y690" s="190"/>
      <c r="Z690" s="190"/>
      <c r="AA690" s="190"/>
      <c r="AB690" s="190"/>
      <c r="AC690" s="190"/>
      <c r="AD690" s="190"/>
      <c r="AE690" s="190"/>
      <c r="AF690" s="190"/>
      <c r="AG690" s="190"/>
      <c r="AH690" s="190"/>
      <c r="AI690" s="190"/>
      <c r="AJ690" s="190"/>
      <c r="AK690" s="190"/>
      <c r="AL690" s="190"/>
    </row>
    <row r="691" spans="2:38" ht="12.75" customHeight="1">
      <c r="B691" s="6"/>
      <c r="C691" s="6"/>
      <c r="D691" s="12"/>
      <c r="E691" s="12"/>
      <c r="F691" s="12"/>
      <c r="G691" s="12"/>
      <c r="H691" s="6"/>
      <c r="I691" s="190"/>
      <c r="J691" s="190"/>
      <c r="K691" s="190"/>
      <c r="L691" s="190"/>
      <c r="M691" s="190"/>
      <c r="N691" s="190"/>
      <c r="O691" s="190"/>
      <c r="P691" s="190"/>
      <c r="Q691" s="190"/>
      <c r="R691" s="190"/>
      <c r="S691" s="190"/>
      <c r="T691" s="190"/>
      <c r="U691" s="190"/>
      <c r="V691" s="190"/>
      <c r="W691" s="190"/>
      <c r="X691" s="190"/>
      <c r="Y691" s="190"/>
      <c r="Z691" s="190"/>
      <c r="AA691" s="190"/>
      <c r="AB691" s="190"/>
      <c r="AC691" s="190"/>
      <c r="AD691" s="190"/>
      <c r="AE691" s="190"/>
      <c r="AF691" s="190"/>
      <c r="AG691" s="190"/>
      <c r="AH691" s="190"/>
      <c r="AI691" s="190"/>
      <c r="AJ691" s="190"/>
      <c r="AK691" s="190"/>
      <c r="AL691" s="190"/>
    </row>
    <row r="692" spans="2:38" ht="12.75" customHeight="1">
      <c r="B692" s="6"/>
      <c r="C692" s="6"/>
      <c r="D692" s="12"/>
      <c r="E692" s="12"/>
      <c r="F692" s="12"/>
      <c r="G692" s="12"/>
      <c r="H692" s="6"/>
      <c r="I692" s="190"/>
      <c r="J692" s="190"/>
      <c r="K692" s="190"/>
      <c r="L692" s="190"/>
      <c r="M692" s="190"/>
      <c r="N692" s="190"/>
      <c r="O692" s="190"/>
      <c r="P692" s="190"/>
      <c r="Q692" s="190"/>
      <c r="R692" s="190"/>
      <c r="S692" s="190"/>
      <c r="T692" s="190"/>
      <c r="U692" s="190"/>
      <c r="V692" s="190"/>
      <c r="W692" s="190"/>
      <c r="X692" s="190"/>
      <c r="Y692" s="190"/>
      <c r="Z692" s="190"/>
      <c r="AA692" s="190"/>
      <c r="AB692" s="190"/>
      <c r="AC692" s="190"/>
      <c r="AD692" s="190"/>
      <c r="AE692" s="190"/>
      <c r="AF692" s="190"/>
      <c r="AG692" s="190"/>
      <c r="AH692" s="190"/>
      <c r="AI692" s="190"/>
      <c r="AJ692" s="190"/>
      <c r="AK692" s="190"/>
      <c r="AL692" s="190"/>
    </row>
    <row r="693" spans="2:38" ht="12.75" customHeight="1">
      <c r="B693" s="6"/>
      <c r="C693" s="6"/>
      <c r="D693" s="12"/>
      <c r="E693" s="12"/>
      <c r="F693" s="12"/>
      <c r="G693" s="12"/>
      <c r="H693" s="6"/>
      <c r="I693" s="190"/>
      <c r="J693" s="190"/>
      <c r="K693" s="190"/>
      <c r="L693" s="190"/>
      <c r="M693" s="190"/>
      <c r="N693" s="190"/>
      <c r="O693" s="190"/>
      <c r="P693" s="190"/>
      <c r="Q693" s="190"/>
      <c r="R693" s="190"/>
      <c r="S693" s="190"/>
      <c r="T693" s="190"/>
      <c r="U693" s="190"/>
      <c r="V693" s="190"/>
      <c r="W693" s="190"/>
      <c r="X693" s="190"/>
      <c r="Y693" s="190"/>
      <c r="Z693" s="190"/>
      <c r="AA693" s="190"/>
      <c r="AB693" s="190"/>
      <c r="AC693" s="190"/>
      <c r="AD693" s="190"/>
      <c r="AE693" s="190"/>
      <c r="AF693" s="190"/>
      <c r="AG693" s="190"/>
      <c r="AH693" s="190"/>
      <c r="AI693" s="190"/>
      <c r="AJ693" s="190"/>
      <c r="AK693" s="190"/>
      <c r="AL693" s="190"/>
    </row>
    <row r="694" spans="2:38" ht="12.75" customHeight="1">
      <c r="B694" s="6"/>
      <c r="C694" s="6"/>
      <c r="D694" s="12"/>
      <c r="E694" s="12"/>
      <c r="F694" s="12"/>
      <c r="G694" s="12"/>
      <c r="H694" s="6"/>
      <c r="I694" s="190"/>
      <c r="J694" s="190"/>
      <c r="K694" s="190"/>
      <c r="L694" s="190"/>
      <c r="M694" s="190"/>
      <c r="N694" s="190"/>
      <c r="O694" s="190"/>
      <c r="P694" s="190"/>
      <c r="Q694" s="190"/>
      <c r="R694" s="190"/>
      <c r="S694" s="190"/>
      <c r="T694" s="190"/>
      <c r="U694" s="190"/>
      <c r="V694" s="190"/>
      <c r="W694" s="190"/>
      <c r="X694" s="190"/>
      <c r="Y694" s="190"/>
      <c r="Z694" s="190"/>
      <c r="AA694" s="190"/>
      <c r="AB694" s="190"/>
      <c r="AC694" s="190"/>
      <c r="AD694" s="190"/>
      <c r="AE694" s="190"/>
      <c r="AF694" s="190"/>
      <c r="AG694" s="190"/>
      <c r="AH694" s="190"/>
      <c r="AI694" s="190"/>
      <c r="AJ694" s="190"/>
      <c r="AK694" s="190"/>
      <c r="AL694" s="190"/>
    </row>
    <row r="695" spans="2:38" ht="12.75" customHeight="1">
      <c r="B695" s="6"/>
      <c r="C695" s="6"/>
      <c r="D695" s="12"/>
      <c r="E695" s="12"/>
      <c r="F695" s="12"/>
      <c r="G695" s="12"/>
      <c r="H695" s="6"/>
      <c r="I695" s="190"/>
      <c r="J695" s="190"/>
      <c r="K695" s="190"/>
      <c r="L695" s="190"/>
      <c r="M695" s="190"/>
      <c r="N695" s="190"/>
      <c r="O695" s="190"/>
      <c r="P695" s="190"/>
      <c r="Q695" s="190"/>
      <c r="R695" s="190"/>
      <c r="S695" s="190"/>
      <c r="T695" s="190"/>
      <c r="U695" s="190"/>
      <c r="V695" s="190"/>
      <c r="W695" s="190"/>
      <c r="X695" s="190"/>
      <c r="Y695" s="190"/>
      <c r="Z695" s="190"/>
      <c r="AA695" s="190"/>
      <c r="AB695" s="190"/>
      <c r="AC695" s="190"/>
      <c r="AD695" s="190"/>
      <c r="AE695" s="190"/>
      <c r="AF695" s="190"/>
      <c r="AG695" s="190"/>
      <c r="AH695" s="190"/>
      <c r="AI695" s="190"/>
      <c r="AJ695" s="190"/>
      <c r="AK695" s="190"/>
      <c r="AL695" s="190"/>
    </row>
    <row r="696" spans="2:38" ht="12.75" customHeight="1">
      <c r="B696" s="6"/>
      <c r="C696" s="6"/>
      <c r="D696" s="12"/>
      <c r="E696" s="12"/>
      <c r="F696" s="12"/>
      <c r="G696" s="12"/>
      <c r="H696" s="6"/>
      <c r="I696" s="190"/>
      <c r="J696" s="190"/>
      <c r="K696" s="190"/>
      <c r="L696" s="190"/>
      <c r="M696" s="190"/>
      <c r="N696" s="190"/>
      <c r="O696" s="190"/>
      <c r="P696" s="190"/>
      <c r="Q696" s="190"/>
      <c r="R696" s="190"/>
      <c r="S696" s="190"/>
      <c r="T696" s="190"/>
      <c r="U696" s="190"/>
      <c r="V696" s="190"/>
      <c r="W696" s="190"/>
      <c r="X696" s="190"/>
      <c r="Y696" s="190"/>
      <c r="Z696" s="190"/>
      <c r="AA696" s="190"/>
      <c r="AB696" s="190"/>
      <c r="AC696" s="190"/>
      <c r="AD696" s="190"/>
      <c r="AE696" s="190"/>
      <c r="AF696" s="190"/>
      <c r="AG696" s="190"/>
      <c r="AH696" s="190"/>
      <c r="AI696" s="190"/>
      <c r="AJ696" s="190"/>
      <c r="AK696" s="190"/>
      <c r="AL696" s="190"/>
    </row>
    <row r="697" spans="2:38" ht="12.75" customHeight="1">
      <c r="B697" s="6"/>
      <c r="C697" s="6"/>
      <c r="D697" s="12"/>
      <c r="E697" s="12"/>
      <c r="F697" s="12"/>
      <c r="G697" s="12"/>
      <c r="H697" s="6"/>
      <c r="I697" s="190"/>
      <c r="J697" s="190"/>
      <c r="K697" s="190"/>
      <c r="L697" s="190"/>
      <c r="M697" s="190"/>
      <c r="N697" s="190"/>
      <c r="O697" s="190"/>
      <c r="P697" s="190"/>
      <c r="Q697" s="190"/>
      <c r="R697" s="190"/>
      <c r="S697" s="190"/>
      <c r="T697" s="190"/>
      <c r="U697" s="190"/>
      <c r="V697" s="190"/>
      <c r="W697" s="190"/>
      <c r="X697" s="190"/>
      <c r="Y697" s="190"/>
      <c r="Z697" s="190"/>
      <c r="AA697" s="190"/>
      <c r="AB697" s="190"/>
      <c r="AC697" s="190"/>
      <c r="AD697" s="190"/>
      <c r="AE697" s="190"/>
      <c r="AF697" s="190"/>
      <c r="AG697" s="190"/>
      <c r="AH697" s="190"/>
      <c r="AI697" s="190"/>
      <c r="AJ697" s="190"/>
      <c r="AK697" s="190"/>
      <c r="AL697" s="190"/>
    </row>
    <row r="698" spans="2:38" ht="12.75" customHeight="1">
      <c r="B698" s="6"/>
      <c r="C698" s="6"/>
      <c r="D698" s="12"/>
      <c r="E698" s="12"/>
      <c r="F698" s="12"/>
      <c r="G698" s="12"/>
      <c r="H698" s="6"/>
      <c r="I698" s="190"/>
      <c r="J698" s="190"/>
      <c r="K698" s="190"/>
      <c r="L698" s="190"/>
      <c r="M698" s="190"/>
      <c r="N698" s="190"/>
      <c r="O698" s="190"/>
      <c r="P698" s="190"/>
      <c r="Q698" s="190"/>
      <c r="R698" s="190"/>
      <c r="S698" s="190"/>
      <c r="T698" s="190"/>
      <c r="U698" s="190"/>
      <c r="V698" s="190"/>
      <c r="W698" s="190"/>
      <c r="X698" s="190"/>
      <c r="Y698" s="190"/>
      <c r="Z698" s="190"/>
      <c r="AA698" s="190"/>
      <c r="AB698" s="190"/>
      <c r="AC698" s="190"/>
      <c r="AD698" s="190"/>
      <c r="AE698" s="190"/>
      <c r="AF698" s="190"/>
      <c r="AG698" s="190"/>
      <c r="AH698" s="190"/>
      <c r="AI698" s="190"/>
      <c r="AJ698" s="190"/>
      <c r="AK698" s="190"/>
      <c r="AL698" s="190"/>
    </row>
    <row r="699" spans="2:38" ht="12.75" customHeight="1">
      <c r="B699" s="6"/>
      <c r="C699" s="6"/>
      <c r="D699" s="12"/>
      <c r="E699" s="12"/>
      <c r="F699" s="12"/>
      <c r="G699" s="12"/>
      <c r="H699" s="6"/>
      <c r="I699" s="190"/>
      <c r="J699" s="190"/>
      <c r="K699" s="190"/>
      <c r="L699" s="190"/>
      <c r="M699" s="190"/>
      <c r="N699" s="190"/>
      <c r="O699" s="190"/>
      <c r="P699" s="190"/>
      <c r="Q699" s="190"/>
      <c r="R699" s="190"/>
      <c r="S699" s="190"/>
      <c r="T699" s="190"/>
      <c r="U699" s="190"/>
      <c r="V699" s="190"/>
      <c r="W699" s="190"/>
      <c r="X699" s="190"/>
      <c r="Y699" s="190"/>
      <c r="Z699" s="190"/>
      <c r="AA699" s="190"/>
      <c r="AB699" s="190"/>
      <c r="AC699" s="190"/>
      <c r="AD699" s="190"/>
      <c r="AE699" s="190"/>
      <c r="AF699" s="190"/>
      <c r="AG699" s="190"/>
      <c r="AH699" s="190"/>
      <c r="AI699" s="190"/>
      <c r="AJ699" s="190"/>
      <c r="AK699" s="190"/>
      <c r="AL699" s="190"/>
    </row>
    <row r="700" spans="2:38" ht="12.75" customHeight="1">
      <c r="B700" s="6"/>
      <c r="C700" s="6"/>
      <c r="D700" s="12"/>
      <c r="E700" s="12"/>
      <c r="F700" s="12"/>
      <c r="G700" s="12"/>
      <c r="H700" s="6"/>
      <c r="I700" s="190"/>
      <c r="J700" s="190"/>
      <c r="K700" s="190"/>
      <c r="L700" s="190"/>
      <c r="M700" s="190"/>
      <c r="N700" s="190"/>
      <c r="O700" s="190"/>
      <c r="P700" s="190"/>
      <c r="Q700" s="190"/>
      <c r="R700" s="190"/>
      <c r="S700" s="190"/>
      <c r="T700" s="190"/>
      <c r="U700" s="190"/>
      <c r="V700" s="190"/>
      <c r="W700" s="190"/>
      <c r="X700" s="190"/>
      <c r="Y700" s="190"/>
      <c r="Z700" s="190"/>
      <c r="AA700" s="190"/>
      <c r="AB700" s="190"/>
      <c r="AC700" s="190"/>
      <c r="AD700" s="190"/>
      <c r="AE700" s="190"/>
      <c r="AF700" s="190"/>
      <c r="AG700" s="190"/>
      <c r="AH700" s="190"/>
      <c r="AI700" s="190"/>
      <c r="AJ700" s="190"/>
      <c r="AK700" s="190"/>
      <c r="AL700" s="190"/>
    </row>
    <row r="701" spans="2:38" ht="12.75" customHeight="1">
      <c r="B701" s="6"/>
      <c r="C701" s="6"/>
      <c r="D701" s="12"/>
      <c r="E701" s="12"/>
      <c r="F701" s="12"/>
      <c r="G701" s="12"/>
      <c r="H701" s="6"/>
      <c r="I701" s="190"/>
      <c r="J701" s="190"/>
      <c r="K701" s="190"/>
      <c r="L701" s="190"/>
      <c r="M701" s="190"/>
      <c r="N701" s="190"/>
      <c r="O701" s="190"/>
      <c r="P701" s="190"/>
      <c r="Q701" s="190"/>
      <c r="R701" s="190"/>
      <c r="S701" s="190"/>
      <c r="T701" s="190"/>
      <c r="U701" s="190"/>
      <c r="V701" s="190"/>
      <c r="W701" s="190"/>
      <c r="X701" s="190"/>
      <c r="Y701" s="190"/>
      <c r="Z701" s="190"/>
      <c r="AA701" s="190"/>
      <c r="AB701" s="190"/>
      <c r="AC701" s="190"/>
      <c r="AD701" s="190"/>
      <c r="AE701" s="190"/>
      <c r="AF701" s="190"/>
      <c r="AG701" s="190"/>
      <c r="AH701" s="190"/>
      <c r="AI701" s="190"/>
      <c r="AJ701" s="190"/>
      <c r="AK701" s="190"/>
      <c r="AL701" s="190"/>
    </row>
    <row r="702" spans="2:38" ht="12.75" customHeight="1">
      <c r="B702" s="6"/>
      <c r="C702" s="6"/>
      <c r="D702" s="12"/>
      <c r="E702" s="12"/>
      <c r="F702" s="12"/>
      <c r="G702" s="12"/>
      <c r="H702" s="6"/>
      <c r="I702" s="190"/>
      <c r="J702" s="190"/>
      <c r="K702" s="190"/>
      <c r="L702" s="190"/>
      <c r="M702" s="190"/>
      <c r="N702" s="190"/>
      <c r="O702" s="190"/>
      <c r="P702" s="190"/>
      <c r="Q702" s="190"/>
      <c r="R702" s="190"/>
      <c r="S702" s="190"/>
      <c r="T702" s="190"/>
      <c r="U702" s="190"/>
      <c r="V702" s="190"/>
      <c r="W702" s="190"/>
      <c r="X702" s="190"/>
      <c r="Y702" s="190"/>
      <c r="Z702" s="190"/>
      <c r="AA702" s="190"/>
      <c r="AB702" s="190"/>
      <c r="AC702" s="190"/>
      <c r="AD702" s="190"/>
      <c r="AE702" s="190"/>
      <c r="AF702" s="190"/>
      <c r="AG702" s="190"/>
      <c r="AH702" s="190"/>
      <c r="AI702" s="190"/>
      <c r="AJ702" s="190"/>
      <c r="AK702" s="190"/>
      <c r="AL702" s="190"/>
    </row>
    <row r="703" spans="2:38" ht="12.75" customHeight="1">
      <c r="B703" s="6"/>
      <c r="C703" s="6"/>
      <c r="D703" s="12"/>
      <c r="E703" s="12"/>
      <c r="F703" s="12"/>
      <c r="G703" s="12"/>
      <c r="H703" s="6"/>
      <c r="I703" s="190"/>
      <c r="J703" s="190"/>
      <c r="K703" s="190"/>
      <c r="L703" s="190"/>
      <c r="M703" s="190"/>
      <c r="N703" s="190"/>
      <c r="O703" s="190"/>
      <c r="P703" s="190"/>
      <c r="Q703" s="190"/>
      <c r="R703" s="190"/>
      <c r="S703" s="190"/>
      <c r="T703" s="190"/>
      <c r="U703" s="190"/>
      <c r="V703" s="190"/>
      <c r="W703" s="190"/>
      <c r="X703" s="190"/>
      <c r="Y703" s="190"/>
      <c r="Z703" s="190"/>
      <c r="AA703" s="190"/>
      <c r="AB703" s="190"/>
      <c r="AC703" s="190"/>
      <c r="AD703" s="190"/>
      <c r="AE703" s="190"/>
      <c r="AF703" s="190"/>
      <c r="AG703" s="190"/>
      <c r="AH703" s="190"/>
      <c r="AI703" s="190"/>
      <c r="AJ703" s="190"/>
      <c r="AK703" s="190"/>
      <c r="AL703" s="190"/>
    </row>
    <row r="704" spans="2:38" ht="12.75" customHeight="1">
      <c r="B704" s="6"/>
      <c r="C704" s="6"/>
      <c r="D704" s="12"/>
      <c r="E704" s="12"/>
      <c r="F704" s="12"/>
      <c r="G704" s="12"/>
      <c r="H704" s="6"/>
      <c r="I704" s="190"/>
      <c r="J704" s="190"/>
      <c r="K704" s="190"/>
      <c r="L704" s="190"/>
      <c r="M704" s="190"/>
      <c r="N704" s="190"/>
      <c r="O704" s="190"/>
      <c r="P704" s="190"/>
      <c r="Q704" s="190"/>
      <c r="R704" s="190"/>
      <c r="S704" s="190"/>
      <c r="T704" s="190"/>
      <c r="U704" s="190"/>
      <c r="V704" s="190"/>
      <c r="W704" s="190"/>
      <c r="X704" s="190"/>
      <c r="Y704" s="190"/>
      <c r="Z704" s="190"/>
      <c r="AA704" s="190"/>
      <c r="AB704" s="190"/>
      <c r="AC704" s="190"/>
      <c r="AD704" s="190"/>
      <c r="AE704" s="190"/>
      <c r="AF704" s="190"/>
      <c r="AG704" s="190"/>
      <c r="AH704" s="190"/>
      <c r="AI704" s="190"/>
      <c r="AJ704" s="190"/>
      <c r="AK704" s="190"/>
      <c r="AL704" s="190"/>
    </row>
    <row r="705" spans="2:38" ht="12.75" customHeight="1">
      <c r="B705" s="6"/>
      <c r="C705" s="6"/>
      <c r="D705" s="12"/>
      <c r="E705" s="12"/>
      <c r="F705" s="12"/>
      <c r="G705" s="12"/>
      <c r="H705" s="6"/>
      <c r="I705" s="190"/>
      <c r="J705" s="190"/>
      <c r="K705" s="190"/>
      <c r="L705" s="190"/>
      <c r="M705" s="190"/>
      <c r="N705" s="190"/>
      <c r="O705" s="190"/>
      <c r="P705" s="190"/>
      <c r="Q705" s="190"/>
      <c r="R705" s="190"/>
      <c r="S705" s="190"/>
      <c r="T705" s="190"/>
      <c r="U705" s="190"/>
      <c r="V705" s="190"/>
      <c r="W705" s="190"/>
      <c r="X705" s="190"/>
      <c r="Y705" s="190"/>
      <c r="Z705" s="190"/>
      <c r="AA705" s="190"/>
      <c r="AB705" s="190"/>
      <c r="AC705" s="190"/>
      <c r="AD705" s="190"/>
      <c r="AE705" s="190"/>
      <c r="AF705" s="190"/>
      <c r="AG705" s="190"/>
      <c r="AH705" s="190"/>
      <c r="AI705" s="190"/>
      <c r="AJ705" s="190"/>
      <c r="AK705" s="190"/>
      <c r="AL705" s="190"/>
    </row>
    <row r="706" spans="2:38" ht="12.75" customHeight="1">
      <c r="B706" s="6"/>
      <c r="C706" s="6"/>
      <c r="D706" s="12"/>
      <c r="E706" s="12"/>
      <c r="F706" s="12"/>
      <c r="G706" s="12"/>
      <c r="H706" s="6"/>
      <c r="I706" s="190"/>
      <c r="J706" s="190"/>
      <c r="K706" s="190"/>
      <c r="L706" s="190"/>
      <c r="M706" s="190"/>
      <c r="N706" s="190"/>
      <c r="O706" s="190"/>
      <c r="P706" s="190"/>
      <c r="Q706" s="190"/>
      <c r="R706" s="190"/>
      <c r="S706" s="190"/>
      <c r="T706" s="190"/>
      <c r="U706" s="190"/>
      <c r="V706" s="190"/>
      <c r="W706" s="190"/>
      <c r="X706" s="190"/>
      <c r="Y706" s="190"/>
      <c r="Z706" s="190"/>
      <c r="AA706" s="190"/>
      <c r="AB706" s="190"/>
      <c r="AC706" s="190"/>
      <c r="AD706" s="190"/>
      <c r="AE706" s="190"/>
      <c r="AF706" s="190"/>
      <c r="AG706" s="190"/>
      <c r="AH706" s="190"/>
      <c r="AI706" s="190"/>
      <c r="AJ706" s="190"/>
      <c r="AK706" s="190"/>
      <c r="AL706" s="190"/>
    </row>
    <row r="707" spans="2:38" ht="12.75" customHeight="1">
      <c r="B707" s="6"/>
      <c r="C707" s="6"/>
      <c r="D707" s="12"/>
      <c r="E707" s="12"/>
      <c r="F707" s="12"/>
      <c r="G707" s="12"/>
      <c r="H707" s="6"/>
      <c r="I707" s="190"/>
      <c r="J707" s="190"/>
      <c r="K707" s="190"/>
      <c r="L707" s="190"/>
      <c r="M707" s="190"/>
      <c r="N707" s="190"/>
      <c r="O707" s="190"/>
      <c r="P707" s="190"/>
      <c r="Q707" s="190"/>
      <c r="R707" s="190"/>
      <c r="S707" s="190"/>
      <c r="T707" s="190"/>
      <c r="U707" s="190"/>
      <c r="V707" s="190"/>
      <c r="W707" s="190"/>
      <c r="X707" s="190"/>
      <c r="Y707" s="190"/>
      <c r="Z707" s="190"/>
      <c r="AA707" s="190"/>
      <c r="AB707" s="190"/>
      <c r="AC707" s="190"/>
      <c r="AD707" s="190"/>
      <c r="AE707" s="190"/>
      <c r="AF707" s="190"/>
      <c r="AG707" s="190"/>
      <c r="AH707" s="190"/>
      <c r="AI707" s="190"/>
      <c r="AJ707" s="190"/>
      <c r="AK707" s="190"/>
      <c r="AL707" s="190"/>
    </row>
    <row r="708" spans="2:38" ht="12.75" customHeight="1">
      <c r="B708" s="6"/>
      <c r="C708" s="6"/>
      <c r="D708" s="12"/>
      <c r="E708" s="12"/>
      <c r="F708" s="12"/>
      <c r="G708" s="12"/>
      <c r="H708" s="6"/>
      <c r="I708" s="190"/>
      <c r="J708" s="190"/>
      <c r="K708" s="190"/>
      <c r="L708" s="190"/>
      <c r="M708" s="190"/>
      <c r="N708" s="190"/>
      <c r="O708" s="190"/>
      <c r="P708" s="190"/>
      <c r="Q708" s="190"/>
      <c r="R708" s="190"/>
      <c r="S708" s="190"/>
      <c r="T708" s="190"/>
      <c r="U708" s="190"/>
      <c r="V708" s="190"/>
      <c r="W708" s="190"/>
      <c r="X708" s="190"/>
      <c r="Y708" s="190"/>
      <c r="Z708" s="190"/>
      <c r="AA708" s="190"/>
      <c r="AB708" s="190"/>
      <c r="AC708" s="190"/>
      <c r="AD708" s="190"/>
      <c r="AE708" s="190"/>
      <c r="AF708" s="190"/>
      <c r="AG708" s="190"/>
      <c r="AH708" s="190"/>
      <c r="AI708" s="190"/>
      <c r="AJ708" s="190"/>
      <c r="AK708" s="190"/>
      <c r="AL708" s="190"/>
    </row>
    <row r="709" spans="2:38" ht="12.75" customHeight="1">
      <c r="B709" s="6"/>
      <c r="C709" s="6"/>
      <c r="D709" s="12"/>
      <c r="E709" s="12"/>
      <c r="F709" s="12"/>
      <c r="G709" s="12"/>
      <c r="H709" s="6"/>
      <c r="I709" s="190"/>
      <c r="J709" s="190"/>
      <c r="K709" s="190"/>
      <c r="L709" s="190"/>
      <c r="M709" s="190"/>
      <c r="N709" s="190"/>
      <c r="O709" s="190"/>
      <c r="P709" s="190"/>
      <c r="Q709" s="190"/>
      <c r="R709" s="190"/>
      <c r="S709" s="190"/>
      <c r="T709" s="190"/>
      <c r="U709" s="190"/>
      <c r="V709" s="190"/>
      <c r="W709" s="190"/>
      <c r="X709" s="190"/>
      <c r="Y709" s="190"/>
      <c r="Z709" s="190"/>
      <c r="AA709" s="190"/>
      <c r="AB709" s="190"/>
      <c r="AC709" s="190"/>
      <c r="AD709" s="190"/>
      <c r="AE709" s="190"/>
      <c r="AF709" s="190"/>
      <c r="AG709" s="190"/>
      <c r="AH709" s="190"/>
      <c r="AI709" s="190"/>
      <c r="AJ709" s="190"/>
      <c r="AK709" s="190"/>
      <c r="AL709" s="190"/>
    </row>
    <row r="710" spans="2:38" ht="12.75" customHeight="1">
      <c r="B710" s="6"/>
      <c r="C710" s="6"/>
      <c r="D710" s="12"/>
      <c r="E710" s="12"/>
      <c r="F710" s="12"/>
      <c r="G710" s="12"/>
      <c r="H710" s="6"/>
      <c r="I710" s="190"/>
      <c r="J710" s="190"/>
      <c r="K710" s="190"/>
      <c r="L710" s="190"/>
      <c r="M710" s="190"/>
      <c r="N710" s="190"/>
      <c r="O710" s="190"/>
      <c r="P710" s="190"/>
      <c r="Q710" s="190"/>
      <c r="R710" s="190"/>
      <c r="S710" s="190"/>
      <c r="T710" s="190"/>
      <c r="U710" s="190"/>
      <c r="V710" s="190"/>
      <c r="W710" s="190"/>
      <c r="X710" s="190"/>
      <c r="Y710" s="190"/>
      <c r="Z710" s="190"/>
      <c r="AA710" s="190"/>
      <c r="AB710" s="190"/>
      <c r="AC710" s="190"/>
      <c r="AD710" s="190"/>
      <c r="AE710" s="190"/>
      <c r="AF710" s="190"/>
      <c r="AG710" s="190"/>
      <c r="AH710" s="190"/>
      <c r="AI710" s="190"/>
      <c r="AJ710" s="190"/>
      <c r="AK710" s="190"/>
      <c r="AL710" s="190"/>
    </row>
    <row r="711" spans="2:38" ht="12.75" customHeight="1">
      <c r="B711" s="6"/>
      <c r="C711" s="6"/>
      <c r="D711" s="12"/>
      <c r="E711" s="12"/>
      <c r="F711" s="12"/>
      <c r="G711" s="12"/>
      <c r="H711" s="6"/>
      <c r="I711" s="190"/>
      <c r="J711" s="190"/>
      <c r="K711" s="190"/>
      <c r="L711" s="190"/>
      <c r="M711" s="190"/>
      <c r="N711" s="190"/>
      <c r="O711" s="190"/>
      <c r="P711" s="190"/>
      <c r="Q711" s="190"/>
      <c r="R711" s="190"/>
      <c r="S711" s="190"/>
      <c r="T711" s="190"/>
      <c r="U711" s="190"/>
      <c r="V711" s="190"/>
      <c r="W711" s="190"/>
      <c r="X711" s="190"/>
      <c r="Y711" s="190"/>
      <c r="Z711" s="190"/>
      <c r="AA711" s="190"/>
      <c r="AB711" s="190"/>
      <c r="AC711" s="190"/>
      <c r="AD711" s="190"/>
      <c r="AE711" s="190"/>
      <c r="AF711" s="190"/>
      <c r="AG711" s="190"/>
      <c r="AH711" s="190"/>
      <c r="AI711" s="190"/>
      <c r="AJ711" s="190"/>
      <c r="AK711" s="190"/>
      <c r="AL711" s="190"/>
    </row>
    <row r="712" spans="2:38" ht="12.75" customHeight="1">
      <c r="B712" s="6"/>
      <c r="C712" s="6"/>
      <c r="D712" s="12"/>
      <c r="E712" s="12"/>
      <c r="F712" s="12"/>
      <c r="G712" s="12"/>
      <c r="H712" s="6"/>
      <c r="I712" s="190"/>
      <c r="J712" s="190"/>
      <c r="K712" s="190"/>
      <c r="L712" s="190"/>
      <c r="M712" s="190"/>
      <c r="N712" s="190"/>
      <c r="O712" s="190"/>
      <c r="P712" s="190"/>
      <c r="Q712" s="190"/>
      <c r="R712" s="190"/>
      <c r="S712" s="190"/>
      <c r="T712" s="190"/>
      <c r="U712" s="190"/>
      <c r="V712" s="190"/>
      <c r="W712" s="190"/>
      <c r="X712" s="190"/>
      <c r="Y712" s="190"/>
      <c r="Z712" s="190"/>
      <c r="AA712" s="190"/>
      <c r="AB712" s="190"/>
      <c r="AC712" s="190"/>
      <c r="AD712" s="190"/>
      <c r="AE712" s="190"/>
      <c r="AF712" s="190"/>
      <c r="AG712" s="190"/>
      <c r="AH712" s="190"/>
      <c r="AI712" s="190"/>
      <c r="AJ712" s="190"/>
      <c r="AK712" s="190"/>
      <c r="AL712" s="190"/>
    </row>
    <row r="713" spans="2:38" ht="12.75" customHeight="1">
      <c r="B713" s="6"/>
      <c r="C713" s="6"/>
      <c r="D713" s="12"/>
      <c r="E713" s="12"/>
      <c r="F713" s="12"/>
      <c r="G713" s="12"/>
      <c r="H713" s="6"/>
      <c r="I713" s="190"/>
      <c r="J713" s="190"/>
      <c r="K713" s="190"/>
      <c r="L713" s="190"/>
      <c r="M713" s="190"/>
      <c r="N713" s="190"/>
      <c r="O713" s="190"/>
      <c r="P713" s="190"/>
      <c r="Q713" s="190"/>
      <c r="R713" s="190"/>
      <c r="S713" s="190"/>
      <c r="T713" s="190"/>
      <c r="U713" s="190"/>
      <c r="V713" s="190"/>
      <c r="W713" s="190"/>
      <c r="X713" s="190"/>
      <c r="Y713" s="190"/>
      <c r="Z713" s="190"/>
      <c r="AA713" s="190"/>
      <c r="AB713" s="190"/>
      <c r="AC713" s="190"/>
      <c r="AD713" s="190"/>
      <c r="AE713" s="190"/>
      <c r="AF713" s="190"/>
      <c r="AG713" s="190"/>
      <c r="AH713" s="190"/>
      <c r="AI713" s="190"/>
      <c r="AJ713" s="190"/>
      <c r="AK713" s="190"/>
      <c r="AL713" s="190"/>
    </row>
    <row r="714" spans="2:38" ht="12.75" customHeight="1">
      <c r="B714" s="6"/>
      <c r="C714" s="6"/>
      <c r="D714" s="12"/>
      <c r="E714" s="12"/>
      <c r="F714" s="12"/>
      <c r="G714" s="12"/>
      <c r="H714" s="6"/>
      <c r="I714" s="190"/>
      <c r="J714" s="190"/>
      <c r="K714" s="190"/>
      <c r="L714" s="190"/>
      <c r="M714" s="190"/>
      <c r="N714" s="190"/>
      <c r="O714" s="190"/>
      <c r="P714" s="190"/>
      <c r="Q714" s="190"/>
      <c r="R714" s="190"/>
      <c r="S714" s="190"/>
      <c r="T714" s="190"/>
      <c r="U714" s="190"/>
      <c r="V714" s="190"/>
      <c r="W714" s="190"/>
      <c r="X714" s="190"/>
      <c r="Y714" s="190"/>
      <c r="Z714" s="190"/>
      <c r="AA714" s="190"/>
      <c r="AB714" s="190"/>
      <c r="AC714" s="190"/>
      <c r="AD714" s="190"/>
      <c r="AE714" s="190"/>
      <c r="AF714" s="190"/>
      <c r="AG714" s="190"/>
      <c r="AH714" s="190"/>
      <c r="AI714" s="190"/>
      <c r="AJ714" s="190"/>
      <c r="AK714" s="190"/>
      <c r="AL714" s="190"/>
    </row>
    <row r="715" spans="2:38" ht="12.75" customHeight="1">
      <c r="B715" s="6"/>
      <c r="C715" s="6"/>
      <c r="D715" s="12"/>
      <c r="E715" s="12"/>
      <c r="F715" s="12"/>
      <c r="G715" s="12"/>
      <c r="H715" s="6"/>
      <c r="I715" s="190"/>
      <c r="J715" s="190"/>
      <c r="K715" s="190"/>
      <c r="L715" s="190"/>
      <c r="M715" s="190"/>
      <c r="N715" s="190"/>
      <c r="O715" s="190"/>
      <c r="P715" s="190"/>
      <c r="Q715" s="190"/>
      <c r="R715" s="190"/>
      <c r="S715" s="190"/>
      <c r="T715" s="190"/>
      <c r="U715" s="190"/>
      <c r="V715" s="190"/>
      <c r="W715" s="190"/>
      <c r="X715" s="190"/>
      <c r="Y715" s="190"/>
      <c r="Z715" s="190"/>
      <c r="AA715" s="190"/>
      <c r="AB715" s="190"/>
      <c r="AC715" s="190"/>
      <c r="AD715" s="190"/>
      <c r="AE715" s="190"/>
      <c r="AF715" s="190"/>
      <c r="AG715" s="190"/>
      <c r="AH715" s="190"/>
      <c r="AI715" s="190"/>
      <c r="AJ715" s="190"/>
      <c r="AK715" s="190"/>
      <c r="AL715" s="190"/>
    </row>
    <row r="716" spans="2:38" ht="12.75" customHeight="1">
      <c r="B716" s="6"/>
      <c r="C716" s="6"/>
      <c r="D716" s="12"/>
      <c r="E716" s="12"/>
      <c r="F716" s="12"/>
      <c r="G716" s="12"/>
      <c r="H716" s="6"/>
      <c r="I716" s="190"/>
      <c r="J716" s="190"/>
      <c r="K716" s="190"/>
      <c r="L716" s="190"/>
      <c r="M716" s="190"/>
      <c r="N716" s="190"/>
      <c r="O716" s="190"/>
      <c r="P716" s="190"/>
      <c r="Q716" s="190"/>
      <c r="R716" s="190"/>
      <c r="S716" s="190"/>
      <c r="T716" s="190"/>
      <c r="U716" s="190"/>
      <c r="V716" s="190"/>
      <c r="W716" s="190"/>
      <c r="X716" s="190"/>
      <c r="Y716" s="190"/>
      <c r="Z716" s="190"/>
      <c r="AA716" s="190"/>
      <c r="AB716" s="190"/>
      <c r="AC716" s="190"/>
      <c r="AD716" s="190"/>
      <c r="AE716" s="190"/>
      <c r="AF716" s="190"/>
      <c r="AG716" s="190"/>
      <c r="AH716" s="190"/>
      <c r="AI716" s="190"/>
      <c r="AJ716" s="190"/>
      <c r="AK716" s="190"/>
      <c r="AL716" s="190"/>
    </row>
    <row r="717" spans="2:38" ht="12.75" customHeight="1">
      <c r="B717" s="6"/>
      <c r="C717" s="6"/>
      <c r="D717" s="12"/>
      <c r="E717" s="12"/>
      <c r="F717" s="12"/>
      <c r="G717" s="12"/>
      <c r="H717" s="6"/>
      <c r="I717" s="190"/>
      <c r="J717" s="190"/>
      <c r="K717" s="190"/>
      <c r="L717" s="190"/>
      <c r="M717" s="190"/>
      <c r="N717" s="190"/>
      <c r="O717" s="190"/>
      <c r="P717" s="190"/>
      <c r="Q717" s="190"/>
      <c r="R717" s="190"/>
      <c r="S717" s="190"/>
      <c r="T717" s="190"/>
      <c r="U717" s="190"/>
      <c r="V717" s="190"/>
      <c r="W717" s="190"/>
      <c r="X717" s="190"/>
      <c r="Y717" s="190"/>
      <c r="Z717" s="190"/>
      <c r="AA717" s="190"/>
      <c r="AB717" s="190"/>
      <c r="AC717" s="190"/>
      <c r="AD717" s="190"/>
      <c r="AE717" s="190"/>
      <c r="AF717" s="190"/>
      <c r="AG717" s="190"/>
      <c r="AH717" s="190"/>
      <c r="AI717" s="190"/>
      <c r="AJ717" s="190"/>
      <c r="AK717" s="190"/>
      <c r="AL717" s="190"/>
    </row>
    <row r="718" spans="2:38" ht="12.75" customHeight="1">
      <c r="B718" s="6"/>
      <c r="C718" s="6"/>
      <c r="D718" s="12"/>
      <c r="E718" s="12"/>
      <c r="F718" s="12"/>
      <c r="G718" s="12"/>
      <c r="H718" s="6"/>
      <c r="I718" s="190"/>
      <c r="J718" s="190"/>
      <c r="K718" s="190"/>
      <c r="L718" s="190"/>
      <c r="M718" s="190"/>
      <c r="N718" s="190"/>
      <c r="O718" s="190"/>
      <c r="P718" s="190"/>
      <c r="Q718" s="190"/>
      <c r="R718" s="190"/>
      <c r="S718" s="190"/>
      <c r="T718" s="190"/>
      <c r="U718" s="190"/>
      <c r="V718" s="190"/>
      <c r="W718" s="190"/>
      <c r="X718" s="190"/>
      <c r="Y718" s="190"/>
      <c r="Z718" s="190"/>
      <c r="AA718" s="190"/>
      <c r="AB718" s="190"/>
      <c r="AC718" s="190"/>
      <c r="AD718" s="190"/>
      <c r="AE718" s="190"/>
      <c r="AF718" s="190"/>
      <c r="AG718" s="190"/>
      <c r="AH718" s="190"/>
      <c r="AI718" s="190"/>
      <c r="AJ718" s="190"/>
      <c r="AK718" s="190"/>
      <c r="AL718" s="190"/>
    </row>
    <row r="719" spans="2:38" ht="12.75" customHeight="1">
      <c r="B719" s="6"/>
      <c r="C719" s="6"/>
      <c r="D719" s="12"/>
      <c r="E719" s="12"/>
      <c r="F719" s="12"/>
      <c r="G719" s="12"/>
      <c r="H719" s="6"/>
      <c r="I719" s="190"/>
      <c r="J719" s="190"/>
      <c r="K719" s="190"/>
      <c r="L719" s="190"/>
      <c r="M719" s="190"/>
      <c r="N719" s="190"/>
      <c r="O719" s="190"/>
      <c r="P719" s="190"/>
      <c r="Q719" s="190"/>
      <c r="R719" s="190"/>
      <c r="S719" s="190"/>
      <c r="T719" s="190"/>
      <c r="U719" s="190"/>
      <c r="V719" s="190"/>
      <c r="W719" s="190"/>
      <c r="X719" s="190"/>
      <c r="Y719" s="190"/>
      <c r="Z719" s="190"/>
      <c r="AA719" s="190"/>
      <c r="AB719" s="190"/>
      <c r="AC719" s="190"/>
      <c r="AD719" s="190"/>
      <c r="AE719" s="190"/>
      <c r="AF719" s="190"/>
      <c r="AG719" s="190"/>
      <c r="AH719" s="190"/>
      <c r="AI719" s="190"/>
      <c r="AJ719" s="190"/>
      <c r="AK719" s="190"/>
      <c r="AL719" s="190"/>
    </row>
    <row r="720" spans="2:38" ht="12.75" customHeight="1">
      <c r="B720" s="6"/>
      <c r="C720" s="6"/>
      <c r="D720" s="12"/>
      <c r="E720" s="12"/>
      <c r="F720" s="12"/>
      <c r="G720" s="12"/>
      <c r="H720" s="6"/>
      <c r="I720" s="190"/>
      <c r="J720" s="190"/>
      <c r="K720" s="190"/>
      <c r="L720" s="190"/>
      <c r="M720" s="190"/>
      <c r="N720" s="190"/>
      <c r="O720" s="190"/>
      <c r="P720" s="190"/>
      <c r="Q720" s="190"/>
      <c r="R720" s="190"/>
      <c r="S720" s="190"/>
      <c r="T720" s="190"/>
      <c r="U720" s="190"/>
      <c r="V720" s="190"/>
      <c r="W720" s="190"/>
      <c r="X720" s="190"/>
      <c r="Y720" s="190"/>
      <c r="Z720" s="190"/>
      <c r="AA720" s="190"/>
      <c r="AB720" s="190"/>
      <c r="AC720" s="190"/>
      <c r="AD720" s="190"/>
      <c r="AE720" s="190"/>
      <c r="AF720" s="190"/>
      <c r="AG720" s="190"/>
      <c r="AH720" s="190"/>
      <c r="AI720" s="190"/>
      <c r="AJ720" s="190"/>
      <c r="AK720" s="190"/>
      <c r="AL720" s="190"/>
    </row>
    <row r="721" spans="2:38" ht="12.75" customHeight="1">
      <c r="B721" s="6"/>
      <c r="C721" s="6"/>
      <c r="D721" s="12"/>
      <c r="E721" s="12"/>
      <c r="F721" s="12"/>
      <c r="G721" s="12"/>
      <c r="H721" s="6"/>
      <c r="I721" s="190"/>
      <c r="J721" s="190"/>
      <c r="K721" s="190"/>
      <c r="L721" s="190"/>
      <c r="M721" s="190"/>
      <c r="N721" s="190"/>
      <c r="O721" s="190"/>
      <c r="P721" s="190"/>
      <c r="Q721" s="190"/>
      <c r="R721" s="190"/>
      <c r="S721" s="190"/>
      <c r="T721" s="190"/>
      <c r="U721" s="190"/>
      <c r="V721" s="190"/>
      <c r="W721" s="190"/>
      <c r="X721" s="190"/>
      <c r="Y721" s="190"/>
      <c r="Z721" s="190"/>
      <c r="AA721" s="190"/>
      <c r="AB721" s="190"/>
      <c r="AC721" s="190"/>
      <c r="AD721" s="190"/>
      <c r="AE721" s="190"/>
      <c r="AF721" s="190"/>
      <c r="AG721" s="190"/>
      <c r="AH721" s="190"/>
      <c r="AI721" s="190"/>
      <c r="AJ721" s="190"/>
      <c r="AK721" s="190"/>
      <c r="AL721" s="190"/>
    </row>
    <row r="722" spans="2:38" ht="12.75" customHeight="1">
      <c r="B722" s="6"/>
      <c r="C722" s="6"/>
      <c r="D722" s="12"/>
      <c r="E722" s="12"/>
      <c r="F722" s="12"/>
      <c r="G722" s="12"/>
      <c r="H722" s="6"/>
      <c r="I722" s="190"/>
      <c r="J722" s="190"/>
      <c r="K722" s="190"/>
      <c r="L722" s="190"/>
      <c r="M722" s="190"/>
      <c r="N722" s="190"/>
      <c r="O722" s="190"/>
      <c r="P722" s="190"/>
      <c r="Q722" s="190"/>
      <c r="R722" s="190"/>
      <c r="S722" s="190"/>
      <c r="T722" s="190"/>
      <c r="U722" s="190"/>
      <c r="V722" s="190"/>
      <c r="W722" s="190"/>
      <c r="X722" s="190"/>
      <c r="Y722" s="190"/>
      <c r="Z722" s="190"/>
      <c r="AA722" s="190"/>
      <c r="AB722" s="190"/>
      <c r="AC722" s="190"/>
      <c r="AD722" s="190"/>
      <c r="AE722" s="190"/>
      <c r="AF722" s="190"/>
      <c r="AG722" s="190"/>
      <c r="AH722" s="190"/>
      <c r="AI722" s="190"/>
      <c r="AJ722" s="190"/>
      <c r="AK722" s="190"/>
      <c r="AL722" s="190"/>
    </row>
    <row r="723" spans="2:38" ht="12.75" customHeight="1">
      <c r="B723" s="6"/>
      <c r="C723" s="6"/>
      <c r="D723" s="12"/>
      <c r="E723" s="12"/>
      <c r="F723" s="12"/>
      <c r="G723" s="12"/>
      <c r="H723" s="6"/>
      <c r="I723" s="190"/>
      <c r="J723" s="190"/>
      <c r="K723" s="190"/>
      <c r="L723" s="190"/>
      <c r="M723" s="190"/>
      <c r="N723" s="190"/>
      <c r="O723" s="190"/>
      <c r="P723" s="190"/>
      <c r="Q723" s="190"/>
      <c r="R723" s="190"/>
      <c r="S723" s="190"/>
      <c r="T723" s="190"/>
      <c r="U723" s="190"/>
      <c r="V723" s="190"/>
      <c r="W723" s="190"/>
      <c r="X723" s="190"/>
      <c r="Y723" s="190"/>
      <c r="Z723" s="190"/>
      <c r="AA723" s="190"/>
      <c r="AB723" s="190"/>
      <c r="AC723" s="190"/>
      <c r="AD723" s="190"/>
      <c r="AE723" s="190"/>
      <c r="AF723" s="190"/>
      <c r="AG723" s="190"/>
      <c r="AH723" s="190"/>
      <c r="AI723" s="190"/>
      <c r="AJ723" s="190"/>
      <c r="AK723" s="190"/>
      <c r="AL723" s="190"/>
    </row>
    <row r="724" spans="2:38" ht="12.75" customHeight="1">
      <c r="B724" s="6"/>
      <c r="C724" s="6"/>
      <c r="D724" s="12"/>
      <c r="E724" s="12"/>
      <c r="F724" s="12"/>
      <c r="G724" s="12"/>
      <c r="H724" s="6"/>
      <c r="I724" s="190"/>
      <c r="J724" s="190"/>
      <c r="K724" s="190"/>
      <c r="L724" s="190"/>
      <c r="M724" s="190"/>
      <c r="N724" s="190"/>
      <c r="O724" s="190"/>
      <c r="P724" s="190"/>
      <c r="Q724" s="190"/>
      <c r="R724" s="190"/>
      <c r="S724" s="190"/>
      <c r="T724" s="190"/>
      <c r="U724" s="190"/>
      <c r="V724" s="190"/>
      <c r="W724" s="190"/>
      <c r="X724" s="190"/>
      <c r="Y724" s="190"/>
      <c r="Z724" s="190"/>
      <c r="AA724" s="190"/>
      <c r="AB724" s="190"/>
      <c r="AC724" s="190"/>
      <c r="AD724" s="190"/>
      <c r="AE724" s="190"/>
      <c r="AF724" s="190"/>
      <c r="AG724" s="190"/>
      <c r="AH724" s="190"/>
      <c r="AI724" s="190"/>
      <c r="AJ724" s="190"/>
      <c r="AK724" s="190"/>
      <c r="AL724" s="190"/>
    </row>
    <row r="725" spans="2:38" ht="12.75" customHeight="1">
      <c r="B725" s="6"/>
      <c r="C725" s="6"/>
      <c r="D725" s="12"/>
      <c r="E725" s="12"/>
      <c r="F725" s="12"/>
      <c r="G725" s="12"/>
      <c r="H725" s="6"/>
      <c r="I725" s="190"/>
      <c r="J725" s="190"/>
      <c r="K725" s="190"/>
      <c r="L725" s="190"/>
      <c r="M725" s="190"/>
      <c r="N725" s="190"/>
      <c r="O725" s="190"/>
      <c r="P725" s="190"/>
      <c r="Q725" s="190"/>
      <c r="R725" s="190"/>
      <c r="S725" s="190"/>
      <c r="T725" s="190"/>
      <c r="U725" s="190"/>
      <c r="V725" s="190"/>
      <c r="W725" s="190"/>
      <c r="X725" s="190"/>
      <c r="Y725" s="190"/>
      <c r="Z725" s="190"/>
      <c r="AA725" s="190"/>
      <c r="AB725" s="190"/>
      <c r="AC725" s="190"/>
      <c r="AD725" s="190"/>
      <c r="AE725" s="190"/>
      <c r="AF725" s="190"/>
      <c r="AG725" s="190"/>
      <c r="AH725" s="190"/>
      <c r="AI725" s="190"/>
      <c r="AJ725" s="190"/>
      <c r="AK725" s="190"/>
      <c r="AL725" s="190"/>
    </row>
    <row r="726" spans="2:38" ht="12.75" customHeight="1">
      <c r="B726" s="6"/>
      <c r="C726" s="6"/>
      <c r="D726" s="12"/>
      <c r="E726" s="12"/>
      <c r="F726" s="12"/>
      <c r="G726" s="12"/>
      <c r="H726" s="6"/>
      <c r="I726" s="190"/>
      <c r="J726" s="190"/>
      <c r="K726" s="190"/>
      <c r="L726" s="190"/>
      <c r="M726" s="190"/>
      <c r="N726" s="190"/>
      <c r="O726" s="190"/>
      <c r="P726" s="190"/>
      <c r="Q726" s="190"/>
      <c r="R726" s="190"/>
      <c r="S726" s="190"/>
      <c r="T726" s="190"/>
      <c r="U726" s="190"/>
      <c r="V726" s="190"/>
      <c r="W726" s="190"/>
      <c r="X726" s="190"/>
      <c r="Y726" s="190"/>
      <c r="Z726" s="190"/>
      <c r="AA726" s="190"/>
      <c r="AB726" s="190"/>
      <c r="AC726" s="190"/>
      <c r="AD726" s="190"/>
      <c r="AE726" s="190"/>
      <c r="AF726" s="190"/>
      <c r="AG726" s="190"/>
      <c r="AH726" s="190"/>
      <c r="AI726" s="190"/>
      <c r="AJ726" s="190"/>
      <c r="AK726" s="190"/>
      <c r="AL726" s="190"/>
    </row>
    <row r="727" spans="2:38" ht="12.75" customHeight="1">
      <c r="B727" s="6"/>
      <c r="C727" s="6"/>
      <c r="D727" s="12"/>
      <c r="E727" s="12"/>
      <c r="F727" s="12"/>
      <c r="G727" s="12"/>
      <c r="H727" s="6"/>
      <c r="I727" s="190"/>
      <c r="J727" s="190"/>
      <c r="K727" s="190"/>
      <c r="L727" s="190"/>
      <c r="M727" s="190"/>
      <c r="N727" s="190"/>
      <c r="O727" s="190"/>
      <c r="P727" s="190"/>
      <c r="Q727" s="190"/>
      <c r="R727" s="190"/>
      <c r="S727" s="190"/>
      <c r="T727" s="190"/>
      <c r="U727" s="190"/>
      <c r="V727" s="190"/>
      <c r="W727" s="190"/>
      <c r="X727" s="190"/>
      <c r="Y727" s="190"/>
      <c r="Z727" s="190"/>
      <c r="AA727" s="190"/>
      <c r="AB727" s="190"/>
      <c r="AC727" s="190"/>
      <c r="AD727" s="190"/>
      <c r="AE727" s="190"/>
      <c r="AF727" s="190"/>
      <c r="AG727" s="190"/>
      <c r="AH727" s="190"/>
      <c r="AI727" s="190"/>
      <c r="AJ727" s="190"/>
      <c r="AK727" s="190"/>
      <c r="AL727" s="190"/>
    </row>
    <row r="728" spans="2:38" ht="12.75" customHeight="1">
      <c r="B728" s="6"/>
      <c r="C728" s="6"/>
      <c r="D728" s="12"/>
      <c r="E728" s="12"/>
      <c r="F728" s="12"/>
      <c r="G728" s="12"/>
      <c r="H728" s="6"/>
      <c r="I728" s="190"/>
      <c r="J728" s="190"/>
      <c r="K728" s="190"/>
      <c r="L728" s="190"/>
      <c r="M728" s="190"/>
      <c r="N728" s="190"/>
      <c r="O728" s="190"/>
      <c r="P728" s="190"/>
      <c r="Q728" s="190"/>
      <c r="R728" s="190"/>
      <c r="S728" s="190"/>
      <c r="T728" s="190"/>
      <c r="U728" s="190"/>
      <c r="V728" s="190"/>
      <c r="W728" s="190"/>
      <c r="X728" s="190"/>
      <c r="Y728" s="190"/>
      <c r="Z728" s="190"/>
      <c r="AA728" s="190"/>
      <c r="AB728" s="190"/>
      <c r="AC728" s="190"/>
      <c r="AD728" s="190"/>
      <c r="AE728" s="190"/>
      <c r="AF728" s="190"/>
      <c r="AG728" s="190"/>
      <c r="AH728" s="190"/>
      <c r="AI728" s="190"/>
      <c r="AJ728" s="190"/>
      <c r="AK728" s="190"/>
      <c r="AL728" s="190"/>
    </row>
    <row r="729" spans="2:38" ht="12.75" customHeight="1">
      <c r="B729" s="6"/>
      <c r="C729" s="6"/>
      <c r="D729" s="12"/>
      <c r="E729" s="12"/>
      <c r="F729" s="12"/>
      <c r="G729" s="12"/>
      <c r="H729" s="6"/>
      <c r="I729" s="190"/>
      <c r="J729" s="190"/>
      <c r="K729" s="190"/>
      <c r="L729" s="190"/>
      <c r="M729" s="190"/>
      <c r="N729" s="190"/>
      <c r="O729" s="190"/>
      <c r="P729" s="190"/>
      <c r="Q729" s="190"/>
      <c r="R729" s="190"/>
      <c r="S729" s="190"/>
      <c r="T729" s="190"/>
      <c r="U729" s="190"/>
      <c r="V729" s="190"/>
      <c r="W729" s="190"/>
      <c r="X729" s="190"/>
      <c r="Y729" s="190"/>
      <c r="Z729" s="190"/>
      <c r="AA729" s="190"/>
      <c r="AB729" s="190"/>
      <c r="AC729" s="190"/>
      <c r="AD729" s="190"/>
      <c r="AE729" s="190"/>
      <c r="AF729" s="190"/>
      <c r="AG729" s="190"/>
      <c r="AH729" s="190"/>
      <c r="AI729" s="190"/>
      <c r="AJ729" s="190"/>
      <c r="AK729" s="190"/>
      <c r="AL729" s="190"/>
    </row>
    <row r="730" spans="2:38" ht="12.75" customHeight="1">
      <c r="B730" s="6"/>
      <c r="C730" s="6"/>
      <c r="D730" s="12"/>
      <c r="E730" s="12"/>
      <c r="F730" s="12"/>
      <c r="G730" s="12"/>
      <c r="H730" s="6"/>
      <c r="I730" s="190"/>
      <c r="J730" s="190"/>
      <c r="K730" s="190"/>
      <c r="L730" s="190"/>
      <c r="M730" s="190"/>
      <c r="N730" s="190"/>
      <c r="O730" s="190"/>
      <c r="P730" s="190"/>
      <c r="Q730" s="190"/>
      <c r="R730" s="190"/>
      <c r="S730" s="190"/>
      <c r="T730" s="190"/>
      <c r="U730" s="190"/>
      <c r="V730" s="190"/>
      <c r="W730" s="190"/>
      <c r="X730" s="190"/>
      <c r="Y730" s="190"/>
      <c r="Z730" s="190"/>
      <c r="AA730" s="190"/>
      <c r="AB730" s="190"/>
      <c r="AC730" s="190"/>
      <c r="AD730" s="190"/>
      <c r="AE730" s="190"/>
      <c r="AF730" s="190"/>
      <c r="AG730" s="190"/>
      <c r="AH730" s="190"/>
      <c r="AI730" s="190"/>
      <c r="AJ730" s="190"/>
      <c r="AK730" s="190"/>
      <c r="AL730" s="190"/>
    </row>
    <row r="731" spans="2:38" ht="12.75" customHeight="1">
      <c r="B731" s="6"/>
      <c r="C731" s="6"/>
      <c r="D731" s="12"/>
      <c r="E731" s="12"/>
      <c r="F731" s="12"/>
      <c r="G731" s="12"/>
      <c r="H731" s="6"/>
      <c r="I731" s="190"/>
      <c r="J731" s="190"/>
      <c r="K731" s="190"/>
      <c r="L731" s="190"/>
      <c r="M731" s="190"/>
      <c r="N731" s="190"/>
      <c r="O731" s="190"/>
      <c r="P731" s="190"/>
      <c r="Q731" s="190"/>
      <c r="R731" s="190"/>
      <c r="S731" s="190"/>
      <c r="T731" s="190"/>
      <c r="U731" s="190"/>
      <c r="V731" s="190"/>
      <c r="W731" s="190"/>
      <c r="X731" s="190"/>
      <c r="Y731" s="190"/>
      <c r="Z731" s="190"/>
      <c r="AA731" s="190"/>
      <c r="AB731" s="190"/>
      <c r="AC731" s="190"/>
      <c r="AD731" s="190"/>
      <c r="AE731" s="190"/>
      <c r="AF731" s="190"/>
      <c r="AG731" s="190"/>
      <c r="AH731" s="190"/>
      <c r="AI731" s="190"/>
      <c r="AJ731" s="190"/>
      <c r="AK731" s="190"/>
      <c r="AL731" s="190"/>
    </row>
    <row r="732" spans="2:38" ht="12.75" customHeight="1">
      <c r="B732" s="6"/>
      <c r="C732" s="6"/>
      <c r="D732" s="12"/>
      <c r="E732" s="12"/>
      <c r="F732" s="12"/>
      <c r="G732" s="12"/>
      <c r="H732" s="6"/>
      <c r="I732" s="190"/>
      <c r="J732" s="190"/>
      <c r="K732" s="190"/>
      <c r="L732" s="190"/>
      <c r="M732" s="190"/>
      <c r="N732" s="190"/>
      <c r="O732" s="190"/>
      <c r="P732" s="190"/>
      <c r="Q732" s="190"/>
      <c r="R732" s="190"/>
      <c r="S732" s="190"/>
      <c r="T732" s="190"/>
      <c r="U732" s="190"/>
      <c r="V732" s="190"/>
      <c r="W732" s="190"/>
      <c r="X732" s="190"/>
      <c r="Y732" s="190"/>
      <c r="Z732" s="190"/>
      <c r="AA732" s="190"/>
      <c r="AB732" s="190"/>
      <c r="AC732" s="190"/>
      <c r="AD732" s="190"/>
      <c r="AE732" s="190"/>
      <c r="AF732" s="190"/>
      <c r="AG732" s="190"/>
      <c r="AH732" s="190"/>
      <c r="AI732" s="190"/>
      <c r="AJ732" s="190"/>
      <c r="AK732" s="190"/>
      <c r="AL732" s="190"/>
    </row>
    <row r="733" spans="2:38" ht="12.75" customHeight="1">
      <c r="B733" s="6"/>
      <c r="C733" s="6"/>
      <c r="D733" s="12"/>
      <c r="E733" s="12"/>
      <c r="F733" s="12"/>
      <c r="G733" s="12"/>
      <c r="H733" s="6"/>
      <c r="I733" s="190"/>
      <c r="J733" s="190"/>
      <c r="K733" s="190"/>
      <c r="L733" s="190"/>
      <c r="M733" s="190"/>
      <c r="N733" s="190"/>
      <c r="O733" s="190"/>
      <c r="P733" s="190"/>
      <c r="Q733" s="190"/>
      <c r="R733" s="190"/>
      <c r="S733" s="190"/>
      <c r="T733" s="190"/>
      <c r="U733" s="190"/>
      <c r="V733" s="190"/>
      <c r="W733" s="190"/>
      <c r="X733" s="190"/>
      <c r="Y733" s="190"/>
      <c r="Z733" s="190"/>
      <c r="AA733" s="190"/>
      <c r="AB733" s="190"/>
      <c r="AC733" s="190"/>
      <c r="AD733" s="190"/>
      <c r="AE733" s="190"/>
      <c r="AF733" s="190"/>
      <c r="AG733" s="190"/>
      <c r="AH733" s="190"/>
      <c r="AI733" s="190"/>
      <c r="AJ733" s="190"/>
      <c r="AK733" s="190"/>
      <c r="AL733" s="190"/>
    </row>
    <row r="734" spans="2:38" ht="12.75" customHeight="1">
      <c r="B734" s="6"/>
      <c r="C734" s="6"/>
      <c r="D734" s="12"/>
      <c r="E734" s="12"/>
      <c r="F734" s="12"/>
      <c r="G734" s="12"/>
      <c r="H734" s="6"/>
      <c r="I734" s="190"/>
      <c r="J734" s="190"/>
      <c r="K734" s="190"/>
      <c r="L734" s="190"/>
      <c r="M734" s="190"/>
      <c r="N734" s="190"/>
      <c r="O734" s="190"/>
      <c r="P734" s="190"/>
      <c r="Q734" s="190"/>
      <c r="R734" s="190"/>
      <c r="S734" s="190"/>
      <c r="T734" s="190"/>
      <c r="U734" s="190"/>
      <c r="V734" s="190"/>
      <c r="W734" s="190"/>
      <c r="X734" s="190"/>
      <c r="Y734" s="190"/>
      <c r="Z734" s="190"/>
      <c r="AA734" s="190"/>
      <c r="AB734" s="190"/>
      <c r="AC734" s="190"/>
      <c r="AD734" s="190"/>
      <c r="AE734" s="190"/>
      <c r="AF734" s="190"/>
      <c r="AG734" s="190"/>
      <c r="AH734" s="190"/>
      <c r="AI734" s="190"/>
      <c r="AJ734" s="190"/>
      <c r="AK734" s="190"/>
      <c r="AL734" s="190"/>
    </row>
    <row r="735" spans="2:38" ht="12.75" customHeight="1">
      <c r="B735" s="6"/>
      <c r="C735" s="6"/>
      <c r="D735" s="12"/>
      <c r="E735" s="12"/>
      <c r="F735" s="12"/>
      <c r="G735" s="12"/>
      <c r="H735" s="6"/>
      <c r="I735" s="190"/>
      <c r="J735" s="190"/>
      <c r="K735" s="190"/>
      <c r="L735" s="190"/>
      <c r="M735" s="190"/>
      <c r="N735" s="190"/>
      <c r="O735" s="190"/>
      <c r="P735" s="190"/>
      <c r="Q735" s="190"/>
      <c r="R735" s="190"/>
      <c r="S735" s="190"/>
      <c r="T735" s="190"/>
      <c r="U735" s="190"/>
      <c r="V735" s="190"/>
      <c r="W735" s="190"/>
      <c r="X735" s="190"/>
      <c r="Y735" s="190"/>
      <c r="Z735" s="190"/>
      <c r="AA735" s="190"/>
      <c r="AB735" s="190"/>
      <c r="AC735" s="190"/>
      <c r="AD735" s="190"/>
      <c r="AE735" s="190"/>
      <c r="AF735" s="190"/>
      <c r="AG735" s="190"/>
      <c r="AH735" s="190"/>
      <c r="AI735" s="190"/>
      <c r="AJ735" s="190"/>
      <c r="AK735" s="190"/>
      <c r="AL735" s="190"/>
    </row>
    <row r="736" spans="2:38" ht="12.75" customHeight="1">
      <c r="B736" s="6"/>
      <c r="C736" s="6"/>
      <c r="D736" s="12"/>
      <c r="E736" s="12"/>
      <c r="F736" s="12"/>
      <c r="G736" s="12"/>
      <c r="H736" s="6"/>
      <c r="I736" s="190"/>
      <c r="J736" s="190"/>
      <c r="K736" s="190"/>
      <c r="L736" s="190"/>
      <c r="M736" s="190"/>
      <c r="N736" s="190"/>
      <c r="O736" s="190"/>
      <c r="P736" s="190"/>
      <c r="Q736" s="190"/>
      <c r="R736" s="190"/>
      <c r="S736" s="190"/>
      <c r="T736" s="190"/>
      <c r="U736" s="190"/>
      <c r="V736" s="190"/>
      <c r="W736" s="190"/>
      <c r="X736" s="190"/>
      <c r="Y736" s="190"/>
      <c r="Z736" s="190"/>
      <c r="AA736" s="190"/>
      <c r="AB736" s="190"/>
      <c r="AC736" s="190"/>
      <c r="AD736" s="190"/>
      <c r="AE736" s="190"/>
      <c r="AF736" s="190"/>
      <c r="AG736" s="190"/>
      <c r="AH736" s="190"/>
      <c r="AI736" s="190"/>
      <c r="AJ736" s="190"/>
      <c r="AK736" s="190"/>
      <c r="AL736" s="190"/>
    </row>
    <row r="737" spans="2:38" ht="12.75" customHeight="1">
      <c r="B737" s="6"/>
      <c r="C737" s="6"/>
      <c r="D737" s="12"/>
      <c r="E737" s="12"/>
      <c r="F737" s="12"/>
      <c r="G737" s="12"/>
      <c r="H737" s="6"/>
      <c r="I737" s="190"/>
      <c r="J737" s="190"/>
      <c r="K737" s="190"/>
      <c r="L737" s="190"/>
      <c r="M737" s="190"/>
      <c r="N737" s="190"/>
      <c r="O737" s="190"/>
      <c r="P737" s="190"/>
      <c r="Q737" s="190"/>
      <c r="R737" s="190"/>
      <c r="S737" s="190"/>
      <c r="T737" s="190"/>
      <c r="U737" s="190"/>
      <c r="V737" s="190"/>
      <c r="W737" s="190"/>
      <c r="X737" s="190"/>
      <c r="Y737" s="190"/>
      <c r="Z737" s="190"/>
      <c r="AA737" s="190"/>
      <c r="AB737" s="190"/>
      <c r="AC737" s="190"/>
      <c r="AD737" s="190"/>
      <c r="AE737" s="190"/>
      <c r="AF737" s="190"/>
      <c r="AG737" s="190"/>
      <c r="AH737" s="190"/>
      <c r="AI737" s="190"/>
      <c r="AJ737" s="190"/>
      <c r="AK737" s="190"/>
      <c r="AL737" s="190"/>
    </row>
    <row r="738" spans="2:38" ht="12.75" customHeight="1">
      <c r="B738" s="6"/>
      <c r="C738" s="6"/>
      <c r="D738" s="12"/>
      <c r="E738" s="12"/>
      <c r="F738" s="12"/>
      <c r="G738" s="12"/>
      <c r="H738" s="6"/>
      <c r="I738" s="190"/>
      <c r="J738" s="190"/>
      <c r="K738" s="190"/>
      <c r="L738" s="190"/>
      <c r="M738" s="190"/>
      <c r="N738" s="190"/>
      <c r="O738" s="190"/>
      <c r="P738" s="190"/>
      <c r="Q738" s="190"/>
      <c r="R738" s="190"/>
      <c r="S738" s="190"/>
      <c r="T738" s="190"/>
      <c r="U738" s="190"/>
      <c r="V738" s="190"/>
      <c r="W738" s="190"/>
      <c r="X738" s="190"/>
      <c r="Y738" s="190"/>
      <c r="Z738" s="190"/>
      <c r="AA738" s="190"/>
      <c r="AB738" s="190"/>
      <c r="AC738" s="190"/>
      <c r="AD738" s="190"/>
      <c r="AE738" s="190"/>
      <c r="AF738" s="190"/>
      <c r="AG738" s="190"/>
      <c r="AH738" s="190"/>
      <c r="AI738" s="190"/>
      <c r="AJ738" s="190"/>
      <c r="AK738" s="190"/>
      <c r="AL738" s="190"/>
    </row>
    <row r="739" spans="2:38" ht="12.75" customHeight="1">
      <c r="B739" s="6"/>
      <c r="C739" s="6"/>
      <c r="D739" s="12"/>
      <c r="E739" s="12"/>
      <c r="F739" s="12"/>
      <c r="G739" s="12"/>
      <c r="H739" s="6"/>
      <c r="I739" s="190"/>
      <c r="J739" s="190"/>
      <c r="K739" s="190"/>
      <c r="L739" s="190"/>
      <c r="M739" s="190"/>
      <c r="N739" s="190"/>
      <c r="O739" s="190"/>
      <c r="P739" s="190"/>
      <c r="Q739" s="190"/>
      <c r="R739" s="190"/>
      <c r="S739" s="190"/>
      <c r="T739" s="190"/>
      <c r="U739" s="190"/>
      <c r="V739" s="190"/>
      <c r="W739" s="190"/>
      <c r="X739" s="190"/>
      <c r="Y739" s="190"/>
      <c r="Z739" s="190"/>
      <c r="AA739" s="190"/>
      <c r="AB739" s="190"/>
      <c r="AC739" s="190"/>
      <c r="AD739" s="190"/>
      <c r="AE739" s="190"/>
      <c r="AF739" s="190"/>
      <c r="AG739" s="190"/>
      <c r="AH739" s="190"/>
      <c r="AI739" s="190"/>
      <c r="AJ739" s="190"/>
      <c r="AK739" s="190"/>
      <c r="AL739" s="190"/>
    </row>
    <row r="740" spans="2:38" ht="12.75" customHeight="1">
      <c r="B740" s="6"/>
      <c r="C740" s="6"/>
      <c r="D740" s="12"/>
      <c r="E740" s="12"/>
      <c r="F740" s="12"/>
      <c r="G740" s="12"/>
      <c r="H740" s="6"/>
      <c r="I740" s="190"/>
      <c r="J740" s="190"/>
      <c r="K740" s="190"/>
      <c r="L740" s="190"/>
      <c r="M740" s="190"/>
      <c r="N740" s="190"/>
      <c r="O740" s="190"/>
      <c r="P740" s="190"/>
      <c r="Q740" s="190"/>
      <c r="R740" s="190"/>
      <c r="S740" s="190"/>
      <c r="T740" s="190"/>
      <c r="U740" s="190"/>
      <c r="V740" s="190"/>
      <c r="W740" s="190"/>
      <c r="X740" s="190"/>
      <c r="Y740" s="190"/>
      <c r="Z740" s="190"/>
      <c r="AA740" s="190"/>
      <c r="AB740" s="190"/>
      <c r="AC740" s="190"/>
      <c r="AD740" s="190"/>
      <c r="AE740" s="190"/>
      <c r="AF740" s="190"/>
      <c r="AG740" s="190"/>
      <c r="AH740" s="190"/>
      <c r="AI740" s="190"/>
      <c r="AJ740" s="190"/>
      <c r="AK740" s="190"/>
      <c r="AL740" s="190"/>
    </row>
    <row r="741" spans="2:38" ht="12.75" customHeight="1">
      <c r="B741" s="6"/>
      <c r="C741" s="6"/>
      <c r="D741" s="12"/>
      <c r="E741" s="12"/>
      <c r="F741" s="12"/>
      <c r="G741" s="12"/>
      <c r="H741" s="6"/>
      <c r="I741" s="190"/>
      <c r="J741" s="190"/>
      <c r="K741" s="190"/>
      <c r="L741" s="190"/>
      <c r="M741" s="190"/>
      <c r="N741" s="190"/>
      <c r="O741" s="190"/>
      <c r="P741" s="190"/>
      <c r="Q741" s="190"/>
      <c r="R741" s="190"/>
      <c r="S741" s="190"/>
      <c r="T741" s="190"/>
      <c r="U741" s="190"/>
      <c r="V741" s="190"/>
      <c r="W741" s="190"/>
      <c r="X741" s="190"/>
      <c r="Y741" s="190"/>
      <c r="Z741" s="190"/>
      <c r="AA741" s="190"/>
      <c r="AB741" s="190"/>
      <c r="AC741" s="190"/>
      <c r="AD741" s="190"/>
      <c r="AE741" s="190"/>
      <c r="AF741" s="190"/>
      <c r="AG741" s="190"/>
      <c r="AH741" s="190"/>
      <c r="AI741" s="190"/>
      <c r="AJ741" s="190"/>
      <c r="AK741" s="190"/>
      <c r="AL741" s="190"/>
    </row>
    <row r="742" spans="2:38" ht="12.75" customHeight="1">
      <c r="B742" s="6"/>
      <c r="C742" s="6"/>
      <c r="D742" s="12"/>
      <c r="E742" s="12"/>
      <c r="F742" s="12"/>
      <c r="G742" s="12"/>
      <c r="H742" s="6"/>
      <c r="I742" s="190"/>
      <c r="J742" s="190"/>
      <c r="K742" s="190"/>
      <c r="L742" s="190"/>
      <c r="M742" s="190"/>
      <c r="N742" s="190"/>
      <c r="O742" s="190"/>
      <c r="P742" s="190"/>
      <c r="Q742" s="190"/>
      <c r="R742" s="190"/>
      <c r="S742" s="190"/>
      <c r="T742" s="190"/>
      <c r="U742" s="190"/>
      <c r="V742" s="190"/>
      <c r="W742" s="190"/>
      <c r="X742" s="190"/>
      <c r="Y742" s="190"/>
      <c r="Z742" s="190"/>
      <c r="AA742" s="190"/>
      <c r="AB742" s="190"/>
      <c r="AC742" s="190"/>
      <c r="AD742" s="190"/>
      <c r="AE742" s="190"/>
      <c r="AF742" s="190"/>
      <c r="AG742" s="190"/>
      <c r="AH742" s="190"/>
      <c r="AI742" s="190"/>
      <c r="AJ742" s="190"/>
      <c r="AK742" s="190"/>
      <c r="AL742" s="190"/>
    </row>
    <row r="743" spans="2:38" ht="12.75" customHeight="1">
      <c r="B743" s="6"/>
      <c r="C743" s="6"/>
      <c r="D743" s="12"/>
      <c r="E743" s="12"/>
      <c r="F743" s="12"/>
      <c r="G743" s="12"/>
      <c r="H743" s="6"/>
      <c r="I743" s="190"/>
      <c r="J743" s="190"/>
      <c r="K743" s="190"/>
      <c r="L743" s="190"/>
      <c r="M743" s="190"/>
      <c r="N743" s="190"/>
      <c r="O743" s="190"/>
      <c r="P743" s="190"/>
      <c r="Q743" s="190"/>
      <c r="R743" s="190"/>
      <c r="S743" s="190"/>
      <c r="T743" s="190"/>
      <c r="U743" s="190"/>
      <c r="V743" s="190"/>
      <c r="W743" s="190"/>
      <c r="X743" s="190"/>
      <c r="Y743" s="190"/>
      <c r="Z743" s="190"/>
      <c r="AA743" s="190"/>
      <c r="AB743" s="190"/>
      <c r="AC743" s="190"/>
      <c r="AD743" s="190"/>
      <c r="AE743" s="190"/>
      <c r="AF743" s="190"/>
      <c r="AG743" s="190"/>
      <c r="AH743" s="190"/>
      <c r="AI743" s="190"/>
      <c r="AJ743" s="190"/>
      <c r="AK743" s="190"/>
      <c r="AL743" s="190"/>
    </row>
    <row r="744" spans="2:38" ht="12.75" customHeight="1">
      <c r="B744" s="6"/>
      <c r="C744" s="6"/>
      <c r="D744" s="12"/>
      <c r="E744" s="12"/>
      <c r="F744" s="12"/>
      <c r="G744" s="12"/>
      <c r="H744" s="6"/>
      <c r="I744" s="190"/>
      <c r="J744" s="190"/>
      <c r="K744" s="190"/>
      <c r="L744" s="190"/>
      <c r="M744" s="190"/>
      <c r="N744" s="190"/>
      <c r="O744" s="190"/>
      <c r="P744" s="190"/>
      <c r="Q744" s="190"/>
      <c r="R744" s="190"/>
      <c r="S744" s="190"/>
      <c r="T744" s="190"/>
      <c r="U744" s="190"/>
      <c r="V744" s="190"/>
      <c r="W744" s="190"/>
      <c r="X744" s="190"/>
      <c r="Y744" s="190"/>
      <c r="Z744" s="190"/>
      <c r="AA744" s="190"/>
      <c r="AB744" s="190"/>
      <c r="AC744" s="190"/>
      <c r="AD744" s="190"/>
      <c r="AE744" s="190"/>
      <c r="AF744" s="190"/>
      <c r="AG744" s="190"/>
      <c r="AH744" s="190"/>
      <c r="AI744" s="190"/>
      <c r="AJ744" s="190"/>
      <c r="AK744" s="190"/>
      <c r="AL744" s="190"/>
    </row>
    <row r="745" spans="2:38" ht="12.75" customHeight="1">
      <c r="B745" s="6"/>
      <c r="C745" s="6"/>
      <c r="D745" s="12"/>
      <c r="E745" s="12"/>
      <c r="F745" s="12"/>
      <c r="G745" s="12"/>
      <c r="H745" s="6"/>
      <c r="I745" s="190"/>
      <c r="J745" s="190"/>
      <c r="K745" s="190"/>
      <c r="L745" s="190"/>
      <c r="M745" s="190"/>
      <c r="N745" s="190"/>
      <c r="O745" s="190"/>
      <c r="P745" s="190"/>
      <c r="Q745" s="190"/>
      <c r="R745" s="190"/>
      <c r="S745" s="190"/>
      <c r="T745" s="190"/>
      <c r="U745" s="190"/>
      <c r="V745" s="190"/>
      <c r="W745" s="190"/>
      <c r="X745" s="190"/>
      <c r="Y745" s="190"/>
      <c r="Z745" s="190"/>
      <c r="AA745" s="190"/>
      <c r="AB745" s="190"/>
      <c r="AC745" s="190"/>
      <c r="AD745" s="190"/>
      <c r="AE745" s="190"/>
      <c r="AF745" s="190"/>
      <c r="AG745" s="190"/>
      <c r="AH745" s="190"/>
      <c r="AI745" s="190"/>
      <c r="AJ745" s="190"/>
      <c r="AK745" s="190"/>
      <c r="AL745" s="190"/>
    </row>
    <row r="746" spans="2:38" ht="12.75" customHeight="1">
      <c r="B746" s="6"/>
      <c r="C746" s="6"/>
      <c r="D746" s="12"/>
      <c r="E746" s="12"/>
      <c r="F746" s="12"/>
      <c r="G746" s="12"/>
      <c r="H746" s="6"/>
      <c r="I746" s="190"/>
      <c r="J746" s="190"/>
      <c r="K746" s="190"/>
      <c r="L746" s="190"/>
      <c r="M746" s="190"/>
      <c r="N746" s="190"/>
      <c r="O746" s="190"/>
      <c r="P746" s="190"/>
      <c r="Q746" s="190"/>
      <c r="R746" s="190"/>
      <c r="S746" s="190"/>
      <c r="T746" s="190"/>
      <c r="U746" s="190"/>
      <c r="V746" s="190"/>
      <c r="W746" s="190"/>
      <c r="X746" s="190"/>
      <c r="Y746" s="190"/>
      <c r="Z746" s="190"/>
      <c r="AA746" s="190"/>
      <c r="AB746" s="190"/>
      <c r="AC746" s="190"/>
      <c r="AD746" s="190"/>
      <c r="AE746" s="190"/>
      <c r="AF746" s="190"/>
      <c r="AG746" s="190"/>
      <c r="AH746" s="190"/>
      <c r="AI746" s="190"/>
      <c r="AJ746" s="190"/>
      <c r="AK746" s="190"/>
      <c r="AL746" s="190"/>
    </row>
    <row r="747" spans="2:38" ht="12.75" customHeight="1">
      <c r="B747" s="6"/>
      <c r="C747" s="6"/>
      <c r="D747" s="12"/>
      <c r="E747" s="12"/>
      <c r="F747" s="12"/>
      <c r="G747" s="12"/>
      <c r="H747" s="6"/>
      <c r="I747" s="190"/>
      <c r="J747" s="190"/>
      <c r="K747" s="190"/>
      <c r="L747" s="190"/>
      <c r="M747" s="190"/>
      <c r="N747" s="190"/>
      <c r="O747" s="190"/>
      <c r="P747" s="190"/>
      <c r="Q747" s="190"/>
      <c r="R747" s="190"/>
      <c r="S747" s="190"/>
      <c r="T747" s="190"/>
      <c r="U747" s="190"/>
      <c r="V747" s="190"/>
      <c r="W747" s="190"/>
      <c r="X747" s="190"/>
      <c r="Y747" s="190"/>
      <c r="Z747" s="190"/>
      <c r="AA747" s="190"/>
      <c r="AB747" s="190"/>
      <c r="AC747" s="190"/>
      <c r="AD747" s="190"/>
      <c r="AE747" s="190"/>
      <c r="AF747" s="190"/>
      <c r="AG747" s="190"/>
      <c r="AH747" s="190"/>
      <c r="AI747" s="190"/>
      <c r="AJ747" s="190"/>
      <c r="AK747" s="190"/>
      <c r="AL747" s="190"/>
    </row>
    <row r="748" spans="2:38" ht="12.75" customHeight="1">
      <c r="B748" s="6"/>
      <c r="C748" s="6"/>
      <c r="D748" s="12"/>
      <c r="E748" s="12"/>
      <c r="F748" s="12"/>
      <c r="G748" s="12"/>
      <c r="H748" s="6"/>
      <c r="I748" s="190"/>
      <c r="J748" s="190"/>
      <c r="K748" s="190"/>
      <c r="L748" s="190"/>
      <c r="M748" s="190"/>
      <c r="N748" s="190"/>
      <c r="O748" s="190"/>
      <c r="P748" s="190"/>
      <c r="Q748" s="190"/>
      <c r="R748" s="190"/>
      <c r="S748" s="190"/>
      <c r="T748" s="190"/>
      <c r="U748" s="190"/>
      <c r="V748" s="190"/>
      <c r="W748" s="190"/>
      <c r="X748" s="190"/>
      <c r="Y748" s="190"/>
      <c r="Z748" s="190"/>
      <c r="AA748" s="190"/>
      <c r="AB748" s="190"/>
      <c r="AC748" s="190"/>
      <c r="AD748" s="190"/>
      <c r="AE748" s="190"/>
      <c r="AF748" s="190"/>
      <c r="AG748" s="190"/>
      <c r="AH748" s="190"/>
      <c r="AI748" s="190"/>
      <c r="AJ748" s="190"/>
      <c r="AK748" s="190"/>
      <c r="AL748" s="190"/>
    </row>
    <row r="749" spans="2:38" ht="12.75" customHeight="1">
      <c r="B749" s="6"/>
      <c r="C749" s="6"/>
      <c r="D749" s="12"/>
      <c r="E749" s="12"/>
      <c r="F749" s="12"/>
      <c r="G749" s="12"/>
      <c r="H749" s="6"/>
      <c r="I749" s="190"/>
      <c r="J749" s="190"/>
      <c r="K749" s="190"/>
      <c r="L749" s="190"/>
      <c r="M749" s="190"/>
      <c r="N749" s="190"/>
      <c r="O749" s="190"/>
      <c r="P749" s="190"/>
      <c r="Q749" s="190"/>
      <c r="R749" s="190"/>
      <c r="S749" s="190"/>
      <c r="T749" s="190"/>
      <c r="U749" s="190"/>
      <c r="V749" s="190"/>
      <c r="W749" s="190"/>
      <c r="X749" s="190"/>
      <c r="Y749" s="190"/>
      <c r="Z749" s="190"/>
      <c r="AA749" s="190"/>
      <c r="AB749" s="190"/>
      <c r="AC749" s="190"/>
      <c r="AD749" s="190"/>
      <c r="AE749" s="190"/>
      <c r="AF749" s="190"/>
      <c r="AG749" s="190"/>
      <c r="AH749" s="190"/>
      <c r="AI749" s="190"/>
      <c r="AJ749" s="190"/>
      <c r="AK749" s="190"/>
      <c r="AL749" s="190"/>
    </row>
    <row r="750" spans="2:38" ht="12.75" customHeight="1">
      <c r="B750" s="6"/>
      <c r="C750" s="6"/>
      <c r="D750" s="12"/>
      <c r="E750" s="12"/>
      <c r="F750" s="12"/>
      <c r="G750" s="12"/>
      <c r="H750" s="6"/>
      <c r="I750" s="190"/>
      <c r="J750" s="190"/>
      <c r="K750" s="190"/>
      <c r="L750" s="190"/>
      <c r="M750" s="190"/>
      <c r="N750" s="190"/>
      <c r="O750" s="190"/>
      <c r="P750" s="190"/>
      <c r="Q750" s="190"/>
      <c r="R750" s="190"/>
      <c r="S750" s="190"/>
      <c r="T750" s="190"/>
      <c r="U750" s="190"/>
      <c r="V750" s="190"/>
      <c r="W750" s="190"/>
      <c r="X750" s="190"/>
      <c r="Y750" s="190"/>
      <c r="Z750" s="190"/>
      <c r="AA750" s="190"/>
      <c r="AB750" s="190"/>
      <c r="AC750" s="190"/>
      <c r="AD750" s="190"/>
      <c r="AE750" s="190"/>
      <c r="AF750" s="190"/>
      <c r="AG750" s="190"/>
      <c r="AH750" s="190"/>
      <c r="AI750" s="190"/>
      <c r="AJ750" s="190"/>
      <c r="AK750" s="190"/>
      <c r="AL750" s="190"/>
    </row>
    <row r="751" spans="2:38" ht="12.75" customHeight="1">
      <c r="B751" s="6"/>
      <c r="C751" s="6"/>
      <c r="D751" s="12"/>
      <c r="E751" s="12"/>
      <c r="F751" s="12"/>
      <c r="G751" s="12"/>
      <c r="H751" s="6"/>
      <c r="I751" s="190"/>
      <c r="J751" s="190"/>
      <c r="K751" s="190"/>
      <c r="L751" s="190"/>
      <c r="M751" s="190"/>
      <c r="N751" s="190"/>
      <c r="O751" s="190"/>
      <c r="P751" s="190"/>
      <c r="Q751" s="190"/>
      <c r="R751" s="190"/>
      <c r="S751" s="190"/>
      <c r="T751" s="190"/>
      <c r="U751" s="190"/>
      <c r="V751" s="190"/>
      <c r="W751" s="190"/>
      <c r="X751" s="190"/>
      <c r="Y751" s="190"/>
      <c r="Z751" s="190"/>
      <c r="AA751" s="190"/>
      <c r="AB751" s="190"/>
      <c r="AC751" s="190"/>
      <c r="AD751" s="190"/>
      <c r="AE751" s="190"/>
      <c r="AF751" s="190"/>
      <c r="AG751" s="190"/>
      <c r="AH751" s="190"/>
      <c r="AI751" s="190"/>
      <c r="AJ751" s="190"/>
      <c r="AK751" s="190"/>
      <c r="AL751" s="190"/>
    </row>
    <row r="752" spans="2:38" ht="12.75" customHeight="1">
      <c r="B752" s="6"/>
      <c r="C752" s="6"/>
      <c r="D752" s="12"/>
      <c r="E752" s="12"/>
      <c r="F752" s="12"/>
      <c r="G752" s="12"/>
      <c r="H752" s="6"/>
      <c r="I752" s="190"/>
      <c r="J752" s="190"/>
      <c r="K752" s="190"/>
      <c r="L752" s="190"/>
      <c r="M752" s="190"/>
      <c r="N752" s="190"/>
      <c r="O752" s="190"/>
      <c r="P752" s="190"/>
      <c r="Q752" s="190"/>
      <c r="R752" s="190"/>
      <c r="S752" s="190"/>
      <c r="T752" s="190"/>
      <c r="U752" s="190"/>
      <c r="V752" s="190"/>
      <c r="W752" s="190"/>
      <c r="X752" s="190"/>
      <c r="Y752" s="190"/>
      <c r="Z752" s="190"/>
      <c r="AA752" s="190"/>
      <c r="AB752" s="190"/>
      <c r="AC752" s="190"/>
      <c r="AD752" s="190"/>
      <c r="AE752" s="190"/>
      <c r="AF752" s="190"/>
      <c r="AG752" s="190"/>
      <c r="AH752" s="190"/>
      <c r="AI752" s="190"/>
      <c r="AJ752" s="190"/>
      <c r="AK752" s="190"/>
      <c r="AL752" s="190"/>
    </row>
    <row r="753" spans="2:38" ht="12.75" customHeight="1">
      <c r="B753" s="6"/>
      <c r="C753" s="6"/>
      <c r="D753" s="12"/>
      <c r="E753" s="12"/>
      <c r="F753" s="12"/>
      <c r="G753" s="12"/>
      <c r="H753" s="6"/>
      <c r="I753" s="190"/>
      <c r="J753" s="190"/>
      <c r="K753" s="190"/>
      <c r="L753" s="190"/>
      <c r="M753" s="190"/>
      <c r="N753" s="190"/>
      <c r="O753" s="190"/>
      <c r="P753" s="190"/>
      <c r="Q753" s="190"/>
      <c r="R753" s="190"/>
      <c r="S753" s="190"/>
      <c r="T753" s="190"/>
      <c r="U753" s="190"/>
      <c r="V753" s="190"/>
      <c r="W753" s="190"/>
      <c r="X753" s="190"/>
      <c r="Y753" s="190"/>
      <c r="Z753" s="190"/>
      <c r="AA753" s="190"/>
      <c r="AB753" s="190"/>
      <c r="AC753" s="190"/>
      <c r="AD753" s="190"/>
      <c r="AE753" s="190"/>
      <c r="AF753" s="190"/>
      <c r="AG753" s="190"/>
      <c r="AH753" s="190"/>
      <c r="AI753" s="190"/>
      <c r="AJ753" s="190"/>
      <c r="AK753" s="190"/>
      <c r="AL753" s="190"/>
    </row>
    <row r="754" spans="2:38" ht="12.75" customHeight="1">
      <c r="B754" s="6"/>
      <c r="C754" s="6"/>
      <c r="D754" s="12"/>
      <c r="E754" s="12"/>
      <c r="F754" s="12"/>
      <c r="G754" s="12"/>
      <c r="H754" s="6"/>
      <c r="I754" s="190"/>
      <c r="J754" s="190"/>
      <c r="K754" s="190"/>
      <c r="L754" s="190"/>
      <c r="M754" s="190"/>
      <c r="N754" s="190"/>
      <c r="O754" s="190"/>
      <c r="P754" s="190"/>
      <c r="Q754" s="190"/>
      <c r="R754" s="190"/>
      <c r="S754" s="190"/>
      <c r="T754" s="190"/>
      <c r="U754" s="190"/>
      <c r="V754" s="190"/>
      <c r="W754" s="190"/>
      <c r="X754" s="190"/>
      <c r="Y754" s="190"/>
      <c r="Z754" s="190"/>
      <c r="AA754" s="190"/>
      <c r="AB754" s="190"/>
      <c r="AC754" s="190"/>
      <c r="AD754" s="190"/>
      <c r="AE754" s="190"/>
      <c r="AF754" s="190"/>
      <c r="AG754" s="190"/>
      <c r="AH754" s="190"/>
      <c r="AI754" s="190"/>
      <c r="AJ754" s="190"/>
      <c r="AK754" s="190"/>
      <c r="AL754" s="190"/>
    </row>
    <row r="755" spans="2:38" ht="12.75" customHeight="1">
      <c r="B755" s="6"/>
      <c r="C755" s="6"/>
      <c r="D755" s="12"/>
      <c r="E755" s="12"/>
      <c r="F755" s="12"/>
      <c r="G755" s="12"/>
      <c r="H755" s="6"/>
      <c r="I755" s="190"/>
      <c r="J755" s="190"/>
      <c r="K755" s="190"/>
      <c r="L755" s="190"/>
      <c r="M755" s="190"/>
      <c r="N755" s="190"/>
      <c r="O755" s="190"/>
      <c r="P755" s="190"/>
      <c r="Q755" s="190"/>
      <c r="R755" s="190"/>
      <c r="S755" s="190"/>
      <c r="T755" s="190"/>
      <c r="U755" s="190"/>
      <c r="V755" s="190"/>
      <c r="W755" s="190"/>
      <c r="X755" s="190"/>
      <c r="Y755" s="190"/>
      <c r="Z755" s="190"/>
      <c r="AA755" s="190"/>
      <c r="AB755" s="190"/>
      <c r="AC755" s="190"/>
      <c r="AD755" s="190"/>
      <c r="AE755" s="190"/>
      <c r="AF755" s="190"/>
      <c r="AG755" s="190"/>
      <c r="AH755" s="190"/>
      <c r="AI755" s="190"/>
      <c r="AJ755" s="190"/>
      <c r="AK755" s="190"/>
      <c r="AL755" s="190"/>
    </row>
    <row r="756" spans="2:38" ht="12.75" customHeight="1">
      <c r="B756" s="6"/>
      <c r="C756" s="6"/>
      <c r="D756" s="12"/>
      <c r="E756" s="12"/>
      <c r="F756" s="12"/>
      <c r="G756" s="12"/>
      <c r="H756" s="6"/>
      <c r="I756" s="190"/>
      <c r="J756" s="190"/>
      <c r="K756" s="190"/>
      <c r="L756" s="190"/>
      <c r="M756" s="190"/>
      <c r="N756" s="190"/>
      <c r="O756" s="190"/>
      <c r="P756" s="190"/>
      <c r="Q756" s="190"/>
      <c r="R756" s="190"/>
      <c r="S756" s="190"/>
      <c r="T756" s="190"/>
      <c r="U756" s="190"/>
      <c r="V756" s="190"/>
      <c r="W756" s="190"/>
      <c r="X756" s="190"/>
      <c r="Y756" s="190"/>
      <c r="Z756" s="190"/>
      <c r="AA756" s="190"/>
      <c r="AB756" s="190"/>
      <c r="AC756" s="190"/>
      <c r="AD756" s="190"/>
      <c r="AE756" s="190"/>
      <c r="AF756" s="190"/>
      <c r="AG756" s="190"/>
      <c r="AH756" s="190"/>
      <c r="AI756" s="190"/>
      <c r="AJ756" s="190"/>
      <c r="AK756" s="190"/>
      <c r="AL756" s="190"/>
    </row>
    <row r="757" spans="2:38" ht="12.75" customHeight="1">
      <c r="B757" s="6"/>
      <c r="C757" s="6"/>
      <c r="D757" s="12"/>
      <c r="E757" s="12"/>
      <c r="F757" s="12"/>
      <c r="G757" s="12"/>
      <c r="H757" s="6"/>
      <c r="I757" s="190"/>
      <c r="J757" s="190"/>
      <c r="K757" s="190"/>
      <c r="L757" s="190"/>
      <c r="M757" s="190"/>
      <c r="N757" s="190"/>
      <c r="O757" s="190"/>
      <c r="P757" s="190"/>
      <c r="Q757" s="190"/>
      <c r="R757" s="190"/>
      <c r="S757" s="190"/>
      <c r="T757" s="190"/>
      <c r="U757" s="190"/>
      <c r="V757" s="190"/>
      <c r="W757" s="190"/>
      <c r="X757" s="190"/>
      <c r="Y757" s="190"/>
      <c r="Z757" s="190"/>
      <c r="AA757" s="190"/>
      <c r="AB757" s="190"/>
      <c r="AC757" s="190"/>
      <c r="AD757" s="190"/>
      <c r="AE757" s="190"/>
      <c r="AF757" s="190"/>
      <c r="AG757" s="190"/>
      <c r="AH757" s="190"/>
      <c r="AI757" s="190"/>
      <c r="AJ757" s="190"/>
      <c r="AK757" s="190"/>
      <c r="AL757" s="190"/>
    </row>
    <row r="758" spans="2:38" ht="12.75" customHeight="1">
      <c r="B758" s="6"/>
      <c r="C758" s="6"/>
      <c r="D758" s="12"/>
      <c r="E758" s="12"/>
      <c r="F758" s="12"/>
      <c r="G758" s="12"/>
      <c r="H758" s="6"/>
      <c r="I758" s="190"/>
      <c r="J758" s="190"/>
      <c r="K758" s="190"/>
      <c r="L758" s="190"/>
      <c r="M758" s="190"/>
      <c r="N758" s="190"/>
      <c r="O758" s="190"/>
      <c r="P758" s="190"/>
      <c r="Q758" s="190"/>
      <c r="R758" s="190"/>
      <c r="S758" s="190"/>
      <c r="T758" s="190"/>
      <c r="U758" s="190"/>
      <c r="V758" s="190"/>
      <c r="W758" s="190"/>
      <c r="X758" s="190"/>
      <c r="Y758" s="190"/>
      <c r="Z758" s="190"/>
      <c r="AA758" s="190"/>
      <c r="AB758" s="190"/>
      <c r="AC758" s="190"/>
      <c r="AD758" s="190"/>
      <c r="AE758" s="190"/>
      <c r="AF758" s="190"/>
      <c r="AG758" s="190"/>
      <c r="AH758" s="190"/>
      <c r="AI758" s="190"/>
      <c r="AJ758" s="190"/>
      <c r="AK758" s="190"/>
      <c r="AL758" s="190"/>
    </row>
    <row r="759" spans="2:38" ht="12.75" customHeight="1">
      <c r="B759" s="6"/>
      <c r="C759" s="6"/>
      <c r="D759" s="12"/>
      <c r="E759" s="12"/>
      <c r="F759" s="12"/>
      <c r="G759" s="12"/>
      <c r="H759" s="6"/>
      <c r="I759" s="190"/>
      <c r="J759" s="190"/>
      <c r="K759" s="190"/>
      <c r="L759" s="190"/>
      <c r="M759" s="190"/>
      <c r="N759" s="190"/>
      <c r="O759" s="190"/>
      <c r="P759" s="190"/>
      <c r="Q759" s="190"/>
      <c r="R759" s="190"/>
      <c r="S759" s="190"/>
      <c r="T759" s="190"/>
      <c r="U759" s="190"/>
      <c r="V759" s="190"/>
      <c r="W759" s="190"/>
      <c r="X759" s="190"/>
      <c r="Y759" s="190"/>
      <c r="Z759" s="190"/>
      <c r="AA759" s="190"/>
      <c r="AB759" s="190"/>
      <c r="AC759" s="190"/>
      <c r="AD759" s="190"/>
      <c r="AE759" s="190"/>
      <c r="AF759" s="190"/>
      <c r="AG759" s="190"/>
      <c r="AH759" s="190"/>
      <c r="AI759" s="190"/>
      <c r="AJ759" s="190"/>
      <c r="AK759" s="190"/>
      <c r="AL759" s="190"/>
    </row>
    <row r="760" spans="2:38" ht="12.75" customHeight="1">
      <c r="B760" s="6"/>
      <c r="C760" s="6"/>
      <c r="D760" s="12"/>
      <c r="E760" s="12"/>
      <c r="F760" s="12"/>
      <c r="G760" s="12"/>
      <c r="H760" s="6"/>
      <c r="I760" s="190"/>
      <c r="J760" s="190"/>
      <c r="K760" s="190"/>
      <c r="L760" s="190"/>
      <c r="M760" s="190"/>
      <c r="N760" s="190"/>
      <c r="O760" s="190"/>
      <c r="P760" s="190"/>
      <c r="Q760" s="190"/>
      <c r="R760" s="190"/>
      <c r="S760" s="190"/>
      <c r="T760" s="190"/>
      <c r="U760" s="190"/>
      <c r="V760" s="190"/>
      <c r="W760" s="190"/>
      <c r="X760" s="190"/>
      <c r="Y760" s="190"/>
      <c r="Z760" s="190"/>
      <c r="AA760" s="190"/>
      <c r="AB760" s="190"/>
      <c r="AC760" s="190"/>
      <c r="AD760" s="190"/>
      <c r="AE760" s="190"/>
      <c r="AF760" s="190"/>
      <c r="AG760" s="190"/>
      <c r="AH760" s="190"/>
      <c r="AI760" s="190"/>
      <c r="AJ760" s="190"/>
      <c r="AK760" s="190"/>
      <c r="AL760" s="190"/>
    </row>
    <row r="761" spans="2:38" ht="12.75" customHeight="1">
      <c r="B761" s="6"/>
      <c r="C761" s="6"/>
      <c r="D761" s="12"/>
      <c r="E761" s="12"/>
      <c r="F761" s="12"/>
      <c r="G761" s="12"/>
      <c r="H761" s="6"/>
      <c r="I761" s="190"/>
      <c r="J761" s="190"/>
      <c r="K761" s="190"/>
      <c r="L761" s="190"/>
      <c r="M761" s="190"/>
      <c r="N761" s="190"/>
      <c r="O761" s="190"/>
      <c r="P761" s="190"/>
      <c r="Q761" s="190"/>
      <c r="R761" s="190"/>
      <c r="S761" s="190"/>
      <c r="T761" s="190"/>
      <c r="U761" s="190"/>
      <c r="V761" s="190"/>
      <c r="W761" s="190"/>
      <c r="X761" s="190"/>
      <c r="Y761" s="190"/>
      <c r="Z761" s="190"/>
      <c r="AA761" s="190"/>
      <c r="AB761" s="190"/>
      <c r="AC761" s="190"/>
      <c r="AD761" s="190"/>
      <c r="AE761" s="190"/>
      <c r="AF761" s="190"/>
      <c r="AG761" s="190"/>
      <c r="AH761" s="190"/>
      <c r="AI761" s="190"/>
      <c r="AJ761" s="190"/>
      <c r="AK761" s="190"/>
      <c r="AL761" s="190"/>
    </row>
    <row r="762" spans="2:38" ht="12.75" customHeight="1">
      <c r="B762" s="6"/>
      <c r="C762" s="6"/>
      <c r="D762" s="12"/>
      <c r="E762" s="12"/>
      <c r="F762" s="12"/>
      <c r="G762" s="12"/>
      <c r="H762" s="6"/>
      <c r="I762" s="190"/>
      <c r="J762" s="190"/>
      <c r="K762" s="190"/>
      <c r="L762" s="190"/>
      <c r="M762" s="190"/>
      <c r="N762" s="190"/>
      <c r="O762" s="190"/>
      <c r="P762" s="190"/>
      <c r="Q762" s="190"/>
      <c r="R762" s="190"/>
      <c r="S762" s="190"/>
      <c r="T762" s="190"/>
      <c r="U762" s="190"/>
      <c r="V762" s="190"/>
      <c r="W762" s="190"/>
      <c r="X762" s="190"/>
      <c r="Y762" s="190"/>
      <c r="Z762" s="190"/>
      <c r="AA762" s="190"/>
      <c r="AB762" s="190"/>
      <c r="AC762" s="190"/>
      <c r="AD762" s="190"/>
      <c r="AE762" s="190"/>
      <c r="AF762" s="190"/>
      <c r="AG762" s="190"/>
      <c r="AH762" s="190"/>
      <c r="AI762" s="190"/>
      <c r="AJ762" s="190"/>
      <c r="AK762" s="190"/>
      <c r="AL762" s="190"/>
    </row>
    <row r="763" spans="2:38" ht="12.75" customHeight="1">
      <c r="B763" s="6"/>
      <c r="C763" s="6"/>
      <c r="D763" s="12"/>
      <c r="E763" s="12"/>
      <c r="F763" s="12"/>
      <c r="G763" s="12"/>
      <c r="H763" s="6"/>
      <c r="I763" s="190"/>
      <c r="J763" s="190"/>
      <c r="K763" s="190"/>
      <c r="L763" s="190"/>
      <c r="M763" s="190"/>
      <c r="N763" s="190"/>
      <c r="O763" s="190"/>
      <c r="P763" s="190"/>
      <c r="Q763" s="190"/>
      <c r="R763" s="190"/>
      <c r="S763" s="190"/>
      <c r="T763" s="190"/>
      <c r="U763" s="190"/>
      <c r="V763" s="190"/>
      <c r="W763" s="190"/>
      <c r="X763" s="190"/>
      <c r="Y763" s="190"/>
      <c r="Z763" s="190"/>
      <c r="AA763" s="190"/>
      <c r="AB763" s="190"/>
      <c r="AC763" s="190"/>
      <c r="AD763" s="190"/>
      <c r="AE763" s="190"/>
      <c r="AF763" s="190"/>
      <c r="AG763" s="190"/>
      <c r="AH763" s="190"/>
      <c r="AI763" s="190"/>
      <c r="AJ763" s="190"/>
      <c r="AK763" s="190"/>
      <c r="AL763" s="190"/>
    </row>
    <row r="764" spans="2:38" ht="12.75" customHeight="1">
      <c r="B764" s="6"/>
      <c r="C764" s="6"/>
      <c r="D764" s="12"/>
      <c r="E764" s="12"/>
      <c r="F764" s="12"/>
      <c r="G764" s="12"/>
      <c r="H764" s="6"/>
      <c r="I764" s="190"/>
      <c r="J764" s="190"/>
      <c r="K764" s="190"/>
      <c r="L764" s="190"/>
      <c r="M764" s="190"/>
      <c r="N764" s="190"/>
      <c r="O764" s="190"/>
      <c r="P764" s="190"/>
      <c r="Q764" s="190"/>
      <c r="R764" s="190"/>
      <c r="S764" s="190"/>
      <c r="T764" s="190"/>
      <c r="U764" s="190"/>
      <c r="V764" s="190"/>
      <c r="W764" s="190"/>
      <c r="X764" s="190"/>
      <c r="Y764" s="190"/>
      <c r="Z764" s="190"/>
      <c r="AA764" s="190"/>
      <c r="AB764" s="190"/>
      <c r="AC764" s="190"/>
      <c r="AD764" s="190"/>
      <c r="AE764" s="190"/>
      <c r="AF764" s="190"/>
      <c r="AG764" s="190"/>
      <c r="AH764" s="190"/>
      <c r="AI764" s="190"/>
      <c r="AJ764" s="190"/>
      <c r="AK764" s="190"/>
      <c r="AL764" s="190"/>
    </row>
    <row r="765" spans="2:38" ht="12.75" customHeight="1">
      <c r="B765" s="6"/>
      <c r="C765" s="6"/>
      <c r="D765" s="12"/>
      <c r="E765" s="12"/>
      <c r="F765" s="12"/>
      <c r="G765" s="12"/>
      <c r="H765" s="6"/>
      <c r="I765" s="190"/>
      <c r="J765" s="190"/>
      <c r="K765" s="190"/>
      <c r="L765" s="190"/>
      <c r="M765" s="190"/>
      <c r="N765" s="190"/>
      <c r="O765" s="190"/>
      <c r="P765" s="190"/>
      <c r="Q765" s="190"/>
      <c r="R765" s="190"/>
      <c r="S765" s="190"/>
      <c r="T765" s="190"/>
      <c r="U765" s="190"/>
      <c r="V765" s="190"/>
      <c r="W765" s="190"/>
      <c r="X765" s="190"/>
      <c r="Y765" s="190"/>
      <c r="Z765" s="190"/>
      <c r="AA765" s="190"/>
      <c r="AB765" s="190"/>
      <c r="AC765" s="190"/>
      <c r="AD765" s="190"/>
      <c r="AE765" s="190"/>
      <c r="AF765" s="190"/>
      <c r="AG765" s="190"/>
      <c r="AH765" s="190"/>
      <c r="AI765" s="190"/>
      <c r="AJ765" s="190"/>
      <c r="AK765" s="190"/>
      <c r="AL765" s="190"/>
    </row>
    <row r="766" spans="2:38" ht="12.75" customHeight="1">
      <c r="B766" s="6"/>
      <c r="C766" s="6"/>
      <c r="D766" s="12"/>
      <c r="E766" s="12"/>
      <c r="F766" s="12"/>
      <c r="G766" s="12"/>
      <c r="H766" s="6"/>
      <c r="I766" s="190"/>
      <c r="J766" s="190"/>
      <c r="K766" s="190"/>
      <c r="L766" s="190"/>
      <c r="M766" s="190"/>
      <c r="N766" s="190"/>
      <c r="O766" s="190"/>
      <c r="P766" s="190"/>
      <c r="Q766" s="190"/>
      <c r="R766" s="190"/>
      <c r="S766" s="190"/>
      <c r="T766" s="190"/>
      <c r="U766" s="190"/>
      <c r="V766" s="190"/>
      <c r="W766" s="190"/>
      <c r="X766" s="190"/>
      <c r="Y766" s="190"/>
      <c r="Z766" s="190"/>
      <c r="AA766" s="190"/>
      <c r="AB766" s="190"/>
      <c r="AC766" s="190"/>
      <c r="AD766" s="190"/>
      <c r="AE766" s="190"/>
      <c r="AF766" s="190"/>
      <c r="AG766" s="190"/>
      <c r="AH766" s="190"/>
      <c r="AI766" s="190"/>
      <c r="AJ766" s="190"/>
      <c r="AK766" s="190"/>
      <c r="AL766" s="190"/>
    </row>
    <row r="767" spans="2:38" ht="12.75" customHeight="1">
      <c r="B767" s="6"/>
      <c r="C767" s="6"/>
      <c r="D767" s="12"/>
      <c r="E767" s="12"/>
      <c r="F767" s="12"/>
      <c r="G767" s="12"/>
      <c r="H767" s="6"/>
      <c r="I767" s="190"/>
      <c r="J767" s="190"/>
      <c r="K767" s="190"/>
      <c r="L767" s="190"/>
      <c r="M767" s="190"/>
      <c r="N767" s="190"/>
      <c r="O767" s="190"/>
      <c r="P767" s="190"/>
      <c r="Q767" s="190"/>
      <c r="R767" s="190"/>
      <c r="S767" s="190"/>
      <c r="T767" s="190"/>
      <c r="U767" s="190"/>
      <c r="V767" s="190"/>
      <c r="W767" s="190"/>
      <c r="X767" s="190"/>
      <c r="Y767" s="190"/>
      <c r="Z767" s="190"/>
      <c r="AA767" s="190"/>
      <c r="AB767" s="190"/>
      <c r="AC767" s="190"/>
      <c r="AD767" s="190"/>
      <c r="AE767" s="190"/>
      <c r="AF767" s="190"/>
      <c r="AG767" s="190"/>
      <c r="AH767" s="190"/>
      <c r="AI767" s="190"/>
      <c r="AJ767" s="190"/>
      <c r="AK767" s="190"/>
      <c r="AL767" s="190"/>
    </row>
    <row r="768" spans="2:38" ht="12.75" customHeight="1">
      <c r="B768" s="6"/>
      <c r="C768" s="6"/>
      <c r="D768" s="12"/>
      <c r="E768" s="12"/>
      <c r="F768" s="12"/>
      <c r="G768" s="12"/>
      <c r="H768" s="6"/>
      <c r="I768" s="190"/>
      <c r="J768" s="190"/>
      <c r="K768" s="190"/>
      <c r="L768" s="190"/>
      <c r="M768" s="190"/>
      <c r="N768" s="190"/>
      <c r="O768" s="190"/>
      <c r="P768" s="190"/>
      <c r="Q768" s="190"/>
      <c r="R768" s="190"/>
      <c r="S768" s="190"/>
      <c r="T768" s="190"/>
      <c r="U768" s="190"/>
      <c r="V768" s="190"/>
      <c r="W768" s="190"/>
      <c r="X768" s="190"/>
      <c r="Y768" s="190"/>
      <c r="Z768" s="190"/>
      <c r="AA768" s="190"/>
      <c r="AB768" s="190"/>
      <c r="AC768" s="190"/>
      <c r="AD768" s="190"/>
      <c r="AE768" s="190"/>
      <c r="AF768" s="190"/>
      <c r="AG768" s="190"/>
      <c r="AH768" s="190"/>
      <c r="AI768" s="190"/>
      <c r="AJ768" s="190"/>
      <c r="AK768" s="190"/>
      <c r="AL768" s="190"/>
    </row>
    <row r="769" spans="2:38" ht="12.75" customHeight="1">
      <c r="B769" s="6"/>
      <c r="C769" s="6"/>
      <c r="D769" s="12"/>
      <c r="E769" s="12"/>
      <c r="F769" s="12"/>
      <c r="G769" s="12"/>
      <c r="H769" s="6"/>
      <c r="I769" s="190"/>
      <c r="J769" s="190"/>
      <c r="K769" s="190"/>
      <c r="L769" s="190"/>
      <c r="M769" s="190"/>
      <c r="N769" s="190"/>
      <c r="O769" s="190"/>
      <c r="P769" s="190"/>
      <c r="Q769" s="190"/>
      <c r="R769" s="190"/>
      <c r="S769" s="190"/>
      <c r="T769" s="190"/>
      <c r="U769" s="190"/>
      <c r="V769" s="190"/>
      <c r="W769" s="190"/>
      <c r="X769" s="190"/>
      <c r="Y769" s="190"/>
      <c r="Z769" s="190"/>
      <c r="AA769" s="190"/>
      <c r="AB769" s="190"/>
      <c r="AC769" s="190"/>
      <c r="AD769" s="190"/>
      <c r="AE769" s="190"/>
      <c r="AF769" s="190"/>
      <c r="AG769" s="190"/>
      <c r="AH769" s="190"/>
      <c r="AI769" s="190"/>
      <c r="AJ769" s="190"/>
      <c r="AK769" s="190"/>
      <c r="AL769" s="190"/>
    </row>
    <row r="770" spans="2:38" ht="12.75" customHeight="1">
      <c r="B770" s="6"/>
      <c r="C770" s="6"/>
      <c r="D770" s="12"/>
      <c r="E770" s="12"/>
      <c r="F770" s="12"/>
      <c r="G770" s="12"/>
      <c r="H770" s="6"/>
      <c r="I770" s="190"/>
      <c r="J770" s="190"/>
      <c r="K770" s="190"/>
      <c r="L770" s="190"/>
      <c r="M770" s="190"/>
      <c r="N770" s="190"/>
      <c r="O770" s="190"/>
      <c r="P770" s="190"/>
      <c r="Q770" s="190"/>
      <c r="R770" s="190"/>
      <c r="S770" s="190"/>
      <c r="T770" s="190"/>
      <c r="U770" s="190"/>
      <c r="V770" s="190"/>
      <c r="W770" s="190"/>
      <c r="X770" s="190"/>
      <c r="Y770" s="190"/>
      <c r="Z770" s="190"/>
      <c r="AA770" s="190"/>
      <c r="AB770" s="190"/>
      <c r="AC770" s="190"/>
      <c r="AD770" s="190"/>
      <c r="AE770" s="190"/>
      <c r="AF770" s="190"/>
      <c r="AG770" s="190"/>
      <c r="AH770" s="190"/>
      <c r="AI770" s="190"/>
      <c r="AJ770" s="190"/>
      <c r="AK770" s="190"/>
      <c r="AL770" s="190"/>
    </row>
    <row r="771" spans="2:38" ht="12.75" customHeight="1">
      <c r="B771" s="6"/>
      <c r="C771" s="6"/>
      <c r="D771" s="12"/>
      <c r="E771" s="12"/>
      <c r="F771" s="12"/>
      <c r="G771" s="12"/>
      <c r="H771" s="6"/>
      <c r="I771" s="190"/>
      <c r="J771" s="190"/>
      <c r="K771" s="190"/>
      <c r="L771" s="190"/>
      <c r="M771" s="190"/>
      <c r="N771" s="190"/>
      <c r="O771" s="190"/>
      <c r="P771" s="190"/>
      <c r="Q771" s="190"/>
      <c r="R771" s="190"/>
      <c r="S771" s="190"/>
      <c r="T771" s="190"/>
      <c r="U771" s="190"/>
      <c r="V771" s="190"/>
      <c r="W771" s="190"/>
      <c r="X771" s="190"/>
      <c r="Y771" s="190"/>
      <c r="Z771" s="190"/>
      <c r="AA771" s="190"/>
      <c r="AB771" s="190"/>
      <c r="AC771" s="190"/>
      <c r="AD771" s="190"/>
      <c r="AE771" s="190"/>
      <c r="AF771" s="190"/>
      <c r="AG771" s="190"/>
      <c r="AH771" s="190"/>
      <c r="AI771" s="190"/>
      <c r="AJ771" s="190"/>
      <c r="AK771" s="190"/>
      <c r="AL771" s="190"/>
    </row>
    <row r="772" spans="2:38" ht="12.75" customHeight="1">
      <c r="B772" s="6"/>
      <c r="C772" s="6"/>
      <c r="D772" s="12"/>
      <c r="E772" s="12"/>
      <c r="F772" s="12"/>
      <c r="G772" s="12"/>
      <c r="H772" s="6"/>
      <c r="I772" s="190"/>
      <c r="J772" s="190"/>
      <c r="K772" s="190"/>
      <c r="L772" s="190"/>
      <c r="M772" s="190"/>
      <c r="N772" s="190"/>
      <c r="O772" s="190"/>
      <c r="P772" s="190"/>
      <c r="Q772" s="190"/>
      <c r="R772" s="190"/>
      <c r="S772" s="190"/>
      <c r="T772" s="190"/>
      <c r="U772" s="190"/>
      <c r="V772" s="190"/>
      <c r="W772" s="190"/>
      <c r="X772" s="190"/>
      <c r="Y772" s="190"/>
      <c r="Z772" s="190"/>
      <c r="AA772" s="190"/>
      <c r="AB772" s="190"/>
      <c r="AC772" s="190"/>
      <c r="AD772" s="190"/>
      <c r="AE772" s="190"/>
      <c r="AF772" s="190"/>
      <c r="AG772" s="190"/>
      <c r="AH772" s="190"/>
      <c r="AI772" s="190"/>
      <c r="AJ772" s="190"/>
      <c r="AK772" s="190"/>
      <c r="AL772" s="190"/>
    </row>
    <row r="773" spans="2:38" ht="12.75" customHeight="1">
      <c r="B773" s="6"/>
      <c r="C773" s="6"/>
      <c r="D773" s="12"/>
      <c r="E773" s="12"/>
      <c r="F773" s="12"/>
      <c r="G773" s="12"/>
      <c r="H773" s="6"/>
      <c r="I773" s="190"/>
      <c r="J773" s="190"/>
      <c r="K773" s="190"/>
      <c r="L773" s="190"/>
      <c r="M773" s="190"/>
      <c r="N773" s="190"/>
      <c r="O773" s="190"/>
      <c r="P773" s="190"/>
      <c r="Q773" s="190"/>
      <c r="R773" s="190"/>
      <c r="S773" s="190"/>
      <c r="T773" s="190"/>
      <c r="U773" s="190"/>
      <c r="V773" s="190"/>
      <c r="W773" s="190"/>
      <c r="X773" s="190"/>
      <c r="Y773" s="190"/>
      <c r="Z773" s="190"/>
      <c r="AA773" s="190"/>
      <c r="AB773" s="190"/>
      <c r="AC773" s="190"/>
      <c r="AD773" s="190"/>
      <c r="AE773" s="190"/>
      <c r="AF773" s="190"/>
      <c r="AG773" s="190"/>
      <c r="AH773" s="190"/>
      <c r="AI773" s="190"/>
      <c r="AJ773" s="190"/>
      <c r="AK773" s="190"/>
      <c r="AL773" s="190"/>
    </row>
    <row r="774" spans="2:38" ht="12.75" customHeight="1">
      <c r="B774" s="6"/>
      <c r="C774" s="6"/>
      <c r="D774" s="12"/>
      <c r="E774" s="12"/>
      <c r="F774" s="12"/>
      <c r="G774" s="12"/>
      <c r="H774" s="6"/>
      <c r="I774" s="190"/>
      <c r="J774" s="190"/>
      <c r="K774" s="190"/>
      <c r="L774" s="190"/>
      <c r="M774" s="190"/>
      <c r="N774" s="190"/>
      <c r="O774" s="190"/>
      <c r="P774" s="190"/>
      <c r="Q774" s="190"/>
      <c r="R774" s="190"/>
      <c r="S774" s="190"/>
      <c r="T774" s="190"/>
      <c r="U774" s="190"/>
      <c r="V774" s="190"/>
      <c r="W774" s="190"/>
      <c r="X774" s="190"/>
      <c r="Y774" s="190"/>
      <c r="Z774" s="190"/>
      <c r="AA774" s="190"/>
      <c r="AB774" s="190"/>
      <c r="AC774" s="190"/>
      <c r="AD774" s="190"/>
      <c r="AE774" s="190"/>
      <c r="AF774" s="190"/>
      <c r="AG774" s="190"/>
      <c r="AH774" s="190"/>
      <c r="AI774" s="190"/>
      <c r="AJ774" s="190"/>
      <c r="AK774" s="190"/>
      <c r="AL774" s="190"/>
    </row>
    <row r="775" spans="2:38" ht="12.75" customHeight="1">
      <c r="B775" s="6"/>
      <c r="C775" s="6"/>
      <c r="D775" s="12"/>
      <c r="E775" s="12"/>
      <c r="F775" s="12"/>
      <c r="G775" s="12"/>
      <c r="H775" s="6"/>
      <c r="I775" s="190"/>
      <c r="J775" s="190"/>
      <c r="K775" s="190"/>
      <c r="L775" s="190"/>
      <c r="M775" s="190"/>
      <c r="N775" s="190"/>
      <c r="O775" s="190"/>
      <c r="P775" s="190"/>
      <c r="Q775" s="190"/>
      <c r="R775" s="190"/>
      <c r="S775" s="190"/>
      <c r="T775" s="190"/>
      <c r="U775" s="190"/>
      <c r="V775" s="190"/>
      <c r="W775" s="190"/>
      <c r="X775" s="190"/>
      <c r="Y775" s="190"/>
      <c r="Z775" s="190"/>
      <c r="AA775" s="190"/>
      <c r="AB775" s="190"/>
      <c r="AC775" s="190"/>
      <c r="AD775" s="190"/>
      <c r="AE775" s="190"/>
      <c r="AF775" s="190"/>
      <c r="AG775" s="190"/>
      <c r="AH775" s="190"/>
      <c r="AI775" s="190"/>
      <c r="AJ775" s="190"/>
      <c r="AK775" s="190"/>
      <c r="AL775" s="190"/>
    </row>
    <row r="776" spans="2:38" ht="12.75" customHeight="1">
      <c r="B776" s="6"/>
      <c r="C776" s="6"/>
      <c r="D776" s="12"/>
      <c r="E776" s="12"/>
      <c r="F776" s="12"/>
      <c r="G776" s="12"/>
      <c r="H776" s="6"/>
      <c r="I776" s="190"/>
      <c r="J776" s="190"/>
      <c r="K776" s="190"/>
      <c r="L776" s="190"/>
      <c r="M776" s="190"/>
      <c r="N776" s="190"/>
      <c r="O776" s="190"/>
      <c r="P776" s="190"/>
      <c r="Q776" s="190"/>
      <c r="R776" s="190"/>
      <c r="S776" s="190"/>
      <c r="T776" s="190"/>
      <c r="U776" s="190"/>
      <c r="V776" s="190"/>
      <c r="W776" s="190"/>
      <c r="X776" s="190"/>
      <c r="Y776" s="190"/>
      <c r="Z776" s="190"/>
      <c r="AA776" s="190"/>
      <c r="AB776" s="190"/>
      <c r="AC776" s="190"/>
      <c r="AD776" s="190"/>
      <c r="AE776" s="190"/>
      <c r="AF776" s="190"/>
      <c r="AG776" s="190"/>
      <c r="AH776" s="190"/>
      <c r="AI776" s="190"/>
      <c r="AJ776" s="190"/>
      <c r="AK776" s="190"/>
      <c r="AL776" s="190"/>
    </row>
    <row r="777" spans="2:38" ht="12.75" customHeight="1">
      <c r="B777" s="6"/>
      <c r="C777" s="6"/>
      <c r="D777" s="12"/>
      <c r="E777" s="12"/>
      <c r="F777" s="12"/>
      <c r="G777" s="12"/>
      <c r="H777" s="6"/>
      <c r="I777" s="190"/>
      <c r="J777" s="190"/>
      <c r="K777" s="190"/>
      <c r="L777" s="190"/>
      <c r="M777" s="190"/>
      <c r="N777" s="190"/>
      <c r="O777" s="190"/>
      <c r="P777" s="190"/>
      <c r="Q777" s="190"/>
      <c r="R777" s="190"/>
      <c r="S777" s="190"/>
      <c r="T777" s="190"/>
      <c r="U777" s="190"/>
      <c r="V777" s="190"/>
      <c r="W777" s="190"/>
      <c r="X777" s="190"/>
      <c r="Y777" s="190"/>
      <c r="Z777" s="190"/>
      <c r="AA777" s="190"/>
      <c r="AB777" s="190"/>
      <c r="AC777" s="190"/>
      <c r="AD777" s="190"/>
      <c r="AE777" s="190"/>
      <c r="AF777" s="190"/>
      <c r="AG777" s="190"/>
      <c r="AH777" s="190"/>
      <c r="AI777" s="190"/>
      <c r="AJ777" s="190"/>
      <c r="AK777" s="190"/>
      <c r="AL777" s="190"/>
    </row>
    <row r="778" spans="2:38" ht="12.75" customHeight="1">
      <c r="B778" s="6"/>
      <c r="C778" s="6"/>
      <c r="D778" s="12"/>
      <c r="E778" s="12"/>
      <c r="F778" s="12"/>
      <c r="G778" s="12"/>
      <c r="H778" s="6"/>
      <c r="I778" s="190"/>
      <c r="J778" s="190"/>
      <c r="K778" s="190"/>
      <c r="L778" s="190"/>
      <c r="M778" s="190"/>
      <c r="N778" s="190"/>
      <c r="O778" s="190"/>
      <c r="P778" s="190"/>
      <c r="Q778" s="190"/>
      <c r="R778" s="190"/>
      <c r="S778" s="190"/>
      <c r="T778" s="190"/>
      <c r="U778" s="190"/>
      <c r="V778" s="190"/>
      <c r="W778" s="190"/>
      <c r="X778" s="190"/>
      <c r="Y778" s="190"/>
      <c r="Z778" s="190"/>
      <c r="AA778" s="190"/>
      <c r="AB778" s="190"/>
      <c r="AC778" s="190"/>
      <c r="AD778" s="190"/>
      <c r="AE778" s="190"/>
      <c r="AF778" s="190"/>
      <c r="AG778" s="190"/>
      <c r="AH778" s="190"/>
      <c r="AI778" s="190"/>
      <c r="AJ778" s="190"/>
      <c r="AK778" s="190"/>
      <c r="AL778" s="190"/>
    </row>
    <row r="779" spans="2:38" ht="12.75" customHeight="1">
      <c r="B779" s="6"/>
      <c r="C779" s="6"/>
      <c r="D779" s="12"/>
      <c r="E779" s="12"/>
      <c r="F779" s="12"/>
      <c r="G779" s="12"/>
      <c r="H779" s="6"/>
      <c r="I779" s="190"/>
      <c r="J779" s="190"/>
      <c r="K779" s="190"/>
      <c r="L779" s="190"/>
      <c r="M779" s="190"/>
      <c r="N779" s="190"/>
      <c r="O779" s="190"/>
      <c r="P779" s="190"/>
      <c r="Q779" s="190"/>
      <c r="R779" s="190"/>
      <c r="S779" s="190"/>
      <c r="T779" s="190"/>
      <c r="U779" s="190"/>
      <c r="V779" s="190"/>
      <c r="W779" s="190"/>
      <c r="X779" s="190"/>
      <c r="Y779" s="190"/>
      <c r="Z779" s="190"/>
      <c r="AA779" s="190"/>
      <c r="AB779" s="190"/>
      <c r="AC779" s="190"/>
      <c r="AD779" s="190"/>
      <c r="AE779" s="190"/>
      <c r="AF779" s="190"/>
      <c r="AG779" s="190"/>
      <c r="AH779" s="190"/>
      <c r="AI779" s="190"/>
      <c r="AJ779" s="190"/>
      <c r="AK779" s="190"/>
      <c r="AL779" s="190"/>
    </row>
    <row r="780" spans="2:38" ht="12.75" customHeight="1">
      <c r="B780" s="6"/>
      <c r="C780" s="6"/>
      <c r="D780" s="12"/>
      <c r="E780" s="12"/>
      <c r="F780" s="12"/>
      <c r="G780" s="12"/>
      <c r="H780" s="6"/>
      <c r="I780" s="190"/>
      <c r="J780" s="190"/>
      <c r="K780" s="190"/>
      <c r="L780" s="190"/>
      <c r="M780" s="190"/>
      <c r="N780" s="190"/>
      <c r="O780" s="190"/>
      <c r="P780" s="190"/>
      <c r="Q780" s="190"/>
      <c r="R780" s="190"/>
      <c r="S780" s="190"/>
      <c r="T780" s="190"/>
      <c r="U780" s="190"/>
      <c r="V780" s="190"/>
      <c r="W780" s="190"/>
      <c r="X780" s="190"/>
      <c r="Y780" s="190"/>
      <c r="Z780" s="190"/>
      <c r="AA780" s="190"/>
      <c r="AB780" s="190"/>
      <c r="AC780" s="190"/>
      <c r="AD780" s="190"/>
      <c r="AE780" s="190"/>
      <c r="AF780" s="190"/>
      <c r="AG780" s="190"/>
      <c r="AH780" s="190"/>
      <c r="AI780" s="190"/>
      <c r="AJ780" s="190"/>
      <c r="AK780" s="190"/>
      <c r="AL780" s="190"/>
    </row>
    <row r="781" spans="2:38" ht="12.75" customHeight="1">
      <c r="B781" s="6"/>
      <c r="C781" s="6"/>
      <c r="D781" s="12"/>
      <c r="E781" s="12"/>
      <c r="F781" s="12"/>
      <c r="G781" s="12"/>
      <c r="H781" s="6"/>
      <c r="I781" s="190"/>
      <c r="J781" s="190"/>
      <c r="K781" s="190"/>
      <c r="L781" s="190"/>
      <c r="M781" s="190"/>
      <c r="N781" s="190"/>
      <c r="O781" s="190"/>
      <c r="P781" s="190"/>
      <c r="Q781" s="190"/>
      <c r="R781" s="190"/>
      <c r="S781" s="190"/>
      <c r="T781" s="190"/>
      <c r="U781" s="190"/>
      <c r="V781" s="190"/>
      <c r="W781" s="190"/>
      <c r="X781" s="190"/>
      <c r="Y781" s="190"/>
      <c r="Z781" s="190"/>
      <c r="AA781" s="190"/>
      <c r="AB781" s="190"/>
      <c r="AC781" s="190"/>
      <c r="AD781" s="190"/>
      <c r="AE781" s="190"/>
      <c r="AF781" s="190"/>
      <c r="AG781" s="190"/>
      <c r="AH781" s="190"/>
      <c r="AI781" s="190"/>
      <c r="AJ781" s="190"/>
      <c r="AK781" s="190"/>
      <c r="AL781" s="190"/>
    </row>
    <row r="782" spans="2:38" ht="12.75" customHeight="1">
      <c r="B782" s="6"/>
      <c r="C782" s="6"/>
      <c r="D782" s="12"/>
      <c r="E782" s="12"/>
      <c r="F782" s="12"/>
      <c r="G782" s="12"/>
      <c r="H782" s="6"/>
      <c r="I782" s="190"/>
      <c r="J782" s="190"/>
      <c r="K782" s="190"/>
      <c r="L782" s="190"/>
      <c r="M782" s="190"/>
      <c r="N782" s="190"/>
      <c r="O782" s="190"/>
      <c r="P782" s="190"/>
      <c r="Q782" s="190"/>
      <c r="R782" s="190"/>
      <c r="S782" s="190"/>
      <c r="T782" s="190"/>
      <c r="U782" s="190"/>
      <c r="V782" s="190"/>
      <c r="W782" s="190"/>
      <c r="X782" s="190"/>
      <c r="Y782" s="190"/>
      <c r="Z782" s="190"/>
      <c r="AA782" s="190"/>
      <c r="AB782" s="190"/>
      <c r="AC782" s="190"/>
      <c r="AD782" s="190"/>
      <c r="AE782" s="190"/>
      <c r="AF782" s="190"/>
      <c r="AG782" s="190"/>
      <c r="AH782" s="190"/>
      <c r="AI782" s="190"/>
      <c r="AJ782" s="190"/>
      <c r="AK782" s="190"/>
      <c r="AL782" s="190"/>
    </row>
    <row r="783" spans="2:38" ht="12.75" customHeight="1">
      <c r="B783" s="6"/>
      <c r="C783" s="6"/>
      <c r="D783" s="12"/>
      <c r="E783" s="12"/>
      <c r="F783" s="12"/>
      <c r="G783" s="12"/>
      <c r="H783" s="6"/>
      <c r="I783" s="190"/>
      <c r="J783" s="190"/>
      <c r="K783" s="190"/>
      <c r="L783" s="190"/>
      <c r="M783" s="190"/>
      <c r="N783" s="190"/>
      <c r="O783" s="190"/>
      <c r="P783" s="190"/>
      <c r="Q783" s="190"/>
      <c r="R783" s="190"/>
      <c r="S783" s="190"/>
      <c r="T783" s="190"/>
      <c r="U783" s="190"/>
      <c r="V783" s="190"/>
      <c r="W783" s="190"/>
      <c r="X783" s="190"/>
      <c r="Y783" s="190"/>
      <c r="Z783" s="190"/>
      <c r="AA783" s="190"/>
      <c r="AB783" s="190"/>
      <c r="AC783" s="190"/>
      <c r="AD783" s="190"/>
      <c r="AE783" s="190"/>
      <c r="AF783" s="190"/>
      <c r="AG783" s="190"/>
      <c r="AH783" s="190"/>
      <c r="AI783" s="190"/>
      <c r="AJ783" s="190"/>
      <c r="AK783" s="190"/>
      <c r="AL783" s="190"/>
    </row>
    <row r="784" spans="2:38" ht="12.75" customHeight="1">
      <c r="B784" s="6"/>
      <c r="C784" s="6"/>
      <c r="D784" s="12"/>
      <c r="E784" s="12"/>
      <c r="F784" s="12"/>
      <c r="G784" s="12"/>
      <c r="H784" s="6"/>
      <c r="I784" s="190"/>
      <c r="J784" s="190"/>
      <c r="K784" s="190"/>
      <c r="L784" s="190"/>
      <c r="M784" s="190"/>
      <c r="N784" s="190"/>
      <c r="O784" s="190"/>
      <c r="P784" s="190"/>
      <c r="Q784" s="190"/>
      <c r="R784" s="190"/>
      <c r="S784" s="190"/>
      <c r="T784" s="190"/>
      <c r="U784" s="190"/>
      <c r="V784" s="190"/>
      <c r="W784" s="190"/>
      <c r="X784" s="190"/>
      <c r="Y784" s="190"/>
      <c r="Z784" s="190"/>
      <c r="AA784" s="190"/>
      <c r="AB784" s="190"/>
      <c r="AC784" s="190"/>
      <c r="AD784" s="190"/>
      <c r="AE784" s="190"/>
      <c r="AF784" s="190"/>
      <c r="AG784" s="190"/>
      <c r="AH784" s="190"/>
      <c r="AI784" s="190"/>
      <c r="AJ784" s="190"/>
      <c r="AK784" s="190"/>
      <c r="AL784" s="190"/>
    </row>
    <row r="785" spans="2:38" ht="12.75" customHeight="1">
      <c r="B785" s="6"/>
      <c r="C785" s="6"/>
      <c r="D785" s="12"/>
      <c r="E785" s="12"/>
      <c r="F785" s="12"/>
      <c r="G785" s="12"/>
      <c r="H785" s="6"/>
      <c r="I785" s="190"/>
      <c r="J785" s="190"/>
      <c r="K785" s="190"/>
      <c r="L785" s="190"/>
      <c r="M785" s="190"/>
      <c r="N785" s="190"/>
      <c r="O785" s="190"/>
      <c r="P785" s="190"/>
      <c r="Q785" s="190"/>
      <c r="R785" s="190"/>
      <c r="S785" s="190"/>
      <c r="T785" s="190"/>
      <c r="U785" s="190"/>
      <c r="V785" s="190"/>
      <c r="W785" s="190"/>
      <c r="X785" s="190"/>
      <c r="Y785" s="190"/>
      <c r="Z785" s="190"/>
      <c r="AA785" s="190"/>
      <c r="AB785" s="190"/>
      <c r="AC785" s="190"/>
      <c r="AD785" s="190"/>
      <c r="AE785" s="190"/>
      <c r="AF785" s="190"/>
      <c r="AG785" s="190"/>
      <c r="AH785" s="190"/>
      <c r="AI785" s="190"/>
      <c r="AJ785" s="190"/>
      <c r="AK785" s="190"/>
      <c r="AL785" s="190"/>
    </row>
    <row r="786" spans="2:38" ht="12.75" customHeight="1">
      <c r="B786" s="6"/>
      <c r="C786" s="6"/>
      <c r="D786" s="12"/>
      <c r="E786" s="12"/>
      <c r="F786" s="12"/>
      <c r="G786" s="12"/>
      <c r="H786" s="6"/>
      <c r="I786" s="190"/>
      <c r="J786" s="190"/>
      <c r="K786" s="190"/>
      <c r="L786" s="190"/>
      <c r="M786" s="190"/>
      <c r="N786" s="190"/>
      <c r="O786" s="190"/>
      <c r="P786" s="190"/>
      <c r="Q786" s="190"/>
      <c r="R786" s="190"/>
      <c r="S786" s="190"/>
      <c r="T786" s="190"/>
      <c r="U786" s="190"/>
      <c r="V786" s="190"/>
      <c r="W786" s="190"/>
      <c r="X786" s="190"/>
      <c r="Y786" s="190"/>
      <c r="Z786" s="190"/>
      <c r="AA786" s="190"/>
      <c r="AB786" s="190"/>
      <c r="AC786" s="190"/>
      <c r="AD786" s="190"/>
      <c r="AE786" s="190"/>
      <c r="AF786" s="190"/>
      <c r="AG786" s="190"/>
      <c r="AH786" s="190"/>
      <c r="AI786" s="190"/>
      <c r="AJ786" s="190"/>
      <c r="AK786" s="190"/>
      <c r="AL786" s="190"/>
    </row>
    <row r="787" spans="2:38" ht="12.75" customHeight="1">
      <c r="B787" s="6"/>
      <c r="C787" s="6"/>
      <c r="D787" s="12"/>
      <c r="E787" s="12"/>
      <c r="F787" s="12"/>
      <c r="G787" s="12"/>
      <c r="H787" s="6"/>
      <c r="I787" s="190"/>
      <c r="J787" s="190"/>
      <c r="K787" s="190"/>
      <c r="L787" s="190"/>
      <c r="M787" s="190"/>
      <c r="N787" s="190"/>
      <c r="O787" s="190"/>
      <c r="P787" s="190"/>
      <c r="Q787" s="190"/>
      <c r="R787" s="190"/>
      <c r="S787" s="190"/>
      <c r="T787" s="190"/>
      <c r="U787" s="190"/>
      <c r="V787" s="190"/>
      <c r="W787" s="190"/>
      <c r="X787" s="190"/>
      <c r="Y787" s="190"/>
      <c r="Z787" s="190"/>
      <c r="AA787" s="190"/>
      <c r="AB787" s="190"/>
      <c r="AC787" s="190"/>
      <c r="AD787" s="190"/>
      <c r="AE787" s="190"/>
      <c r="AF787" s="190"/>
      <c r="AG787" s="190"/>
      <c r="AH787" s="190"/>
      <c r="AI787" s="190"/>
      <c r="AJ787" s="190"/>
      <c r="AK787" s="190"/>
      <c r="AL787" s="190"/>
    </row>
    <row r="788" spans="2:38" ht="12.75" customHeight="1">
      <c r="B788" s="6"/>
      <c r="C788" s="6"/>
      <c r="D788" s="12"/>
      <c r="E788" s="12"/>
      <c r="F788" s="12"/>
      <c r="G788" s="12"/>
      <c r="H788" s="6"/>
      <c r="I788" s="190"/>
      <c r="J788" s="190"/>
      <c r="K788" s="190"/>
      <c r="L788" s="190"/>
      <c r="M788" s="190"/>
      <c r="N788" s="190"/>
      <c r="O788" s="190"/>
      <c r="P788" s="190"/>
      <c r="Q788" s="190"/>
      <c r="R788" s="190"/>
      <c r="S788" s="190"/>
      <c r="T788" s="190"/>
      <c r="U788" s="190"/>
      <c r="V788" s="190"/>
      <c r="W788" s="190"/>
      <c r="X788" s="190"/>
      <c r="Y788" s="190"/>
      <c r="Z788" s="190"/>
      <c r="AA788" s="190"/>
      <c r="AB788" s="190"/>
      <c r="AC788" s="190"/>
      <c r="AD788" s="190"/>
      <c r="AE788" s="190"/>
      <c r="AF788" s="190"/>
      <c r="AG788" s="190"/>
      <c r="AH788" s="190"/>
      <c r="AI788" s="190"/>
      <c r="AJ788" s="190"/>
      <c r="AK788" s="190"/>
      <c r="AL788" s="190"/>
    </row>
    <row r="789" spans="2:38" ht="12.75" customHeight="1">
      <c r="B789" s="6"/>
      <c r="C789" s="6"/>
      <c r="D789" s="12"/>
      <c r="E789" s="12"/>
      <c r="F789" s="12"/>
      <c r="G789" s="12"/>
      <c r="H789" s="6"/>
      <c r="I789" s="190"/>
      <c r="J789" s="190"/>
      <c r="K789" s="190"/>
      <c r="L789" s="190"/>
      <c r="M789" s="190"/>
      <c r="N789" s="190"/>
      <c r="O789" s="190"/>
      <c r="P789" s="190"/>
      <c r="Q789" s="190"/>
      <c r="R789" s="190"/>
      <c r="S789" s="190"/>
      <c r="T789" s="190"/>
      <c r="U789" s="190"/>
      <c r="V789" s="190"/>
      <c r="W789" s="190"/>
      <c r="X789" s="190"/>
      <c r="Y789" s="190"/>
      <c r="Z789" s="190"/>
      <c r="AA789" s="190"/>
      <c r="AB789" s="190"/>
      <c r="AC789" s="190"/>
      <c r="AD789" s="190"/>
      <c r="AE789" s="190"/>
      <c r="AF789" s="190"/>
      <c r="AG789" s="190"/>
      <c r="AH789" s="190"/>
      <c r="AI789" s="190"/>
      <c r="AJ789" s="190"/>
      <c r="AK789" s="190"/>
      <c r="AL789" s="190"/>
    </row>
    <row r="790" spans="2:38" ht="12.75" customHeight="1">
      <c r="B790" s="6"/>
      <c r="C790" s="6"/>
      <c r="D790" s="12"/>
      <c r="E790" s="12"/>
      <c r="F790" s="12"/>
      <c r="G790" s="12"/>
      <c r="H790" s="6"/>
      <c r="I790" s="190"/>
      <c r="J790" s="190"/>
      <c r="K790" s="190"/>
      <c r="L790" s="190"/>
      <c r="M790" s="190"/>
      <c r="N790" s="190"/>
      <c r="O790" s="190"/>
      <c r="P790" s="190"/>
      <c r="Q790" s="190"/>
      <c r="R790" s="190"/>
      <c r="S790" s="190"/>
      <c r="T790" s="190"/>
      <c r="U790" s="190"/>
      <c r="V790" s="190"/>
      <c r="W790" s="190"/>
      <c r="X790" s="190"/>
      <c r="Y790" s="190"/>
      <c r="Z790" s="190"/>
      <c r="AA790" s="190"/>
      <c r="AB790" s="190"/>
      <c r="AC790" s="190"/>
      <c r="AD790" s="190"/>
      <c r="AE790" s="190"/>
      <c r="AF790" s="190"/>
      <c r="AG790" s="190"/>
      <c r="AH790" s="190"/>
      <c r="AI790" s="190"/>
      <c r="AJ790" s="190"/>
      <c r="AK790" s="190"/>
      <c r="AL790" s="190"/>
    </row>
    <row r="791" spans="2:38" ht="12.75" customHeight="1">
      <c r="B791" s="6"/>
      <c r="C791" s="6"/>
      <c r="D791" s="12"/>
      <c r="E791" s="12"/>
      <c r="F791" s="12"/>
      <c r="G791" s="12"/>
      <c r="H791" s="6"/>
      <c r="I791" s="190"/>
      <c r="J791" s="190"/>
      <c r="K791" s="190"/>
      <c r="L791" s="190"/>
      <c r="M791" s="190"/>
      <c r="N791" s="190"/>
      <c r="O791" s="190"/>
      <c r="P791" s="190"/>
      <c r="Q791" s="190"/>
      <c r="R791" s="190"/>
      <c r="S791" s="190"/>
      <c r="T791" s="190"/>
      <c r="U791" s="190"/>
      <c r="V791" s="190"/>
      <c r="W791" s="190"/>
      <c r="X791" s="190"/>
      <c r="Y791" s="190"/>
      <c r="Z791" s="190"/>
      <c r="AA791" s="190"/>
      <c r="AB791" s="190"/>
      <c r="AC791" s="190"/>
      <c r="AD791" s="190"/>
      <c r="AE791" s="190"/>
      <c r="AF791" s="190"/>
      <c r="AG791" s="190"/>
      <c r="AH791" s="190"/>
      <c r="AI791" s="190"/>
      <c r="AJ791" s="190"/>
      <c r="AK791" s="190"/>
      <c r="AL791" s="190"/>
    </row>
    <row r="792" spans="2:38" ht="12.75" customHeight="1">
      <c r="B792" s="6"/>
      <c r="C792" s="6"/>
      <c r="D792" s="12"/>
      <c r="E792" s="12"/>
      <c r="F792" s="12"/>
      <c r="G792" s="12"/>
      <c r="H792" s="6"/>
      <c r="I792" s="190"/>
      <c r="J792" s="190"/>
      <c r="K792" s="190"/>
      <c r="L792" s="190"/>
      <c r="M792" s="190"/>
      <c r="N792" s="190"/>
      <c r="O792" s="190"/>
      <c r="P792" s="190"/>
      <c r="Q792" s="190"/>
      <c r="R792" s="190"/>
      <c r="S792" s="190"/>
      <c r="T792" s="190"/>
      <c r="U792" s="190"/>
      <c r="V792" s="190"/>
      <c r="W792" s="190"/>
      <c r="X792" s="190"/>
      <c r="Y792" s="190"/>
      <c r="Z792" s="190"/>
      <c r="AA792" s="190"/>
      <c r="AB792" s="190"/>
      <c r="AC792" s="190"/>
      <c r="AD792" s="190"/>
      <c r="AE792" s="190"/>
      <c r="AF792" s="190"/>
      <c r="AG792" s="190"/>
      <c r="AH792" s="190"/>
      <c r="AI792" s="190"/>
      <c r="AJ792" s="190"/>
      <c r="AK792" s="190"/>
      <c r="AL792" s="190"/>
    </row>
    <row r="793" spans="2:38" ht="12.75" customHeight="1">
      <c r="B793" s="6"/>
      <c r="C793" s="6"/>
      <c r="D793" s="12"/>
      <c r="E793" s="12"/>
      <c r="F793" s="12"/>
      <c r="G793" s="12"/>
      <c r="H793" s="6"/>
      <c r="I793" s="190"/>
      <c r="J793" s="190"/>
      <c r="K793" s="190"/>
      <c r="L793" s="190"/>
      <c r="M793" s="190"/>
      <c r="N793" s="190"/>
      <c r="O793" s="190"/>
      <c r="P793" s="190"/>
      <c r="Q793" s="190"/>
      <c r="R793" s="190"/>
      <c r="S793" s="190"/>
      <c r="T793" s="190"/>
      <c r="U793" s="190"/>
      <c r="V793" s="190"/>
      <c r="W793" s="190"/>
      <c r="X793" s="190"/>
      <c r="Y793" s="190"/>
      <c r="Z793" s="190"/>
      <c r="AA793" s="190"/>
      <c r="AB793" s="190"/>
      <c r="AC793" s="190"/>
      <c r="AD793" s="190"/>
      <c r="AE793" s="190"/>
      <c r="AF793" s="190"/>
      <c r="AG793" s="190"/>
      <c r="AH793" s="190"/>
      <c r="AI793" s="190"/>
      <c r="AJ793" s="190"/>
      <c r="AK793" s="190"/>
      <c r="AL793" s="190"/>
    </row>
    <row r="794" spans="2:38" ht="12.75" customHeight="1">
      <c r="B794" s="6"/>
      <c r="C794" s="6"/>
      <c r="D794" s="12"/>
      <c r="E794" s="12"/>
      <c r="F794" s="12"/>
      <c r="G794" s="12"/>
      <c r="H794" s="6"/>
      <c r="I794" s="190"/>
      <c r="J794" s="190"/>
      <c r="K794" s="190"/>
      <c r="L794" s="190"/>
      <c r="M794" s="190"/>
      <c r="N794" s="190"/>
      <c r="O794" s="190"/>
      <c r="P794" s="190"/>
      <c r="Q794" s="190"/>
      <c r="R794" s="190"/>
      <c r="S794" s="190"/>
      <c r="T794" s="190"/>
      <c r="U794" s="190"/>
      <c r="V794" s="190"/>
      <c r="W794" s="190"/>
      <c r="X794" s="190"/>
      <c r="Y794" s="190"/>
      <c r="Z794" s="190"/>
      <c r="AA794" s="190"/>
      <c r="AB794" s="190"/>
      <c r="AC794" s="190"/>
      <c r="AD794" s="190"/>
      <c r="AE794" s="190"/>
      <c r="AF794" s="190"/>
      <c r="AG794" s="190"/>
      <c r="AH794" s="190"/>
      <c r="AI794" s="190"/>
      <c r="AJ794" s="190"/>
      <c r="AK794" s="190"/>
      <c r="AL794" s="190"/>
    </row>
    <row r="795" spans="2:38" ht="12.75" customHeight="1">
      <c r="B795" s="6"/>
      <c r="C795" s="6"/>
      <c r="D795" s="12"/>
      <c r="E795" s="12"/>
      <c r="F795" s="12"/>
      <c r="G795" s="12"/>
      <c r="H795" s="6"/>
      <c r="I795" s="190"/>
      <c r="J795" s="190"/>
      <c r="K795" s="190"/>
      <c r="L795" s="190"/>
      <c r="M795" s="190"/>
      <c r="N795" s="190"/>
      <c r="O795" s="190"/>
      <c r="P795" s="190"/>
      <c r="Q795" s="190"/>
      <c r="R795" s="190"/>
      <c r="S795" s="190"/>
      <c r="T795" s="190"/>
      <c r="U795" s="190"/>
      <c r="V795" s="190"/>
      <c r="W795" s="190"/>
      <c r="X795" s="190"/>
      <c r="Y795" s="190"/>
      <c r="Z795" s="190"/>
      <c r="AA795" s="190"/>
      <c r="AB795" s="190"/>
      <c r="AC795" s="190"/>
      <c r="AD795" s="190"/>
      <c r="AE795" s="190"/>
      <c r="AF795" s="190"/>
      <c r="AG795" s="190"/>
      <c r="AH795" s="190"/>
      <c r="AI795" s="190"/>
      <c r="AJ795" s="190"/>
      <c r="AK795" s="190"/>
      <c r="AL795" s="190"/>
    </row>
    <row r="796" spans="2:38" ht="12.75" customHeight="1">
      <c r="B796" s="6"/>
      <c r="C796" s="6"/>
      <c r="D796" s="12"/>
      <c r="E796" s="12"/>
      <c r="F796" s="12"/>
      <c r="G796" s="12"/>
      <c r="H796" s="6"/>
      <c r="I796" s="190"/>
      <c r="J796" s="190"/>
      <c r="K796" s="190"/>
      <c r="L796" s="190"/>
      <c r="M796" s="190"/>
      <c r="N796" s="190"/>
      <c r="O796" s="190"/>
      <c r="P796" s="190"/>
      <c r="Q796" s="190"/>
      <c r="R796" s="190"/>
      <c r="S796" s="190"/>
      <c r="T796" s="190"/>
      <c r="U796" s="190"/>
      <c r="V796" s="190"/>
      <c r="W796" s="190"/>
      <c r="X796" s="190"/>
      <c r="Y796" s="190"/>
      <c r="Z796" s="190"/>
      <c r="AA796" s="190"/>
      <c r="AB796" s="190"/>
      <c r="AC796" s="190"/>
      <c r="AD796" s="190"/>
      <c r="AE796" s="190"/>
      <c r="AF796" s="190"/>
      <c r="AG796" s="190"/>
      <c r="AH796" s="190"/>
      <c r="AI796" s="190"/>
      <c r="AJ796" s="190"/>
      <c r="AK796" s="190"/>
      <c r="AL796" s="190"/>
    </row>
    <row r="797" spans="2:38" ht="12.75" customHeight="1">
      <c r="B797" s="6"/>
      <c r="C797" s="6"/>
      <c r="D797" s="12"/>
      <c r="E797" s="12"/>
      <c r="F797" s="12"/>
      <c r="G797" s="12"/>
      <c r="H797" s="6"/>
      <c r="I797" s="190"/>
      <c r="J797" s="190"/>
      <c r="K797" s="190"/>
      <c r="L797" s="190"/>
      <c r="M797" s="190"/>
      <c r="N797" s="190"/>
      <c r="O797" s="190"/>
      <c r="P797" s="190"/>
      <c r="Q797" s="190"/>
      <c r="R797" s="190"/>
      <c r="S797" s="190"/>
      <c r="T797" s="190"/>
      <c r="U797" s="190"/>
      <c r="V797" s="190"/>
      <c r="W797" s="190"/>
      <c r="X797" s="190"/>
      <c r="Y797" s="190"/>
      <c r="Z797" s="190"/>
      <c r="AA797" s="190"/>
      <c r="AB797" s="190"/>
      <c r="AC797" s="190"/>
      <c r="AD797" s="190"/>
      <c r="AE797" s="190"/>
      <c r="AF797" s="190"/>
      <c r="AG797" s="190"/>
      <c r="AH797" s="190"/>
      <c r="AI797" s="190"/>
      <c r="AJ797" s="190"/>
      <c r="AK797" s="190"/>
      <c r="AL797" s="190"/>
    </row>
    <row r="798" spans="2:38" ht="12.75" customHeight="1">
      <c r="B798" s="6"/>
      <c r="C798" s="6"/>
      <c r="D798" s="12"/>
      <c r="E798" s="12"/>
      <c r="F798" s="12"/>
      <c r="G798" s="12"/>
      <c r="H798" s="6"/>
      <c r="I798" s="190"/>
      <c r="J798" s="190"/>
      <c r="K798" s="190"/>
      <c r="L798" s="190"/>
      <c r="M798" s="190"/>
      <c r="N798" s="190"/>
      <c r="O798" s="190"/>
      <c r="P798" s="190"/>
      <c r="Q798" s="190"/>
      <c r="R798" s="190"/>
      <c r="S798" s="190"/>
      <c r="T798" s="190"/>
      <c r="U798" s="190"/>
      <c r="V798" s="190"/>
      <c r="W798" s="190"/>
      <c r="X798" s="190"/>
      <c r="Y798" s="190"/>
      <c r="Z798" s="190"/>
      <c r="AA798" s="190"/>
      <c r="AB798" s="190"/>
      <c r="AC798" s="190"/>
      <c r="AD798" s="190"/>
      <c r="AE798" s="190"/>
      <c r="AF798" s="190"/>
      <c r="AG798" s="190"/>
      <c r="AH798" s="190"/>
      <c r="AI798" s="190"/>
      <c r="AJ798" s="190"/>
      <c r="AK798" s="190"/>
      <c r="AL798" s="190"/>
    </row>
    <row r="799" spans="2:38" ht="12.75" customHeight="1">
      <c r="B799" s="6"/>
      <c r="C799" s="6"/>
      <c r="D799" s="12"/>
      <c r="E799" s="12"/>
      <c r="F799" s="12"/>
      <c r="G799" s="12"/>
      <c r="H799" s="6"/>
      <c r="I799" s="190"/>
      <c r="J799" s="190"/>
      <c r="K799" s="190"/>
      <c r="L799" s="190"/>
      <c r="M799" s="190"/>
      <c r="N799" s="190"/>
      <c r="O799" s="190"/>
      <c r="P799" s="190"/>
      <c r="Q799" s="190"/>
      <c r="R799" s="190"/>
      <c r="S799" s="190"/>
      <c r="T799" s="190"/>
      <c r="U799" s="190"/>
      <c r="V799" s="190"/>
      <c r="W799" s="190"/>
      <c r="X799" s="190"/>
      <c r="Y799" s="190"/>
      <c r="Z799" s="190"/>
      <c r="AA799" s="190"/>
      <c r="AB799" s="190"/>
      <c r="AC799" s="190"/>
      <c r="AD799" s="190"/>
      <c r="AE799" s="190"/>
      <c r="AF799" s="190"/>
      <c r="AG799" s="190"/>
      <c r="AH799" s="190"/>
      <c r="AI799" s="190"/>
      <c r="AJ799" s="190"/>
      <c r="AK799" s="190"/>
      <c r="AL799" s="190"/>
    </row>
    <row r="800" spans="2:38" ht="12.75" customHeight="1">
      <c r="B800" s="6"/>
      <c r="C800" s="6"/>
      <c r="D800" s="12"/>
      <c r="E800" s="12"/>
      <c r="F800" s="12"/>
      <c r="G800" s="12"/>
      <c r="H800" s="6"/>
      <c r="I800" s="190"/>
      <c r="J800" s="190"/>
      <c r="K800" s="190"/>
      <c r="L800" s="190"/>
      <c r="M800" s="190"/>
      <c r="N800" s="190"/>
      <c r="O800" s="190"/>
      <c r="P800" s="190"/>
      <c r="Q800" s="190"/>
      <c r="R800" s="190"/>
      <c r="S800" s="190"/>
      <c r="T800" s="190"/>
      <c r="U800" s="190"/>
      <c r="V800" s="190"/>
      <c r="W800" s="190"/>
      <c r="X800" s="190"/>
      <c r="Y800" s="190"/>
      <c r="Z800" s="190"/>
      <c r="AA800" s="190"/>
      <c r="AB800" s="190"/>
      <c r="AC800" s="190"/>
      <c r="AD800" s="190"/>
      <c r="AE800" s="190"/>
      <c r="AF800" s="190"/>
      <c r="AG800" s="190"/>
      <c r="AH800" s="190"/>
      <c r="AI800" s="190"/>
      <c r="AJ800" s="190"/>
      <c r="AK800" s="190"/>
      <c r="AL800" s="190"/>
    </row>
    <row r="801" spans="2:38" ht="12.75" customHeight="1">
      <c r="B801" s="6"/>
      <c r="C801" s="6"/>
      <c r="D801" s="12"/>
      <c r="E801" s="12"/>
      <c r="F801" s="12"/>
      <c r="G801" s="12"/>
      <c r="H801" s="6"/>
      <c r="I801" s="190"/>
      <c r="J801" s="190"/>
      <c r="K801" s="190"/>
      <c r="L801" s="190"/>
      <c r="M801" s="190"/>
      <c r="N801" s="190"/>
      <c r="O801" s="190"/>
      <c r="P801" s="190"/>
      <c r="Q801" s="190"/>
      <c r="R801" s="190"/>
      <c r="S801" s="190"/>
      <c r="T801" s="190"/>
      <c r="U801" s="190"/>
      <c r="V801" s="190"/>
      <c r="W801" s="190"/>
      <c r="X801" s="190"/>
      <c r="Y801" s="190"/>
      <c r="Z801" s="190"/>
      <c r="AA801" s="190"/>
      <c r="AB801" s="190"/>
      <c r="AC801" s="190"/>
      <c r="AD801" s="190"/>
      <c r="AE801" s="190"/>
      <c r="AF801" s="190"/>
      <c r="AG801" s="190"/>
      <c r="AH801" s="190"/>
      <c r="AI801" s="190"/>
      <c r="AJ801" s="190"/>
      <c r="AK801" s="190"/>
      <c r="AL801" s="190"/>
    </row>
    <row r="802" spans="2:38" ht="12.75" customHeight="1">
      <c r="B802" s="6"/>
      <c r="C802" s="6"/>
      <c r="D802" s="12"/>
      <c r="E802" s="12"/>
      <c r="F802" s="12"/>
      <c r="G802" s="12"/>
      <c r="H802" s="6"/>
      <c r="I802" s="190"/>
      <c r="J802" s="190"/>
      <c r="K802" s="190"/>
      <c r="L802" s="190"/>
      <c r="M802" s="190"/>
      <c r="N802" s="190"/>
      <c r="O802" s="190"/>
      <c r="P802" s="190"/>
      <c r="Q802" s="190"/>
      <c r="R802" s="190"/>
      <c r="S802" s="190"/>
      <c r="T802" s="190"/>
      <c r="U802" s="190"/>
      <c r="V802" s="190"/>
      <c r="W802" s="190"/>
      <c r="X802" s="190"/>
      <c r="Y802" s="190"/>
      <c r="Z802" s="190"/>
      <c r="AA802" s="190"/>
      <c r="AB802" s="190"/>
      <c r="AC802" s="190"/>
      <c r="AD802" s="190"/>
      <c r="AE802" s="190"/>
      <c r="AF802" s="190"/>
      <c r="AG802" s="190"/>
      <c r="AH802" s="190"/>
      <c r="AI802" s="190"/>
      <c r="AJ802" s="190"/>
      <c r="AK802" s="190"/>
      <c r="AL802" s="190"/>
    </row>
    <row r="803" spans="2:38" ht="12.75" customHeight="1">
      <c r="B803" s="6"/>
      <c r="C803" s="6"/>
      <c r="D803" s="12"/>
      <c r="E803" s="12"/>
      <c r="F803" s="12"/>
      <c r="G803" s="12"/>
      <c r="H803" s="6"/>
      <c r="I803" s="190"/>
      <c r="J803" s="190"/>
      <c r="K803" s="190"/>
      <c r="L803" s="190"/>
      <c r="M803" s="190"/>
      <c r="N803" s="190"/>
      <c r="O803" s="190"/>
      <c r="P803" s="190"/>
      <c r="Q803" s="190"/>
      <c r="R803" s="190"/>
      <c r="S803" s="190"/>
      <c r="T803" s="190"/>
      <c r="U803" s="190"/>
      <c r="V803" s="190"/>
      <c r="W803" s="190"/>
      <c r="X803" s="190"/>
      <c r="Y803" s="190"/>
      <c r="Z803" s="190"/>
      <c r="AA803" s="190"/>
      <c r="AB803" s="190"/>
      <c r="AC803" s="190"/>
      <c r="AD803" s="190"/>
      <c r="AE803" s="190"/>
      <c r="AF803" s="190"/>
      <c r="AG803" s="190"/>
      <c r="AH803" s="190"/>
      <c r="AI803" s="190"/>
      <c r="AJ803" s="190"/>
      <c r="AK803" s="190"/>
      <c r="AL803" s="190"/>
    </row>
    <row r="804" spans="2:38" ht="12.75" customHeight="1">
      <c r="B804" s="6"/>
      <c r="C804" s="6"/>
      <c r="D804" s="12"/>
      <c r="E804" s="12"/>
      <c r="F804" s="12"/>
      <c r="G804" s="12"/>
      <c r="H804" s="6"/>
      <c r="I804" s="190"/>
      <c r="J804" s="190"/>
      <c r="K804" s="190"/>
      <c r="L804" s="190"/>
      <c r="M804" s="190"/>
      <c r="N804" s="190"/>
      <c r="O804" s="190"/>
      <c r="P804" s="190"/>
      <c r="Q804" s="190"/>
      <c r="R804" s="190"/>
      <c r="S804" s="190"/>
      <c r="T804" s="190"/>
      <c r="U804" s="190"/>
      <c r="V804" s="190"/>
      <c r="W804" s="190"/>
      <c r="X804" s="190"/>
      <c r="Y804" s="190"/>
      <c r="Z804" s="190"/>
      <c r="AA804" s="190"/>
      <c r="AB804" s="190"/>
      <c r="AC804" s="190"/>
      <c r="AD804" s="190"/>
      <c r="AE804" s="190"/>
      <c r="AF804" s="190"/>
      <c r="AG804" s="190"/>
      <c r="AH804" s="190"/>
      <c r="AI804" s="190"/>
      <c r="AJ804" s="190"/>
      <c r="AK804" s="190"/>
      <c r="AL804" s="190"/>
    </row>
    <row r="805" spans="2:38" ht="12.75" customHeight="1">
      <c r="B805" s="6"/>
      <c r="C805" s="6"/>
      <c r="D805" s="12"/>
      <c r="E805" s="12"/>
      <c r="F805" s="12"/>
      <c r="G805" s="12"/>
      <c r="H805" s="6"/>
      <c r="I805" s="190"/>
      <c r="J805" s="190"/>
      <c r="K805" s="190"/>
      <c r="L805" s="190"/>
      <c r="M805" s="190"/>
      <c r="N805" s="190"/>
      <c r="O805" s="190"/>
      <c r="P805" s="190"/>
      <c r="Q805" s="190"/>
      <c r="R805" s="190"/>
      <c r="S805" s="190"/>
      <c r="T805" s="190"/>
      <c r="U805" s="190"/>
      <c r="V805" s="190"/>
      <c r="W805" s="190"/>
      <c r="X805" s="190"/>
      <c r="Y805" s="190"/>
      <c r="Z805" s="190"/>
      <c r="AA805" s="190"/>
      <c r="AB805" s="190"/>
      <c r="AC805" s="190"/>
      <c r="AD805" s="190"/>
      <c r="AE805" s="190"/>
      <c r="AF805" s="190"/>
      <c r="AG805" s="190"/>
      <c r="AH805" s="190"/>
      <c r="AI805" s="190"/>
      <c r="AJ805" s="190"/>
      <c r="AK805" s="190"/>
      <c r="AL805" s="190"/>
    </row>
    <row r="806" spans="2:38" ht="12.75" customHeight="1">
      <c r="B806" s="6"/>
      <c r="C806" s="6"/>
      <c r="D806" s="12"/>
      <c r="E806" s="12"/>
      <c r="F806" s="12"/>
      <c r="G806" s="12"/>
      <c r="H806" s="6"/>
      <c r="I806" s="190"/>
      <c r="J806" s="190"/>
      <c r="K806" s="190"/>
      <c r="L806" s="190"/>
      <c r="M806" s="190"/>
      <c r="N806" s="190"/>
      <c r="O806" s="190"/>
      <c r="P806" s="190"/>
      <c r="Q806" s="190"/>
      <c r="R806" s="190"/>
      <c r="S806" s="190"/>
      <c r="T806" s="190"/>
      <c r="U806" s="190"/>
      <c r="V806" s="190"/>
      <c r="W806" s="190"/>
      <c r="X806" s="190"/>
      <c r="Y806" s="190"/>
      <c r="Z806" s="190"/>
      <c r="AA806" s="190"/>
      <c r="AB806" s="190"/>
      <c r="AC806" s="190"/>
      <c r="AD806" s="190"/>
      <c r="AE806" s="190"/>
      <c r="AF806" s="190"/>
      <c r="AG806" s="190"/>
      <c r="AH806" s="190"/>
      <c r="AI806" s="190"/>
      <c r="AJ806" s="190"/>
      <c r="AK806" s="190"/>
      <c r="AL806" s="190"/>
    </row>
    <row r="807" spans="2:38" ht="12.75" customHeight="1">
      <c r="B807" s="6"/>
      <c r="C807" s="6"/>
      <c r="D807" s="12"/>
      <c r="E807" s="12"/>
      <c r="F807" s="12"/>
      <c r="G807" s="12"/>
      <c r="H807" s="6"/>
      <c r="I807" s="190"/>
      <c r="J807" s="190"/>
      <c r="K807" s="190"/>
      <c r="L807" s="190"/>
      <c r="M807" s="190"/>
      <c r="N807" s="190"/>
      <c r="O807" s="190"/>
      <c r="P807" s="190"/>
      <c r="Q807" s="190"/>
      <c r="R807" s="190"/>
      <c r="S807" s="190"/>
      <c r="T807" s="190"/>
      <c r="U807" s="190"/>
      <c r="V807" s="190"/>
      <c r="W807" s="190"/>
      <c r="X807" s="190"/>
      <c r="Y807" s="190"/>
      <c r="Z807" s="190"/>
      <c r="AA807" s="190"/>
      <c r="AB807" s="190"/>
      <c r="AC807" s="190"/>
      <c r="AD807" s="190"/>
      <c r="AE807" s="190"/>
      <c r="AF807" s="190"/>
      <c r="AG807" s="190"/>
      <c r="AH807" s="190"/>
      <c r="AI807" s="190"/>
      <c r="AJ807" s="190"/>
      <c r="AK807" s="190"/>
      <c r="AL807" s="190"/>
    </row>
    <row r="808" spans="2:38" ht="12.75" customHeight="1">
      <c r="B808" s="6"/>
      <c r="C808" s="6"/>
      <c r="D808" s="12"/>
      <c r="E808" s="12"/>
      <c r="F808" s="12"/>
      <c r="G808" s="12"/>
      <c r="H808" s="6"/>
      <c r="I808" s="190"/>
      <c r="J808" s="190"/>
      <c r="K808" s="190"/>
      <c r="L808" s="190"/>
      <c r="M808" s="190"/>
      <c r="N808" s="190"/>
      <c r="O808" s="190"/>
      <c r="P808" s="190"/>
      <c r="Q808" s="190"/>
      <c r="R808" s="190"/>
      <c r="S808" s="190"/>
      <c r="T808" s="190"/>
      <c r="U808" s="190"/>
      <c r="V808" s="190"/>
      <c r="W808" s="190"/>
      <c r="X808" s="190"/>
      <c r="Y808" s="190"/>
      <c r="Z808" s="190"/>
      <c r="AA808" s="190"/>
      <c r="AB808" s="190"/>
      <c r="AC808" s="190"/>
      <c r="AD808" s="190"/>
      <c r="AE808" s="190"/>
      <c r="AF808" s="190"/>
      <c r="AG808" s="190"/>
      <c r="AH808" s="190"/>
      <c r="AI808" s="190"/>
      <c r="AJ808" s="190"/>
      <c r="AK808" s="190"/>
      <c r="AL808" s="190"/>
    </row>
    <row r="809" spans="2:38" ht="12.75" customHeight="1">
      <c r="B809" s="6"/>
      <c r="C809" s="6"/>
      <c r="D809" s="12"/>
      <c r="E809" s="12"/>
      <c r="F809" s="12"/>
      <c r="G809" s="12"/>
      <c r="H809" s="6"/>
      <c r="I809" s="190"/>
      <c r="J809" s="190"/>
      <c r="K809" s="190"/>
      <c r="L809" s="190"/>
      <c r="M809" s="190"/>
      <c r="N809" s="190"/>
      <c r="O809" s="190"/>
      <c r="P809" s="190"/>
      <c r="Q809" s="190"/>
      <c r="R809" s="190"/>
      <c r="S809" s="190"/>
      <c r="T809" s="190"/>
      <c r="U809" s="190"/>
      <c r="V809" s="190"/>
      <c r="W809" s="190"/>
      <c r="X809" s="190"/>
      <c r="Y809" s="190"/>
      <c r="Z809" s="190"/>
      <c r="AA809" s="190"/>
      <c r="AB809" s="190"/>
      <c r="AC809" s="190"/>
      <c r="AD809" s="190"/>
      <c r="AE809" s="190"/>
      <c r="AF809" s="190"/>
      <c r="AG809" s="190"/>
      <c r="AH809" s="190"/>
      <c r="AI809" s="190"/>
      <c r="AJ809" s="190"/>
      <c r="AK809" s="190"/>
      <c r="AL809" s="190"/>
    </row>
    <row r="810" spans="2:38" ht="12.75" customHeight="1">
      <c r="B810" s="6"/>
      <c r="C810" s="6"/>
      <c r="D810" s="12"/>
      <c r="E810" s="12"/>
      <c r="F810" s="12"/>
      <c r="G810" s="12"/>
      <c r="H810" s="6"/>
      <c r="I810" s="190"/>
      <c r="J810" s="190"/>
      <c r="K810" s="190"/>
      <c r="L810" s="190"/>
      <c r="M810" s="190"/>
      <c r="N810" s="190"/>
      <c r="O810" s="190"/>
      <c r="P810" s="190"/>
      <c r="Q810" s="190"/>
      <c r="R810" s="190"/>
      <c r="S810" s="190"/>
      <c r="T810" s="190"/>
      <c r="U810" s="190"/>
      <c r="V810" s="190"/>
      <c r="W810" s="190"/>
      <c r="X810" s="190"/>
      <c r="Y810" s="190"/>
      <c r="Z810" s="190"/>
      <c r="AA810" s="190"/>
      <c r="AB810" s="190"/>
      <c r="AC810" s="190"/>
      <c r="AD810" s="190"/>
      <c r="AE810" s="190"/>
      <c r="AF810" s="190"/>
      <c r="AG810" s="190"/>
      <c r="AH810" s="190"/>
      <c r="AI810" s="190"/>
      <c r="AJ810" s="190"/>
      <c r="AK810" s="190"/>
      <c r="AL810" s="190"/>
    </row>
    <row r="811" spans="2:38" ht="12.75" customHeight="1">
      <c r="B811" s="6"/>
      <c r="C811" s="6"/>
      <c r="D811" s="12"/>
      <c r="E811" s="12"/>
      <c r="F811" s="12"/>
      <c r="G811" s="12"/>
      <c r="H811" s="6"/>
      <c r="I811" s="190"/>
      <c r="J811" s="190"/>
      <c r="K811" s="190"/>
      <c r="L811" s="190"/>
      <c r="M811" s="190"/>
      <c r="N811" s="190"/>
      <c r="O811" s="190"/>
      <c r="P811" s="190"/>
      <c r="Q811" s="190"/>
      <c r="R811" s="190"/>
      <c r="S811" s="190"/>
      <c r="T811" s="190"/>
      <c r="U811" s="190"/>
      <c r="V811" s="190"/>
      <c r="W811" s="190"/>
      <c r="X811" s="190"/>
      <c r="Y811" s="190"/>
      <c r="Z811" s="190"/>
      <c r="AA811" s="190"/>
      <c r="AB811" s="190"/>
      <c r="AC811" s="190"/>
      <c r="AD811" s="190"/>
      <c r="AE811" s="190"/>
      <c r="AF811" s="190"/>
      <c r="AG811" s="190"/>
      <c r="AH811" s="190"/>
      <c r="AI811" s="190"/>
      <c r="AJ811" s="190"/>
      <c r="AK811" s="190"/>
      <c r="AL811" s="190"/>
    </row>
    <row r="812" spans="2:38" ht="12.75" customHeight="1">
      <c r="B812" s="6"/>
      <c r="C812" s="6"/>
      <c r="D812" s="12"/>
      <c r="E812" s="12"/>
      <c r="F812" s="12"/>
      <c r="G812" s="12"/>
      <c r="H812" s="6"/>
      <c r="I812" s="190"/>
      <c r="J812" s="190"/>
      <c r="K812" s="190"/>
      <c r="L812" s="190"/>
      <c r="M812" s="190"/>
      <c r="N812" s="190"/>
      <c r="O812" s="190"/>
      <c r="P812" s="190"/>
      <c r="Q812" s="190"/>
      <c r="R812" s="190"/>
      <c r="S812" s="190"/>
      <c r="T812" s="190"/>
      <c r="U812" s="190"/>
      <c r="V812" s="190"/>
      <c r="W812" s="190"/>
      <c r="X812" s="190"/>
      <c r="Y812" s="190"/>
      <c r="Z812" s="190"/>
      <c r="AA812" s="190"/>
      <c r="AB812" s="190"/>
      <c r="AC812" s="190"/>
      <c r="AD812" s="190"/>
      <c r="AE812" s="190"/>
      <c r="AF812" s="190"/>
      <c r="AG812" s="190"/>
      <c r="AH812" s="190"/>
      <c r="AI812" s="190"/>
      <c r="AJ812" s="190"/>
      <c r="AK812" s="190"/>
      <c r="AL812" s="190"/>
    </row>
    <row r="813" spans="2:38" ht="12.75" customHeight="1">
      <c r="B813" s="6"/>
      <c r="C813" s="6"/>
      <c r="D813" s="12"/>
      <c r="E813" s="12"/>
      <c r="F813" s="12"/>
      <c r="G813" s="12"/>
      <c r="H813" s="6"/>
      <c r="I813" s="190"/>
      <c r="J813" s="190"/>
      <c r="K813" s="190"/>
      <c r="L813" s="190"/>
      <c r="M813" s="190"/>
      <c r="N813" s="190"/>
      <c r="O813" s="190"/>
      <c r="P813" s="190"/>
      <c r="Q813" s="190"/>
      <c r="R813" s="190"/>
      <c r="S813" s="190"/>
      <c r="T813" s="190"/>
      <c r="U813" s="190"/>
      <c r="V813" s="190"/>
      <c r="W813" s="190"/>
      <c r="X813" s="190"/>
      <c r="Y813" s="190"/>
      <c r="Z813" s="190"/>
      <c r="AA813" s="190"/>
      <c r="AB813" s="190"/>
      <c r="AC813" s="190"/>
      <c r="AD813" s="190"/>
      <c r="AE813" s="190"/>
      <c r="AF813" s="190"/>
      <c r="AG813" s="190"/>
      <c r="AH813" s="190"/>
      <c r="AI813" s="190"/>
      <c r="AJ813" s="190"/>
      <c r="AK813" s="190"/>
      <c r="AL813" s="190"/>
    </row>
    <row r="814" spans="2:38" ht="12.75" customHeight="1">
      <c r="B814" s="6"/>
      <c r="C814" s="6"/>
      <c r="D814" s="12"/>
      <c r="E814" s="12"/>
      <c r="F814" s="12"/>
      <c r="G814" s="12"/>
      <c r="H814" s="6"/>
      <c r="I814" s="190"/>
      <c r="J814" s="190"/>
      <c r="K814" s="190"/>
      <c r="L814" s="190"/>
      <c r="M814" s="190"/>
      <c r="N814" s="190"/>
      <c r="O814" s="190"/>
      <c r="P814" s="190"/>
      <c r="Q814" s="190"/>
      <c r="R814" s="190"/>
      <c r="S814" s="190"/>
      <c r="T814" s="190"/>
      <c r="U814" s="190"/>
      <c r="V814" s="190"/>
      <c r="W814" s="190"/>
      <c r="X814" s="190"/>
      <c r="Y814" s="190"/>
      <c r="Z814" s="190"/>
      <c r="AA814" s="190"/>
      <c r="AB814" s="190"/>
      <c r="AC814" s="190"/>
      <c r="AD814" s="190"/>
      <c r="AE814" s="190"/>
      <c r="AF814" s="190"/>
      <c r="AG814" s="190"/>
      <c r="AH814" s="190"/>
      <c r="AI814" s="190"/>
      <c r="AJ814" s="190"/>
      <c r="AK814" s="190"/>
      <c r="AL814" s="190"/>
    </row>
    <row r="815" spans="2:38" ht="12.75" customHeight="1">
      <c r="B815" s="6"/>
      <c r="C815" s="6"/>
      <c r="D815" s="12"/>
      <c r="E815" s="12"/>
      <c r="F815" s="12"/>
      <c r="G815" s="12"/>
      <c r="H815" s="6"/>
      <c r="I815" s="190"/>
      <c r="J815" s="190"/>
      <c r="K815" s="190"/>
      <c r="L815" s="190"/>
      <c r="M815" s="190"/>
      <c r="N815" s="190"/>
      <c r="O815" s="190"/>
      <c r="P815" s="190"/>
      <c r="Q815" s="190"/>
      <c r="R815" s="190"/>
      <c r="S815" s="190"/>
      <c r="T815" s="190"/>
      <c r="U815" s="190"/>
      <c r="V815" s="190"/>
      <c r="W815" s="190"/>
      <c r="X815" s="190"/>
      <c r="Y815" s="190"/>
      <c r="Z815" s="190"/>
      <c r="AA815" s="190"/>
      <c r="AB815" s="190"/>
      <c r="AC815" s="190"/>
      <c r="AD815" s="190"/>
      <c r="AE815" s="190"/>
      <c r="AF815" s="190"/>
      <c r="AG815" s="190"/>
      <c r="AH815" s="190"/>
      <c r="AI815" s="190"/>
      <c r="AJ815" s="190"/>
      <c r="AK815" s="190"/>
      <c r="AL815" s="190"/>
    </row>
    <row r="816" spans="2:38" ht="12.75" customHeight="1">
      <c r="B816" s="6"/>
      <c r="C816" s="6"/>
      <c r="D816" s="12"/>
      <c r="E816" s="12"/>
      <c r="F816" s="12"/>
      <c r="G816" s="12"/>
      <c r="H816" s="6"/>
      <c r="I816" s="190"/>
      <c r="J816" s="190"/>
      <c r="K816" s="190"/>
      <c r="L816" s="190"/>
      <c r="M816" s="190"/>
      <c r="N816" s="190"/>
      <c r="O816" s="190"/>
      <c r="P816" s="190"/>
      <c r="Q816" s="190"/>
      <c r="R816" s="190"/>
      <c r="S816" s="190"/>
      <c r="T816" s="190"/>
      <c r="U816" s="190"/>
      <c r="V816" s="190"/>
      <c r="W816" s="190"/>
      <c r="X816" s="190"/>
      <c r="Y816" s="190"/>
      <c r="Z816" s="190"/>
      <c r="AA816" s="190"/>
      <c r="AB816" s="190"/>
      <c r="AC816" s="190"/>
      <c r="AD816" s="190"/>
      <c r="AE816" s="190"/>
      <c r="AF816" s="190"/>
      <c r="AG816" s="190"/>
      <c r="AH816" s="190"/>
      <c r="AI816" s="190"/>
      <c r="AJ816" s="190"/>
      <c r="AK816" s="190"/>
      <c r="AL816" s="190"/>
    </row>
    <row r="817" spans="2:38" ht="12.75" customHeight="1">
      <c r="B817" s="6"/>
      <c r="C817" s="6"/>
      <c r="D817" s="12"/>
      <c r="E817" s="12"/>
      <c r="F817" s="12"/>
      <c r="G817" s="12"/>
      <c r="H817" s="6"/>
      <c r="I817" s="190"/>
      <c r="J817" s="190"/>
      <c r="K817" s="190"/>
      <c r="L817" s="190"/>
      <c r="M817" s="190"/>
      <c r="N817" s="190"/>
      <c r="O817" s="190"/>
      <c r="P817" s="190"/>
      <c r="Q817" s="190"/>
      <c r="R817" s="190"/>
      <c r="S817" s="190"/>
      <c r="T817" s="190"/>
      <c r="U817" s="190"/>
      <c r="V817" s="190"/>
      <c r="W817" s="190"/>
      <c r="X817" s="190"/>
      <c r="Y817" s="190"/>
      <c r="Z817" s="190"/>
      <c r="AA817" s="190"/>
      <c r="AB817" s="190"/>
      <c r="AC817" s="190"/>
      <c r="AD817" s="190"/>
      <c r="AE817" s="190"/>
      <c r="AF817" s="190"/>
      <c r="AG817" s="190"/>
      <c r="AH817" s="190"/>
      <c r="AI817" s="190"/>
      <c r="AJ817" s="190"/>
      <c r="AK817" s="190"/>
      <c r="AL817" s="190"/>
    </row>
    <row r="818" spans="2:38" ht="12.75" customHeight="1">
      <c r="B818" s="6"/>
      <c r="C818" s="6"/>
      <c r="D818" s="12"/>
      <c r="E818" s="12"/>
      <c r="F818" s="12"/>
      <c r="G818" s="12"/>
      <c r="H818" s="6"/>
      <c r="I818" s="190"/>
      <c r="J818" s="190"/>
      <c r="K818" s="190"/>
      <c r="L818" s="190"/>
      <c r="M818" s="190"/>
      <c r="N818" s="190"/>
      <c r="O818" s="190"/>
      <c r="P818" s="190"/>
      <c r="Q818" s="190"/>
      <c r="R818" s="190"/>
      <c r="S818" s="190"/>
      <c r="T818" s="190"/>
      <c r="U818" s="190"/>
      <c r="V818" s="190"/>
      <c r="W818" s="190"/>
      <c r="X818" s="190"/>
      <c r="Y818" s="190"/>
      <c r="Z818" s="190"/>
      <c r="AA818" s="190"/>
      <c r="AB818" s="190"/>
      <c r="AC818" s="190"/>
      <c r="AD818" s="190"/>
      <c r="AE818" s="190"/>
      <c r="AF818" s="190"/>
      <c r="AG818" s="190"/>
      <c r="AH818" s="190"/>
      <c r="AI818" s="190"/>
      <c r="AJ818" s="190"/>
      <c r="AK818" s="190"/>
      <c r="AL818" s="190"/>
    </row>
    <row r="819" spans="2:38" ht="12.75" customHeight="1">
      <c r="B819" s="6"/>
      <c r="C819" s="6"/>
      <c r="D819" s="12"/>
      <c r="E819" s="12"/>
      <c r="F819" s="12"/>
      <c r="G819" s="12"/>
      <c r="H819" s="6"/>
      <c r="I819" s="190"/>
      <c r="J819" s="190"/>
      <c r="K819" s="190"/>
      <c r="L819" s="190"/>
      <c r="M819" s="190"/>
      <c r="N819" s="190"/>
      <c r="O819" s="190"/>
      <c r="P819" s="190"/>
      <c r="Q819" s="190"/>
      <c r="R819" s="190"/>
      <c r="S819" s="190"/>
      <c r="T819" s="190"/>
      <c r="U819" s="190"/>
      <c r="V819" s="190"/>
      <c r="W819" s="190"/>
      <c r="X819" s="190"/>
      <c r="Y819" s="190"/>
      <c r="Z819" s="190"/>
      <c r="AA819" s="190"/>
      <c r="AB819" s="190"/>
      <c r="AC819" s="190"/>
      <c r="AD819" s="190"/>
      <c r="AE819" s="190"/>
      <c r="AF819" s="190"/>
      <c r="AG819" s="190"/>
      <c r="AH819" s="190"/>
      <c r="AI819" s="190"/>
      <c r="AJ819" s="190"/>
      <c r="AK819" s="190"/>
      <c r="AL819" s="190"/>
    </row>
    <row r="820" spans="2:38" ht="12.75" customHeight="1">
      <c r="B820" s="6"/>
      <c r="C820" s="6"/>
      <c r="D820" s="12"/>
      <c r="E820" s="12"/>
      <c r="F820" s="12"/>
      <c r="G820" s="12"/>
      <c r="H820" s="6"/>
      <c r="I820" s="190"/>
      <c r="J820" s="190"/>
      <c r="K820" s="190"/>
      <c r="L820" s="190"/>
      <c r="M820" s="190"/>
      <c r="N820" s="190"/>
      <c r="O820" s="190"/>
      <c r="P820" s="190"/>
      <c r="Q820" s="190"/>
      <c r="R820" s="190"/>
      <c r="S820" s="190"/>
      <c r="T820" s="190"/>
      <c r="U820" s="190"/>
      <c r="V820" s="190"/>
      <c r="W820" s="190"/>
      <c r="X820" s="190"/>
      <c r="Y820" s="190"/>
      <c r="Z820" s="190"/>
      <c r="AA820" s="190"/>
      <c r="AB820" s="190"/>
      <c r="AC820" s="190"/>
      <c r="AD820" s="190"/>
      <c r="AE820" s="190"/>
      <c r="AF820" s="190"/>
      <c r="AG820" s="190"/>
      <c r="AH820" s="190"/>
      <c r="AI820" s="190"/>
      <c r="AJ820" s="190"/>
      <c r="AK820" s="190"/>
      <c r="AL820" s="190"/>
    </row>
    <row r="821" spans="2:38" ht="12.75" customHeight="1">
      <c r="B821" s="6"/>
      <c r="C821" s="6"/>
      <c r="D821" s="12"/>
      <c r="E821" s="12"/>
      <c r="F821" s="12"/>
      <c r="G821" s="12"/>
      <c r="H821" s="6"/>
      <c r="I821" s="190"/>
      <c r="J821" s="190"/>
      <c r="K821" s="190"/>
      <c r="L821" s="190"/>
      <c r="M821" s="190"/>
      <c r="N821" s="190"/>
      <c r="O821" s="190"/>
      <c r="P821" s="190"/>
      <c r="Q821" s="190"/>
      <c r="R821" s="190"/>
      <c r="S821" s="190"/>
      <c r="T821" s="190"/>
      <c r="U821" s="190"/>
      <c r="V821" s="190"/>
      <c r="W821" s="190"/>
      <c r="X821" s="190"/>
      <c r="Y821" s="190"/>
      <c r="Z821" s="190"/>
      <c r="AA821" s="190"/>
      <c r="AB821" s="190"/>
      <c r="AC821" s="190"/>
      <c r="AD821" s="190"/>
      <c r="AE821" s="190"/>
      <c r="AF821" s="190"/>
      <c r="AG821" s="190"/>
      <c r="AH821" s="190"/>
      <c r="AI821" s="190"/>
      <c r="AJ821" s="190"/>
      <c r="AK821" s="190"/>
      <c r="AL821" s="190"/>
    </row>
    <row r="822" spans="2:38" ht="12.75" customHeight="1">
      <c r="B822" s="6"/>
      <c r="C822" s="6"/>
      <c r="D822" s="12"/>
      <c r="E822" s="12"/>
      <c r="F822" s="12"/>
      <c r="G822" s="12"/>
      <c r="H822" s="6"/>
      <c r="I822" s="190"/>
      <c r="J822" s="190"/>
      <c r="K822" s="190"/>
      <c r="L822" s="190"/>
      <c r="M822" s="190"/>
      <c r="N822" s="190"/>
      <c r="O822" s="190"/>
      <c r="P822" s="190"/>
      <c r="Q822" s="190"/>
      <c r="R822" s="190"/>
      <c r="S822" s="190"/>
      <c r="T822" s="190"/>
      <c r="U822" s="190"/>
      <c r="V822" s="190"/>
      <c r="W822" s="190"/>
      <c r="X822" s="190"/>
      <c r="Y822" s="190"/>
      <c r="Z822" s="190"/>
      <c r="AA822" s="190"/>
      <c r="AB822" s="190"/>
      <c r="AC822" s="190"/>
      <c r="AD822" s="190"/>
      <c r="AE822" s="190"/>
      <c r="AF822" s="190"/>
      <c r="AG822" s="190"/>
      <c r="AH822" s="190"/>
      <c r="AI822" s="190"/>
      <c r="AJ822" s="190"/>
      <c r="AK822" s="190"/>
      <c r="AL822" s="190"/>
    </row>
    <row r="823" spans="2:38" ht="12.75" customHeight="1">
      <c r="B823" s="6"/>
      <c r="C823" s="6"/>
      <c r="D823" s="12"/>
      <c r="E823" s="12"/>
      <c r="F823" s="12"/>
      <c r="G823" s="12"/>
      <c r="H823" s="6"/>
      <c r="I823" s="190"/>
      <c r="J823" s="190"/>
      <c r="K823" s="190"/>
      <c r="L823" s="190"/>
      <c r="M823" s="190"/>
      <c r="N823" s="190"/>
      <c r="O823" s="190"/>
      <c r="P823" s="190"/>
      <c r="Q823" s="190"/>
      <c r="R823" s="190"/>
      <c r="S823" s="190"/>
      <c r="T823" s="190"/>
      <c r="U823" s="190"/>
      <c r="V823" s="190"/>
      <c r="W823" s="190"/>
      <c r="X823" s="190"/>
      <c r="Y823" s="190"/>
      <c r="Z823" s="190"/>
      <c r="AA823" s="190"/>
      <c r="AB823" s="190"/>
      <c r="AC823" s="190"/>
      <c r="AD823" s="190"/>
      <c r="AE823" s="190"/>
      <c r="AF823" s="190"/>
      <c r="AG823" s="190"/>
      <c r="AH823" s="190"/>
      <c r="AI823" s="190"/>
      <c r="AJ823" s="190"/>
      <c r="AK823" s="190"/>
      <c r="AL823" s="190"/>
    </row>
    <row r="824" spans="2:38" ht="12.75" customHeight="1">
      <c r="B824" s="6"/>
      <c r="C824" s="6"/>
      <c r="D824" s="12"/>
      <c r="E824" s="12"/>
      <c r="F824" s="12"/>
      <c r="G824" s="12"/>
      <c r="H824" s="6"/>
      <c r="I824" s="190"/>
      <c r="J824" s="190"/>
      <c r="K824" s="190"/>
      <c r="L824" s="190"/>
      <c r="M824" s="190"/>
      <c r="N824" s="190"/>
      <c r="O824" s="190"/>
      <c r="P824" s="190"/>
      <c r="Q824" s="190"/>
      <c r="R824" s="190"/>
      <c r="S824" s="190"/>
      <c r="T824" s="190"/>
      <c r="U824" s="190"/>
      <c r="V824" s="190"/>
      <c r="W824" s="190"/>
      <c r="X824" s="190"/>
      <c r="Y824" s="190"/>
      <c r="Z824" s="190"/>
      <c r="AA824" s="190"/>
      <c r="AB824" s="190"/>
      <c r="AC824" s="190"/>
      <c r="AD824" s="190"/>
      <c r="AE824" s="190"/>
      <c r="AF824" s="190"/>
      <c r="AG824" s="190"/>
      <c r="AH824" s="190"/>
      <c r="AI824" s="190"/>
      <c r="AJ824" s="190"/>
      <c r="AK824" s="190"/>
      <c r="AL824" s="190"/>
    </row>
    <row r="825" spans="2:38" ht="12.75" customHeight="1">
      <c r="B825" s="6"/>
      <c r="C825" s="6"/>
      <c r="D825" s="12"/>
      <c r="E825" s="12"/>
      <c r="F825" s="12"/>
      <c r="G825" s="12"/>
      <c r="H825" s="6"/>
      <c r="I825" s="190"/>
      <c r="J825" s="190"/>
      <c r="K825" s="190"/>
      <c r="L825" s="190"/>
      <c r="M825" s="190"/>
      <c r="N825" s="190"/>
      <c r="O825" s="190"/>
      <c r="P825" s="190"/>
      <c r="Q825" s="190"/>
      <c r="R825" s="190"/>
      <c r="S825" s="190"/>
      <c r="T825" s="190"/>
      <c r="U825" s="190"/>
      <c r="V825" s="190"/>
      <c r="W825" s="190"/>
      <c r="X825" s="190"/>
      <c r="Y825" s="190"/>
      <c r="Z825" s="190"/>
      <c r="AA825" s="190"/>
      <c r="AB825" s="190"/>
      <c r="AC825" s="190"/>
      <c r="AD825" s="190"/>
      <c r="AE825" s="190"/>
      <c r="AF825" s="190"/>
      <c r="AG825" s="190"/>
      <c r="AH825" s="190"/>
      <c r="AI825" s="190"/>
      <c r="AJ825" s="190"/>
      <c r="AK825" s="190"/>
      <c r="AL825" s="190"/>
    </row>
    <row r="826" spans="2:38" ht="12.75" customHeight="1">
      <c r="B826" s="6"/>
      <c r="C826" s="6"/>
      <c r="D826" s="12"/>
      <c r="E826" s="12"/>
      <c r="F826" s="12"/>
      <c r="G826" s="12"/>
      <c r="H826" s="6"/>
      <c r="I826" s="190"/>
      <c r="J826" s="190"/>
      <c r="K826" s="190"/>
      <c r="L826" s="190"/>
      <c r="M826" s="190"/>
      <c r="N826" s="190"/>
      <c r="O826" s="190"/>
      <c r="P826" s="190"/>
      <c r="Q826" s="190"/>
      <c r="R826" s="190"/>
      <c r="S826" s="190"/>
      <c r="T826" s="190"/>
      <c r="U826" s="190"/>
      <c r="V826" s="190"/>
      <c r="W826" s="190"/>
      <c r="X826" s="190"/>
      <c r="Y826" s="190"/>
      <c r="Z826" s="190"/>
      <c r="AA826" s="190"/>
      <c r="AB826" s="190"/>
      <c r="AC826" s="190"/>
      <c r="AD826" s="190"/>
      <c r="AE826" s="190"/>
      <c r="AF826" s="190"/>
      <c r="AG826" s="190"/>
      <c r="AH826" s="190"/>
      <c r="AI826" s="190"/>
      <c r="AJ826" s="190"/>
      <c r="AK826" s="190"/>
      <c r="AL826" s="190"/>
    </row>
    <row r="827" spans="2:38" ht="12.75" customHeight="1">
      <c r="B827" s="6"/>
      <c r="C827" s="6"/>
      <c r="D827" s="12"/>
      <c r="E827" s="12"/>
      <c r="F827" s="12"/>
      <c r="G827" s="12"/>
      <c r="H827" s="6"/>
      <c r="I827" s="190"/>
      <c r="J827" s="190"/>
      <c r="K827" s="190"/>
      <c r="L827" s="190"/>
      <c r="M827" s="190"/>
      <c r="N827" s="190"/>
      <c r="O827" s="190"/>
      <c r="P827" s="190"/>
      <c r="Q827" s="190"/>
      <c r="R827" s="190"/>
      <c r="S827" s="190"/>
      <c r="T827" s="190"/>
      <c r="U827" s="190"/>
      <c r="V827" s="190"/>
      <c r="W827" s="190"/>
      <c r="X827" s="190"/>
      <c r="Y827" s="190"/>
      <c r="Z827" s="190"/>
      <c r="AA827" s="190"/>
      <c r="AB827" s="190"/>
      <c r="AC827" s="190"/>
      <c r="AD827" s="190"/>
      <c r="AE827" s="190"/>
      <c r="AF827" s="190"/>
      <c r="AG827" s="190"/>
      <c r="AH827" s="190"/>
      <c r="AI827" s="190"/>
      <c r="AJ827" s="190"/>
      <c r="AK827" s="190"/>
      <c r="AL827" s="190"/>
    </row>
    <row r="828" spans="2:38" ht="12.75" customHeight="1">
      <c r="B828" s="6"/>
      <c r="C828" s="6"/>
      <c r="D828" s="12"/>
      <c r="E828" s="12"/>
      <c r="F828" s="12"/>
      <c r="G828" s="12"/>
      <c r="H828" s="6"/>
      <c r="I828" s="190"/>
      <c r="J828" s="190"/>
      <c r="K828" s="190"/>
      <c r="L828" s="190"/>
      <c r="M828" s="190"/>
      <c r="N828" s="190"/>
      <c r="O828" s="190"/>
      <c r="P828" s="190"/>
      <c r="Q828" s="190"/>
      <c r="R828" s="190"/>
      <c r="S828" s="190"/>
      <c r="T828" s="190"/>
      <c r="U828" s="190"/>
      <c r="V828" s="190"/>
      <c r="W828" s="190"/>
      <c r="X828" s="190"/>
      <c r="Y828" s="190"/>
      <c r="Z828" s="190"/>
      <c r="AA828" s="190"/>
      <c r="AB828" s="190"/>
      <c r="AC828" s="190"/>
      <c r="AD828" s="190"/>
      <c r="AE828" s="190"/>
      <c r="AF828" s="190"/>
      <c r="AG828" s="190"/>
      <c r="AH828" s="190"/>
      <c r="AI828" s="190"/>
      <c r="AJ828" s="190"/>
      <c r="AK828" s="190"/>
      <c r="AL828" s="190"/>
    </row>
    <row r="829" spans="2:38" ht="12.75" customHeight="1">
      <c r="B829" s="6"/>
      <c r="C829" s="6"/>
      <c r="D829" s="12"/>
      <c r="E829" s="12"/>
      <c r="F829" s="12"/>
      <c r="G829" s="12"/>
      <c r="H829" s="6"/>
      <c r="I829" s="190"/>
      <c r="J829" s="190"/>
      <c r="K829" s="190"/>
      <c r="L829" s="190"/>
      <c r="M829" s="190"/>
      <c r="N829" s="190"/>
      <c r="O829" s="190"/>
      <c r="P829" s="190"/>
      <c r="Q829" s="190"/>
      <c r="R829" s="190"/>
      <c r="S829" s="190"/>
      <c r="T829" s="190"/>
      <c r="U829" s="190"/>
      <c r="V829" s="190"/>
      <c r="W829" s="190"/>
      <c r="X829" s="190"/>
      <c r="Y829" s="190"/>
      <c r="Z829" s="190"/>
      <c r="AA829" s="190"/>
      <c r="AB829" s="190"/>
      <c r="AC829" s="190"/>
      <c r="AD829" s="190"/>
      <c r="AE829" s="190"/>
      <c r="AF829" s="190"/>
      <c r="AG829" s="190"/>
      <c r="AH829" s="190"/>
      <c r="AI829" s="190"/>
      <c r="AJ829" s="190"/>
      <c r="AK829" s="190"/>
      <c r="AL829" s="190"/>
    </row>
    <row r="830" spans="2:38" ht="12.75" customHeight="1">
      <c r="B830" s="6"/>
      <c r="C830" s="6"/>
      <c r="D830" s="12"/>
      <c r="E830" s="12"/>
      <c r="F830" s="12"/>
      <c r="G830" s="12"/>
      <c r="H830" s="6"/>
      <c r="I830" s="190"/>
      <c r="J830" s="190"/>
      <c r="K830" s="190"/>
      <c r="L830" s="190"/>
      <c r="M830" s="190"/>
      <c r="N830" s="190"/>
      <c r="O830" s="190"/>
      <c r="P830" s="190"/>
      <c r="Q830" s="190"/>
      <c r="R830" s="190"/>
      <c r="S830" s="190"/>
      <c r="T830" s="190"/>
      <c r="U830" s="190"/>
      <c r="V830" s="190"/>
      <c r="W830" s="190"/>
      <c r="X830" s="190"/>
      <c r="Y830" s="190"/>
      <c r="Z830" s="190"/>
      <c r="AA830" s="190"/>
      <c r="AB830" s="190"/>
      <c r="AC830" s="190"/>
      <c r="AD830" s="190"/>
      <c r="AE830" s="190"/>
      <c r="AF830" s="190"/>
      <c r="AG830" s="190"/>
      <c r="AH830" s="190"/>
      <c r="AI830" s="190"/>
      <c r="AJ830" s="190"/>
      <c r="AK830" s="190"/>
      <c r="AL830" s="190"/>
    </row>
    <row r="831" spans="2:38" ht="12.75" customHeight="1">
      <c r="B831" s="6"/>
      <c r="C831" s="6"/>
      <c r="D831" s="12"/>
      <c r="E831" s="12"/>
      <c r="F831" s="12"/>
      <c r="G831" s="12"/>
      <c r="H831" s="6"/>
      <c r="I831" s="190"/>
      <c r="J831" s="190"/>
      <c r="K831" s="190"/>
      <c r="L831" s="190"/>
      <c r="M831" s="190"/>
      <c r="N831" s="190"/>
      <c r="O831" s="190"/>
      <c r="P831" s="190"/>
      <c r="Q831" s="190"/>
      <c r="R831" s="190"/>
      <c r="S831" s="190"/>
      <c r="T831" s="190"/>
      <c r="U831" s="190"/>
      <c r="V831" s="190"/>
      <c r="W831" s="190"/>
      <c r="X831" s="190"/>
      <c r="Y831" s="190"/>
      <c r="Z831" s="190"/>
      <c r="AA831" s="190"/>
      <c r="AB831" s="190"/>
      <c r="AC831" s="190"/>
      <c r="AD831" s="190"/>
      <c r="AE831" s="190"/>
      <c r="AF831" s="190"/>
      <c r="AG831" s="190"/>
      <c r="AH831" s="190"/>
      <c r="AI831" s="190"/>
      <c r="AJ831" s="190"/>
      <c r="AK831" s="190"/>
      <c r="AL831" s="190"/>
    </row>
    <row r="832" spans="2:38" ht="12.75" customHeight="1">
      <c r="B832" s="6"/>
      <c r="C832" s="6"/>
      <c r="D832" s="12"/>
      <c r="E832" s="12"/>
      <c r="F832" s="12"/>
      <c r="G832" s="12"/>
      <c r="H832" s="6"/>
      <c r="I832" s="190"/>
      <c r="J832" s="190"/>
      <c r="K832" s="190"/>
      <c r="L832" s="190"/>
      <c r="M832" s="190"/>
      <c r="N832" s="190"/>
      <c r="O832" s="190"/>
      <c r="P832" s="190"/>
      <c r="Q832" s="190"/>
      <c r="R832" s="190"/>
      <c r="S832" s="190"/>
      <c r="T832" s="190"/>
      <c r="U832" s="190"/>
      <c r="V832" s="190"/>
      <c r="W832" s="190"/>
      <c r="X832" s="190"/>
      <c r="Y832" s="190"/>
      <c r="Z832" s="190"/>
      <c r="AA832" s="190"/>
      <c r="AB832" s="190"/>
      <c r="AC832" s="190"/>
      <c r="AD832" s="190"/>
      <c r="AE832" s="190"/>
      <c r="AF832" s="190"/>
      <c r="AG832" s="190"/>
      <c r="AH832" s="190"/>
      <c r="AI832" s="190"/>
      <c r="AJ832" s="190"/>
      <c r="AK832" s="190"/>
      <c r="AL832" s="190"/>
    </row>
    <row r="833" spans="2:38" ht="12.75" customHeight="1">
      <c r="B833" s="6"/>
      <c r="C833" s="6"/>
      <c r="D833" s="12"/>
      <c r="E833" s="12"/>
      <c r="F833" s="12"/>
      <c r="G833" s="12"/>
      <c r="H833" s="6"/>
      <c r="I833" s="190"/>
      <c r="J833" s="190"/>
      <c r="K833" s="190"/>
      <c r="L833" s="190"/>
      <c r="M833" s="190"/>
      <c r="N833" s="190"/>
      <c r="O833" s="190"/>
      <c r="P833" s="190"/>
      <c r="Q833" s="190"/>
      <c r="R833" s="190"/>
      <c r="S833" s="190"/>
      <c r="T833" s="190"/>
      <c r="U833" s="190"/>
      <c r="V833" s="190"/>
      <c r="W833" s="190"/>
      <c r="X833" s="190"/>
      <c r="Y833" s="190"/>
      <c r="Z833" s="190"/>
      <c r="AA833" s="190"/>
      <c r="AB833" s="190"/>
      <c r="AC833" s="190"/>
      <c r="AD833" s="190"/>
      <c r="AE833" s="190"/>
      <c r="AF833" s="190"/>
      <c r="AG833" s="190"/>
      <c r="AH833" s="190"/>
      <c r="AI833" s="190"/>
      <c r="AJ833" s="190"/>
      <c r="AK833" s="190"/>
      <c r="AL833" s="190"/>
    </row>
    <row r="834" spans="2:38" ht="12.75" customHeight="1">
      <c r="B834" s="6"/>
      <c r="C834" s="6"/>
      <c r="D834" s="12"/>
      <c r="E834" s="12"/>
      <c r="F834" s="12"/>
      <c r="G834" s="12"/>
      <c r="H834" s="6"/>
      <c r="I834" s="190"/>
      <c r="J834" s="190"/>
      <c r="K834" s="190"/>
      <c r="L834" s="190"/>
      <c r="M834" s="190"/>
      <c r="N834" s="190"/>
      <c r="O834" s="190"/>
      <c r="P834" s="190"/>
      <c r="Q834" s="190"/>
      <c r="R834" s="190"/>
      <c r="S834" s="190"/>
      <c r="T834" s="190"/>
      <c r="U834" s="190"/>
      <c r="V834" s="190"/>
      <c r="W834" s="190"/>
      <c r="X834" s="190"/>
      <c r="Y834" s="190"/>
      <c r="Z834" s="190"/>
      <c r="AA834" s="190"/>
      <c r="AB834" s="190"/>
      <c r="AC834" s="190"/>
      <c r="AD834" s="190"/>
      <c r="AE834" s="190"/>
      <c r="AF834" s="190"/>
      <c r="AG834" s="190"/>
      <c r="AH834" s="190"/>
      <c r="AI834" s="190"/>
      <c r="AJ834" s="190"/>
      <c r="AK834" s="190"/>
      <c r="AL834" s="190"/>
    </row>
    <row r="835" spans="2:38" ht="12.75" customHeight="1">
      <c r="B835" s="6"/>
      <c r="C835" s="6"/>
      <c r="D835" s="12"/>
      <c r="E835" s="12"/>
      <c r="F835" s="12"/>
      <c r="G835" s="12"/>
      <c r="H835" s="6"/>
      <c r="I835" s="190"/>
      <c r="J835" s="190"/>
      <c r="K835" s="190"/>
      <c r="L835" s="190"/>
      <c r="M835" s="190"/>
      <c r="N835" s="190"/>
      <c r="O835" s="190"/>
      <c r="P835" s="190"/>
      <c r="Q835" s="190"/>
      <c r="R835" s="190"/>
      <c r="S835" s="190"/>
      <c r="T835" s="190"/>
      <c r="U835" s="190"/>
      <c r="V835" s="190"/>
      <c r="W835" s="190"/>
      <c r="X835" s="190"/>
      <c r="Y835" s="190"/>
      <c r="Z835" s="190"/>
      <c r="AA835" s="190"/>
      <c r="AB835" s="190"/>
      <c r="AC835" s="190"/>
      <c r="AD835" s="190"/>
      <c r="AE835" s="190"/>
      <c r="AF835" s="190"/>
      <c r="AG835" s="190"/>
      <c r="AH835" s="190"/>
      <c r="AI835" s="190"/>
      <c r="AJ835" s="190"/>
      <c r="AK835" s="190"/>
      <c r="AL835" s="190"/>
    </row>
    <row r="836" spans="2:38" ht="12.75" customHeight="1">
      <c r="B836" s="6"/>
      <c r="C836" s="6"/>
      <c r="D836" s="12"/>
      <c r="E836" s="12"/>
      <c r="F836" s="12"/>
      <c r="G836" s="12"/>
      <c r="H836" s="6"/>
      <c r="I836" s="190"/>
      <c r="J836" s="190"/>
      <c r="K836" s="190"/>
      <c r="L836" s="190"/>
      <c r="M836" s="190"/>
      <c r="N836" s="190"/>
      <c r="O836" s="190"/>
      <c r="P836" s="190"/>
      <c r="Q836" s="190"/>
      <c r="R836" s="190"/>
      <c r="S836" s="190"/>
      <c r="T836" s="190"/>
      <c r="U836" s="190"/>
      <c r="V836" s="190"/>
      <c r="W836" s="190"/>
      <c r="X836" s="190"/>
      <c r="Y836" s="190"/>
      <c r="Z836" s="190"/>
      <c r="AA836" s="190"/>
      <c r="AB836" s="190"/>
      <c r="AC836" s="190"/>
      <c r="AD836" s="190"/>
      <c r="AE836" s="190"/>
      <c r="AF836" s="190"/>
      <c r="AG836" s="190"/>
      <c r="AH836" s="190"/>
      <c r="AI836" s="190"/>
      <c r="AJ836" s="190"/>
      <c r="AK836" s="190"/>
      <c r="AL836" s="190"/>
    </row>
    <row r="837" spans="2:38" ht="12.75" customHeight="1">
      <c r="B837" s="6"/>
      <c r="C837" s="6"/>
      <c r="D837" s="12"/>
      <c r="E837" s="12"/>
      <c r="F837" s="12"/>
      <c r="G837" s="12"/>
      <c r="H837" s="6"/>
      <c r="I837" s="190"/>
      <c r="J837" s="190"/>
      <c r="K837" s="190"/>
      <c r="L837" s="190"/>
      <c r="M837" s="190"/>
      <c r="N837" s="190"/>
      <c r="O837" s="190"/>
      <c r="P837" s="190"/>
      <c r="Q837" s="190"/>
      <c r="R837" s="190"/>
      <c r="S837" s="190"/>
      <c r="T837" s="190"/>
      <c r="U837" s="190"/>
      <c r="V837" s="190"/>
      <c r="W837" s="190"/>
      <c r="X837" s="190"/>
      <c r="Y837" s="190"/>
      <c r="Z837" s="190"/>
      <c r="AA837" s="190"/>
      <c r="AB837" s="190"/>
      <c r="AC837" s="190"/>
      <c r="AD837" s="190"/>
      <c r="AE837" s="190"/>
      <c r="AF837" s="190"/>
      <c r="AG837" s="190"/>
      <c r="AH837" s="190"/>
      <c r="AI837" s="190"/>
      <c r="AJ837" s="190"/>
      <c r="AK837" s="190"/>
      <c r="AL837" s="190"/>
    </row>
    <row r="838" spans="2:38" ht="12.75" customHeight="1">
      <c r="B838" s="6"/>
      <c r="C838" s="20"/>
      <c r="D838" s="12"/>
      <c r="E838" s="12"/>
      <c r="F838" s="6"/>
      <c r="G838" s="12"/>
      <c r="H838" s="20"/>
      <c r="I838" s="187"/>
      <c r="J838" s="187"/>
      <c r="K838" s="187"/>
      <c r="L838" s="187"/>
      <c r="M838" s="187"/>
      <c r="N838" s="187"/>
      <c r="O838" s="187"/>
      <c r="P838" s="187"/>
      <c r="Q838" s="187"/>
      <c r="R838" s="187"/>
      <c r="S838" s="187"/>
      <c r="T838" s="187"/>
      <c r="U838" s="187"/>
      <c r="V838" s="187"/>
      <c r="W838" s="187"/>
      <c r="X838" s="187"/>
      <c r="Y838" s="187"/>
      <c r="Z838" s="187"/>
      <c r="AA838" s="187"/>
      <c r="AB838" s="187"/>
      <c r="AC838" s="187"/>
      <c r="AD838" s="187"/>
      <c r="AE838" s="187"/>
      <c r="AF838" s="187"/>
      <c r="AG838" s="187"/>
      <c r="AH838" s="187"/>
      <c r="AI838" s="187"/>
      <c r="AJ838" s="187"/>
      <c r="AK838" s="187"/>
      <c r="AL838" s="187"/>
    </row>
    <row r="839" spans="2:38" ht="12.75" customHeight="1">
      <c r="B839" s="6"/>
      <c r="C839" s="20"/>
      <c r="D839" s="12"/>
      <c r="E839" s="12"/>
      <c r="F839" s="12"/>
      <c r="G839" s="12"/>
      <c r="H839" s="20"/>
      <c r="I839" s="187"/>
      <c r="J839" s="187"/>
      <c r="K839" s="187"/>
      <c r="L839" s="187"/>
      <c r="M839" s="187"/>
      <c r="N839" s="187"/>
      <c r="O839" s="187"/>
      <c r="P839" s="187"/>
      <c r="Q839" s="187"/>
      <c r="R839" s="187"/>
      <c r="S839" s="187"/>
      <c r="T839" s="187"/>
      <c r="U839" s="187"/>
      <c r="V839" s="187"/>
      <c r="W839" s="187"/>
      <c r="X839" s="187"/>
      <c r="Y839" s="187"/>
      <c r="Z839" s="187"/>
      <c r="AA839" s="187"/>
      <c r="AB839" s="187"/>
      <c r="AC839" s="187"/>
      <c r="AD839" s="187"/>
      <c r="AE839" s="187"/>
      <c r="AF839" s="187"/>
      <c r="AG839" s="187"/>
      <c r="AH839" s="187"/>
      <c r="AI839" s="187"/>
      <c r="AJ839" s="187"/>
      <c r="AK839" s="187"/>
      <c r="AL839" s="187"/>
    </row>
    <row r="840" spans="2:38" ht="12.75" customHeight="1">
      <c r="B840" s="6"/>
      <c r="C840" s="20"/>
      <c r="D840" s="12"/>
      <c r="E840" s="12"/>
      <c r="F840" s="12"/>
      <c r="G840" s="12"/>
      <c r="H840" s="20"/>
      <c r="I840" s="187"/>
      <c r="J840" s="187"/>
      <c r="K840" s="187"/>
      <c r="L840" s="187"/>
      <c r="M840" s="187"/>
      <c r="N840" s="187"/>
      <c r="O840" s="187"/>
      <c r="P840" s="187"/>
      <c r="Q840" s="187"/>
      <c r="R840" s="187"/>
      <c r="S840" s="187"/>
      <c r="T840" s="187"/>
      <c r="U840" s="187"/>
      <c r="V840" s="187"/>
      <c r="W840" s="187"/>
      <c r="X840" s="187"/>
      <c r="Y840" s="187"/>
      <c r="Z840" s="187"/>
      <c r="AA840" s="187"/>
      <c r="AB840" s="187"/>
      <c r="AC840" s="187"/>
      <c r="AD840" s="187"/>
      <c r="AE840" s="187"/>
      <c r="AF840" s="187"/>
      <c r="AG840" s="187"/>
      <c r="AH840" s="187"/>
      <c r="AI840" s="187"/>
      <c r="AJ840" s="187"/>
      <c r="AK840" s="187"/>
      <c r="AL840" s="187"/>
    </row>
    <row r="841" spans="2:38" ht="12.75" customHeight="1">
      <c r="B841" s="6"/>
      <c r="C841" s="20"/>
      <c r="D841" s="12"/>
      <c r="E841" s="12"/>
      <c r="F841" s="12"/>
      <c r="G841" s="12"/>
      <c r="H841" s="20"/>
      <c r="I841" s="187"/>
      <c r="J841" s="187"/>
      <c r="K841" s="187"/>
      <c r="L841" s="187"/>
      <c r="M841" s="187"/>
      <c r="N841" s="187"/>
      <c r="O841" s="187"/>
      <c r="P841" s="187"/>
      <c r="Q841" s="187"/>
      <c r="R841" s="187"/>
      <c r="S841" s="187"/>
      <c r="T841" s="187"/>
      <c r="U841" s="187"/>
      <c r="V841" s="187"/>
      <c r="W841" s="187"/>
      <c r="X841" s="187"/>
      <c r="Y841" s="187"/>
      <c r="Z841" s="187"/>
      <c r="AA841" s="187"/>
      <c r="AB841" s="187"/>
      <c r="AC841" s="187"/>
      <c r="AD841" s="187"/>
      <c r="AE841" s="187"/>
      <c r="AF841" s="187"/>
      <c r="AG841" s="187"/>
      <c r="AH841" s="187"/>
      <c r="AI841" s="187"/>
      <c r="AJ841" s="187"/>
      <c r="AK841" s="187"/>
      <c r="AL841" s="187"/>
    </row>
    <row r="842" spans="2:38" ht="12.75" customHeight="1">
      <c r="B842" s="6"/>
      <c r="C842" s="20"/>
      <c r="D842" s="12"/>
      <c r="E842" s="12"/>
      <c r="F842" s="12"/>
      <c r="G842" s="12"/>
      <c r="H842" s="20"/>
      <c r="I842" s="187"/>
      <c r="J842" s="187"/>
      <c r="K842" s="187"/>
      <c r="L842" s="187"/>
      <c r="M842" s="187"/>
      <c r="N842" s="187"/>
      <c r="O842" s="187"/>
      <c r="P842" s="187"/>
      <c r="Q842" s="187"/>
      <c r="R842" s="187"/>
      <c r="S842" s="187"/>
      <c r="T842" s="187"/>
      <c r="U842" s="187"/>
      <c r="V842" s="187"/>
      <c r="W842" s="187"/>
      <c r="X842" s="187"/>
      <c r="Y842" s="187"/>
      <c r="Z842" s="187"/>
      <c r="AA842" s="187"/>
      <c r="AB842" s="187"/>
      <c r="AC842" s="187"/>
      <c r="AD842" s="187"/>
      <c r="AE842" s="187"/>
      <c r="AF842" s="187"/>
      <c r="AG842" s="187"/>
      <c r="AH842" s="187"/>
      <c r="AI842" s="187"/>
      <c r="AJ842" s="187"/>
      <c r="AK842" s="187"/>
      <c r="AL842" s="187"/>
    </row>
    <row r="843" spans="2:38" ht="12.75" customHeight="1">
      <c r="B843" s="6"/>
      <c r="C843" s="20"/>
      <c r="D843" s="12"/>
      <c r="E843" s="12"/>
      <c r="F843" s="12"/>
      <c r="G843" s="12"/>
      <c r="H843" s="20"/>
      <c r="I843" s="187"/>
      <c r="J843" s="187"/>
      <c r="K843" s="187"/>
      <c r="L843" s="187"/>
      <c r="M843" s="187"/>
      <c r="N843" s="187"/>
      <c r="O843" s="187"/>
      <c r="P843" s="187"/>
      <c r="Q843" s="187"/>
      <c r="R843" s="187"/>
      <c r="S843" s="187"/>
      <c r="T843" s="187"/>
      <c r="U843" s="187"/>
      <c r="V843" s="187"/>
      <c r="W843" s="187"/>
      <c r="X843" s="187"/>
      <c r="Y843" s="187"/>
      <c r="Z843" s="187"/>
      <c r="AA843" s="187"/>
      <c r="AB843" s="187"/>
      <c r="AC843" s="187"/>
      <c r="AD843" s="187"/>
      <c r="AE843" s="187"/>
      <c r="AF843" s="187"/>
      <c r="AG843" s="187"/>
      <c r="AH843" s="187"/>
      <c r="AI843" s="187"/>
      <c r="AJ843" s="187"/>
      <c r="AK843" s="187"/>
      <c r="AL843" s="187"/>
    </row>
    <row r="844" spans="2:38" ht="12.75" customHeight="1">
      <c r="B844" s="6"/>
      <c r="C844" s="20"/>
      <c r="D844" s="12"/>
      <c r="E844" s="12"/>
      <c r="F844" s="12"/>
      <c r="G844" s="12"/>
      <c r="H844" s="20"/>
      <c r="I844" s="187"/>
      <c r="J844" s="187"/>
      <c r="K844" s="187"/>
      <c r="L844" s="187"/>
      <c r="M844" s="187"/>
      <c r="N844" s="187"/>
      <c r="O844" s="187"/>
      <c r="P844" s="187"/>
      <c r="Q844" s="187"/>
      <c r="R844" s="187"/>
      <c r="S844" s="187"/>
      <c r="T844" s="187"/>
      <c r="U844" s="187"/>
      <c r="V844" s="187"/>
      <c r="W844" s="187"/>
      <c r="X844" s="187"/>
      <c r="Y844" s="187"/>
      <c r="Z844" s="187"/>
      <c r="AA844" s="187"/>
      <c r="AB844" s="187"/>
      <c r="AC844" s="187"/>
      <c r="AD844" s="187"/>
      <c r="AE844" s="187"/>
      <c r="AF844" s="187"/>
      <c r="AG844" s="187"/>
      <c r="AH844" s="187"/>
      <c r="AI844" s="187"/>
      <c r="AJ844" s="187"/>
      <c r="AK844" s="187"/>
      <c r="AL844" s="187"/>
    </row>
    <row r="845" spans="2:38" ht="12.75" customHeight="1">
      <c r="B845" s="6"/>
      <c r="C845" s="20"/>
      <c r="D845" s="12"/>
      <c r="E845" s="12"/>
      <c r="F845" s="12"/>
      <c r="G845" s="12"/>
      <c r="H845" s="20"/>
      <c r="I845" s="187"/>
      <c r="J845" s="187"/>
      <c r="K845" s="187"/>
      <c r="L845" s="187"/>
      <c r="M845" s="187"/>
      <c r="N845" s="187"/>
      <c r="O845" s="187"/>
      <c r="P845" s="187"/>
      <c r="Q845" s="187"/>
      <c r="R845" s="187"/>
      <c r="S845" s="187"/>
      <c r="T845" s="187"/>
      <c r="U845" s="187"/>
      <c r="V845" s="187"/>
      <c r="W845" s="187"/>
      <c r="X845" s="187"/>
      <c r="Y845" s="187"/>
      <c r="Z845" s="187"/>
      <c r="AA845" s="187"/>
      <c r="AB845" s="187"/>
      <c r="AC845" s="187"/>
      <c r="AD845" s="187"/>
      <c r="AE845" s="187"/>
      <c r="AF845" s="187"/>
      <c r="AG845" s="187"/>
      <c r="AH845" s="187"/>
      <c r="AI845" s="187"/>
      <c r="AJ845" s="187"/>
      <c r="AK845" s="187"/>
      <c r="AL845" s="187"/>
    </row>
    <row r="846" spans="2:38" ht="12.75" customHeight="1">
      <c r="B846" s="6"/>
      <c r="C846" s="20"/>
      <c r="D846" s="12"/>
      <c r="E846" s="12"/>
      <c r="F846" s="12"/>
      <c r="G846" s="12"/>
      <c r="H846" s="20"/>
      <c r="I846" s="187"/>
      <c r="J846" s="187"/>
      <c r="K846" s="187"/>
      <c r="L846" s="187"/>
      <c r="M846" s="187"/>
      <c r="N846" s="187"/>
      <c r="O846" s="187"/>
      <c r="P846" s="187"/>
      <c r="Q846" s="187"/>
      <c r="R846" s="187"/>
      <c r="S846" s="187"/>
      <c r="T846" s="187"/>
      <c r="U846" s="187"/>
      <c r="V846" s="187"/>
      <c r="W846" s="187"/>
      <c r="X846" s="187"/>
      <c r="Y846" s="187"/>
      <c r="Z846" s="187"/>
      <c r="AA846" s="187"/>
      <c r="AB846" s="187"/>
      <c r="AC846" s="187"/>
      <c r="AD846" s="187"/>
      <c r="AE846" s="187"/>
      <c r="AF846" s="187"/>
      <c r="AG846" s="187"/>
      <c r="AH846" s="187"/>
      <c r="AI846" s="187"/>
      <c r="AJ846" s="187"/>
      <c r="AK846" s="187"/>
      <c r="AL846" s="187"/>
    </row>
    <row r="847" spans="2:38" ht="12.75" customHeight="1">
      <c r="B847" s="6"/>
      <c r="C847" s="20"/>
      <c r="D847" s="12"/>
      <c r="E847" s="12"/>
      <c r="F847" s="12"/>
      <c r="G847" s="12"/>
      <c r="H847" s="20"/>
      <c r="I847" s="187"/>
      <c r="J847" s="187"/>
      <c r="K847" s="187"/>
      <c r="L847" s="187"/>
      <c r="M847" s="187"/>
      <c r="N847" s="187"/>
      <c r="O847" s="187"/>
      <c r="P847" s="187"/>
      <c r="Q847" s="187"/>
      <c r="R847" s="187"/>
      <c r="S847" s="187"/>
      <c r="T847" s="187"/>
      <c r="U847" s="187"/>
      <c r="V847" s="187"/>
      <c r="W847" s="187"/>
      <c r="X847" s="187"/>
      <c r="Y847" s="187"/>
      <c r="Z847" s="187"/>
      <c r="AA847" s="187"/>
      <c r="AB847" s="187"/>
      <c r="AC847" s="187"/>
      <c r="AD847" s="187"/>
      <c r="AE847" s="187"/>
      <c r="AF847" s="187"/>
      <c r="AG847" s="187"/>
      <c r="AH847" s="187"/>
      <c r="AI847" s="187"/>
      <c r="AJ847" s="187"/>
      <c r="AK847" s="187"/>
      <c r="AL847" s="187"/>
    </row>
    <row r="848" spans="2:38" ht="12.75" customHeight="1">
      <c r="B848" s="6"/>
      <c r="C848" s="20"/>
      <c r="D848" s="12"/>
      <c r="E848" s="12"/>
      <c r="F848" s="12"/>
      <c r="G848" s="12"/>
      <c r="H848" s="20"/>
      <c r="I848" s="187"/>
      <c r="J848" s="187"/>
      <c r="K848" s="187"/>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c r="AL848" s="187"/>
    </row>
    <row r="849" spans="2:38" ht="12.75" customHeight="1">
      <c r="B849" s="6"/>
      <c r="C849" s="20"/>
      <c r="D849" s="12"/>
      <c r="E849" s="12"/>
      <c r="F849" s="12"/>
      <c r="G849" s="12"/>
      <c r="H849" s="20"/>
      <c r="I849" s="187"/>
      <c r="J849" s="187"/>
      <c r="K849" s="187"/>
      <c r="L849" s="187"/>
      <c r="M849" s="187"/>
      <c r="N849" s="187"/>
      <c r="O849" s="187"/>
      <c r="P849" s="187"/>
      <c r="Q849" s="187"/>
      <c r="R849" s="187"/>
      <c r="S849" s="187"/>
      <c r="T849" s="187"/>
      <c r="U849" s="187"/>
      <c r="V849" s="187"/>
      <c r="W849" s="187"/>
      <c r="X849" s="187"/>
      <c r="Y849" s="187"/>
      <c r="Z849" s="187"/>
      <c r="AA849" s="187"/>
      <c r="AB849" s="187"/>
      <c r="AC849" s="187"/>
      <c r="AD849" s="187"/>
      <c r="AE849" s="187"/>
      <c r="AF849" s="187"/>
      <c r="AG849" s="187"/>
      <c r="AH849" s="187"/>
      <c r="AI849" s="187"/>
      <c r="AJ849" s="187"/>
      <c r="AK849" s="187"/>
      <c r="AL849" s="187"/>
    </row>
    <row r="850" spans="2:38" ht="12.75" customHeight="1">
      <c r="B850" s="6"/>
      <c r="C850" s="20"/>
      <c r="D850" s="12"/>
      <c r="E850" s="12"/>
      <c r="F850" s="12"/>
      <c r="G850" s="12"/>
      <c r="H850" s="20"/>
      <c r="I850" s="187"/>
      <c r="J850" s="187"/>
      <c r="K850" s="187"/>
      <c r="L850" s="187"/>
      <c r="M850" s="187"/>
      <c r="N850" s="187"/>
      <c r="O850" s="187"/>
      <c r="P850" s="187"/>
      <c r="Q850" s="187"/>
      <c r="R850" s="187"/>
      <c r="S850" s="187"/>
      <c r="T850" s="187"/>
      <c r="U850" s="187"/>
      <c r="V850" s="187"/>
      <c r="W850" s="187"/>
      <c r="X850" s="187"/>
      <c r="Y850" s="187"/>
      <c r="Z850" s="187"/>
      <c r="AA850" s="187"/>
      <c r="AB850" s="187"/>
      <c r="AC850" s="187"/>
      <c r="AD850" s="187"/>
      <c r="AE850" s="187"/>
      <c r="AF850" s="187"/>
      <c r="AG850" s="187"/>
      <c r="AH850" s="187"/>
      <c r="AI850" s="187"/>
      <c r="AJ850" s="187"/>
      <c r="AK850" s="187"/>
      <c r="AL850" s="187"/>
    </row>
    <row r="851" spans="2:38" ht="12.75" customHeight="1">
      <c r="B851" s="6"/>
      <c r="C851" s="20"/>
      <c r="D851" s="12"/>
      <c r="E851" s="12"/>
      <c r="F851" s="12"/>
      <c r="G851" s="12"/>
      <c r="H851" s="20"/>
      <c r="I851" s="187"/>
      <c r="J851" s="187"/>
      <c r="K851" s="187"/>
      <c r="L851" s="187"/>
      <c r="M851" s="187"/>
      <c r="N851" s="187"/>
      <c r="O851" s="187"/>
      <c r="P851" s="187"/>
      <c r="Q851" s="187"/>
      <c r="R851" s="187"/>
      <c r="S851" s="187"/>
      <c r="T851" s="187"/>
      <c r="U851" s="187"/>
      <c r="V851" s="187"/>
      <c r="W851" s="187"/>
      <c r="X851" s="187"/>
      <c r="Y851" s="187"/>
      <c r="Z851" s="187"/>
      <c r="AA851" s="187"/>
      <c r="AB851" s="187"/>
      <c r="AC851" s="187"/>
      <c r="AD851" s="187"/>
      <c r="AE851" s="187"/>
      <c r="AF851" s="187"/>
      <c r="AG851" s="187"/>
      <c r="AH851" s="187"/>
      <c r="AI851" s="187"/>
      <c r="AJ851" s="187"/>
      <c r="AK851" s="187"/>
      <c r="AL851" s="187"/>
    </row>
    <row r="852" spans="2:38" ht="12.75" customHeight="1">
      <c r="B852" s="6"/>
      <c r="C852" s="20"/>
      <c r="D852" s="12"/>
      <c r="E852" s="12"/>
      <c r="F852" s="12"/>
      <c r="G852" s="12"/>
      <c r="H852" s="20"/>
      <c r="I852" s="187"/>
      <c r="J852" s="187"/>
      <c r="K852" s="187"/>
      <c r="L852" s="187"/>
      <c r="M852" s="187"/>
      <c r="N852" s="187"/>
      <c r="O852" s="187"/>
      <c r="P852" s="187"/>
      <c r="Q852" s="187"/>
      <c r="R852" s="187"/>
      <c r="S852" s="187"/>
      <c r="T852" s="187"/>
      <c r="U852" s="187"/>
      <c r="V852" s="187"/>
      <c r="W852" s="187"/>
      <c r="X852" s="187"/>
      <c r="Y852" s="187"/>
      <c r="Z852" s="187"/>
      <c r="AA852" s="187"/>
      <c r="AB852" s="187"/>
      <c r="AC852" s="187"/>
      <c r="AD852" s="187"/>
      <c r="AE852" s="187"/>
      <c r="AF852" s="187"/>
      <c r="AG852" s="187"/>
      <c r="AH852" s="187"/>
      <c r="AI852" s="187"/>
      <c r="AJ852" s="187"/>
      <c r="AK852" s="187"/>
      <c r="AL852" s="187"/>
    </row>
    <row r="853" spans="2:38" ht="12.75" customHeight="1">
      <c r="B853" s="6"/>
      <c r="C853" s="20"/>
      <c r="D853" s="12"/>
      <c r="E853" s="12"/>
      <c r="F853" s="12"/>
      <c r="G853" s="12"/>
      <c r="H853" s="20"/>
      <c r="I853" s="187"/>
      <c r="J853" s="187"/>
      <c r="K853" s="187"/>
      <c r="L853" s="187"/>
      <c r="M853" s="187"/>
      <c r="N853" s="187"/>
      <c r="O853" s="187"/>
      <c r="P853" s="187"/>
      <c r="Q853" s="187"/>
      <c r="R853" s="187"/>
      <c r="S853" s="187"/>
      <c r="T853" s="187"/>
      <c r="U853" s="187"/>
      <c r="V853" s="187"/>
      <c r="W853" s="187"/>
      <c r="X853" s="187"/>
      <c r="Y853" s="187"/>
      <c r="Z853" s="187"/>
      <c r="AA853" s="187"/>
      <c r="AB853" s="187"/>
      <c r="AC853" s="187"/>
      <c r="AD853" s="187"/>
      <c r="AE853" s="187"/>
      <c r="AF853" s="187"/>
      <c r="AG853" s="187"/>
      <c r="AH853" s="187"/>
      <c r="AI853" s="187"/>
      <c r="AJ853" s="187"/>
      <c r="AK853" s="187"/>
      <c r="AL853" s="187"/>
    </row>
    <row r="854" spans="2:38" ht="12.75" customHeight="1">
      <c r="B854" s="6"/>
      <c r="C854" s="20"/>
      <c r="D854" s="12"/>
      <c r="E854" s="12"/>
      <c r="F854" s="12"/>
      <c r="G854" s="12"/>
      <c r="H854" s="20"/>
      <c r="I854" s="187"/>
      <c r="J854" s="187"/>
      <c r="K854" s="187"/>
      <c r="L854" s="187"/>
      <c r="M854" s="187"/>
      <c r="N854" s="187"/>
      <c r="O854" s="187"/>
      <c r="P854" s="187"/>
      <c r="Q854" s="187"/>
      <c r="R854" s="187"/>
      <c r="S854" s="187"/>
      <c r="T854" s="187"/>
      <c r="U854" s="187"/>
      <c r="V854" s="187"/>
      <c r="W854" s="187"/>
      <c r="X854" s="187"/>
      <c r="Y854" s="187"/>
      <c r="Z854" s="187"/>
      <c r="AA854" s="187"/>
      <c r="AB854" s="187"/>
      <c r="AC854" s="187"/>
      <c r="AD854" s="187"/>
      <c r="AE854" s="187"/>
      <c r="AF854" s="187"/>
      <c r="AG854" s="187"/>
      <c r="AH854" s="187"/>
      <c r="AI854" s="187"/>
      <c r="AJ854" s="187"/>
      <c r="AK854" s="187"/>
      <c r="AL854" s="187"/>
    </row>
    <row r="855" spans="2:38" ht="12.75" customHeight="1">
      <c r="B855" s="6"/>
      <c r="C855" s="20"/>
      <c r="D855" s="12"/>
      <c r="E855" s="12"/>
      <c r="F855" s="12"/>
      <c r="G855" s="12"/>
      <c r="H855" s="20"/>
      <c r="I855" s="187"/>
      <c r="J855" s="187"/>
      <c r="K855" s="187"/>
      <c r="L855" s="187"/>
      <c r="M855" s="187"/>
      <c r="N855" s="187"/>
      <c r="O855" s="187"/>
      <c r="P855" s="187"/>
      <c r="Q855" s="187"/>
      <c r="R855" s="187"/>
      <c r="S855" s="187"/>
      <c r="T855" s="187"/>
      <c r="U855" s="187"/>
      <c r="V855" s="187"/>
      <c r="W855" s="187"/>
      <c r="X855" s="187"/>
      <c r="Y855" s="187"/>
      <c r="Z855" s="187"/>
      <c r="AA855" s="187"/>
      <c r="AB855" s="187"/>
      <c r="AC855" s="187"/>
      <c r="AD855" s="187"/>
      <c r="AE855" s="187"/>
      <c r="AF855" s="187"/>
      <c r="AG855" s="187"/>
      <c r="AH855" s="187"/>
      <c r="AI855" s="187"/>
      <c r="AJ855" s="187"/>
      <c r="AK855" s="187"/>
      <c r="AL855" s="187"/>
    </row>
    <row r="856" spans="2:38" ht="12.75" customHeight="1">
      <c r="B856" s="6"/>
      <c r="C856" s="20"/>
      <c r="D856" s="12"/>
      <c r="E856" s="12"/>
      <c r="F856" s="12"/>
      <c r="G856" s="12"/>
      <c r="H856" s="20"/>
      <c r="I856" s="187"/>
      <c r="J856" s="187"/>
      <c r="K856" s="187"/>
      <c r="L856" s="187"/>
      <c r="M856" s="187"/>
      <c r="N856" s="187"/>
      <c r="O856" s="187"/>
      <c r="P856" s="187"/>
      <c r="Q856" s="187"/>
      <c r="R856" s="187"/>
      <c r="S856" s="187"/>
      <c r="T856" s="187"/>
      <c r="U856" s="187"/>
      <c r="V856" s="187"/>
      <c r="W856" s="187"/>
      <c r="X856" s="187"/>
      <c r="Y856" s="187"/>
      <c r="Z856" s="187"/>
      <c r="AA856" s="187"/>
      <c r="AB856" s="187"/>
      <c r="AC856" s="187"/>
      <c r="AD856" s="187"/>
      <c r="AE856" s="187"/>
      <c r="AF856" s="187"/>
      <c r="AG856" s="187"/>
      <c r="AH856" s="187"/>
      <c r="AI856" s="187"/>
      <c r="AJ856" s="187"/>
      <c r="AK856" s="187"/>
      <c r="AL856" s="187"/>
    </row>
    <row r="857" spans="2:38" ht="12.75" customHeight="1">
      <c r="B857" s="6"/>
      <c r="C857" s="20"/>
      <c r="D857" s="12"/>
      <c r="E857" s="12"/>
      <c r="F857" s="12"/>
      <c r="G857" s="12"/>
      <c r="H857" s="20"/>
      <c r="I857" s="187"/>
      <c r="J857" s="187"/>
      <c r="K857" s="187"/>
      <c r="L857" s="187"/>
      <c r="M857" s="187"/>
      <c r="N857" s="187"/>
      <c r="O857" s="187"/>
      <c r="P857" s="187"/>
      <c r="Q857" s="187"/>
      <c r="R857" s="187"/>
      <c r="S857" s="187"/>
      <c r="T857" s="187"/>
      <c r="U857" s="187"/>
      <c r="V857" s="187"/>
      <c r="W857" s="187"/>
      <c r="X857" s="187"/>
      <c r="Y857" s="187"/>
      <c r="Z857" s="187"/>
      <c r="AA857" s="187"/>
      <c r="AB857" s="187"/>
      <c r="AC857" s="187"/>
      <c r="AD857" s="187"/>
      <c r="AE857" s="187"/>
      <c r="AF857" s="187"/>
      <c r="AG857" s="187"/>
      <c r="AH857" s="187"/>
      <c r="AI857" s="187"/>
      <c r="AJ857" s="187"/>
      <c r="AK857" s="187"/>
      <c r="AL857" s="187"/>
    </row>
    <row r="858" spans="2:38" ht="12.75" customHeight="1">
      <c r="B858" s="6"/>
      <c r="C858" s="20"/>
      <c r="D858" s="12"/>
      <c r="E858" s="12"/>
      <c r="F858" s="12"/>
      <c r="G858" s="12"/>
      <c r="H858" s="20"/>
      <c r="I858" s="187"/>
      <c r="J858" s="187"/>
      <c r="K858" s="187"/>
      <c r="L858" s="187"/>
      <c r="M858" s="187"/>
      <c r="N858" s="187"/>
      <c r="O858" s="187"/>
      <c r="P858" s="187"/>
      <c r="Q858" s="187"/>
      <c r="R858" s="187"/>
      <c r="S858" s="187"/>
      <c r="T858" s="187"/>
      <c r="U858" s="187"/>
      <c r="V858" s="187"/>
      <c r="W858" s="187"/>
      <c r="X858" s="187"/>
      <c r="Y858" s="187"/>
      <c r="Z858" s="187"/>
      <c r="AA858" s="187"/>
      <c r="AB858" s="187"/>
      <c r="AC858" s="187"/>
      <c r="AD858" s="187"/>
      <c r="AE858" s="187"/>
      <c r="AF858" s="187"/>
      <c r="AG858" s="187"/>
      <c r="AH858" s="187"/>
      <c r="AI858" s="187"/>
      <c r="AJ858" s="187"/>
      <c r="AK858" s="187"/>
      <c r="AL858" s="187"/>
    </row>
    <row r="859" spans="2:38" ht="12.75" customHeight="1">
      <c r="B859" s="6"/>
      <c r="C859" s="20"/>
      <c r="D859" s="12"/>
      <c r="E859" s="12"/>
      <c r="F859" s="12"/>
      <c r="G859" s="12"/>
      <c r="H859" s="20"/>
      <c r="I859" s="187"/>
      <c r="J859" s="187"/>
      <c r="K859" s="187"/>
      <c r="L859" s="187"/>
      <c r="M859" s="187"/>
      <c r="N859" s="187"/>
      <c r="O859" s="187"/>
      <c r="P859" s="187"/>
      <c r="Q859" s="187"/>
      <c r="R859" s="187"/>
      <c r="S859" s="187"/>
      <c r="T859" s="187"/>
      <c r="U859" s="187"/>
      <c r="V859" s="187"/>
      <c r="W859" s="187"/>
      <c r="X859" s="187"/>
      <c r="Y859" s="187"/>
      <c r="Z859" s="187"/>
      <c r="AA859" s="187"/>
      <c r="AB859" s="187"/>
      <c r="AC859" s="187"/>
      <c r="AD859" s="187"/>
      <c r="AE859" s="187"/>
      <c r="AF859" s="187"/>
      <c r="AG859" s="187"/>
      <c r="AH859" s="187"/>
      <c r="AI859" s="187"/>
      <c r="AJ859" s="187"/>
      <c r="AK859" s="187"/>
      <c r="AL859" s="187"/>
    </row>
    <row r="860" spans="2:38" ht="12.75" customHeight="1">
      <c r="B860" s="6"/>
      <c r="C860" s="20"/>
      <c r="D860" s="12"/>
      <c r="E860" s="12"/>
      <c r="F860" s="12"/>
      <c r="G860" s="12"/>
      <c r="H860" s="20"/>
      <c r="I860" s="187"/>
      <c r="J860" s="187"/>
      <c r="K860" s="187"/>
      <c r="L860" s="187"/>
      <c r="M860" s="187"/>
      <c r="N860" s="187"/>
      <c r="O860" s="187"/>
      <c r="P860" s="187"/>
      <c r="Q860" s="187"/>
      <c r="R860" s="187"/>
      <c r="S860" s="187"/>
      <c r="T860" s="187"/>
      <c r="U860" s="187"/>
      <c r="V860" s="187"/>
      <c r="W860" s="187"/>
      <c r="X860" s="187"/>
      <c r="Y860" s="187"/>
      <c r="Z860" s="187"/>
      <c r="AA860" s="187"/>
      <c r="AB860" s="187"/>
      <c r="AC860" s="187"/>
      <c r="AD860" s="187"/>
      <c r="AE860" s="187"/>
      <c r="AF860" s="187"/>
      <c r="AG860" s="187"/>
      <c r="AH860" s="187"/>
      <c r="AI860" s="187"/>
      <c r="AJ860" s="187"/>
      <c r="AK860" s="187"/>
      <c r="AL860" s="187"/>
    </row>
    <row r="861" spans="2:38" ht="12.75" customHeight="1">
      <c r="B861" s="6"/>
      <c r="C861" s="20"/>
      <c r="D861" s="12"/>
      <c r="E861" s="12"/>
      <c r="F861" s="12"/>
      <c r="G861" s="12"/>
      <c r="H861" s="20"/>
      <c r="I861" s="187"/>
      <c r="J861" s="187"/>
      <c r="K861" s="187"/>
      <c r="L861" s="187"/>
      <c r="M861" s="187"/>
      <c r="N861" s="187"/>
      <c r="O861" s="187"/>
      <c r="P861" s="187"/>
      <c r="Q861" s="187"/>
      <c r="R861" s="187"/>
      <c r="S861" s="187"/>
      <c r="T861" s="187"/>
      <c r="U861" s="187"/>
      <c r="V861" s="187"/>
      <c r="W861" s="187"/>
      <c r="X861" s="187"/>
      <c r="Y861" s="187"/>
      <c r="Z861" s="187"/>
      <c r="AA861" s="187"/>
      <c r="AB861" s="187"/>
      <c r="AC861" s="187"/>
      <c r="AD861" s="187"/>
      <c r="AE861" s="187"/>
      <c r="AF861" s="187"/>
      <c r="AG861" s="187"/>
      <c r="AH861" s="187"/>
      <c r="AI861" s="187"/>
      <c r="AJ861" s="187"/>
      <c r="AK861" s="187"/>
      <c r="AL861" s="187"/>
    </row>
    <row r="862" spans="2:38" ht="12.75" customHeight="1">
      <c r="B862" s="6"/>
      <c r="C862" s="20"/>
      <c r="D862" s="12"/>
      <c r="E862" s="12"/>
      <c r="F862" s="12"/>
      <c r="G862" s="12"/>
      <c r="H862" s="20"/>
      <c r="I862" s="187"/>
      <c r="J862" s="187"/>
      <c r="K862" s="187"/>
      <c r="L862" s="187"/>
      <c r="M862" s="187"/>
      <c r="N862" s="187"/>
      <c r="O862" s="187"/>
      <c r="P862" s="187"/>
      <c r="Q862" s="187"/>
      <c r="R862" s="187"/>
      <c r="S862" s="187"/>
      <c r="T862" s="187"/>
      <c r="U862" s="187"/>
      <c r="V862" s="187"/>
      <c r="W862" s="187"/>
      <c r="X862" s="187"/>
      <c r="Y862" s="187"/>
      <c r="Z862" s="187"/>
      <c r="AA862" s="187"/>
      <c r="AB862" s="187"/>
      <c r="AC862" s="187"/>
      <c r="AD862" s="187"/>
      <c r="AE862" s="187"/>
      <c r="AF862" s="187"/>
      <c r="AG862" s="187"/>
      <c r="AH862" s="187"/>
      <c r="AI862" s="187"/>
      <c r="AJ862" s="187"/>
      <c r="AK862" s="187"/>
      <c r="AL862" s="187"/>
    </row>
    <row r="863" spans="2:38" ht="12.75" customHeight="1">
      <c r="B863" s="6"/>
      <c r="C863" s="20"/>
      <c r="D863" s="12"/>
      <c r="E863" s="12"/>
      <c r="F863" s="12"/>
      <c r="G863" s="12"/>
      <c r="H863" s="20"/>
      <c r="I863" s="187"/>
      <c r="J863" s="187"/>
      <c r="K863" s="187"/>
      <c r="L863" s="187"/>
      <c r="M863" s="187"/>
      <c r="N863" s="187"/>
      <c r="O863" s="187"/>
      <c r="P863" s="187"/>
      <c r="Q863" s="187"/>
      <c r="R863" s="187"/>
      <c r="S863" s="187"/>
      <c r="T863" s="187"/>
      <c r="U863" s="187"/>
      <c r="V863" s="187"/>
      <c r="W863" s="187"/>
      <c r="X863" s="187"/>
      <c r="Y863" s="187"/>
      <c r="Z863" s="187"/>
      <c r="AA863" s="187"/>
      <c r="AB863" s="187"/>
      <c r="AC863" s="187"/>
      <c r="AD863" s="187"/>
      <c r="AE863" s="187"/>
      <c r="AF863" s="187"/>
      <c r="AG863" s="187"/>
      <c r="AH863" s="187"/>
      <c r="AI863" s="187"/>
      <c r="AJ863" s="187"/>
      <c r="AK863" s="187"/>
      <c r="AL863" s="187"/>
    </row>
    <row r="864" spans="2:38" ht="12.75" customHeight="1">
      <c r="B864" s="6"/>
      <c r="C864" s="20"/>
      <c r="D864" s="12"/>
      <c r="E864" s="12"/>
      <c r="F864" s="12"/>
      <c r="G864" s="12"/>
      <c r="H864" s="20"/>
      <c r="I864" s="187"/>
      <c r="J864" s="187"/>
      <c r="K864" s="187"/>
      <c r="L864" s="187"/>
      <c r="M864" s="187"/>
      <c r="N864" s="187"/>
      <c r="O864" s="187"/>
      <c r="P864" s="187"/>
      <c r="Q864" s="187"/>
      <c r="R864" s="187"/>
      <c r="S864" s="187"/>
      <c r="T864" s="187"/>
      <c r="U864" s="187"/>
      <c r="V864" s="187"/>
      <c r="W864" s="187"/>
      <c r="X864" s="187"/>
      <c r="Y864" s="187"/>
      <c r="Z864" s="187"/>
      <c r="AA864" s="187"/>
      <c r="AB864" s="187"/>
      <c r="AC864" s="187"/>
      <c r="AD864" s="187"/>
      <c r="AE864" s="187"/>
      <c r="AF864" s="187"/>
      <c r="AG864" s="187"/>
      <c r="AH864" s="187"/>
      <c r="AI864" s="187"/>
      <c r="AJ864" s="187"/>
      <c r="AK864" s="187"/>
      <c r="AL864" s="187"/>
    </row>
    <row r="865" spans="2:38" ht="12.75" customHeight="1">
      <c r="B865" s="6"/>
      <c r="C865" s="20"/>
      <c r="D865" s="12"/>
      <c r="E865" s="12"/>
      <c r="F865" s="12"/>
      <c r="G865" s="12"/>
      <c r="H865" s="20"/>
      <c r="I865" s="187"/>
      <c r="J865" s="187"/>
      <c r="K865" s="187"/>
      <c r="L865" s="187"/>
      <c r="M865" s="187"/>
      <c r="N865" s="187"/>
      <c r="O865" s="187"/>
      <c r="P865" s="187"/>
      <c r="Q865" s="187"/>
      <c r="R865" s="187"/>
      <c r="S865" s="187"/>
      <c r="T865" s="187"/>
      <c r="U865" s="187"/>
      <c r="V865" s="187"/>
      <c r="W865" s="187"/>
      <c r="X865" s="187"/>
      <c r="Y865" s="187"/>
      <c r="Z865" s="187"/>
      <c r="AA865" s="187"/>
      <c r="AB865" s="187"/>
      <c r="AC865" s="187"/>
      <c r="AD865" s="187"/>
      <c r="AE865" s="187"/>
      <c r="AF865" s="187"/>
      <c r="AG865" s="187"/>
      <c r="AH865" s="187"/>
      <c r="AI865" s="187"/>
      <c r="AJ865" s="187"/>
      <c r="AK865" s="187"/>
      <c r="AL865" s="187"/>
    </row>
    <row r="866" spans="2:38" ht="12.75" customHeight="1">
      <c r="B866" s="6"/>
      <c r="C866" s="20"/>
      <c r="D866" s="12"/>
      <c r="E866" s="12"/>
      <c r="F866" s="12"/>
      <c r="G866" s="12"/>
      <c r="H866" s="20"/>
      <c r="I866" s="187"/>
      <c r="J866" s="187"/>
      <c r="K866" s="187"/>
      <c r="L866" s="187"/>
      <c r="M866" s="187"/>
      <c r="N866" s="187"/>
      <c r="O866" s="187"/>
      <c r="P866" s="187"/>
      <c r="Q866" s="187"/>
      <c r="R866" s="187"/>
      <c r="S866" s="187"/>
      <c r="T866" s="187"/>
      <c r="U866" s="187"/>
      <c r="V866" s="187"/>
      <c r="W866" s="187"/>
      <c r="X866" s="187"/>
      <c r="Y866" s="187"/>
      <c r="Z866" s="187"/>
      <c r="AA866" s="187"/>
      <c r="AB866" s="187"/>
      <c r="AC866" s="187"/>
      <c r="AD866" s="187"/>
      <c r="AE866" s="187"/>
      <c r="AF866" s="187"/>
      <c r="AG866" s="187"/>
      <c r="AH866" s="187"/>
      <c r="AI866" s="187"/>
      <c r="AJ866" s="187"/>
      <c r="AK866" s="187"/>
      <c r="AL866" s="187"/>
    </row>
    <row r="867" spans="2:38" ht="12.75" customHeight="1">
      <c r="B867" s="6"/>
      <c r="C867" s="20"/>
      <c r="D867" s="12"/>
      <c r="E867" s="12"/>
      <c r="F867" s="12"/>
      <c r="G867" s="12"/>
      <c r="H867" s="20"/>
      <c r="I867" s="187"/>
      <c r="J867" s="187"/>
      <c r="K867" s="187"/>
      <c r="L867" s="187"/>
      <c r="M867" s="187"/>
      <c r="N867" s="187"/>
      <c r="O867" s="187"/>
      <c r="P867" s="187"/>
      <c r="Q867" s="187"/>
      <c r="R867" s="187"/>
      <c r="S867" s="187"/>
      <c r="T867" s="187"/>
      <c r="U867" s="187"/>
      <c r="V867" s="187"/>
      <c r="W867" s="187"/>
      <c r="X867" s="187"/>
      <c r="Y867" s="187"/>
      <c r="Z867" s="187"/>
      <c r="AA867" s="187"/>
      <c r="AB867" s="187"/>
      <c r="AC867" s="187"/>
      <c r="AD867" s="187"/>
      <c r="AE867" s="187"/>
      <c r="AF867" s="187"/>
      <c r="AG867" s="187"/>
      <c r="AH867" s="187"/>
      <c r="AI867" s="187"/>
      <c r="AJ867" s="187"/>
      <c r="AK867" s="187"/>
      <c r="AL867" s="187"/>
    </row>
    <row r="868" spans="2:38" ht="12.75" customHeight="1">
      <c r="B868" s="6"/>
      <c r="C868" s="20"/>
      <c r="D868" s="12"/>
      <c r="E868" s="12"/>
      <c r="F868" s="12"/>
      <c r="G868" s="12"/>
      <c r="H868" s="20"/>
      <c r="I868" s="187"/>
      <c r="J868" s="187"/>
      <c r="K868" s="187"/>
      <c r="L868" s="187"/>
      <c r="M868" s="187"/>
      <c r="N868" s="187"/>
      <c r="O868" s="187"/>
      <c r="P868" s="187"/>
      <c r="Q868" s="187"/>
      <c r="R868" s="187"/>
      <c r="S868" s="187"/>
      <c r="T868" s="187"/>
      <c r="U868" s="187"/>
      <c r="V868" s="187"/>
      <c r="W868" s="187"/>
      <c r="X868" s="187"/>
      <c r="Y868" s="187"/>
      <c r="Z868" s="187"/>
      <c r="AA868" s="187"/>
      <c r="AB868" s="187"/>
      <c r="AC868" s="187"/>
      <c r="AD868" s="187"/>
      <c r="AE868" s="187"/>
      <c r="AF868" s="187"/>
      <c r="AG868" s="187"/>
      <c r="AH868" s="187"/>
      <c r="AI868" s="187"/>
      <c r="AJ868" s="187"/>
      <c r="AK868" s="187"/>
      <c r="AL868" s="187"/>
    </row>
    <row r="869" spans="2:38" ht="12.75" customHeight="1">
      <c r="B869" s="6"/>
      <c r="C869" s="20"/>
      <c r="D869" s="12"/>
      <c r="E869" s="12"/>
      <c r="F869" s="12"/>
      <c r="G869" s="12"/>
      <c r="H869" s="20"/>
      <c r="I869" s="187"/>
      <c r="J869" s="187"/>
      <c r="K869" s="187"/>
      <c r="L869" s="187"/>
      <c r="M869" s="187"/>
      <c r="N869" s="187"/>
      <c r="O869" s="187"/>
      <c r="P869" s="187"/>
      <c r="Q869" s="187"/>
      <c r="R869" s="187"/>
      <c r="S869" s="187"/>
      <c r="T869" s="187"/>
      <c r="U869" s="187"/>
      <c r="V869" s="187"/>
      <c r="W869" s="187"/>
      <c r="X869" s="187"/>
      <c r="Y869" s="187"/>
      <c r="Z869" s="187"/>
      <c r="AA869" s="187"/>
      <c r="AB869" s="187"/>
      <c r="AC869" s="187"/>
      <c r="AD869" s="187"/>
      <c r="AE869" s="187"/>
      <c r="AF869" s="187"/>
      <c r="AG869" s="187"/>
      <c r="AH869" s="187"/>
      <c r="AI869" s="187"/>
      <c r="AJ869" s="187"/>
      <c r="AK869" s="187"/>
      <c r="AL869" s="187"/>
    </row>
    <row r="870" spans="2:38" ht="12.75" customHeight="1">
      <c r="B870" s="6"/>
      <c r="C870" s="20"/>
      <c r="D870" s="12"/>
      <c r="E870" s="12"/>
      <c r="F870" s="12"/>
      <c r="G870" s="12"/>
      <c r="H870" s="20"/>
      <c r="I870" s="187"/>
      <c r="J870" s="187"/>
      <c r="K870" s="187"/>
      <c r="L870" s="187"/>
      <c r="M870" s="187"/>
      <c r="N870" s="187"/>
      <c r="O870" s="187"/>
      <c r="P870" s="187"/>
      <c r="Q870" s="187"/>
      <c r="R870" s="187"/>
      <c r="S870" s="187"/>
      <c r="T870" s="187"/>
      <c r="U870" s="187"/>
      <c r="V870" s="187"/>
      <c r="W870" s="187"/>
      <c r="X870" s="187"/>
      <c r="Y870" s="187"/>
      <c r="Z870" s="187"/>
      <c r="AA870" s="187"/>
      <c r="AB870" s="187"/>
      <c r="AC870" s="187"/>
      <c r="AD870" s="187"/>
      <c r="AE870" s="187"/>
      <c r="AF870" s="187"/>
      <c r="AG870" s="187"/>
      <c r="AH870" s="187"/>
      <c r="AI870" s="187"/>
      <c r="AJ870" s="187"/>
      <c r="AK870" s="187"/>
      <c r="AL870" s="187"/>
    </row>
    <row r="871" spans="2:38" ht="12.75" customHeight="1">
      <c r="B871" s="6"/>
      <c r="C871" s="20"/>
      <c r="D871" s="12"/>
      <c r="E871" s="12"/>
      <c r="F871" s="12"/>
      <c r="G871" s="12"/>
      <c r="H871" s="20"/>
      <c r="I871" s="187"/>
      <c r="J871" s="187"/>
      <c r="K871" s="187"/>
      <c r="L871" s="187"/>
      <c r="M871" s="187"/>
      <c r="N871" s="187"/>
      <c r="O871" s="187"/>
      <c r="P871" s="187"/>
      <c r="Q871" s="187"/>
      <c r="R871" s="187"/>
      <c r="S871" s="187"/>
      <c r="T871" s="187"/>
      <c r="U871" s="187"/>
      <c r="V871" s="187"/>
      <c r="W871" s="187"/>
      <c r="X871" s="187"/>
      <c r="Y871" s="187"/>
      <c r="Z871" s="187"/>
      <c r="AA871" s="187"/>
      <c r="AB871" s="187"/>
      <c r="AC871" s="187"/>
      <c r="AD871" s="187"/>
      <c r="AE871" s="187"/>
      <c r="AF871" s="187"/>
      <c r="AG871" s="187"/>
      <c r="AH871" s="187"/>
      <c r="AI871" s="187"/>
      <c r="AJ871" s="187"/>
      <c r="AK871" s="187"/>
      <c r="AL871" s="187"/>
    </row>
    <row r="872" spans="2:38" ht="12.75" customHeight="1">
      <c r="B872" s="6"/>
      <c r="C872" s="20"/>
      <c r="D872" s="12"/>
      <c r="E872" s="12"/>
      <c r="F872" s="12"/>
      <c r="G872" s="12"/>
      <c r="H872" s="20"/>
      <c r="I872" s="187"/>
      <c r="J872" s="187"/>
      <c r="K872" s="187"/>
      <c r="L872" s="187"/>
      <c r="M872" s="187"/>
      <c r="N872" s="187"/>
      <c r="O872" s="187"/>
      <c r="P872" s="187"/>
      <c r="Q872" s="187"/>
      <c r="R872" s="187"/>
      <c r="S872" s="187"/>
      <c r="T872" s="187"/>
      <c r="U872" s="187"/>
      <c r="V872" s="187"/>
      <c r="W872" s="187"/>
      <c r="X872" s="187"/>
      <c r="Y872" s="187"/>
      <c r="Z872" s="187"/>
      <c r="AA872" s="187"/>
      <c r="AB872" s="187"/>
      <c r="AC872" s="187"/>
      <c r="AD872" s="187"/>
      <c r="AE872" s="187"/>
      <c r="AF872" s="187"/>
      <c r="AG872" s="187"/>
      <c r="AH872" s="187"/>
      <c r="AI872" s="187"/>
      <c r="AJ872" s="187"/>
      <c r="AK872" s="187"/>
      <c r="AL872" s="187"/>
    </row>
    <row r="873" spans="2:38" ht="12.75" customHeight="1">
      <c r="B873" s="6"/>
      <c r="C873" s="20"/>
      <c r="D873" s="12"/>
      <c r="E873" s="12"/>
      <c r="F873" s="12"/>
      <c r="G873" s="12"/>
      <c r="H873" s="20"/>
      <c r="I873" s="187"/>
      <c r="J873" s="187"/>
      <c r="K873" s="187"/>
      <c r="L873" s="187"/>
      <c r="M873" s="187"/>
      <c r="N873" s="187"/>
      <c r="O873" s="187"/>
      <c r="P873" s="187"/>
      <c r="Q873" s="187"/>
      <c r="R873" s="187"/>
      <c r="S873" s="187"/>
      <c r="T873" s="187"/>
      <c r="U873" s="187"/>
      <c r="V873" s="187"/>
      <c r="W873" s="187"/>
      <c r="X873" s="187"/>
      <c r="Y873" s="187"/>
      <c r="Z873" s="187"/>
      <c r="AA873" s="187"/>
      <c r="AB873" s="187"/>
      <c r="AC873" s="187"/>
      <c r="AD873" s="187"/>
      <c r="AE873" s="187"/>
      <c r="AF873" s="187"/>
      <c r="AG873" s="187"/>
      <c r="AH873" s="187"/>
      <c r="AI873" s="187"/>
      <c r="AJ873" s="187"/>
      <c r="AK873" s="187"/>
      <c r="AL873" s="187"/>
    </row>
    <row r="874" spans="2:38" ht="12.75" customHeight="1">
      <c r="B874" s="6"/>
      <c r="C874" s="20"/>
      <c r="D874" s="12"/>
      <c r="E874" s="12"/>
      <c r="F874" s="12"/>
      <c r="G874" s="12"/>
      <c r="H874" s="20"/>
      <c r="I874" s="187"/>
      <c r="J874" s="187"/>
      <c r="K874" s="187"/>
      <c r="L874" s="187"/>
      <c r="M874" s="187"/>
      <c r="N874" s="187"/>
      <c r="O874" s="187"/>
      <c r="P874" s="187"/>
      <c r="Q874" s="187"/>
      <c r="R874" s="187"/>
      <c r="S874" s="187"/>
      <c r="T874" s="187"/>
      <c r="U874" s="187"/>
      <c r="V874" s="187"/>
      <c r="W874" s="187"/>
      <c r="X874" s="187"/>
      <c r="Y874" s="187"/>
      <c r="Z874" s="187"/>
      <c r="AA874" s="187"/>
      <c r="AB874" s="187"/>
      <c r="AC874" s="187"/>
      <c r="AD874" s="187"/>
      <c r="AE874" s="187"/>
      <c r="AF874" s="187"/>
      <c r="AG874" s="187"/>
      <c r="AH874" s="187"/>
      <c r="AI874" s="187"/>
      <c r="AJ874" s="187"/>
      <c r="AK874" s="187"/>
      <c r="AL874" s="187"/>
    </row>
    <row r="875" spans="2:38" ht="12.75" customHeight="1">
      <c r="B875" s="6"/>
      <c r="C875" s="20"/>
      <c r="D875" s="12"/>
      <c r="E875" s="12"/>
      <c r="F875" s="12"/>
      <c r="G875" s="12"/>
      <c r="H875" s="20"/>
      <c r="I875" s="187"/>
      <c r="J875" s="187"/>
      <c r="K875" s="187"/>
      <c r="L875" s="187"/>
      <c r="M875" s="187"/>
      <c r="N875" s="187"/>
      <c r="O875" s="187"/>
      <c r="P875" s="187"/>
      <c r="Q875" s="187"/>
      <c r="R875" s="187"/>
      <c r="S875" s="187"/>
      <c r="T875" s="187"/>
      <c r="U875" s="187"/>
      <c r="V875" s="187"/>
      <c r="W875" s="187"/>
      <c r="X875" s="187"/>
      <c r="Y875" s="187"/>
      <c r="Z875" s="187"/>
      <c r="AA875" s="187"/>
      <c r="AB875" s="187"/>
      <c r="AC875" s="187"/>
      <c r="AD875" s="187"/>
      <c r="AE875" s="187"/>
      <c r="AF875" s="187"/>
      <c r="AG875" s="187"/>
      <c r="AH875" s="187"/>
      <c r="AI875" s="187"/>
      <c r="AJ875" s="187"/>
      <c r="AK875" s="187"/>
      <c r="AL875" s="187"/>
    </row>
    <row r="876" spans="2:38" ht="12.75" customHeight="1">
      <c r="B876" s="6"/>
      <c r="C876" s="20"/>
      <c r="D876" s="12"/>
      <c r="E876" s="12"/>
      <c r="F876" s="12"/>
      <c r="G876" s="12"/>
      <c r="H876" s="20"/>
      <c r="I876" s="187"/>
      <c r="J876" s="187"/>
      <c r="K876" s="187"/>
      <c r="L876" s="187"/>
      <c r="M876" s="187"/>
      <c r="N876" s="187"/>
      <c r="O876" s="187"/>
      <c r="P876" s="187"/>
      <c r="Q876" s="187"/>
      <c r="R876" s="187"/>
      <c r="S876" s="187"/>
      <c r="T876" s="187"/>
      <c r="U876" s="187"/>
      <c r="V876" s="187"/>
      <c r="W876" s="187"/>
      <c r="X876" s="187"/>
      <c r="Y876" s="187"/>
      <c r="Z876" s="187"/>
      <c r="AA876" s="187"/>
      <c r="AB876" s="187"/>
      <c r="AC876" s="187"/>
      <c r="AD876" s="187"/>
      <c r="AE876" s="187"/>
      <c r="AF876" s="187"/>
      <c r="AG876" s="187"/>
      <c r="AH876" s="187"/>
      <c r="AI876" s="187"/>
      <c r="AJ876" s="187"/>
      <c r="AK876" s="187"/>
      <c r="AL876" s="187"/>
    </row>
    <row r="877" spans="2:38" ht="12.75" customHeight="1">
      <c r="B877" s="6"/>
      <c r="C877" s="20"/>
      <c r="D877" s="12"/>
      <c r="E877" s="12"/>
      <c r="F877" s="12"/>
      <c r="G877" s="12"/>
      <c r="H877" s="20"/>
      <c r="I877" s="187"/>
      <c r="J877" s="187"/>
      <c r="K877" s="187"/>
      <c r="L877" s="187"/>
      <c r="M877" s="187"/>
      <c r="N877" s="187"/>
      <c r="O877" s="187"/>
      <c r="P877" s="187"/>
      <c r="Q877" s="187"/>
      <c r="R877" s="187"/>
      <c r="S877" s="187"/>
      <c r="T877" s="187"/>
      <c r="U877" s="187"/>
      <c r="V877" s="187"/>
      <c r="W877" s="187"/>
      <c r="X877" s="187"/>
      <c r="Y877" s="187"/>
      <c r="Z877" s="187"/>
      <c r="AA877" s="187"/>
      <c r="AB877" s="187"/>
      <c r="AC877" s="187"/>
      <c r="AD877" s="187"/>
      <c r="AE877" s="187"/>
      <c r="AF877" s="187"/>
      <c r="AG877" s="187"/>
      <c r="AH877" s="187"/>
      <c r="AI877" s="187"/>
      <c r="AJ877" s="187"/>
      <c r="AK877" s="187"/>
      <c r="AL877" s="187"/>
    </row>
    <row r="878" spans="2:38" ht="12.75" customHeight="1">
      <c r="B878" s="6"/>
      <c r="C878" s="20"/>
      <c r="D878" s="12"/>
      <c r="E878" s="12"/>
      <c r="F878" s="12"/>
      <c r="G878" s="12"/>
      <c r="H878" s="20"/>
      <c r="I878" s="187"/>
      <c r="J878" s="187"/>
      <c r="K878" s="187"/>
      <c r="L878" s="187"/>
      <c r="M878" s="187"/>
      <c r="N878" s="187"/>
      <c r="O878" s="187"/>
      <c r="P878" s="187"/>
      <c r="Q878" s="187"/>
      <c r="R878" s="187"/>
      <c r="S878" s="187"/>
      <c r="T878" s="187"/>
      <c r="U878" s="187"/>
      <c r="V878" s="187"/>
      <c r="W878" s="187"/>
      <c r="X878" s="187"/>
      <c r="Y878" s="187"/>
      <c r="Z878" s="187"/>
      <c r="AA878" s="187"/>
      <c r="AB878" s="187"/>
      <c r="AC878" s="187"/>
      <c r="AD878" s="187"/>
      <c r="AE878" s="187"/>
      <c r="AF878" s="187"/>
      <c r="AG878" s="187"/>
      <c r="AH878" s="187"/>
      <c r="AI878" s="187"/>
      <c r="AJ878" s="187"/>
      <c r="AK878" s="187"/>
      <c r="AL878" s="187"/>
    </row>
    <row r="879" spans="2:38" ht="12.75" customHeight="1">
      <c r="B879" s="6"/>
      <c r="C879" s="20"/>
      <c r="D879" s="12"/>
      <c r="E879" s="12"/>
      <c r="F879" s="12"/>
      <c r="G879" s="12"/>
      <c r="H879" s="20"/>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87"/>
      <c r="AE879" s="187"/>
      <c r="AF879" s="187"/>
      <c r="AG879" s="187"/>
      <c r="AH879" s="187"/>
      <c r="AI879" s="187"/>
      <c r="AJ879" s="187"/>
      <c r="AK879" s="187"/>
      <c r="AL879" s="187"/>
    </row>
    <row r="880" spans="2:38" ht="12.75" customHeight="1">
      <c r="B880" s="6"/>
      <c r="C880" s="20"/>
      <c r="D880" s="12"/>
      <c r="E880" s="12"/>
      <c r="F880" s="12"/>
      <c r="G880" s="12"/>
      <c r="H880" s="20"/>
      <c r="I880" s="187"/>
      <c r="J880" s="187"/>
      <c r="K880" s="187"/>
      <c r="L880" s="187"/>
      <c r="M880" s="187"/>
      <c r="N880" s="187"/>
      <c r="O880" s="187"/>
      <c r="P880" s="187"/>
      <c r="Q880" s="187"/>
      <c r="R880" s="187"/>
      <c r="S880" s="187"/>
      <c r="T880" s="187"/>
      <c r="U880" s="187"/>
      <c r="V880" s="187"/>
      <c r="W880" s="187"/>
      <c r="X880" s="187"/>
      <c r="Y880" s="187"/>
      <c r="Z880" s="187"/>
      <c r="AA880" s="187"/>
      <c r="AB880" s="187"/>
      <c r="AC880" s="187"/>
      <c r="AD880" s="187"/>
      <c r="AE880" s="187"/>
      <c r="AF880" s="187"/>
      <c r="AG880" s="187"/>
      <c r="AH880" s="187"/>
      <c r="AI880" s="187"/>
      <c r="AJ880" s="187"/>
      <c r="AK880" s="187"/>
      <c r="AL880" s="187"/>
    </row>
    <row r="881" spans="2:38" ht="12.75" customHeight="1">
      <c r="B881" s="6"/>
      <c r="C881" s="20"/>
      <c r="D881" s="12"/>
      <c r="E881" s="12"/>
      <c r="F881" s="12"/>
      <c r="G881" s="12"/>
      <c r="H881" s="20"/>
      <c r="I881" s="187"/>
      <c r="J881" s="187"/>
      <c r="K881" s="187"/>
      <c r="L881" s="187"/>
      <c r="M881" s="187"/>
      <c r="N881" s="187"/>
      <c r="O881" s="187"/>
      <c r="P881" s="187"/>
      <c r="Q881" s="187"/>
      <c r="R881" s="187"/>
      <c r="S881" s="187"/>
      <c r="T881" s="187"/>
      <c r="U881" s="187"/>
      <c r="V881" s="187"/>
      <c r="W881" s="187"/>
      <c r="X881" s="187"/>
      <c r="Y881" s="187"/>
      <c r="Z881" s="187"/>
      <c r="AA881" s="187"/>
      <c r="AB881" s="187"/>
      <c r="AC881" s="187"/>
      <c r="AD881" s="187"/>
      <c r="AE881" s="187"/>
      <c r="AF881" s="187"/>
      <c r="AG881" s="187"/>
      <c r="AH881" s="187"/>
      <c r="AI881" s="187"/>
      <c r="AJ881" s="187"/>
      <c r="AK881" s="187"/>
      <c r="AL881" s="187"/>
    </row>
    <row r="882" spans="2:38" ht="12.75" customHeight="1">
      <c r="B882" s="6"/>
      <c r="C882" s="20"/>
      <c r="D882" s="12"/>
      <c r="E882" s="12"/>
      <c r="F882" s="12"/>
      <c r="G882" s="12"/>
      <c r="H882" s="20"/>
      <c r="I882" s="187"/>
      <c r="J882" s="187"/>
      <c r="K882" s="187"/>
      <c r="L882" s="187"/>
      <c r="M882" s="187"/>
      <c r="N882" s="187"/>
      <c r="O882" s="187"/>
      <c r="P882" s="187"/>
      <c r="Q882" s="187"/>
      <c r="R882" s="187"/>
      <c r="S882" s="187"/>
      <c r="T882" s="187"/>
      <c r="U882" s="187"/>
      <c r="V882" s="187"/>
      <c r="W882" s="187"/>
      <c r="X882" s="187"/>
      <c r="Y882" s="187"/>
      <c r="Z882" s="187"/>
      <c r="AA882" s="187"/>
      <c r="AB882" s="187"/>
      <c r="AC882" s="187"/>
      <c r="AD882" s="187"/>
      <c r="AE882" s="187"/>
      <c r="AF882" s="187"/>
      <c r="AG882" s="187"/>
      <c r="AH882" s="187"/>
      <c r="AI882" s="187"/>
      <c r="AJ882" s="187"/>
      <c r="AK882" s="187"/>
      <c r="AL882" s="187"/>
    </row>
    <row r="883" spans="2:38" ht="12.75" customHeight="1">
      <c r="B883" s="6"/>
      <c r="C883" s="20"/>
      <c r="D883" s="12"/>
      <c r="E883" s="12"/>
      <c r="F883" s="12"/>
      <c r="G883" s="12"/>
      <c r="H883" s="20"/>
      <c r="I883" s="187"/>
      <c r="J883" s="187"/>
      <c r="K883" s="187"/>
      <c r="L883" s="187"/>
      <c r="M883" s="187"/>
      <c r="N883" s="187"/>
      <c r="O883" s="187"/>
      <c r="P883" s="187"/>
      <c r="Q883" s="187"/>
      <c r="R883" s="187"/>
      <c r="S883" s="187"/>
      <c r="T883" s="187"/>
      <c r="U883" s="187"/>
      <c r="V883" s="187"/>
      <c r="W883" s="187"/>
      <c r="X883" s="187"/>
      <c r="Y883" s="187"/>
      <c r="Z883" s="187"/>
      <c r="AA883" s="187"/>
      <c r="AB883" s="187"/>
      <c r="AC883" s="187"/>
      <c r="AD883" s="187"/>
      <c r="AE883" s="187"/>
      <c r="AF883" s="187"/>
      <c r="AG883" s="187"/>
      <c r="AH883" s="187"/>
      <c r="AI883" s="187"/>
      <c r="AJ883" s="187"/>
      <c r="AK883" s="187"/>
      <c r="AL883" s="187"/>
    </row>
    <row r="884" spans="2:38" ht="12.75" customHeight="1">
      <c r="B884" s="6"/>
      <c r="C884" s="20"/>
      <c r="D884" s="12"/>
      <c r="E884" s="12"/>
      <c r="F884" s="12"/>
      <c r="G884" s="12"/>
      <c r="H884" s="20"/>
      <c r="I884" s="187"/>
      <c r="J884" s="187"/>
      <c r="K884" s="187"/>
      <c r="L884" s="187"/>
      <c r="M884" s="187"/>
      <c r="N884" s="187"/>
      <c r="O884" s="187"/>
      <c r="P884" s="187"/>
      <c r="Q884" s="187"/>
      <c r="R884" s="187"/>
      <c r="S884" s="187"/>
      <c r="T884" s="187"/>
      <c r="U884" s="187"/>
      <c r="V884" s="187"/>
      <c r="W884" s="187"/>
      <c r="X884" s="187"/>
      <c r="Y884" s="187"/>
      <c r="Z884" s="187"/>
      <c r="AA884" s="187"/>
      <c r="AB884" s="187"/>
      <c r="AC884" s="187"/>
      <c r="AD884" s="187"/>
      <c r="AE884" s="187"/>
      <c r="AF884" s="187"/>
      <c r="AG884" s="187"/>
      <c r="AH884" s="187"/>
      <c r="AI884" s="187"/>
      <c r="AJ884" s="187"/>
      <c r="AK884" s="187"/>
      <c r="AL884" s="187"/>
    </row>
    <row r="885" spans="2:38" ht="12.75" customHeight="1">
      <c r="B885" s="6"/>
      <c r="C885" s="20"/>
      <c r="D885" s="12"/>
      <c r="E885" s="12"/>
      <c r="F885" s="12"/>
      <c r="G885" s="12"/>
      <c r="H885" s="20"/>
      <c r="I885" s="187"/>
      <c r="J885" s="187"/>
      <c r="K885" s="187"/>
      <c r="L885" s="187"/>
      <c r="M885" s="187"/>
      <c r="N885" s="187"/>
      <c r="O885" s="187"/>
      <c r="P885" s="187"/>
      <c r="Q885" s="187"/>
      <c r="R885" s="187"/>
      <c r="S885" s="187"/>
      <c r="T885" s="187"/>
      <c r="U885" s="187"/>
      <c r="V885" s="187"/>
      <c r="W885" s="187"/>
      <c r="X885" s="187"/>
      <c r="Y885" s="187"/>
      <c r="Z885" s="187"/>
      <c r="AA885" s="187"/>
      <c r="AB885" s="187"/>
      <c r="AC885" s="187"/>
      <c r="AD885" s="187"/>
      <c r="AE885" s="187"/>
      <c r="AF885" s="187"/>
      <c r="AG885" s="187"/>
      <c r="AH885" s="187"/>
      <c r="AI885" s="187"/>
      <c r="AJ885" s="187"/>
      <c r="AK885" s="187"/>
      <c r="AL885" s="187"/>
    </row>
    <row r="886" spans="2:38" ht="12.75" customHeight="1">
      <c r="B886" s="6"/>
      <c r="C886" s="20"/>
      <c r="D886" s="12"/>
      <c r="E886" s="12"/>
      <c r="F886" s="12"/>
      <c r="G886" s="12"/>
      <c r="H886" s="20"/>
      <c r="I886" s="187"/>
      <c r="J886" s="187"/>
      <c r="K886" s="187"/>
      <c r="L886" s="187"/>
      <c r="M886" s="187"/>
      <c r="N886" s="187"/>
      <c r="O886" s="187"/>
      <c r="P886" s="187"/>
      <c r="Q886" s="187"/>
      <c r="R886" s="187"/>
      <c r="S886" s="187"/>
      <c r="T886" s="187"/>
      <c r="U886" s="187"/>
      <c r="V886" s="187"/>
      <c r="W886" s="187"/>
      <c r="X886" s="187"/>
      <c r="Y886" s="187"/>
      <c r="Z886" s="187"/>
      <c r="AA886" s="187"/>
      <c r="AB886" s="187"/>
      <c r="AC886" s="187"/>
      <c r="AD886" s="187"/>
      <c r="AE886" s="187"/>
      <c r="AF886" s="187"/>
      <c r="AG886" s="187"/>
      <c r="AH886" s="187"/>
      <c r="AI886" s="187"/>
      <c r="AJ886" s="187"/>
      <c r="AK886" s="187"/>
      <c r="AL886" s="187"/>
    </row>
    <row r="887" spans="2:38" ht="12.75" customHeight="1">
      <c r="B887" s="6"/>
      <c r="C887" s="20"/>
      <c r="D887" s="12"/>
      <c r="E887" s="12"/>
      <c r="F887" s="12"/>
      <c r="G887" s="12"/>
      <c r="H887" s="20"/>
      <c r="I887" s="187"/>
      <c r="J887" s="187"/>
      <c r="K887" s="187"/>
      <c r="L887" s="187"/>
      <c r="M887" s="187"/>
      <c r="N887" s="187"/>
      <c r="O887" s="187"/>
      <c r="P887" s="187"/>
      <c r="Q887" s="187"/>
      <c r="R887" s="187"/>
      <c r="S887" s="187"/>
      <c r="T887" s="187"/>
      <c r="U887" s="187"/>
      <c r="V887" s="187"/>
      <c r="W887" s="187"/>
      <c r="X887" s="187"/>
      <c r="Y887" s="187"/>
      <c r="Z887" s="187"/>
      <c r="AA887" s="187"/>
      <c r="AB887" s="187"/>
      <c r="AC887" s="187"/>
      <c r="AD887" s="187"/>
      <c r="AE887" s="187"/>
      <c r="AF887" s="187"/>
      <c r="AG887" s="187"/>
      <c r="AH887" s="187"/>
      <c r="AI887" s="187"/>
      <c r="AJ887" s="187"/>
      <c r="AK887" s="187"/>
      <c r="AL887" s="187"/>
    </row>
    <row r="888" spans="2:38" ht="12.75" customHeight="1">
      <c r="B888" s="6"/>
      <c r="C888" s="20"/>
      <c r="D888" s="12"/>
      <c r="E888" s="12"/>
      <c r="F888" s="12"/>
      <c r="G888" s="12"/>
      <c r="H888" s="20"/>
      <c r="I888" s="187"/>
      <c r="J888" s="187"/>
      <c r="K888" s="187"/>
      <c r="L888" s="187"/>
      <c r="M888" s="187"/>
      <c r="N888" s="187"/>
      <c r="O888" s="187"/>
      <c r="P888" s="187"/>
      <c r="Q888" s="187"/>
      <c r="R888" s="187"/>
      <c r="S888" s="187"/>
      <c r="T888" s="187"/>
      <c r="U888" s="187"/>
      <c r="V888" s="187"/>
      <c r="W888" s="187"/>
      <c r="X888" s="187"/>
      <c r="Y888" s="187"/>
      <c r="Z888" s="187"/>
      <c r="AA888" s="187"/>
      <c r="AB888" s="187"/>
      <c r="AC888" s="187"/>
      <c r="AD888" s="187"/>
      <c r="AE888" s="187"/>
      <c r="AF888" s="187"/>
      <c r="AG888" s="187"/>
      <c r="AH888" s="187"/>
      <c r="AI888" s="187"/>
      <c r="AJ888" s="187"/>
      <c r="AK888" s="187"/>
      <c r="AL888" s="187"/>
    </row>
    <row r="889" spans="2:38" ht="12.75" customHeight="1">
      <c r="B889" s="6"/>
      <c r="C889" s="20"/>
      <c r="D889" s="12"/>
      <c r="E889" s="12"/>
      <c r="F889" s="12"/>
      <c r="G889" s="12"/>
      <c r="H889" s="20"/>
      <c r="I889" s="187"/>
      <c r="J889" s="187"/>
      <c r="K889" s="187"/>
      <c r="L889" s="187"/>
      <c r="M889" s="187"/>
      <c r="N889" s="187"/>
      <c r="O889" s="187"/>
      <c r="P889" s="187"/>
      <c r="Q889" s="187"/>
      <c r="R889" s="187"/>
      <c r="S889" s="187"/>
      <c r="T889" s="187"/>
      <c r="U889" s="187"/>
      <c r="V889" s="187"/>
      <c r="W889" s="187"/>
      <c r="X889" s="187"/>
      <c r="Y889" s="187"/>
      <c r="Z889" s="187"/>
      <c r="AA889" s="187"/>
      <c r="AB889" s="187"/>
      <c r="AC889" s="187"/>
      <c r="AD889" s="187"/>
      <c r="AE889" s="187"/>
      <c r="AF889" s="187"/>
      <c r="AG889" s="187"/>
      <c r="AH889" s="187"/>
      <c r="AI889" s="187"/>
      <c r="AJ889" s="187"/>
      <c r="AK889" s="187"/>
      <c r="AL889" s="187"/>
    </row>
    <row r="890" spans="2:38" ht="12.75" customHeight="1">
      <c r="B890" s="6"/>
      <c r="C890" s="20"/>
      <c r="D890" s="12"/>
      <c r="E890" s="12"/>
      <c r="F890" s="12"/>
      <c r="G890" s="12"/>
      <c r="H890" s="20"/>
      <c r="I890" s="187"/>
      <c r="J890" s="187"/>
      <c r="K890" s="187"/>
      <c r="L890" s="187"/>
      <c r="M890" s="187"/>
      <c r="N890" s="187"/>
      <c r="O890" s="187"/>
      <c r="P890" s="187"/>
      <c r="Q890" s="187"/>
      <c r="R890" s="187"/>
      <c r="S890" s="187"/>
      <c r="T890" s="187"/>
      <c r="U890" s="187"/>
      <c r="V890" s="187"/>
      <c r="W890" s="187"/>
      <c r="X890" s="187"/>
      <c r="Y890" s="187"/>
      <c r="Z890" s="187"/>
      <c r="AA890" s="187"/>
      <c r="AB890" s="187"/>
      <c r="AC890" s="187"/>
      <c r="AD890" s="187"/>
      <c r="AE890" s="187"/>
      <c r="AF890" s="187"/>
      <c r="AG890" s="187"/>
      <c r="AH890" s="187"/>
      <c r="AI890" s="187"/>
      <c r="AJ890" s="187"/>
      <c r="AK890" s="187"/>
      <c r="AL890" s="187"/>
    </row>
    <row r="891" spans="2:38" ht="12.75" customHeight="1">
      <c r="B891" s="6"/>
      <c r="C891" s="20"/>
      <c r="D891" s="12"/>
      <c r="E891" s="12"/>
      <c r="F891" s="12"/>
      <c r="G891" s="12"/>
      <c r="H891" s="20"/>
      <c r="I891" s="187"/>
      <c r="J891" s="187"/>
      <c r="K891" s="187"/>
      <c r="L891" s="187"/>
      <c r="M891" s="187"/>
      <c r="N891" s="187"/>
      <c r="O891" s="187"/>
      <c r="P891" s="187"/>
      <c r="Q891" s="187"/>
      <c r="R891" s="187"/>
      <c r="S891" s="187"/>
      <c r="T891" s="187"/>
      <c r="U891" s="187"/>
      <c r="V891" s="187"/>
      <c r="W891" s="187"/>
      <c r="X891" s="187"/>
      <c r="Y891" s="187"/>
      <c r="Z891" s="187"/>
      <c r="AA891" s="187"/>
      <c r="AB891" s="187"/>
      <c r="AC891" s="187"/>
      <c r="AD891" s="187"/>
      <c r="AE891" s="187"/>
      <c r="AF891" s="187"/>
      <c r="AG891" s="187"/>
      <c r="AH891" s="187"/>
      <c r="AI891" s="187"/>
      <c r="AJ891" s="187"/>
      <c r="AK891" s="187"/>
      <c r="AL891" s="187"/>
    </row>
    <row r="892" spans="2:38" ht="12.75" customHeight="1">
      <c r="B892" s="6"/>
      <c r="C892" s="20"/>
      <c r="D892" s="12"/>
      <c r="E892" s="12"/>
      <c r="F892" s="12"/>
      <c r="G892" s="12"/>
      <c r="H892" s="20"/>
      <c r="I892" s="187"/>
      <c r="J892" s="187"/>
      <c r="K892" s="187"/>
      <c r="L892" s="187"/>
      <c r="M892" s="187"/>
      <c r="N892" s="187"/>
      <c r="O892" s="187"/>
      <c r="P892" s="187"/>
      <c r="Q892" s="187"/>
      <c r="R892" s="187"/>
      <c r="S892" s="187"/>
      <c r="T892" s="187"/>
      <c r="U892" s="187"/>
      <c r="V892" s="187"/>
      <c r="W892" s="187"/>
      <c r="X892" s="187"/>
      <c r="Y892" s="187"/>
      <c r="Z892" s="187"/>
      <c r="AA892" s="187"/>
      <c r="AB892" s="187"/>
      <c r="AC892" s="187"/>
      <c r="AD892" s="187"/>
      <c r="AE892" s="187"/>
      <c r="AF892" s="187"/>
      <c r="AG892" s="187"/>
      <c r="AH892" s="187"/>
      <c r="AI892" s="187"/>
      <c r="AJ892" s="187"/>
      <c r="AK892" s="187"/>
      <c r="AL892" s="187"/>
    </row>
    <row r="893" spans="2:38" ht="12.75" customHeight="1">
      <c r="B893" s="6"/>
      <c r="C893" s="20"/>
      <c r="D893" s="12"/>
      <c r="E893" s="12"/>
      <c r="F893" s="12"/>
      <c r="G893" s="12"/>
      <c r="H893" s="20"/>
      <c r="I893" s="187"/>
      <c r="J893" s="187"/>
      <c r="K893" s="187"/>
      <c r="L893" s="187"/>
      <c r="M893" s="187"/>
      <c r="N893" s="187"/>
      <c r="O893" s="187"/>
      <c r="P893" s="187"/>
      <c r="Q893" s="187"/>
      <c r="R893" s="187"/>
      <c r="S893" s="187"/>
      <c r="T893" s="187"/>
      <c r="U893" s="187"/>
      <c r="V893" s="187"/>
      <c r="W893" s="187"/>
      <c r="X893" s="187"/>
      <c r="Y893" s="187"/>
      <c r="Z893" s="187"/>
      <c r="AA893" s="187"/>
      <c r="AB893" s="187"/>
      <c r="AC893" s="187"/>
      <c r="AD893" s="187"/>
      <c r="AE893" s="187"/>
      <c r="AF893" s="187"/>
      <c r="AG893" s="187"/>
      <c r="AH893" s="187"/>
      <c r="AI893" s="187"/>
      <c r="AJ893" s="187"/>
      <c r="AK893" s="187"/>
      <c r="AL893" s="187"/>
    </row>
    <row r="894" spans="2:38" ht="12.75" customHeight="1">
      <c r="B894" s="6"/>
      <c r="C894" s="20"/>
      <c r="D894" s="12"/>
      <c r="E894" s="12"/>
      <c r="F894" s="12"/>
      <c r="G894" s="12"/>
      <c r="H894" s="20"/>
      <c r="I894" s="187"/>
      <c r="J894" s="187"/>
      <c r="K894" s="187"/>
      <c r="L894" s="187"/>
      <c r="M894" s="187"/>
      <c r="N894" s="187"/>
      <c r="O894" s="187"/>
      <c r="P894" s="187"/>
      <c r="Q894" s="187"/>
      <c r="R894" s="187"/>
      <c r="S894" s="187"/>
      <c r="T894" s="187"/>
      <c r="U894" s="187"/>
      <c r="V894" s="187"/>
      <c r="W894" s="187"/>
      <c r="X894" s="187"/>
      <c r="Y894" s="187"/>
      <c r="Z894" s="187"/>
      <c r="AA894" s="187"/>
      <c r="AB894" s="187"/>
      <c r="AC894" s="187"/>
      <c r="AD894" s="187"/>
      <c r="AE894" s="187"/>
      <c r="AF894" s="187"/>
      <c r="AG894" s="187"/>
      <c r="AH894" s="187"/>
      <c r="AI894" s="187"/>
      <c r="AJ894" s="187"/>
      <c r="AK894" s="187"/>
      <c r="AL894" s="187"/>
    </row>
    <row r="895" spans="2:38" ht="12.75" customHeight="1">
      <c r="B895" s="6"/>
      <c r="C895" s="20"/>
      <c r="D895" s="12"/>
      <c r="E895" s="12"/>
      <c r="F895" s="12"/>
      <c r="G895" s="12"/>
      <c r="H895" s="20"/>
      <c r="I895" s="187"/>
      <c r="J895" s="187"/>
      <c r="K895" s="187"/>
      <c r="L895" s="187"/>
      <c r="M895" s="187"/>
      <c r="N895" s="187"/>
      <c r="O895" s="187"/>
      <c r="P895" s="187"/>
      <c r="Q895" s="187"/>
      <c r="R895" s="187"/>
      <c r="S895" s="187"/>
      <c r="T895" s="187"/>
      <c r="U895" s="187"/>
      <c r="V895" s="187"/>
      <c r="W895" s="187"/>
      <c r="X895" s="187"/>
      <c r="Y895" s="187"/>
      <c r="Z895" s="187"/>
      <c r="AA895" s="187"/>
      <c r="AB895" s="187"/>
      <c r="AC895" s="187"/>
      <c r="AD895" s="187"/>
      <c r="AE895" s="187"/>
      <c r="AF895" s="187"/>
      <c r="AG895" s="187"/>
      <c r="AH895" s="187"/>
      <c r="AI895" s="187"/>
      <c r="AJ895" s="187"/>
      <c r="AK895" s="187"/>
      <c r="AL895" s="187"/>
    </row>
    <row r="896" spans="2:38" ht="12.75" customHeight="1">
      <c r="B896" s="6"/>
      <c r="C896" s="20"/>
      <c r="D896" s="12"/>
      <c r="E896" s="12"/>
      <c r="F896" s="12"/>
      <c r="G896" s="12"/>
      <c r="H896" s="20"/>
      <c r="I896" s="187"/>
      <c r="J896" s="187"/>
      <c r="K896" s="187"/>
      <c r="L896" s="187"/>
      <c r="M896" s="187"/>
      <c r="N896" s="187"/>
      <c r="O896" s="187"/>
      <c r="P896" s="187"/>
      <c r="Q896" s="187"/>
      <c r="R896" s="187"/>
      <c r="S896" s="187"/>
      <c r="T896" s="187"/>
      <c r="U896" s="187"/>
      <c r="V896" s="187"/>
      <c r="W896" s="187"/>
      <c r="X896" s="187"/>
      <c r="Y896" s="187"/>
      <c r="Z896" s="187"/>
      <c r="AA896" s="187"/>
      <c r="AB896" s="187"/>
      <c r="AC896" s="187"/>
      <c r="AD896" s="187"/>
      <c r="AE896" s="187"/>
      <c r="AF896" s="187"/>
      <c r="AG896" s="187"/>
      <c r="AH896" s="187"/>
      <c r="AI896" s="187"/>
      <c r="AJ896" s="187"/>
      <c r="AK896" s="187"/>
      <c r="AL896" s="187"/>
    </row>
    <row r="897" spans="2:38" ht="12.75" customHeight="1">
      <c r="B897" s="6"/>
      <c r="C897" s="20"/>
      <c r="D897" s="12"/>
      <c r="E897" s="12"/>
      <c r="F897" s="12"/>
      <c r="G897" s="12"/>
      <c r="H897" s="20"/>
      <c r="I897" s="187"/>
      <c r="J897" s="187"/>
      <c r="K897" s="187"/>
      <c r="L897" s="187"/>
      <c r="M897" s="187"/>
      <c r="N897" s="187"/>
      <c r="O897" s="187"/>
      <c r="P897" s="187"/>
      <c r="Q897" s="187"/>
      <c r="R897" s="187"/>
      <c r="S897" s="187"/>
      <c r="T897" s="187"/>
      <c r="U897" s="187"/>
      <c r="V897" s="187"/>
      <c r="W897" s="187"/>
      <c r="X897" s="187"/>
      <c r="Y897" s="187"/>
      <c r="Z897" s="187"/>
      <c r="AA897" s="187"/>
      <c r="AB897" s="187"/>
      <c r="AC897" s="187"/>
      <c r="AD897" s="187"/>
      <c r="AE897" s="187"/>
      <c r="AF897" s="187"/>
      <c r="AG897" s="187"/>
      <c r="AH897" s="187"/>
      <c r="AI897" s="187"/>
      <c r="AJ897" s="187"/>
      <c r="AK897" s="187"/>
      <c r="AL897" s="187"/>
    </row>
    <row r="898" spans="2:38" ht="12.75" customHeight="1">
      <c r="B898" s="6"/>
      <c r="C898" s="20"/>
      <c r="D898" s="12"/>
      <c r="E898" s="12"/>
      <c r="F898" s="12"/>
      <c r="G898" s="12"/>
      <c r="H898" s="20"/>
      <c r="I898" s="187"/>
      <c r="J898" s="187"/>
      <c r="K898" s="187"/>
      <c r="L898" s="187"/>
      <c r="M898" s="187"/>
      <c r="N898" s="187"/>
      <c r="O898" s="187"/>
      <c r="P898" s="187"/>
      <c r="Q898" s="187"/>
      <c r="R898" s="187"/>
      <c r="S898" s="187"/>
      <c r="T898" s="187"/>
      <c r="U898" s="187"/>
      <c r="V898" s="187"/>
      <c r="W898" s="187"/>
      <c r="X898" s="187"/>
      <c r="Y898" s="187"/>
      <c r="Z898" s="187"/>
      <c r="AA898" s="187"/>
      <c r="AB898" s="187"/>
      <c r="AC898" s="187"/>
      <c r="AD898" s="187"/>
      <c r="AE898" s="187"/>
      <c r="AF898" s="187"/>
      <c r="AG898" s="187"/>
      <c r="AH898" s="187"/>
      <c r="AI898" s="187"/>
      <c r="AJ898" s="187"/>
      <c r="AK898" s="187"/>
      <c r="AL898" s="187"/>
    </row>
    <row r="899" spans="2:38" ht="12.75" customHeight="1">
      <c r="B899" s="6"/>
      <c r="C899" s="20"/>
      <c r="D899" s="12"/>
      <c r="E899" s="12"/>
      <c r="F899" s="12"/>
      <c r="G899" s="12"/>
      <c r="H899" s="20"/>
      <c r="I899" s="187"/>
      <c r="J899" s="187"/>
      <c r="K899" s="187"/>
      <c r="L899" s="187"/>
      <c r="M899" s="187"/>
      <c r="N899" s="187"/>
      <c r="O899" s="187"/>
      <c r="P899" s="187"/>
      <c r="Q899" s="187"/>
      <c r="R899" s="187"/>
      <c r="S899" s="187"/>
      <c r="T899" s="187"/>
      <c r="U899" s="187"/>
      <c r="V899" s="187"/>
      <c r="W899" s="187"/>
      <c r="X899" s="187"/>
      <c r="Y899" s="187"/>
      <c r="Z899" s="187"/>
      <c r="AA899" s="187"/>
      <c r="AB899" s="187"/>
      <c r="AC899" s="187"/>
      <c r="AD899" s="187"/>
      <c r="AE899" s="187"/>
      <c r="AF899" s="187"/>
      <c r="AG899" s="187"/>
      <c r="AH899" s="187"/>
      <c r="AI899" s="187"/>
      <c r="AJ899" s="187"/>
      <c r="AK899" s="187"/>
      <c r="AL899" s="187"/>
    </row>
    <row r="900" spans="2:38" ht="12.75" customHeight="1">
      <c r="B900" s="6"/>
      <c r="C900" s="20"/>
      <c r="D900" s="12"/>
      <c r="E900" s="12"/>
      <c r="F900" s="12"/>
      <c r="G900" s="12"/>
      <c r="H900" s="20"/>
      <c r="I900" s="187"/>
      <c r="J900" s="187"/>
      <c r="K900" s="187"/>
      <c r="L900" s="187"/>
      <c r="M900" s="187"/>
      <c r="N900" s="187"/>
      <c r="O900" s="187"/>
      <c r="P900" s="187"/>
      <c r="Q900" s="187"/>
      <c r="R900" s="187"/>
      <c r="S900" s="187"/>
      <c r="T900" s="187"/>
      <c r="U900" s="187"/>
      <c r="V900" s="187"/>
      <c r="W900" s="187"/>
      <c r="X900" s="187"/>
      <c r="Y900" s="187"/>
      <c r="Z900" s="187"/>
      <c r="AA900" s="187"/>
      <c r="AB900" s="187"/>
      <c r="AC900" s="187"/>
      <c r="AD900" s="187"/>
      <c r="AE900" s="187"/>
      <c r="AF900" s="187"/>
      <c r="AG900" s="187"/>
      <c r="AH900" s="187"/>
      <c r="AI900" s="187"/>
      <c r="AJ900" s="187"/>
      <c r="AK900" s="187"/>
      <c r="AL900" s="187"/>
    </row>
    <row r="901" spans="2:38" ht="12.75" customHeight="1">
      <c r="B901" s="6"/>
      <c r="C901" s="20"/>
      <c r="D901" s="12"/>
      <c r="E901" s="12"/>
      <c r="F901" s="12"/>
      <c r="G901" s="12"/>
      <c r="H901" s="20"/>
      <c r="I901" s="187"/>
      <c r="J901" s="187"/>
      <c r="K901" s="187"/>
      <c r="L901" s="187"/>
      <c r="M901" s="187"/>
      <c r="N901" s="187"/>
      <c r="O901" s="187"/>
      <c r="P901" s="187"/>
      <c r="Q901" s="187"/>
      <c r="R901" s="187"/>
      <c r="S901" s="187"/>
      <c r="T901" s="187"/>
      <c r="U901" s="187"/>
      <c r="V901" s="187"/>
      <c r="W901" s="187"/>
      <c r="X901" s="187"/>
      <c r="Y901" s="187"/>
      <c r="Z901" s="187"/>
      <c r="AA901" s="187"/>
      <c r="AB901" s="187"/>
      <c r="AC901" s="187"/>
      <c r="AD901" s="187"/>
      <c r="AE901" s="187"/>
      <c r="AF901" s="187"/>
      <c r="AG901" s="187"/>
      <c r="AH901" s="187"/>
      <c r="AI901" s="187"/>
      <c r="AJ901" s="187"/>
      <c r="AK901" s="187"/>
      <c r="AL901" s="187"/>
    </row>
    <row r="902" spans="2:38" ht="12.75" customHeight="1">
      <c r="B902" s="6"/>
      <c r="C902" s="20"/>
      <c r="D902" s="12"/>
      <c r="E902" s="12"/>
      <c r="F902" s="12"/>
      <c r="G902" s="12"/>
      <c r="H902" s="20"/>
      <c r="I902" s="187"/>
      <c r="J902" s="187"/>
      <c r="K902" s="187"/>
      <c r="L902" s="187"/>
      <c r="M902" s="187"/>
      <c r="N902" s="187"/>
      <c r="O902" s="187"/>
      <c r="P902" s="187"/>
      <c r="Q902" s="187"/>
      <c r="R902" s="187"/>
      <c r="S902" s="187"/>
      <c r="T902" s="187"/>
      <c r="U902" s="187"/>
      <c r="V902" s="187"/>
      <c r="W902" s="187"/>
      <c r="X902" s="187"/>
      <c r="Y902" s="187"/>
      <c r="Z902" s="187"/>
      <c r="AA902" s="187"/>
      <c r="AB902" s="187"/>
      <c r="AC902" s="187"/>
      <c r="AD902" s="187"/>
      <c r="AE902" s="187"/>
      <c r="AF902" s="187"/>
      <c r="AG902" s="187"/>
      <c r="AH902" s="187"/>
      <c r="AI902" s="187"/>
      <c r="AJ902" s="187"/>
      <c r="AK902" s="187"/>
      <c r="AL902" s="187"/>
    </row>
    <row r="903" spans="2:38" ht="12.75" customHeight="1">
      <c r="B903" s="6"/>
      <c r="C903" s="20"/>
      <c r="D903" s="12"/>
      <c r="E903" s="12"/>
      <c r="F903" s="12"/>
      <c r="G903" s="12"/>
      <c r="H903" s="20"/>
      <c r="I903" s="187"/>
      <c r="J903" s="187"/>
      <c r="K903" s="187"/>
      <c r="L903" s="187"/>
      <c r="M903" s="187"/>
      <c r="N903" s="187"/>
      <c r="O903" s="187"/>
      <c r="P903" s="187"/>
      <c r="Q903" s="187"/>
      <c r="R903" s="187"/>
      <c r="S903" s="187"/>
      <c r="T903" s="187"/>
      <c r="U903" s="187"/>
      <c r="V903" s="187"/>
      <c r="W903" s="187"/>
      <c r="X903" s="187"/>
      <c r="Y903" s="187"/>
      <c r="Z903" s="187"/>
      <c r="AA903" s="187"/>
      <c r="AB903" s="187"/>
      <c r="AC903" s="187"/>
      <c r="AD903" s="187"/>
      <c r="AE903" s="187"/>
      <c r="AF903" s="187"/>
      <c r="AG903" s="187"/>
      <c r="AH903" s="187"/>
      <c r="AI903" s="187"/>
      <c r="AJ903" s="187"/>
      <c r="AK903" s="187"/>
      <c r="AL903" s="187"/>
    </row>
    <row r="904" spans="2:38" ht="12.75" customHeight="1">
      <c r="B904" s="6"/>
      <c r="C904" s="20"/>
      <c r="D904" s="12"/>
      <c r="E904" s="12"/>
      <c r="F904" s="12"/>
      <c r="G904" s="12"/>
      <c r="H904" s="20"/>
      <c r="I904" s="187"/>
      <c r="J904" s="187"/>
      <c r="K904" s="187"/>
      <c r="L904" s="187"/>
      <c r="M904" s="187"/>
      <c r="N904" s="187"/>
      <c r="O904" s="187"/>
      <c r="P904" s="187"/>
      <c r="Q904" s="187"/>
      <c r="R904" s="187"/>
      <c r="S904" s="187"/>
      <c r="T904" s="187"/>
      <c r="U904" s="187"/>
      <c r="V904" s="187"/>
      <c r="W904" s="187"/>
      <c r="X904" s="187"/>
      <c r="Y904" s="187"/>
      <c r="Z904" s="187"/>
      <c r="AA904" s="187"/>
      <c r="AB904" s="187"/>
      <c r="AC904" s="187"/>
      <c r="AD904" s="187"/>
      <c r="AE904" s="187"/>
      <c r="AF904" s="187"/>
      <c r="AG904" s="187"/>
      <c r="AH904" s="187"/>
      <c r="AI904" s="187"/>
      <c r="AJ904" s="187"/>
      <c r="AK904" s="187"/>
      <c r="AL904" s="187"/>
    </row>
    <row r="905" spans="2:38" ht="12.75" customHeight="1">
      <c r="B905" s="6"/>
      <c r="C905" s="20"/>
      <c r="D905" s="12"/>
      <c r="E905" s="12"/>
      <c r="F905" s="12"/>
      <c r="G905" s="12"/>
      <c r="H905" s="20"/>
      <c r="I905" s="187"/>
      <c r="J905" s="187"/>
      <c r="K905" s="187"/>
      <c r="L905" s="187"/>
      <c r="M905" s="187"/>
      <c r="N905" s="187"/>
      <c r="O905" s="187"/>
      <c r="P905" s="187"/>
      <c r="Q905" s="187"/>
      <c r="R905" s="187"/>
      <c r="S905" s="187"/>
      <c r="T905" s="187"/>
      <c r="U905" s="187"/>
      <c r="V905" s="187"/>
      <c r="W905" s="187"/>
      <c r="X905" s="187"/>
      <c r="Y905" s="187"/>
      <c r="Z905" s="187"/>
      <c r="AA905" s="187"/>
      <c r="AB905" s="187"/>
      <c r="AC905" s="187"/>
      <c r="AD905" s="187"/>
      <c r="AE905" s="187"/>
      <c r="AF905" s="187"/>
      <c r="AG905" s="187"/>
      <c r="AH905" s="187"/>
      <c r="AI905" s="187"/>
      <c r="AJ905" s="187"/>
      <c r="AK905" s="187"/>
      <c r="AL905" s="187"/>
    </row>
    <row r="906" spans="2:38" ht="12.75" customHeight="1">
      <c r="B906" s="6"/>
      <c r="C906" s="20"/>
      <c r="D906" s="12"/>
      <c r="E906" s="12"/>
      <c r="F906" s="12"/>
      <c r="G906" s="12"/>
      <c r="H906" s="20"/>
      <c r="I906" s="187"/>
      <c r="J906" s="187"/>
      <c r="K906" s="187"/>
      <c r="L906" s="187"/>
      <c r="M906" s="187"/>
      <c r="N906" s="187"/>
      <c r="O906" s="187"/>
      <c r="P906" s="187"/>
      <c r="Q906" s="187"/>
      <c r="R906" s="187"/>
      <c r="S906" s="187"/>
      <c r="T906" s="187"/>
      <c r="U906" s="187"/>
      <c r="V906" s="187"/>
      <c r="W906" s="187"/>
      <c r="X906" s="187"/>
      <c r="Y906" s="187"/>
      <c r="Z906" s="187"/>
      <c r="AA906" s="187"/>
      <c r="AB906" s="187"/>
      <c r="AC906" s="187"/>
      <c r="AD906" s="187"/>
      <c r="AE906" s="187"/>
      <c r="AF906" s="187"/>
      <c r="AG906" s="187"/>
      <c r="AH906" s="187"/>
      <c r="AI906" s="187"/>
      <c r="AJ906" s="187"/>
      <c r="AK906" s="187"/>
      <c r="AL906" s="187"/>
    </row>
    <row r="907" spans="2:38" ht="12.75" customHeight="1">
      <c r="B907" s="6"/>
      <c r="C907" s="20"/>
      <c r="D907" s="12"/>
      <c r="E907" s="12"/>
      <c r="F907" s="12"/>
      <c r="G907" s="12"/>
      <c r="H907" s="20"/>
      <c r="I907" s="187"/>
      <c r="J907" s="187"/>
      <c r="K907" s="187"/>
      <c r="L907" s="187"/>
      <c r="M907" s="187"/>
      <c r="N907" s="187"/>
      <c r="O907" s="187"/>
      <c r="P907" s="187"/>
      <c r="Q907" s="187"/>
      <c r="R907" s="187"/>
      <c r="S907" s="187"/>
      <c r="T907" s="187"/>
      <c r="U907" s="187"/>
      <c r="V907" s="187"/>
      <c r="W907" s="187"/>
      <c r="X907" s="187"/>
      <c r="Y907" s="187"/>
      <c r="Z907" s="187"/>
      <c r="AA907" s="187"/>
      <c r="AB907" s="187"/>
      <c r="AC907" s="187"/>
      <c r="AD907" s="187"/>
      <c r="AE907" s="187"/>
      <c r="AF907" s="187"/>
      <c r="AG907" s="187"/>
      <c r="AH907" s="187"/>
      <c r="AI907" s="187"/>
      <c r="AJ907" s="187"/>
      <c r="AK907" s="187"/>
      <c r="AL907" s="187"/>
    </row>
    <row r="908" spans="2:38" ht="12.75" customHeight="1">
      <c r="B908" s="6"/>
      <c r="C908" s="20"/>
      <c r="D908" s="12"/>
      <c r="E908" s="12"/>
      <c r="F908" s="12"/>
      <c r="G908" s="12"/>
      <c r="H908" s="20"/>
      <c r="I908" s="187"/>
      <c r="J908" s="187"/>
      <c r="K908" s="187"/>
      <c r="L908" s="187"/>
      <c r="M908" s="187"/>
      <c r="N908" s="187"/>
      <c r="O908" s="187"/>
      <c r="P908" s="187"/>
      <c r="Q908" s="187"/>
      <c r="R908" s="187"/>
      <c r="S908" s="187"/>
      <c r="T908" s="187"/>
      <c r="U908" s="187"/>
      <c r="V908" s="187"/>
      <c r="W908" s="187"/>
      <c r="X908" s="187"/>
      <c r="Y908" s="187"/>
      <c r="Z908" s="187"/>
      <c r="AA908" s="187"/>
      <c r="AB908" s="187"/>
      <c r="AC908" s="187"/>
      <c r="AD908" s="187"/>
      <c r="AE908" s="187"/>
      <c r="AF908" s="187"/>
      <c r="AG908" s="187"/>
      <c r="AH908" s="187"/>
      <c r="AI908" s="187"/>
      <c r="AJ908" s="187"/>
      <c r="AK908" s="187"/>
      <c r="AL908" s="187"/>
    </row>
    <row r="909" spans="2:38" ht="12.75" customHeight="1">
      <c r="B909" s="6"/>
      <c r="C909" s="20"/>
      <c r="D909" s="12"/>
      <c r="E909" s="12"/>
      <c r="F909" s="12"/>
      <c r="G909" s="12"/>
      <c r="H909" s="20"/>
      <c r="I909" s="187"/>
      <c r="J909" s="187"/>
      <c r="K909" s="187"/>
      <c r="L909" s="187"/>
      <c r="M909" s="187"/>
      <c r="N909" s="187"/>
      <c r="O909" s="187"/>
      <c r="P909" s="187"/>
      <c r="Q909" s="187"/>
      <c r="R909" s="187"/>
      <c r="S909" s="187"/>
      <c r="T909" s="187"/>
      <c r="U909" s="187"/>
      <c r="V909" s="187"/>
      <c r="W909" s="187"/>
      <c r="X909" s="187"/>
      <c r="Y909" s="187"/>
      <c r="Z909" s="187"/>
      <c r="AA909" s="187"/>
      <c r="AB909" s="187"/>
      <c r="AC909" s="187"/>
      <c r="AD909" s="187"/>
      <c r="AE909" s="187"/>
      <c r="AF909" s="187"/>
      <c r="AG909" s="187"/>
      <c r="AH909" s="187"/>
      <c r="AI909" s="187"/>
      <c r="AJ909" s="187"/>
      <c r="AK909" s="187"/>
      <c r="AL909" s="187"/>
    </row>
    <row r="910" spans="2:38" ht="12.75" customHeight="1">
      <c r="B910" s="6"/>
      <c r="C910" s="20"/>
      <c r="D910" s="12"/>
      <c r="E910" s="12"/>
      <c r="F910" s="12"/>
      <c r="G910" s="12"/>
      <c r="H910" s="20"/>
      <c r="I910" s="187"/>
      <c r="J910" s="187"/>
      <c r="K910" s="187"/>
      <c r="L910" s="187"/>
      <c r="M910" s="187"/>
      <c r="N910" s="187"/>
      <c r="O910" s="187"/>
      <c r="P910" s="187"/>
      <c r="Q910" s="187"/>
      <c r="R910" s="187"/>
      <c r="S910" s="187"/>
      <c r="T910" s="187"/>
      <c r="U910" s="187"/>
      <c r="V910" s="187"/>
      <c r="W910" s="187"/>
      <c r="X910" s="187"/>
      <c r="Y910" s="187"/>
      <c r="Z910" s="187"/>
      <c r="AA910" s="187"/>
      <c r="AB910" s="187"/>
      <c r="AC910" s="187"/>
      <c r="AD910" s="187"/>
      <c r="AE910" s="187"/>
      <c r="AF910" s="187"/>
      <c r="AG910" s="187"/>
      <c r="AH910" s="187"/>
      <c r="AI910" s="187"/>
      <c r="AJ910" s="187"/>
      <c r="AK910" s="187"/>
      <c r="AL910" s="187"/>
    </row>
    <row r="911" spans="2:38" ht="12.75" customHeight="1">
      <c r="B911" s="6"/>
      <c r="C911" s="20"/>
      <c r="D911" s="12"/>
      <c r="E911" s="12"/>
      <c r="F911" s="12"/>
      <c r="G911" s="12"/>
      <c r="H911" s="20"/>
      <c r="I911" s="187"/>
      <c r="J911" s="187"/>
      <c r="K911" s="187"/>
      <c r="L911" s="187"/>
      <c r="M911" s="187"/>
      <c r="N911" s="187"/>
      <c r="O911" s="187"/>
      <c r="P911" s="187"/>
      <c r="Q911" s="187"/>
      <c r="R911" s="187"/>
      <c r="S911" s="187"/>
      <c r="T911" s="187"/>
      <c r="U911" s="187"/>
      <c r="V911" s="187"/>
      <c r="W911" s="187"/>
      <c r="X911" s="187"/>
      <c r="Y911" s="187"/>
      <c r="Z911" s="187"/>
      <c r="AA911" s="187"/>
      <c r="AB911" s="187"/>
      <c r="AC911" s="187"/>
      <c r="AD911" s="187"/>
      <c r="AE911" s="187"/>
      <c r="AF911" s="187"/>
      <c r="AG911" s="187"/>
      <c r="AH911" s="187"/>
      <c r="AI911" s="187"/>
      <c r="AJ911" s="187"/>
      <c r="AK911" s="187"/>
      <c r="AL911" s="187"/>
    </row>
    <row r="912" spans="2:38" ht="12.75" customHeight="1">
      <c r="B912" s="6"/>
      <c r="C912" s="20"/>
      <c r="D912" s="12"/>
      <c r="E912" s="12"/>
      <c r="F912" s="12"/>
      <c r="G912" s="12"/>
      <c r="H912" s="20"/>
      <c r="I912" s="187"/>
      <c r="J912" s="187"/>
      <c r="K912" s="187"/>
      <c r="L912" s="187"/>
      <c r="M912" s="187"/>
      <c r="N912" s="187"/>
      <c r="O912" s="187"/>
      <c r="P912" s="187"/>
      <c r="Q912" s="187"/>
      <c r="R912" s="187"/>
      <c r="S912" s="187"/>
      <c r="T912" s="187"/>
      <c r="U912" s="187"/>
      <c r="V912" s="187"/>
      <c r="W912" s="187"/>
      <c r="X912" s="187"/>
      <c r="Y912" s="187"/>
      <c r="Z912" s="187"/>
      <c r="AA912" s="187"/>
      <c r="AB912" s="187"/>
      <c r="AC912" s="187"/>
      <c r="AD912" s="187"/>
      <c r="AE912" s="187"/>
      <c r="AF912" s="187"/>
      <c r="AG912" s="187"/>
      <c r="AH912" s="187"/>
      <c r="AI912" s="187"/>
      <c r="AJ912" s="187"/>
      <c r="AK912" s="187"/>
      <c r="AL912" s="187"/>
    </row>
    <row r="913" spans="2:38" ht="12.75" customHeight="1">
      <c r="B913" s="6"/>
      <c r="C913" s="20"/>
      <c r="D913" s="12"/>
      <c r="E913" s="12"/>
      <c r="F913" s="12"/>
      <c r="G913" s="12"/>
      <c r="H913" s="20"/>
      <c r="I913" s="187"/>
      <c r="J913" s="187"/>
      <c r="K913" s="187"/>
      <c r="L913" s="187"/>
      <c r="M913" s="187"/>
      <c r="N913" s="187"/>
      <c r="O913" s="187"/>
      <c r="P913" s="187"/>
      <c r="Q913" s="187"/>
      <c r="R913" s="187"/>
      <c r="S913" s="187"/>
      <c r="T913" s="187"/>
      <c r="U913" s="187"/>
      <c r="V913" s="187"/>
      <c r="W913" s="187"/>
      <c r="X913" s="187"/>
      <c r="Y913" s="187"/>
      <c r="Z913" s="187"/>
      <c r="AA913" s="187"/>
      <c r="AB913" s="187"/>
      <c r="AC913" s="187"/>
      <c r="AD913" s="187"/>
      <c r="AE913" s="187"/>
      <c r="AF913" s="187"/>
      <c r="AG913" s="187"/>
      <c r="AH913" s="187"/>
      <c r="AI913" s="187"/>
      <c r="AJ913" s="187"/>
      <c r="AK913" s="187"/>
      <c r="AL913" s="187"/>
    </row>
    <row r="914" spans="2:38" ht="12.75" customHeight="1">
      <c r="B914" s="6"/>
      <c r="C914" s="20"/>
      <c r="D914" s="12"/>
      <c r="E914" s="12"/>
      <c r="F914" s="12"/>
      <c r="G914" s="12"/>
      <c r="H914" s="20"/>
      <c r="I914" s="187"/>
      <c r="J914" s="187"/>
      <c r="K914" s="187"/>
      <c r="L914" s="187"/>
      <c r="M914" s="187"/>
      <c r="N914" s="187"/>
      <c r="O914" s="187"/>
      <c r="P914" s="187"/>
      <c r="Q914" s="187"/>
      <c r="R914" s="187"/>
      <c r="S914" s="187"/>
      <c r="T914" s="187"/>
      <c r="U914" s="187"/>
      <c r="V914" s="187"/>
      <c r="W914" s="187"/>
      <c r="X914" s="187"/>
      <c r="Y914" s="187"/>
      <c r="Z914" s="187"/>
      <c r="AA914" s="187"/>
      <c r="AB914" s="187"/>
      <c r="AC914" s="187"/>
      <c r="AD914" s="187"/>
      <c r="AE914" s="187"/>
      <c r="AF914" s="187"/>
      <c r="AG914" s="187"/>
      <c r="AH914" s="187"/>
      <c r="AI914" s="187"/>
      <c r="AJ914" s="187"/>
      <c r="AK914" s="187"/>
      <c r="AL914" s="187"/>
    </row>
    <row r="915" spans="2:38" ht="12.75" customHeight="1">
      <c r="B915" s="6"/>
      <c r="C915" s="20"/>
      <c r="D915" s="12"/>
      <c r="E915" s="12"/>
      <c r="F915" s="12"/>
      <c r="G915" s="12"/>
      <c r="H915" s="20"/>
      <c r="I915" s="187"/>
      <c r="J915" s="187"/>
      <c r="K915" s="187"/>
      <c r="L915" s="187"/>
      <c r="M915" s="187"/>
      <c r="N915" s="187"/>
      <c r="O915" s="187"/>
      <c r="P915" s="187"/>
      <c r="Q915" s="187"/>
      <c r="R915" s="187"/>
      <c r="S915" s="187"/>
      <c r="T915" s="187"/>
      <c r="U915" s="187"/>
      <c r="V915" s="187"/>
      <c r="W915" s="187"/>
      <c r="X915" s="187"/>
      <c r="Y915" s="187"/>
      <c r="Z915" s="187"/>
      <c r="AA915" s="187"/>
      <c r="AB915" s="187"/>
      <c r="AC915" s="187"/>
      <c r="AD915" s="187"/>
      <c r="AE915" s="187"/>
      <c r="AF915" s="187"/>
      <c r="AG915" s="187"/>
      <c r="AH915" s="187"/>
      <c r="AI915" s="187"/>
      <c r="AJ915" s="187"/>
      <c r="AK915" s="187"/>
      <c r="AL915" s="187"/>
    </row>
    <row r="916" spans="2:38" ht="12.75" customHeight="1">
      <c r="B916" s="6"/>
      <c r="C916" s="20"/>
      <c r="D916" s="12"/>
      <c r="E916" s="12"/>
      <c r="F916" s="12"/>
      <c r="G916" s="12"/>
      <c r="H916" s="20"/>
      <c r="I916" s="187"/>
      <c r="J916" s="187"/>
      <c r="K916" s="187"/>
      <c r="L916" s="187"/>
      <c r="M916" s="187"/>
      <c r="N916" s="187"/>
      <c r="O916" s="187"/>
      <c r="P916" s="187"/>
      <c r="Q916" s="187"/>
      <c r="R916" s="187"/>
      <c r="S916" s="187"/>
      <c r="T916" s="187"/>
      <c r="U916" s="187"/>
      <c r="V916" s="187"/>
      <c r="W916" s="187"/>
      <c r="X916" s="187"/>
      <c r="Y916" s="187"/>
      <c r="Z916" s="187"/>
      <c r="AA916" s="187"/>
      <c r="AB916" s="187"/>
      <c r="AC916" s="187"/>
      <c r="AD916" s="187"/>
      <c r="AE916" s="187"/>
      <c r="AF916" s="187"/>
      <c r="AG916" s="187"/>
      <c r="AH916" s="187"/>
      <c r="AI916" s="187"/>
      <c r="AJ916" s="187"/>
      <c r="AK916" s="187"/>
      <c r="AL916" s="187"/>
    </row>
    <row r="917" spans="2:38" ht="12.75" customHeight="1">
      <c r="B917" s="6"/>
      <c r="C917" s="20"/>
      <c r="D917" s="12"/>
      <c r="E917" s="12"/>
      <c r="F917" s="12"/>
      <c r="G917" s="12"/>
      <c r="H917" s="20"/>
      <c r="I917" s="187"/>
      <c r="J917" s="187"/>
      <c r="K917" s="187"/>
      <c r="L917" s="187"/>
      <c r="M917" s="187"/>
      <c r="N917" s="187"/>
      <c r="O917" s="187"/>
      <c r="P917" s="187"/>
      <c r="Q917" s="187"/>
      <c r="R917" s="187"/>
      <c r="S917" s="187"/>
      <c r="T917" s="187"/>
      <c r="U917" s="187"/>
      <c r="V917" s="187"/>
      <c r="W917" s="187"/>
      <c r="X917" s="187"/>
      <c r="Y917" s="187"/>
      <c r="Z917" s="187"/>
      <c r="AA917" s="187"/>
      <c r="AB917" s="187"/>
      <c r="AC917" s="187"/>
      <c r="AD917" s="187"/>
      <c r="AE917" s="187"/>
      <c r="AF917" s="187"/>
      <c r="AG917" s="187"/>
      <c r="AH917" s="187"/>
      <c r="AI917" s="187"/>
      <c r="AJ917" s="187"/>
      <c r="AK917" s="187"/>
      <c r="AL917" s="187"/>
    </row>
    <row r="918" spans="2:38" ht="12.75" customHeight="1">
      <c r="B918" s="6"/>
      <c r="C918" s="20"/>
      <c r="D918" s="12"/>
      <c r="E918" s="12"/>
      <c r="F918" s="12"/>
      <c r="G918" s="12"/>
      <c r="H918" s="20"/>
      <c r="I918" s="187"/>
      <c r="J918" s="187"/>
      <c r="K918" s="187"/>
      <c r="L918" s="187"/>
      <c r="M918" s="187"/>
      <c r="N918" s="187"/>
      <c r="O918" s="187"/>
      <c r="P918" s="187"/>
      <c r="Q918" s="187"/>
      <c r="R918" s="187"/>
      <c r="S918" s="187"/>
      <c r="T918" s="187"/>
      <c r="U918" s="187"/>
      <c r="V918" s="187"/>
      <c r="W918" s="187"/>
      <c r="X918" s="187"/>
      <c r="Y918" s="187"/>
      <c r="Z918" s="187"/>
      <c r="AA918" s="187"/>
      <c r="AB918" s="187"/>
      <c r="AC918" s="187"/>
      <c r="AD918" s="187"/>
      <c r="AE918" s="187"/>
      <c r="AF918" s="187"/>
      <c r="AG918" s="187"/>
      <c r="AH918" s="187"/>
      <c r="AI918" s="187"/>
      <c r="AJ918" s="187"/>
      <c r="AK918" s="187"/>
      <c r="AL918" s="187"/>
    </row>
    <row r="919" spans="2:38" ht="12.75" customHeight="1">
      <c r="B919" s="6"/>
      <c r="C919" s="20"/>
      <c r="D919" s="12"/>
      <c r="E919" s="12"/>
      <c r="F919" s="12"/>
      <c r="G919" s="12"/>
      <c r="H919" s="20"/>
      <c r="I919" s="187"/>
      <c r="J919" s="187"/>
      <c r="K919" s="187"/>
      <c r="L919" s="187"/>
      <c r="M919" s="187"/>
      <c r="N919" s="187"/>
      <c r="O919" s="187"/>
      <c r="P919" s="187"/>
      <c r="Q919" s="187"/>
      <c r="R919" s="187"/>
      <c r="S919" s="187"/>
      <c r="T919" s="187"/>
      <c r="U919" s="187"/>
      <c r="V919" s="187"/>
      <c r="W919" s="187"/>
      <c r="X919" s="187"/>
      <c r="Y919" s="187"/>
      <c r="Z919" s="187"/>
      <c r="AA919" s="187"/>
      <c r="AB919" s="187"/>
      <c r="AC919" s="187"/>
      <c r="AD919" s="187"/>
      <c r="AE919" s="187"/>
      <c r="AF919" s="187"/>
      <c r="AG919" s="187"/>
      <c r="AH919" s="187"/>
      <c r="AI919" s="187"/>
      <c r="AJ919" s="187"/>
      <c r="AK919" s="187"/>
      <c r="AL919" s="187"/>
    </row>
    <row r="920" spans="2:38" ht="12.75" customHeight="1">
      <c r="B920" s="6"/>
      <c r="C920" s="20"/>
      <c r="D920" s="12"/>
      <c r="E920" s="12"/>
      <c r="F920" s="12"/>
      <c r="G920" s="12"/>
      <c r="H920" s="20"/>
      <c r="I920" s="187"/>
      <c r="J920" s="187"/>
      <c r="K920" s="187"/>
      <c r="L920" s="187"/>
      <c r="M920" s="187"/>
      <c r="N920" s="187"/>
      <c r="O920" s="187"/>
      <c r="P920" s="187"/>
      <c r="Q920" s="187"/>
      <c r="R920" s="187"/>
      <c r="S920" s="187"/>
      <c r="T920" s="187"/>
      <c r="U920" s="187"/>
      <c r="V920" s="187"/>
      <c r="W920" s="187"/>
      <c r="X920" s="187"/>
      <c r="Y920" s="187"/>
      <c r="Z920" s="187"/>
      <c r="AA920" s="187"/>
      <c r="AB920" s="187"/>
      <c r="AC920" s="187"/>
      <c r="AD920" s="187"/>
      <c r="AE920" s="187"/>
      <c r="AF920" s="187"/>
      <c r="AG920" s="187"/>
      <c r="AH920" s="187"/>
      <c r="AI920" s="187"/>
      <c r="AJ920" s="187"/>
      <c r="AK920" s="187"/>
      <c r="AL920" s="187"/>
    </row>
    <row r="921" spans="2:38" ht="12.75" customHeight="1">
      <c r="B921" s="6"/>
      <c r="C921" s="20"/>
      <c r="D921" s="12"/>
      <c r="E921" s="12"/>
      <c r="F921" s="12"/>
      <c r="G921" s="12"/>
      <c r="H921" s="20"/>
      <c r="I921" s="187"/>
      <c r="J921" s="187"/>
      <c r="K921" s="187"/>
      <c r="L921" s="187"/>
      <c r="M921" s="187"/>
      <c r="N921" s="187"/>
      <c r="O921" s="187"/>
      <c r="P921" s="187"/>
      <c r="Q921" s="187"/>
      <c r="R921" s="187"/>
      <c r="S921" s="187"/>
      <c r="T921" s="187"/>
      <c r="U921" s="187"/>
      <c r="V921" s="187"/>
      <c r="W921" s="187"/>
      <c r="X921" s="187"/>
      <c r="Y921" s="187"/>
      <c r="Z921" s="187"/>
      <c r="AA921" s="187"/>
      <c r="AB921" s="187"/>
      <c r="AC921" s="187"/>
      <c r="AD921" s="187"/>
      <c r="AE921" s="187"/>
      <c r="AF921" s="187"/>
      <c r="AG921" s="187"/>
      <c r="AH921" s="187"/>
      <c r="AI921" s="187"/>
      <c r="AJ921" s="187"/>
      <c r="AK921" s="187"/>
      <c r="AL921" s="187"/>
    </row>
    <row r="922" spans="2:38" ht="12.75" customHeight="1">
      <c r="B922" s="6"/>
      <c r="C922" s="20"/>
      <c r="D922" s="12"/>
      <c r="E922" s="12"/>
      <c r="F922" s="12"/>
      <c r="G922" s="12"/>
      <c r="H922" s="20"/>
      <c r="I922" s="187"/>
      <c r="J922" s="187"/>
      <c r="K922" s="187"/>
      <c r="L922" s="187"/>
      <c r="M922" s="187"/>
      <c r="N922" s="187"/>
      <c r="O922" s="187"/>
      <c r="P922" s="187"/>
      <c r="Q922" s="187"/>
      <c r="R922" s="187"/>
      <c r="S922" s="187"/>
      <c r="T922" s="187"/>
      <c r="U922" s="187"/>
      <c r="V922" s="187"/>
      <c r="W922" s="187"/>
      <c r="X922" s="187"/>
      <c r="Y922" s="187"/>
      <c r="Z922" s="187"/>
      <c r="AA922" s="187"/>
      <c r="AB922" s="187"/>
      <c r="AC922" s="187"/>
      <c r="AD922" s="187"/>
      <c r="AE922" s="187"/>
      <c r="AF922" s="187"/>
      <c r="AG922" s="187"/>
      <c r="AH922" s="187"/>
      <c r="AI922" s="187"/>
      <c r="AJ922" s="187"/>
      <c r="AK922" s="187"/>
      <c r="AL922" s="187"/>
    </row>
    <row r="923" spans="2:38" ht="12.75" customHeight="1">
      <c r="B923" s="6"/>
      <c r="C923" s="20"/>
      <c r="D923" s="12"/>
      <c r="E923" s="12"/>
      <c r="F923" s="12"/>
      <c r="G923" s="12"/>
      <c r="H923" s="20"/>
      <c r="I923" s="187"/>
      <c r="J923" s="187"/>
      <c r="K923" s="187"/>
      <c r="L923" s="187"/>
      <c r="M923" s="187"/>
      <c r="N923" s="187"/>
      <c r="O923" s="187"/>
      <c r="P923" s="187"/>
      <c r="Q923" s="187"/>
      <c r="R923" s="187"/>
      <c r="S923" s="187"/>
      <c r="T923" s="187"/>
      <c r="U923" s="187"/>
      <c r="V923" s="187"/>
      <c r="W923" s="187"/>
      <c r="X923" s="187"/>
      <c r="Y923" s="187"/>
      <c r="Z923" s="187"/>
      <c r="AA923" s="187"/>
      <c r="AB923" s="187"/>
      <c r="AC923" s="187"/>
      <c r="AD923" s="187"/>
      <c r="AE923" s="187"/>
      <c r="AF923" s="187"/>
      <c r="AG923" s="187"/>
      <c r="AH923" s="187"/>
      <c r="AI923" s="187"/>
      <c r="AJ923" s="187"/>
      <c r="AK923" s="187"/>
      <c r="AL923" s="187"/>
    </row>
    <row r="924" spans="2:38" ht="12.75" customHeight="1">
      <c r="B924" s="6"/>
      <c r="C924" s="20"/>
      <c r="D924" s="12"/>
      <c r="E924" s="12"/>
      <c r="F924" s="12"/>
      <c r="G924" s="12"/>
      <c r="H924" s="20"/>
      <c r="I924" s="187"/>
      <c r="J924" s="187"/>
      <c r="K924" s="187"/>
      <c r="L924" s="187"/>
      <c r="M924" s="187"/>
      <c r="N924" s="187"/>
      <c r="O924" s="187"/>
      <c r="P924" s="187"/>
      <c r="Q924" s="187"/>
      <c r="R924" s="187"/>
      <c r="S924" s="187"/>
      <c r="T924" s="187"/>
      <c r="U924" s="187"/>
      <c r="V924" s="187"/>
      <c r="W924" s="187"/>
      <c r="X924" s="187"/>
      <c r="Y924" s="187"/>
      <c r="Z924" s="187"/>
      <c r="AA924" s="187"/>
      <c r="AB924" s="187"/>
      <c r="AC924" s="187"/>
      <c r="AD924" s="187"/>
      <c r="AE924" s="187"/>
      <c r="AF924" s="187"/>
      <c r="AG924" s="187"/>
      <c r="AH924" s="187"/>
      <c r="AI924" s="187"/>
      <c r="AJ924" s="187"/>
      <c r="AK924" s="187"/>
      <c r="AL924" s="187"/>
    </row>
    <row r="925" spans="2:38" ht="12.75" customHeight="1">
      <c r="B925" s="6"/>
      <c r="C925" s="20"/>
      <c r="D925" s="12"/>
      <c r="E925" s="12"/>
      <c r="F925" s="12"/>
      <c r="G925" s="12"/>
      <c r="H925" s="20"/>
      <c r="I925" s="187"/>
      <c r="J925" s="187"/>
      <c r="K925" s="187"/>
      <c r="L925" s="187"/>
      <c r="M925" s="187"/>
      <c r="N925" s="187"/>
      <c r="O925" s="187"/>
      <c r="P925" s="187"/>
      <c r="Q925" s="187"/>
      <c r="R925" s="187"/>
      <c r="S925" s="187"/>
      <c r="T925" s="187"/>
      <c r="U925" s="187"/>
      <c r="V925" s="187"/>
      <c r="W925" s="187"/>
      <c r="X925" s="187"/>
      <c r="Y925" s="187"/>
      <c r="Z925" s="187"/>
      <c r="AA925" s="187"/>
      <c r="AB925" s="187"/>
      <c r="AC925" s="187"/>
      <c r="AD925" s="187"/>
      <c r="AE925" s="187"/>
      <c r="AF925" s="187"/>
      <c r="AG925" s="187"/>
      <c r="AH925" s="187"/>
      <c r="AI925" s="187"/>
      <c r="AJ925" s="187"/>
      <c r="AK925" s="187"/>
      <c r="AL925" s="187"/>
    </row>
    <row r="926" spans="2:38" ht="12.75" customHeight="1">
      <c r="B926" s="6"/>
      <c r="C926" s="20"/>
      <c r="D926" s="12"/>
      <c r="E926" s="12"/>
      <c r="F926" s="12"/>
      <c r="G926" s="12"/>
      <c r="H926" s="20"/>
      <c r="I926" s="187"/>
      <c r="J926" s="187"/>
      <c r="K926" s="187"/>
      <c r="L926" s="187"/>
      <c r="M926" s="187"/>
      <c r="N926" s="187"/>
      <c r="O926" s="187"/>
      <c r="P926" s="187"/>
      <c r="Q926" s="187"/>
      <c r="R926" s="187"/>
      <c r="S926" s="187"/>
      <c r="T926" s="187"/>
      <c r="U926" s="187"/>
      <c r="V926" s="187"/>
      <c r="W926" s="187"/>
      <c r="X926" s="187"/>
      <c r="Y926" s="187"/>
      <c r="Z926" s="187"/>
      <c r="AA926" s="187"/>
      <c r="AB926" s="187"/>
      <c r="AC926" s="187"/>
      <c r="AD926" s="187"/>
      <c r="AE926" s="187"/>
      <c r="AF926" s="187"/>
      <c r="AG926" s="187"/>
      <c r="AH926" s="187"/>
      <c r="AI926" s="187"/>
      <c r="AJ926" s="187"/>
      <c r="AK926" s="187"/>
      <c r="AL926" s="187"/>
    </row>
    <row r="927" spans="2:38" ht="12.75" customHeight="1">
      <c r="B927" s="6"/>
      <c r="C927" s="20"/>
      <c r="D927" s="12"/>
      <c r="E927" s="12"/>
      <c r="F927" s="12"/>
      <c r="G927" s="12"/>
      <c r="H927" s="20"/>
      <c r="I927" s="187"/>
      <c r="J927" s="187"/>
      <c r="K927" s="187"/>
      <c r="L927" s="187"/>
      <c r="M927" s="187"/>
      <c r="N927" s="187"/>
      <c r="O927" s="187"/>
      <c r="P927" s="187"/>
      <c r="Q927" s="187"/>
      <c r="R927" s="187"/>
      <c r="S927" s="187"/>
      <c r="T927" s="187"/>
      <c r="U927" s="187"/>
      <c r="V927" s="187"/>
      <c r="W927" s="187"/>
      <c r="X927" s="187"/>
      <c r="Y927" s="187"/>
      <c r="Z927" s="187"/>
      <c r="AA927" s="187"/>
      <c r="AB927" s="187"/>
      <c r="AC927" s="187"/>
      <c r="AD927" s="187"/>
      <c r="AE927" s="187"/>
      <c r="AF927" s="187"/>
      <c r="AG927" s="187"/>
      <c r="AH927" s="187"/>
      <c r="AI927" s="187"/>
      <c r="AJ927" s="187"/>
      <c r="AK927" s="187"/>
      <c r="AL927" s="187"/>
    </row>
    <row r="928" spans="2:38" ht="12.75" customHeight="1">
      <c r="B928" s="6"/>
      <c r="C928" s="20"/>
      <c r="D928" s="12"/>
      <c r="E928" s="12"/>
      <c r="F928" s="12"/>
      <c r="G928" s="12"/>
      <c r="H928" s="20"/>
      <c r="I928" s="187"/>
      <c r="J928" s="187"/>
      <c r="K928" s="187"/>
      <c r="L928" s="187"/>
      <c r="M928" s="187"/>
      <c r="N928" s="187"/>
      <c r="O928" s="187"/>
      <c r="P928" s="187"/>
      <c r="Q928" s="187"/>
      <c r="R928" s="187"/>
      <c r="S928" s="187"/>
      <c r="T928" s="187"/>
      <c r="U928" s="187"/>
      <c r="V928" s="187"/>
      <c r="W928" s="187"/>
      <c r="X928" s="187"/>
      <c r="Y928" s="187"/>
      <c r="Z928" s="187"/>
      <c r="AA928" s="187"/>
      <c r="AB928" s="187"/>
      <c r="AC928" s="187"/>
      <c r="AD928" s="187"/>
      <c r="AE928" s="187"/>
      <c r="AF928" s="187"/>
      <c r="AG928" s="187"/>
      <c r="AH928" s="187"/>
      <c r="AI928" s="187"/>
      <c r="AJ928" s="187"/>
      <c r="AK928" s="187"/>
      <c r="AL928" s="187"/>
    </row>
    <row r="929" spans="2:38" ht="12.75" customHeight="1">
      <c r="B929" s="6"/>
      <c r="C929" s="20"/>
      <c r="D929" s="12"/>
      <c r="E929" s="12"/>
      <c r="F929" s="12"/>
      <c r="G929" s="12"/>
      <c r="H929" s="20"/>
      <c r="I929" s="187"/>
      <c r="J929" s="187"/>
      <c r="K929" s="187"/>
      <c r="L929" s="187"/>
      <c r="M929" s="187"/>
      <c r="N929" s="187"/>
      <c r="O929" s="187"/>
      <c r="P929" s="187"/>
      <c r="Q929" s="187"/>
      <c r="R929" s="187"/>
      <c r="S929" s="187"/>
      <c r="T929" s="187"/>
      <c r="U929" s="187"/>
      <c r="V929" s="187"/>
      <c r="W929" s="187"/>
      <c r="X929" s="187"/>
      <c r="Y929" s="187"/>
      <c r="Z929" s="187"/>
      <c r="AA929" s="187"/>
      <c r="AB929" s="187"/>
      <c r="AC929" s="187"/>
      <c r="AD929" s="187"/>
      <c r="AE929" s="187"/>
      <c r="AF929" s="187"/>
      <c r="AG929" s="187"/>
      <c r="AH929" s="187"/>
      <c r="AI929" s="187"/>
      <c r="AJ929" s="187"/>
      <c r="AK929" s="187"/>
      <c r="AL929" s="187"/>
    </row>
    <row r="930" spans="2:38" ht="12.75" customHeight="1">
      <c r="B930" s="6"/>
      <c r="C930" s="20"/>
      <c r="D930" s="12"/>
      <c r="E930" s="12"/>
      <c r="F930" s="12"/>
      <c r="G930" s="12"/>
      <c r="H930" s="20"/>
      <c r="I930" s="187"/>
      <c r="J930" s="187"/>
      <c r="K930" s="187"/>
      <c r="L930" s="187"/>
      <c r="M930" s="187"/>
      <c r="N930" s="187"/>
      <c r="O930" s="187"/>
      <c r="P930" s="187"/>
      <c r="Q930" s="187"/>
      <c r="R930" s="187"/>
      <c r="S930" s="187"/>
      <c r="T930" s="187"/>
      <c r="U930" s="187"/>
      <c r="V930" s="187"/>
      <c r="W930" s="187"/>
      <c r="X930" s="187"/>
      <c r="Y930" s="187"/>
      <c r="Z930" s="187"/>
      <c r="AA930" s="187"/>
      <c r="AB930" s="187"/>
      <c r="AC930" s="187"/>
      <c r="AD930" s="187"/>
      <c r="AE930" s="187"/>
      <c r="AF930" s="187"/>
      <c r="AG930" s="187"/>
      <c r="AH930" s="187"/>
      <c r="AI930" s="187"/>
      <c r="AJ930" s="187"/>
      <c r="AK930" s="187"/>
      <c r="AL930" s="187"/>
    </row>
    <row r="931" spans="2:38" ht="12.75" customHeight="1">
      <c r="B931" s="6"/>
      <c r="C931" s="20"/>
      <c r="D931" s="12"/>
      <c r="E931" s="12"/>
      <c r="F931" s="12"/>
      <c r="G931" s="12"/>
      <c r="H931" s="20"/>
      <c r="I931" s="187"/>
      <c r="J931" s="187"/>
      <c r="K931" s="187"/>
      <c r="L931" s="187"/>
      <c r="M931" s="187"/>
      <c r="N931" s="187"/>
      <c r="O931" s="187"/>
      <c r="P931" s="187"/>
      <c r="Q931" s="187"/>
      <c r="R931" s="187"/>
      <c r="S931" s="187"/>
      <c r="T931" s="187"/>
      <c r="U931" s="187"/>
      <c r="V931" s="187"/>
      <c r="W931" s="187"/>
      <c r="X931" s="187"/>
      <c r="Y931" s="187"/>
      <c r="Z931" s="187"/>
      <c r="AA931" s="187"/>
      <c r="AB931" s="187"/>
      <c r="AC931" s="187"/>
      <c r="AD931" s="187"/>
      <c r="AE931" s="187"/>
      <c r="AF931" s="187"/>
      <c r="AG931" s="187"/>
      <c r="AH931" s="187"/>
      <c r="AI931" s="187"/>
      <c r="AJ931" s="187"/>
      <c r="AK931" s="187"/>
      <c r="AL931" s="187"/>
    </row>
    <row r="932" spans="2:38" ht="12.75" customHeight="1">
      <c r="B932" s="6"/>
      <c r="C932" s="20"/>
      <c r="D932" s="12"/>
      <c r="E932" s="12"/>
      <c r="F932" s="12"/>
      <c r="G932" s="12"/>
      <c r="H932" s="20"/>
      <c r="I932" s="187"/>
      <c r="J932" s="187"/>
      <c r="K932" s="187"/>
      <c r="L932" s="187"/>
      <c r="M932" s="187"/>
      <c r="N932" s="187"/>
      <c r="O932" s="187"/>
      <c r="P932" s="187"/>
      <c r="Q932" s="187"/>
      <c r="R932" s="187"/>
      <c r="S932" s="187"/>
      <c r="T932" s="187"/>
      <c r="U932" s="187"/>
      <c r="V932" s="187"/>
      <c r="W932" s="187"/>
      <c r="X932" s="187"/>
      <c r="Y932" s="187"/>
      <c r="Z932" s="187"/>
      <c r="AA932" s="187"/>
      <c r="AB932" s="187"/>
      <c r="AC932" s="187"/>
      <c r="AD932" s="187"/>
      <c r="AE932" s="187"/>
      <c r="AF932" s="187"/>
      <c r="AG932" s="187"/>
      <c r="AH932" s="187"/>
      <c r="AI932" s="187"/>
      <c r="AJ932" s="187"/>
      <c r="AK932" s="187"/>
      <c r="AL932" s="187"/>
    </row>
    <row r="933" spans="2:38" ht="12.75" customHeight="1">
      <c r="B933" s="6"/>
      <c r="C933" s="20"/>
      <c r="D933" s="12"/>
      <c r="E933" s="12"/>
      <c r="F933" s="12"/>
      <c r="G933" s="12"/>
      <c r="H933" s="20"/>
      <c r="I933" s="187"/>
      <c r="J933" s="187"/>
      <c r="K933" s="187"/>
      <c r="L933" s="187"/>
      <c r="M933" s="187"/>
      <c r="N933" s="187"/>
      <c r="O933" s="187"/>
      <c r="P933" s="187"/>
      <c r="Q933" s="187"/>
      <c r="R933" s="187"/>
      <c r="S933" s="187"/>
      <c r="T933" s="187"/>
      <c r="U933" s="187"/>
      <c r="V933" s="187"/>
      <c r="W933" s="187"/>
      <c r="X933" s="187"/>
      <c r="Y933" s="187"/>
      <c r="Z933" s="187"/>
      <c r="AA933" s="187"/>
      <c r="AB933" s="187"/>
      <c r="AC933" s="187"/>
      <c r="AD933" s="187"/>
      <c r="AE933" s="187"/>
      <c r="AF933" s="187"/>
      <c r="AG933" s="187"/>
      <c r="AH933" s="187"/>
      <c r="AI933" s="187"/>
      <c r="AJ933" s="187"/>
      <c r="AK933" s="187"/>
      <c r="AL933" s="187"/>
    </row>
    <row r="934" spans="2:38" ht="12.75" customHeight="1">
      <c r="B934" s="6"/>
      <c r="C934" s="20"/>
      <c r="D934" s="12"/>
      <c r="E934" s="12"/>
      <c r="F934" s="12"/>
      <c r="G934" s="12"/>
      <c r="H934" s="20"/>
      <c r="I934" s="187"/>
      <c r="J934" s="187"/>
      <c r="K934" s="187"/>
      <c r="L934" s="187"/>
      <c r="M934" s="187"/>
      <c r="N934" s="187"/>
      <c r="O934" s="187"/>
      <c r="P934" s="187"/>
      <c r="Q934" s="187"/>
      <c r="R934" s="187"/>
      <c r="S934" s="187"/>
      <c r="T934" s="187"/>
      <c r="U934" s="187"/>
      <c r="V934" s="187"/>
      <c r="W934" s="187"/>
      <c r="X934" s="187"/>
      <c r="Y934" s="187"/>
      <c r="Z934" s="187"/>
      <c r="AA934" s="187"/>
      <c r="AB934" s="187"/>
      <c r="AC934" s="187"/>
      <c r="AD934" s="187"/>
      <c r="AE934" s="187"/>
      <c r="AF934" s="187"/>
      <c r="AG934" s="187"/>
      <c r="AH934" s="187"/>
      <c r="AI934" s="187"/>
      <c r="AJ934" s="187"/>
      <c r="AK934" s="187"/>
      <c r="AL934" s="187"/>
    </row>
    <row r="935" spans="2:38" ht="12.75" customHeight="1">
      <c r="B935" s="6"/>
      <c r="C935" s="20"/>
      <c r="D935" s="12"/>
      <c r="E935" s="12"/>
      <c r="F935" s="12"/>
      <c r="G935" s="12"/>
      <c r="H935" s="20"/>
      <c r="I935" s="187"/>
      <c r="J935" s="187"/>
      <c r="K935" s="187"/>
      <c r="L935" s="187"/>
      <c r="M935" s="187"/>
      <c r="N935" s="187"/>
      <c r="O935" s="187"/>
      <c r="P935" s="187"/>
      <c r="Q935" s="187"/>
      <c r="R935" s="187"/>
      <c r="S935" s="187"/>
      <c r="T935" s="187"/>
      <c r="U935" s="187"/>
      <c r="V935" s="187"/>
      <c r="W935" s="187"/>
      <c r="X935" s="187"/>
      <c r="Y935" s="187"/>
      <c r="Z935" s="187"/>
      <c r="AA935" s="187"/>
      <c r="AB935" s="187"/>
      <c r="AC935" s="187"/>
      <c r="AD935" s="187"/>
      <c r="AE935" s="187"/>
      <c r="AF935" s="187"/>
      <c r="AG935" s="187"/>
      <c r="AH935" s="187"/>
      <c r="AI935" s="187"/>
      <c r="AJ935" s="187"/>
      <c r="AK935" s="187"/>
      <c r="AL935" s="187"/>
    </row>
    <row r="936" spans="2:38" ht="12.75" customHeight="1">
      <c r="B936" s="6"/>
      <c r="C936" s="20"/>
      <c r="D936" s="12"/>
      <c r="E936" s="12"/>
      <c r="F936" s="12"/>
      <c r="G936" s="12"/>
      <c r="H936" s="20"/>
      <c r="I936" s="187"/>
      <c r="J936" s="187"/>
      <c r="K936" s="187"/>
      <c r="L936" s="187"/>
      <c r="M936" s="187"/>
      <c r="N936" s="187"/>
      <c r="O936" s="187"/>
      <c r="P936" s="187"/>
      <c r="Q936" s="187"/>
      <c r="R936" s="187"/>
      <c r="S936" s="187"/>
      <c r="T936" s="187"/>
      <c r="U936" s="187"/>
      <c r="V936" s="187"/>
      <c r="W936" s="187"/>
      <c r="X936" s="187"/>
      <c r="Y936" s="187"/>
      <c r="Z936" s="187"/>
      <c r="AA936" s="187"/>
      <c r="AB936" s="187"/>
      <c r="AC936" s="187"/>
      <c r="AD936" s="187"/>
      <c r="AE936" s="187"/>
      <c r="AF936" s="187"/>
      <c r="AG936" s="187"/>
      <c r="AH936" s="187"/>
      <c r="AI936" s="187"/>
      <c r="AJ936" s="187"/>
      <c r="AK936" s="187"/>
      <c r="AL936" s="187"/>
    </row>
    <row r="937" spans="2:38" ht="12.75" customHeight="1">
      <c r="B937" s="6"/>
      <c r="C937" s="20"/>
      <c r="D937" s="12"/>
      <c r="E937" s="12"/>
      <c r="F937" s="12"/>
      <c r="G937" s="12"/>
      <c r="H937" s="20"/>
      <c r="I937" s="187"/>
      <c r="J937" s="187"/>
      <c r="K937" s="187"/>
      <c r="L937" s="187"/>
      <c r="M937" s="187"/>
      <c r="N937" s="187"/>
      <c r="O937" s="187"/>
      <c r="P937" s="187"/>
      <c r="Q937" s="187"/>
      <c r="R937" s="187"/>
      <c r="S937" s="187"/>
      <c r="T937" s="187"/>
      <c r="U937" s="187"/>
      <c r="V937" s="187"/>
      <c r="W937" s="187"/>
      <c r="X937" s="187"/>
      <c r="Y937" s="187"/>
      <c r="Z937" s="187"/>
      <c r="AA937" s="187"/>
      <c r="AB937" s="187"/>
      <c r="AC937" s="187"/>
      <c r="AD937" s="187"/>
      <c r="AE937" s="187"/>
      <c r="AF937" s="187"/>
      <c r="AG937" s="187"/>
      <c r="AH937" s="187"/>
      <c r="AI937" s="187"/>
      <c r="AJ937" s="187"/>
      <c r="AK937" s="187"/>
      <c r="AL937" s="187"/>
    </row>
    <row r="938" spans="2:38" ht="12.75" customHeight="1">
      <c r="B938" s="6"/>
      <c r="C938" s="20"/>
      <c r="D938" s="12"/>
      <c r="E938" s="12"/>
      <c r="F938" s="12"/>
      <c r="G938" s="12"/>
      <c r="H938" s="20"/>
      <c r="I938" s="187"/>
      <c r="J938" s="187"/>
      <c r="K938" s="187"/>
      <c r="L938" s="187"/>
      <c r="M938" s="187"/>
      <c r="N938" s="187"/>
      <c r="O938" s="187"/>
      <c r="P938" s="187"/>
      <c r="Q938" s="187"/>
      <c r="R938" s="187"/>
      <c r="S938" s="187"/>
      <c r="T938" s="187"/>
      <c r="U938" s="187"/>
      <c r="V938" s="187"/>
      <c r="W938" s="187"/>
      <c r="X938" s="187"/>
      <c r="Y938" s="187"/>
      <c r="Z938" s="187"/>
      <c r="AA938" s="187"/>
      <c r="AB938" s="187"/>
      <c r="AC938" s="187"/>
      <c r="AD938" s="187"/>
      <c r="AE938" s="187"/>
      <c r="AF938" s="187"/>
      <c r="AG938" s="187"/>
      <c r="AH938" s="187"/>
      <c r="AI938" s="187"/>
      <c r="AJ938" s="187"/>
      <c r="AK938" s="187"/>
      <c r="AL938" s="187"/>
    </row>
    <row r="939" spans="2:38" ht="12.75" customHeight="1">
      <c r="B939" s="6"/>
      <c r="C939" s="20"/>
      <c r="D939" s="12"/>
      <c r="E939" s="12"/>
      <c r="F939" s="12"/>
      <c r="G939" s="12"/>
      <c r="H939" s="20"/>
      <c r="I939" s="187"/>
      <c r="J939" s="187"/>
      <c r="K939" s="187"/>
      <c r="L939" s="187"/>
      <c r="M939" s="187"/>
      <c r="N939" s="187"/>
      <c r="O939" s="187"/>
      <c r="P939" s="187"/>
      <c r="Q939" s="187"/>
      <c r="R939" s="187"/>
      <c r="S939" s="187"/>
      <c r="T939" s="187"/>
      <c r="U939" s="187"/>
      <c r="V939" s="187"/>
      <c r="W939" s="187"/>
      <c r="X939" s="187"/>
      <c r="Y939" s="187"/>
      <c r="Z939" s="187"/>
      <c r="AA939" s="187"/>
      <c r="AB939" s="187"/>
      <c r="AC939" s="187"/>
      <c r="AD939" s="187"/>
      <c r="AE939" s="187"/>
      <c r="AF939" s="187"/>
      <c r="AG939" s="187"/>
      <c r="AH939" s="187"/>
      <c r="AI939" s="187"/>
      <c r="AJ939" s="187"/>
      <c r="AK939" s="187"/>
      <c r="AL939" s="187"/>
    </row>
    <row r="940" spans="2:38" ht="12.75" customHeight="1">
      <c r="B940" s="6"/>
      <c r="C940" s="20"/>
      <c r="D940" s="12"/>
      <c r="E940" s="12"/>
      <c r="F940" s="12"/>
      <c r="G940" s="12"/>
      <c r="H940" s="20"/>
      <c r="I940" s="187"/>
      <c r="J940" s="187"/>
      <c r="K940" s="187"/>
      <c r="L940" s="187"/>
      <c r="M940" s="187"/>
      <c r="N940" s="187"/>
      <c r="O940" s="187"/>
      <c r="P940" s="187"/>
      <c r="Q940" s="187"/>
      <c r="R940" s="187"/>
      <c r="S940" s="187"/>
      <c r="T940" s="187"/>
      <c r="U940" s="187"/>
      <c r="V940" s="187"/>
      <c r="W940" s="187"/>
      <c r="X940" s="187"/>
      <c r="Y940" s="187"/>
      <c r="Z940" s="187"/>
      <c r="AA940" s="187"/>
      <c r="AB940" s="187"/>
      <c r="AC940" s="187"/>
      <c r="AD940" s="187"/>
      <c r="AE940" s="187"/>
      <c r="AF940" s="187"/>
      <c r="AG940" s="187"/>
      <c r="AH940" s="187"/>
      <c r="AI940" s="187"/>
      <c r="AJ940" s="187"/>
      <c r="AK940" s="187"/>
      <c r="AL940" s="187"/>
    </row>
    <row r="941" spans="2:38" ht="12.75" customHeight="1">
      <c r="B941" s="6"/>
      <c r="C941" s="20"/>
      <c r="D941" s="12"/>
      <c r="E941" s="12"/>
      <c r="F941" s="12"/>
      <c r="G941" s="12"/>
      <c r="H941" s="20"/>
      <c r="I941" s="187"/>
      <c r="J941" s="187"/>
      <c r="K941" s="187"/>
      <c r="L941" s="187"/>
      <c r="M941" s="187"/>
      <c r="N941" s="187"/>
      <c r="O941" s="187"/>
      <c r="P941" s="187"/>
      <c r="Q941" s="187"/>
      <c r="R941" s="187"/>
      <c r="S941" s="187"/>
      <c r="T941" s="187"/>
      <c r="U941" s="187"/>
      <c r="V941" s="187"/>
      <c r="W941" s="187"/>
      <c r="X941" s="187"/>
      <c r="Y941" s="187"/>
      <c r="Z941" s="187"/>
      <c r="AA941" s="187"/>
      <c r="AB941" s="187"/>
      <c r="AC941" s="187"/>
      <c r="AD941" s="187"/>
      <c r="AE941" s="187"/>
      <c r="AF941" s="187"/>
      <c r="AG941" s="187"/>
      <c r="AH941" s="187"/>
      <c r="AI941" s="187"/>
      <c r="AJ941" s="187"/>
      <c r="AK941" s="187"/>
      <c r="AL941" s="187"/>
    </row>
    <row r="942" spans="2:38" ht="12.75" customHeight="1">
      <c r="B942" s="6"/>
      <c r="C942" s="20"/>
      <c r="D942" s="12"/>
      <c r="E942" s="12"/>
      <c r="F942" s="12"/>
      <c r="G942" s="12"/>
      <c r="H942" s="20"/>
      <c r="I942" s="187"/>
      <c r="J942" s="187"/>
      <c r="K942" s="187"/>
      <c r="L942" s="187"/>
      <c r="M942" s="187"/>
      <c r="N942" s="187"/>
      <c r="O942" s="187"/>
      <c r="P942" s="187"/>
      <c r="Q942" s="187"/>
      <c r="R942" s="187"/>
      <c r="S942" s="187"/>
      <c r="T942" s="187"/>
      <c r="U942" s="187"/>
      <c r="V942" s="187"/>
      <c r="W942" s="187"/>
      <c r="X942" s="187"/>
      <c r="Y942" s="187"/>
      <c r="Z942" s="187"/>
      <c r="AA942" s="187"/>
      <c r="AB942" s="187"/>
      <c r="AC942" s="187"/>
      <c r="AD942" s="187"/>
      <c r="AE942" s="187"/>
      <c r="AF942" s="187"/>
      <c r="AG942" s="187"/>
      <c r="AH942" s="187"/>
      <c r="AI942" s="187"/>
      <c r="AJ942" s="187"/>
      <c r="AK942" s="187"/>
      <c r="AL942" s="187"/>
    </row>
    <row r="943" spans="2:38" ht="12.75" customHeight="1">
      <c r="B943" s="6"/>
      <c r="C943" s="20"/>
      <c r="D943" s="12"/>
      <c r="E943" s="12"/>
      <c r="F943" s="12"/>
      <c r="G943" s="12"/>
      <c r="H943" s="20"/>
      <c r="I943" s="187"/>
      <c r="J943" s="187"/>
      <c r="K943" s="187"/>
      <c r="L943" s="187"/>
      <c r="M943" s="187"/>
      <c r="N943" s="187"/>
      <c r="O943" s="187"/>
      <c r="P943" s="187"/>
      <c r="Q943" s="187"/>
      <c r="R943" s="187"/>
      <c r="S943" s="187"/>
      <c r="T943" s="187"/>
      <c r="U943" s="187"/>
      <c r="V943" s="187"/>
      <c r="W943" s="187"/>
      <c r="X943" s="187"/>
      <c r="Y943" s="187"/>
      <c r="Z943" s="187"/>
      <c r="AA943" s="187"/>
      <c r="AB943" s="187"/>
      <c r="AC943" s="187"/>
      <c r="AD943" s="187"/>
      <c r="AE943" s="187"/>
      <c r="AF943" s="187"/>
      <c r="AG943" s="187"/>
      <c r="AH943" s="187"/>
      <c r="AI943" s="187"/>
      <c r="AJ943" s="187"/>
      <c r="AK943" s="187"/>
      <c r="AL943" s="187"/>
    </row>
    <row r="944" spans="2:38" ht="12.75" customHeight="1">
      <c r="B944" s="6"/>
      <c r="C944" s="20"/>
      <c r="D944" s="12"/>
      <c r="E944" s="12"/>
      <c r="F944" s="12"/>
      <c r="G944" s="12"/>
      <c r="H944" s="20"/>
      <c r="I944" s="187"/>
      <c r="J944" s="187"/>
      <c r="K944" s="187"/>
      <c r="L944" s="187"/>
      <c r="M944" s="187"/>
      <c r="N944" s="187"/>
      <c r="O944" s="187"/>
      <c r="P944" s="187"/>
      <c r="Q944" s="187"/>
      <c r="R944" s="187"/>
      <c r="S944" s="187"/>
      <c r="T944" s="187"/>
      <c r="U944" s="187"/>
      <c r="V944" s="187"/>
      <c r="W944" s="187"/>
      <c r="X944" s="187"/>
      <c r="Y944" s="187"/>
      <c r="Z944" s="187"/>
      <c r="AA944" s="187"/>
      <c r="AB944" s="187"/>
      <c r="AC944" s="187"/>
      <c r="AD944" s="187"/>
      <c r="AE944" s="187"/>
      <c r="AF944" s="187"/>
      <c r="AG944" s="187"/>
      <c r="AH944" s="187"/>
      <c r="AI944" s="187"/>
      <c r="AJ944" s="187"/>
      <c r="AK944" s="187"/>
      <c r="AL944" s="187"/>
    </row>
    <row r="945" spans="2:38" ht="12.75" customHeight="1">
      <c r="B945" s="6"/>
      <c r="C945" s="20"/>
      <c r="D945" s="12"/>
      <c r="E945" s="12"/>
      <c r="F945" s="12"/>
      <c r="G945" s="12"/>
      <c r="H945" s="20"/>
      <c r="I945" s="187"/>
      <c r="J945" s="187"/>
      <c r="K945" s="187"/>
      <c r="L945" s="187"/>
      <c r="M945" s="187"/>
      <c r="N945" s="187"/>
      <c r="O945" s="187"/>
      <c r="P945" s="187"/>
      <c r="Q945" s="187"/>
      <c r="R945" s="187"/>
      <c r="S945" s="187"/>
      <c r="T945" s="187"/>
      <c r="U945" s="187"/>
      <c r="V945" s="187"/>
      <c r="W945" s="187"/>
      <c r="X945" s="187"/>
      <c r="Y945" s="187"/>
      <c r="Z945" s="187"/>
      <c r="AA945" s="187"/>
      <c r="AB945" s="187"/>
      <c r="AC945" s="187"/>
      <c r="AD945" s="187"/>
      <c r="AE945" s="187"/>
      <c r="AF945" s="187"/>
      <c r="AG945" s="187"/>
      <c r="AH945" s="187"/>
      <c r="AI945" s="187"/>
      <c r="AJ945" s="187"/>
      <c r="AK945" s="187"/>
      <c r="AL945" s="187"/>
    </row>
    <row r="946" spans="2:38" ht="12.75" customHeight="1">
      <c r="B946" s="6"/>
      <c r="C946" s="20"/>
      <c r="D946" s="12"/>
      <c r="E946" s="12"/>
      <c r="F946" s="12"/>
      <c r="G946" s="12"/>
      <c r="H946" s="20"/>
      <c r="I946" s="187"/>
      <c r="J946" s="187"/>
      <c r="K946" s="187"/>
      <c r="L946" s="187"/>
      <c r="M946" s="187"/>
      <c r="N946" s="187"/>
      <c r="O946" s="187"/>
      <c r="P946" s="187"/>
      <c r="Q946" s="187"/>
      <c r="R946" s="187"/>
      <c r="S946" s="187"/>
      <c r="T946" s="187"/>
      <c r="U946" s="187"/>
      <c r="V946" s="187"/>
      <c r="W946" s="187"/>
      <c r="X946" s="187"/>
      <c r="Y946" s="187"/>
      <c r="Z946" s="187"/>
      <c r="AA946" s="187"/>
      <c r="AB946" s="187"/>
      <c r="AC946" s="187"/>
      <c r="AD946" s="187"/>
      <c r="AE946" s="187"/>
      <c r="AF946" s="187"/>
      <c r="AG946" s="187"/>
      <c r="AH946" s="187"/>
      <c r="AI946" s="187"/>
      <c r="AJ946" s="187"/>
      <c r="AK946" s="187"/>
      <c r="AL946" s="187"/>
    </row>
    <row r="947" spans="2:38" ht="12.75" customHeight="1">
      <c r="B947" s="6"/>
      <c r="C947" s="20"/>
      <c r="D947" s="12"/>
      <c r="E947" s="12"/>
      <c r="F947" s="12"/>
      <c r="G947" s="12"/>
      <c r="H947" s="20"/>
      <c r="I947" s="187"/>
      <c r="J947" s="187"/>
      <c r="K947" s="187"/>
      <c r="L947" s="187"/>
      <c r="M947" s="187"/>
      <c r="N947" s="187"/>
      <c r="O947" s="187"/>
      <c r="P947" s="187"/>
      <c r="Q947" s="187"/>
      <c r="R947" s="187"/>
      <c r="S947" s="187"/>
      <c r="T947" s="187"/>
      <c r="U947" s="187"/>
      <c r="V947" s="187"/>
      <c r="W947" s="187"/>
      <c r="X947" s="187"/>
      <c r="Y947" s="187"/>
      <c r="Z947" s="187"/>
      <c r="AA947" s="187"/>
      <c r="AB947" s="187"/>
      <c r="AC947" s="187"/>
      <c r="AD947" s="187"/>
      <c r="AE947" s="187"/>
      <c r="AF947" s="187"/>
      <c r="AG947" s="187"/>
      <c r="AH947" s="187"/>
      <c r="AI947" s="187"/>
      <c r="AJ947" s="187"/>
      <c r="AK947" s="187"/>
      <c r="AL947" s="187"/>
    </row>
    <row r="948" spans="2:38" ht="12.75" customHeight="1">
      <c r="B948" s="6"/>
      <c r="C948" s="20"/>
      <c r="D948" s="12"/>
      <c r="E948" s="12"/>
      <c r="F948" s="12"/>
      <c r="G948" s="12"/>
      <c r="H948" s="20"/>
      <c r="I948" s="187"/>
      <c r="J948" s="187"/>
      <c r="K948" s="187"/>
      <c r="L948" s="187"/>
      <c r="M948" s="187"/>
      <c r="N948" s="187"/>
      <c r="O948" s="187"/>
      <c r="P948" s="187"/>
      <c r="Q948" s="187"/>
      <c r="R948" s="187"/>
      <c r="S948" s="187"/>
      <c r="T948" s="187"/>
      <c r="U948" s="187"/>
      <c r="V948" s="187"/>
      <c r="W948" s="187"/>
      <c r="X948" s="187"/>
      <c r="Y948" s="187"/>
      <c r="Z948" s="187"/>
      <c r="AA948" s="187"/>
      <c r="AB948" s="187"/>
      <c r="AC948" s="187"/>
      <c r="AD948" s="187"/>
      <c r="AE948" s="187"/>
      <c r="AF948" s="187"/>
      <c r="AG948" s="187"/>
      <c r="AH948" s="187"/>
      <c r="AI948" s="187"/>
      <c r="AJ948" s="187"/>
      <c r="AK948" s="187"/>
      <c r="AL948" s="187"/>
    </row>
    <row r="949" spans="2:38" ht="12.75" customHeight="1">
      <c r="B949" s="6"/>
      <c r="C949" s="20"/>
      <c r="D949" s="12"/>
      <c r="E949" s="12"/>
      <c r="F949" s="12"/>
      <c r="G949" s="12"/>
      <c r="H949" s="20"/>
      <c r="I949" s="187"/>
      <c r="J949" s="187"/>
      <c r="K949" s="187"/>
      <c r="L949" s="187"/>
      <c r="M949" s="187"/>
      <c r="N949" s="187"/>
      <c r="O949" s="187"/>
      <c r="P949" s="187"/>
      <c r="Q949" s="187"/>
      <c r="R949" s="187"/>
      <c r="S949" s="187"/>
      <c r="T949" s="187"/>
      <c r="U949" s="187"/>
      <c r="V949" s="187"/>
      <c r="W949" s="187"/>
      <c r="X949" s="187"/>
      <c r="Y949" s="187"/>
      <c r="Z949" s="187"/>
      <c r="AA949" s="187"/>
      <c r="AB949" s="187"/>
      <c r="AC949" s="187"/>
      <c r="AD949" s="187"/>
      <c r="AE949" s="187"/>
      <c r="AF949" s="187"/>
      <c r="AG949" s="187"/>
      <c r="AH949" s="187"/>
      <c r="AI949" s="187"/>
      <c r="AJ949" s="187"/>
      <c r="AK949" s="187"/>
      <c r="AL949" s="187"/>
    </row>
    <row r="950" spans="2:38" ht="12.75" customHeight="1">
      <c r="B950" s="6"/>
      <c r="C950" s="20"/>
      <c r="D950" s="12"/>
      <c r="E950" s="12"/>
      <c r="F950" s="12"/>
      <c r="G950" s="12"/>
      <c r="H950" s="20"/>
      <c r="I950" s="187"/>
      <c r="J950" s="187"/>
      <c r="K950" s="187"/>
      <c r="L950" s="187"/>
      <c r="M950" s="187"/>
      <c r="N950" s="187"/>
      <c r="O950" s="187"/>
      <c r="P950" s="187"/>
      <c r="Q950" s="187"/>
      <c r="R950" s="187"/>
      <c r="S950" s="187"/>
      <c r="T950" s="187"/>
      <c r="U950" s="187"/>
      <c r="V950" s="187"/>
      <c r="W950" s="187"/>
      <c r="X950" s="187"/>
      <c r="Y950" s="187"/>
      <c r="Z950" s="187"/>
      <c r="AA950" s="187"/>
      <c r="AB950" s="187"/>
      <c r="AC950" s="187"/>
      <c r="AD950" s="187"/>
      <c r="AE950" s="187"/>
      <c r="AF950" s="187"/>
      <c r="AG950" s="187"/>
      <c r="AH950" s="187"/>
      <c r="AI950" s="187"/>
      <c r="AJ950" s="187"/>
      <c r="AK950" s="187"/>
      <c r="AL950" s="187"/>
    </row>
    <row r="951" spans="2:38" ht="12.75" customHeight="1">
      <c r="B951" s="6"/>
      <c r="C951" s="20"/>
      <c r="D951" s="12"/>
      <c r="E951" s="12"/>
      <c r="F951" s="12"/>
      <c r="G951" s="12"/>
      <c r="H951" s="20"/>
      <c r="I951" s="187"/>
      <c r="J951" s="187"/>
      <c r="K951" s="187"/>
      <c r="L951" s="187"/>
      <c r="M951" s="187"/>
      <c r="N951" s="187"/>
      <c r="O951" s="187"/>
      <c r="P951" s="187"/>
      <c r="Q951" s="187"/>
      <c r="R951" s="187"/>
      <c r="S951" s="187"/>
      <c r="T951" s="187"/>
      <c r="U951" s="187"/>
      <c r="V951" s="187"/>
      <c r="W951" s="187"/>
      <c r="X951" s="187"/>
      <c r="Y951" s="187"/>
      <c r="Z951" s="187"/>
      <c r="AA951" s="187"/>
      <c r="AB951" s="187"/>
      <c r="AC951" s="187"/>
      <c r="AD951" s="187"/>
      <c r="AE951" s="187"/>
      <c r="AF951" s="187"/>
      <c r="AG951" s="187"/>
      <c r="AH951" s="187"/>
      <c r="AI951" s="187"/>
      <c r="AJ951" s="187"/>
      <c r="AK951" s="187"/>
      <c r="AL951" s="187"/>
    </row>
    <row r="952" spans="2:38" ht="12.75" customHeight="1">
      <c r="B952" s="6"/>
      <c r="C952" s="20"/>
      <c r="D952" s="12"/>
      <c r="E952" s="12"/>
      <c r="F952" s="12"/>
      <c r="G952" s="12"/>
      <c r="H952" s="20"/>
      <c r="I952" s="187"/>
      <c r="J952" s="187"/>
      <c r="K952" s="187"/>
      <c r="L952" s="187"/>
      <c r="M952" s="187"/>
      <c r="N952" s="187"/>
      <c r="O952" s="187"/>
      <c r="P952" s="187"/>
      <c r="Q952" s="187"/>
      <c r="R952" s="187"/>
      <c r="S952" s="187"/>
      <c r="T952" s="187"/>
      <c r="U952" s="187"/>
      <c r="V952" s="187"/>
      <c r="W952" s="187"/>
      <c r="X952" s="187"/>
      <c r="Y952" s="187"/>
      <c r="Z952" s="187"/>
      <c r="AA952" s="187"/>
      <c r="AB952" s="187"/>
      <c r="AC952" s="187"/>
      <c r="AD952" s="187"/>
      <c r="AE952" s="187"/>
      <c r="AF952" s="187"/>
      <c r="AG952" s="187"/>
      <c r="AH952" s="187"/>
      <c r="AI952" s="187"/>
      <c r="AJ952" s="187"/>
      <c r="AK952" s="187"/>
      <c r="AL952" s="187"/>
    </row>
    <row r="953" spans="2:38" ht="12.75" customHeight="1">
      <c r="B953" s="6"/>
      <c r="C953" s="20"/>
      <c r="D953" s="12"/>
      <c r="E953" s="12"/>
      <c r="F953" s="12"/>
      <c r="G953" s="12"/>
      <c r="H953" s="20"/>
      <c r="I953" s="187"/>
      <c r="J953" s="187"/>
      <c r="K953" s="187"/>
      <c r="L953" s="187"/>
      <c r="M953" s="187"/>
      <c r="N953" s="187"/>
      <c r="O953" s="187"/>
      <c r="P953" s="187"/>
      <c r="Q953" s="187"/>
      <c r="R953" s="187"/>
      <c r="S953" s="187"/>
      <c r="T953" s="187"/>
      <c r="U953" s="187"/>
      <c r="V953" s="187"/>
      <c r="W953" s="187"/>
      <c r="X953" s="187"/>
      <c r="Y953" s="187"/>
      <c r="Z953" s="187"/>
      <c r="AA953" s="187"/>
      <c r="AB953" s="187"/>
      <c r="AC953" s="187"/>
      <c r="AD953" s="187"/>
      <c r="AE953" s="187"/>
      <c r="AF953" s="187"/>
      <c r="AG953" s="187"/>
      <c r="AH953" s="187"/>
      <c r="AI953" s="187"/>
      <c r="AJ953" s="187"/>
      <c r="AK953" s="187"/>
      <c r="AL953" s="187"/>
    </row>
    <row r="954" spans="2:38" ht="12.75" customHeight="1">
      <c r="B954" s="6"/>
      <c r="C954" s="20"/>
      <c r="D954" s="12"/>
      <c r="E954" s="12"/>
      <c r="F954" s="12"/>
      <c r="G954" s="12"/>
      <c r="H954" s="20"/>
      <c r="I954" s="187"/>
      <c r="J954" s="187"/>
      <c r="K954" s="187"/>
      <c r="L954" s="187"/>
      <c r="M954" s="187"/>
      <c r="N954" s="187"/>
      <c r="O954" s="187"/>
      <c r="P954" s="187"/>
      <c r="Q954" s="187"/>
      <c r="R954" s="187"/>
      <c r="S954" s="187"/>
      <c r="T954" s="187"/>
      <c r="U954" s="187"/>
      <c r="V954" s="187"/>
      <c r="W954" s="187"/>
      <c r="X954" s="187"/>
      <c r="Y954" s="187"/>
      <c r="Z954" s="187"/>
      <c r="AA954" s="187"/>
      <c r="AB954" s="187"/>
      <c r="AC954" s="187"/>
      <c r="AD954" s="187"/>
      <c r="AE954" s="187"/>
      <c r="AF954" s="187"/>
      <c r="AG954" s="187"/>
      <c r="AH954" s="187"/>
      <c r="AI954" s="187"/>
      <c r="AJ954" s="187"/>
      <c r="AK954" s="187"/>
      <c r="AL954" s="187"/>
    </row>
    <row r="955" spans="2:38" ht="12.75" customHeight="1">
      <c r="B955" s="6"/>
      <c r="C955" s="20"/>
      <c r="D955" s="12"/>
      <c r="E955" s="12"/>
      <c r="F955" s="12"/>
      <c r="G955" s="12"/>
      <c r="H955" s="20"/>
      <c r="I955" s="187"/>
      <c r="J955" s="187"/>
      <c r="K955" s="187"/>
      <c r="L955" s="187"/>
      <c r="M955" s="187"/>
      <c r="N955" s="187"/>
      <c r="O955" s="187"/>
      <c r="P955" s="187"/>
      <c r="Q955" s="187"/>
      <c r="R955" s="187"/>
      <c r="S955" s="187"/>
      <c r="T955" s="187"/>
      <c r="U955" s="187"/>
      <c r="V955" s="187"/>
      <c r="W955" s="187"/>
      <c r="X955" s="187"/>
      <c r="Y955" s="187"/>
      <c r="Z955" s="187"/>
      <c r="AA955" s="187"/>
      <c r="AB955" s="187"/>
      <c r="AC955" s="187"/>
      <c r="AD955" s="187"/>
      <c r="AE955" s="187"/>
      <c r="AF955" s="187"/>
      <c r="AG955" s="187"/>
      <c r="AH955" s="187"/>
      <c r="AI955" s="187"/>
      <c r="AJ955" s="187"/>
      <c r="AK955" s="187"/>
      <c r="AL955" s="187"/>
    </row>
    <row r="956" spans="2:38" ht="12.75" customHeight="1">
      <c r="B956" s="6"/>
      <c r="C956" s="20"/>
      <c r="D956" s="12"/>
      <c r="E956" s="12"/>
      <c r="F956" s="12"/>
      <c r="G956" s="12"/>
      <c r="H956" s="20"/>
      <c r="I956" s="187"/>
      <c r="J956" s="187"/>
      <c r="K956" s="187"/>
      <c r="L956" s="187"/>
      <c r="M956" s="187"/>
      <c r="N956" s="187"/>
      <c r="O956" s="187"/>
      <c r="P956" s="187"/>
      <c r="Q956" s="187"/>
      <c r="R956" s="187"/>
      <c r="S956" s="187"/>
      <c r="T956" s="187"/>
      <c r="U956" s="187"/>
      <c r="V956" s="187"/>
      <c r="W956" s="187"/>
      <c r="X956" s="187"/>
      <c r="Y956" s="187"/>
      <c r="Z956" s="187"/>
      <c r="AA956" s="187"/>
      <c r="AB956" s="187"/>
      <c r="AC956" s="187"/>
      <c r="AD956" s="187"/>
      <c r="AE956" s="187"/>
      <c r="AF956" s="187"/>
      <c r="AG956" s="187"/>
      <c r="AH956" s="187"/>
      <c r="AI956" s="187"/>
      <c r="AJ956" s="187"/>
      <c r="AK956" s="187"/>
      <c r="AL956" s="187"/>
    </row>
    <row r="957" spans="2:38" ht="12.75" customHeight="1">
      <c r="B957" s="6"/>
      <c r="C957" s="20"/>
      <c r="D957" s="12"/>
      <c r="E957" s="12"/>
      <c r="F957" s="12"/>
      <c r="G957" s="12"/>
      <c r="H957" s="20"/>
      <c r="I957" s="187"/>
      <c r="J957" s="187"/>
      <c r="K957" s="187"/>
      <c r="L957" s="187"/>
      <c r="M957" s="187"/>
      <c r="N957" s="187"/>
      <c r="O957" s="187"/>
      <c r="P957" s="187"/>
      <c r="Q957" s="187"/>
      <c r="R957" s="187"/>
      <c r="S957" s="187"/>
      <c r="T957" s="187"/>
      <c r="U957" s="187"/>
      <c r="V957" s="187"/>
      <c r="W957" s="187"/>
      <c r="X957" s="187"/>
      <c r="Y957" s="187"/>
      <c r="Z957" s="187"/>
      <c r="AA957" s="187"/>
      <c r="AB957" s="187"/>
      <c r="AC957" s="187"/>
      <c r="AD957" s="187"/>
      <c r="AE957" s="187"/>
      <c r="AF957" s="187"/>
      <c r="AG957" s="187"/>
      <c r="AH957" s="187"/>
      <c r="AI957" s="187"/>
      <c r="AJ957" s="187"/>
      <c r="AK957" s="187"/>
      <c r="AL957" s="187"/>
    </row>
    <row r="958" spans="2:38" ht="12.75" customHeight="1">
      <c r="B958" s="6"/>
      <c r="C958" s="20"/>
      <c r="D958" s="12"/>
      <c r="E958" s="12"/>
      <c r="F958" s="12"/>
      <c r="G958" s="12"/>
      <c r="H958" s="20"/>
      <c r="I958" s="187"/>
      <c r="J958" s="187"/>
      <c r="K958" s="187"/>
      <c r="L958" s="187"/>
      <c r="M958" s="187"/>
      <c r="N958" s="187"/>
      <c r="O958" s="187"/>
      <c r="P958" s="187"/>
      <c r="Q958" s="187"/>
      <c r="R958" s="187"/>
      <c r="S958" s="187"/>
      <c r="T958" s="187"/>
      <c r="U958" s="187"/>
      <c r="V958" s="187"/>
      <c r="W958" s="187"/>
      <c r="X958" s="187"/>
      <c r="Y958" s="187"/>
      <c r="Z958" s="187"/>
      <c r="AA958" s="187"/>
      <c r="AB958" s="187"/>
      <c r="AC958" s="187"/>
      <c r="AD958" s="187"/>
      <c r="AE958" s="187"/>
      <c r="AF958" s="187"/>
      <c r="AG958" s="187"/>
      <c r="AH958" s="187"/>
      <c r="AI958" s="187"/>
      <c r="AJ958" s="187"/>
      <c r="AK958" s="187"/>
      <c r="AL958" s="187"/>
    </row>
    <row r="959" spans="2:38" ht="12.75" customHeight="1">
      <c r="B959" s="6"/>
      <c r="C959" s="20"/>
      <c r="D959" s="12"/>
      <c r="E959" s="12"/>
      <c r="F959" s="12"/>
      <c r="G959" s="12"/>
      <c r="H959" s="20"/>
      <c r="I959" s="187"/>
      <c r="J959" s="187"/>
      <c r="K959" s="187"/>
      <c r="L959" s="187"/>
      <c r="M959" s="187"/>
      <c r="N959" s="187"/>
      <c r="O959" s="187"/>
      <c r="P959" s="187"/>
      <c r="Q959" s="187"/>
      <c r="R959" s="187"/>
      <c r="S959" s="187"/>
      <c r="T959" s="187"/>
      <c r="U959" s="187"/>
      <c r="V959" s="187"/>
      <c r="W959" s="187"/>
      <c r="X959" s="187"/>
      <c r="Y959" s="187"/>
      <c r="Z959" s="187"/>
      <c r="AA959" s="187"/>
      <c r="AB959" s="187"/>
      <c r="AC959" s="187"/>
      <c r="AD959" s="187"/>
      <c r="AE959" s="187"/>
      <c r="AF959" s="187"/>
      <c r="AG959" s="187"/>
      <c r="AH959" s="187"/>
      <c r="AI959" s="187"/>
      <c r="AJ959" s="187"/>
      <c r="AK959" s="187"/>
      <c r="AL959" s="187"/>
    </row>
    <row r="960" spans="2:38" ht="12.75" customHeight="1">
      <c r="B960" s="6"/>
      <c r="C960" s="20"/>
      <c r="D960" s="12"/>
      <c r="E960" s="12"/>
      <c r="F960" s="12"/>
      <c r="G960" s="12"/>
      <c r="H960" s="20"/>
      <c r="I960" s="187"/>
      <c r="J960" s="187"/>
      <c r="K960" s="187"/>
      <c r="L960" s="187"/>
      <c r="M960" s="187"/>
      <c r="N960" s="187"/>
      <c r="O960" s="187"/>
      <c r="P960" s="187"/>
      <c r="Q960" s="187"/>
      <c r="R960" s="187"/>
      <c r="S960" s="187"/>
      <c r="T960" s="187"/>
      <c r="U960" s="187"/>
      <c r="V960" s="187"/>
      <c r="W960" s="187"/>
      <c r="X960" s="187"/>
      <c r="Y960" s="187"/>
      <c r="Z960" s="187"/>
      <c r="AA960" s="187"/>
      <c r="AB960" s="187"/>
      <c r="AC960" s="187"/>
      <c r="AD960" s="187"/>
      <c r="AE960" s="187"/>
      <c r="AF960" s="187"/>
      <c r="AG960" s="187"/>
      <c r="AH960" s="187"/>
      <c r="AI960" s="187"/>
      <c r="AJ960" s="187"/>
      <c r="AK960" s="187"/>
      <c r="AL960" s="187"/>
    </row>
    <row r="961" spans="2:38" ht="12.75" customHeight="1">
      <c r="B961" s="6"/>
      <c r="C961" s="20"/>
      <c r="D961" s="12"/>
      <c r="E961" s="12"/>
      <c r="F961" s="12"/>
      <c r="G961" s="12"/>
      <c r="H961" s="20"/>
      <c r="I961" s="187"/>
      <c r="J961" s="187"/>
      <c r="K961" s="187"/>
      <c r="L961" s="187"/>
      <c r="M961" s="187"/>
      <c r="N961" s="187"/>
      <c r="O961" s="187"/>
      <c r="P961" s="187"/>
      <c r="Q961" s="187"/>
      <c r="R961" s="187"/>
      <c r="S961" s="187"/>
      <c r="T961" s="187"/>
      <c r="U961" s="187"/>
      <c r="V961" s="187"/>
      <c r="W961" s="187"/>
      <c r="X961" s="187"/>
      <c r="Y961" s="187"/>
      <c r="Z961" s="187"/>
      <c r="AA961" s="187"/>
      <c r="AB961" s="187"/>
      <c r="AC961" s="187"/>
      <c r="AD961" s="187"/>
      <c r="AE961" s="187"/>
      <c r="AF961" s="187"/>
      <c r="AG961" s="187"/>
      <c r="AH961" s="187"/>
      <c r="AI961" s="187"/>
      <c r="AJ961" s="187"/>
      <c r="AK961" s="187"/>
      <c r="AL961" s="187"/>
    </row>
    <row r="962" spans="2:38" ht="12.75" customHeight="1">
      <c r="B962" s="6"/>
      <c r="C962" s="20"/>
      <c r="D962" s="12"/>
      <c r="E962" s="12"/>
      <c r="F962" s="12"/>
      <c r="G962" s="12"/>
      <c r="H962" s="20"/>
      <c r="I962" s="187"/>
      <c r="J962" s="187"/>
      <c r="K962" s="187"/>
      <c r="L962" s="187"/>
      <c r="M962" s="187"/>
      <c r="N962" s="187"/>
      <c r="O962" s="187"/>
      <c r="P962" s="187"/>
      <c r="Q962" s="187"/>
      <c r="R962" s="187"/>
      <c r="S962" s="187"/>
      <c r="T962" s="187"/>
      <c r="U962" s="187"/>
      <c r="V962" s="187"/>
      <c r="W962" s="187"/>
      <c r="X962" s="187"/>
      <c r="Y962" s="187"/>
      <c r="Z962" s="187"/>
      <c r="AA962" s="187"/>
      <c r="AB962" s="187"/>
      <c r="AC962" s="187"/>
      <c r="AD962" s="187"/>
      <c r="AE962" s="187"/>
      <c r="AF962" s="187"/>
      <c r="AG962" s="187"/>
      <c r="AH962" s="187"/>
      <c r="AI962" s="187"/>
      <c r="AJ962" s="187"/>
      <c r="AK962" s="187"/>
      <c r="AL962" s="187"/>
    </row>
    <row r="963" spans="2:38" ht="12.75" customHeight="1">
      <c r="B963" s="6"/>
      <c r="C963" s="20"/>
      <c r="D963" s="12"/>
      <c r="E963" s="12"/>
      <c r="F963" s="12"/>
      <c r="G963" s="12"/>
      <c r="H963" s="20"/>
      <c r="I963" s="187"/>
      <c r="J963" s="187"/>
      <c r="K963" s="187"/>
      <c r="L963" s="187"/>
      <c r="M963" s="187"/>
      <c r="N963" s="187"/>
      <c r="O963" s="187"/>
      <c r="P963" s="187"/>
      <c r="Q963" s="187"/>
      <c r="R963" s="187"/>
      <c r="S963" s="187"/>
      <c r="T963" s="187"/>
      <c r="U963" s="187"/>
      <c r="V963" s="187"/>
      <c r="W963" s="187"/>
      <c r="X963" s="187"/>
      <c r="Y963" s="187"/>
      <c r="Z963" s="187"/>
      <c r="AA963" s="187"/>
      <c r="AB963" s="187"/>
      <c r="AC963" s="187"/>
      <c r="AD963" s="187"/>
      <c r="AE963" s="187"/>
      <c r="AF963" s="187"/>
      <c r="AG963" s="187"/>
      <c r="AH963" s="187"/>
      <c r="AI963" s="187"/>
      <c r="AJ963" s="187"/>
      <c r="AK963" s="187"/>
      <c r="AL963" s="187"/>
    </row>
    <row r="964" spans="2:38" ht="12.75" customHeight="1">
      <c r="B964" s="6"/>
      <c r="C964" s="20"/>
      <c r="D964" s="12"/>
      <c r="E964" s="12"/>
      <c r="F964" s="12"/>
      <c r="G964" s="12"/>
      <c r="H964" s="20"/>
      <c r="I964" s="187"/>
      <c r="J964" s="187"/>
      <c r="K964" s="187"/>
      <c r="L964" s="187"/>
      <c r="M964" s="187"/>
      <c r="N964" s="187"/>
      <c r="O964" s="187"/>
      <c r="P964" s="187"/>
      <c r="Q964" s="187"/>
      <c r="R964" s="187"/>
      <c r="S964" s="187"/>
      <c r="T964" s="187"/>
      <c r="U964" s="187"/>
      <c r="V964" s="187"/>
      <c r="W964" s="187"/>
      <c r="X964" s="187"/>
      <c r="Y964" s="187"/>
      <c r="Z964" s="187"/>
      <c r="AA964" s="187"/>
      <c r="AB964" s="187"/>
      <c r="AC964" s="187"/>
      <c r="AD964" s="187"/>
      <c r="AE964" s="187"/>
      <c r="AF964" s="187"/>
      <c r="AG964" s="187"/>
      <c r="AH964" s="187"/>
      <c r="AI964" s="187"/>
      <c r="AJ964" s="187"/>
      <c r="AK964" s="187"/>
      <c r="AL964" s="187"/>
    </row>
    <row r="965" spans="2:38" ht="12.75" customHeight="1">
      <c r="B965" s="6"/>
      <c r="C965" s="20"/>
      <c r="D965" s="12"/>
      <c r="E965" s="12"/>
      <c r="F965" s="12"/>
      <c r="G965" s="12"/>
      <c r="H965" s="20"/>
      <c r="I965" s="187"/>
      <c r="J965" s="187"/>
      <c r="K965" s="187"/>
      <c r="L965" s="187"/>
      <c r="M965" s="187"/>
      <c r="N965" s="187"/>
      <c r="O965" s="187"/>
      <c r="P965" s="187"/>
      <c r="Q965" s="187"/>
      <c r="R965" s="187"/>
      <c r="S965" s="187"/>
      <c r="T965" s="187"/>
      <c r="U965" s="187"/>
      <c r="V965" s="187"/>
      <c r="W965" s="187"/>
      <c r="X965" s="187"/>
      <c r="Y965" s="187"/>
      <c r="Z965" s="187"/>
      <c r="AA965" s="187"/>
      <c r="AB965" s="187"/>
      <c r="AC965" s="187"/>
      <c r="AD965" s="187"/>
      <c r="AE965" s="187"/>
      <c r="AF965" s="187"/>
      <c r="AG965" s="187"/>
      <c r="AH965" s="187"/>
      <c r="AI965" s="187"/>
      <c r="AJ965" s="187"/>
      <c r="AK965" s="187"/>
      <c r="AL965" s="187"/>
    </row>
    <row r="966" spans="2:38" ht="12.75" customHeight="1">
      <c r="B966" s="6"/>
      <c r="C966" s="20"/>
      <c r="D966" s="12"/>
      <c r="E966" s="12"/>
      <c r="F966" s="12"/>
      <c r="G966" s="12"/>
      <c r="H966" s="20"/>
      <c r="I966" s="187"/>
      <c r="J966" s="187"/>
      <c r="K966" s="187"/>
      <c r="L966" s="187"/>
      <c r="M966" s="187"/>
      <c r="N966" s="187"/>
      <c r="O966" s="187"/>
      <c r="P966" s="187"/>
      <c r="Q966" s="187"/>
      <c r="R966" s="187"/>
      <c r="S966" s="187"/>
      <c r="T966" s="187"/>
      <c r="U966" s="187"/>
      <c r="V966" s="187"/>
      <c r="W966" s="187"/>
      <c r="X966" s="187"/>
      <c r="Y966" s="187"/>
      <c r="Z966" s="187"/>
      <c r="AA966" s="187"/>
      <c r="AB966" s="187"/>
      <c r="AC966" s="187"/>
      <c r="AD966" s="187"/>
      <c r="AE966" s="187"/>
      <c r="AF966" s="187"/>
      <c r="AG966" s="187"/>
      <c r="AH966" s="187"/>
      <c r="AI966" s="187"/>
      <c r="AJ966" s="187"/>
      <c r="AK966" s="187"/>
      <c r="AL966" s="187"/>
    </row>
    <row r="967" spans="2:38" ht="12.75" customHeight="1">
      <c r="B967" s="6"/>
      <c r="C967" s="20"/>
      <c r="D967" s="12"/>
      <c r="E967" s="12"/>
      <c r="F967" s="12"/>
      <c r="G967" s="12"/>
      <c r="H967" s="20"/>
      <c r="I967" s="187"/>
      <c r="J967" s="187"/>
      <c r="K967" s="187"/>
      <c r="L967" s="187"/>
      <c r="M967" s="187"/>
      <c r="N967" s="187"/>
      <c r="O967" s="187"/>
      <c r="P967" s="187"/>
      <c r="Q967" s="187"/>
      <c r="R967" s="187"/>
      <c r="S967" s="187"/>
      <c r="T967" s="187"/>
      <c r="U967" s="187"/>
      <c r="V967" s="187"/>
      <c r="W967" s="187"/>
      <c r="X967" s="187"/>
      <c r="Y967" s="187"/>
      <c r="Z967" s="187"/>
      <c r="AA967" s="187"/>
      <c r="AB967" s="187"/>
      <c r="AC967" s="187"/>
      <c r="AD967" s="187"/>
      <c r="AE967" s="187"/>
      <c r="AF967" s="187"/>
      <c r="AG967" s="187"/>
      <c r="AH967" s="187"/>
      <c r="AI967" s="187"/>
      <c r="AJ967" s="187"/>
      <c r="AK967" s="187"/>
      <c r="AL967" s="187"/>
    </row>
    <row r="968" spans="2:38" ht="12.75" customHeight="1">
      <c r="B968" s="6"/>
      <c r="C968" s="20"/>
      <c r="D968" s="12"/>
      <c r="E968" s="12"/>
      <c r="F968" s="12"/>
      <c r="G968" s="12"/>
      <c r="H968" s="20"/>
      <c r="I968" s="187"/>
      <c r="J968" s="187"/>
      <c r="K968" s="187"/>
      <c r="L968" s="187"/>
      <c r="M968" s="187"/>
      <c r="N968" s="187"/>
      <c r="O968" s="187"/>
      <c r="P968" s="187"/>
      <c r="Q968" s="187"/>
      <c r="R968" s="187"/>
      <c r="S968" s="187"/>
      <c r="T968" s="187"/>
      <c r="U968" s="187"/>
      <c r="V968" s="187"/>
      <c r="W968" s="187"/>
      <c r="X968" s="187"/>
      <c r="Y968" s="187"/>
      <c r="Z968" s="187"/>
      <c r="AA968" s="187"/>
      <c r="AB968" s="187"/>
      <c r="AC968" s="187"/>
      <c r="AD968" s="187"/>
      <c r="AE968" s="187"/>
      <c r="AF968" s="187"/>
      <c r="AG968" s="187"/>
      <c r="AH968" s="187"/>
      <c r="AI968" s="187"/>
      <c r="AJ968" s="187"/>
      <c r="AK968" s="187"/>
      <c r="AL968" s="187"/>
    </row>
    <row r="969" spans="2:38" ht="12.75" customHeight="1">
      <c r="B969" s="6"/>
      <c r="C969" s="20"/>
      <c r="D969" s="12"/>
      <c r="E969" s="12"/>
      <c r="F969" s="12"/>
      <c r="G969" s="12"/>
      <c r="H969" s="20"/>
      <c r="I969" s="187"/>
      <c r="J969" s="187"/>
      <c r="K969" s="187"/>
      <c r="L969" s="187"/>
      <c r="M969" s="187"/>
      <c r="N969" s="187"/>
      <c r="O969" s="187"/>
      <c r="P969" s="187"/>
      <c r="Q969" s="187"/>
      <c r="R969" s="187"/>
      <c r="S969" s="187"/>
      <c r="T969" s="187"/>
      <c r="U969" s="187"/>
      <c r="V969" s="187"/>
      <c r="W969" s="187"/>
      <c r="X969" s="187"/>
      <c r="Y969" s="187"/>
      <c r="Z969" s="187"/>
      <c r="AA969" s="187"/>
      <c r="AB969" s="187"/>
      <c r="AC969" s="187"/>
      <c r="AD969" s="187"/>
      <c r="AE969" s="187"/>
      <c r="AF969" s="187"/>
      <c r="AG969" s="187"/>
      <c r="AH969" s="187"/>
      <c r="AI969" s="187"/>
      <c r="AJ969" s="187"/>
      <c r="AK969" s="187"/>
      <c r="AL969" s="187"/>
    </row>
    <row r="970" spans="2:38" ht="12.75" customHeight="1">
      <c r="B970" s="6"/>
      <c r="C970" s="20"/>
      <c r="D970" s="12"/>
      <c r="E970" s="12"/>
      <c r="F970" s="12"/>
      <c r="G970" s="12"/>
      <c r="H970" s="20"/>
      <c r="I970" s="187"/>
      <c r="J970" s="187"/>
      <c r="K970" s="187"/>
      <c r="L970" s="187"/>
      <c r="M970" s="187"/>
      <c r="N970" s="187"/>
      <c r="O970" s="187"/>
      <c r="P970" s="187"/>
      <c r="Q970" s="187"/>
      <c r="R970" s="187"/>
      <c r="S970" s="187"/>
      <c r="T970" s="187"/>
      <c r="U970" s="187"/>
      <c r="V970" s="187"/>
      <c r="W970" s="187"/>
      <c r="X970" s="187"/>
      <c r="Y970" s="187"/>
      <c r="Z970" s="187"/>
      <c r="AA970" s="187"/>
      <c r="AB970" s="187"/>
      <c r="AC970" s="187"/>
      <c r="AD970" s="187"/>
      <c r="AE970" s="187"/>
      <c r="AF970" s="187"/>
      <c r="AG970" s="187"/>
      <c r="AH970" s="187"/>
      <c r="AI970" s="187"/>
      <c r="AJ970" s="187"/>
      <c r="AK970" s="187"/>
      <c r="AL970" s="187"/>
    </row>
    <row r="971" spans="2:38" ht="12.75" customHeight="1">
      <c r="B971" s="6"/>
      <c r="C971" s="20"/>
      <c r="D971" s="12"/>
      <c r="E971" s="12"/>
      <c r="F971" s="12"/>
      <c r="G971" s="12"/>
      <c r="H971" s="20"/>
      <c r="I971" s="187"/>
      <c r="J971" s="187"/>
      <c r="K971" s="187"/>
      <c r="L971" s="187"/>
      <c r="M971" s="187"/>
      <c r="N971" s="187"/>
      <c r="O971" s="187"/>
      <c r="P971" s="187"/>
      <c r="Q971" s="187"/>
      <c r="R971" s="187"/>
      <c r="S971" s="187"/>
      <c r="T971" s="187"/>
      <c r="U971" s="187"/>
      <c r="V971" s="187"/>
      <c r="W971" s="187"/>
      <c r="X971" s="187"/>
      <c r="Y971" s="187"/>
      <c r="Z971" s="187"/>
      <c r="AA971" s="187"/>
      <c r="AB971" s="187"/>
      <c r="AC971" s="187"/>
      <c r="AD971" s="187"/>
      <c r="AE971" s="187"/>
      <c r="AF971" s="187"/>
      <c r="AG971" s="187"/>
      <c r="AH971" s="187"/>
      <c r="AI971" s="187"/>
      <c r="AJ971" s="187"/>
      <c r="AK971" s="187"/>
      <c r="AL971" s="187"/>
    </row>
    <row r="972" spans="2:38" ht="12.75" customHeight="1">
      <c r="B972" s="6"/>
      <c r="C972" s="20"/>
      <c r="D972" s="12"/>
      <c r="E972" s="12"/>
      <c r="F972" s="12"/>
      <c r="G972" s="12"/>
      <c r="H972" s="20"/>
      <c r="I972" s="187"/>
      <c r="J972" s="187"/>
      <c r="K972" s="187"/>
      <c r="L972" s="187"/>
      <c r="M972" s="187"/>
      <c r="N972" s="187"/>
      <c r="O972" s="187"/>
      <c r="P972" s="187"/>
      <c r="Q972" s="187"/>
      <c r="R972" s="187"/>
      <c r="S972" s="187"/>
      <c r="T972" s="187"/>
      <c r="U972" s="187"/>
      <c r="V972" s="187"/>
      <c r="W972" s="187"/>
      <c r="X972" s="187"/>
      <c r="Y972" s="187"/>
      <c r="Z972" s="187"/>
      <c r="AA972" s="187"/>
      <c r="AB972" s="187"/>
      <c r="AC972" s="187"/>
      <c r="AD972" s="187"/>
      <c r="AE972" s="187"/>
      <c r="AF972" s="187"/>
      <c r="AG972" s="187"/>
      <c r="AH972" s="187"/>
      <c r="AI972" s="187"/>
      <c r="AJ972" s="187"/>
      <c r="AK972" s="187"/>
      <c r="AL972" s="187"/>
    </row>
    <row r="973" spans="2:38" ht="12.75" customHeight="1">
      <c r="B973" s="6"/>
      <c r="C973" s="20"/>
      <c r="D973" s="12"/>
      <c r="E973" s="12"/>
      <c r="F973" s="12"/>
      <c r="G973" s="12"/>
      <c r="H973" s="20"/>
      <c r="I973" s="187"/>
      <c r="J973" s="187"/>
      <c r="K973" s="187"/>
      <c r="L973" s="187"/>
      <c r="M973" s="187"/>
      <c r="N973" s="187"/>
      <c r="O973" s="187"/>
      <c r="P973" s="187"/>
      <c r="Q973" s="187"/>
      <c r="R973" s="187"/>
      <c r="S973" s="187"/>
      <c r="T973" s="187"/>
      <c r="U973" s="187"/>
      <c r="V973" s="187"/>
      <c r="W973" s="187"/>
      <c r="X973" s="187"/>
      <c r="Y973" s="187"/>
      <c r="Z973" s="187"/>
      <c r="AA973" s="187"/>
      <c r="AB973" s="187"/>
      <c r="AC973" s="187"/>
      <c r="AD973" s="187"/>
      <c r="AE973" s="187"/>
      <c r="AF973" s="187"/>
      <c r="AG973" s="187"/>
      <c r="AH973" s="187"/>
      <c r="AI973" s="187"/>
      <c r="AJ973" s="187"/>
      <c r="AK973" s="187"/>
      <c r="AL973" s="187"/>
    </row>
    <row r="974" spans="2:38" ht="12.75" customHeight="1">
      <c r="B974" s="6"/>
      <c r="C974" s="20"/>
      <c r="D974" s="12"/>
      <c r="E974" s="12"/>
      <c r="F974" s="12"/>
      <c r="G974" s="12"/>
      <c r="H974" s="20"/>
      <c r="I974" s="187"/>
      <c r="J974" s="187"/>
      <c r="K974" s="187"/>
      <c r="L974" s="187"/>
      <c r="M974" s="187"/>
      <c r="N974" s="187"/>
      <c r="O974" s="187"/>
      <c r="P974" s="187"/>
      <c r="Q974" s="187"/>
      <c r="R974" s="187"/>
      <c r="S974" s="187"/>
      <c r="T974" s="187"/>
      <c r="U974" s="187"/>
      <c r="V974" s="187"/>
      <c r="W974" s="187"/>
      <c r="X974" s="187"/>
      <c r="Y974" s="187"/>
      <c r="Z974" s="187"/>
      <c r="AA974" s="187"/>
      <c r="AB974" s="187"/>
      <c r="AC974" s="187"/>
      <c r="AD974" s="187"/>
      <c r="AE974" s="187"/>
      <c r="AF974" s="187"/>
      <c r="AG974" s="187"/>
      <c r="AH974" s="187"/>
      <c r="AI974" s="187"/>
      <c r="AJ974" s="187"/>
      <c r="AK974" s="187"/>
      <c r="AL974" s="187"/>
    </row>
    <row r="975" spans="2:38" ht="12.75" customHeight="1">
      <c r="B975" s="6"/>
      <c r="C975" s="20"/>
      <c r="D975" s="12"/>
      <c r="E975" s="12"/>
      <c r="F975" s="12"/>
      <c r="G975" s="12"/>
      <c r="H975" s="20"/>
      <c r="I975" s="187"/>
      <c r="J975" s="187"/>
      <c r="K975" s="187"/>
      <c r="L975" s="187"/>
      <c r="M975" s="187"/>
      <c r="N975" s="187"/>
      <c r="O975" s="187"/>
      <c r="P975" s="187"/>
      <c r="Q975" s="187"/>
      <c r="R975" s="187"/>
      <c r="S975" s="187"/>
      <c r="T975" s="187"/>
      <c r="U975" s="187"/>
      <c r="V975" s="187"/>
      <c r="W975" s="187"/>
      <c r="X975" s="187"/>
      <c r="Y975" s="187"/>
      <c r="Z975" s="187"/>
      <c r="AA975" s="187"/>
      <c r="AB975" s="187"/>
      <c r="AC975" s="187"/>
      <c r="AD975" s="187"/>
      <c r="AE975" s="187"/>
      <c r="AF975" s="187"/>
      <c r="AG975" s="187"/>
      <c r="AH975" s="187"/>
      <c r="AI975" s="187"/>
      <c r="AJ975" s="187"/>
      <c r="AK975" s="187"/>
      <c r="AL975" s="187"/>
    </row>
    <row r="976" spans="2:38" ht="12.75" customHeight="1">
      <c r="B976" s="6"/>
      <c r="C976" s="20"/>
      <c r="D976" s="12"/>
      <c r="E976" s="12"/>
      <c r="F976" s="12"/>
      <c r="G976" s="12"/>
      <c r="H976" s="20"/>
      <c r="I976" s="187"/>
      <c r="J976" s="187"/>
      <c r="K976" s="187"/>
      <c r="L976" s="187"/>
      <c r="M976" s="187"/>
      <c r="N976" s="187"/>
      <c r="O976" s="187"/>
      <c r="P976" s="187"/>
      <c r="Q976" s="187"/>
      <c r="R976" s="187"/>
      <c r="S976" s="187"/>
      <c r="T976" s="187"/>
      <c r="U976" s="187"/>
      <c r="V976" s="187"/>
      <c r="W976" s="187"/>
      <c r="X976" s="187"/>
      <c r="Y976" s="187"/>
      <c r="Z976" s="187"/>
      <c r="AA976" s="187"/>
      <c r="AB976" s="187"/>
      <c r="AC976" s="187"/>
      <c r="AD976" s="187"/>
      <c r="AE976" s="187"/>
      <c r="AF976" s="187"/>
      <c r="AG976" s="187"/>
      <c r="AH976" s="187"/>
      <c r="AI976" s="187"/>
      <c r="AJ976" s="187"/>
      <c r="AK976" s="187"/>
      <c r="AL976" s="187"/>
    </row>
    <row r="977" spans="2:38" ht="12.75" customHeight="1">
      <c r="B977" s="6"/>
      <c r="C977" s="20"/>
      <c r="D977" s="12"/>
      <c r="E977" s="12"/>
      <c r="F977" s="12"/>
      <c r="G977" s="12"/>
      <c r="H977" s="20"/>
      <c r="I977" s="187"/>
      <c r="J977" s="187"/>
      <c r="K977" s="187"/>
      <c r="L977" s="187"/>
      <c r="M977" s="187"/>
      <c r="N977" s="187"/>
      <c r="O977" s="187"/>
      <c r="P977" s="187"/>
      <c r="Q977" s="187"/>
      <c r="R977" s="187"/>
      <c r="S977" s="187"/>
      <c r="T977" s="187"/>
      <c r="U977" s="187"/>
      <c r="V977" s="187"/>
      <c r="W977" s="187"/>
      <c r="X977" s="187"/>
      <c r="Y977" s="187"/>
      <c r="Z977" s="187"/>
      <c r="AA977" s="187"/>
      <c r="AB977" s="187"/>
      <c r="AC977" s="187"/>
      <c r="AD977" s="187"/>
      <c r="AE977" s="187"/>
      <c r="AF977" s="187"/>
      <c r="AG977" s="187"/>
      <c r="AH977" s="187"/>
      <c r="AI977" s="187"/>
      <c r="AJ977" s="187"/>
      <c r="AK977" s="187"/>
      <c r="AL977" s="187"/>
    </row>
    <row r="978" spans="2:38" ht="12.75" customHeight="1">
      <c r="B978" s="6"/>
      <c r="C978" s="20"/>
      <c r="D978" s="12"/>
      <c r="E978" s="12"/>
      <c r="F978" s="12"/>
      <c r="G978" s="12"/>
      <c r="H978" s="20"/>
      <c r="I978" s="187"/>
      <c r="J978" s="187"/>
      <c r="K978" s="187"/>
      <c r="L978" s="187"/>
      <c r="M978" s="187"/>
      <c r="N978" s="187"/>
      <c r="O978" s="187"/>
      <c r="P978" s="187"/>
      <c r="Q978" s="187"/>
      <c r="R978" s="187"/>
      <c r="S978" s="187"/>
      <c r="T978" s="187"/>
      <c r="U978" s="187"/>
      <c r="V978" s="187"/>
      <c r="W978" s="187"/>
      <c r="X978" s="187"/>
      <c r="Y978" s="187"/>
      <c r="Z978" s="187"/>
      <c r="AA978" s="187"/>
      <c r="AB978" s="187"/>
      <c r="AC978" s="187"/>
      <c r="AD978" s="187"/>
      <c r="AE978" s="187"/>
      <c r="AF978" s="187"/>
      <c r="AG978" s="187"/>
      <c r="AH978" s="187"/>
      <c r="AI978" s="187"/>
      <c r="AJ978" s="187"/>
      <c r="AK978" s="187"/>
      <c r="AL978" s="187"/>
    </row>
    <row r="979" spans="2:38" ht="12.75" customHeight="1">
      <c r="B979" s="6"/>
      <c r="C979" s="20"/>
      <c r="D979" s="12"/>
      <c r="E979" s="12"/>
      <c r="F979" s="12"/>
      <c r="G979" s="12"/>
      <c r="H979" s="20"/>
      <c r="I979" s="187"/>
      <c r="J979" s="187"/>
      <c r="K979" s="187"/>
      <c r="L979" s="187"/>
      <c r="M979" s="187"/>
      <c r="N979" s="187"/>
      <c r="O979" s="187"/>
      <c r="P979" s="187"/>
      <c r="Q979" s="187"/>
      <c r="R979" s="187"/>
      <c r="S979" s="187"/>
      <c r="T979" s="187"/>
      <c r="U979" s="187"/>
      <c r="V979" s="187"/>
      <c r="W979" s="187"/>
      <c r="X979" s="187"/>
      <c r="Y979" s="187"/>
      <c r="Z979" s="187"/>
      <c r="AA979" s="187"/>
      <c r="AB979" s="187"/>
      <c r="AC979" s="187"/>
      <c r="AD979" s="187"/>
      <c r="AE979" s="187"/>
      <c r="AF979" s="187"/>
      <c r="AG979" s="187"/>
      <c r="AH979" s="187"/>
      <c r="AI979" s="187"/>
      <c r="AJ979" s="187"/>
      <c r="AK979" s="187"/>
      <c r="AL979" s="187"/>
    </row>
    <row r="980" spans="2:38" ht="12.75" customHeight="1">
      <c r="B980" s="6"/>
      <c r="C980" s="20"/>
      <c r="D980" s="12"/>
      <c r="E980" s="12"/>
      <c r="F980" s="12"/>
      <c r="G980" s="12"/>
      <c r="H980" s="20"/>
      <c r="I980" s="187"/>
      <c r="J980" s="187"/>
      <c r="K980" s="187"/>
      <c r="L980" s="187"/>
      <c r="M980" s="187"/>
      <c r="N980" s="187"/>
      <c r="O980" s="187"/>
      <c r="P980" s="187"/>
      <c r="Q980" s="187"/>
      <c r="R980" s="187"/>
      <c r="S980" s="187"/>
      <c r="T980" s="187"/>
      <c r="U980" s="187"/>
      <c r="V980" s="187"/>
      <c r="W980" s="187"/>
      <c r="X980" s="187"/>
      <c r="Y980" s="187"/>
      <c r="Z980" s="187"/>
      <c r="AA980" s="187"/>
      <c r="AB980" s="187"/>
      <c r="AC980" s="187"/>
      <c r="AD980" s="187"/>
      <c r="AE980" s="187"/>
      <c r="AF980" s="187"/>
      <c r="AG980" s="187"/>
      <c r="AH980" s="187"/>
      <c r="AI980" s="187"/>
      <c r="AJ980" s="187"/>
      <c r="AK980" s="187"/>
      <c r="AL980" s="187"/>
    </row>
    <row r="981" spans="2:38" ht="12.75" customHeight="1">
      <c r="B981" s="6"/>
      <c r="C981" s="20"/>
      <c r="D981" s="12"/>
      <c r="E981" s="12"/>
      <c r="F981" s="12"/>
      <c r="G981" s="12"/>
      <c r="H981" s="20"/>
      <c r="I981" s="187"/>
      <c r="J981" s="187"/>
      <c r="K981" s="187"/>
      <c r="L981" s="187"/>
      <c r="M981" s="187"/>
      <c r="N981" s="187"/>
      <c r="O981" s="187"/>
      <c r="P981" s="187"/>
      <c r="Q981" s="187"/>
      <c r="R981" s="187"/>
      <c r="S981" s="187"/>
      <c r="T981" s="187"/>
      <c r="U981" s="187"/>
      <c r="V981" s="187"/>
      <c r="W981" s="187"/>
      <c r="X981" s="187"/>
      <c r="Y981" s="187"/>
      <c r="Z981" s="187"/>
      <c r="AA981" s="187"/>
      <c r="AB981" s="187"/>
      <c r="AC981" s="187"/>
      <c r="AD981" s="187"/>
      <c r="AE981" s="187"/>
      <c r="AF981" s="187"/>
      <c r="AG981" s="187"/>
      <c r="AH981" s="187"/>
      <c r="AI981" s="187"/>
      <c r="AJ981" s="187"/>
      <c r="AK981" s="187"/>
      <c r="AL981" s="187"/>
    </row>
    <row r="982" spans="2:38" ht="12.75" customHeight="1">
      <c r="B982" s="6"/>
      <c r="C982" s="20"/>
      <c r="D982" s="12"/>
      <c r="E982" s="12"/>
      <c r="F982" s="12"/>
      <c r="G982" s="12"/>
      <c r="H982" s="20"/>
      <c r="I982" s="187"/>
      <c r="J982" s="187"/>
      <c r="K982" s="187"/>
      <c r="L982" s="187"/>
      <c r="M982" s="187"/>
      <c r="N982" s="187"/>
      <c r="O982" s="187"/>
      <c r="P982" s="187"/>
      <c r="Q982" s="187"/>
      <c r="R982" s="187"/>
      <c r="S982" s="187"/>
      <c r="T982" s="187"/>
      <c r="U982" s="187"/>
      <c r="V982" s="187"/>
      <c r="W982" s="187"/>
      <c r="X982" s="187"/>
      <c r="Y982" s="187"/>
      <c r="Z982" s="187"/>
      <c r="AA982" s="187"/>
      <c r="AB982" s="187"/>
      <c r="AC982" s="187"/>
      <c r="AD982" s="187"/>
      <c r="AE982" s="187"/>
      <c r="AF982" s="187"/>
      <c r="AG982" s="187"/>
      <c r="AH982" s="187"/>
      <c r="AI982" s="187"/>
      <c r="AJ982" s="187"/>
      <c r="AK982" s="187"/>
      <c r="AL982" s="187"/>
    </row>
    <row r="983" spans="2:38" ht="12.75" customHeight="1">
      <c r="B983" s="6"/>
      <c r="C983" s="20"/>
      <c r="D983" s="12"/>
      <c r="E983" s="12"/>
      <c r="F983" s="12"/>
      <c r="G983" s="12"/>
      <c r="H983" s="20"/>
      <c r="I983" s="187"/>
      <c r="J983" s="187"/>
      <c r="K983" s="187"/>
      <c r="L983" s="187"/>
      <c r="M983" s="187"/>
      <c r="N983" s="187"/>
      <c r="O983" s="187"/>
      <c r="P983" s="187"/>
      <c r="Q983" s="187"/>
      <c r="R983" s="187"/>
      <c r="S983" s="187"/>
      <c r="T983" s="187"/>
      <c r="U983" s="187"/>
      <c r="V983" s="187"/>
      <c r="W983" s="187"/>
      <c r="X983" s="187"/>
      <c r="Y983" s="187"/>
      <c r="Z983" s="187"/>
      <c r="AA983" s="187"/>
      <c r="AB983" s="187"/>
      <c r="AC983" s="187"/>
      <c r="AD983" s="187"/>
      <c r="AE983" s="187"/>
      <c r="AF983" s="187"/>
      <c r="AG983" s="187"/>
      <c r="AH983" s="187"/>
      <c r="AI983" s="187"/>
      <c r="AJ983" s="187"/>
      <c r="AK983" s="187"/>
      <c r="AL983" s="187"/>
    </row>
    <row r="984" spans="2:38" ht="12.75" customHeight="1">
      <c r="B984" s="6"/>
      <c r="C984" s="20"/>
      <c r="D984" s="12"/>
      <c r="E984" s="12"/>
      <c r="F984" s="12"/>
      <c r="G984" s="12"/>
      <c r="H984" s="20"/>
      <c r="I984" s="187"/>
      <c r="J984" s="187"/>
      <c r="K984" s="187"/>
      <c r="L984" s="187"/>
      <c r="M984" s="187"/>
      <c r="N984" s="187"/>
      <c r="O984" s="187"/>
      <c r="P984" s="187"/>
      <c r="Q984" s="187"/>
      <c r="R984" s="187"/>
      <c r="S984" s="187"/>
      <c r="T984" s="187"/>
      <c r="U984" s="187"/>
      <c r="V984" s="187"/>
      <c r="W984" s="187"/>
      <c r="X984" s="187"/>
      <c r="Y984" s="187"/>
      <c r="Z984" s="187"/>
      <c r="AA984" s="187"/>
      <c r="AB984" s="187"/>
      <c r="AC984" s="187"/>
      <c r="AD984" s="187"/>
      <c r="AE984" s="187"/>
      <c r="AF984" s="187"/>
      <c r="AG984" s="187"/>
      <c r="AH984" s="187"/>
      <c r="AI984" s="187"/>
      <c r="AJ984" s="187"/>
      <c r="AK984" s="187"/>
      <c r="AL984" s="187"/>
    </row>
    <row r="985" spans="2:38" ht="12.75" customHeight="1">
      <c r="B985" s="6"/>
      <c r="C985" s="20"/>
      <c r="D985" s="12"/>
      <c r="E985" s="12"/>
      <c r="F985" s="12"/>
      <c r="G985" s="12"/>
      <c r="H985" s="20"/>
      <c r="I985" s="187"/>
      <c r="J985" s="187"/>
      <c r="K985" s="187"/>
      <c r="L985" s="187"/>
      <c r="M985" s="187"/>
      <c r="N985" s="187"/>
      <c r="O985" s="187"/>
      <c r="P985" s="187"/>
      <c r="Q985" s="187"/>
      <c r="R985" s="187"/>
      <c r="S985" s="187"/>
      <c r="T985" s="187"/>
      <c r="U985" s="187"/>
      <c r="V985" s="187"/>
      <c r="W985" s="187"/>
      <c r="X985" s="187"/>
      <c r="Y985" s="187"/>
      <c r="Z985" s="187"/>
      <c r="AA985" s="187"/>
      <c r="AB985" s="187"/>
      <c r="AC985" s="187"/>
      <c r="AD985" s="187"/>
      <c r="AE985" s="187"/>
      <c r="AF985" s="187"/>
      <c r="AG985" s="187"/>
      <c r="AH985" s="187"/>
      <c r="AI985" s="187"/>
      <c r="AJ985" s="187"/>
      <c r="AK985" s="187"/>
      <c r="AL985" s="187"/>
    </row>
    <row r="986" spans="2:38" ht="12.75" customHeight="1">
      <c r="B986" s="6"/>
      <c r="C986" s="20"/>
      <c r="D986" s="12"/>
      <c r="E986" s="12"/>
      <c r="F986" s="12"/>
      <c r="G986" s="12"/>
      <c r="H986" s="20"/>
      <c r="I986" s="187"/>
      <c r="J986" s="187"/>
      <c r="K986" s="187"/>
      <c r="L986" s="187"/>
      <c r="M986" s="187"/>
      <c r="N986" s="187"/>
      <c r="O986" s="187"/>
      <c r="P986" s="187"/>
      <c r="Q986" s="187"/>
      <c r="R986" s="187"/>
      <c r="S986" s="187"/>
      <c r="T986" s="187"/>
      <c r="U986" s="187"/>
      <c r="V986" s="187"/>
      <c r="W986" s="187"/>
      <c r="X986" s="187"/>
      <c r="Y986" s="187"/>
      <c r="Z986" s="187"/>
      <c r="AA986" s="187"/>
      <c r="AB986" s="187"/>
      <c r="AC986" s="187"/>
      <c r="AD986" s="187"/>
      <c r="AE986" s="187"/>
      <c r="AF986" s="187"/>
      <c r="AG986" s="187"/>
      <c r="AH986" s="187"/>
      <c r="AI986" s="187"/>
      <c r="AJ986" s="187"/>
      <c r="AK986" s="187"/>
      <c r="AL986" s="187"/>
    </row>
    <row r="987" spans="2:38" ht="12.75" customHeight="1">
      <c r="B987" s="6"/>
      <c r="C987" s="20"/>
      <c r="D987" s="12"/>
      <c r="E987" s="12"/>
      <c r="F987" s="12"/>
      <c r="G987" s="12"/>
      <c r="H987" s="20"/>
      <c r="I987" s="187"/>
      <c r="J987" s="187"/>
      <c r="K987" s="187"/>
      <c r="L987" s="187"/>
      <c r="M987" s="187"/>
      <c r="N987" s="187"/>
      <c r="O987" s="187"/>
      <c r="P987" s="187"/>
      <c r="Q987" s="187"/>
      <c r="R987" s="187"/>
      <c r="S987" s="187"/>
      <c r="T987" s="187"/>
      <c r="U987" s="187"/>
      <c r="V987" s="187"/>
      <c r="W987" s="187"/>
      <c r="X987" s="187"/>
      <c r="Y987" s="187"/>
      <c r="Z987" s="187"/>
      <c r="AA987" s="187"/>
      <c r="AB987" s="187"/>
      <c r="AC987" s="187"/>
      <c r="AD987" s="187"/>
      <c r="AE987" s="187"/>
      <c r="AF987" s="187"/>
      <c r="AG987" s="187"/>
      <c r="AH987" s="187"/>
      <c r="AI987" s="187"/>
      <c r="AJ987" s="187"/>
      <c r="AK987" s="187"/>
      <c r="AL987" s="187"/>
    </row>
    <row r="988" spans="2:38" ht="12.75" customHeight="1">
      <c r="B988" s="6"/>
      <c r="C988" s="20"/>
      <c r="D988" s="12"/>
      <c r="E988" s="12"/>
      <c r="F988" s="12"/>
      <c r="G988" s="12"/>
      <c r="H988" s="20"/>
      <c r="I988" s="187"/>
      <c r="J988" s="187"/>
      <c r="K988" s="187"/>
      <c r="L988" s="187"/>
      <c r="M988" s="187"/>
      <c r="N988" s="187"/>
      <c r="O988" s="187"/>
      <c r="P988" s="187"/>
      <c r="Q988" s="187"/>
      <c r="R988" s="187"/>
      <c r="S988" s="187"/>
      <c r="T988" s="187"/>
      <c r="U988" s="187"/>
      <c r="V988" s="187"/>
      <c r="W988" s="187"/>
      <c r="X988" s="187"/>
      <c r="Y988" s="187"/>
      <c r="Z988" s="187"/>
      <c r="AA988" s="187"/>
      <c r="AB988" s="187"/>
      <c r="AC988" s="187"/>
      <c r="AD988" s="187"/>
      <c r="AE988" s="187"/>
      <c r="AF988" s="187"/>
      <c r="AG988" s="187"/>
      <c r="AH988" s="187"/>
      <c r="AI988" s="187"/>
      <c r="AJ988" s="187"/>
      <c r="AK988" s="187"/>
      <c r="AL988" s="187"/>
    </row>
    <row r="989" spans="2:38" ht="12.75" customHeight="1">
      <c r="B989" s="6"/>
      <c r="C989" s="20"/>
      <c r="D989" s="12"/>
      <c r="E989" s="12"/>
      <c r="F989" s="12"/>
      <c r="G989" s="12"/>
      <c r="H989" s="20"/>
      <c r="I989" s="187"/>
      <c r="J989" s="187"/>
      <c r="K989" s="187"/>
      <c r="L989" s="187"/>
      <c r="M989" s="187"/>
      <c r="N989" s="187"/>
      <c r="O989" s="187"/>
      <c r="P989" s="187"/>
      <c r="Q989" s="187"/>
      <c r="R989" s="187"/>
      <c r="S989" s="187"/>
      <c r="T989" s="187"/>
      <c r="U989" s="187"/>
      <c r="V989" s="187"/>
      <c r="W989" s="187"/>
      <c r="X989" s="187"/>
      <c r="Y989" s="187"/>
      <c r="Z989" s="187"/>
      <c r="AA989" s="187"/>
      <c r="AB989" s="187"/>
      <c r="AC989" s="187"/>
      <c r="AD989" s="187"/>
      <c r="AE989" s="187"/>
      <c r="AF989" s="187"/>
      <c r="AG989" s="187"/>
      <c r="AH989" s="187"/>
      <c r="AI989" s="187"/>
      <c r="AJ989" s="187"/>
      <c r="AK989" s="187"/>
      <c r="AL989" s="187"/>
    </row>
    <row r="990" spans="2:38" ht="12.75" customHeight="1">
      <c r="B990" s="6"/>
      <c r="C990" s="20"/>
      <c r="D990" s="12"/>
      <c r="E990" s="12"/>
      <c r="F990" s="12"/>
      <c r="G990" s="12"/>
      <c r="H990" s="20"/>
      <c r="I990" s="187"/>
      <c r="J990" s="187"/>
      <c r="K990" s="187"/>
      <c r="L990" s="187"/>
      <c r="M990" s="187"/>
      <c r="N990" s="187"/>
      <c r="O990" s="187"/>
      <c r="P990" s="187"/>
      <c r="Q990" s="187"/>
      <c r="R990" s="187"/>
      <c r="S990" s="187"/>
      <c r="T990" s="187"/>
      <c r="U990" s="187"/>
      <c r="V990" s="187"/>
      <c r="W990" s="187"/>
      <c r="X990" s="187"/>
      <c r="Y990" s="187"/>
      <c r="Z990" s="187"/>
      <c r="AA990" s="187"/>
      <c r="AB990" s="187"/>
      <c r="AC990" s="187"/>
      <c r="AD990" s="187"/>
      <c r="AE990" s="187"/>
      <c r="AF990" s="187"/>
      <c r="AG990" s="187"/>
      <c r="AH990" s="187"/>
      <c r="AI990" s="187"/>
      <c r="AJ990" s="187"/>
      <c r="AK990" s="187"/>
      <c r="AL990" s="187"/>
    </row>
    <row r="991" spans="2:38" ht="12.75" customHeight="1">
      <c r="B991" s="6"/>
      <c r="C991" s="20"/>
      <c r="D991" s="12"/>
      <c r="E991" s="12"/>
      <c r="F991" s="12"/>
      <c r="G991" s="12"/>
      <c r="H991" s="20"/>
      <c r="I991" s="187"/>
      <c r="J991" s="187"/>
      <c r="K991" s="187"/>
      <c r="L991" s="187"/>
      <c r="M991" s="187"/>
      <c r="N991" s="187"/>
      <c r="O991" s="187"/>
      <c r="P991" s="187"/>
      <c r="Q991" s="187"/>
      <c r="R991" s="187"/>
      <c r="S991" s="187"/>
      <c r="T991" s="187"/>
      <c r="U991" s="187"/>
      <c r="V991" s="187"/>
      <c r="W991" s="187"/>
      <c r="X991" s="187"/>
      <c r="Y991" s="187"/>
      <c r="Z991" s="187"/>
      <c r="AA991" s="187"/>
      <c r="AB991" s="187"/>
      <c r="AC991" s="187"/>
      <c r="AD991" s="187"/>
      <c r="AE991" s="187"/>
      <c r="AF991" s="187"/>
      <c r="AG991" s="187"/>
      <c r="AH991" s="187"/>
      <c r="AI991" s="187"/>
      <c r="AJ991" s="187"/>
      <c r="AK991" s="187"/>
      <c r="AL991" s="187"/>
    </row>
    <row r="992" spans="2:38" ht="12.75" customHeight="1">
      <c r="B992" s="6"/>
      <c r="C992" s="20"/>
      <c r="D992" s="12"/>
      <c r="E992" s="12"/>
      <c r="F992" s="12"/>
      <c r="G992" s="12"/>
      <c r="H992" s="20"/>
      <c r="I992" s="187"/>
      <c r="J992" s="187"/>
      <c r="K992" s="187"/>
      <c r="L992" s="187"/>
      <c r="M992" s="187"/>
      <c r="N992" s="187"/>
      <c r="O992" s="187"/>
      <c r="P992" s="187"/>
      <c r="Q992" s="187"/>
      <c r="R992" s="187"/>
      <c r="S992" s="187"/>
      <c r="T992" s="187"/>
      <c r="U992" s="187"/>
      <c r="V992" s="187"/>
      <c r="W992" s="187"/>
      <c r="X992" s="187"/>
      <c r="Y992" s="187"/>
      <c r="Z992" s="187"/>
      <c r="AA992" s="187"/>
      <c r="AB992" s="187"/>
      <c r="AC992" s="187"/>
      <c r="AD992" s="187"/>
      <c r="AE992" s="187"/>
      <c r="AF992" s="187"/>
      <c r="AG992" s="187"/>
      <c r="AH992" s="187"/>
      <c r="AI992" s="187"/>
      <c r="AJ992" s="187"/>
      <c r="AK992" s="187"/>
      <c r="AL992" s="187"/>
    </row>
    <row r="993" spans="2:38" ht="12.75" customHeight="1">
      <c r="B993" s="6"/>
      <c r="C993" s="20"/>
      <c r="D993" s="12"/>
      <c r="E993" s="12"/>
      <c r="F993" s="12"/>
      <c r="G993" s="12"/>
      <c r="H993" s="20"/>
      <c r="I993" s="187"/>
      <c r="J993" s="187"/>
      <c r="K993" s="187"/>
      <c r="L993" s="187"/>
      <c r="M993" s="187"/>
      <c r="N993" s="187"/>
      <c r="O993" s="187"/>
      <c r="P993" s="187"/>
      <c r="Q993" s="187"/>
      <c r="R993" s="187"/>
      <c r="S993" s="187"/>
      <c r="T993" s="187"/>
      <c r="U993" s="187"/>
      <c r="V993" s="187"/>
      <c r="W993" s="187"/>
      <c r="X993" s="187"/>
      <c r="Y993" s="187"/>
      <c r="Z993" s="187"/>
      <c r="AA993" s="187"/>
      <c r="AB993" s="187"/>
      <c r="AC993" s="187"/>
      <c r="AD993" s="187"/>
      <c r="AE993" s="187"/>
      <c r="AF993" s="187"/>
      <c r="AG993" s="187"/>
      <c r="AH993" s="187"/>
      <c r="AI993" s="187"/>
      <c r="AJ993" s="187"/>
      <c r="AK993" s="187"/>
      <c r="AL993" s="187"/>
    </row>
    <row r="994" spans="2:38" ht="12.75" customHeight="1">
      <c r="B994" s="6"/>
      <c r="C994" s="20"/>
      <c r="D994" s="12"/>
      <c r="E994" s="12"/>
      <c r="F994" s="12"/>
      <c r="G994" s="12"/>
      <c r="H994" s="20"/>
      <c r="I994" s="187"/>
      <c r="J994" s="187"/>
      <c r="K994" s="187"/>
      <c r="L994" s="187"/>
      <c r="M994" s="187"/>
      <c r="N994" s="187"/>
      <c r="O994" s="187"/>
      <c r="P994" s="187"/>
      <c r="Q994" s="187"/>
      <c r="R994" s="187"/>
      <c r="S994" s="187"/>
      <c r="T994" s="187"/>
      <c r="U994" s="187"/>
      <c r="V994" s="187"/>
      <c r="W994" s="187"/>
      <c r="X994" s="187"/>
      <c r="Y994" s="187"/>
      <c r="Z994" s="187"/>
      <c r="AA994" s="187"/>
      <c r="AB994" s="187"/>
      <c r="AC994" s="187"/>
      <c r="AD994" s="187"/>
      <c r="AE994" s="187"/>
      <c r="AF994" s="187"/>
      <c r="AG994" s="187"/>
      <c r="AH994" s="187"/>
      <c r="AI994" s="187"/>
      <c r="AJ994" s="187"/>
      <c r="AK994" s="187"/>
      <c r="AL994" s="187"/>
    </row>
    <row r="995" spans="2:38" ht="12.75" customHeight="1">
      <c r="B995" s="6"/>
      <c r="C995" s="20"/>
      <c r="D995" s="12"/>
      <c r="E995" s="12"/>
      <c r="F995" s="12"/>
      <c r="G995" s="12"/>
      <c r="H995" s="20"/>
      <c r="I995" s="187"/>
      <c r="J995" s="187"/>
      <c r="K995" s="187"/>
      <c r="L995" s="187"/>
      <c r="M995" s="187"/>
      <c r="N995" s="187"/>
      <c r="O995" s="187"/>
      <c r="P995" s="187"/>
      <c r="Q995" s="187"/>
      <c r="R995" s="187"/>
      <c r="S995" s="187"/>
      <c r="T995" s="187"/>
      <c r="U995" s="187"/>
      <c r="V995" s="187"/>
      <c r="W995" s="187"/>
      <c r="X995" s="187"/>
      <c r="Y995" s="187"/>
      <c r="Z995" s="187"/>
      <c r="AA995" s="187"/>
      <c r="AB995" s="187"/>
      <c r="AC995" s="187"/>
      <c r="AD995" s="187"/>
      <c r="AE995" s="187"/>
      <c r="AF995" s="187"/>
      <c r="AG995" s="187"/>
      <c r="AH995" s="187"/>
      <c r="AI995" s="187"/>
      <c r="AJ995" s="187"/>
      <c r="AK995" s="187"/>
      <c r="AL995" s="187"/>
    </row>
    <row r="996" spans="2:38" ht="12.75" customHeight="1">
      <c r="B996" s="6"/>
      <c r="C996" s="20"/>
      <c r="D996" s="12"/>
      <c r="E996" s="12"/>
      <c r="F996" s="12"/>
      <c r="G996" s="12"/>
      <c r="H996" s="20"/>
      <c r="I996" s="187"/>
      <c r="J996" s="187"/>
      <c r="K996" s="187"/>
      <c r="L996" s="187"/>
      <c r="M996" s="187"/>
      <c r="N996" s="187"/>
      <c r="O996" s="187"/>
      <c r="P996" s="187"/>
      <c r="Q996" s="187"/>
      <c r="R996" s="187"/>
      <c r="S996" s="187"/>
      <c r="T996" s="187"/>
      <c r="U996" s="187"/>
      <c r="V996" s="187"/>
      <c r="W996" s="187"/>
      <c r="X996" s="187"/>
      <c r="Y996" s="187"/>
      <c r="Z996" s="187"/>
      <c r="AA996" s="187"/>
      <c r="AB996" s="187"/>
      <c r="AC996" s="187"/>
      <c r="AD996" s="187"/>
      <c r="AE996" s="187"/>
      <c r="AF996" s="187"/>
      <c r="AG996" s="187"/>
      <c r="AH996" s="187"/>
      <c r="AI996" s="187"/>
      <c r="AJ996" s="187"/>
      <c r="AK996" s="187"/>
      <c r="AL996" s="187"/>
    </row>
    <row r="997" spans="2:38" ht="12.75" customHeight="1">
      <c r="B997" s="6"/>
      <c r="C997" s="20"/>
      <c r="D997" s="12"/>
      <c r="E997" s="12"/>
      <c r="F997" s="12"/>
      <c r="G997" s="12"/>
      <c r="H997" s="20"/>
      <c r="I997" s="187"/>
      <c r="J997" s="187"/>
      <c r="K997" s="187"/>
      <c r="L997" s="187"/>
      <c r="M997" s="187"/>
      <c r="N997" s="187"/>
      <c r="O997" s="187"/>
      <c r="P997" s="187"/>
      <c r="Q997" s="187"/>
      <c r="R997" s="187"/>
      <c r="S997" s="187"/>
      <c r="T997" s="187"/>
      <c r="U997" s="187"/>
      <c r="V997" s="187"/>
      <c r="W997" s="187"/>
      <c r="X997" s="187"/>
      <c r="Y997" s="187"/>
      <c r="Z997" s="187"/>
      <c r="AA997" s="187"/>
      <c r="AB997" s="187"/>
      <c r="AC997" s="187"/>
      <c r="AD997" s="187"/>
      <c r="AE997" s="187"/>
      <c r="AF997" s="187"/>
      <c r="AG997" s="187"/>
      <c r="AH997" s="187"/>
      <c r="AI997" s="187"/>
      <c r="AJ997" s="187"/>
      <c r="AK997" s="187"/>
      <c r="AL997" s="187"/>
    </row>
    <row r="998" spans="2:38" ht="12.75" customHeight="1">
      <c r="B998" s="6"/>
      <c r="C998" s="20"/>
      <c r="D998" s="12"/>
      <c r="E998" s="12"/>
      <c r="F998" s="12"/>
      <c r="G998" s="12"/>
      <c r="H998" s="20"/>
      <c r="I998" s="187"/>
      <c r="J998" s="187"/>
      <c r="K998" s="187"/>
      <c r="L998" s="187"/>
      <c r="M998" s="187"/>
      <c r="N998" s="187"/>
      <c r="O998" s="187"/>
      <c r="P998" s="187"/>
      <c r="Q998" s="187"/>
      <c r="R998" s="187"/>
      <c r="S998" s="187"/>
      <c r="T998" s="187"/>
      <c r="U998" s="187"/>
      <c r="V998" s="187"/>
      <c r="W998" s="187"/>
      <c r="X998" s="187"/>
      <c r="Y998" s="187"/>
      <c r="Z998" s="187"/>
      <c r="AA998" s="187"/>
      <c r="AB998" s="187"/>
      <c r="AC998" s="187"/>
      <c r="AD998" s="187"/>
      <c r="AE998" s="187"/>
      <c r="AF998" s="187"/>
      <c r="AG998" s="187"/>
      <c r="AH998" s="187"/>
      <c r="AI998" s="187"/>
      <c r="AJ998" s="187"/>
      <c r="AK998" s="187"/>
      <c r="AL998" s="187"/>
    </row>
    <row r="999" spans="2:38" ht="12.75" customHeight="1">
      <c r="B999" s="6"/>
      <c r="C999" s="20"/>
      <c r="D999" s="12"/>
      <c r="E999" s="12"/>
      <c r="F999" s="12"/>
      <c r="G999" s="12"/>
      <c r="H999" s="20"/>
      <c r="I999" s="187"/>
      <c r="J999" s="187"/>
      <c r="K999" s="187"/>
      <c r="L999" s="187"/>
      <c r="M999" s="187"/>
      <c r="N999" s="187"/>
      <c r="O999" s="187"/>
      <c r="P999" s="187"/>
      <c r="Q999" s="187"/>
      <c r="R999" s="187"/>
      <c r="S999" s="187"/>
      <c r="T999" s="187"/>
      <c r="U999" s="187"/>
      <c r="V999" s="187"/>
      <c r="W999" s="187"/>
      <c r="X999" s="187"/>
      <c r="Y999" s="187"/>
      <c r="Z999" s="187"/>
      <c r="AA999" s="187"/>
      <c r="AB999" s="187"/>
      <c r="AC999" s="187"/>
      <c r="AD999" s="187"/>
      <c r="AE999" s="187"/>
      <c r="AF999" s="187"/>
      <c r="AG999" s="187"/>
      <c r="AH999" s="187"/>
      <c r="AI999" s="187"/>
      <c r="AJ999" s="187"/>
      <c r="AK999" s="187"/>
      <c r="AL999" s="187"/>
    </row>
    <row r="1000" spans="2:38" ht="12.75" customHeight="1">
      <c r="B1000" s="6"/>
      <c r="C1000" s="20"/>
      <c r="D1000" s="12"/>
      <c r="E1000" s="12"/>
      <c r="F1000" s="12"/>
      <c r="G1000" s="12"/>
      <c r="H1000" s="20"/>
      <c r="I1000" s="187"/>
      <c r="J1000" s="187"/>
      <c r="K1000" s="187"/>
      <c r="L1000" s="187"/>
      <c r="M1000" s="187"/>
      <c r="N1000" s="187"/>
      <c r="O1000" s="187"/>
      <c r="P1000" s="187"/>
      <c r="Q1000" s="187"/>
      <c r="R1000" s="187"/>
      <c r="S1000" s="187"/>
      <c r="T1000" s="187"/>
      <c r="U1000" s="187"/>
      <c r="V1000" s="187"/>
      <c r="W1000" s="187"/>
      <c r="X1000" s="187"/>
      <c r="Y1000" s="187"/>
      <c r="Z1000" s="187"/>
      <c r="AA1000" s="187"/>
      <c r="AB1000" s="187"/>
      <c r="AC1000" s="187"/>
      <c r="AD1000" s="187"/>
      <c r="AE1000" s="187"/>
      <c r="AF1000" s="187"/>
      <c r="AG1000" s="187"/>
      <c r="AH1000" s="187"/>
      <c r="AI1000" s="187"/>
      <c r="AJ1000" s="187"/>
      <c r="AK1000" s="187"/>
      <c r="AL1000" s="187"/>
    </row>
    <row r="1001" spans="2:38" ht="12.75" customHeight="1">
      <c r="B1001" s="6"/>
      <c r="C1001" s="20"/>
      <c r="D1001" s="12"/>
      <c r="E1001" s="12"/>
      <c r="F1001" s="12"/>
      <c r="G1001" s="12"/>
      <c r="H1001" s="20"/>
      <c r="I1001" s="187"/>
      <c r="J1001" s="187"/>
      <c r="K1001" s="187"/>
      <c r="L1001" s="187"/>
      <c r="M1001" s="187"/>
      <c r="N1001" s="187"/>
      <c r="O1001" s="187"/>
      <c r="P1001" s="187"/>
      <c r="Q1001" s="187"/>
      <c r="R1001" s="187"/>
      <c r="S1001" s="187"/>
      <c r="T1001" s="187"/>
      <c r="U1001" s="187"/>
      <c r="V1001" s="187"/>
      <c r="W1001" s="187"/>
      <c r="X1001" s="187"/>
      <c r="Y1001" s="187"/>
      <c r="Z1001" s="187"/>
      <c r="AA1001" s="187"/>
      <c r="AB1001" s="187"/>
      <c r="AC1001" s="187"/>
      <c r="AD1001" s="187"/>
      <c r="AE1001" s="187"/>
      <c r="AF1001" s="187"/>
      <c r="AG1001" s="187"/>
      <c r="AH1001" s="187"/>
      <c r="AI1001" s="187"/>
      <c r="AJ1001" s="187"/>
      <c r="AK1001" s="187"/>
      <c r="AL1001" s="187"/>
    </row>
    <row r="1002" spans="2:38" ht="12.75" customHeight="1">
      <c r="B1002" s="6"/>
      <c r="C1002" s="20"/>
      <c r="D1002" s="12"/>
      <c r="E1002" s="12"/>
      <c r="F1002" s="12"/>
      <c r="G1002" s="12"/>
      <c r="H1002" s="20"/>
      <c r="I1002" s="187"/>
      <c r="J1002" s="187"/>
      <c r="K1002" s="187"/>
      <c r="L1002" s="187"/>
      <c r="M1002" s="187"/>
      <c r="N1002" s="187"/>
      <c r="O1002" s="187"/>
      <c r="P1002" s="187"/>
      <c r="Q1002" s="187"/>
      <c r="R1002" s="187"/>
      <c r="S1002" s="187"/>
      <c r="T1002" s="187"/>
      <c r="U1002" s="187"/>
      <c r="V1002" s="187"/>
      <c r="W1002" s="187"/>
      <c r="X1002" s="187"/>
      <c r="Y1002" s="187"/>
      <c r="Z1002" s="187"/>
      <c r="AA1002" s="187"/>
      <c r="AB1002" s="187"/>
      <c r="AC1002" s="187"/>
      <c r="AD1002" s="187"/>
      <c r="AE1002" s="187"/>
      <c r="AF1002" s="187"/>
      <c r="AG1002" s="187"/>
      <c r="AH1002" s="187"/>
      <c r="AI1002" s="187"/>
      <c r="AJ1002" s="187"/>
      <c r="AK1002" s="187"/>
      <c r="AL1002" s="187"/>
    </row>
    <row r="1003" spans="2:38" ht="12.75" customHeight="1">
      <c r="B1003" s="6"/>
      <c r="C1003" s="20"/>
      <c r="D1003" s="12"/>
      <c r="E1003" s="12"/>
      <c r="F1003" s="12"/>
      <c r="G1003" s="12"/>
      <c r="H1003" s="20"/>
      <c r="I1003" s="187"/>
      <c r="J1003" s="187"/>
      <c r="K1003" s="187"/>
      <c r="L1003" s="187"/>
      <c r="M1003" s="187"/>
      <c r="N1003" s="187"/>
      <c r="O1003" s="187"/>
      <c r="P1003" s="187"/>
      <c r="Q1003" s="187"/>
      <c r="R1003" s="187"/>
      <c r="S1003" s="187"/>
      <c r="T1003" s="187"/>
      <c r="U1003" s="187"/>
      <c r="V1003" s="187"/>
      <c r="W1003" s="187"/>
      <c r="X1003" s="187"/>
      <c r="Y1003" s="187"/>
      <c r="Z1003" s="187"/>
      <c r="AA1003" s="187"/>
      <c r="AB1003" s="187"/>
      <c r="AC1003" s="187"/>
      <c r="AD1003" s="187"/>
      <c r="AE1003" s="187"/>
      <c r="AF1003" s="187"/>
      <c r="AG1003" s="187"/>
      <c r="AH1003" s="187"/>
      <c r="AI1003" s="187"/>
      <c r="AJ1003" s="187"/>
      <c r="AK1003" s="187"/>
      <c r="AL1003" s="187"/>
    </row>
    <row r="1004" spans="2:38" ht="12.75" customHeight="1">
      <c r="B1004" s="6"/>
      <c r="C1004" s="20"/>
      <c r="D1004" s="12"/>
      <c r="E1004" s="12"/>
      <c r="F1004" s="12"/>
      <c r="G1004" s="12"/>
      <c r="H1004" s="20"/>
      <c r="I1004" s="187"/>
      <c r="J1004" s="187"/>
      <c r="K1004" s="187"/>
      <c r="L1004" s="187"/>
      <c r="M1004" s="187"/>
      <c r="N1004" s="187"/>
      <c r="O1004" s="187"/>
      <c r="P1004" s="187"/>
      <c r="Q1004" s="187"/>
      <c r="R1004" s="187"/>
      <c r="S1004" s="187"/>
      <c r="T1004" s="187"/>
      <c r="U1004" s="187"/>
      <c r="V1004" s="187"/>
      <c r="W1004" s="187"/>
      <c r="X1004" s="187"/>
      <c r="Y1004" s="187"/>
      <c r="Z1004" s="187"/>
      <c r="AA1004" s="187"/>
      <c r="AB1004" s="187"/>
      <c r="AC1004" s="187"/>
      <c r="AD1004" s="187"/>
      <c r="AE1004" s="187"/>
      <c r="AF1004" s="187"/>
      <c r="AG1004" s="187"/>
      <c r="AH1004" s="187"/>
      <c r="AI1004" s="187"/>
      <c r="AJ1004" s="187"/>
      <c r="AK1004" s="187"/>
      <c r="AL1004" s="187"/>
    </row>
    <row r="1005" spans="2:38" ht="12.75" customHeight="1">
      <c r="B1005" s="6"/>
      <c r="C1005" s="20"/>
      <c r="D1005" s="12"/>
      <c r="E1005" s="12"/>
      <c r="F1005" s="12"/>
      <c r="G1005" s="12"/>
      <c r="H1005" s="20"/>
      <c r="I1005" s="187"/>
      <c r="J1005" s="187"/>
      <c r="K1005" s="187"/>
      <c r="L1005" s="187"/>
      <c r="M1005" s="187"/>
      <c r="N1005" s="187"/>
      <c r="O1005" s="187"/>
      <c r="P1005" s="187"/>
      <c r="Q1005" s="187"/>
      <c r="R1005" s="187"/>
      <c r="S1005" s="187"/>
      <c r="T1005" s="187"/>
      <c r="U1005" s="187"/>
      <c r="V1005" s="187"/>
      <c r="W1005" s="187"/>
      <c r="X1005" s="187"/>
      <c r="Y1005" s="187"/>
      <c r="Z1005" s="187"/>
      <c r="AA1005" s="187"/>
      <c r="AB1005" s="187"/>
      <c r="AC1005" s="187"/>
      <c r="AD1005" s="187"/>
      <c r="AE1005" s="187"/>
      <c r="AF1005" s="187"/>
      <c r="AG1005" s="187"/>
      <c r="AH1005" s="187"/>
      <c r="AI1005" s="187"/>
      <c r="AJ1005" s="187"/>
      <c r="AK1005" s="187"/>
      <c r="AL1005" s="187"/>
    </row>
    <row r="1006" spans="2:38" ht="12.75" customHeight="1">
      <c r="B1006" s="6"/>
      <c r="C1006" s="20"/>
      <c r="D1006" s="12"/>
      <c r="E1006" s="12"/>
      <c r="F1006" s="12"/>
      <c r="G1006" s="12"/>
      <c r="H1006" s="20"/>
      <c r="I1006" s="187"/>
      <c r="J1006" s="187"/>
      <c r="K1006" s="187"/>
      <c r="L1006" s="187"/>
      <c r="M1006" s="187"/>
      <c r="N1006" s="187"/>
      <c r="O1006" s="187"/>
      <c r="P1006" s="187"/>
      <c r="Q1006" s="187"/>
      <c r="R1006" s="187"/>
      <c r="S1006" s="187"/>
      <c r="T1006" s="187"/>
      <c r="U1006" s="187"/>
      <c r="V1006" s="187"/>
      <c r="W1006" s="187"/>
      <c r="X1006" s="187"/>
      <c r="Y1006" s="187"/>
      <c r="Z1006" s="187"/>
      <c r="AA1006" s="187"/>
      <c r="AB1006" s="187"/>
      <c r="AC1006" s="187"/>
      <c r="AD1006" s="187"/>
      <c r="AE1006" s="187"/>
      <c r="AF1006" s="187"/>
      <c r="AG1006" s="187"/>
      <c r="AH1006" s="187"/>
      <c r="AI1006" s="187"/>
      <c r="AJ1006" s="187"/>
      <c r="AK1006" s="187"/>
      <c r="AL1006" s="187"/>
    </row>
    <row r="1007" spans="2:38" ht="12.75" customHeight="1">
      <c r="B1007" s="6"/>
      <c r="C1007" s="20"/>
      <c r="D1007" s="12"/>
      <c r="E1007" s="12"/>
      <c r="F1007" s="12"/>
      <c r="G1007" s="12"/>
      <c r="H1007" s="20"/>
      <c r="I1007" s="187"/>
      <c r="J1007" s="187"/>
      <c r="K1007" s="187"/>
      <c r="L1007" s="187"/>
      <c r="M1007" s="187"/>
      <c r="N1007" s="187"/>
      <c r="O1007" s="187"/>
      <c r="P1007" s="187"/>
      <c r="Q1007" s="187"/>
      <c r="R1007" s="187"/>
      <c r="S1007" s="187"/>
      <c r="T1007" s="187"/>
      <c r="U1007" s="187"/>
      <c r="V1007" s="187"/>
      <c r="W1007" s="187"/>
      <c r="X1007" s="187"/>
      <c r="Y1007" s="187"/>
      <c r="Z1007" s="187"/>
      <c r="AA1007" s="187"/>
      <c r="AB1007" s="187"/>
      <c r="AC1007" s="187"/>
      <c r="AD1007" s="187"/>
      <c r="AE1007" s="187"/>
      <c r="AF1007" s="187"/>
      <c r="AG1007" s="187"/>
      <c r="AH1007" s="187"/>
      <c r="AI1007" s="187"/>
      <c r="AJ1007" s="187"/>
      <c r="AK1007" s="187"/>
      <c r="AL1007" s="187"/>
    </row>
    <row r="1008" spans="2:38" ht="12.75" customHeight="1">
      <c r="B1008" s="6"/>
      <c r="C1008" s="20"/>
      <c r="D1008" s="12"/>
      <c r="E1008" s="12"/>
      <c r="F1008" s="12"/>
      <c r="G1008" s="12"/>
      <c r="H1008" s="20"/>
      <c r="I1008" s="187"/>
      <c r="J1008" s="187"/>
      <c r="K1008" s="187"/>
      <c r="L1008" s="187"/>
      <c r="M1008" s="187"/>
      <c r="N1008" s="187"/>
      <c r="O1008" s="187"/>
      <c r="P1008" s="187"/>
      <c r="Q1008" s="187"/>
      <c r="R1008" s="187"/>
      <c r="S1008" s="187"/>
      <c r="T1008" s="187"/>
      <c r="U1008" s="187"/>
      <c r="V1008" s="187"/>
      <c r="W1008" s="187"/>
      <c r="X1008" s="187"/>
      <c r="Y1008" s="187"/>
      <c r="Z1008" s="187"/>
      <c r="AA1008" s="187"/>
      <c r="AB1008" s="187"/>
      <c r="AC1008" s="187"/>
      <c r="AD1008" s="187"/>
      <c r="AE1008" s="187"/>
      <c r="AF1008" s="187"/>
      <c r="AG1008" s="187"/>
      <c r="AH1008" s="187"/>
      <c r="AI1008" s="187"/>
      <c r="AJ1008" s="187"/>
      <c r="AK1008" s="187"/>
      <c r="AL1008" s="187"/>
    </row>
    <row r="1009" spans="2:38" ht="12.75" customHeight="1">
      <c r="B1009" s="6"/>
      <c r="C1009" s="20"/>
      <c r="D1009" s="12"/>
      <c r="E1009" s="12"/>
      <c r="F1009" s="12"/>
      <c r="G1009" s="12"/>
      <c r="H1009" s="20"/>
      <c r="I1009" s="187"/>
      <c r="J1009" s="187"/>
      <c r="K1009" s="187"/>
      <c r="L1009" s="187"/>
      <c r="M1009" s="187"/>
      <c r="N1009" s="187"/>
      <c r="O1009" s="187"/>
      <c r="P1009" s="187"/>
      <c r="Q1009" s="187"/>
      <c r="R1009" s="187"/>
      <c r="S1009" s="187"/>
      <c r="T1009" s="187"/>
      <c r="U1009" s="187"/>
      <c r="V1009" s="187"/>
      <c r="W1009" s="187"/>
      <c r="X1009" s="187"/>
      <c r="Y1009" s="187"/>
      <c r="Z1009" s="187"/>
      <c r="AA1009" s="187"/>
      <c r="AB1009" s="187"/>
      <c r="AC1009" s="187"/>
      <c r="AD1009" s="187"/>
      <c r="AE1009" s="187"/>
      <c r="AF1009" s="187"/>
      <c r="AG1009" s="187"/>
      <c r="AH1009" s="187"/>
      <c r="AI1009" s="187"/>
      <c r="AJ1009" s="187"/>
      <c r="AK1009" s="187"/>
      <c r="AL1009" s="187"/>
    </row>
    <row r="1010" spans="2:38" ht="12.75" customHeight="1">
      <c r="B1010" s="6"/>
      <c r="C1010" s="20"/>
      <c r="D1010" s="12"/>
      <c r="E1010" s="12"/>
      <c r="F1010" s="12"/>
      <c r="G1010" s="12"/>
      <c r="H1010" s="20"/>
      <c r="I1010" s="187"/>
      <c r="J1010" s="187"/>
      <c r="K1010" s="187"/>
      <c r="L1010" s="187"/>
      <c r="M1010" s="187"/>
      <c r="N1010" s="187"/>
      <c r="O1010" s="187"/>
      <c r="P1010" s="187"/>
      <c r="Q1010" s="187"/>
      <c r="R1010" s="187"/>
      <c r="S1010" s="187"/>
      <c r="T1010" s="187"/>
      <c r="U1010" s="187"/>
      <c r="V1010" s="187"/>
      <c r="W1010" s="187"/>
      <c r="X1010" s="187"/>
      <c r="Y1010" s="187"/>
      <c r="Z1010" s="187"/>
      <c r="AA1010" s="187"/>
      <c r="AB1010" s="187"/>
      <c r="AC1010" s="187"/>
      <c r="AD1010" s="187"/>
      <c r="AE1010" s="187"/>
      <c r="AF1010" s="187"/>
      <c r="AG1010" s="187"/>
      <c r="AH1010" s="187"/>
      <c r="AI1010" s="187"/>
      <c r="AJ1010" s="187"/>
      <c r="AK1010" s="187"/>
      <c r="AL1010" s="187"/>
    </row>
    <row r="1011" spans="2:38" ht="12.75" customHeight="1">
      <c r="B1011" s="6"/>
      <c r="C1011" s="20"/>
      <c r="D1011" s="12"/>
      <c r="E1011" s="12"/>
      <c r="F1011" s="12"/>
      <c r="G1011" s="12"/>
      <c r="H1011" s="20"/>
      <c r="I1011" s="187"/>
      <c r="J1011" s="187"/>
      <c r="K1011" s="187"/>
      <c r="L1011" s="187"/>
      <c r="M1011" s="187"/>
      <c r="N1011" s="187"/>
      <c r="O1011" s="187"/>
      <c r="P1011" s="187"/>
      <c r="Q1011" s="187"/>
      <c r="R1011" s="187"/>
      <c r="S1011" s="187"/>
      <c r="T1011" s="187"/>
      <c r="U1011" s="187"/>
      <c r="V1011" s="187"/>
      <c r="W1011" s="187"/>
      <c r="X1011" s="187"/>
      <c r="Y1011" s="187"/>
      <c r="Z1011" s="187"/>
      <c r="AA1011" s="187"/>
      <c r="AB1011" s="187"/>
      <c r="AC1011" s="187"/>
      <c r="AD1011" s="187"/>
      <c r="AE1011" s="187"/>
      <c r="AF1011" s="187"/>
      <c r="AG1011" s="187"/>
      <c r="AH1011" s="187"/>
      <c r="AI1011" s="187"/>
      <c r="AJ1011" s="187"/>
      <c r="AK1011" s="187"/>
      <c r="AL1011" s="187"/>
    </row>
    <row r="1012" spans="2:38" ht="12.75" customHeight="1">
      <c r="B1012" s="6"/>
      <c r="C1012" s="20"/>
      <c r="D1012" s="12"/>
      <c r="E1012" s="12"/>
      <c r="F1012" s="12"/>
      <c r="G1012" s="12"/>
      <c r="H1012" s="20"/>
      <c r="I1012" s="187"/>
      <c r="J1012" s="187"/>
      <c r="K1012" s="187"/>
      <c r="L1012" s="187"/>
      <c r="M1012" s="187"/>
      <c r="N1012" s="187"/>
      <c r="O1012" s="187"/>
      <c r="P1012" s="187"/>
      <c r="Q1012" s="187"/>
      <c r="R1012" s="187"/>
      <c r="S1012" s="187"/>
      <c r="T1012" s="187"/>
      <c r="U1012" s="187"/>
      <c r="V1012" s="187"/>
      <c r="W1012" s="187"/>
      <c r="X1012" s="187"/>
      <c r="Y1012" s="187"/>
      <c r="Z1012" s="187"/>
      <c r="AA1012" s="187"/>
      <c r="AB1012" s="187"/>
      <c r="AC1012" s="187"/>
      <c r="AD1012" s="187"/>
      <c r="AE1012" s="187"/>
      <c r="AF1012" s="187"/>
      <c r="AG1012" s="187"/>
      <c r="AH1012" s="187"/>
      <c r="AI1012" s="187"/>
      <c r="AJ1012" s="187"/>
      <c r="AK1012" s="187"/>
      <c r="AL1012" s="187"/>
    </row>
    <row r="1013" spans="2:38" ht="12.75" customHeight="1">
      <c r="B1013" s="6"/>
      <c r="C1013" s="20"/>
      <c r="D1013" s="12"/>
      <c r="E1013" s="12"/>
      <c r="F1013" s="12"/>
      <c r="G1013" s="12"/>
      <c r="H1013" s="20"/>
      <c r="I1013" s="187"/>
      <c r="J1013" s="187"/>
      <c r="K1013" s="187"/>
      <c r="L1013" s="187"/>
      <c r="M1013" s="187"/>
      <c r="N1013" s="187"/>
      <c r="O1013" s="187"/>
      <c r="P1013" s="187"/>
      <c r="Q1013" s="187"/>
      <c r="R1013" s="187"/>
      <c r="S1013" s="187"/>
      <c r="T1013" s="187"/>
      <c r="U1013" s="187"/>
      <c r="V1013" s="187"/>
      <c r="W1013" s="187"/>
      <c r="X1013" s="187"/>
      <c r="Y1013" s="187"/>
      <c r="Z1013" s="187"/>
      <c r="AA1013" s="187"/>
      <c r="AB1013" s="187"/>
      <c r="AC1013" s="187"/>
      <c r="AD1013" s="187"/>
      <c r="AE1013" s="187"/>
      <c r="AF1013" s="187"/>
      <c r="AG1013" s="187"/>
      <c r="AH1013" s="187"/>
      <c r="AI1013" s="187"/>
      <c r="AJ1013" s="187"/>
      <c r="AK1013" s="187"/>
      <c r="AL1013" s="187"/>
    </row>
    <row r="1014" spans="2:38" ht="12.75" customHeight="1">
      <c r="B1014" s="6"/>
      <c r="C1014" s="20"/>
      <c r="D1014" s="12"/>
      <c r="E1014" s="12"/>
      <c r="F1014" s="12"/>
      <c r="G1014" s="12"/>
      <c r="H1014" s="20"/>
      <c r="I1014" s="187"/>
      <c r="J1014" s="187"/>
      <c r="K1014" s="187"/>
      <c r="L1014" s="187"/>
      <c r="M1014" s="187"/>
      <c r="N1014" s="187"/>
      <c r="O1014" s="187"/>
      <c r="P1014" s="187"/>
      <c r="Q1014" s="187"/>
      <c r="R1014" s="187"/>
      <c r="S1014" s="187"/>
      <c r="T1014" s="187"/>
      <c r="U1014" s="187"/>
      <c r="V1014" s="187"/>
      <c r="W1014" s="187"/>
      <c r="X1014" s="187"/>
      <c r="Y1014" s="187"/>
      <c r="Z1014" s="187"/>
      <c r="AA1014" s="187"/>
      <c r="AB1014" s="187"/>
      <c r="AC1014" s="187"/>
      <c r="AD1014" s="187"/>
      <c r="AE1014" s="187"/>
      <c r="AF1014" s="187"/>
      <c r="AG1014" s="187"/>
      <c r="AH1014" s="187"/>
      <c r="AI1014" s="187"/>
      <c r="AJ1014" s="187"/>
      <c r="AK1014" s="187"/>
      <c r="AL1014" s="187"/>
    </row>
    <row r="1015" spans="2:38" ht="12.75" customHeight="1">
      <c r="B1015" s="6"/>
      <c r="C1015" s="20"/>
      <c r="D1015" s="12"/>
      <c r="E1015" s="12"/>
      <c r="F1015" s="12"/>
      <c r="G1015" s="12"/>
      <c r="H1015" s="20"/>
      <c r="I1015" s="187"/>
      <c r="J1015" s="187"/>
      <c r="K1015" s="187"/>
      <c r="L1015" s="187"/>
      <c r="M1015" s="187"/>
      <c r="N1015" s="187"/>
      <c r="O1015" s="187"/>
      <c r="P1015" s="187"/>
      <c r="Q1015" s="187"/>
      <c r="R1015" s="187"/>
      <c r="S1015" s="187"/>
      <c r="T1015" s="187"/>
      <c r="U1015" s="187"/>
      <c r="V1015" s="187"/>
      <c r="W1015" s="187"/>
      <c r="X1015" s="187"/>
      <c r="Y1015" s="187"/>
      <c r="Z1015" s="187"/>
      <c r="AA1015" s="187"/>
      <c r="AB1015" s="187"/>
      <c r="AC1015" s="187"/>
      <c r="AD1015" s="187"/>
      <c r="AE1015" s="187"/>
      <c r="AF1015" s="187"/>
      <c r="AG1015" s="187"/>
      <c r="AH1015" s="187"/>
      <c r="AI1015" s="187"/>
      <c r="AJ1015" s="187"/>
      <c r="AK1015" s="187"/>
      <c r="AL1015" s="187"/>
    </row>
    <row r="1016" spans="2:38" ht="12.75" customHeight="1">
      <c r="B1016" s="6"/>
      <c r="C1016" s="20"/>
      <c r="D1016" s="12"/>
      <c r="E1016" s="12"/>
      <c r="F1016" s="12"/>
      <c r="G1016" s="12"/>
      <c r="H1016" s="20"/>
      <c r="I1016" s="187"/>
      <c r="J1016" s="187"/>
      <c r="K1016" s="187"/>
      <c r="L1016" s="187"/>
      <c r="M1016" s="187"/>
      <c r="N1016" s="187"/>
      <c r="O1016" s="187"/>
      <c r="P1016" s="187"/>
      <c r="Q1016" s="187"/>
      <c r="R1016" s="187"/>
      <c r="S1016" s="187"/>
      <c r="T1016" s="187"/>
      <c r="U1016" s="187"/>
      <c r="V1016" s="187"/>
      <c r="W1016" s="187"/>
      <c r="X1016" s="187"/>
      <c r="Y1016" s="187"/>
      <c r="Z1016" s="187"/>
      <c r="AA1016" s="187"/>
      <c r="AB1016" s="187"/>
      <c r="AC1016" s="187"/>
      <c r="AD1016" s="187"/>
      <c r="AE1016" s="187"/>
      <c r="AF1016" s="187"/>
      <c r="AG1016" s="187"/>
      <c r="AH1016" s="187"/>
      <c r="AI1016" s="187"/>
      <c r="AJ1016" s="187"/>
      <c r="AK1016" s="187"/>
      <c r="AL1016" s="187"/>
    </row>
    <row r="1017" spans="2:38" ht="12.75" customHeight="1">
      <c r="B1017" s="6"/>
      <c r="C1017" s="20"/>
      <c r="D1017" s="12"/>
      <c r="E1017" s="12"/>
      <c r="F1017" s="12"/>
      <c r="G1017" s="12"/>
      <c r="H1017" s="20"/>
      <c r="I1017" s="187"/>
      <c r="J1017" s="187"/>
      <c r="K1017" s="187"/>
      <c r="L1017" s="187"/>
      <c r="M1017" s="187"/>
      <c r="N1017" s="187"/>
      <c r="O1017" s="187"/>
      <c r="P1017" s="187"/>
      <c r="Q1017" s="187"/>
      <c r="R1017" s="187"/>
      <c r="S1017" s="187"/>
      <c r="T1017" s="187"/>
      <c r="U1017" s="187"/>
      <c r="V1017" s="187"/>
      <c r="W1017" s="187"/>
      <c r="X1017" s="187"/>
      <c r="Y1017" s="187"/>
      <c r="Z1017" s="187"/>
      <c r="AA1017" s="187"/>
      <c r="AB1017" s="187"/>
      <c r="AC1017" s="187"/>
      <c r="AD1017" s="187"/>
      <c r="AE1017" s="187"/>
      <c r="AF1017" s="187"/>
      <c r="AG1017" s="187"/>
      <c r="AH1017" s="187"/>
      <c r="AI1017" s="187"/>
      <c r="AJ1017" s="187"/>
      <c r="AK1017" s="187"/>
      <c r="AL1017" s="187"/>
    </row>
    <row r="1018" spans="2:38" ht="12.75" customHeight="1">
      <c r="B1018" s="6"/>
      <c r="C1018" s="20"/>
      <c r="D1018" s="12"/>
      <c r="E1018" s="12"/>
      <c r="F1018" s="12"/>
      <c r="G1018" s="12"/>
      <c r="H1018" s="20"/>
      <c r="I1018" s="187"/>
      <c r="J1018" s="187"/>
      <c r="K1018" s="187"/>
      <c r="L1018" s="187"/>
      <c r="M1018" s="187"/>
      <c r="N1018" s="187"/>
      <c r="O1018" s="187"/>
      <c r="P1018" s="187"/>
      <c r="Q1018" s="187"/>
      <c r="R1018" s="187"/>
      <c r="S1018" s="187"/>
      <c r="T1018" s="187"/>
      <c r="U1018" s="187"/>
      <c r="V1018" s="187"/>
      <c r="W1018" s="187"/>
      <c r="X1018" s="187"/>
      <c r="Y1018" s="187"/>
      <c r="Z1018" s="187"/>
      <c r="AA1018" s="187"/>
      <c r="AB1018" s="187"/>
      <c r="AC1018" s="187"/>
      <c r="AD1018" s="187"/>
      <c r="AE1018" s="187"/>
      <c r="AF1018" s="187"/>
      <c r="AG1018" s="187"/>
      <c r="AH1018" s="187"/>
      <c r="AI1018" s="187"/>
      <c r="AJ1018" s="187"/>
      <c r="AK1018" s="187"/>
      <c r="AL1018" s="187"/>
    </row>
    <row r="1019" spans="2:38" ht="12.75" customHeight="1">
      <c r="B1019" s="6"/>
      <c r="C1019" s="20"/>
      <c r="D1019" s="12"/>
      <c r="E1019" s="12"/>
      <c r="F1019" s="12"/>
      <c r="G1019" s="12"/>
      <c r="H1019" s="20"/>
      <c r="I1019" s="187"/>
      <c r="J1019" s="187"/>
      <c r="K1019" s="187"/>
      <c r="L1019" s="187"/>
      <c r="M1019" s="187"/>
      <c r="N1019" s="187"/>
      <c r="O1019" s="187"/>
      <c r="P1019" s="187"/>
      <c r="Q1019" s="187"/>
      <c r="R1019" s="187"/>
      <c r="S1019" s="187"/>
      <c r="T1019" s="187"/>
      <c r="U1019" s="187"/>
      <c r="V1019" s="187"/>
      <c r="W1019" s="187"/>
      <c r="X1019" s="187"/>
      <c r="Y1019" s="187"/>
      <c r="Z1019" s="187"/>
      <c r="AA1019" s="187"/>
      <c r="AB1019" s="187"/>
      <c r="AC1019" s="187"/>
      <c r="AD1019" s="187"/>
      <c r="AE1019" s="187"/>
      <c r="AF1019" s="187"/>
      <c r="AG1019" s="187"/>
      <c r="AH1019" s="187"/>
      <c r="AI1019" s="187"/>
      <c r="AJ1019" s="187"/>
      <c r="AK1019" s="187"/>
      <c r="AL1019" s="187"/>
    </row>
    <row r="1020" spans="2:38" ht="12.75" customHeight="1">
      <c r="B1020" s="6"/>
      <c r="C1020" s="20"/>
      <c r="D1020" s="12"/>
      <c r="E1020" s="12"/>
      <c r="F1020" s="12"/>
      <c r="G1020" s="12"/>
      <c r="H1020" s="20"/>
      <c r="I1020" s="187"/>
      <c r="J1020" s="187"/>
      <c r="K1020" s="187"/>
      <c r="L1020" s="187"/>
      <c r="M1020" s="187"/>
      <c r="N1020" s="187"/>
      <c r="O1020" s="187"/>
      <c r="P1020" s="187"/>
      <c r="Q1020" s="187"/>
      <c r="R1020" s="187"/>
      <c r="S1020" s="187"/>
      <c r="T1020" s="187"/>
      <c r="U1020" s="187"/>
      <c r="V1020" s="187"/>
      <c r="W1020" s="187"/>
      <c r="X1020" s="187"/>
      <c r="Y1020" s="187"/>
      <c r="Z1020" s="187"/>
      <c r="AA1020" s="187"/>
      <c r="AB1020" s="187"/>
      <c r="AC1020" s="187"/>
      <c r="AD1020" s="187"/>
      <c r="AE1020" s="187"/>
      <c r="AF1020" s="187"/>
      <c r="AG1020" s="187"/>
      <c r="AH1020" s="187"/>
      <c r="AI1020" s="187"/>
      <c r="AJ1020" s="187"/>
      <c r="AK1020" s="187"/>
      <c r="AL1020" s="187"/>
    </row>
    <row r="1021" spans="2:38" ht="12.75" customHeight="1">
      <c r="B1021" s="6"/>
      <c r="C1021" s="20"/>
      <c r="D1021" s="12"/>
      <c r="E1021" s="12"/>
      <c r="F1021" s="12"/>
      <c r="G1021" s="12"/>
      <c r="H1021" s="20"/>
      <c r="I1021" s="187"/>
      <c r="J1021" s="187"/>
      <c r="K1021" s="187"/>
      <c r="L1021" s="187"/>
      <c r="M1021" s="187"/>
      <c r="N1021" s="187"/>
      <c r="O1021" s="187"/>
      <c r="P1021" s="187"/>
      <c r="Q1021" s="187"/>
      <c r="R1021" s="187"/>
      <c r="S1021" s="187"/>
      <c r="T1021" s="187"/>
      <c r="U1021" s="187"/>
      <c r="V1021" s="187"/>
      <c r="W1021" s="187"/>
      <c r="X1021" s="187"/>
      <c r="Y1021" s="187"/>
      <c r="Z1021" s="187"/>
      <c r="AA1021" s="187"/>
      <c r="AB1021" s="187"/>
      <c r="AC1021" s="187"/>
      <c r="AD1021" s="187"/>
      <c r="AE1021" s="187"/>
      <c r="AF1021" s="187"/>
      <c r="AG1021" s="187"/>
      <c r="AH1021" s="187"/>
      <c r="AI1021" s="187"/>
      <c r="AJ1021" s="187"/>
      <c r="AK1021" s="187"/>
      <c r="AL1021" s="187"/>
    </row>
    <row r="1022" spans="2:38" ht="12.75" customHeight="1">
      <c r="B1022" s="6"/>
      <c r="C1022" s="20"/>
      <c r="D1022" s="12"/>
      <c r="E1022" s="12"/>
      <c r="F1022" s="12"/>
      <c r="G1022" s="12"/>
      <c r="H1022" s="20"/>
      <c r="I1022" s="187"/>
      <c r="J1022" s="187"/>
      <c r="K1022" s="187"/>
      <c r="L1022" s="187"/>
      <c r="M1022" s="187"/>
      <c r="N1022" s="187"/>
      <c r="O1022" s="187"/>
      <c r="P1022" s="187"/>
      <c r="Q1022" s="187"/>
      <c r="R1022" s="187"/>
      <c r="S1022" s="187"/>
      <c r="T1022" s="187"/>
      <c r="U1022" s="187"/>
      <c r="V1022" s="187"/>
      <c r="W1022" s="187"/>
      <c r="X1022" s="187"/>
      <c r="Y1022" s="187"/>
      <c r="Z1022" s="187"/>
      <c r="AA1022" s="187"/>
      <c r="AB1022" s="187"/>
      <c r="AC1022" s="187"/>
      <c r="AD1022" s="187"/>
      <c r="AE1022" s="187"/>
      <c r="AF1022" s="187"/>
      <c r="AG1022" s="187"/>
      <c r="AH1022" s="187"/>
      <c r="AI1022" s="187"/>
      <c r="AJ1022" s="187"/>
      <c r="AK1022" s="187"/>
      <c r="AL1022" s="187"/>
    </row>
    <row r="1023" spans="2:38" ht="12.75" customHeight="1">
      <c r="B1023" s="6"/>
      <c r="C1023" s="20"/>
      <c r="D1023" s="12"/>
      <c r="E1023" s="12"/>
      <c r="F1023" s="12"/>
      <c r="G1023" s="12"/>
      <c r="H1023" s="20"/>
      <c r="I1023" s="187"/>
      <c r="J1023" s="187"/>
      <c r="K1023" s="187"/>
      <c r="L1023" s="187"/>
      <c r="M1023" s="187"/>
      <c r="N1023" s="187"/>
      <c r="O1023" s="187"/>
      <c r="P1023" s="187"/>
      <c r="Q1023" s="187"/>
      <c r="R1023" s="187"/>
      <c r="S1023" s="187"/>
      <c r="T1023" s="187"/>
      <c r="U1023" s="187"/>
      <c r="V1023" s="187"/>
      <c r="W1023" s="187"/>
      <c r="X1023" s="187"/>
      <c r="Y1023" s="187"/>
      <c r="Z1023" s="187"/>
      <c r="AA1023" s="187"/>
      <c r="AB1023" s="187"/>
      <c r="AC1023" s="187"/>
      <c r="AD1023" s="187"/>
      <c r="AE1023" s="187"/>
      <c r="AF1023" s="187"/>
      <c r="AG1023" s="187"/>
      <c r="AH1023" s="187"/>
      <c r="AI1023" s="187"/>
      <c r="AJ1023" s="187"/>
      <c r="AK1023" s="187"/>
      <c r="AL1023" s="187"/>
    </row>
    <row r="1024" spans="2:38" ht="12.75" customHeight="1">
      <c r="B1024" s="6"/>
      <c r="C1024" s="20"/>
      <c r="D1024" s="12"/>
      <c r="E1024" s="12"/>
      <c r="F1024" s="12"/>
      <c r="G1024" s="12"/>
      <c r="H1024" s="20"/>
      <c r="I1024" s="187"/>
      <c r="J1024" s="187"/>
      <c r="K1024" s="187"/>
      <c r="L1024" s="187"/>
      <c r="M1024" s="187"/>
      <c r="N1024" s="187"/>
      <c r="O1024" s="187"/>
      <c r="P1024" s="187"/>
      <c r="Q1024" s="187"/>
      <c r="R1024" s="187"/>
      <c r="S1024" s="187"/>
      <c r="T1024" s="187"/>
      <c r="U1024" s="187"/>
      <c r="V1024" s="187"/>
      <c r="W1024" s="187"/>
      <c r="X1024" s="187"/>
      <c r="Y1024" s="187"/>
      <c r="Z1024" s="187"/>
      <c r="AA1024" s="187"/>
      <c r="AB1024" s="187"/>
      <c r="AC1024" s="187"/>
      <c r="AD1024" s="187"/>
      <c r="AE1024" s="187"/>
      <c r="AF1024" s="187"/>
      <c r="AG1024" s="187"/>
      <c r="AH1024" s="187"/>
      <c r="AI1024" s="187"/>
      <c r="AJ1024" s="187"/>
      <c r="AK1024" s="187"/>
      <c r="AL1024" s="187"/>
    </row>
    <row r="1025" spans="2:38" ht="12.75" customHeight="1">
      <c r="B1025" s="6"/>
      <c r="C1025" s="20"/>
      <c r="D1025" s="12"/>
      <c r="E1025" s="12"/>
      <c r="F1025" s="12"/>
      <c r="G1025" s="12"/>
      <c r="H1025" s="20"/>
      <c r="I1025" s="187"/>
      <c r="J1025" s="187"/>
      <c r="K1025" s="187"/>
      <c r="L1025" s="187"/>
      <c r="M1025" s="187"/>
      <c r="N1025" s="187"/>
      <c r="O1025" s="187"/>
      <c r="P1025" s="187"/>
      <c r="Q1025" s="187"/>
      <c r="R1025" s="187"/>
      <c r="S1025" s="187"/>
      <c r="T1025" s="187"/>
      <c r="U1025" s="187"/>
      <c r="V1025" s="187"/>
      <c r="W1025" s="187"/>
      <c r="X1025" s="187"/>
      <c r="Y1025" s="187"/>
      <c r="Z1025" s="187"/>
      <c r="AA1025" s="187"/>
      <c r="AB1025" s="187"/>
      <c r="AC1025" s="187"/>
      <c r="AD1025" s="187"/>
      <c r="AE1025" s="187"/>
      <c r="AF1025" s="187"/>
      <c r="AG1025" s="187"/>
      <c r="AH1025" s="187"/>
      <c r="AI1025" s="187"/>
      <c r="AJ1025" s="187"/>
      <c r="AK1025" s="187"/>
      <c r="AL1025" s="187"/>
    </row>
    <row r="1026" spans="2:38" ht="12.75" customHeight="1">
      <c r="B1026" s="6"/>
      <c r="C1026" s="20"/>
      <c r="D1026" s="12"/>
      <c r="E1026" s="12"/>
      <c r="F1026" s="12"/>
      <c r="G1026" s="12"/>
      <c r="H1026" s="20"/>
      <c r="I1026" s="187"/>
      <c r="J1026" s="187"/>
      <c r="K1026" s="187"/>
      <c r="L1026" s="187"/>
      <c r="M1026" s="187"/>
      <c r="N1026" s="187"/>
      <c r="O1026" s="187"/>
      <c r="P1026" s="187"/>
      <c r="Q1026" s="187"/>
      <c r="R1026" s="187"/>
      <c r="S1026" s="187"/>
      <c r="T1026" s="187"/>
      <c r="U1026" s="187"/>
      <c r="V1026" s="187"/>
      <c r="W1026" s="187"/>
      <c r="X1026" s="187"/>
      <c r="Y1026" s="187"/>
      <c r="Z1026" s="187"/>
      <c r="AA1026" s="187"/>
      <c r="AB1026" s="187"/>
      <c r="AC1026" s="187"/>
      <c r="AD1026" s="187"/>
      <c r="AE1026" s="187"/>
      <c r="AF1026" s="187"/>
      <c r="AG1026" s="187"/>
      <c r="AH1026" s="187"/>
      <c r="AI1026" s="187"/>
      <c r="AJ1026" s="187"/>
      <c r="AK1026" s="187"/>
      <c r="AL1026" s="187"/>
    </row>
    <row r="1027" spans="2:38" ht="12.75" customHeight="1">
      <c r="B1027" s="6"/>
      <c r="C1027" s="20"/>
      <c r="D1027" s="12"/>
      <c r="E1027" s="12"/>
      <c r="F1027" s="12"/>
      <c r="G1027" s="12"/>
      <c r="H1027" s="20"/>
      <c r="I1027" s="187"/>
      <c r="J1027" s="187"/>
      <c r="K1027" s="187"/>
      <c r="L1027" s="187"/>
      <c r="M1027" s="187"/>
      <c r="N1027" s="187"/>
      <c r="O1027" s="187"/>
      <c r="P1027" s="187"/>
      <c r="Q1027" s="187"/>
      <c r="R1027" s="187"/>
      <c r="S1027" s="187"/>
      <c r="T1027" s="187"/>
      <c r="U1027" s="187"/>
      <c r="V1027" s="187"/>
      <c r="W1027" s="187"/>
      <c r="X1027" s="187"/>
      <c r="Y1027" s="187"/>
      <c r="Z1027" s="187"/>
      <c r="AA1027" s="187"/>
      <c r="AB1027" s="187"/>
      <c r="AC1027" s="187"/>
      <c r="AD1027" s="187"/>
      <c r="AE1027" s="187"/>
      <c r="AF1027" s="187"/>
      <c r="AG1027" s="187"/>
      <c r="AH1027" s="187"/>
      <c r="AI1027" s="187"/>
      <c r="AJ1027" s="187"/>
      <c r="AK1027" s="187"/>
      <c r="AL1027" s="187"/>
    </row>
    <row r="1028" spans="2:38" ht="12.75" customHeight="1">
      <c r="B1028" s="6"/>
      <c r="C1028" s="20"/>
      <c r="D1028" s="12"/>
      <c r="E1028" s="12"/>
      <c r="F1028" s="12"/>
      <c r="G1028" s="12"/>
      <c r="H1028" s="20"/>
      <c r="I1028" s="187"/>
      <c r="J1028" s="187"/>
      <c r="K1028" s="187"/>
      <c r="L1028" s="187"/>
      <c r="M1028" s="187"/>
      <c r="N1028" s="187"/>
      <c r="O1028" s="187"/>
      <c r="P1028" s="187"/>
      <c r="Q1028" s="187"/>
      <c r="R1028" s="187"/>
      <c r="S1028" s="187"/>
      <c r="T1028" s="187"/>
      <c r="U1028" s="187"/>
      <c r="V1028" s="187"/>
      <c r="W1028" s="187"/>
      <c r="X1028" s="187"/>
      <c r="Y1028" s="187"/>
      <c r="Z1028" s="187"/>
      <c r="AA1028" s="187"/>
      <c r="AB1028" s="187"/>
      <c r="AC1028" s="187"/>
      <c r="AD1028" s="187"/>
      <c r="AE1028" s="187"/>
      <c r="AF1028" s="187"/>
      <c r="AG1028" s="187"/>
      <c r="AH1028" s="187"/>
      <c r="AI1028" s="187"/>
      <c r="AJ1028" s="187"/>
      <c r="AK1028" s="187"/>
      <c r="AL1028" s="187"/>
    </row>
    <row r="1029" spans="2:38" ht="12.75" customHeight="1">
      <c r="B1029" s="6"/>
      <c r="C1029" s="20"/>
      <c r="D1029" s="12"/>
      <c r="E1029" s="12"/>
      <c r="F1029" s="12"/>
      <c r="G1029" s="12"/>
      <c r="H1029" s="20"/>
      <c r="I1029" s="187"/>
      <c r="J1029" s="187"/>
      <c r="K1029" s="187"/>
      <c r="L1029" s="187"/>
      <c r="M1029" s="187"/>
      <c r="N1029" s="187"/>
      <c r="O1029" s="187"/>
      <c r="P1029" s="187"/>
      <c r="Q1029" s="187"/>
      <c r="R1029" s="187"/>
      <c r="S1029" s="187"/>
      <c r="T1029" s="187"/>
      <c r="U1029" s="187"/>
      <c r="V1029" s="187"/>
      <c r="W1029" s="187"/>
      <c r="X1029" s="187"/>
      <c r="Y1029" s="187"/>
      <c r="Z1029" s="187"/>
      <c r="AA1029" s="187"/>
      <c r="AB1029" s="187"/>
      <c r="AC1029" s="187"/>
      <c r="AD1029" s="187"/>
      <c r="AE1029" s="187"/>
      <c r="AF1029" s="187"/>
      <c r="AG1029" s="187"/>
      <c r="AH1029" s="187"/>
      <c r="AI1029" s="187"/>
      <c r="AJ1029" s="187"/>
      <c r="AK1029" s="187"/>
      <c r="AL1029" s="187"/>
    </row>
    <row r="1030" spans="2:38" ht="12.75" customHeight="1">
      <c r="B1030" s="6"/>
      <c r="C1030" s="20"/>
      <c r="D1030" s="12"/>
      <c r="E1030" s="12"/>
      <c r="F1030" s="12"/>
      <c r="G1030" s="12"/>
      <c r="H1030" s="20"/>
      <c r="I1030" s="187"/>
      <c r="J1030" s="187"/>
      <c r="K1030" s="187"/>
      <c r="L1030" s="187"/>
      <c r="M1030" s="187"/>
      <c r="N1030" s="187"/>
      <c r="O1030" s="187"/>
      <c r="P1030" s="187"/>
      <c r="Q1030" s="187"/>
      <c r="R1030" s="187"/>
      <c r="S1030" s="187"/>
      <c r="T1030" s="187"/>
      <c r="U1030" s="187"/>
      <c r="V1030" s="187"/>
      <c r="W1030" s="187"/>
      <c r="X1030" s="187"/>
      <c r="Y1030" s="187"/>
      <c r="Z1030" s="187"/>
      <c r="AA1030" s="187"/>
      <c r="AB1030" s="187"/>
      <c r="AC1030" s="187"/>
      <c r="AD1030" s="187"/>
      <c r="AE1030" s="187"/>
      <c r="AF1030" s="187"/>
      <c r="AG1030" s="187"/>
      <c r="AH1030" s="187"/>
      <c r="AI1030" s="187"/>
      <c r="AJ1030" s="187"/>
      <c r="AK1030" s="187"/>
      <c r="AL1030" s="187"/>
    </row>
    <row r="1031" spans="2:38" ht="12.75" customHeight="1">
      <c r="B1031" s="6"/>
      <c r="C1031" s="20"/>
      <c r="D1031" s="12"/>
      <c r="E1031" s="12"/>
      <c r="F1031" s="12"/>
      <c r="G1031" s="12"/>
      <c r="H1031" s="20"/>
      <c r="I1031" s="187"/>
      <c r="J1031" s="187"/>
      <c r="K1031" s="187"/>
      <c r="L1031" s="187"/>
      <c r="M1031" s="187"/>
      <c r="N1031" s="187"/>
      <c r="O1031" s="187"/>
      <c r="P1031" s="187"/>
      <c r="Q1031" s="187"/>
      <c r="R1031" s="187"/>
      <c r="S1031" s="187"/>
      <c r="T1031" s="187"/>
      <c r="U1031" s="187"/>
      <c r="V1031" s="187"/>
      <c r="W1031" s="187"/>
      <c r="X1031" s="187"/>
      <c r="Y1031" s="187"/>
      <c r="Z1031" s="187"/>
      <c r="AA1031" s="187"/>
      <c r="AB1031" s="187"/>
      <c r="AC1031" s="187"/>
      <c r="AD1031" s="187"/>
      <c r="AE1031" s="187"/>
      <c r="AF1031" s="187"/>
      <c r="AG1031" s="187"/>
      <c r="AH1031" s="187"/>
      <c r="AI1031" s="187"/>
      <c r="AJ1031" s="187"/>
      <c r="AK1031" s="187"/>
      <c r="AL1031" s="187"/>
    </row>
    <row r="1032" spans="2:38" ht="12.75" customHeight="1">
      <c r="B1032" s="6"/>
      <c r="C1032" s="20"/>
      <c r="D1032" s="12"/>
      <c r="E1032" s="12"/>
      <c r="F1032" s="12"/>
      <c r="G1032" s="12"/>
      <c r="H1032" s="20"/>
      <c r="I1032" s="187"/>
      <c r="J1032" s="187"/>
      <c r="K1032" s="187"/>
      <c r="L1032" s="187"/>
      <c r="M1032" s="187"/>
      <c r="N1032" s="187"/>
      <c r="O1032" s="187"/>
      <c r="P1032" s="187"/>
      <c r="Q1032" s="187"/>
      <c r="R1032" s="187"/>
      <c r="S1032" s="187"/>
      <c r="T1032" s="187"/>
      <c r="U1032" s="187"/>
      <c r="V1032" s="187"/>
      <c r="W1032" s="187"/>
      <c r="X1032" s="187"/>
      <c r="Y1032" s="187"/>
      <c r="Z1032" s="187"/>
      <c r="AA1032" s="187"/>
      <c r="AB1032" s="187"/>
      <c r="AC1032" s="187"/>
      <c r="AD1032" s="187"/>
      <c r="AE1032" s="187"/>
      <c r="AF1032" s="187"/>
      <c r="AG1032" s="187"/>
      <c r="AH1032" s="187"/>
      <c r="AI1032" s="187"/>
      <c r="AJ1032" s="187"/>
      <c r="AK1032" s="187"/>
      <c r="AL1032" s="187"/>
    </row>
    <row r="1033" spans="2:38" ht="12.75" customHeight="1">
      <c r="B1033" s="6"/>
      <c r="C1033" s="20"/>
      <c r="D1033" s="12"/>
      <c r="E1033" s="12"/>
      <c r="F1033" s="12"/>
      <c r="G1033" s="12"/>
      <c r="H1033" s="20"/>
      <c r="I1033" s="187"/>
      <c r="J1033" s="187"/>
      <c r="K1033" s="187"/>
      <c r="L1033" s="187"/>
      <c r="M1033" s="187"/>
      <c r="N1033" s="187"/>
      <c r="O1033" s="187"/>
      <c r="P1033" s="187"/>
      <c r="Q1033" s="187"/>
      <c r="R1033" s="187"/>
      <c r="S1033" s="187"/>
      <c r="T1033" s="187"/>
      <c r="U1033" s="187"/>
      <c r="V1033" s="187"/>
      <c r="W1033" s="187"/>
      <c r="X1033" s="187"/>
      <c r="Y1033" s="187"/>
      <c r="Z1033" s="187"/>
      <c r="AA1033" s="187"/>
      <c r="AB1033" s="187"/>
      <c r="AC1033" s="187"/>
      <c r="AD1033" s="187"/>
      <c r="AE1033" s="187"/>
      <c r="AF1033" s="187"/>
      <c r="AG1033" s="187"/>
      <c r="AH1033" s="187"/>
      <c r="AI1033" s="187"/>
      <c r="AJ1033" s="187"/>
      <c r="AK1033" s="187"/>
      <c r="AL1033" s="187"/>
    </row>
    <row r="1034" spans="2:38" ht="12.75" customHeight="1">
      <c r="B1034" s="6"/>
      <c r="C1034" s="20"/>
      <c r="D1034" s="12"/>
      <c r="E1034" s="12"/>
      <c r="F1034" s="12"/>
      <c r="G1034" s="12"/>
      <c r="H1034" s="20"/>
      <c r="I1034" s="187"/>
      <c r="J1034" s="187"/>
      <c r="K1034" s="187"/>
      <c r="L1034" s="187"/>
      <c r="M1034" s="187"/>
      <c r="N1034" s="187"/>
      <c r="O1034" s="187"/>
      <c r="P1034" s="187"/>
      <c r="Q1034" s="187"/>
      <c r="R1034" s="187"/>
      <c r="S1034" s="187"/>
      <c r="T1034" s="187"/>
      <c r="U1034" s="187"/>
      <c r="V1034" s="187"/>
      <c r="W1034" s="187"/>
      <c r="X1034" s="187"/>
      <c r="Y1034" s="187"/>
      <c r="Z1034" s="187"/>
      <c r="AA1034" s="187"/>
      <c r="AB1034" s="187"/>
      <c r="AC1034" s="187"/>
      <c r="AD1034" s="187"/>
      <c r="AE1034" s="187"/>
      <c r="AF1034" s="187"/>
      <c r="AG1034" s="187"/>
      <c r="AH1034" s="187"/>
      <c r="AI1034" s="187"/>
      <c r="AJ1034" s="187"/>
      <c r="AK1034" s="187"/>
      <c r="AL1034" s="187"/>
    </row>
    <row r="1035" spans="2:38" ht="12.75" customHeight="1">
      <c r="B1035" s="6"/>
      <c r="C1035" s="20"/>
      <c r="D1035" s="12"/>
      <c r="E1035" s="12"/>
      <c r="F1035" s="12"/>
      <c r="G1035" s="12"/>
      <c r="H1035" s="20"/>
      <c r="I1035" s="187"/>
      <c r="J1035" s="187"/>
      <c r="K1035" s="187"/>
      <c r="L1035" s="187"/>
      <c r="M1035" s="187"/>
      <c r="N1035" s="187"/>
      <c r="O1035" s="187"/>
      <c r="P1035" s="187"/>
      <c r="Q1035" s="187"/>
      <c r="R1035" s="187"/>
      <c r="S1035" s="187"/>
      <c r="T1035" s="187"/>
      <c r="U1035" s="187"/>
      <c r="V1035" s="187"/>
      <c r="W1035" s="187"/>
      <c r="X1035" s="187"/>
      <c r="Y1035" s="187"/>
      <c r="Z1035" s="187"/>
      <c r="AA1035" s="187"/>
      <c r="AB1035" s="187"/>
      <c r="AC1035" s="187"/>
      <c r="AD1035" s="187"/>
      <c r="AE1035" s="187"/>
      <c r="AF1035" s="187"/>
      <c r="AG1035" s="187"/>
      <c r="AH1035" s="187"/>
      <c r="AI1035" s="187"/>
      <c r="AJ1035" s="187"/>
      <c r="AK1035" s="187"/>
      <c r="AL1035" s="187"/>
    </row>
    <row r="1036" spans="2:38" ht="12.75" customHeight="1">
      <c r="B1036" s="6"/>
      <c r="C1036" s="20"/>
      <c r="D1036" s="12"/>
      <c r="E1036" s="12"/>
      <c r="F1036" s="12"/>
      <c r="G1036" s="12"/>
      <c r="H1036" s="20"/>
      <c r="I1036" s="187"/>
      <c r="J1036" s="187"/>
      <c r="K1036" s="187"/>
      <c r="L1036" s="187"/>
      <c r="M1036" s="187"/>
      <c r="N1036" s="187"/>
      <c r="O1036" s="187"/>
      <c r="P1036" s="187"/>
      <c r="Q1036" s="187"/>
      <c r="R1036" s="187"/>
      <c r="S1036" s="187"/>
      <c r="T1036" s="187"/>
      <c r="U1036" s="187"/>
      <c r="V1036" s="187"/>
      <c r="W1036" s="187"/>
      <c r="X1036" s="187"/>
      <c r="Y1036" s="187"/>
      <c r="Z1036" s="187"/>
      <c r="AA1036" s="187"/>
      <c r="AB1036" s="187"/>
      <c r="AC1036" s="187"/>
      <c r="AD1036" s="187"/>
      <c r="AE1036" s="187"/>
      <c r="AF1036" s="187"/>
      <c r="AG1036" s="187"/>
      <c r="AH1036" s="187"/>
      <c r="AI1036" s="187"/>
      <c r="AJ1036" s="187"/>
      <c r="AK1036" s="187"/>
      <c r="AL1036" s="187"/>
    </row>
    <row r="1037" spans="2:38" ht="12.75" customHeight="1">
      <c r="B1037" s="6"/>
      <c r="C1037" s="20"/>
      <c r="D1037" s="12"/>
      <c r="E1037" s="12"/>
      <c r="F1037" s="12"/>
      <c r="G1037" s="12"/>
      <c r="H1037" s="20"/>
      <c r="I1037" s="187"/>
      <c r="J1037" s="187"/>
      <c r="K1037" s="187"/>
      <c r="L1037" s="187"/>
      <c r="M1037" s="187"/>
      <c r="N1037" s="187"/>
      <c r="O1037" s="187"/>
      <c r="P1037" s="187"/>
      <c r="Q1037" s="187"/>
      <c r="R1037" s="187"/>
      <c r="S1037" s="187"/>
      <c r="T1037" s="187"/>
      <c r="U1037" s="187"/>
      <c r="V1037" s="187"/>
      <c r="W1037" s="187"/>
      <c r="X1037" s="187"/>
      <c r="Y1037" s="187"/>
      <c r="Z1037" s="187"/>
      <c r="AA1037" s="187"/>
      <c r="AB1037" s="187"/>
      <c r="AC1037" s="187"/>
      <c r="AD1037" s="187"/>
      <c r="AE1037" s="187"/>
      <c r="AF1037" s="187"/>
      <c r="AG1037" s="187"/>
      <c r="AH1037" s="187"/>
      <c r="AI1037" s="187"/>
      <c r="AJ1037" s="187"/>
      <c r="AK1037" s="187"/>
      <c r="AL1037" s="187"/>
    </row>
    <row r="1038" spans="2:38" ht="12.75" customHeight="1">
      <c r="B1038" s="6"/>
      <c r="C1038" s="20"/>
      <c r="D1038" s="12"/>
      <c r="E1038" s="12"/>
      <c r="F1038" s="12"/>
      <c r="G1038" s="12"/>
      <c r="H1038" s="20"/>
      <c r="I1038" s="187"/>
      <c r="J1038" s="187"/>
      <c r="K1038" s="187"/>
      <c r="L1038" s="187"/>
      <c r="M1038" s="187"/>
      <c r="N1038" s="187"/>
      <c r="O1038" s="187"/>
      <c r="P1038" s="187"/>
      <c r="Q1038" s="187"/>
      <c r="R1038" s="187"/>
      <c r="S1038" s="187"/>
      <c r="T1038" s="187"/>
      <c r="U1038" s="187"/>
      <c r="V1038" s="187"/>
      <c r="W1038" s="187"/>
      <c r="X1038" s="187"/>
      <c r="Y1038" s="187"/>
      <c r="Z1038" s="187"/>
      <c r="AA1038" s="187"/>
      <c r="AB1038" s="187"/>
      <c r="AC1038" s="187"/>
      <c r="AD1038" s="187"/>
      <c r="AE1038" s="187"/>
      <c r="AF1038" s="187"/>
      <c r="AG1038" s="187"/>
      <c r="AH1038" s="187"/>
      <c r="AI1038" s="187"/>
      <c r="AJ1038" s="187"/>
      <c r="AK1038" s="187"/>
      <c r="AL1038" s="187"/>
    </row>
    <row r="1039" spans="2:38" ht="12.75" customHeight="1">
      <c r="B1039" s="6"/>
      <c r="C1039" s="20"/>
      <c r="D1039" s="12"/>
      <c r="E1039" s="12"/>
      <c r="F1039" s="12"/>
      <c r="G1039" s="12"/>
      <c r="H1039" s="20"/>
      <c r="I1039" s="187"/>
      <c r="J1039" s="187"/>
      <c r="K1039" s="187"/>
      <c r="L1039" s="187"/>
      <c r="M1039" s="187"/>
      <c r="N1039" s="187"/>
      <c r="O1039" s="187"/>
      <c r="P1039" s="187"/>
      <c r="Q1039" s="187"/>
      <c r="R1039" s="187"/>
      <c r="S1039" s="187"/>
      <c r="T1039" s="187"/>
      <c r="U1039" s="187"/>
      <c r="V1039" s="187"/>
      <c r="W1039" s="187"/>
      <c r="X1039" s="187"/>
      <c r="Y1039" s="187"/>
      <c r="Z1039" s="187"/>
      <c r="AA1039" s="187"/>
      <c r="AB1039" s="187"/>
      <c r="AC1039" s="187"/>
      <c r="AD1039" s="187"/>
      <c r="AE1039" s="187"/>
      <c r="AF1039" s="187"/>
      <c r="AG1039" s="187"/>
      <c r="AH1039" s="187"/>
      <c r="AI1039" s="187"/>
      <c r="AJ1039" s="187"/>
      <c r="AK1039" s="187"/>
      <c r="AL1039" s="187"/>
    </row>
    <row r="1040" spans="2:38" ht="12.75" customHeight="1">
      <c r="B1040" s="6"/>
      <c r="C1040" s="20"/>
      <c r="D1040" s="12"/>
      <c r="E1040" s="12"/>
      <c r="F1040" s="12"/>
      <c r="G1040" s="12"/>
      <c r="H1040" s="20"/>
      <c r="I1040" s="187"/>
      <c r="J1040" s="187"/>
      <c r="K1040" s="187"/>
      <c r="L1040" s="187"/>
      <c r="M1040" s="187"/>
      <c r="N1040" s="187"/>
      <c r="O1040" s="187"/>
      <c r="P1040" s="187"/>
      <c r="Q1040" s="187"/>
      <c r="R1040" s="187"/>
      <c r="S1040" s="187"/>
      <c r="T1040" s="187"/>
      <c r="U1040" s="187"/>
      <c r="V1040" s="187"/>
      <c r="W1040" s="187"/>
      <c r="X1040" s="187"/>
      <c r="Y1040" s="187"/>
      <c r="Z1040" s="187"/>
      <c r="AA1040" s="187"/>
      <c r="AB1040" s="187"/>
      <c r="AC1040" s="187"/>
      <c r="AD1040" s="187"/>
      <c r="AE1040" s="187"/>
      <c r="AF1040" s="187"/>
      <c r="AG1040" s="187"/>
      <c r="AH1040" s="187"/>
      <c r="AI1040" s="187"/>
      <c r="AJ1040" s="187"/>
      <c r="AK1040" s="187"/>
      <c r="AL1040" s="187"/>
    </row>
    <row r="1041" spans="2:38" ht="12.75" customHeight="1">
      <c r="B1041" s="6"/>
      <c r="C1041" s="20"/>
      <c r="D1041" s="12"/>
      <c r="E1041" s="12"/>
      <c r="F1041" s="12"/>
      <c r="G1041" s="12"/>
      <c r="H1041" s="20"/>
      <c r="I1041" s="187"/>
      <c r="J1041" s="187"/>
      <c r="K1041" s="187"/>
      <c r="L1041" s="187"/>
      <c r="M1041" s="187"/>
      <c r="N1041" s="187"/>
      <c r="O1041" s="187"/>
      <c r="P1041" s="187"/>
      <c r="Q1041" s="187"/>
      <c r="R1041" s="187"/>
      <c r="S1041" s="187"/>
      <c r="T1041" s="187"/>
      <c r="U1041" s="187"/>
      <c r="V1041" s="187"/>
      <c r="W1041" s="187"/>
      <c r="X1041" s="187"/>
      <c r="Y1041" s="187"/>
      <c r="Z1041" s="187"/>
      <c r="AA1041" s="187"/>
      <c r="AB1041" s="187"/>
      <c r="AC1041" s="187"/>
      <c r="AD1041" s="187"/>
      <c r="AE1041" s="187"/>
      <c r="AF1041" s="187"/>
      <c r="AG1041" s="187"/>
      <c r="AH1041" s="187"/>
      <c r="AI1041" s="187"/>
      <c r="AJ1041" s="187"/>
      <c r="AK1041" s="187"/>
      <c r="AL1041" s="187"/>
    </row>
    <row r="1042" spans="2:38" ht="12.75" customHeight="1">
      <c r="B1042" s="6"/>
      <c r="C1042" s="20"/>
      <c r="D1042" s="12"/>
      <c r="E1042" s="12"/>
      <c r="F1042" s="12"/>
      <c r="G1042" s="12"/>
      <c r="H1042" s="20"/>
      <c r="I1042" s="187"/>
      <c r="J1042" s="187"/>
      <c r="K1042" s="187"/>
      <c r="L1042" s="187"/>
      <c r="M1042" s="187"/>
      <c r="N1042" s="187"/>
      <c r="O1042" s="187"/>
      <c r="P1042" s="187"/>
      <c r="Q1042" s="187"/>
      <c r="R1042" s="187"/>
      <c r="S1042" s="187"/>
      <c r="T1042" s="187"/>
      <c r="U1042" s="187"/>
      <c r="V1042" s="187"/>
      <c r="W1042" s="187"/>
      <c r="X1042" s="187"/>
      <c r="Y1042" s="187"/>
      <c r="Z1042" s="187"/>
      <c r="AA1042" s="187"/>
      <c r="AB1042" s="187"/>
      <c r="AC1042" s="187"/>
      <c r="AD1042" s="187"/>
      <c r="AE1042" s="187"/>
      <c r="AF1042" s="187"/>
      <c r="AG1042" s="187"/>
      <c r="AH1042" s="187"/>
      <c r="AI1042" s="187"/>
      <c r="AJ1042" s="187"/>
      <c r="AK1042" s="187"/>
      <c r="AL1042" s="187"/>
    </row>
    <row r="1043" spans="2:38" ht="12.75" customHeight="1">
      <c r="B1043" s="6"/>
      <c r="C1043" s="20"/>
      <c r="D1043" s="12"/>
      <c r="E1043" s="12"/>
      <c r="F1043" s="12"/>
      <c r="G1043" s="12"/>
      <c r="H1043" s="20"/>
      <c r="I1043" s="187"/>
      <c r="J1043" s="187"/>
      <c r="K1043" s="187"/>
      <c r="L1043" s="187"/>
      <c r="M1043" s="187"/>
      <c r="N1043" s="187"/>
      <c r="O1043" s="187"/>
      <c r="P1043" s="187"/>
      <c r="Q1043" s="187"/>
      <c r="R1043" s="187"/>
      <c r="S1043" s="187"/>
      <c r="T1043" s="187"/>
      <c r="U1043" s="187"/>
      <c r="V1043" s="187"/>
      <c r="W1043" s="187"/>
      <c r="X1043" s="187"/>
      <c r="Y1043" s="187"/>
      <c r="Z1043" s="187"/>
      <c r="AA1043" s="187"/>
      <c r="AB1043" s="187"/>
      <c r="AC1043" s="187"/>
      <c r="AD1043" s="187"/>
      <c r="AE1043" s="187"/>
      <c r="AF1043" s="187"/>
      <c r="AG1043" s="187"/>
      <c r="AH1043" s="187"/>
      <c r="AI1043" s="187"/>
      <c r="AJ1043" s="187"/>
      <c r="AK1043" s="187"/>
      <c r="AL1043" s="187"/>
    </row>
    <row r="1044" spans="2:38" ht="12.75" customHeight="1">
      <c r="B1044" s="6"/>
      <c r="C1044" s="20"/>
      <c r="D1044" s="12"/>
      <c r="E1044" s="12"/>
      <c r="F1044" s="12"/>
      <c r="G1044" s="12"/>
      <c r="H1044" s="20"/>
      <c r="I1044" s="187"/>
      <c r="J1044" s="187"/>
      <c r="K1044" s="187"/>
      <c r="L1044" s="187"/>
      <c r="M1044" s="187"/>
      <c r="N1044" s="187"/>
      <c r="O1044" s="187"/>
      <c r="P1044" s="187"/>
      <c r="Q1044" s="187"/>
      <c r="R1044" s="187"/>
      <c r="S1044" s="187"/>
      <c r="T1044" s="187"/>
      <c r="U1044" s="187"/>
      <c r="V1044" s="187"/>
      <c r="W1044" s="187"/>
      <c r="X1044" s="187"/>
      <c r="Y1044" s="187"/>
      <c r="Z1044" s="187"/>
      <c r="AA1044" s="187"/>
      <c r="AB1044" s="187"/>
      <c r="AC1044" s="187"/>
      <c r="AD1044" s="187"/>
      <c r="AE1044" s="187"/>
      <c r="AF1044" s="187"/>
      <c r="AG1044" s="187"/>
      <c r="AH1044" s="187"/>
      <c r="AI1044" s="187"/>
      <c r="AJ1044" s="187"/>
      <c r="AK1044" s="187"/>
      <c r="AL1044" s="187"/>
    </row>
    <row r="1045" spans="2:38" ht="12.75" customHeight="1">
      <c r="B1045" s="6"/>
      <c r="C1045" s="20"/>
      <c r="D1045" s="12"/>
      <c r="E1045" s="12"/>
      <c r="F1045" s="12"/>
      <c r="G1045" s="12"/>
      <c r="H1045" s="20"/>
      <c r="I1045" s="187"/>
      <c r="J1045" s="187"/>
      <c r="K1045" s="187"/>
      <c r="L1045" s="187"/>
      <c r="M1045" s="187"/>
      <c r="N1045" s="187"/>
      <c r="O1045" s="187"/>
      <c r="P1045" s="187"/>
      <c r="Q1045" s="187"/>
      <c r="R1045" s="187"/>
      <c r="S1045" s="187"/>
      <c r="T1045" s="187"/>
      <c r="U1045" s="187"/>
      <c r="V1045" s="187"/>
      <c r="W1045" s="187"/>
      <c r="X1045" s="187"/>
      <c r="Y1045" s="187"/>
      <c r="Z1045" s="187"/>
      <c r="AA1045" s="187"/>
      <c r="AB1045" s="187"/>
      <c r="AC1045" s="187"/>
      <c r="AD1045" s="187"/>
      <c r="AE1045" s="187"/>
      <c r="AF1045" s="187"/>
      <c r="AG1045" s="187"/>
      <c r="AH1045" s="187"/>
      <c r="AI1045" s="187"/>
      <c r="AJ1045" s="187"/>
      <c r="AK1045" s="187"/>
      <c r="AL1045" s="187"/>
    </row>
    <row r="1046" spans="2:38" ht="12.75" customHeight="1">
      <c r="B1046" s="6"/>
      <c r="C1046" s="20"/>
      <c r="D1046" s="12"/>
      <c r="E1046" s="12"/>
      <c r="F1046" s="12"/>
      <c r="G1046" s="12"/>
      <c r="H1046" s="20"/>
      <c r="I1046" s="187"/>
      <c r="J1046" s="187"/>
      <c r="K1046" s="187"/>
      <c r="L1046" s="187"/>
      <c r="M1046" s="187"/>
      <c r="N1046" s="187"/>
      <c r="O1046" s="187"/>
      <c r="P1046" s="187"/>
      <c r="Q1046" s="187"/>
      <c r="R1046" s="187"/>
      <c r="S1046" s="187"/>
      <c r="T1046" s="187"/>
      <c r="U1046" s="187"/>
      <c r="V1046" s="187"/>
      <c r="W1046" s="187"/>
      <c r="X1046" s="187"/>
      <c r="Y1046" s="187"/>
      <c r="Z1046" s="187"/>
      <c r="AA1046" s="187"/>
      <c r="AB1046" s="187"/>
      <c r="AC1046" s="187"/>
      <c r="AD1046" s="187"/>
      <c r="AE1046" s="187"/>
      <c r="AF1046" s="187"/>
      <c r="AG1046" s="187"/>
      <c r="AH1046" s="187"/>
      <c r="AI1046" s="187"/>
      <c r="AJ1046" s="187"/>
      <c r="AK1046" s="187"/>
      <c r="AL1046" s="187"/>
    </row>
    <row r="1047" spans="2:38" ht="12.75" customHeight="1">
      <c r="B1047" s="6"/>
      <c r="C1047" s="20"/>
      <c r="D1047" s="12"/>
      <c r="E1047" s="12"/>
      <c r="F1047" s="12"/>
      <c r="G1047" s="12"/>
      <c r="H1047" s="20"/>
      <c r="I1047" s="187"/>
      <c r="J1047" s="187"/>
      <c r="K1047" s="187"/>
      <c r="L1047" s="187"/>
      <c r="M1047" s="187"/>
      <c r="N1047" s="187"/>
      <c r="O1047" s="187"/>
      <c r="P1047" s="187"/>
      <c r="Q1047" s="187"/>
      <c r="R1047" s="187"/>
      <c r="S1047" s="187"/>
      <c r="T1047" s="187"/>
      <c r="U1047" s="187"/>
      <c r="V1047" s="187"/>
      <c r="W1047" s="187"/>
      <c r="X1047" s="187"/>
      <c r="Y1047" s="187"/>
      <c r="Z1047" s="187"/>
      <c r="AA1047" s="187"/>
      <c r="AB1047" s="187"/>
      <c r="AC1047" s="187"/>
      <c r="AD1047" s="187"/>
      <c r="AE1047" s="187"/>
      <c r="AF1047" s="187"/>
      <c r="AG1047" s="187"/>
      <c r="AH1047" s="187"/>
      <c r="AI1047" s="187"/>
      <c r="AJ1047" s="187"/>
      <c r="AK1047" s="187"/>
      <c r="AL1047" s="187"/>
    </row>
    <row r="1048" spans="2:38" ht="12.75" customHeight="1">
      <c r="B1048" s="6"/>
      <c r="C1048" s="20"/>
      <c r="D1048" s="12"/>
      <c r="E1048" s="12"/>
      <c r="F1048" s="12"/>
      <c r="G1048" s="12"/>
      <c r="H1048" s="20"/>
      <c r="I1048" s="187"/>
      <c r="J1048" s="187"/>
      <c r="K1048" s="187"/>
      <c r="L1048" s="187"/>
      <c r="M1048" s="187"/>
      <c r="N1048" s="187"/>
      <c r="O1048" s="187"/>
      <c r="P1048" s="187"/>
      <c r="Q1048" s="187"/>
      <c r="R1048" s="187"/>
      <c r="S1048" s="187"/>
      <c r="T1048" s="187"/>
      <c r="U1048" s="187"/>
      <c r="V1048" s="187"/>
      <c r="W1048" s="187"/>
      <c r="X1048" s="187"/>
      <c r="Y1048" s="187"/>
      <c r="Z1048" s="187"/>
      <c r="AA1048" s="187"/>
      <c r="AB1048" s="187"/>
      <c r="AC1048" s="187"/>
      <c r="AD1048" s="187"/>
      <c r="AE1048" s="187"/>
      <c r="AF1048" s="187"/>
      <c r="AG1048" s="187"/>
      <c r="AH1048" s="187"/>
      <c r="AI1048" s="187"/>
      <c r="AJ1048" s="187"/>
      <c r="AK1048" s="187"/>
      <c r="AL1048" s="187"/>
    </row>
    <row r="1049" spans="2:38" ht="12.75" customHeight="1">
      <c r="B1049" s="6"/>
      <c r="C1049" s="20"/>
      <c r="D1049" s="12"/>
      <c r="E1049" s="12"/>
      <c r="F1049" s="12"/>
      <c r="G1049" s="12"/>
      <c r="H1049" s="20"/>
      <c r="I1049" s="187"/>
      <c r="J1049" s="187"/>
      <c r="K1049" s="187"/>
      <c r="L1049" s="187"/>
      <c r="M1049" s="187"/>
      <c r="N1049" s="187"/>
      <c r="O1049" s="187"/>
      <c r="P1049" s="187"/>
      <c r="Q1049" s="187"/>
      <c r="R1049" s="187"/>
      <c r="S1049" s="187"/>
      <c r="T1049" s="187"/>
      <c r="U1049" s="187"/>
      <c r="V1049" s="187"/>
      <c r="W1049" s="187"/>
      <c r="X1049" s="187"/>
      <c r="Y1049" s="187"/>
      <c r="Z1049" s="187"/>
      <c r="AA1049" s="187"/>
      <c r="AB1049" s="187"/>
      <c r="AC1049" s="187"/>
      <c r="AD1049" s="187"/>
      <c r="AE1049" s="187"/>
      <c r="AF1049" s="187"/>
      <c r="AG1049" s="187"/>
      <c r="AH1049" s="187"/>
      <c r="AI1049" s="187"/>
      <c r="AJ1049" s="187"/>
      <c r="AK1049" s="187"/>
      <c r="AL1049" s="187"/>
    </row>
    <row r="1050" spans="2:38" ht="12.75" customHeight="1">
      <c r="B1050" s="6"/>
      <c r="C1050" s="20"/>
      <c r="D1050" s="12"/>
      <c r="E1050" s="12"/>
      <c r="F1050" s="12"/>
      <c r="G1050" s="12"/>
      <c r="H1050" s="20"/>
      <c r="I1050" s="187"/>
      <c r="J1050" s="187"/>
      <c r="K1050" s="187"/>
      <c r="L1050" s="187"/>
      <c r="M1050" s="187"/>
      <c r="N1050" s="187"/>
      <c r="O1050" s="187"/>
      <c r="P1050" s="187"/>
      <c r="Q1050" s="187"/>
      <c r="R1050" s="187"/>
      <c r="S1050" s="187"/>
      <c r="T1050" s="187"/>
      <c r="U1050" s="187"/>
      <c r="V1050" s="187"/>
      <c r="W1050" s="187"/>
      <c r="X1050" s="187"/>
      <c r="Y1050" s="187"/>
      <c r="Z1050" s="187"/>
      <c r="AA1050" s="187"/>
      <c r="AB1050" s="187"/>
      <c r="AC1050" s="187"/>
      <c r="AD1050" s="187"/>
      <c r="AE1050" s="187"/>
      <c r="AF1050" s="187"/>
      <c r="AG1050" s="187"/>
      <c r="AH1050" s="187"/>
      <c r="AI1050" s="187"/>
      <c r="AJ1050" s="187"/>
      <c r="AK1050" s="187"/>
      <c r="AL1050" s="187"/>
    </row>
    <row r="1051" spans="2:38" ht="12.75" customHeight="1">
      <c r="B1051" s="6"/>
      <c r="C1051" s="20"/>
      <c r="D1051" s="12"/>
      <c r="E1051" s="12"/>
      <c r="F1051" s="12"/>
      <c r="G1051" s="12"/>
      <c r="H1051" s="20"/>
      <c r="I1051" s="187"/>
      <c r="J1051" s="187"/>
      <c r="K1051" s="187"/>
      <c r="L1051" s="187"/>
      <c r="M1051" s="187"/>
      <c r="N1051" s="187"/>
      <c r="O1051" s="187"/>
      <c r="P1051" s="187"/>
      <c r="Q1051" s="187"/>
      <c r="R1051" s="187"/>
      <c r="S1051" s="187"/>
      <c r="T1051" s="187"/>
      <c r="U1051" s="187"/>
      <c r="V1051" s="187"/>
      <c r="W1051" s="187"/>
      <c r="X1051" s="187"/>
      <c r="Y1051" s="187"/>
      <c r="Z1051" s="187"/>
      <c r="AA1051" s="187"/>
      <c r="AB1051" s="187"/>
      <c r="AC1051" s="187"/>
      <c r="AD1051" s="187"/>
      <c r="AE1051" s="187"/>
      <c r="AF1051" s="187"/>
      <c r="AG1051" s="187"/>
      <c r="AH1051" s="187"/>
      <c r="AI1051" s="187"/>
      <c r="AJ1051" s="187"/>
      <c r="AK1051" s="187"/>
      <c r="AL1051" s="187"/>
    </row>
    <row r="1052" spans="2:38" ht="12.75" customHeight="1">
      <c r="B1052" s="6"/>
      <c r="C1052" s="20"/>
      <c r="D1052" s="12"/>
      <c r="E1052" s="12"/>
      <c r="F1052" s="12"/>
      <c r="G1052" s="12"/>
      <c r="H1052" s="20"/>
      <c r="I1052" s="187"/>
      <c r="J1052" s="187"/>
      <c r="K1052" s="187"/>
      <c r="L1052" s="187"/>
      <c r="M1052" s="187"/>
      <c r="N1052" s="187"/>
      <c r="O1052" s="187"/>
      <c r="P1052" s="187"/>
      <c r="Q1052" s="187"/>
      <c r="R1052" s="187"/>
      <c r="S1052" s="187"/>
      <c r="T1052" s="187"/>
      <c r="U1052" s="187"/>
      <c r="V1052" s="187"/>
      <c r="W1052" s="187"/>
      <c r="X1052" s="187"/>
      <c r="Y1052" s="187"/>
      <c r="Z1052" s="187"/>
      <c r="AA1052" s="187"/>
      <c r="AB1052" s="187"/>
      <c r="AC1052" s="187"/>
      <c r="AD1052" s="187"/>
      <c r="AE1052" s="187"/>
      <c r="AF1052" s="187"/>
      <c r="AG1052" s="187"/>
      <c r="AH1052" s="187"/>
      <c r="AI1052" s="187"/>
      <c r="AJ1052" s="187"/>
      <c r="AK1052" s="187"/>
      <c r="AL1052" s="187"/>
    </row>
    <row r="1053" spans="2:38" ht="12.75" customHeight="1">
      <c r="B1053" s="6"/>
      <c r="C1053" s="20"/>
      <c r="D1053" s="12"/>
      <c r="E1053" s="12"/>
      <c r="F1053" s="12"/>
      <c r="G1053" s="12"/>
      <c r="H1053" s="20"/>
      <c r="I1053" s="187"/>
      <c r="J1053" s="187"/>
      <c r="K1053" s="187"/>
      <c r="L1053" s="187"/>
      <c r="M1053" s="187"/>
      <c r="N1053" s="187"/>
      <c r="O1053" s="187"/>
      <c r="P1053" s="187"/>
      <c r="Q1053" s="187"/>
      <c r="R1053" s="187"/>
      <c r="S1053" s="187"/>
      <c r="T1053" s="187"/>
      <c r="U1053" s="187"/>
      <c r="V1053" s="187"/>
      <c r="W1053" s="187"/>
      <c r="X1053" s="187"/>
      <c r="Y1053" s="187"/>
      <c r="Z1053" s="187"/>
      <c r="AA1053" s="187"/>
      <c r="AB1053" s="187"/>
      <c r="AC1053" s="187"/>
      <c r="AD1053" s="187"/>
      <c r="AE1053" s="187"/>
      <c r="AF1053" s="187"/>
      <c r="AG1053" s="187"/>
      <c r="AH1053" s="187"/>
      <c r="AI1053" s="187"/>
      <c r="AJ1053" s="187"/>
      <c r="AK1053" s="187"/>
      <c r="AL1053" s="187"/>
    </row>
    <row r="1054" spans="2:38" ht="12.75" customHeight="1">
      <c r="B1054" s="6"/>
      <c r="C1054" s="20"/>
      <c r="D1054" s="12"/>
      <c r="E1054" s="12"/>
      <c r="F1054" s="12"/>
      <c r="G1054" s="12"/>
      <c r="H1054" s="20"/>
      <c r="I1054" s="187"/>
      <c r="J1054" s="187"/>
      <c r="K1054" s="187"/>
      <c r="L1054" s="187"/>
      <c r="M1054" s="187"/>
      <c r="N1054" s="187"/>
      <c r="O1054" s="187"/>
      <c r="P1054" s="187"/>
      <c r="Q1054" s="187"/>
      <c r="R1054" s="187"/>
      <c r="S1054" s="187"/>
      <c r="T1054" s="187"/>
      <c r="U1054" s="187"/>
      <c r="V1054" s="187"/>
      <c r="W1054" s="187"/>
      <c r="X1054" s="187"/>
      <c r="Y1054" s="187"/>
      <c r="Z1054" s="187"/>
      <c r="AA1054" s="187"/>
      <c r="AB1054" s="187"/>
      <c r="AC1054" s="187"/>
      <c r="AD1054" s="187"/>
      <c r="AE1054" s="187"/>
      <c r="AF1054" s="187"/>
      <c r="AG1054" s="187"/>
      <c r="AH1054" s="187"/>
      <c r="AI1054" s="187"/>
      <c r="AJ1054" s="187"/>
      <c r="AK1054" s="187"/>
      <c r="AL1054" s="187"/>
    </row>
    <row r="1055" spans="2:38" ht="12.75" customHeight="1">
      <c r="B1055" s="6"/>
      <c r="C1055" s="20"/>
      <c r="D1055" s="12"/>
      <c r="E1055" s="12"/>
      <c r="F1055" s="12"/>
      <c r="G1055" s="12"/>
      <c r="H1055" s="20"/>
      <c r="I1055" s="187"/>
      <c r="J1055" s="187"/>
      <c r="K1055" s="187"/>
      <c r="L1055" s="187"/>
      <c r="M1055" s="187"/>
      <c r="N1055" s="187"/>
      <c r="O1055" s="187"/>
      <c r="P1055" s="187"/>
      <c r="Q1055" s="187"/>
      <c r="R1055" s="187"/>
      <c r="S1055" s="187"/>
      <c r="T1055" s="187"/>
      <c r="U1055" s="187"/>
      <c r="V1055" s="187"/>
      <c r="W1055" s="187"/>
      <c r="X1055" s="187"/>
      <c r="Y1055" s="187"/>
      <c r="Z1055" s="187"/>
      <c r="AA1055" s="187"/>
      <c r="AB1055" s="187"/>
      <c r="AC1055" s="187"/>
      <c r="AD1055" s="187"/>
      <c r="AE1055" s="187"/>
      <c r="AF1055" s="187"/>
      <c r="AG1055" s="187"/>
      <c r="AH1055" s="187"/>
      <c r="AI1055" s="187"/>
      <c r="AJ1055" s="187"/>
      <c r="AK1055" s="187"/>
      <c r="AL1055" s="187"/>
    </row>
    <row r="1056" spans="2:38" ht="12.75" customHeight="1">
      <c r="B1056" s="6"/>
      <c r="C1056" s="20"/>
      <c r="D1056" s="12"/>
      <c r="E1056" s="12"/>
      <c r="F1056" s="12"/>
      <c r="G1056" s="12"/>
      <c r="H1056" s="20"/>
      <c r="I1056" s="187"/>
      <c r="J1056" s="187"/>
      <c r="K1056" s="187"/>
      <c r="L1056" s="187"/>
      <c r="M1056" s="187"/>
      <c r="N1056" s="187"/>
      <c r="O1056" s="187"/>
      <c r="P1056" s="187"/>
      <c r="Q1056" s="187"/>
      <c r="R1056" s="187"/>
      <c r="S1056" s="187"/>
      <c r="T1056" s="187"/>
      <c r="U1056" s="187"/>
      <c r="V1056" s="187"/>
      <c r="W1056" s="187"/>
      <c r="X1056" s="187"/>
      <c r="Y1056" s="187"/>
      <c r="Z1056" s="187"/>
      <c r="AA1056" s="187"/>
      <c r="AB1056" s="187"/>
      <c r="AC1056" s="187"/>
      <c r="AD1056" s="187"/>
      <c r="AE1056" s="187"/>
      <c r="AF1056" s="187"/>
      <c r="AG1056" s="187"/>
      <c r="AH1056" s="187"/>
      <c r="AI1056" s="187"/>
      <c r="AJ1056" s="187"/>
      <c r="AK1056" s="187"/>
      <c r="AL1056" s="187"/>
    </row>
    <row r="1057" spans="2:38" ht="12.75" customHeight="1">
      <c r="B1057" s="6"/>
      <c r="C1057" s="20"/>
      <c r="D1057" s="12"/>
      <c r="E1057" s="12"/>
      <c r="F1057" s="12"/>
      <c r="G1057" s="12"/>
      <c r="H1057" s="20"/>
      <c r="I1057" s="187"/>
      <c r="J1057" s="187"/>
      <c r="K1057" s="187"/>
      <c r="L1057" s="187"/>
      <c r="M1057" s="187"/>
      <c r="N1057" s="187"/>
      <c r="O1057" s="187"/>
      <c r="P1057" s="187"/>
      <c r="Q1057" s="187"/>
      <c r="R1057" s="187"/>
      <c r="S1057" s="187"/>
      <c r="T1057" s="187"/>
      <c r="U1057" s="187"/>
      <c r="V1057" s="187"/>
      <c r="W1057" s="187"/>
      <c r="X1057" s="187"/>
      <c r="Y1057" s="187"/>
      <c r="Z1057" s="187"/>
      <c r="AA1057" s="187"/>
      <c r="AB1057" s="187"/>
      <c r="AC1057" s="187"/>
      <c r="AD1057" s="187"/>
      <c r="AE1057" s="187"/>
      <c r="AF1057" s="187"/>
      <c r="AG1057" s="187"/>
      <c r="AH1057" s="187"/>
      <c r="AI1057" s="187"/>
      <c r="AJ1057" s="187"/>
      <c r="AK1057" s="187"/>
      <c r="AL1057" s="187"/>
    </row>
    <row r="1058" spans="2:38" ht="12.75" customHeight="1">
      <c r="B1058" s="6"/>
      <c r="C1058" s="20"/>
      <c r="D1058" s="12"/>
      <c r="E1058" s="12"/>
      <c r="F1058" s="12"/>
      <c r="G1058" s="12"/>
      <c r="H1058" s="20"/>
      <c r="I1058" s="187"/>
      <c r="J1058" s="187"/>
      <c r="K1058" s="187"/>
      <c r="L1058" s="187"/>
      <c r="M1058" s="187"/>
      <c r="N1058" s="187"/>
      <c r="O1058" s="187"/>
      <c r="P1058" s="187"/>
      <c r="Q1058" s="187"/>
      <c r="R1058" s="187"/>
      <c r="S1058" s="187"/>
      <c r="T1058" s="187"/>
      <c r="U1058" s="187"/>
      <c r="V1058" s="187"/>
      <c r="W1058" s="187"/>
      <c r="X1058" s="187"/>
      <c r="Y1058" s="187"/>
      <c r="Z1058" s="187"/>
      <c r="AA1058" s="187"/>
      <c r="AB1058" s="187"/>
      <c r="AC1058" s="187"/>
      <c r="AD1058" s="187"/>
      <c r="AE1058" s="187"/>
      <c r="AF1058" s="187"/>
      <c r="AG1058" s="187"/>
      <c r="AH1058" s="187"/>
      <c r="AI1058" s="187"/>
      <c r="AJ1058" s="187"/>
      <c r="AK1058" s="187"/>
      <c r="AL1058" s="187"/>
    </row>
    <row r="1059" spans="2:38" ht="12.75" customHeight="1">
      <c r="B1059" s="6"/>
      <c r="C1059" s="20"/>
      <c r="D1059" s="12"/>
      <c r="E1059" s="12"/>
      <c r="F1059" s="12"/>
      <c r="G1059" s="12"/>
      <c r="H1059" s="20"/>
      <c r="I1059" s="187"/>
      <c r="J1059" s="187"/>
      <c r="K1059" s="187"/>
      <c r="L1059" s="187"/>
      <c r="M1059" s="187"/>
      <c r="N1059" s="187"/>
      <c r="O1059" s="187"/>
      <c r="P1059" s="187"/>
      <c r="Q1059" s="187"/>
      <c r="R1059" s="187"/>
      <c r="S1059" s="187"/>
      <c r="T1059" s="187"/>
      <c r="U1059" s="187"/>
      <c r="V1059" s="187"/>
      <c r="W1059" s="187"/>
      <c r="X1059" s="187"/>
      <c r="Y1059" s="187"/>
      <c r="Z1059" s="187"/>
      <c r="AA1059" s="187"/>
      <c r="AB1059" s="187"/>
      <c r="AC1059" s="187"/>
      <c r="AD1059" s="187"/>
      <c r="AE1059" s="187"/>
      <c r="AF1059" s="187"/>
      <c r="AG1059" s="187"/>
      <c r="AH1059" s="187"/>
      <c r="AI1059" s="187"/>
      <c r="AJ1059" s="187"/>
      <c r="AK1059" s="187"/>
      <c r="AL1059" s="187"/>
    </row>
    <row r="1060" spans="2:38" ht="12.75" customHeight="1">
      <c r="B1060" s="6"/>
      <c r="C1060" s="20"/>
      <c r="D1060" s="12"/>
      <c r="E1060" s="12"/>
      <c r="F1060" s="12"/>
      <c r="G1060" s="12"/>
      <c r="H1060" s="20"/>
      <c r="I1060" s="187"/>
      <c r="J1060" s="187"/>
      <c r="K1060" s="187"/>
      <c r="L1060" s="187"/>
      <c r="M1060" s="187"/>
      <c r="N1060" s="187"/>
      <c r="O1060" s="187"/>
      <c r="P1060" s="187"/>
      <c r="Q1060" s="187"/>
      <c r="R1060" s="187"/>
      <c r="S1060" s="187"/>
      <c r="T1060" s="187"/>
      <c r="U1060" s="187"/>
      <c r="V1060" s="187"/>
      <c r="W1060" s="187"/>
      <c r="X1060" s="187"/>
      <c r="Y1060" s="187"/>
      <c r="Z1060" s="187"/>
      <c r="AA1060" s="187"/>
      <c r="AB1060" s="187"/>
      <c r="AC1060" s="187"/>
      <c r="AD1060" s="187"/>
      <c r="AE1060" s="187"/>
      <c r="AF1060" s="187"/>
      <c r="AG1060" s="187"/>
      <c r="AH1060" s="187"/>
      <c r="AI1060" s="187"/>
      <c r="AJ1060" s="187"/>
      <c r="AK1060" s="187"/>
      <c r="AL1060" s="187"/>
    </row>
    <row r="1061" spans="2:38" ht="12.75" customHeight="1">
      <c r="B1061" s="6"/>
      <c r="C1061" s="20"/>
      <c r="D1061" s="12"/>
      <c r="E1061" s="12"/>
      <c r="F1061" s="12"/>
      <c r="G1061" s="12"/>
      <c r="H1061" s="20"/>
      <c r="I1061" s="187"/>
      <c r="J1061" s="187"/>
      <c r="K1061" s="187"/>
      <c r="L1061" s="187"/>
      <c r="M1061" s="187"/>
      <c r="N1061" s="187"/>
      <c r="O1061" s="187"/>
      <c r="P1061" s="187"/>
      <c r="Q1061" s="187"/>
      <c r="R1061" s="187"/>
      <c r="S1061" s="187"/>
      <c r="T1061" s="187"/>
      <c r="U1061" s="187"/>
      <c r="V1061" s="187"/>
      <c r="W1061" s="187"/>
      <c r="X1061" s="187"/>
      <c r="Y1061" s="187"/>
      <c r="Z1061" s="187"/>
      <c r="AA1061" s="187"/>
      <c r="AB1061" s="187"/>
      <c r="AC1061" s="187"/>
      <c r="AD1061" s="187"/>
      <c r="AE1061" s="187"/>
      <c r="AF1061" s="187"/>
      <c r="AG1061" s="187"/>
      <c r="AH1061" s="187"/>
      <c r="AI1061" s="187"/>
      <c r="AJ1061" s="187"/>
      <c r="AK1061" s="187"/>
      <c r="AL1061" s="187"/>
    </row>
    <row r="1062" spans="2:38" ht="12.75" customHeight="1">
      <c r="B1062" s="6"/>
      <c r="C1062" s="20"/>
      <c r="D1062" s="12"/>
      <c r="E1062" s="12"/>
      <c r="F1062" s="12"/>
      <c r="G1062" s="12"/>
      <c r="H1062" s="20"/>
      <c r="I1062" s="187"/>
      <c r="J1062" s="187"/>
      <c r="K1062" s="187"/>
      <c r="L1062" s="187"/>
      <c r="M1062" s="187"/>
      <c r="N1062" s="187"/>
      <c r="O1062" s="187"/>
      <c r="P1062" s="187"/>
      <c r="Q1062" s="187"/>
      <c r="R1062" s="187"/>
      <c r="S1062" s="187"/>
      <c r="T1062" s="187"/>
      <c r="U1062" s="187"/>
      <c r="V1062" s="187"/>
      <c r="W1062" s="187"/>
      <c r="X1062" s="187"/>
      <c r="Y1062" s="187"/>
      <c r="Z1062" s="187"/>
      <c r="AA1062" s="187"/>
      <c r="AB1062" s="187"/>
      <c r="AC1062" s="187"/>
      <c r="AD1062" s="187"/>
      <c r="AE1062" s="187"/>
      <c r="AF1062" s="187"/>
      <c r="AG1062" s="187"/>
      <c r="AH1062" s="187"/>
      <c r="AI1062" s="187"/>
      <c r="AJ1062" s="187"/>
      <c r="AK1062" s="187"/>
      <c r="AL1062" s="187"/>
    </row>
    <row r="1063" spans="2:38" ht="12.75" customHeight="1">
      <c r="B1063" s="6"/>
      <c r="C1063" s="20"/>
      <c r="D1063" s="12"/>
      <c r="E1063" s="12"/>
      <c r="F1063" s="12"/>
      <c r="G1063" s="12"/>
      <c r="H1063" s="20"/>
      <c r="I1063" s="187"/>
      <c r="J1063" s="187"/>
      <c r="K1063" s="187"/>
      <c r="L1063" s="187"/>
      <c r="M1063" s="187"/>
      <c r="N1063" s="187"/>
      <c r="O1063" s="187"/>
      <c r="P1063" s="187"/>
      <c r="Q1063" s="187"/>
      <c r="R1063" s="187"/>
      <c r="S1063" s="187"/>
      <c r="T1063" s="187"/>
      <c r="U1063" s="187"/>
      <c r="V1063" s="187"/>
      <c r="W1063" s="187"/>
      <c r="X1063" s="187"/>
      <c r="Y1063" s="187"/>
      <c r="Z1063" s="187"/>
      <c r="AA1063" s="187"/>
      <c r="AB1063" s="187"/>
      <c r="AC1063" s="187"/>
      <c r="AD1063" s="187"/>
      <c r="AE1063" s="187"/>
      <c r="AF1063" s="187"/>
      <c r="AG1063" s="187"/>
      <c r="AH1063" s="187"/>
      <c r="AI1063" s="187"/>
      <c r="AJ1063" s="187"/>
      <c r="AK1063" s="187"/>
      <c r="AL1063" s="187"/>
    </row>
    <row r="1064" spans="2:38" ht="12.75" customHeight="1">
      <c r="B1064" s="6"/>
      <c r="C1064" s="20"/>
      <c r="D1064" s="12"/>
      <c r="E1064" s="12"/>
      <c r="F1064" s="12"/>
      <c r="G1064" s="12"/>
      <c r="H1064" s="20"/>
      <c r="I1064" s="187"/>
      <c r="J1064" s="187"/>
      <c r="K1064" s="187"/>
      <c r="L1064" s="187"/>
      <c r="M1064" s="187"/>
      <c r="N1064" s="187"/>
      <c r="O1064" s="187"/>
      <c r="P1064" s="187"/>
      <c r="Q1064" s="187"/>
      <c r="R1064" s="187"/>
      <c r="S1064" s="187"/>
      <c r="T1064" s="187"/>
      <c r="U1064" s="187"/>
      <c r="V1064" s="187"/>
      <c r="W1064" s="187"/>
      <c r="X1064" s="187"/>
      <c r="Y1064" s="187"/>
      <c r="Z1064" s="187"/>
      <c r="AA1064" s="187"/>
      <c r="AB1064" s="187"/>
      <c r="AC1064" s="187"/>
      <c r="AD1064" s="187"/>
      <c r="AE1064" s="187"/>
      <c r="AF1064" s="187"/>
      <c r="AG1064" s="187"/>
      <c r="AH1064" s="187"/>
      <c r="AI1064" s="187"/>
      <c r="AJ1064" s="187"/>
      <c r="AK1064" s="187"/>
      <c r="AL1064" s="187"/>
    </row>
    <row r="1065" spans="2:38" ht="12.75" customHeight="1">
      <c r="B1065" s="6"/>
      <c r="C1065" s="20"/>
      <c r="D1065" s="12"/>
      <c r="E1065" s="12"/>
      <c r="F1065" s="12"/>
      <c r="G1065" s="12"/>
      <c r="H1065" s="20"/>
      <c r="I1065" s="187"/>
      <c r="J1065" s="187"/>
      <c r="K1065" s="187"/>
      <c r="L1065" s="187"/>
      <c r="M1065" s="187"/>
      <c r="N1065" s="187"/>
      <c r="O1065" s="187"/>
      <c r="P1065" s="187"/>
      <c r="Q1065" s="187"/>
      <c r="R1065" s="187"/>
      <c r="S1065" s="187"/>
      <c r="T1065" s="187"/>
      <c r="U1065" s="187"/>
      <c r="V1065" s="187"/>
      <c r="W1065" s="187"/>
      <c r="X1065" s="187"/>
      <c r="Y1065" s="187"/>
      <c r="Z1065" s="187"/>
      <c r="AA1065" s="187"/>
      <c r="AB1065" s="187"/>
      <c r="AC1065" s="187"/>
      <c r="AD1065" s="187"/>
      <c r="AE1065" s="187"/>
      <c r="AF1065" s="187"/>
      <c r="AG1065" s="187"/>
      <c r="AH1065" s="187"/>
      <c r="AI1065" s="187"/>
      <c r="AJ1065" s="187"/>
      <c r="AK1065" s="187"/>
      <c r="AL1065" s="187"/>
    </row>
    <row r="1066" spans="2:38" ht="12.75" customHeight="1">
      <c r="B1066" s="6"/>
      <c r="C1066" s="20"/>
      <c r="D1066" s="12"/>
      <c r="E1066" s="12"/>
      <c r="F1066" s="12"/>
      <c r="G1066" s="12"/>
      <c r="H1066" s="20"/>
      <c r="I1066" s="187"/>
      <c r="J1066" s="187"/>
      <c r="K1066" s="187"/>
      <c r="L1066" s="187"/>
      <c r="M1066" s="187"/>
      <c r="N1066" s="187"/>
      <c r="O1066" s="187"/>
      <c r="P1066" s="187"/>
      <c r="Q1066" s="187"/>
      <c r="R1066" s="187"/>
      <c r="S1066" s="187"/>
      <c r="T1066" s="187"/>
      <c r="U1066" s="187"/>
      <c r="V1066" s="187"/>
      <c r="W1066" s="187"/>
      <c r="X1066" s="187"/>
      <c r="Y1066" s="187"/>
      <c r="Z1066" s="187"/>
      <c r="AA1066" s="187"/>
      <c r="AB1066" s="187"/>
      <c r="AC1066" s="187"/>
      <c r="AD1066" s="187"/>
      <c r="AE1066" s="187"/>
      <c r="AF1066" s="187"/>
      <c r="AG1066" s="187"/>
      <c r="AH1066" s="187"/>
      <c r="AI1066" s="187"/>
      <c r="AJ1066" s="187"/>
      <c r="AK1066" s="187"/>
      <c r="AL1066" s="187"/>
    </row>
    <row r="1067" spans="2:38" ht="12.75" customHeight="1">
      <c r="B1067" s="6"/>
      <c r="C1067" s="20"/>
      <c r="D1067" s="12"/>
      <c r="E1067" s="12"/>
      <c r="F1067" s="12"/>
      <c r="G1067" s="12"/>
      <c r="H1067" s="20"/>
      <c r="I1067" s="187"/>
      <c r="J1067" s="187"/>
      <c r="K1067" s="187"/>
      <c r="L1067" s="187"/>
      <c r="M1067" s="187"/>
      <c r="N1067" s="187"/>
      <c r="O1067" s="187"/>
      <c r="P1067" s="187"/>
      <c r="Q1067" s="187"/>
      <c r="R1067" s="187"/>
      <c r="S1067" s="187"/>
      <c r="T1067" s="187"/>
      <c r="U1067" s="187"/>
      <c r="V1067" s="187"/>
      <c r="W1067" s="187"/>
      <c r="X1067" s="187"/>
      <c r="Y1067" s="187"/>
      <c r="Z1067" s="187"/>
      <c r="AA1067" s="187"/>
      <c r="AB1067" s="187"/>
      <c r="AC1067" s="187"/>
      <c r="AD1067" s="187"/>
      <c r="AE1067" s="187"/>
      <c r="AF1067" s="187"/>
      <c r="AG1067" s="187"/>
      <c r="AH1067" s="187"/>
      <c r="AI1067" s="187"/>
      <c r="AJ1067" s="187"/>
      <c r="AK1067" s="187"/>
      <c r="AL1067" s="187"/>
    </row>
    <row r="1068" spans="2:38" ht="12.75" customHeight="1">
      <c r="B1068" s="6"/>
      <c r="C1068" s="20"/>
      <c r="D1068" s="12"/>
      <c r="E1068" s="12"/>
      <c r="F1068" s="12"/>
      <c r="G1068" s="12"/>
      <c r="H1068" s="20"/>
      <c r="I1068" s="187"/>
      <c r="J1068" s="187"/>
      <c r="K1068" s="187"/>
      <c r="L1068" s="187"/>
      <c r="M1068" s="187"/>
      <c r="N1068" s="187"/>
      <c r="O1068" s="187"/>
      <c r="P1068" s="187"/>
      <c r="Q1068" s="187"/>
      <c r="R1068" s="187"/>
      <c r="S1068" s="187"/>
      <c r="T1068" s="187"/>
      <c r="U1068" s="187"/>
      <c r="V1068" s="187"/>
      <c r="W1068" s="187"/>
      <c r="X1068" s="187"/>
      <c r="Y1068" s="187"/>
      <c r="Z1068" s="187"/>
      <c r="AA1068" s="187"/>
      <c r="AB1068" s="187"/>
      <c r="AC1068" s="187"/>
      <c r="AD1068" s="187"/>
      <c r="AE1068" s="187"/>
      <c r="AF1068" s="187"/>
      <c r="AG1068" s="187"/>
      <c r="AH1068" s="187"/>
      <c r="AI1068" s="187"/>
      <c r="AJ1068" s="187"/>
      <c r="AK1068" s="187"/>
      <c r="AL1068" s="187"/>
    </row>
    <row r="1069" spans="2:38" ht="12.75" customHeight="1">
      <c r="B1069" s="6"/>
      <c r="C1069" s="20"/>
      <c r="D1069" s="12"/>
      <c r="E1069" s="12"/>
      <c r="F1069" s="12"/>
      <c r="G1069" s="12"/>
      <c r="H1069" s="20"/>
      <c r="I1069" s="187"/>
      <c r="J1069" s="187"/>
      <c r="K1069" s="187"/>
      <c r="L1069" s="187"/>
      <c r="M1069" s="187"/>
      <c r="N1069" s="187"/>
      <c r="O1069" s="187"/>
      <c r="P1069" s="187"/>
      <c r="Q1069" s="187"/>
      <c r="R1069" s="187"/>
      <c r="S1069" s="187"/>
      <c r="T1069" s="187"/>
      <c r="U1069" s="187"/>
      <c r="V1069" s="187"/>
      <c r="W1069" s="187"/>
      <c r="X1069" s="187"/>
      <c r="Y1069" s="187"/>
      <c r="Z1069" s="187"/>
      <c r="AA1069" s="187"/>
      <c r="AB1069" s="187"/>
      <c r="AC1069" s="187"/>
      <c r="AD1069" s="187"/>
      <c r="AE1069" s="187"/>
      <c r="AF1069" s="187"/>
      <c r="AG1069" s="187"/>
      <c r="AH1069" s="187"/>
      <c r="AI1069" s="187"/>
      <c r="AJ1069" s="187"/>
      <c r="AK1069" s="187"/>
      <c r="AL1069" s="187"/>
    </row>
    <row r="1070" spans="2:38" ht="12.75" customHeight="1">
      <c r="B1070" s="6"/>
      <c r="C1070" s="20"/>
      <c r="D1070" s="12"/>
      <c r="E1070" s="12"/>
      <c r="F1070" s="12"/>
      <c r="G1070" s="12"/>
      <c r="H1070" s="20"/>
      <c r="I1070" s="187"/>
      <c r="J1070" s="187"/>
      <c r="K1070" s="187"/>
      <c r="L1070" s="187"/>
      <c r="M1070" s="187"/>
      <c r="N1070" s="187"/>
      <c r="O1070" s="187"/>
      <c r="P1070" s="187"/>
      <c r="Q1070" s="187"/>
      <c r="R1070" s="187"/>
      <c r="S1070" s="187"/>
      <c r="T1070" s="187"/>
      <c r="U1070" s="187"/>
      <c r="V1070" s="187"/>
      <c r="W1070" s="187"/>
      <c r="X1070" s="187"/>
      <c r="Y1070" s="187"/>
      <c r="Z1070" s="187"/>
      <c r="AA1070" s="187"/>
      <c r="AB1070" s="187"/>
      <c r="AC1070" s="187"/>
      <c r="AD1070" s="187"/>
      <c r="AE1070" s="187"/>
      <c r="AF1070" s="187"/>
      <c r="AG1070" s="187"/>
      <c r="AH1070" s="187"/>
      <c r="AI1070" s="187"/>
      <c r="AJ1070" s="187"/>
      <c r="AK1070" s="187"/>
      <c r="AL1070" s="187"/>
    </row>
    <row r="1071" spans="2:38" ht="12.75" customHeight="1">
      <c r="B1071" s="6"/>
      <c r="C1071" s="20"/>
      <c r="D1071" s="12"/>
      <c r="E1071" s="12"/>
      <c r="F1071" s="12"/>
      <c r="G1071" s="12"/>
      <c r="H1071" s="20"/>
      <c r="I1071" s="187"/>
      <c r="J1071" s="187"/>
      <c r="K1071" s="187"/>
      <c r="L1071" s="187"/>
      <c r="M1071" s="187"/>
      <c r="N1071" s="187"/>
      <c r="O1071" s="187"/>
      <c r="P1071" s="187"/>
      <c r="Q1071" s="187"/>
      <c r="R1071" s="187"/>
      <c r="S1071" s="187"/>
      <c r="T1071" s="187"/>
      <c r="U1071" s="187"/>
      <c r="V1071" s="187"/>
      <c r="W1071" s="187"/>
      <c r="X1071" s="187"/>
      <c r="Y1071" s="187"/>
      <c r="Z1071" s="187"/>
      <c r="AA1071" s="187"/>
      <c r="AB1071" s="187"/>
      <c r="AC1071" s="187"/>
      <c r="AD1071" s="187"/>
      <c r="AE1071" s="187"/>
      <c r="AF1071" s="187"/>
      <c r="AG1071" s="187"/>
      <c r="AH1071" s="187"/>
      <c r="AI1071" s="187"/>
      <c r="AJ1071" s="187"/>
      <c r="AK1071" s="187"/>
      <c r="AL1071" s="187"/>
    </row>
    <row r="1072" spans="2:38" ht="12.75" customHeight="1">
      <c r="B1072" s="6"/>
      <c r="C1072" s="20"/>
      <c r="D1072" s="12"/>
      <c r="E1072" s="12"/>
      <c r="F1072" s="12"/>
      <c r="G1072" s="12"/>
      <c r="H1072" s="20"/>
      <c r="I1072" s="187"/>
      <c r="J1072" s="187"/>
      <c r="K1072" s="187"/>
      <c r="L1072" s="187"/>
      <c r="M1072" s="187"/>
      <c r="N1072" s="187"/>
      <c r="O1072" s="187"/>
      <c r="P1072" s="187"/>
      <c r="Q1072" s="187"/>
      <c r="R1072" s="187"/>
      <c r="S1072" s="187"/>
      <c r="T1072" s="187"/>
      <c r="U1072" s="187"/>
      <c r="V1072" s="187"/>
      <c r="W1072" s="187"/>
      <c r="X1072" s="187"/>
      <c r="Y1072" s="187"/>
      <c r="Z1072" s="187"/>
      <c r="AA1072" s="187"/>
      <c r="AB1072" s="187"/>
      <c r="AC1072" s="187"/>
      <c r="AD1072" s="187"/>
      <c r="AE1072" s="187"/>
      <c r="AF1072" s="187"/>
      <c r="AG1072" s="187"/>
      <c r="AH1072" s="187"/>
      <c r="AI1072" s="187"/>
      <c r="AJ1072" s="187"/>
      <c r="AK1072" s="187"/>
      <c r="AL1072" s="187"/>
    </row>
    <row r="1073" spans="2:38" ht="12.75" customHeight="1">
      <c r="B1073" s="6"/>
      <c r="C1073" s="20"/>
      <c r="D1073" s="12"/>
      <c r="E1073" s="12"/>
      <c r="F1073" s="12"/>
      <c r="G1073" s="12"/>
      <c r="H1073" s="20"/>
      <c r="I1073" s="187"/>
      <c r="J1073" s="187"/>
      <c r="K1073" s="187"/>
      <c r="L1073" s="187"/>
      <c r="M1073" s="187"/>
      <c r="N1073" s="187"/>
      <c r="O1073" s="187"/>
      <c r="P1073" s="187"/>
      <c r="Q1073" s="187"/>
      <c r="R1073" s="187"/>
      <c r="S1073" s="187"/>
      <c r="T1073" s="187"/>
      <c r="U1073" s="187"/>
      <c r="V1073" s="187"/>
      <c r="W1073" s="187"/>
      <c r="X1073" s="187"/>
      <c r="Y1073" s="187"/>
      <c r="Z1073" s="187"/>
      <c r="AA1073" s="187"/>
      <c r="AB1073" s="187"/>
      <c r="AC1073" s="187"/>
      <c r="AD1073" s="187"/>
      <c r="AE1073" s="187"/>
      <c r="AF1073" s="187"/>
      <c r="AG1073" s="187"/>
      <c r="AH1073" s="187"/>
      <c r="AI1073" s="187"/>
      <c r="AJ1073" s="187"/>
      <c r="AK1073" s="187"/>
      <c r="AL1073" s="187"/>
    </row>
    <row r="1074" spans="2:38" ht="12.75" customHeight="1">
      <c r="B1074" s="6"/>
      <c r="C1074" s="20"/>
      <c r="D1074" s="12"/>
      <c r="E1074" s="12"/>
      <c r="F1074" s="12"/>
      <c r="G1074" s="12"/>
      <c r="H1074" s="20"/>
      <c r="I1074" s="187"/>
      <c r="J1074" s="187"/>
      <c r="K1074" s="187"/>
      <c r="L1074" s="187"/>
      <c r="M1074" s="187"/>
      <c r="N1074" s="187"/>
      <c r="O1074" s="187"/>
      <c r="P1074" s="187"/>
      <c r="Q1074" s="187"/>
      <c r="R1074" s="187"/>
      <c r="S1074" s="187"/>
      <c r="T1074" s="187"/>
      <c r="U1074" s="187"/>
      <c r="V1074" s="187"/>
      <c r="W1074" s="187"/>
      <c r="X1074" s="187"/>
      <c r="Y1074" s="187"/>
      <c r="Z1074" s="187"/>
      <c r="AA1074" s="187"/>
      <c r="AB1074" s="187"/>
      <c r="AC1074" s="187"/>
      <c r="AD1074" s="187"/>
      <c r="AE1074" s="187"/>
      <c r="AF1074" s="187"/>
      <c r="AG1074" s="187"/>
      <c r="AH1074" s="187"/>
      <c r="AI1074" s="187"/>
      <c r="AJ1074" s="187"/>
      <c r="AK1074" s="187"/>
      <c r="AL1074" s="187"/>
    </row>
    <row r="1075" spans="2:38" ht="12.75" customHeight="1">
      <c r="B1075" s="6"/>
      <c r="C1075" s="20"/>
      <c r="D1075" s="12"/>
      <c r="E1075" s="12"/>
      <c r="F1075" s="12"/>
      <c r="G1075" s="12"/>
      <c r="H1075" s="20"/>
      <c r="I1075" s="187"/>
      <c r="J1075" s="187"/>
      <c r="K1075" s="187"/>
      <c r="L1075" s="187"/>
      <c r="M1075" s="187"/>
      <c r="N1075" s="187"/>
      <c r="O1075" s="187"/>
      <c r="P1075" s="187"/>
      <c r="Q1075" s="187"/>
      <c r="R1075" s="187"/>
      <c r="S1075" s="187"/>
      <c r="T1075" s="187"/>
      <c r="U1075" s="187"/>
      <c r="V1075" s="187"/>
      <c r="W1075" s="187"/>
      <c r="X1075" s="187"/>
      <c r="Y1075" s="187"/>
      <c r="Z1075" s="187"/>
      <c r="AA1075" s="187"/>
      <c r="AB1075" s="187"/>
      <c r="AC1075" s="187"/>
      <c r="AD1075" s="187"/>
      <c r="AE1075" s="187"/>
      <c r="AF1075" s="187"/>
      <c r="AG1075" s="187"/>
      <c r="AH1075" s="187"/>
      <c r="AI1075" s="187"/>
      <c r="AJ1075" s="187"/>
      <c r="AK1075" s="187"/>
      <c r="AL1075" s="187"/>
    </row>
    <row r="1076" spans="2:38" ht="12.75" customHeight="1">
      <c r="B1076" s="6"/>
      <c r="C1076" s="20"/>
      <c r="D1076" s="12"/>
      <c r="E1076" s="12"/>
      <c r="F1076" s="12"/>
      <c r="G1076" s="12"/>
      <c r="H1076" s="20"/>
      <c r="I1076" s="187"/>
      <c r="J1076" s="187"/>
      <c r="K1076" s="187"/>
      <c r="L1076" s="187"/>
      <c r="M1076" s="187"/>
      <c r="N1076" s="187"/>
      <c r="O1076" s="187"/>
      <c r="P1076" s="187"/>
      <c r="Q1076" s="187"/>
      <c r="R1076" s="187"/>
      <c r="S1076" s="187"/>
      <c r="T1076" s="187"/>
      <c r="U1076" s="187"/>
      <c r="V1076" s="187"/>
      <c r="W1076" s="187"/>
      <c r="X1076" s="187"/>
      <c r="Y1076" s="187"/>
      <c r="Z1076" s="187"/>
      <c r="AA1076" s="187"/>
      <c r="AB1076" s="187"/>
      <c r="AC1076" s="187"/>
      <c r="AD1076" s="187"/>
      <c r="AE1076" s="187"/>
      <c r="AF1076" s="187"/>
      <c r="AG1076" s="187"/>
      <c r="AH1076" s="187"/>
      <c r="AI1076" s="187"/>
      <c r="AJ1076" s="187"/>
      <c r="AK1076" s="187"/>
      <c r="AL1076" s="187"/>
    </row>
    <row r="1077" spans="2:38" ht="12.75" customHeight="1">
      <c r="B1077" s="6"/>
      <c r="C1077" s="20"/>
      <c r="D1077" s="12"/>
      <c r="E1077" s="12"/>
      <c r="F1077" s="12"/>
      <c r="G1077" s="12"/>
      <c r="H1077" s="20"/>
      <c r="I1077" s="187"/>
      <c r="J1077" s="187"/>
      <c r="K1077" s="187"/>
      <c r="L1077" s="187"/>
      <c r="M1077" s="187"/>
      <c r="N1077" s="187"/>
      <c r="O1077" s="187"/>
      <c r="P1077" s="187"/>
      <c r="Q1077" s="187"/>
      <c r="R1077" s="187"/>
      <c r="S1077" s="187"/>
      <c r="T1077" s="187"/>
      <c r="U1077" s="187"/>
      <c r="V1077" s="187"/>
      <c r="W1077" s="187"/>
      <c r="X1077" s="187"/>
      <c r="Y1077" s="187"/>
      <c r="Z1077" s="187"/>
      <c r="AA1077" s="187"/>
      <c r="AB1077" s="187"/>
      <c r="AC1077" s="187"/>
      <c r="AD1077" s="187"/>
      <c r="AE1077" s="187"/>
      <c r="AF1077" s="187"/>
      <c r="AG1077" s="187"/>
      <c r="AH1077" s="187"/>
      <c r="AI1077" s="187"/>
      <c r="AJ1077" s="187"/>
      <c r="AK1077" s="187"/>
      <c r="AL1077" s="187"/>
    </row>
    <row r="1078" spans="2:38" ht="12.75" customHeight="1">
      <c r="B1078" s="6"/>
      <c r="C1078" s="20"/>
      <c r="D1078" s="12"/>
      <c r="E1078" s="12"/>
      <c r="F1078" s="12"/>
      <c r="G1078" s="12"/>
      <c r="H1078" s="20"/>
      <c r="I1078" s="187"/>
      <c r="J1078" s="187"/>
      <c r="K1078" s="187"/>
      <c r="L1078" s="187"/>
      <c r="M1078" s="187"/>
      <c r="N1078" s="187"/>
      <c r="O1078" s="187"/>
      <c r="P1078" s="187"/>
      <c r="Q1078" s="187"/>
      <c r="R1078" s="187"/>
      <c r="S1078" s="187"/>
      <c r="T1078" s="187"/>
      <c r="U1078" s="187"/>
      <c r="V1078" s="187"/>
      <c r="W1078" s="187"/>
      <c r="X1078" s="187"/>
      <c r="Y1078" s="187"/>
      <c r="Z1078" s="187"/>
      <c r="AA1078" s="187"/>
      <c r="AB1078" s="187"/>
      <c r="AC1078" s="187"/>
      <c r="AD1078" s="187"/>
      <c r="AE1078" s="187"/>
      <c r="AF1078" s="187"/>
      <c r="AG1078" s="187"/>
      <c r="AH1078" s="187"/>
      <c r="AI1078" s="187"/>
      <c r="AJ1078" s="187"/>
      <c r="AK1078" s="187"/>
      <c r="AL1078" s="187"/>
    </row>
    <row r="1079" spans="2:38" ht="12.75" customHeight="1">
      <c r="B1079" s="6"/>
      <c r="C1079" s="20"/>
      <c r="D1079" s="12"/>
      <c r="E1079" s="12"/>
      <c r="F1079" s="12"/>
      <c r="G1079" s="12"/>
      <c r="H1079" s="20"/>
      <c r="I1079" s="187"/>
      <c r="J1079" s="187"/>
      <c r="K1079" s="187"/>
      <c r="L1079" s="187"/>
      <c r="M1079" s="187"/>
      <c r="N1079" s="187"/>
      <c r="O1079" s="187"/>
      <c r="P1079" s="187"/>
      <c r="Q1079" s="187"/>
      <c r="R1079" s="187"/>
      <c r="S1079" s="187"/>
      <c r="T1079" s="187"/>
      <c r="U1079" s="187"/>
      <c r="V1079" s="187"/>
      <c r="W1079" s="187"/>
      <c r="X1079" s="187"/>
      <c r="Y1079" s="187"/>
      <c r="Z1079" s="187"/>
      <c r="AA1079" s="187"/>
      <c r="AB1079" s="187"/>
      <c r="AC1079" s="187"/>
      <c r="AD1079" s="187"/>
      <c r="AE1079" s="187"/>
      <c r="AF1079" s="187"/>
      <c r="AG1079" s="187"/>
      <c r="AH1079" s="187"/>
      <c r="AI1079" s="187"/>
      <c r="AJ1079" s="187"/>
      <c r="AK1079" s="187"/>
      <c r="AL1079" s="187"/>
    </row>
    <row r="1080" spans="2:38" ht="12.75" customHeight="1">
      <c r="B1080" s="6"/>
      <c r="C1080" s="20"/>
      <c r="D1080" s="12"/>
      <c r="E1080" s="12"/>
      <c r="F1080" s="12"/>
      <c r="G1080" s="12"/>
      <c r="H1080" s="20"/>
      <c r="I1080" s="187"/>
      <c r="J1080" s="187"/>
      <c r="K1080" s="187"/>
      <c r="L1080" s="187"/>
      <c r="M1080" s="187"/>
      <c r="N1080" s="187"/>
      <c r="O1080" s="187"/>
      <c r="P1080" s="187"/>
      <c r="Q1080" s="187"/>
      <c r="R1080" s="187"/>
      <c r="S1080" s="187"/>
      <c r="T1080" s="187"/>
      <c r="U1080" s="187"/>
      <c r="V1080" s="187"/>
      <c r="W1080" s="187"/>
      <c r="X1080" s="187"/>
      <c r="Y1080" s="187"/>
      <c r="Z1080" s="187"/>
      <c r="AA1080" s="187"/>
      <c r="AB1080" s="187"/>
      <c r="AC1080" s="187"/>
      <c r="AD1080" s="187"/>
      <c r="AE1080" s="187"/>
      <c r="AF1080" s="187"/>
      <c r="AG1080" s="187"/>
      <c r="AH1080" s="187"/>
      <c r="AI1080" s="187"/>
      <c r="AJ1080" s="187"/>
      <c r="AK1080" s="187"/>
      <c r="AL1080" s="187"/>
    </row>
    <row r="1081" spans="2:38" ht="12.75" customHeight="1">
      <c r="B1081" s="6"/>
      <c r="C1081" s="20"/>
      <c r="D1081" s="12"/>
      <c r="E1081" s="12"/>
      <c r="F1081" s="12"/>
      <c r="G1081" s="12"/>
      <c r="H1081" s="20"/>
      <c r="I1081" s="187"/>
      <c r="J1081" s="187"/>
      <c r="K1081" s="187"/>
      <c r="L1081" s="187"/>
      <c r="M1081" s="187"/>
      <c r="N1081" s="187"/>
      <c r="O1081" s="187"/>
      <c r="P1081" s="187"/>
      <c r="Q1081" s="187"/>
      <c r="R1081" s="187"/>
      <c r="S1081" s="187"/>
      <c r="T1081" s="187"/>
      <c r="U1081" s="187"/>
      <c r="V1081" s="187"/>
      <c r="W1081" s="187"/>
      <c r="X1081" s="187"/>
      <c r="Y1081" s="187"/>
      <c r="Z1081" s="187"/>
      <c r="AA1081" s="187"/>
      <c r="AB1081" s="187"/>
      <c r="AC1081" s="187"/>
      <c r="AD1081" s="187"/>
      <c r="AE1081" s="187"/>
      <c r="AF1081" s="187"/>
      <c r="AG1081" s="187"/>
      <c r="AH1081" s="187"/>
      <c r="AI1081" s="187"/>
      <c r="AJ1081" s="187"/>
      <c r="AK1081" s="187"/>
      <c r="AL1081" s="187"/>
    </row>
    <row r="1082" spans="2:38" ht="12.75" customHeight="1">
      <c r="B1082" s="6"/>
      <c r="C1082" s="20"/>
      <c r="D1082" s="12"/>
      <c r="E1082" s="12"/>
      <c r="F1082" s="12"/>
      <c r="G1082" s="12"/>
      <c r="H1082" s="20"/>
      <c r="I1082" s="187"/>
      <c r="J1082" s="187"/>
      <c r="K1082" s="187"/>
      <c r="L1082" s="187"/>
      <c r="M1082" s="187"/>
      <c r="N1082" s="187"/>
      <c r="O1082" s="187"/>
      <c r="P1082" s="187"/>
      <c r="Q1082" s="187"/>
      <c r="R1082" s="187"/>
      <c r="S1082" s="187"/>
      <c r="T1082" s="187"/>
      <c r="U1082" s="187"/>
      <c r="V1082" s="187"/>
      <c r="W1082" s="187"/>
      <c r="X1082" s="187"/>
      <c r="Y1082" s="187"/>
      <c r="Z1082" s="187"/>
      <c r="AA1082" s="187"/>
      <c r="AB1082" s="187"/>
      <c r="AC1082" s="187"/>
      <c r="AD1082" s="187"/>
      <c r="AE1082" s="187"/>
      <c r="AF1082" s="187"/>
      <c r="AG1082" s="187"/>
      <c r="AH1082" s="187"/>
      <c r="AI1082" s="187"/>
      <c r="AJ1082" s="187"/>
      <c r="AK1082" s="187"/>
      <c r="AL1082" s="187"/>
    </row>
    <row r="1083" spans="2:38" ht="12.75" customHeight="1">
      <c r="B1083" s="6"/>
      <c r="C1083" s="20"/>
      <c r="D1083" s="12"/>
      <c r="E1083" s="12"/>
      <c r="F1083" s="12"/>
      <c r="G1083" s="12"/>
      <c r="H1083" s="20"/>
      <c r="I1083" s="187"/>
      <c r="J1083" s="187"/>
      <c r="K1083" s="187"/>
      <c r="L1083" s="187"/>
      <c r="M1083" s="187"/>
      <c r="N1083" s="187"/>
      <c r="O1083" s="187"/>
      <c r="P1083" s="187"/>
      <c r="Q1083" s="187"/>
      <c r="R1083" s="187"/>
      <c r="S1083" s="187"/>
      <c r="T1083" s="187"/>
      <c r="U1083" s="187"/>
      <c r="V1083" s="187"/>
      <c r="W1083" s="187"/>
      <c r="X1083" s="187"/>
      <c r="Y1083" s="187"/>
      <c r="Z1083" s="187"/>
      <c r="AA1083" s="187"/>
      <c r="AB1083" s="187"/>
      <c r="AC1083" s="187"/>
      <c r="AD1083" s="187"/>
      <c r="AE1083" s="187"/>
      <c r="AF1083" s="187"/>
      <c r="AG1083" s="187"/>
      <c r="AH1083" s="187"/>
      <c r="AI1083" s="187"/>
      <c r="AJ1083" s="187"/>
      <c r="AK1083" s="187"/>
      <c r="AL1083" s="187"/>
    </row>
    <row r="1084" spans="2:38" ht="12.75" customHeight="1">
      <c r="B1084" s="6"/>
      <c r="C1084" s="20"/>
      <c r="D1084" s="12"/>
      <c r="E1084" s="12"/>
      <c r="F1084" s="12"/>
      <c r="G1084" s="12"/>
      <c r="H1084" s="20"/>
      <c r="I1084" s="187"/>
      <c r="J1084" s="187"/>
      <c r="K1084" s="187"/>
      <c r="L1084" s="187"/>
      <c r="M1084" s="187"/>
      <c r="N1084" s="187"/>
      <c r="O1084" s="187"/>
      <c r="P1084" s="187"/>
      <c r="Q1084" s="187"/>
      <c r="R1084" s="187"/>
      <c r="S1084" s="187"/>
      <c r="T1084" s="187"/>
      <c r="U1084" s="187"/>
      <c r="V1084" s="187"/>
      <c r="W1084" s="187"/>
      <c r="X1084" s="187"/>
      <c r="Y1084" s="187"/>
      <c r="Z1084" s="187"/>
      <c r="AA1084" s="187"/>
      <c r="AB1084" s="187"/>
      <c r="AC1084" s="187"/>
      <c r="AD1084" s="187"/>
      <c r="AE1084" s="187"/>
      <c r="AF1084" s="187"/>
      <c r="AG1084" s="187"/>
      <c r="AH1084" s="187"/>
      <c r="AI1084" s="187"/>
      <c r="AJ1084" s="187"/>
      <c r="AK1084" s="187"/>
      <c r="AL1084" s="187"/>
    </row>
    <row r="1085" spans="2:38" ht="12.75" customHeight="1">
      <c r="B1085" s="6"/>
      <c r="C1085" s="20"/>
      <c r="D1085" s="12"/>
      <c r="E1085" s="12"/>
      <c r="F1085" s="12"/>
      <c r="G1085" s="12"/>
      <c r="H1085" s="20"/>
      <c r="I1085" s="187"/>
      <c r="J1085" s="187"/>
      <c r="K1085" s="187"/>
      <c r="L1085" s="187"/>
      <c r="M1085" s="187"/>
      <c r="N1085" s="187"/>
      <c r="O1085" s="187"/>
      <c r="P1085" s="187"/>
      <c r="Q1085" s="187"/>
      <c r="R1085" s="187"/>
      <c r="S1085" s="187"/>
      <c r="T1085" s="187"/>
      <c r="U1085" s="187"/>
      <c r="V1085" s="187"/>
      <c r="W1085" s="187"/>
      <c r="X1085" s="187"/>
      <c r="Y1085" s="187"/>
      <c r="Z1085" s="187"/>
      <c r="AA1085" s="187"/>
      <c r="AB1085" s="187"/>
      <c r="AC1085" s="187"/>
      <c r="AD1085" s="187"/>
      <c r="AE1085" s="187"/>
      <c r="AF1085" s="187"/>
      <c r="AG1085" s="187"/>
      <c r="AH1085" s="187"/>
      <c r="AI1085" s="187"/>
      <c r="AJ1085" s="187"/>
      <c r="AK1085" s="187"/>
      <c r="AL1085" s="187"/>
    </row>
    <row r="1086" spans="2:38" ht="12.75" customHeight="1">
      <c r="B1086" s="6"/>
      <c r="C1086" s="20"/>
      <c r="D1086" s="12"/>
      <c r="E1086" s="12"/>
      <c r="F1086" s="12"/>
      <c r="G1086" s="12"/>
      <c r="H1086" s="20"/>
      <c r="I1086" s="187"/>
      <c r="J1086" s="187"/>
      <c r="K1086" s="187"/>
      <c r="L1086" s="187"/>
      <c r="M1086" s="187"/>
      <c r="N1086" s="187"/>
      <c r="O1086" s="187"/>
      <c r="P1086" s="187"/>
      <c r="Q1086" s="187"/>
      <c r="R1086" s="187"/>
      <c r="S1086" s="187"/>
      <c r="T1086" s="187"/>
      <c r="U1086" s="187"/>
      <c r="V1086" s="187"/>
      <c r="W1086" s="187"/>
      <c r="X1086" s="187"/>
      <c r="Y1086" s="187"/>
      <c r="Z1086" s="187"/>
      <c r="AA1086" s="187"/>
      <c r="AB1086" s="187"/>
      <c r="AC1086" s="187"/>
      <c r="AD1086" s="187"/>
      <c r="AE1086" s="187"/>
      <c r="AF1086" s="187"/>
      <c r="AG1086" s="187"/>
      <c r="AH1086" s="187"/>
      <c r="AI1086" s="187"/>
      <c r="AJ1086" s="187"/>
      <c r="AK1086" s="187"/>
      <c r="AL1086" s="187"/>
    </row>
    <row r="1087" spans="2:38" ht="12.75" customHeight="1">
      <c r="B1087" s="6"/>
      <c r="C1087" s="20"/>
      <c r="D1087" s="12"/>
      <c r="E1087" s="12"/>
      <c r="F1087" s="12"/>
      <c r="G1087" s="12"/>
      <c r="H1087" s="20"/>
      <c r="I1087" s="187"/>
      <c r="J1087" s="187"/>
      <c r="K1087" s="187"/>
      <c r="L1087" s="187"/>
      <c r="M1087" s="187"/>
      <c r="N1087" s="187"/>
      <c r="O1087" s="187"/>
      <c r="P1087" s="187"/>
      <c r="Q1087" s="187"/>
      <c r="R1087" s="187"/>
      <c r="S1087" s="187"/>
      <c r="T1087" s="187"/>
      <c r="U1087" s="187"/>
      <c r="V1087" s="187"/>
      <c r="W1087" s="187"/>
      <c r="X1087" s="187"/>
      <c r="Y1087" s="187"/>
      <c r="Z1087" s="187"/>
      <c r="AA1087" s="187"/>
      <c r="AB1087" s="187"/>
      <c r="AC1087" s="187"/>
      <c r="AD1087" s="187"/>
      <c r="AE1087" s="187"/>
      <c r="AF1087" s="187"/>
      <c r="AG1087" s="187"/>
      <c r="AH1087" s="187"/>
      <c r="AI1087" s="187"/>
      <c r="AJ1087" s="187"/>
      <c r="AK1087" s="187"/>
      <c r="AL1087" s="187"/>
    </row>
    <row r="1088" spans="2:38" ht="12.75" customHeight="1">
      <c r="B1088" s="6"/>
      <c r="C1088" s="20"/>
      <c r="D1088" s="12"/>
      <c r="E1088" s="12"/>
      <c r="F1088" s="12"/>
      <c r="G1088" s="12"/>
      <c r="H1088" s="20"/>
      <c r="I1088" s="187"/>
      <c r="J1088" s="187"/>
      <c r="K1088" s="187"/>
      <c r="L1088" s="187"/>
      <c r="M1088" s="187"/>
      <c r="N1088" s="187"/>
      <c r="O1088" s="187"/>
      <c r="P1088" s="187"/>
      <c r="Q1088" s="187"/>
      <c r="R1088" s="187"/>
      <c r="S1088" s="187"/>
      <c r="T1088" s="187"/>
      <c r="U1088" s="187"/>
      <c r="V1088" s="187"/>
      <c r="W1088" s="187"/>
      <c r="X1088" s="187"/>
      <c r="Y1088" s="187"/>
      <c r="Z1088" s="187"/>
      <c r="AA1088" s="187"/>
      <c r="AB1088" s="187"/>
      <c r="AC1088" s="187"/>
      <c r="AD1088" s="187"/>
      <c r="AE1088" s="187"/>
      <c r="AF1088" s="187"/>
      <c r="AG1088" s="187"/>
      <c r="AH1088" s="187"/>
      <c r="AI1088" s="187"/>
      <c r="AJ1088" s="187"/>
      <c r="AK1088" s="187"/>
      <c r="AL1088" s="187"/>
    </row>
    <row r="1089" spans="2:38" ht="12.75" customHeight="1">
      <c r="B1089" s="6"/>
      <c r="C1089" s="20"/>
      <c r="D1089" s="12"/>
      <c r="E1089" s="12"/>
      <c r="F1089" s="189"/>
      <c r="G1089" s="189"/>
      <c r="H1089" s="20"/>
      <c r="I1089" s="188"/>
      <c r="J1089" s="188"/>
      <c r="K1089" s="188"/>
      <c r="L1089" s="188"/>
      <c r="M1089" s="188"/>
      <c r="N1089" s="188"/>
      <c r="O1089" s="188"/>
      <c r="P1089" s="188"/>
      <c r="Q1089" s="188"/>
      <c r="R1089" s="188"/>
      <c r="S1089" s="188"/>
      <c r="T1089" s="188"/>
      <c r="U1089" s="188"/>
      <c r="V1089" s="188"/>
      <c r="W1089" s="188"/>
      <c r="X1089" s="188"/>
      <c r="Y1089" s="188"/>
      <c r="Z1089" s="188"/>
      <c r="AA1089" s="188"/>
      <c r="AB1089" s="188"/>
      <c r="AC1089" s="188"/>
      <c r="AD1089" s="188"/>
      <c r="AE1089" s="188"/>
      <c r="AF1089" s="188"/>
      <c r="AG1089" s="188"/>
      <c r="AH1089" s="188"/>
      <c r="AI1089" s="188"/>
      <c r="AJ1089" s="188"/>
      <c r="AK1089" s="188"/>
      <c r="AL1089" s="188"/>
    </row>
    <row r="1090" spans="2:38" ht="12.75" customHeight="1">
      <c r="B1090" s="6"/>
      <c r="C1090" s="20"/>
      <c r="D1090" s="12"/>
      <c r="E1090" s="12"/>
      <c r="F1090" s="12"/>
      <c r="G1090" s="12"/>
      <c r="H1090" s="20"/>
      <c r="I1090" s="187"/>
      <c r="J1090" s="187"/>
      <c r="K1090" s="187"/>
      <c r="L1090" s="187"/>
      <c r="M1090" s="187"/>
      <c r="N1090" s="187"/>
      <c r="O1090" s="187"/>
      <c r="P1090" s="187"/>
      <c r="Q1090" s="187"/>
      <c r="R1090" s="187"/>
      <c r="S1090" s="187"/>
      <c r="T1090" s="187"/>
      <c r="U1090" s="187"/>
      <c r="V1090" s="187"/>
      <c r="W1090" s="187"/>
      <c r="X1090" s="187"/>
      <c r="Y1090" s="187"/>
      <c r="Z1090" s="187"/>
      <c r="AA1090" s="187"/>
      <c r="AB1090" s="187"/>
      <c r="AC1090" s="187"/>
      <c r="AD1090" s="187"/>
      <c r="AE1090" s="187"/>
      <c r="AF1090" s="187"/>
      <c r="AG1090" s="187"/>
      <c r="AH1090" s="187"/>
      <c r="AI1090" s="187"/>
      <c r="AJ1090" s="187"/>
      <c r="AK1090" s="187"/>
      <c r="AL1090" s="187"/>
    </row>
    <row r="1091" spans="2:38" ht="12.75" customHeight="1">
      <c r="B1091" s="6"/>
      <c r="C1091" s="20"/>
      <c r="D1091" s="12"/>
      <c r="E1091" s="12"/>
      <c r="F1091" s="12"/>
      <c r="G1091" s="12"/>
      <c r="H1091" s="20"/>
      <c r="I1091" s="187"/>
      <c r="J1091" s="187"/>
      <c r="K1091" s="187"/>
      <c r="L1091" s="187"/>
      <c r="M1091" s="187"/>
      <c r="N1091" s="187"/>
      <c r="O1091" s="187"/>
      <c r="P1091" s="187"/>
      <c r="Q1091" s="187"/>
      <c r="R1091" s="187"/>
      <c r="S1091" s="187"/>
      <c r="T1091" s="187"/>
      <c r="U1091" s="187"/>
      <c r="V1091" s="187"/>
      <c r="W1091" s="187"/>
      <c r="X1091" s="187"/>
      <c r="Y1091" s="187"/>
      <c r="Z1091" s="187"/>
      <c r="AA1091" s="187"/>
      <c r="AB1091" s="187"/>
      <c r="AC1091" s="187"/>
      <c r="AD1091" s="187"/>
      <c r="AE1091" s="187"/>
      <c r="AF1091" s="187"/>
      <c r="AG1091" s="187"/>
      <c r="AH1091" s="187"/>
      <c r="AI1091" s="187"/>
      <c r="AJ1091" s="187"/>
      <c r="AK1091" s="187"/>
      <c r="AL1091" s="187"/>
    </row>
    <row r="1092" spans="2:38" ht="12.75" customHeight="1">
      <c r="B1092" s="6"/>
      <c r="C1092" s="20"/>
      <c r="D1092" s="12"/>
      <c r="E1092" s="12"/>
      <c r="F1092" s="12"/>
      <c r="G1092" s="12"/>
      <c r="H1092" s="20"/>
      <c r="I1092" s="187"/>
      <c r="J1092" s="187"/>
      <c r="K1092" s="187"/>
      <c r="L1092" s="187"/>
      <c r="M1092" s="187"/>
      <c r="N1092" s="187"/>
      <c r="O1092" s="187"/>
      <c r="P1092" s="187"/>
      <c r="Q1092" s="187"/>
      <c r="R1092" s="187"/>
      <c r="S1092" s="187"/>
      <c r="T1092" s="187"/>
      <c r="U1092" s="187"/>
      <c r="V1092" s="187"/>
      <c r="W1092" s="187"/>
      <c r="X1092" s="187"/>
      <c r="Y1092" s="187"/>
      <c r="Z1092" s="187"/>
      <c r="AA1092" s="187"/>
      <c r="AB1092" s="187"/>
      <c r="AC1092" s="187"/>
      <c r="AD1092" s="187"/>
      <c r="AE1092" s="187"/>
      <c r="AF1092" s="187"/>
      <c r="AG1092" s="187"/>
      <c r="AH1092" s="187"/>
      <c r="AI1092" s="187"/>
      <c r="AJ1092" s="187"/>
      <c r="AK1092" s="187"/>
      <c r="AL1092" s="187"/>
    </row>
    <row r="1093" spans="2:38" ht="12.75" customHeight="1">
      <c r="B1093" s="6"/>
      <c r="C1093" s="20"/>
      <c r="D1093" s="12"/>
      <c r="E1093" s="12"/>
      <c r="F1093" s="12"/>
      <c r="G1093" s="12"/>
      <c r="H1093" s="20"/>
      <c r="I1093" s="187"/>
      <c r="J1093" s="187"/>
      <c r="K1093" s="187"/>
      <c r="L1093" s="187"/>
      <c r="M1093" s="187"/>
      <c r="N1093" s="187"/>
      <c r="O1093" s="187"/>
      <c r="P1093" s="187"/>
      <c r="Q1093" s="187"/>
      <c r="R1093" s="187"/>
      <c r="S1093" s="187"/>
      <c r="T1093" s="187"/>
      <c r="U1093" s="187"/>
      <c r="V1093" s="187"/>
      <c r="W1093" s="187"/>
      <c r="X1093" s="187"/>
      <c r="Y1093" s="187"/>
      <c r="Z1093" s="187"/>
      <c r="AA1093" s="187"/>
      <c r="AB1093" s="187"/>
      <c r="AC1093" s="187"/>
      <c r="AD1093" s="187"/>
      <c r="AE1093" s="187"/>
      <c r="AF1093" s="187"/>
      <c r="AG1093" s="187"/>
      <c r="AH1093" s="187"/>
      <c r="AI1093" s="187"/>
      <c r="AJ1093" s="187"/>
      <c r="AK1093" s="187"/>
      <c r="AL1093" s="187"/>
    </row>
    <row r="1094" spans="2:38" ht="12.75" customHeight="1">
      <c r="B1094" s="6"/>
      <c r="C1094" s="20"/>
      <c r="D1094" s="12"/>
      <c r="E1094" s="12"/>
      <c r="F1094" s="12"/>
      <c r="G1094" s="12"/>
      <c r="H1094" s="20"/>
      <c r="I1094" s="187"/>
      <c r="J1094" s="187"/>
      <c r="K1094" s="187"/>
      <c r="L1094" s="187"/>
      <c r="M1094" s="187"/>
      <c r="N1094" s="187"/>
      <c r="O1094" s="187"/>
      <c r="P1094" s="187"/>
      <c r="Q1094" s="187"/>
      <c r="R1094" s="187"/>
      <c r="S1094" s="187"/>
      <c r="T1094" s="187"/>
      <c r="U1094" s="187"/>
      <c r="V1094" s="187"/>
      <c r="W1094" s="187"/>
      <c r="X1094" s="187"/>
      <c r="Y1094" s="187"/>
      <c r="Z1094" s="187"/>
      <c r="AA1094" s="187"/>
      <c r="AB1094" s="187"/>
      <c r="AC1094" s="187"/>
      <c r="AD1094" s="187"/>
      <c r="AE1094" s="187"/>
      <c r="AF1094" s="187"/>
      <c r="AG1094" s="187"/>
      <c r="AH1094" s="187"/>
      <c r="AI1094" s="187"/>
      <c r="AJ1094" s="187"/>
      <c r="AK1094" s="187"/>
      <c r="AL1094" s="187"/>
    </row>
    <row r="1095" spans="2:38" ht="12.75" customHeight="1">
      <c r="B1095" s="6"/>
      <c r="C1095" s="20"/>
      <c r="D1095" s="12"/>
      <c r="E1095" s="12"/>
      <c r="F1095" s="12"/>
      <c r="G1095" s="12"/>
      <c r="H1095" s="20"/>
      <c r="I1095" s="187"/>
      <c r="J1095" s="187"/>
      <c r="K1095" s="187"/>
      <c r="L1095" s="187"/>
      <c r="M1095" s="187"/>
      <c r="N1095" s="187"/>
      <c r="O1095" s="187"/>
      <c r="P1095" s="187"/>
      <c r="Q1095" s="187"/>
      <c r="R1095" s="187"/>
      <c r="S1095" s="187"/>
      <c r="T1095" s="187"/>
      <c r="U1095" s="187"/>
      <c r="V1095" s="187"/>
      <c r="W1095" s="187"/>
      <c r="X1095" s="187"/>
      <c r="Y1095" s="187"/>
      <c r="Z1095" s="187"/>
      <c r="AA1095" s="187"/>
      <c r="AB1095" s="187"/>
      <c r="AC1095" s="187"/>
      <c r="AD1095" s="187"/>
      <c r="AE1095" s="187"/>
      <c r="AF1095" s="187"/>
      <c r="AG1095" s="187"/>
      <c r="AH1095" s="187"/>
      <c r="AI1095" s="187"/>
      <c r="AJ1095" s="187"/>
      <c r="AK1095" s="187"/>
      <c r="AL1095" s="187"/>
    </row>
    <row r="1096" spans="2:38" ht="12.75" customHeight="1">
      <c r="B1096" s="6"/>
      <c r="C1096" s="20"/>
      <c r="D1096" s="12"/>
      <c r="E1096" s="12"/>
      <c r="F1096" s="12"/>
      <c r="G1096" s="12"/>
      <c r="H1096" s="20"/>
      <c r="I1096" s="187"/>
      <c r="J1096" s="187"/>
      <c r="K1096" s="187"/>
      <c r="L1096" s="187"/>
      <c r="M1096" s="187"/>
      <c r="N1096" s="187"/>
      <c r="O1096" s="187"/>
      <c r="P1096" s="187"/>
      <c r="Q1096" s="187"/>
      <c r="R1096" s="187"/>
      <c r="S1096" s="187"/>
      <c r="T1096" s="187"/>
      <c r="U1096" s="187"/>
      <c r="V1096" s="187"/>
      <c r="W1096" s="187"/>
      <c r="X1096" s="187"/>
      <c r="Y1096" s="187"/>
      <c r="Z1096" s="187"/>
      <c r="AA1096" s="187"/>
      <c r="AB1096" s="187"/>
      <c r="AC1096" s="187"/>
      <c r="AD1096" s="187"/>
      <c r="AE1096" s="187"/>
      <c r="AF1096" s="187"/>
      <c r="AG1096" s="187"/>
      <c r="AH1096" s="187"/>
      <c r="AI1096" s="187"/>
      <c r="AJ1096" s="187"/>
      <c r="AK1096" s="187"/>
      <c r="AL1096" s="187"/>
    </row>
    <row r="1097" spans="2:38" ht="12.75" customHeight="1">
      <c r="B1097" s="6"/>
      <c r="C1097" s="20"/>
      <c r="D1097" s="12"/>
      <c r="E1097" s="12"/>
      <c r="F1097" s="12"/>
      <c r="G1097" s="12"/>
      <c r="H1097" s="20"/>
      <c r="I1097" s="187"/>
      <c r="J1097" s="187"/>
      <c r="K1097" s="187"/>
      <c r="L1097" s="187"/>
      <c r="M1097" s="187"/>
      <c r="N1097" s="187"/>
      <c r="O1097" s="187"/>
      <c r="P1097" s="187"/>
      <c r="Q1097" s="187"/>
      <c r="R1097" s="187"/>
      <c r="S1097" s="187"/>
      <c r="T1097" s="187"/>
      <c r="U1097" s="187"/>
      <c r="V1097" s="187"/>
      <c r="W1097" s="187"/>
      <c r="X1097" s="187"/>
      <c r="Y1097" s="187"/>
      <c r="Z1097" s="187"/>
      <c r="AA1097" s="187"/>
      <c r="AB1097" s="187"/>
      <c r="AC1097" s="187"/>
      <c r="AD1097" s="187"/>
      <c r="AE1097" s="187"/>
      <c r="AF1097" s="187"/>
      <c r="AG1097" s="187"/>
      <c r="AH1097" s="187"/>
      <c r="AI1097" s="187"/>
      <c r="AJ1097" s="187"/>
      <c r="AK1097" s="187"/>
      <c r="AL1097" s="187"/>
    </row>
    <row r="1098" spans="2:38" ht="12.75" customHeight="1">
      <c r="B1098" s="6"/>
      <c r="C1098" s="20"/>
      <c r="D1098" s="12"/>
      <c r="E1098" s="12"/>
      <c r="F1098" s="12"/>
      <c r="G1098" s="12"/>
      <c r="H1098" s="20"/>
      <c r="I1098" s="187"/>
      <c r="J1098" s="187"/>
      <c r="K1098" s="187"/>
      <c r="L1098" s="187"/>
      <c r="M1098" s="187"/>
      <c r="N1098" s="187"/>
      <c r="O1098" s="187"/>
      <c r="P1098" s="187"/>
      <c r="Q1098" s="187"/>
      <c r="R1098" s="187"/>
      <c r="S1098" s="187"/>
      <c r="T1098" s="187"/>
      <c r="U1098" s="187"/>
      <c r="V1098" s="187"/>
      <c r="W1098" s="187"/>
      <c r="X1098" s="187"/>
      <c r="Y1098" s="187"/>
      <c r="Z1098" s="187"/>
      <c r="AA1098" s="187"/>
      <c r="AB1098" s="187"/>
      <c r="AC1098" s="187"/>
      <c r="AD1098" s="187"/>
      <c r="AE1098" s="187"/>
      <c r="AF1098" s="187"/>
      <c r="AG1098" s="187"/>
      <c r="AH1098" s="187"/>
      <c r="AI1098" s="187"/>
      <c r="AJ1098" s="187"/>
      <c r="AK1098" s="187"/>
      <c r="AL1098" s="187"/>
    </row>
    <row r="1099" spans="2:38" ht="12.75" customHeight="1">
      <c r="B1099" s="6"/>
      <c r="C1099" s="20"/>
      <c r="D1099" s="12"/>
      <c r="E1099" s="12"/>
      <c r="F1099" s="12"/>
      <c r="G1099" s="12"/>
      <c r="H1099" s="20"/>
      <c r="I1099" s="187"/>
      <c r="J1099" s="187"/>
      <c r="K1099" s="187"/>
      <c r="L1099" s="187"/>
      <c r="M1099" s="187"/>
      <c r="N1099" s="187"/>
      <c r="O1099" s="187"/>
      <c r="P1099" s="187"/>
      <c r="Q1099" s="187"/>
      <c r="R1099" s="187"/>
      <c r="S1099" s="187"/>
      <c r="T1099" s="187"/>
      <c r="U1099" s="187"/>
      <c r="V1099" s="187"/>
      <c r="W1099" s="187"/>
      <c r="X1099" s="187"/>
      <c r="Y1099" s="187"/>
      <c r="Z1099" s="187"/>
      <c r="AA1099" s="187"/>
      <c r="AB1099" s="187"/>
      <c r="AC1099" s="187"/>
      <c r="AD1099" s="187"/>
      <c r="AE1099" s="187"/>
      <c r="AF1099" s="187"/>
      <c r="AG1099" s="187"/>
      <c r="AH1099" s="187"/>
      <c r="AI1099" s="187"/>
      <c r="AJ1099" s="187"/>
      <c r="AK1099" s="187"/>
      <c r="AL1099" s="187"/>
    </row>
    <row r="1100" spans="2:38" ht="12.75" customHeight="1">
      <c r="B1100" s="6"/>
      <c r="C1100" s="20"/>
      <c r="D1100" s="12"/>
      <c r="E1100" s="12"/>
      <c r="F1100" s="12"/>
      <c r="G1100" s="12"/>
      <c r="H1100" s="20"/>
      <c r="I1100" s="187"/>
      <c r="J1100" s="187"/>
      <c r="K1100" s="187"/>
      <c r="L1100" s="187"/>
      <c r="M1100" s="187"/>
      <c r="N1100" s="187"/>
      <c r="O1100" s="187"/>
      <c r="P1100" s="187"/>
      <c r="Q1100" s="187"/>
      <c r="R1100" s="187"/>
      <c r="S1100" s="187"/>
      <c r="T1100" s="187"/>
      <c r="U1100" s="187"/>
      <c r="V1100" s="187"/>
      <c r="W1100" s="187"/>
      <c r="X1100" s="187"/>
      <c r="Y1100" s="187"/>
      <c r="Z1100" s="187"/>
      <c r="AA1100" s="187"/>
      <c r="AB1100" s="187"/>
      <c r="AC1100" s="187"/>
      <c r="AD1100" s="187"/>
      <c r="AE1100" s="187"/>
      <c r="AF1100" s="187"/>
      <c r="AG1100" s="187"/>
      <c r="AH1100" s="187"/>
      <c r="AI1100" s="187"/>
      <c r="AJ1100" s="187"/>
      <c r="AK1100" s="187"/>
      <c r="AL1100" s="187"/>
    </row>
    <row r="1101" spans="2:38" ht="12.75" customHeight="1">
      <c r="B1101" s="6"/>
      <c r="C1101" s="20"/>
      <c r="D1101" s="12"/>
      <c r="E1101" s="12"/>
      <c r="F1101" s="189"/>
      <c r="G1101" s="189"/>
      <c r="H1101" s="20"/>
      <c r="I1101" s="188"/>
      <c r="J1101" s="188"/>
      <c r="K1101" s="188"/>
      <c r="L1101" s="188"/>
      <c r="M1101" s="188"/>
      <c r="N1101" s="188"/>
      <c r="O1101" s="188"/>
      <c r="P1101" s="188"/>
      <c r="Q1101" s="188"/>
      <c r="R1101" s="188"/>
      <c r="S1101" s="188"/>
      <c r="T1101" s="188"/>
      <c r="U1101" s="188"/>
      <c r="V1101" s="188"/>
      <c r="W1101" s="188"/>
      <c r="X1101" s="188"/>
      <c r="Y1101" s="188"/>
      <c r="Z1101" s="188"/>
      <c r="AA1101" s="188"/>
      <c r="AB1101" s="188"/>
      <c r="AC1101" s="188"/>
      <c r="AD1101" s="188"/>
      <c r="AE1101" s="188"/>
      <c r="AF1101" s="188"/>
      <c r="AG1101" s="188"/>
      <c r="AH1101" s="188"/>
      <c r="AI1101" s="188"/>
      <c r="AJ1101" s="188"/>
      <c r="AK1101" s="188"/>
      <c r="AL1101" s="188"/>
    </row>
    <row r="1102" spans="2:38" ht="12.75" customHeight="1">
      <c r="B1102" s="6"/>
      <c r="C1102" s="20"/>
      <c r="D1102" s="12"/>
      <c r="E1102" s="12"/>
      <c r="F1102" s="12"/>
      <c r="G1102" s="12"/>
      <c r="H1102" s="20"/>
      <c r="I1102" s="187"/>
      <c r="J1102" s="187"/>
      <c r="K1102" s="187"/>
      <c r="L1102" s="187"/>
      <c r="M1102" s="187"/>
      <c r="N1102" s="187"/>
      <c r="O1102" s="187"/>
      <c r="P1102" s="187"/>
      <c r="Q1102" s="187"/>
      <c r="R1102" s="187"/>
      <c r="S1102" s="187"/>
      <c r="T1102" s="187"/>
      <c r="U1102" s="187"/>
      <c r="V1102" s="187"/>
      <c r="W1102" s="187"/>
      <c r="X1102" s="187"/>
      <c r="Y1102" s="187"/>
      <c r="Z1102" s="187"/>
      <c r="AA1102" s="187"/>
      <c r="AB1102" s="187"/>
      <c r="AC1102" s="187"/>
      <c r="AD1102" s="187"/>
      <c r="AE1102" s="187"/>
      <c r="AF1102" s="187"/>
      <c r="AG1102" s="187"/>
      <c r="AH1102" s="187"/>
      <c r="AI1102" s="187"/>
      <c r="AJ1102" s="187"/>
      <c r="AK1102" s="187"/>
      <c r="AL1102" s="187"/>
    </row>
    <row r="1103" spans="2:38" ht="12.75" customHeight="1">
      <c r="B1103" s="6"/>
      <c r="C1103" s="20"/>
      <c r="D1103" s="12"/>
      <c r="E1103" s="12"/>
      <c r="F1103" s="12"/>
      <c r="G1103" s="12"/>
      <c r="H1103" s="20"/>
      <c r="I1103" s="187"/>
      <c r="J1103" s="187"/>
      <c r="K1103" s="187"/>
      <c r="L1103" s="187"/>
      <c r="M1103" s="187"/>
      <c r="N1103" s="187"/>
      <c r="O1103" s="187"/>
      <c r="P1103" s="187"/>
      <c r="Q1103" s="187"/>
      <c r="R1103" s="187"/>
      <c r="S1103" s="187"/>
      <c r="T1103" s="187"/>
      <c r="U1103" s="187"/>
      <c r="V1103" s="187"/>
      <c r="W1103" s="187"/>
      <c r="X1103" s="187"/>
      <c r="Y1103" s="187"/>
      <c r="Z1103" s="187"/>
      <c r="AA1103" s="187"/>
      <c r="AB1103" s="187"/>
      <c r="AC1103" s="187"/>
      <c r="AD1103" s="187"/>
      <c r="AE1103" s="187"/>
      <c r="AF1103" s="187"/>
      <c r="AG1103" s="187"/>
      <c r="AH1103" s="187"/>
      <c r="AI1103" s="187"/>
      <c r="AJ1103" s="187"/>
      <c r="AK1103" s="187"/>
      <c r="AL1103" s="187"/>
    </row>
    <row r="1104" spans="2:38" ht="12.75" customHeight="1">
      <c r="B1104" s="6"/>
      <c r="C1104" s="20"/>
      <c r="D1104" s="12"/>
      <c r="E1104" s="12"/>
      <c r="F1104" s="12"/>
      <c r="G1104" s="12"/>
      <c r="H1104" s="20"/>
      <c r="I1104" s="187"/>
      <c r="J1104" s="187"/>
      <c r="K1104" s="187"/>
      <c r="L1104" s="187"/>
      <c r="M1104" s="187"/>
      <c r="N1104" s="187"/>
      <c r="O1104" s="187"/>
      <c r="P1104" s="187"/>
      <c r="Q1104" s="187"/>
      <c r="R1104" s="187"/>
      <c r="S1104" s="187"/>
      <c r="T1104" s="187"/>
      <c r="U1104" s="187"/>
      <c r="V1104" s="187"/>
      <c r="W1104" s="187"/>
      <c r="X1104" s="187"/>
      <c r="Y1104" s="187"/>
      <c r="Z1104" s="187"/>
      <c r="AA1104" s="187"/>
      <c r="AB1104" s="187"/>
      <c r="AC1104" s="187"/>
      <c r="AD1104" s="187"/>
      <c r="AE1104" s="187"/>
      <c r="AF1104" s="187"/>
      <c r="AG1104" s="187"/>
      <c r="AH1104" s="187"/>
      <c r="AI1104" s="187"/>
      <c r="AJ1104" s="187"/>
      <c r="AK1104" s="187"/>
      <c r="AL1104" s="187"/>
    </row>
    <row r="1105" spans="2:38" ht="12.75" customHeight="1">
      <c r="B1105" s="6"/>
      <c r="C1105" s="20"/>
      <c r="D1105" s="12"/>
      <c r="E1105" s="12"/>
      <c r="F1105" s="12"/>
      <c r="G1105" s="12"/>
      <c r="H1105" s="20"/>
      <c r="I1105" s="187"/>
      <c r="J1105" s="187"/>
      <c r="K1105" s="187"/>
      <c r="L1105" s="187"/>
      <c r="M1105" s="187"/>
      <c r="N1105" s="187"/>
      <c r="O1105" s="187"/>
      <c r="P1105" s="187"/>
      <c r="Q1105" s="187"/>
      <c r="R1105" s="187"/>
      <c r="S1105" s="187"/>
      <c r="T1105" s="187"/>
      <c r="U1105" s="187"/>
      <c r="V1105" s="187"/>
      <c r="W1105" s="187"/>
      <c r="X1105" s="187"/>
      <c r="Y1105" s="187"/>
      <c r="Z1105" s="187"/>
      <c r="AA1105" s="187"/>
      <c r="AB1105" s="187"/>
      <c r="AC1105" s="187"/>
      <c r="AD1105" s="187"/>
      <c r="AE1105" s="187"/>
      <c r="AF1105" s="187"/>
      <c r="AG1105" s="187"/>
      <c r="AH1105" s="187"/>
      <c r="AI1105" s="187"/>
      <c r="AJ1105" s="187"/>
      <c r="AK1105" s="187"/>
      <c r="AL1105" s="187"/>
    </row>
    <row r="1106" spans="2:38" ht="12.75" customHeight="1">
      <c r="B1106" s="6"/>
      <c r="C1106" s="20"/>
      <c r="D1106" s="12"/>
      <c r="E1106" s="12"/>
      <c r="F1106" s="12"/>
      <c r="G1106" s="12"/>
      <c r="H1106" s="20"/>
      <c r="I1106" s="187"/>
      <c r="J1106" s="187"/>
      <c r="K1106" s="187"/>
      <c r="L1106" s="187"/>
      <c r="M1106" s="187"/>
      <c r="N1106" s="187"/>
      <c r="O1106" s="187"/>
      <c r="P1106" s="187"/>
      <c r="Q1106" s="187"/>
      <c r="R1106" s="187"/>
      <c r="S1106" s="187"/>
      <c r="T1106" s="187"/>
      <c r="U1106" s="187"/>
      <c r="V1106" s="187"/>
      <c r="W1106" s="187"/>
      <c r="X1106" s="187"/>
      <c r="Y1106" s="187"/>
      <c r="Z1106" s="187"/>
      <c r="AA1106" s="187"/>
      <c r="AB1106" s="187"/>
      <c r="AC1106" s="187"/>
      <c r="AD1106" s="187"/>
      <c r="AE1106" s="187"/>
      <c r="AF1106" s="187"/>
      <c r="AG1106" s="187"/>
      <c r="AH1106" s="187"/>
      <c r="AI1106" s="187"/>
      <c r="AJ1106" s="187"/>
      <c r="AK1106" s="187"/>
      <c r="AL1106" s="187"/>
    </row>
    <row r="1107" spans="2:38" ht="12.75" customHeight="1">
      <c r="B1107" s="6"/>
      <c r="C1107" s="20"/>
      <c r="D1107" s="12"/>
      <c r="E1107" s="12"/>
      <c r="F1107" s="12"/>
      <c r="G1107" s="12"/>
      <c r="H1107" s="20"/>
      <c r="I1107" s="187"/>
      <c r="J1107" s="187"/>
      <c r="K1107" s="187"/>
      <c r="L1107" s="187"/>
      <c r="M1107" s="187"/>
      <c r="N1107" s="187"/>
      <c r="O1107" s="187"/>
      <c r="P1107" s="187"/>
      <c r="Q1107" s="187"/>
      <c r="R1107" s="187"/>
      <c r="S1107" s="187"/>
      <c r="T1107" s="187"/>
      <c r="U1107" s="187"/>
      <c r="V1107" s="187"/>
      <c r="W1107" s="187"/>
      <c r="X1107" s="187"/>
      <c r="Y1107" s="187"/>
      <c r="Z1107" s="187"/>
      <c r="AA1107" s="187"/>
      <c r="AB1107" s="187"/>
      <c r="AC1107" s="187"/>
      <c r="AD1107" s="187"/>
      <c r="AE1107" s="187"/>
      <c r="AF1107" s="187"/>
      <c r="AG1107" s="187"/>
      <c r="AH1107" s="187"/>
      <c r="AI1107" s="187"/>
      <c r="AJ1107" s="187"/>
      <c r="AK1107" s="187"/>
      <c r="AL1107" s="187"/>
    </row>
    <row r="1108" spans="2:38" ht="12.75" customHeight="1">
      <c r="B1108" s="6"/>
      <c r="C1108" s="20"/>
      <c r="D1108" s="12"/>
      <c r="E1108" s="12"/>
      <c r="F1108" s="12"/>
      <c r="G1108" s="12"/>
      <c r="H1108" s="20"/>
      <c r="I1108" s="187"/>
      <c r="J1108" s="187"/>
      <c r="K1108" s="187"/>
      <c r="L1108" s="187"/>
      <c r="M1108" s="187"/>
      <c r="N1108" s="187"/>
      <c r="O1108" s="187"/>
      <c r="P1108" s="187"/>
      <c r="Q1108" s="187"/>
      <c r="R1108" s="187"/>
      <c r="S1108" s="187"/>
      <c r="T1108" s="187"/>
      <c r="U1108" s="187"/>
      <c r="V1108" s="187"/>
      <c r="W1108" s="187"/>
      <c r="X1108" s="187"/>
      <c r="Y1108" s="187"/>
      <c r="Z1108" s="187"/>
      <c r="AA1108" s="187"/>
      <c r="AB1108" s="187"/>
      <c r="AC1108" s="187"/>
      <c r="AD1108" s="187"/>
      <c r="AE1108" s="187"/>
      <c r="AF1108" s="187"/>
      <c r="AG1108" s="187"/>
      <c r="AH1108" s="187"/>
      <c r="AI1108" s="187"/>
      <c r="AJ1108" s="187"/>
      <c r="AK1108" s="187"/>
      <c r="AL1108" s="187"/>
    </row>
    <row r="1109" spans="2:38" ht="12.75" customHeight="1">
      <c r="B1109" s="6"/>
      <c r="C1109" s="20"/>
      <c r="D1109" s="12"/>
      <c r="E1109" s="12"/>
      <c r="F1109" s="12"/>
      <c r="G1109" s="12"/>
      <c r="H1109" s="20"/>
      <c r="I1109" s="187"/>
      <c r="J1109" s="187"/>
      <c r="K1109" s="187"/>
      <c r="L1109" s="187"/>
      <c r="M1109" s="187"/>
      <c r="N1109" s="187"/>
      <c r="O1109" s="187"/>
      <c r="P1109" s="187"/>
      <c r="Q1109" s="187"/>
      <c r="R1109" s="187"/>
      <c r="S1109" s="187"/>
      <c r="T1109" s="187"/>
      <c r="U1109" s="187"/>
      <c r="V1109" s="187"/>
      <c r="W1109" s="187"/>
      <c r="X1109" s="187"/>
      <c r="Y1109" s="187"/>
      <c r="Z1109" s="187"/>
      <c r="AA1109" s="187"/>
      <c r="AB1109" s="187"/>
      <c r="AC1109" s="187"/>
      <c r="AD1109" s="187"/>
      <c r="AE1109" s="187"/>
      <c r="AF1109" s="187"/>
      <c r="AG1109" s="187"/>
      <c r="AH1109" s="187"/>
      <c r="AI1109" s="187"/>
      <c r="AJ1109" s="187"/>
      <c r="AK1109" s="187"/>
      <c r="AL1109" s="187"/>
    </row>
    <row r="1110" spans="2:38" ht="12.75" customHeight="1">
      <c r="B1110" s="6"/>
      <c r="C1110" s="20"/>
      <c r="D1110" s="12"/>
      <c r="E1110" s="12"/>
      <c r="F1110" s="12"/>
      <c r="G1110" s="12"/>
      <c r="H1110" s="20"/>
      <c r="I1110" s="187"/>
      <c r="J1110" s="187"/>
      <c r="K1110" s="187"/>
      <c r="L1110" s="187"/>
      <c r="M1110" s="187"/>
      <c r="N1110" s="187"/>
      <c r="O1110" s="187"/>
      <c r="P1110" s="187"/>
      <c r="Q1110" s="187"/>
      <c r="R1110" s="187"/>
      <c r="S1110" s="187"/>
      <c r="T1110" s="187"/>
      <c r="U1110" s="187"/>
      <c r="V1110" s="187"/>
      <c r="W1110" s="187"/>
      <c r="X1110" s="187"/>
      <c r="Y1110" s="187"/>
      <c r="Z1110" s="187"/>
      <c r="AA1110" s="187"/>
      <c r="AB1110" s="187"/>
      <c r="AC1110" s="187"/>
      <c r="AD1110" s="187"/>
      <c r="AE1110" s="187"/>
      <c r="AF1110" s="187"/>
      <c r="AG1110" s="187"/>
      <c r="AH1110" s="187"/>
      <c r="AI1110" s="187"/>
      <c r="AJ1110" s="187"/>
      <c r="AK1110" s="187"/>
      <c r="AL1110" s="187"/>
    </row>
    <row r="1111" spans="2:38" ht="12.75" customHeight="1">
      <c r="B1111" s="6"/>
      <c r="C1111" s="20"/>
      <c r="D1111" s="12"/>
      <c r="E1111" s="12"/>
      <c r="F1111" s="12"/>
      <c r="G1111" s="12"/>
      <c r="H1111" s="20"/>
      <c r="I1111" s="187"/>
      <c r="J1111" s="187"/>
      <c r="K1111" s="187"/>
      <c r="L1111" s="187"/>
      <c r="M1111" s="187"/>
      <c r="N1111" s="187"/>
      <c r="O1111" s="187"/>
      <c r="P1111" s="187"/>
      <c r="Q1111" s="187"/>
      <c r="R1111" s="187"/>
      <c r="S1111" s="187"/>
      <c r="T1111" s="187"/>
      <c r="U1111" s="187"/>
      <c r="V1111" s="187"/>
      <c r="W1111" s="187"/>
      <c r="X1111" s="187"/>
      <c r="Y1111" s="187"/>
      <c r="Z1111" s="187"/>
      <c r="AA1111" s="187"/>
      <c r="AB1111" s="187"/>
      <c r="AC1111" s="187"/>
      <c r="AD1111" s="187"/>
      <c r="AE1111" s="187"/>
      <c r="AF1111" s="187"/>
      <c r="AG1111" s="187"/>
      <c r="AH1111" s="187"/>
      <c r="AI1111" s="187"/>
      <c r="AJ1111" s="187"/>
      <c r="AK1111" s="187"/>
      <c r="AL1111" s="187"/>
    </row>
    <row r="1112" spans="2:38" ht="12.75" customHeight="1">
      <c r="B1112" s="6"/>
      <c r="C1112" s="20"/>
      <c r="D1112" s="12"/>
      <c r="E1112" s="12"/>
      <c r="F1112" s="12"/>
      <c r="G1112" s="12"/>
      <c r="H1112" s="20"/>
      <c r="I1112" s="187"/>
      <c r="J1112" s="187"/>
      <c r="K1112" s="187"/>
      <c r="L1112" s="187"/>
      <c r="M1112" s="187"/>
      <c r="N1112" s="187"/>
      <c r="O1112" s="187"/>
      <c r="P1112" s="187"/>
      <c r="Q1112" s="187"/>
      <c r="R1112" s="187"/>
      <c r="S1112" s="187"/>
      <c r="T1112" s="187"/>
      <c r="U1112" s="187"/>
      <c r="V1112" s="187"/>
      <c r="W1112" s="187"/>
      <c r="X1112" s="187"/>
      <c r="Y1112" s="187"/>
      <c r="Z1112" s="187"/>
      <c r="AA1112" s="187"/>
      <c r="AB1112" s="187"/>
      <c r="AC1112" s="187"/>
      <c r="AD1112" s="187"/>
      <c r="AE1112" s="187"/>
      <c r="AF1112" s="187"/>
      <c r="AG1112" s="187"/>
      <c r="AH1112" s="187"/>
      <c r="AI1112" s="187"/>
      <c r="AJ1112" s="187"/>
      <c r="AK1112" s="187"/>
      <c r="AL1112" s="187"/>
    </row>
    <row r="1113" spans="2:38" ht="12.75" customHeight="1">
      <c r="B1113" s="6"/>
      <c r="C1113" s="20"/>
      <c r="D1113" s="12"/>
      <c r="E1113" s="12"/>
      <c r="F1113" s="189"/>
      <c r="G1113" s="189"/>
      <c r="H1113" s="20"/>
      <c r="I1113" s="188"/>
      <c r="J1113" s="188"/>
      <c r="K1113" s="188"/>
      <c r="L1113" s="188"/>
      <c r="M1113" s="188"/>
      <c r="N1113" s="188"/>
      <c r="O1113" s="188"/>
      <c r="P1113" s="188"/>
      <c r="Q1113" s="188"/>
      <c r="R1113" s="188"/>
      <c r="S1113" s="188"/>
      <c r="T1113" s="188"/>
      <c r="U1113" s="188"/>
      <c r="V1113" s="188"/>
      <c r="W1113" s="188"/>
      <c r="X1113" s="188"/>
      <c r="Y1113" s="188"/>
      <c r="Z1113" s="188"/>
      <c r="AA1113" s="188"/>
      <c r="AB1113" s="188"/>
      <c r="AC1113" s="188"/>
      <c r="AD1113" s="188"/>
      <c r="AE1113" s="188"/>
      <c r="AF1113" s="188"/>
      <c r="AG1113" s="188"/>
      <c r="AH1113" s="188"/>
      <c r="AI1113" s="188"/>
      <c r="AJ1113" s="188"/>
      <c r="AK1113" s="188"/>
      <c r="AL1113" s="188"/>
    </row>
    <row r="1114" spans="2:38" ht="12.75" customHeight="1">
      <c r="B1114" s="6"/>
      <c r="C1114" s="20"/>
      <c r="D1114" s="12"/>
      <c r="E1114" s="12"/>
      <c r="F1114" s="12"/>
      <c r="G1114" s="12"/>
      <c r="H1114" s="20"/>
      <c r="I1114" s="187"/>
      <c r="J1114" s="187"/>
      <c r="K1114" s="187"/>
      <c r="L1114" s="187"/>
      <c r="M1114" s="187"/>
      <c r="N1114" s="187"/>
      <c r="O1114" s="187"/>
      <c r="P1114" s="187"/>
      <c r="Q1114" s="187"/>
      <c r="R1114" s="187"/>
      <c r="S1114" s="187"/>
      <c r="T1114" s="187"/>
      <c r="U1114" s="187"/>
      <c r="V1114" s="187"/>
      <c r="W1114" s="187"/>
      <c r="X1114" s="187"/>
      <c r="Y1114" s="187"/>
      <c r="Z1114" s="187"/>
      <c r="AA1114" s="187"/>
      <c r="AB1114" s="187"/>
      <c r="AC1114" s="187"/>
      <c r="AD1114" s="187"/>
      <c r="AE1114" s="187"/>
      <c r="AF1114" s="187"/>
      <c r="AG1114" s="187"/>
      <c r="AH1114" s="187"/>
      <c r="AI1114" s="187"/>
      <c r="AJ1114" s="187"/>
      <c r="AK1114" s="187"/>
      <c r="AL1114" s="187"/>
    </row>
    <row r="1115" spans="2:38" ht="12.75" customHeight="1">
      <c r="B1115" s="6"/>
      <c r="C1115" s="20"/>
      <c r="D1115" s="12"/>
      <c r="E1115" s="12"/>
      <c r="F1115" s="12"/>
      <c r="G1115" s="12"/>
      <c r="H1115" s="20"/>
      <c r="I1115" s="187"/>
      <c r="J1115" s="187"/>
      <c r="K1115" s="187"/>
      <c r="L1115" s="187"/>
      <c r="M1115" s="187"/>
      <c r="N1115" s="187"/>
      <c r="O1115" s="187"/>
      <c r="P1115" s="187"/>
      <c r="Q1115" s="187"/>
      <c r="R1115" s="187"/>
      <c r="S1115" s="187"/>
      <c r="T1115" s="187"/>
      <c r="U1115" s="187"/>
      <c r="V1115" s="187"/>
      <c r="W1115" s="187"/>
      <c r="X1115" s="187"/>
      <c r="Y1115" s="187"/>
      <c r="Z1115" s="187"/>
      <c r="AA1115" s="187"/>
      <c r="AB1115" s="187"/>
      <c r="AC1115" s="187"/>
      <c r="AD1115" s="187"/>
      <c r="AE1115" s="187"/>
      <c r="AF1115" s="187"/>
      <c r="AG1115" s="187"/>
      <c r="AH1115" s="187"/>
      <c r="AI1115" s="187"/>
      <c r="AJ1115" s="187"/>
      <c r="AK1115" s="187"/>
      <c r="AL1115" s="187"/>
    </row>
    <row r="1116" spans="2:38" ht="12.75" customHeight="1">
      <c r="B1116" s="6"/>
      <c r="C1116" s="20"/>
      <c r="D1116" s="12"/>
      <c r="E1116" s="12"/>
      <c r="F1116" s="12"/>
      <c r="G1116" s="12"/>
      <c r="H1116" s="20"/>
      <c r="I1116" s="187"/>
      <c r="J1116" s="187"/>
      <c r="K1116" s="187"/>
      <c r="L1116" s="187"/>
      <c r="M1116" s="187"/>
      <c r="N1116" s="187"/>
      <c r="O1116" s="187"/>
      <c r="P1116" s="187"/>
      <c r="Q1116" s="187"/>
      <c r="R1116" s="187"/>
      <c r="S1116" s="187"/>
      <c r="T1116" s="187"/>
      <c r="U1116" s="187"/>
      <c r="V1116" s="187"/>
      <c r="W1116" s="187"/>
      <c r="X1116" s="187"/>
      <c r="Y1116" s="187"/>
      <c r="Z1116" s="187"/>
      <c r="AA1116" s="187"/>
      <c r="AB1116" s="187"/>
      <c r="AC1116" s="187"/>
      <c r="AD1116" s="187"/>
      <c r="AE1116" s="187"/>
      <c r="AF1116" s="187"/>
      <c r="AG1116" s="187"/>
      <c r="AH1116" s="187"/>
      <c r="AI1116" s="187"/>
      <c r="AJ1116" s="187"/>
      <c r="AK1116" s="187"/>
      <c r="AL1116" s="187"/>
    </row>
    <row r="1117" spans="2:38" ht="12.75" customHeight="1">
      <c r="B1117" s="6"/>
      <c r="C1117" s="20"/>
      <c r="D1117" s="12"/>
      <c r="E1117" s="12"/>
      <c r="F1117" s="12"/>
      <c r="G1117" s="12"/>
      <c r="H1117" s="20"/>
      <c r="I1117" s="187"/>
      <c r="J1117" s="187"/>
      <c r="K1117" s="187"/>
      <c r="L1117" s="187"/>
      <c r="M1117" s="187"/>
      <c r="N1117" s="187"/>
      <c r="O1117" s="187"/>
      <c r="P1117" s="187"/>
      <c r="Q1117" s="187"/>
      <c r="R1117" s="187"/>
      <c r="S1117" s="187"/>
      <c r="T1117" s="187"/>
      <c r="U1117" s="187"/>
      <c r="V1117" s="187"/>
      <c r="W1117" s="187"/>
      <c r="X1117" s="187"/>
      <c r="Y1117" s="187"/>
      <c r="Z1117" s="187"/>
      <c r="AA1117" s="187"/>
      <c r="AB1117" s="187"/>
      <c r="AC1117" s="187"/>
      <c r="AD1117" s="187"/>
      <c r="AE1117" s="187"/>
      <c r="AF1117" s="187"/>
      <c r="AG1117" s="187"/>
      <c r="AH1117" s="187"/>
      <c r="AI1117" s="187"/>
      <c r="AJ1117" s="187"/>
      <c r="AK1117" s="187"/>
      <c r="AL1117" s="187"/>
    </row>
    <row r="1118" spans="2:38" ht="12.75" customHeight="1">
      <c r="B1118" s="6"/>
      <c r="C1118" s="20"/>
      <c r="D1118" s="12"/>
      <c r="E1118" s="12"/>
      <c r="F1118" s="12"/>
      <c r="G1118" s="12"/>
      <c r="H1118" s="20"/>
      <c r="I1118" s="187"/>
      <c r="J1118" s="187"/>
      <c r="K1118" s="187"/>
      <c r="L1118" s="187"/>
      <c r="M1118" s="187"/>
      <c r="N1118" s="187"/>
      <c r="O1118" s="187"/>
      <c r="P1118" s="187"/>
      <c r="Q1118" s="187"/>
      <c r="R1118" s="187"/>
      <c r="S1118" s="187"/>
      <c r="T1118" s="187"/>
      <c r="U1118" s="187"/>
      <c r="V1118" s="187"/>
      <c r="W1118" s="187"/>
      <c r="X1118" s="187"/>
      <c r="Y1118" s="187"/>
      <c r="Z1118" s="187"/>
      <c r="AA1118" s="187"/>
      <c r="AB1118" s="187"/>
      <c r="AC1118" s="187"/>
      <c r="AD1118" s="187"/>
      <c r="AE1118" s="187"/>
      <c r="AF1118" s="187"/>
      <c r="AG1118" s="187"/>
      <c r="AH1118" s="187"/>
      <c r="AI1118" s="187"/>
      <c r="AJ1118" s="187"/>
      <c r="AK1118" s="187"/>
      <c r="AL1118" s="187"/>
    </row>
    <row r="1119" spans="2:38" ht="12.75" customHeight="1">
      <c r="B1119" s="6"/>
      <c r="C1119" s="20"/>
      <c r="D1119" s="12"/>
      <c r="E1119" s="12"/>
      <c r="F1119" s="12"/>
      <c r="G1119" s="12"/>
      <c r="H1119" s="20"/>
      <c r="I1119" s="187"/>
      <c r="J1119" s="187"/>
      <c r="K1119" s="187"/>
      <c r="L1119" s="187"/>
      <c r="M1119" s="187"/>
      <c r="N1119" s="187"/>
      <c r="O1119" s="187"/>
      <c r="P1119" s="187"/>
      <c r="Q1119" s="187"/>
      <c r="R1119" s="187"/>
      <c r="S1119" s="187"/>
      <c r="T1119" s="187"/>
      <c r="U1119" s="187"/>
      <c r="V1119" s="187"/>
      <c r="W1119" s="187"/>
      <c r="X1119" s="187"/>
      <c r="Y1119" s="187"/>
      <c r="Z1119" s="187"/>
      <c r="AA1119" s="187"/>
      <c r="AB1119" s="187"/>
      <c r="AC1119" s="187"/>
      <c r="AD1119" s="187"/>
      <c r="AE1119" s="187"/>
      <c r="AF1119" s="187"/>
      <c r="AG1119" s="187"/>
      <c r="AH1119" s="187"/>
      <c r="AI1119" s="187"/>
      <c r="AJ1119" s="187"/>
      <c r="AK1119" s="187"/>
      <c r="AL1119" s="187"/>
    </row>
    <row r="1120" spans="2:38" ht="12.75" customHeight="1">
      <c r="B1120" s="6"/>
      <c r="C1120" s="20"/>
      <c r="D1120" s="12"/>
      <c r="E1120" s="12"/>
      <c r="F1120" s="12"/>
      <c r="G1120" s="12"/>
      <c r="H1120" s="20"/>
      <c r="I1120" s="187"/>
      <c r="J1120" s="187"/>
      <c r="K1120" s="187"/>
      <c r="L1120" s="187"/>
      <c r="M1120" s="187"/>
      <c r="N1120" s="187"/>
      <c r="O1120" s="187"/>
      <c r="P1120" s="187"/>
      <c r="Q1120" s="187"/>
      <c r="R1120" s="187"/>
      <c r="S1120" s="187"/>
      <c r="T1120" s="187"/>
      <c r="U1120" s="187"/>
      <c r="V1120" s="187"/>
      <c r="W1120" s="187"/>
      <c r="X1120" s="187"/>
      <c r="Y1120" s="187"/>
      <c r="Z1120" s="187"/>
      <c r="AA1120" s="187"/>
      <c r="AB1120" s="187"/>
      <c r="AC1120" s="187"/>
      <c r="AD1120" s="187"/>
      <c r="AE1120" s="187"/>
      <c r="AF1120" s="187"/>
      <c r="AG1120" s="187"/>
      <c r="AH1120" s="187"/>
      <c r="AI1120" s="187"/>
      <c r="AJ1120" s="187"/>
      <c r="AK1120" s="187"/>
      <c r="AL1120" s="187"/>
    </row>
    <row r="1121" spans="2:38" ht="12.75" customHeight="1">
      <c r="B1121" s="6"/>
      <c r="C1121" s="20"/>
      <c r="D1121" s="12"/>
      <c r="E1121" s="12"/>
      <c r="F1121" s="12"/>
      <c r="G1121" s="12"/>
      <c r="H1121" s="20"/>
      <c r="I1121" s="187"/>
      <c r="J1121" s="187"/>
      <c r="K1121" s="187"/>
      <c r="L1121" s="187"/>
      <c r="M1121" s="187"/>
      <c r="N1121" s="187"/>
      <c r="O1121" s="187"/>
      <c r="P1121" s="187"/>
      <c r="Q1121" s="187"/>
      <c r="R1121" s="187"/>
      <c r="S1121" s="187"/>
      <c r="T1121" s="187"/>
      <c r="U1121" s="187"/>
      <c r="V1121" s="187"/>
      <c r="W1121" s="187"/>
      <c r="X1121" s="187"/>
      <c r="Y1121" s="187"/>
      <c r="Z1121" s="187"/>
      <c r="AA1121" s="187"/>
      <c r="AB1121" s="187"/>
      <c r="AC1121" s="187"/>
      <c r="AD1121" s="187"/>
      <c r="AE1121" s="187"/>
      <c r="AF1121" s="187"/>
      <c r="AG1121" s="187"/>
      <c r="AH1121" s="187"/>
      <c r="AI1121" s="187"/>
      <c r="AJ1121" s="187"/>
      <c r="AK1121" s="187"/>
      <c r="AL1121" s="187"/>
    </row>
    <row r="1122" spans="2:38" ht="12.75" customHeight="1">
      <c r="B1122" s="6"/>
      <c r="C1122" s="20"/>
      <c r="D1122" s="12"/>
      <c r="E1122" s="12"/>
      <c r="F1122" s="189"/>
      <c r="G1122" s="189"/>
      <c r="H1122" s="20"/>
      <c r="I1122" s="188"/>
      <c r="J1122" s="188"/>
      <c r="K1122" s="188"/>
      <c r="L1122" s="188"/>
      <c r="M1122" s="188"/>
      <c r="N1122" s="188"/>
      <c r="O1122" s="188"/>
      <c r="P1122" s="188"/>
      <c r="Q1122" s="188"/>
      <c r="R1122" s="188"/>
      <c r="S1122" s="188"/>
      <c r="T1122" s="188"/>
      <c r="U1122" s="188"/>
      <c r="V1122" s="188"/>
      <c r="W1122" s="188"/>
      <c r="X1122" s="188"/>
      <c r="Y1122" s="188"/>
      <c r="Z1122" s="188"/>
      <c r="AA1122" s="188"/>
      <c r="AB1122" s="188"/>
      <c r="AC1122" s="188"/>
      <c r="AD1122" s="188"/>
      <c r="AE1122" s="188"/>
      <c r="AF1122" s="188"/>
      <c r="AG1122" s="188"/>
      <c r="AH1122" s="188"/>
      <c r="AI1122" s="188"/>
      <c r="AJ1122" s="188"/>
      <c r="AK1122" s="188"/>
      <c r="AL1122" s="188"/>
    </row>
    <row r="1123" spans="2:38" ht="12.75" customHeight="1">
      <c r="B1123" s="6"/>
      <c r="C1123" s="20"/>
      <c r="D1123" s="12"/>
      <c r="E1123" s="12"/>
      <c r="F1123" s="12"/>
      <c r="G1123" s="12"/>
      <c r="H1123" s="20"/>
      <c r="I1123" s="187"/>
      <c r="J1123" s="187"/>
      <c r="K1123" s="187"/>
      <c r="L1123" s="187"/>
      <c r="M1123" s="187"/>
      <c r="N1123" s="187"/>
      <c r="O1123" s="187"/>
      <c r="P1123" s="187"/>
      <c r="Q1123" s="187"/>
      <c r="R1123" s="187"/>
      <c r="S1123" s="187"/>
      <c r="T1123" s="187"/>
      <c r="U1123" s="187"/>
      <c r="V1123" s="187"/>
      <c r="W1123" s="187"/>
      <c r="X1123" s="187"/>
      <c r="Y1123" s="187"/>
      <c r="Z1123" s="187"/>
      <c r="AA1123" s="187"/>
      <c r="AB1123" s="187"/>
      <c r="AC1123" s="187"/>
      <c r="AD1123" s="187"/>
      <c r="AE1123" s="187"/>
      <c r="AF1123" s="187"/>
      <c r="AG1123" s="187"/>
      <c r="AH1123" s="187"/>
      <c r="AI1123" s="187"/>
      <c r="AJ1123" s="187"/>
      <c r="AK1123" s="187"/>
      <c r="AL1123" s="187"/>
    </row>
    <row r="1124" spans="2:38" ht="12.75" customHeight="1">
      <c r="B1124" s="6"/>
      <c r="C1124" s="20"/>
      <c r="D1124" s="12"/>
      <c r="E1124" s="12"/>
      <c r="F1124" s="12"/>
      <c r="G1124" s="12"/>
      <c r="H1124" s="20"/>
      <c r="I1124" s="187"/>
      <c r="J1124" s="187"/>
      <c r="K1124" s="187"/>
      <c r="L1124" s="187"/>
      <c r="M1124" s="187"/>
      <c r="N1124" s="187"/>
      <c r="O1124" s="187"/>
      <c r="P1124" s="187"/>
      <c r="Q1124" s="187"/>
      <c r="R1124" s="187"/>
      <c r="S1124" s="187"/>
      <c r="T1124" s="187"/>
      <c r="U1124" s="187"/>
      <c r="V1124" s="187"/>
      <c r="W1124" s="187"/>
      <c r="X1124" s="187"/>
      <c r="Y1124" s="187"/>
      <c r="Z1124" s="187"/>
      <c r="AA1124" s="187"/>
      <c r="AB1124" s="187"/>
      <c r="AC1124" s="187"/>
      <c r="AD1124" s="187"/>
      <c r="AE1124" s="187"/>
      <c r="AF1124" s="187"/>
      <c r="AG1124" s="187"/>
      <c r="AH1124" s="187"/>
      <c r="AI1124" s="187"/>
      <c r="AJ1124" s="187"/>
      <c r="AK1124" s="187"/>
      <c r="AL1124" s="187"/>
    </row>
    <row r="1125" spans="2:38" ht="12.75" customHeight="1">
      <c r="B1125" s="6"/>
      <c r="C1125" s="20"/>
      <c r="D1125" s="12"/>
      <c r="E1125" s="12"/>
      <c r="F1125" s="12"/>
      <c r="G1125" s="12"/>
      <c r="H1125" s="20"/>
      <c r="I1125" s="187"/>
      <c r="J1125" s="187"/>
      <c r="K1125" s="187"/>
      <c r="L1125" s="187"/>
      <c r="M1125" s="187"/>
      <c r="N1125" s="187"/>
      <c r="O1125" s="187"/>
      <c r="P1125" s="187"/>
      <c r="Q1125" s="187"/>
      <c r="R1125" s="187"/>
      <c r="S1125" s="187"/>
      <c r="T1125" s="187"/>
      <c r="U1125" s="187"/>
      <c r="V1125" s="187"/>
      <c r="W1125" s="187"/>
      <c r="X1125" s="187"/>
      <c r="Y1125" s="187"/>
      <c r="Z1125" s="187"/>
      <c r="AA1125" s="187"/>
      <c r="AB1125" s="187"/>
      <c r="AC1125" s="187"/>
      <c r="AD1125" s="187"/>
      <c r="AE1125" s="187"/>
      <c r="AF1125" s="187"/>
      <c r="AG1125" s="187"/>
      <c r="AH1125" s="187"/>
      <c r="AI1125" s="187"/>
      <c r="AJ1125" s="187"/>
      <c r="AK1125" s="187"/>
      <c r="AL1125" s="187"/>
    </row>
    <row r="1126" spans="2:38" ht="12.75" customHeight="1">
      <c r="B1126" s="6"/>
      <c r="C1126" s="20"/>
      <c r="D1126" s="12"/>
      <c r="E1126" s="12"/>
      <c r="F1126" s="12"/>
      <c r="G1126" s="12"/>
      <c r="H1126" s="20"/>
      <c r="I1126" s="187"/>
      <c r="J1126" s="187"/>
      <c r="K1126" s="187"/>
      <c r="L1126" s="187"/>
      <c r="M1126" s="187"/>
      <c r="N1126" s="187"/>
      <c r="O1126" s="187"/>
      <c r="P1126" s="187"/>
      <c r="Q1126" s="187"/>
      <c r="R1126" s="187"/>
      <c r="S1126" s="187"/>
      <c r="T1126" s="187"/>
      <c r="U1126" s="187"/>
      <c r="V1126" s="187"/>
      <c r="W1126" s="187"/>
      <c r="X1126" s="187"/>
      <c r="Y1126" s="187"/>
      <c r="Z1126" s="187"/>
      <c r="AA1126" s="187"/>
      <c r="AB1126" s="187"/>
      <c r="AC1126" s="187"/>
      <c r="AD1126" s="187"/>
      <c r="AE1126" s="187"/>
      <c r="AF1126" s="187"/>
      <c r="AG1126" s="187"/>
      <c r="AH1126" s="187"/>
      <c r="AI1126" s="187"/>
      <c r="AJ1126" s="187"/>
      <c r="AK1126" s="187"/>
      <c r="AL1126" s="187"/>
    </row>
    <row r="1127" spans="2:38" ht="12.75" customHeight="1">
      <c r="B1127" s="6"/>
      <c r="C1127" s="20"/>
      <c r="D1127" s="12"/>
      <c r="E1127" s="12"/>
      <c r="F1127" s="12"/>
      <c r="G1127" s="12"/>
      <c r="H1127" s="20"/>
      <c r="I1127" s="187"/>
      <c r="J1127" s="187"/>
      <c r="K1127" s="187"/>
      <c r="L1127" s="187"/>
      <c r="M1127" s="187"/>
      <c r="N1127" s="187"/>
      <c r="O1127" s="187"/>
      <c r="P1127" s="187"/>
      <c r="Q1127" s="187"/>
      <c r="R1127" s="187"/>
      <c r="S1127" s="187"/>
      <c r="T1127" s="187"/>
      <c r="U1127" s="187"/>
      <c r="V1127" s="187"/>
      <c r="W1127" s="187"/>
      <c r="X1127" s="187"/>
      <c r="Y1127" s="187"/>
      <c r="Z1127" s="187"/>
      <c r="AA1127" s="187"/>
      <c r="AB1127" s="187"/>
      <c r="AC1127" s="187"/>
      <c r="AD1127" s="187"/>
      <c r="AE1127" s="187"/>
      <c r="AF1127" s="187"/>
      <c r="AG1127" s="187"/>
      <c r="AH1127" s="187"/>
      <c r="AI1127" s="187"/>
      <c r="AJ1127" s="187"/>
      <c r="AK1127" s="187"/>
      <c r="AL1127" s="187"/>
    </row>
    <row r="1128" spans="2:38" ht="12.75" customHeight="1">
      <c r="B1128" s="6"/>
      <c r="C1128" s="20"/>
      <c r="D1128" s="12"/>
      <c r="E1128" s="12"/>
      <c r="F1128" s="12"/>
      <c r="G1128" s="12"/>
      <c r="H1128" s="20"/>
      <c r="I1128" s="187"/>
      <c r="J1128" s="187"/>
      <c r="K1128" s="187"/>
      <c r="L1128" s="187"/>
      <c r="M1128" s="187"/>
      <c r="N1128" s="187"/>
      <c r="O1128" s="187"/>
      <c r="P1128" s="187"/>
      <c r="Q1128" s="187"/>
      <c r="R1128" s="187"/>
      <c r="S1128" s="187"/>
      <c r="T1128" s="187"/>
      <c r="U1128" s="187"/>
      <c r="V1128" s="187"/>
      <c r="W1128" s="187"/>
      <c r="X1128" s="187"/>
      <c r="Y1128" s="187"/>
      <c r="Z1128" s="187"/>
      <c r="AA1128" s="187"/>
      <c r="AB1128" s="187"/>
      <c r="AC1128" s="187"/>
      <c r="AD1128" s="187"/>
      <c r="AE1128" s="187"/>
      <c r="AF1128" s="187"/>
      <c r="AG1128" s="187"/>
      <c r="AH1128" s="187"/>
      <c r="AI1128" s="187"/>
      <c r="AJ1128" s="187"/>
      <c r="AK1128" s="187"/>
      <c r="AL1128" s="187"/>
    </row>
    <row r="1129" spans="2:38" ht="12.75" customHeight="1">
      <c r="B1129" s="6"/>
      <c r="C1129" s="20"/>
      <c r="D1129" s="12"/>
      <c r="E1129" s="12"/>
      <c r="F1129" s="12"/>
      <c r="G1129" s="12"/>
      <c r="H1129" s="20"/>
      <c r="I1129" s="187"/>
      <c r="J1129" s="187"/>
      <c r="K1129" s="187"/>
      <c r="L1129" s="187"/>
      <c r="M1129" s="187"/>
      <c r="N1129" s="187"/>
      <c r="O1129" s="187"/>
      <c r="P1129" s="187"/>
      <c r="Q1129" s="187"/>
      <c r="R1129" s="187"/>
      <c r="S1129" s="187"/>
      <c r="T1129" s="187"/>
      <c r="U1129" s="187"/>
      <c r="V1129" s="187"/>
      <c r="W1129" s="187"/>
      <c r="X1129" s="187"/>
      <c r="Y1129" s="187"/>
      <c r="Z1129" s="187"/>
      <c r="AA1129" s="187"/>
      <c r="AB1129" s="187"/>
      <c r="AC1129" s="187"/>
      <c r="AD1129" s="187"/>
      <c r="AE1129" s="187"/>
      <c r="AF1129" s="187"/>
      <c r="AG1129" s="187"/>
      <c r="AH1129" s="187"/>
      <c r="AI1129" s="187"/>
      <c r="AJ1129" s="187"/>
      <c r="AK1129" s="187"/>
      <c r="AL1129" s="187"/>
    </row>
    <row r="1130" spans="2:38" ht="12.75" customHeight="1">
      <c r="B1130" s="6"/>
      <c r="C1130" s="20"/>
      <c r="D1130" s="12"/>
      <c r="E1130" s="12"/>
      <c r="F1130" s="12"/>
      <c r="G1130" s="12"/>
      <c r="H1130" s="20"/>
      <c r="I1130" s="187"/>
      <c r="J1130" s="187"/>
      <c r="K1130" s="187"/>
      <c r="L1130" s="187"/>
      <c r="M1130" s="187"/>
      <c r="N1130" s="187"/>
      <c r="O1130" s="187"/>
      <c r="P1130" s="187"/>
      <c r="Q1130" s="187"/>
      <c r="R1130" s="187"/>
      <c r="S1130" s="187"/>
      <c r="T1130" s="187"/>
      <c r="U1130" s="187"/>
      <c r="V1130" s="187"/>
      <c r="W1130" s="187"/>
      <c r="X1130" s="187"/>
      <c r="Y1130" s="187"/>
      <c r="Z1130" s="187"/>
      <c r="AA1130" s="187"/>
      <c r="AB1130" s="187"/>
      <c r="AC1130" s="187"/>
      <c r="AD1130" s="187"/>
      <c r="AE1130" s="187"/>
      <c r="AF1130" s="187"/>
      <c r="AG1130" s="187"/>
      <c r="AH1130" s="187"/>
      <c r="AI1130" s="187"/>
      <c r="AJ1130" s="187"/>
      <c r="AK1130" s="187"/>
      <c r="AL1130" s="187"/>
    </row>
    <row r="1131" spans="2:38" ht="12.75" customHeight="1">
      <c r="B1131" s="6"/>
      <c r="C1131" s="20"/>
      <c r="D1131" s="12"/>
      <c r="E1131" s="12"/>
      <c r="F1131" s="189"/>
      <c r="G1131" s="189"/>
      <c r="H1131" s="20"/>
      <c r="I1131" s="188"/>
      <c r="J1131" s="188"/>
      <c r="K1131" s="188"/>
      <c r="L1131" s="188"/>
      <c r="M1131" s="188"/>
      <c r="N1131" s="188"/>
      <c r="O1131" s="188"/>
      <c r="P1131" s="188"/>
      <c r="Q1131" s="188"/>
      <c r="R1131" s="188"/>
      <c r="S1131" s="188"/>
      <c r="T1131" s="188"/>
      <c r="U1131" s="188"/>
      <c r="V1131" s="188"/>
      <c r="W1131" s="188"/>
      <c r="X1131" s="188"/>
      <c r="Y1131" s="188"/>
      <c r="Z1131" s="188"/>
      <c r="AA1131" s="188"/>
      <c r="AB1131" s="188"/>
      <c r="AC1131" s="188"/>
      <c r="AD1131" s="188"/>
      <c r="AE1131" s="188"/>
      <c r="AF1131" s="188"/>
      <c r="AG1131" s="188"/>
      <c r="AH1131" s="188"/>
      <c r="AI1131" s="188"/>
      <c r="AJ1131" s="188"/>
      <c r="AK1131" s="188"/>
      <c r="AL1131" s="188"/>
    </row>
    <row r="1132" spans="2:38" ht="12.75" customHeight="1">
      <c r="B1132" s="6"/>
      <c r="C1132" s="20"/>
      <c r="D1132" s="12"/>
      <c r="E1132" s="12"/>
      <c r="F1132" s="12"/>
      <c r="G1132" s="12"/>
      <c r="H1132" s="20"/>
      <c r="I1132" s="187"/>
      <c r="J1132" s="187"/>
      <c r="K1132" s="187"/>
      <c r="L1132" s="187"/>
      <c r="M1132" s="187"/>
      <c r="N1132" s="187"/>
      <c r="O1132" s="187"/>
      <c r="P1132" s="187"/>
      <c r="Q1132" s="187"/>
      <c r="R1132" s="187"/>
      <c r="S1132" s="187"/>
      <c r="T1132" s="187"/>
      <c r="U1132" s="187"/>
      <c r="V1132" s="187"/>
      <c r="W1132" s="187"/>
      <c r="X1132" s="187"/>
      <c r="Y1132" s="187"/>
      <c r="Z1132" s="187"/>
      <c r="AA1132" s="187"/>
      <c r="AB1132" s="187"/>
      <c r="AC1132" s="187"/>
      <c r="AD1132" s="187"/>
      <c r="AE1132" s="187"/>
      <c r="AF1132" s="187"/>
      <c r="AG1132" s="187"/>
      <c r="AH1132" s="187"/>
      <c r="AI1132" s="187"/>
      <c r="AJ1132" s="187"/>
      <c r="AK1132" s="187"/>
      <c r="AL1132" s="187"/>
    </row>
    <row r="1133" spans="2:38" ht="12.75" customHeight="1">
      <c r="B1133" s="6"/>
      <c r="C1133" s="20"/>
      <c r="D1133" s="12"/>
      <c r="E1133" s="12"/>
      <c r="F1133" s="12"/>
      <c r="G1133" s="12"/>
      <c r="H1133" s="20"/>
      <c r="I1133" s="187"/>
      <c r="J1133" s="187"/>
      <c r="K1133" s="187"/>
      <c r="L1133" s="187"/>
      <c r="M1133" s="187"/>
      <c r="N1133" s="187"/>
      <c r="O1133" s="187"/>
      <c r="P1133" s="187"/>
      <c r="Q1133" s="187"/>
      <c r="R1133" s="187"/>
      <c r="S1133" s="187"/>
      <c r="T1133" s="187"/>
      <c r="U1133" s="187"/>
      <c r="V1133" s="187"/>
      <c r="W1133" s="187"/>
      <c r="X1133" s="187"/>
      <c r="Y1133" s="187"/>
      <c r="Z1133" s="187"/>
      <c r="AA1133" s="187"/>
      <c r="AB1133" s="187"/>
      <c r="AC1133" s="187"/>
      <c r="AD1133" s="187"/>
      <c r="AE1133" s="187"/>
      <c r="AF1133" s="187"/>
      <c r="AG1133" s="187"/>
      <c r="AH1133" s="187"/>
      <c r="AI1133" s="187"/>
      <c r="AJ1133" s="187"/>
      <c r="AK1133" s="187"/>
      <c r="AL1133" s="187"/>
    </row>
    <row r="1134" spans="2:38" ht="12.75" customHeight="1">
      <c r="B1134" s="6"/>
      <c r="C1134" s="20"/>
      <c r="D1134" s="12"/>
      <c r="E1134" s="12"/>
      <c r="F1134" s="12"/>
      <c r="G1134" s="12"/>
      <c r="H1134" s="20"/>
      <c r="I1134" s="187"/>
      <c r="J1134" s="187"/>
      <c r="K1134" s="187"/>
      <c r="L1134" s="187"/>
      <c r="M1134" s="187"/>
      <c r="N1134" s="187"/>
      <c r="O1134" s="187"/>
      <c r="P1134" s="187"/>
      <c r="Q1134" s="187"/>
      <c r="R1134" s="187"/>
      <c r="S1134" s="187"/>
      <c r="T1134" s="187"/>
      <c r="U1134" s="187"/>
      <c r="V1134" s="187"/>
      <c r="W1134" s="187"/>
      <c r="X1134" s="187"/>
      <c r="Y1134" s="187"/>
      <c r="Z1134" s="187"/>
      <c r="AA1134" s="187"/>
      <c r="AB1134" s="187"/>
      <c r="AC1134" s="187"/>
      <c r="AD1134" s="187"/>
      <c r="AE1134" s="187"/>
      <c r="AF1134" s="187"/>
      <c r="AG1134" s="187"/>
      <c r="AH1134" s="187"/>
      <c r="AI1134" s="187"/>
      <c r="AJ1134" s="187"/>
      <c r="AK1134" s="187"/>
      <c r="AL1134" s="187"/>
    </row>
    <row r="1135" spans="2:38" ht="12.75" customHeight="1">
      <c r="B1135" s="6"/>
      <c r="C1135" s="20"/>
      <c r="D1135" s="12"/>
      <c r="E1135" s="12"/>
      <c r="F1135" s="12"/>
      <c r="G1135" s="12"/>
      <c r="H1135" s="20"/>
      <c r="I1135" s="187"/>
      <c r="J1135" s="187"/>
      <c r="K1135" s="187"/>
      <c r="L1135" s="187"/>
      <c r="M1135" s="187"/>
      <c r="N1135" s="187"/>
      <c r="O1135" s="187"/>
      <c r="P1135" s="187"/>
      <c r="Q1135" s="187"/>
      <c r="R1135" s="187"/>
      <c r="S1135" s="187"/>
      <c r="T1135" s="187"/>
      <c r="U1135" s="187"/>
      <c r="V1135" s="187"/>
      <c r="W1135" s="187"/>
      <c r="X1135" s="187"/>
      <c r="Y1135" s="187"/>
      <c r="Z1135" s="187"/>
      <c r="AA1135" s="187"/>
      <c r="AB1135" s="187"/>
      <c r="AC1135" s="187"/>
      <c r="AD1135" s="187"/>
      <c r="AE1135" s="187"/>
      <c r="AF1135" s="187"/>
      <c r="AG1135" s="187"/>
      <c r="AH1135" s="187"/>
      <c r="AI1135" s="187"/>
      <c r="AJ1135" s="187"/>
      <c r="AK1135" s="187"/>
      <c r="AL1135" s="187"/>
    </row>
    <row r="1136" spans="2:38" ht="12.75" customHeight="1">
      <c r="B1136" s="6"/>
      <c r="C1136" s="20"/>
      <c r="D1136" s="12"/>
      <c r="E1136" s="12"/>
      <c r="F1136" s="12"/>
      <c r="G1136" s="12"/>
      <c r="H1136" s="20"/>
      <c r="I1136" s="187"/>
      <c r="J1136" s="187"/>
      <c r="K1136" s="187"/>
      <c r="L1136" s="187"/>
      <c r="M1136" s="187"/>
      <c r="N1136" s="187"/>
      <c r="O1136" s="187"/>
      <c r="P1136" s="187"/>
      <c r="Q1136" s="187"/>
      <c r="R1136" s="187"/>
      <c r="S1136" s="187"/>
      <c r="T1136" s="187"/>
      <c r="U1136" s="187"/>
      <c r="V1136" s="187"/>
      <c r="W1136" s="187"/>
      <c r="X1136" s="187"/>
      <c r="Y1136" s="187"/>
      <c r="Z1136" s="187"/>
      <c r="AA1136" s="187"/>
      <c r="AB1136" s="187"/>
      <c r="AC1136" s="187"/>
      <c r="AD1136" s="187"/>
      <c r="AE1136" s="187"/>
      <c r="AF1136" s="187"/>
      <c r="AG1136" s="187"/>
      <c r="AH1136" s="187"/>
      <c r="AI1136" s="187"/>
      <c r="AJ1136" s="187"/>
      <c r="AK1136" s="187"/>
      <c r="AL1136" s="187"/>
    </row>
    <row r="1137" spans="2:38" ht="12.75" customHeight="1">
      <c r="B1137" s="6"/>
      <c r="C1137" s="20"/>
      <c r="D1137" s="12"/>
      <c r="E1137" s="12"/>
      <c r="F1137" s="12"/>
      <c r="G1137" s="12"/>
      <c r="H1137" s="20"/>
      <c r="I1137" s="187"/>
      <c r="J1137" s="187"/>
      <c r="K1137" s="187"/>
      <c r="L1137" s="187"/>
      <c r="M1137" s="187"/>
      <c r="N1137" s="187"/>
      <c r="O1137" s="187"/>
      <c r="P1137" s="187"/>
      <c r="Q1137" s="187"/>
      <c r="R1137" s="187"/>
      <c r="S1137" s="187"/>
      <c r="T1137" s="187"/>
      <c r="U1137" s="187"/>
      <c r="V1137" s="187"/>
      <c r="W1137" s="187"/>
      <c r="X1137" s="187"/>
      <c r="Y1137" s="187"/>
      <c r="Z1137" s="187"/>
      <c r="AA1137" s="187"/>
      <c r="AB1137" s="187"/>
      <c r="AC1137" s="187"/>
      <c r="AD1137" s="187"/>
      <c r="AE1137" s="187"/>
      <c r="AF1137" s="187"/>
      <c r="AG1137" s="187"/>
      <c r="AH1137" s="187"/>
      <c r="AI1137" s="187"/>
      <c r="AJ1137" s="187"/>
      <c r="AK1137" s="187"/>
      <c r="AL1137" s="187"/>
    </row>
    <row r="1138" spans="2:38" ht="12.75" customHeight="1">
      <c r="B1138" s="6"/>
      <c r="C1138" s="20"/>
      <c r="D1138" s="12"/>
      <c r="E1138" s="12"/>
      <c r="F1138" s="12"/>
      <c r="G1138" s="12"/>
      <c r="H1138" s="20"/>
      <c r="I1138" s="187"/>
      <c r="J1138" s="187"/>
      <c r="K1138" s="187"/>
      <c r="L1138" s="187"/>
      <c r="M1138" s="187"/>
      <c r="N1138" s="187"/>
      <c r="O1138" s="187"/>
      <c r="P1138" s="187"/>
      <c r="Q1138" s="187"/>
      <c r="R1138" s="187"/>
      <c r="S1138" s="187"/>
      <c r="T1138" s="187"/>
      <c r="U1138" s="187"/>
      <c r="V1138" s="187"/>
      <c r="W1138" s="187"/>
      <c r="X1138" s="187"/>
      <c r="Y1138" s="187"/>
      <c r="Z1138" s="187"/>
      <c r="AA1138" s="187"/>
      <c r="AB1138" s="187"/>
      <c r="AC1138" s="187"/>
      <c r="AD1138" s="187"/>
      <c r="AE1138" s="187"/>
      <c r="AF1138" s="187"/>
      <c r="AG1138" s="187"/>
      <c r="AH1138" s="187"/>
      <c r="AI1138" s="187"/>
      <c r="AJ1138" s="187"/>
      <c r="AK1138" s="187"/>
      <c r="AL1138" s="187"/>
    </row>
    <row r="1139" spans="2:38" ht="12.75" customHeight="1">
      <c r="B1139" s="6"/>
      <c r="C1139" s="20"/>
      <c r="D1139" s="12"/>
      <c r="E1139" s="12"/>
      <c r="F1139" s="12"/>
      <c r="G1139" s="12"/>
      <c r="H1139" s="20"/>
      <c r="I1139" s="187"/>
      <c r="J1139" s="187"/>
      <c r="K1139" s="187"/>
      <c r="L1139" s="187"/>
      <c r="M1139" s="187"/>
      <c r="N1139" s="187"/>
      <c r="O1139" s="187"/>
      <c r="P1139" s="187"/>
      <c r="Q1139" s="187"/>
      <c r="R1139" s="187"/>
      <c r="S1139" s="187"/>
      <c r="T1139" s="187"/>
      <c r="U1139" s="187"/>
      <c r="V1139" s="187"/>
      <c r="W1139" s="187"/>
      <c r="X1139" s="187"/>
      <c r="Y1139" s="187"/>
      <c r="Z1139" s="187"/>
      <c r="AA1139" s="187"/>
      <c r="AB1139" s="187"/>
      <c r="AC1139" s="187"/>
      <c r="AD1139" s="187"/>
      <c r="AE1139" s="187"/>
      <c r="AF1139" s="187"/>
      <c r="AG1139" s="187"/>
      <c r="AH1139" s="187"/>
      <c r="AI1139" s="187"/>
      <c r="AJ1139" s="187"/>
      <c r="AK1139" s="187"/>
      <c r="AL1139" s="187"/>
    </row>
    <row r="1140" spans="2:38" ht="12.75" customHeight="1">
      <c r="B1140" s="6"/>
      <c r="C1140" s="20"/>
      <c r="D1140" s="12"/>
      <c r="E1140" s="12"/>
      <c r="F1140" s="12"/>
      <c r="G1140" s="12"/>
      <c r="H1140" s="20"/>
      <c r="I1140" s="187"/>
      <c r="J1140" s="187"/>
      <c r="K1140" s="187"/>
      <c r="L1140" s="187"/>
      <c r="M1140" s="187"/>
      <c r="N1140" s="187"/>
      <c r="O1140" s="187"/>
      <c r="P1140" s="187"/>
      <c r="Q1140" s="187"/>
      <c r="R1140" s="187"/>
      <c r="S1140" s="187"/>
      <c r="T1140" s="187"/>
      <c r="U1140" s="187"/>
      <c r="V1140" s="187"/>
      <c r="W1140" s="187"/>
      <c r="X1140" s="187"/>
      <c r="Y1140" s="187"/>
      <c r="Z1140" s="187"/>
      <c r="AA1140" s="187"/>
      <c r="AB1140" s="187"/>
      <c r="AC1140" s="187"/>
      <c r="AD1140" s="187"/>
      <c r="AE1140" s="187"/>
      <c r="AF1140" s="187"/>
      <c r="AG1140" s="187"/>
      <c r="AH1140" s="187"/>
      <c r="AI1140" s="187"/>
      <c r="AJ1140" s="187"/>
      <c r="AK1140" s="187"/>
      <c r="AL1140" s="187"/>
    </row>
    <row r="1141" spans="2:38" ht="12.75" customHeight="1">
      <c r="B1141" s="6"/>
      <c r="C1141" s="20"/>
      <c r="D1141" s="12"/>
      <c r="E1141" s="12"/>
      <c r="F1141" s="12"/>
      <c r="G1141" s="12"/>
      <c r="H1141" s="20"/>
      <c r="I1141" s="187"/>
      <c r="J1141" s="187"/>
      <c r="K1141" s="187"/>
      <c r="L1141" s="187"/>
      <c r="M1141" s="187"/>
      <c r="N1141" s="187"/>
      <c r="O1141" s="187"/>
      <c r="P1141" s="187"/>
      <c r="Q1141" s="187"/>
      <c r="R1141" s="187"/>
      <c r="S1141" s="187"/>
      <c r="T1141" s="187"/>
      <c r="U1141" s="187"/>
      <c r="V1141" s="187"/>
      <c r="W1141" s="187"/>
      <c r="X1141" s="187"/>
      <c r="Y1141" s="187"/>
      <c r="Z1141" s="187"/>
      <c r="AA1141" s="187"/>
      <c r="AB1141" s="187"/>
      <c r="AC1141" s="187"/>
      <c r="AD1141" s="187"/>
      <c r="AE1141" s="187"/>
      <c r="AF1141" s="187"/>
      <c r="AG1141" s="187"/>
      <c r="AH1141" s="187"/>
      <c r="AI1141" s="187"/>
      <c r="AJ1141" s="187"/>
      <c r="AK1141" s="187"/>
      <c r="AL1141" s="187"/>
    </row>
    <row r="1142" spans="2:38" ht="12.75" customHeight="1">
      <c r="B1142" s="6"/>
      <c r="C1142" s="20"/>
      <c r="D1142" s="12"/>
      <c r="E1142" s="12"/>
      <c r="F1142" s="12"/>
      <c r="G1142" s="12"/>
      <c r="H1142" s="20"/>
      <c r="I1142" s="187"/>
      <c r="J1142" s="187"/>
      <c r="K1142" s="187"/>
      <c r="L1142" s="187"/>
      <c r="M1142" s="187"/>
      <c r="N1142" s="187"/>
      <c r="O1142" s="187"/>
      <c r="P1142" s="187"/>
      <c r="Q1142" s="187"/>
      <c r="R1142" s="187"/>
      <c r="S1142" s="187"/>
      <c r="T1142" s="187"/>
      <c r="U1142" s="187"/>
      <c r="V1142" s="187"/>
      <c r="W1142" s="187"/>
      <c r="X1142" s="187"/>
      <c r="Y1142" s="187"/>
      <c r="Z1142" s="187"/>
      <c r="AA1142" s="187"/>
      <c r="AB1142" s="187"/>
      <c r="AC1142" s="187"/>
      <c r="AD1142" s="187"/>
      <c r="AE1142" s="187"/>
      <c r="AF1142" s="187"/>
      <c r="AG1142" s="187"/>
      <c r="AH1142" s="187"/>
      <c r="AI1142" s="187"/>
      <c r="AJ1142" s="187"/>
      <c r="AK1142" s="187"/>
      <c r="AL1142" s="187"/>
    </row>
    <row r="1143" spans="2:38" ht="12.75" customHeight="1">
      <c r="B1143" s="6"/>
      <c r="C1143" s="20"/>
      <c r="D1143" s="12"/>
      <c r="E1143" s="12"/>
      <c r="F1143" s="12"/>
      <c r="G1143" s="12"/>
      <c r="H1143" s="20"/>
      <c r="I1143" s="187"/>
      <c r="J1143" s="187"/>
      <c r="K1143" s="187"/>
      <c r="L1143" s="187"/>
      <c r="M1143" s="187"/>
      <c r="N1143" s="187"/>
      <c r="O1143" s="187"/>
      <c r="P1143" s="187"/>
      <c r="Q1143" s="187"/>
      <c r="R1143" s="187"/>
      <c r="S1143" s="187"/>
      <c r="T1143" s="187"/>
      <c r="U1143" s="187"/>
      <c r="V1143" s="187"/>
      <c r="W1143" s="187"/>
      <c r="X1143" s="187"/>
      <c r="Y1143" s="187"/>
      <c r="Z1143" s="187"/>
      <c r="AA1143" s="187"/>
      <c r="AB1143" s="187"/>
      <c r="AC1143" s="187"/>
      <c r="AD1143" s="187"/>
      <c r="AE1143" s="187"/>
      <c r="AF1143" s="187"/>
      <c r="AG1143" s="187"/>
      <c r="AH1143" s="187"/>
      <c r="AI1143" s="187"/>
      <c r="AJ1143" s="187"/>
      <c r="AK1143" s="187"/>
      <c r="AL1143" s="187"/>
    </row>
    <row r="1144" spans="2:38" ht="12.75" customHeight="1">
      <c r="B1144" s="6"/>
      <c r="C1144" s="20"/>
      <c r="D1144" s="12"/>
      <c r="E1144" s="12"/>
      <c r="F1144" s="12"/>
      <c r="G1144" s="12"/>
      <c r="H1144" s="20"/>
      <c r="I1144" s="187"/>
      <c r="J1144" s="187"/>
      <c r="K1144" s="187"/>
      <c r="L1144" s="187"/>
      <c r="M1144" s="187"/>
      <c r="N1144" s="187"/>
      <c r="O1144" s="187"/>
      <c r="P1144" s="187"/>
      <c r="Q1144" s="187"/>
      <c r="R1144" s="187"/>
      <c r="S1144" s="187"/>
      <c r="T1144" s="187"/>
      <c r="U1144" s="187"/>
      <c r="V1144" s="187"/>
      <c r="W1144" s="187"/>
      <c r="X1144" s="187"/>
      <c r="Y1144" s="187"/>
      <c r="Z1144" s="187"/>
      <c r="AA1144" s="187"/>
      <c r="AB1144" s="187"/>
      <c r="AC1144" s="187"/>
      <c r="AD1144" s="187"/>
      <c r="AE1144" s="187"/>
      <c r="AF1144" s="187"/>
      <c r="AG1144" s="187"/>
      <c r="AH1144" s="187"/>
      <c r="AI1144" s="187"/>
      <c r="AJ1144" s="187"/>
      <c r="AK1144" s="187"/>
      <c r="AL1144" s="187"/>
    </row>
    <row r="1145" spans="2:38" ht="12.75" customHeight="1">
      <c r="B1145" s="6"/>
      <c r="C1145" s="20"/>
      <c r="D1145" s="12"/>
      <c r="E1145" s="12"/>
      <c r="F1145" s="12"/>
      <c r="G1145" s="12"/>
      <c r="H1145" s="20"/>
      <c r="I1145" s="187"/>
      <c r="J1145" s="187"/>
      <c r="K1145" s="187"/>
      <c r="L1145" s="187"/>
      <c r="M1145" s="187"/>
      <c r="N1145" s="187"/>
      <c r="O1145" s="187"/>
      <c r="P1145" s="187"/>
      <c r="Q1145" s="187"/>
      <c r="R1145" s="187"/>
      <c r="S1145" s="187"/>
      <c r="T1145" s="187"/>
      <c r="U1145" s="187"/>
      <c r="V1145" s="187"/>
      <c r="W1145" s="187"/>
      <c r="X1145" s="187"/>
      <c r="Y1145" s="187"/>
      <c r="Z1145" s="187"/>
      <c r="AA1145" s="187"/>
      <c r="AB1145" s="187"/>
      <c r="AC1145" s="187"/>
      <c r="AD1145" s="187"/>
      <c r="AE1145" s="187"/>
      <c r="AF1145" s="187"/>
      <c r="AG1145" s="187"/>
      <c r="AH1145" s="187"/>
      <c r="AI1145" s="187"/>
      <c r="AJ1145" s="187"/>
      <c r="AK1145" s="187"/>
      <c r="AL1145" s="187"/>
    </row>
    <row r="1146" spans="2:38" ht="12.75" customHeight="1">
      <c r="B1146" s="6"/>
      <c r="C1146" s="20"/>
      <c r="D1146" s="12"/>
      <c r="E1146" s="12"/>
      <c r="F1146" s="12"/>
      <c r="G1146" s="12"/>
      <c r="H1146" s="20"/>
      <c r="I1146" s="187"/>
      <c r="J1146" s="187"/>
      <c r="K1146" s="187"/>
      <c r="L1146" s="187"/>
      <c r="M1146" s="187"/>
      <c r="N1146" s="187"/>
      <c r="O1146" s="187"/>
      <c r="P1146" s="187"/>
      <c r="Q1146" s="187"/>
      <c r="R1146" s="187"/>
      <c r="S1146" s="187"/>
      <c r="T1146" s="187"/>
      <c r="U1146" s="187"/>
      <c r="V1146" s="187"/>
      <c r="W1146" s="187"/>
      <c r="X1146" s="187"/>
      <c r="Y1146" s="187"/>
      <c r="Z1146" s="187"/>
      <c r="AA1146" s="187"/>
      <c r="AB1146" s="187"/>
      <c r="AC1146" s="187"/>
      <c r="AD1146" s="187"/>
      <c r="AE1146" s="187"/>
      <c r="AF1146" s="187"/>
      <c r="AG1146" s="187"/>
      <c r="AH1146" s="187"/>
      <c r="AI1146" s="187"/>
      <c r="AJ1146" s="187"/>
      <c r="AK1146" s="187"/>
      <c r="AL1146" s="187"/>
    </row>
    <row r="1147" spans="2:38" ht="12.75" customHeight="1">
      <c r="B1147" s="6"/>
      <c r="C1147" s="20"/>
      <c r="D1147" s="12"/>
      <c r="E1147" s="12"/>
      <c r="F1147" s="12"/>
      <c r="G1147" s="12"/>
      <c r="H1147" s="20"/>
      <c r="I1147" s="187"/>
      <c r="J1147" s="187"/>
      <c r="K1147" s="187"/>
      <c r="L1147" s="187"/>
      <c r="M1147" s="187"/>
      <c r="N1147" s="187"/>
      <c r="O1147" s="187"/>
      <c r="P1147" s="187"/>
      <c r="Q1147" s="187"/>
      <c r="R1147" s="187"/>
      <c r="S1147" s="187"/>
      <c r="T1147" s="187"/>
      <c r="U1147" s="187"/>
      <c r="V1147" s="187"/>
      <c r="W1147" s="187"/>
      <c r="X1147" s="187"/>
      <c r="Y1147" s="187"/>
      <c r="Z1147" s="187"/>
      <c r="AA1147" s="187"/>
      <c r="AB1147" s="187"/>
      <c r="AC1147" s="187"/>
      <c r="AD1147" s="187"/>
      <c r="AE1147" s="187"/>
      <c r="AF1147" s="187"/>
      <c r="AG1147" s="187"/>
      <c r="AH1147" s="187"/>
      <c r="AI1147" s="187"/>
      <c r="AJ1147" s="187"/>
      <c r="AK1147" s="187"/>
      <c r="AL1147" s="187"/>
    </row>
    <row r="1148" spans="2:38" ht="12.75" customHeight="1">
      <c r="B1148" s="6"/>
      <c r="C1148" s="20"/>
      <c r="D1148" s="12"/>
      <c r="E1148" s="12"/>
      <c r="F1148" s="12"/>
      <c r="G1148" s="12"/>
      <c r="H1148" s="20"/>
      <c r="I1148" s="187"/>
      <c r="J1148" s="187"/>
      <c r="K1148" s="187"/>
      <c r="L1148" s="187"/>
      <c r="M1148" s="187"/>
      <c r="N1148" s="187"/>
      <c r="O1148" s="187"/>
      <c r="P1148" s="187"/>
      <c r="Q1148" s="187"/>
      <c r="R1148" s="187"/>
      <c r="S1148" s="187"/>
      <c r="T1148" s="187"/>
      <c r="U1148" s="187"/>
      <c r="V1148" s="187"/>
      <c r="W1148" s="187"/>
      <c r="X1148" s="187"/>
      <c r="Y1148" s="187"/>
      <c r="Z1148" s="187"/>
      <c r="AA1148" s="187"/>
      <c r="AB1148" s="187"/>
      <c r="AC1148" s="187"/>
      <c r="AD1148" s="187"/>
      <c r="AE1148" s="187"/>
      <c r="AF1148" s="187"/>
      <c r="AG1148" s="187"/>
      <c r="AH1148" s="187"/>
      <c r="AI1148" s="187"/>
      <c r="AJ1148" s="187"/>
      <c r="AK1148" s="187"/>
      <c r="AL1148" s="187"/>
    </row>
    <row r="1149" spans="2:38" ht="12.75" customHeight="1">
      <c r="B1149" s="6"/>
      <c r="C1149" s="20"/>
      <c r="D1149" s="12"/>
      <c r="E1149" s="12"/>
      <c r="F1149" s="12"/>
      <c r="G1149" s="12"/>
      <c r="H1149" s="20"/>
      <c r="I1149" s="187"/>
      <c r="J1149" s="187"/>
      <c r="K1149" s="187"/>
      <c r="L1149" s="187"/>
      <c r="M1149" s="187"/>
      <c r="N1149" s="187"/>
      <c r="O1149" s="187"/>
      <c r="P1149" s="187"/>
      <c r="Q1149" s="187"/>
      <c r="R1149" s="187"/>
      <c r="S1149" s="187"/>
      <c r="T1149" s="187"/>
      <c r="U1149" s="187"/>
      <c r="V1149" s="187"/>
      <c r="W1149" s="187"/>
      <c r="X1149" s="187"/>
      <c r="Y1149" s="187"/>
      <c r="Z1149" s="187"/>
      <c r="AA1149" s="187"/>
      <c r="AB1149" s="187"/>
      <c r="AC1149" s="187"/>
      <c r="AD1149" s="187"/>
      <c r="AE1149" s="187"/>
      <c r="AF1149" s="187"/>
      <c r="AG1149" s="187"/>
      <c r="AH1149" s="187"/>
      <c r="AI1149" s="187"/>
      <c r="AJ1149" s="187"/>
      <c r="AK1149" s="187"/>
      <c r="AL1149" s="187"/>
    </row>
    <row r="1150" spans="2:38" ht="12.75" customHeight="1">
      <c r="B1150" s="6"/>
      <c r="C1150" s="20"/>
      <c r="D1150" s="12"/>
      <c r="E1150" s="12"/>
      <c r="F1150" s="12"/>
      <c r="G1150" s="12"/>
      <c r="H1150" s="20"/>
      <c r="I1150" s="187"/>
      <c r="J1150" s="187"/>
      <c r="K1150" s="187"/>
      <c r="L1150" s="187"/>
      <c r="M1150" s="187"/>
      <c r="N1150" s="187"/>
      <c r="O1150" s="187"/>
      <c r="P1150" s="187"/>
      <c r="Q1150" s="187"/>
      <c r="R1150" s="187"/>
      <c r="S1150" s="187"/>
      <c r="T1150" s="187"/>
      <c r="U1150" s="187"/>
      <c r="V1150" s="187"/>
      <c r="W1150" s="187"/>
      <c r="X1150" s="187"/>
      <c r="Y1150" s="187"/>
      <c r="Z1150" s="187"/>
      <c r="AA1150" s="187"/>
      <c r="AB1150" s="187"/>
      <c r="AC1150" s="187"/>
      <c r="AD1150" s="187"/>
      <c r="AE1150" s="187"/>
      <c r="AF1150" s="187"/>
      <c r="AG1150" s="187"/>
      <c r="AH1150" s="187"/>
      <c r="AI1150" s="187"/>
      <c r="AJ1150" s="187"/>
      <c r="AK1150" s="187"/>
      <c r="AL1150" s="187"/>
    </row>
    <row r="1151" spans="2:38" ht="12.75" customHeight="1">
      <c r="B1151" s="6"/>
      <c r="C1151" s="20"/>
      <c r="D1151" s="12"/>
      <c r="E1151" s="12"/>
      <c r="F1151" s="12"/>
      <c r="G1151" s="12"/>
      <c r="H1151" s="20"/>
      <c r="I1151" s="187"/>
      <c r="J1151" s="187"/>
      <c r="K1151" s="187"/>
      <c r="L1151" s="187"/>
      <c r="M1151" s="187"/>
      <c r="N1151" s="187"/>
      <c r="O1151" s="187"/>
      <c r="P1151" s="187"/>
      <c r="Q1151" s="187"/>
      <c r="R1151" s="187"/>
      <c r="S1151" s="187"/>
      <c r="T1151" s="187"/>
      <c r="U1151" s="187"/>
      <c r="V1151" s="187"/>
      <c r="W1151" s="187"/>
      <c r="X1151" s="187"/>
      <c r="Y1151" s="187"/>
      <c r="Z1151" s="187"/>
      <c r="AA1151" s="187"/>
      <c r="AB1151" s="187"/>
      <c r="AC1151" s="187"/>
      <c r="AD1151" s="187"/>
      <c r="AE1151" s="187"/>
      <c r="AF1151" s="187"/>
      <c r="AG1151" s="187"/>
      <c r="AH1151" s="187"/>
      <c r="AI1151" s="187"/>
      <c r="AJ1151" s="187"/>
      <c r="AK1151" s="187"/>
      <c r="AL1151" s="187"/>
    </row>
    <row r="1152" spans="2:38" ht="12.75" customHeight="1">
      <c r="B1152" s="6"/>
      <c r="C1152" s="20"/>
      <c r="D1152" s="12"/>
      <c r="E1152" s="12"/>
      <c r="F1152" s="189"/>
      <c r="G1152" s="189"/>
      <c r="H1152" s="20"/>
      <c r="I1152" s="188"/>
      <c r="J1152" s="188"/>
      <c r="K1152" s="188"/>
      <c r="L1152" s="188"/>
      <c r="M1152" s="188"/>
      <c r="N1152" s="188"/>
      <c r="O1152" s="188"/>
      <c r="P1152" s="188"/>
      <c r="Q1152" s="188"/>
      <c r="R1152" s="188"/>
      <c r="S1152" s="188"/>
      <c r="T1152" s="188"/>
      <c r="U1152" s="188"/>
      <c r="V1152" s="188"/>
      <c r="W1152" s="188"/>
      <c r="X1152" s="188"/>
      <c r="Y1152" s="188"/>
      <c r="Z1152" s="188"/>
      <c r="AA1152" s="188"/>
      <c r="AB1152" s="188"/>
      <c r="AC1152" s="188"/>
      <c r="AD1152" s="188"/>
      <c r="AE1152" s="188"/>
      <c r="AF1152" s="188"/>
      <c r="AG1152" s="188"/>
      <c r="AH1152" s="188"/>
      <c r="AI1152" s="188"/>
      <c r="AJ1152" s="188"/>
      <c r="AK1152" s="188"/>
      <c r="AL1152" s="188"/>
    </row>
    <row r="1153" spans="2:38" ht="12.75" customHeight="1">
      <c r="B1153" s="6"/>
      <c r="C1153" s="20"/>
      <c r="D1153" s="12"/>
      <c r="E1153" s="12"/>
      <c r="F1153" s="12"/>
      <c r="G1153" s="12"/>
      <c r="H1153" s="20"/>
      <c r="I1153" s="187"/>
      <c r="J1153" s="187"/>
      <c r="K1153" s="187"/>
      <c r="L1153" s="187"/>
      <c r="M1153" s="187"/>
      <c r="N1153" s="187"/>
      <c r="O1153" s="187"/>
      <c r="P1153" s="187"/>
      <c r="Q1153" s="187"/>
      <c r="R1153" s="187"/>
      <c r="S1153" s="187"/>
      <c r="T1153" s="187"/>
      <c r="U1153" s="187"/>
      <c r="V1153" s="187"/>
      <c r="W1153" s="187"/>
      <c r="X1153" s="187"/>
      <c r="Y1153" s="187"/>
      <c r="Z1153" s="187"/>
      <c r="AA1153" s="187"/>
      <c r="AB1153" s="187"/>
      <c r="AC1153" s="187"/>
      <c r="AD1153" s="187"/>
      <c r="AE1153" s="187"/>
      <c r="AF1153" s="187"/>
      <c r="AG1153" s="187"/>
      <c r="AH1153" s="187"/>
      <c r="AI1153" s="187"/>
      <c r="AJ1153" s="187"/>
      <c r="AK1153" s="187"/>
      <c r="AL1153" s="187"/>
    </row>
    <row r="1154" spans="2:38" ht="12.75" customHeight="1">
      <c r="B1154" s="6"/>
      <c r="C1154" s="20"/>
      <c r="D1154" s="12"/>
      <c r="E1154" s="12"/>
      <c r="F1154" s="12"/>
      <c r="G1154" s="12"/>
      <c r="H1154" s="20"/>
      <c r="I1154" s="187"/>
      <c r="J1154" s="187"/>
      <c r="K1154" s="187"/>
      <c r="L1154" s="187"/>
      <c r="M1154" s="187"/>
      <c r="N1154" s="187"/>
      <c r="O1154" s="187"/>
      <c r="P1154" s="187"/>
      <c r="Q1154" s="187"/>
      <c r="R1154" s="187"/>
      <c r="S1154" s="187"/>
      <c r="T1154" s="187"/>
      <c r="U1154" s="187"/>
      <c r="V1154" s="187"/>
      <c r="W1154" s="187"/>
      <c r="X1154" s="187"/>
      <c r="Y1154" s="187"/>
      <c r="Z1154" s="187"/>
      <c r="AA1154" s="187"/>
      <c r="AB1154" s="187"/>
      <c r="AC1154" s="187"/>
      <c r="AD1154" s="187"/>
      <c r="AE1154" s="187"/>
      <c r="AF1154" s="187"/>
      <c r="AG1154" s="187"/>
      <c r="AH1154" s="187"/>
      <c r="AI1154" s="187"/>
      <c r="AJ1154" s="187"/>
      <c r="AK1154" s="187"/>
      <c r="AL1154" s="187"/>
    </row>
    <row r="1155" spans="2:38" ht="12.75" customHeight="1">
      <c r="B1155" s="6"/>
      <c r="C1155" s="20"/>
      <c r="D1155" s="12"/>
      <c r="E1155" s="12"/>
      <c r="F1155" s="12"/>
      <c r="G1155" s="12"/>
      <c r="H1155" s="20"/>
      <c r="I1155" s="187"/>
      <c r="J1155" s="187"/>
      <c r="K1155" s="187"/>
      <c r="L1155" s="187"/>
      <c r="M1155" s="187"/>
      <c r="N1155" s="187"/>
      <c r="O1155" s="187"/>
      <c r="P1155" s="187"/>
      <c r="Q1155" s="187"/>
      <c r="R1155" s="187"/>
      <c r="S1155" s="187"/>
      <c r="T1155" s="187"/>
      <c r="U1155" s="187"/>
      <c r="V1155" s="187"/>
      <c r="W1155" s="187"/>
      <c r="X1155" s="187"/>
      <c r="Y1155" s="187"/>
      <c r="Z1155" s="187"/>
      <c r="AA1155" s="187"/>
      <c r="AB1155" s="187"/>
      <c r="AC1155" s="187"/>
      <c r="AD1155" s="187"/>
      <c r="AE1155" s="187"/>
      <c r="AF1155" s="187"/>
      <c r="AG1155" s="187"/>
      <c r="AH1155" s="187"/>
      <c r="AI1155" s="187"/>
      <c r="AJ1155" s="187"/>
      <c r="AK1155" s="187"/>
      <c r="AL1155" s="187"/>
    </row>
    <row r="1156" spans="2:38" ht="12.75" customHeight="1">
      <c r="B1156" s="6"/>
      <c r="C1156" s="20"/>
      <c r="D1156" s="12"/>
      <c r="E1156" s="12"/>
      <c r="F1156" s="12"/>
      <c r="G1156" s="12"/>
      <c r="H1156" s="20"/>
      <c r="I1156" s="187"/>
      <c r="J1156" s="187"/>
      <c r="K1156" s="187"/>
      <c r="L1156" s="187"/>
      <c r="M1156" s="187"/>
      <c r="N1156" s="187"/>
      <c r="O1156" s="187"/>
      <c r="P1156" s="187"/>
      <c r="Q1156" s="187"/>
      <c r="R1156" s="187"/>
      <c r="S1156" s="187"/>
      <c r="T1156" s="187"/>
      <c r="U1156" s="187"/>
      <c r="V1156" s="187"/>
      <c r="W1156" s="187"/>
      <c r="X1156" s="187"/>
      <c r="Y1156" s="187"/>
      <c r="Z1156" s="187"/>
      <c r="AA1156" s="187"/>
      <c r="AB1156" s="187"/>
      <c r="AC1156" s="187"/>
      <c r="AD1156" s="187"/>
      <c r="AE1156" s="187"/>
      <c r="AF1156" s="187"/>
      <c r="AG1156" s="187"/>
      <c r="AH1156" s="187"/>
      <c r="AI1156" s="187"/>
      <c r="AJ1156" s="187"/>
      <c r="AK1156" s="187"/>
      <c r="AL1156" s="187"/>
    </row>
    <row r="1157" spans="2:38" ht="12.75" customHeight="1">
      <c r="B1157" s="6"/>
      <c r="C1157" s="20"/>
      <c r="D1157" s="12"/>
      <c r="E1157" s="12"/>
      <c r="F1157" s="12"/>
      <c r="G1157" s="12"/>
      <c r="H1157" s="20"/>
      <c r="I1157" s="187"/>
      <c r="J1157" s="187"/>
      <c r="K1157" s="187"/>
      <c r="L1157" s="187"/>
      <c r="M1157" s="187"/>
      <c r="N1157" s="187"/>
      <c r="O1157" s="187"/>
      <c r="P1157" s="187"/>
      <c r="Q1157" s="187"/>
      <c r="R1157" s="187"/>
      <c r="S1157" s="187"/>
      <c r="T1157" s="187"/>
      <c r="U1157" s="187"/>
      <c r="V1157" s="187"/>
      <c r="W1157" s="187"/>
      <c r="X1157" s="187"/>
      <c r="Y1157" s="187"/>
      <c r="Z1157" s="187"/>
      <c r="AA1157" s="187"/>
      <c r="AB1157" s="187"/>
      <c r="AC1157" s="187"/>
      <c r="AD1157" s="187"/>
      <c r="AE1157" s="187"/>
      <c r="AF1157" s="187"/>
      <c r="AG1157" s="187"/>
      <c r="AH1157" s="187"/>
      <c r="AI1157" s="187"/>
      <c r="AJ1157" s="187"/>
      <c r="AK1157" s="187"/>
      <c r="AL1157" s="187"/>
    </row>
    <row r="1158" spans="2:38" ht="12.75" customHeight="1">
      <c r="B1158" s="6"/>
      <c r="C1158" s="20"/>
      <c r="D1158" s="12"/>
      <c r="E1158" s="12"/>
      <c r="F1158" s="12"/>
      <c r="G1158" s="12"/>
      <c r="H1158" s="20"/>
      <c r="I1158" s="187"/>
      <c r="J1158" s="187"/>
      <c r="K1158" s="187"/>
      <c r="L1158" s="187"/>
      <c r="M1158" s="187"/>
      <c r="N1158" s="187"/>
      <c r="O1158" s="187"/>
      <c r="P1158" s="187"/>
      <c r="Q1158" s="187"/>
      <c r="R1158" s="187"/>
      <c r="S1158" s="187"/>
      <c r="T1158" s="187"/>
      <c r="U1158" s="187"/>
      <c r="V1158" s="187"/>
      <c r="W1158" s="187"/>
      <c r="X1158" s="187"/>
      <c r="Y1158" s="187"/>
      <c r="Z1158" s="187"/>
      <c r="AA1158" s="187"/>
      <c r="AB1158" s="187"/>
      <c r="AC1158" s="187"/>
      <c r="AD1158" s="187"/>
      <c r="AE1158" s="187"/>
      <c r="AF1158" s="187"/>
      <c r="AG1158" s="187"/>
      <c r="AH1158" s="187"/>
      <c r="AI1158" s="187"/>
      <c r="AJ1158" s="187"/>
      <c r="AK1158" s="187"/>
      <c r="AL1158" s="187"/>
    </row>
    <row r="1159" spans="2:38" ht="12.75" customHeight="1">
      <c r="B1159" s="6"/>
      <c r="C1159" s="20"/>
      <c r="D1159" s="12"/>
      <c r="E1159" s="12"/>
      <c r="F1159" s="12"/>
      <c r="G1159" s="12"/>
      <c r="H1159" s="20"/>
      <c r="I1159" s="187"/>
      <c r="J1159" s="187"/>
      <c r="K1159" s="187"/>
      <c r="L1159" s="187"/>
      <c r="M1159" s="187"/>
      <c r="N1159" s="187"/>
      <c r="O1159" s="187"/>
      <c r="P1159" s="187"/>
      <c r="Q1159" s="187"/>
      <c r="R1159" s="187"/>
      <c r="S1159" s="187"/>
      <c r="T1159" s="187"/>
      <c r="U1159" s="187"/>
      <c r="V1159" s="187"/>
      <c r="W1159" s="187"/>
      <c r="X1159" s="187"/>
      <c r="Y1159" s="187"/>
      <c r="Z1159" s="187"/>
      <c r="AA1159" s="187"/>
      <c r="AB1159" s="187"/>
      <c r="AC1159" s="187"/>
      <c r="AD1159" s="187"/>
      <c r="AE1159" s="187"/>
      <c r="AF1159" s="187"/>
      <c r="AG1159" s="187"/>
      <c r="AH1159" s="187"/>
      <c r="AI1159" s="187"/>
      <c r="AJ1159" s="187"/>
      <c r="AK1159" s="187"/>
      <c r="AL1159" s="187"/>
    </row>
    <row r="1160" spans="2:38" ht="12.75" customHeight="1">
      <c r="B1160" s="6"/>
      <c r="C1160" s="20"/>
      <c r="D1160" s="12"/>
      <c r="E1160" s="12"/>
      <c r="F1160" s="12"/>
      <c r="G1160" s="12"/>
      <c r="H1160" s="20"/>
      <c r="I1160" s="188"/>
      <c r="J1160" s="188"/>
      <c r="K1160" s="188"/>
      <c r="L1160" s="188"/>
      <c r="M1160" s="188"/>
      <c r="N1160" s="188"/>
      <c r="O1160" s="188"/>
      <c r="P1160" s="188"/>
      <c r="Q1160" s="188"/>
      <c r="R1160" s="188"/>
      <c r="S1160" s="188"/>
      <c r="T1160" s="188"/>
      <c r="U1160" s="188"/>
      <c r="V1160" s="188"/>
      <c r="W1160" s="188"/>
      <c r="X1160" s="188"/>
      <c r="Y1160" s="188"/>
      <c r="Z1160" s="188"/>
      <c r="AA1160" s="188"/>
      <c r="AB1160" s="188"/>
      <c r="AC1160" s="188"/>
      <c r="AD1160" s="188"/>
      <c r="AE1160" s="188"/>
      <c r="AF1160" s="188"/>
      <c r="AG1160" s="188"/>
      <c r="AH1160" s="188"/>
      <c r="AI1160" s="188"/>
      <c r="AJ1160" s="188"/>
      <c r="AK1160" s="188"/>
      <c r="AL1160" s="188"/>
    </row>
    <row r="1161" spans="2:38" ht="12.75" customHeight="1">
      <c r="B1161" s="6"/>
      <c r="C1161" s="20"/>
      <c r="D1161" s="12"/>
      <c r="E1161" s="12"/>
      <c r="F1161" s="12"/>
      <c r="G1161" s="12"/>
      <c r="H1161" s="20"/>
      <c r="I1161" s="187"/>
      <c r="J1161" s="187"/>
      <c r="K1161" s="187"/>
      <c r="L1161" s="187"/>
      <c r="M1161" s="187"/>
      <c r="N1161" s="187"/>
      <c r="O1161" s="187"/>
      <c r="P1161" s="187"/>
      <c r="Q1161" s="187"/>
      <c r="R1161" s="187"/>
      <c r="S1161" s="187"/>
      <c r="T1161" s="187"/>
      <c r="U1161" s="187"/>
      <c r="V1161" s="187"/>
      <c r="W1161" s="187"/>
      <c r="X1161" s="187"/>
      <c r="Y1161" s="187"/>
      <c r="Z1161" s="187"/>
      <c r="AA1161" s="187"/>
      <c r="AB1161" s="187"/>
      <c r="AC1161" s="187"/>
      <c r="AD1161" s="187"/>
      <c r="AE1161" s="187"/>
      <c r="AF1161" s="187"/>
      <c r="AG1161" s="187"/>
      <c r="AH1161" s="187"/>
      <c r="AI1161" s="187"/>
      <c r="AJ1161" s="187"/>
      <c r="AK1161" s="187"/>
      <c r="AL1161" s="187"/>
    </row>
    <row r="1162" spans="2:38" ht="12.75" customHeight="1">
      <c r="B1162" s="6"/>
      <c r="C1162" s="20"/>
      <c r="D1162" s="12"/>
      <c r="E1162" s="12"/>
      <c r="F1162" s="12"/>
      <c r="G1162" s="12"/>
      <c r="H1162" s="20"/>
      <c r="I1162" s="187"/>
      <c r="J1162" s="187"/>
      <c r="K1162" s="187"/>
      <c r="L1162" s="187"/>
      <c r="M1162" s="187"/>
      <c r="N1162" s="187"/>
      <c r="O1162" s="187"/>
      <c r="P1162" s="187"/>
      <c r="Q1162" s="187"/>
      <c r="R1162" s="187"/>
      <c r="S1162" s="187"/>
      <c r="T1162" s="187"/>
      <c r="U1162" s="187"/>
      <c r="V1162" s="187"/>
      <c r="W1162" s="187"/>
      <c r="X1162" s="187"/>
      <c r="Y1162" s="187"/>
      <c r="Z1162" s="187"/>
      <c r="AA1162" s="187"/>
      <c r="AB1162" s="187"/>
      <c r="AC1162" s="187"/>
      <c r="AD1162" s="187"/>
      <c r="AE1162" s="187"/>
      <c r="AF1162" s="187"/>
      <c r="AG1162" s="187"/>
      <c r="AH1162" s="187"/>
      <c r="AI1162" s="187"/>
      <c r="AJ1162" s="187"/>
      <c r="AK1162" s="187"/>
      <c r="AL1162" s="187"/>
    </row>
    <row r="1163" spans="2:38" ht="12.75" customHeight="1">
      <c r="B1163" s="6"/>
      <c r="C1163" s="20"/>
      <c r="D1163" s="12"/>
      <c r="E1163" s="12"/>
      <c r="F1163" s="12"/>
      <c r="G1163" s="12"/>
      <c r="H1163" s="20"/>
      <c r="I1163" s="187"/>
      <c r="J1163" s="187"/>
      <c r="K1163" s="187"/>
      <c r="L1163" s="187"/>
      <c r="M1163" s="187"/>
      <c r="N1163" s="187"/>
      <c r="O1163" s="187"/>
      <c r="P1163" s="187"/>
      <c r="Q1163" s="187"/>
      <c r="R1163" s="187"/>
      <c r="S1163" s="187"/>
      <c r="T1163" s="187"/>
      <c r="U1163" s="187"/>
      <c r="V1163" s="187"/>
      <c r="W1163" s="187"/>
      <c r="X1163" s="187"/>
      <c r="Y1163" s="187"/>
      <c r="Z1163" s="187"/>
      <c r="AA1163" s="187"/>
      <c r="AB1163" s="187"/>
      <c r="AC1163" s="187"/>
      <c r="AD1163" s="187"/>
      <c r="AE1163" s="187"/>
      <c r="AF1163" s="187"/>
      <c r="AG1163" s="187"/>
      <c r="AH1163" s="187"/>
      <c r="AI1163" s="187"/>
      <c r="AJ1163" s="187"/>
      <c r="AK1163" s="187"/>
      <c r="AL1163" s="187"/>
    </row>
    <row r="1164" spans="2:38" ht="12.75" customHeight="1">
      <c r="B1164" s="6"/>
      <c r="C1164" s="20"/>
      <c r="D1164" s="12"/>
      <c r="E1164" s="12"/>
      <c r="F1164" s="189"/>
      <c r="G1164" s="189"/>
      <c r="H1164" s="20"/>
      <c r="I1164" s="187"/>
      <c r="J1164" s="187"/>
      <c r="K1164" s="187"/>
      <c r="L1164" s="187"/>
      <c r="M1164" s="187"/>
      <c r="N1164" s="187"/>
      <c r="O1164" s="187"/>
      <c r="P1164" s="187"/>
      <c r="Q1164" s="187"/>
      <c r="R1164" s="187"/>
      <c r="S1164" s="187"/>
      <c r="T1164" s="187"/>
      <c r="U1164" s="187"/>
      <c r="V1164" s="187"/>
      <c r="W1164" s="187"/>
      <c r="X1164" s="187"/>
      <c r="Y1164" s="187"/>
      <c r="Z1164" s="187"/>
      <c r="AA1164" s="187"/>
      <c r="AB1164" s="187"/>
      <c r="AC1164" s="187"/>
      <c r="AD1164" s="187"/>
      <c r="AE1164" s="187"/>
      <c r="AF1164" s="187"/>
      <c r="AG1164" s="187"/>
      <c r="AH1164" s="187"/>
      <c r="AI1164" s="187"/>
      <c r="AJ1164" s="187"/>
      <c r="AK1164" s="187"/>
      <c r="AL1164" s="187"/>
    </row>
    <row r="1165" spans="2:38" ht="12.75" customHeight="1">
      <c r="B1165" s="6"/>
      <c r="C1165" s="20"/>
      <c r="D1165" s="12"/>
      <c r="E1165" s="12"/>
      <c r="F1165" s="12"/>
      <c r="G1165" s="12"/>
      <c r="H1165" s="20"/>
      <c r="I1165" s="187"/>
      <c r="J1165" s="187"/>
      <c r="K1165" s="187"/>
      <c r="L1165" s="187"/>
      <c r="M1165" s="187"/>
      <c r="N1165" s="187"/>
      <c r="O1165" s="187"/>
      <c r="P1165" s="187"/>
      <c r="Q1165" s="187"/>
      <c r="R1165" s="187"/>
      <c r="S1165" s="187"/>
      <c r="T1165" s="187"/>
      <c r="U1165" s="187"/>
      <c r="V1165" s="187"/>
      <c r="W1165" s="187"/>
      <c r="X1165" s="187"/>
      <c r="Y1165" s="187"/>
      <c r="Z1165" s="187"/>
      <c r="AA1165" s="187"/>
      <c r="AB1165" s="187"/>
      <c r="AC1165" s="187"/>
      <c r="AD1165" s="187"/>
      <c r="AE1165" s="187"/>
      <c r="AF1165" s="187"/>
      <c r="AG1165" s="187"/>
      <c r="AH1165" s="187"/>
      <c r="AI1165" s="187"/>
      <c r="AJ1165" s="187"/>
      <c r="AK1165" s="187"/>
      <c r="AL1165" s="187"/>
    </row>
    <row r="1166" spans="2:38" ht="12.75" customHeight="1">
      <c r="B1166" s="6"/>
      <c r="C1166" s="20"/>
      <c r="D1166" s="12"/>
      <c r="E1166" s="12"/>
      <c r="F1166" s="12"/>
      <c r="G1166" s="12"/>
      <c r="H1166" s="20"/>
      <c r="I1166" s="187"/>
      <c r="J1166" s="187"/>
      <c r="K1166" s="187"/>
      <c r="L1166" s="187"/>
      <c r="M1166" s="187"/>
      <c r="N1166" s="187"/>
      <c r="O1166" s="187"/>
      <c r="P1166" s="187"/>
      <c r="Q1166" s="187"/>
      <c r="R1166" s="187"/>
      <c r="S1166" s="187"/>
      <c r="T1166" s="187"/>
      <c r="U1166" s="187"/>
      <c r="V1166" s="187"/>
      <c r="W1166" s="187"/>
      <c r="X1166" s="187"/>
      <c r="Y1166" s="187"/>
      <c r="Z1166" s="187"/>
      <c r="AA1166" s="187"/>
      <c r="AB1166" s="187"/>
      <c r="AC1166" s="187"/>
      <c r="AD1166" s="187"/>
      <c r="AE1166" s="187"/>
      <c r="AF1166" s="187"/>
      <c r="AG1166" s="187"/>
      <c r="AH1166" s="187"/>
      <c r="AI1166" s="187"/>
      <c r="AJ1166" s="187"/>
      <c r="AK1166" s="187"/>
      <c r="AL1166" s="187"/>
    </row>
    <row r="1167" spans="2:38" ht="12.75" customHeight="1">
      <c r="B1167" s="6"/>
      <c r="C1167" s="20"/>
      <c r="D1167" s="12"/>
      <c r="E1167" s="12"/>
      <c r="F1167" s="12"/>
      <c r="G1167" s="12"/>
      <c r="H1167" s="20"/>
      <c r="I1167" s="187"/>
      <c r="J1167" s="187"/>
      <c r="K1167" s="187"/>
      <c r="L1167" s="187"/>
      <c r="M1167" s="187"/>
      <c r="N1167" s="187"/>
      <c r="O1167" s="187"/>
      <c r="P1167" s="187"/>
      <c r="Q1167" s="187"/>
      <c r="R1167" s="187"/>
      <c r="S1167" s="187"/>
      <c r="T1167" s="187"/>
      <c r="U1167" s="187"/>
      <c r="V1167" s="187"/>
      <c r="W1167" s="187"/>
      <c r="X1167" s="187"/>
      <c r="Y1167" s="187"/>
      <c r="Z1167" s="187"/>
      <c r="AA1167" s="187"/>
      <c r="AB1167" s="187"/>
      <c r="AC1167" s="187"/>
      <c r="AD1167" s="187"/>
      <c r="AE1167" s="187"/>
      <c r="AF1167" s="187"/>
      <c r="AG1167" s="187"/>
      <c r="AH1167" s="187"/>
      <c r="AI1167" s="187"/>
      <c r="AJ1167" s="187"/>
      <c r="AK1167" s="187"/>
      <c r="AL1167" s="187"/>
    </row>
    <row r="1168" spans="2:38" ht="12.75" customHeight="1">
      <c r="B1168" s="6"/>
      <c r="C1168" s="20"/>
      <c r="D1168" s="12"/>
      <c r="E1168" s="12"/>
      <c r="F1168" s="12"/>
      <c r="G1168" s="12"/>
      <c r="H1168" s="20"/>
      <c r="I1168" s="188"/>
      <c r="J1168" s="188"/>
      <c r="K1168" s="188"/>
      <c r="L1168" s="188"/>
      <c r="M1168" s="188"/>
      <c r="N1168" s="188"/>
      <c r="O1168" s="188"/>
      <c r="P1168" s="188"/>
      <c r="Q1168" s="188"/>
      <c r="R1168" s="188"/>
      <c r="S1168" s="188"/>
      <c r="T1168" s="188"/>
      <c r="U1168" s="188"/>
      <c r="V1168" s="188"/>
      <c r="W1168" s="188"/>
      <c r="X1168" s="188"/>
      <c r="Y1168" s="188"/>
      <c r="Z1168" s="188"/>
      <c r="AA1168" s="188"/>
      <c r="AB1168" s="188"/>
      <c r="AC1168" s="188"/>
      <c r="AD1168" s="188"/>
      <c r="AE1168" s="188"/>
      <c r="AF1168" s="188"/>
      <c r="AG1168" s="188"/>
      <c r="AH1168" s="188"/>
      <c r="AI1168" s="188"/>
      <c r="AJ1168" s="188"/>
      <c r="AK1168" s="188"/>
      <c r="AL1168" s="188"/>
    </row>
    <row r="1169" spans="2:38" ht="12.75" customHeight="1">
      <c r="B1169" s="6"/>
      <c r="C1169" s="20"/>
      <c r="D1169" s="12"/>
      <c r="E1169" s="12"/>
      <c r="F1169" s="12"/>
      <c r="G1169" s="12"/>
      <c r="H1169" s="20"/>
      <c r="I1169" s="187"/>
      <c r="J1169" s="187"/>
      <c r="K1169" s="187"/>
      <c r="L1169" s="187"/>
      <c r="M1169" s="187"/>
      <c r="N1169" s="187"/>
      <c r="O1169" s="187"/>
      <c r="P1169" s="187"/>
      <c r="Q1169" s="187"/>
      <c r="R1169" s="187"/>
      <c r="S1169" s="187"/>
      <c r="T1169" s="187"/>
      <c r="U1169" s="187"/>
      <c r="V1169" s="187"/>
      <c r="W1169" s="187"/>
      <c r="X1169" s="187"/>
      <c r="Y1169" s="187"/>
      <c r="Z1169" s="187"/>
      <c r="AA1169" s="187"/>
      <c r="AB1169" s="187"/>
      <c r="AC1169" s="187"/>
      <c r="AD1169" s="187"/>
      <c r="AE1169" s="187"/>
      <c r="AF1169" s="187"/>
      <c r="AG1169" s="187"/>
      <c r="AH1169" s="187"/>
      <c r="AI1169" s="187"/>
      <c r="AJ1169" s="187"/>
      <c r="AK1169" s="187"/>
      <c r="AL1169" s="187"/>
    </row>
    <row r="1170" spans="2:38" ht="12.75" customHeight="1">
      <c r="B1170" s="6"/>
      <c r="C1170" s="20"/>
      <c r="D1170" s="12"/>
      <c r="E1170" s="12"/>
      <c r="F1170" s="12"/>
      <c r="G1170" s="12"/>
      <c r="H1170" s="20"/>
      <c r="I1170" s="187"/>
      <c r="J1170" s="187"/>
      <c r="K1170" s="187"/>
      <c r="L1170" s="187"/>
      <c r="M1170" s="187"/>
      <c r="N1170" s="187"/>
      <c r="O1170" s="187"/>
      <c r="P1170" s="187"/>
      <c r="Q1170" s="187"/>
      <c r="R1170" s="187"/>
      <c r="S1170" s="187"/>
      <c r="T1170" s="187"/>
      <c r="U1170" s="187"/>
      <c r="V1170" s="187"/>
      <c r="W1170" s="187"/>
      <c r="X1170" s="187"/>
      <c r="Y1170" s="187"/>
      <c r="Z1170" s="187"/>
      <c r="AA1170" s="187"/>
      <c r="AB1170" s="187"/>
      <c r="AC1170" s="187"/>
      <c r="AD1170" s="187"/>
      <c r="AE1170" s="187"/>
      <c r="AF1170" s="187"/>
      <c r="AG1170" s="187"/>
      <c r="AH1170" s="187"/>
      <c r="AI1170" s="187"/>
      <c r="AJ1170" s="187"/>
      <c r="AK1170" s="187"/>
      <c r="AL1170" s="187"/>
    </row>
    <row r="1171" spans="2:38" ht="12.75" customHeight="1">
      <c r="B1171" s="6"/>
      <c r="C1171" s="20"/>
      <c r="D1171" s="12"/>
      <c r="E1171" s="12"/>
      <c r="F1171" s="12"/>
      <c r="G1171" s="12"/>
      <c r="H1171" s="20"/>
      <c r="I1171" s="187"/>
      <c r="J1171" s="187"/>
      <c r="K1171" s="187"/>
      <c r="L1171" s="187"/>
      <c r="M1171" s="187"/>
      <c r="N1171" s="187"/>
      <c r="O1171" s="187"/>
      <c r="P1171" s="187"/>
      <c r="Q1171" s="187"/>
      <c r="R1171" s="187"/>
      <c r="S1171" s="187"/>
      <c r="T1171" s="187"/>
      <c r="U1171" s="187"/>
      <c r="V1171" s="187"/>
      <c r="W1171" s="187"/>
      <c r="X1171" s="187"/>
      <c r="Y1171" s="187"/>
      <c r="Z1171" s="187"/>
      <c r="AA1171" s="187"/>
      <c r="AB1171" s="187"/>
      <c r="AC1171" s="187"/>
      <c r="AD1171" s="187"/>
      <c r="AE1171" s="187"/>
      <c r="AF1171" s="187"/>
      <c r="AG1171" s="187"/>
      <c r="AH1171" s="187"/>
      <c r="AI1171" s="187"/>
      <c r="AJ1171" s="187"/>
      <c r="AK1171" s="187"/>
      <c r="AL1171" s="187"/>
    </row>
    <row r="1172" spans="2:38" ht="12.75" customHeight="1">
      <c r="B1172" s="6"/>
      <c r="C1172" s="20"/>
      <c r="D1172" s="12"/>
      <c r="E1172" s="12"/>
      <c r="F1172" s="12"/>
      <c r="G1172" s="12"/>
      <c r="H1172" s="20"/>
      <c r="I1172" s="187"/>
      <c r="J1172" s="187"/>
      <c r="K1172" s="187"/>
      <c r="L1172" s="187"/>
      <c r="M1172" s="187"/>
      <c r="N1172" s="187"/>
      <c r="O1172" s="187"/>
      <c r="P1172" s="187"/>
      <c r="Q1172" s="187"/>
      <c r="R1172" s="187"/>
      <c r="S1172" s="187"/>
      <c r="T1172" s="187"/>
      <c r="U1172" s="187"/>
      <c r="V1172" s="187"/>
      <c r="W1172" s="187"/>
      <c r="X1172" s="187"/>
      <c r="Y1172" s="187"/>
      <c r="Z1172" s="187"/>
      <c r="AA1172" s="187"/>
      <c r="AB1172" s="187"/>
      <c r="AC1172" s="187"/>
      <c r="AD1172" s="187"/>
      <c r="AE1172" s="187"/>
      <c r="AF1172" s="187"/>
      <c r="AG1172" s="187"/>
      <c r="AH1172" s="187"/>
      <c r="AI1172" s="187"/>
      <c r="AJ1172" s="187"/>
      <c r="AK1172" s="187"/>
      <c r="AL1172" s="187"/>
    </row>
    <row r="1173" spans="2:38" ht="12.75" customHeight="1">
      <c r="B1173" s="6"/>
      <c r="C1173" s="20"/>
      <c r="D1173" s="12"/>
      <c r="E1173" s="12"/>
      <c r="F1173" s="12"/>
      <c r="G1173" s="12"/>
      <c r="H1173" s="20"/>
      <c r="I1173" s="187"/>
      <c r="J1173" s="187"/>
      <c r="K1173" s="187"/>
      <c r="L1173" s="187"/>
      <c r="M1173" s="187"/>
      <c r="N1173" s="187"/>
      <c r="O1173" s="187"/>
      <c r="P1173" s="187"/>
      <c r="Q1173" s="187"/>
      <c r="R1173" s="187"/>
      <c r="S1173" s="187"/>
      <c r="T1173" s="187"/>
      <c r="U1173" s="187"/>
      <c r="V1173" s="187"/>
      <c r="W1173" s="187"/>
      <c r="X1173" s="187"/>
      <c r="Y1173" s="187"/>
      <c r="Z1173" s="187"/>
      <c r="AA1173" s="187"/>
      <c r="AB1173" s="187"/>
      <c r="AC1173" s="187"/>
      <c r="AD1173" s="187"/>
      <c r="AE1173" s="187"/>
      <c r="AF1173" s="187"/>
      <c r="AG1173" s="187"/>
      <c r="AH1173" s="187"/>
      <c r="AI1173" s="187"/>
      <c r="AJ1173" s="187"/>
      <c r="AK1173" s="187"/>
      <c r="AL1173" s="187"/>
    </row>
    <row r="1174" spans="2:38" ht="12.75" customHeight="1">
      <c r="B1174" s="6"/>
      <c r="C1174" s="20"/>
      <c r="D1174" s="12"/>
      <c r="E1174" s="12"/>
      <c r="F1174" s="12"/>
      <c r="G1174" s="12"/>
      <c r="H1174" s="20"/>
      <c r="I1174" s="187"/>
      <c r="J1174" s="187"/>
      <c r="K1174" s="187"/>
      <c r="L1174" s="187"/>
      <c r="M1174" s="187"/>
      <c r="N1174" s="187"/>
      <c r="O1174" s="187"/>
      <c r="P1174" s="187"/>
      <c r="Q1174" s="187"/>
      <c r="R1174" s="187"/>
      <c r="S1174" s="187"/>
      <c r="T1174" s="187"/>
      <c r="U1174" s="187"/>
      <c r="V1174" s="187"/>
      <c r="W1174" s="187"/>
      <c r="X1174" s="187"/>
      <c r="Y1174" s="187"/>
      <c r="Z1174" s="187"/>
      <c r="AA1174" s="187"/>
      <c r="AB1174" s="187"/>
      <c r="AC1174" s="187"/>
      <c r="AD1174" s="187"/>
      <c r="AE1174" s="187"/>
      <c r="AF1174" s="187"/>
      <c r="AG1174" s="187"/>
      <c r="AH1174" s="187"/>
      <c r="AI1174" s="187"/>
      <c r="AJ1174" s="187"/>
      <c r="AK1174" s="187"/>
      <c r="AL1174" s="187"/>
    </row>
    <row r="1175" spans="2:38" ht="12.75" customHeight="1">
      <c r="B1175" s="6"/>
      <c r="C1175" s="20"/>
      <c r="D1175" s="12"/>
      <c r="E1175" s="12"/>
      <c r="F1175" s="12"/>
      <c r="G1175" s="12"/>
      <c r="H1175" s="20"/>
      <c r="I1175" s="187"/>
      <c r="J1175" s="187"/>
      <c r="K1175" s="187"/>
      <c r="L1175" s="187"/>
      <c r="M1175" s="187"/>
      <c r="N1175" s="187"/>
      <c r="O1175" s="187"/>
      <c r="P1175" s="187"/>
      <c r="Q1175" s="187"/>
      <c r="R1175" s="187"/>
      <c r="S1175" s="187"/>
      <c r="T1175" s="187"/>
      <c r="U1175" s="187"/>
      <c r="V1175" s="187"/>
      <c r="W1175" s="187"/>
      <c r="X1175" s="187"/>
      <c r="Y1175" s="187"/>
      <c r="Z1175" s="187"/>
      <c r="AA1175" s="187"/>
      <c r="AB1175" s="187"/>
      <c r="AC1175" s="187"/>
      <c r="AD1175" s="187"/>
      <c r="AE1175" s="187"/>
      <c r="AF1175" s="187"/>
      <c r="AG1175" s="187"/>
      <c r="AH1175" s="187"/>
      <c r="AI1175" s="187"/>
      <c r="AJ1175" s="187"/>
      <c r="AK1175" s="187"/>
      <c r="AL1175" s="187"/>
    </row>
    <row r="1176" spans="2:38" ht="12.75" customHeight="1">
      <c r="B1176" s="6"/>
      <c r="C1176" s="20"/>
      <c r="D1176" s="12"/>
      <c r="E1176" s="12"/>
      <c r="F1176" s="189"/>
      <c r="G1176" s="189"/>
      <c r="H1176" s="20"/>
      <c r="I1176" s="187"/>
      <c r="J1176" s="187"/>
      <c r="K1176" s="187"/>
      <c r="L1176" s="187"/>
      <c r="M1176" s="187"/>
      <c r="N1176" s="187"/>
      <c r="O1176" s="187"/>
      <c r="P1176" s="187"/>
      <c r="Q1176" s="187"/>
      <c r="R1176" s="187"/>
      <c r="S1176" s="187"/>
      <c r="T1176" s="187"/>
      <c r="U1176" s="187"/>
      <c r="V1176" s="187"/>
      <c r="W1176" s="187"/>
      <c r="X1176" s="187"/>
      <c r="Y1176" s="187"/>
      <c r="Z1176" s="187"/>
      <c r="AA1176" s="187"/>
      <c r="AB1176" s="187"/>
      <c r="AC1176" s="187"/>
      <c r="AD1176" s="187"/>
      <c r="AE1176" s="187"/>
      <c r="AF1176" s="187"/>
      <c r="AG1176" s="187"/>
      <c r="AH1176" s="187"/>
      <c r="AI1176" s="187"/>
      <c r="AJ1176" s="187"/>
      <c r="AK1176" s="187"/>
      <c r="AL1176" s="187"/>
    </row>
    <row r="1177" spans="2:38" ht="12.75" customHeight="1">
      <c r="B1177" s="6"/>
      <c r="C1177" s="20"/>
      <c r="D1177" s="12"/>
      <c r="E1177" s="12"/>
      <c r="F1177" s="12"/>
      <c r="G1177" s="12"/>
      <c r="H1177" s="20"/>
      <c r="I1177" s="187"/>
      <c r="J1177" s="187"/>
      <c r="K1177" s="187"/>
      <c r="L1177" s="187"/>
      <c r="M1177" s="187"/>
      <c r="N1177" s="187"/>
      <c r="O1177" s="187"/>
      <c r="P1177" s="187"/>
      <c r="Q1177" s="187"/>
      <c r="R1177" s="187"/>
      <c r="S1177" s="187"/>
      <c r="T1177" s="187"/>
      <c r="U1177" s="187"/>
      <c r="V1177" s="187"/>
      <c r="W1177" s="187"/>
      <c r="X1177" s="187"/>
      <c r="Y1177" s="187"/>
      <c r="Z1177" s="187"/>
      <c r="AA1177" s="187"/>
      <c r="AB1177" s="187"/>
      <c r="AC1177" s="187"/>
      <c r="AD1177" s="187"/>
      <c r="AE1177" s="187"/>
      <c r="AF1177" s="187"/>
      <c r="AG1177" s="187"/>
      <c r="AH1177" s="187"/>
      <c r="AI1177" s="187"/>
      <c r="AJ1177" s="187"/>
      <c r="AK1177" s="187"/>
      <c r="AL1177" s="187"/>
    </row>
    <row r="1178" spans="2:38" ht="12.75" customHeight="1">
      <c r="B1178" s="6"/>
      <c r="C1178" s="20"/>
      <c r="D1178" s="12"/>
      <c r="E1178" s="12"/>
      <c r="F1178" s="12"/>
      <c r="G1178" s="12"/>
      <c r="H1178" s="20"/>
      <c r="I1178" s="187"/>
      <c r="J1178" s="187"/>
      <c r="K1178" s="187"/>
      <c r="L1178" s="187"/>
      <c r="M1178" s="187"/>
      <c r="N1178" s="187"/>
      <c r="O1178" s="187"/>
      <c r="P1178" s="187"/>
      <c r="Q1178" s="187"/>
      <c r="R1178" s="187"/>
      <c r="S1178" s="187"/>
      <c r="T1178" s="187"/>
      <c r="U1178" s="187"/>
      <c r="V1178" s="187"/>
      <c r="W1178" s="187"/>
      <c r="X1178" s="187"/>
      <c r="Y1178" s="187"/>
      <c r="Z1178" s="187"/>
      <c r="AA1178" s="187"/>
      <c r="AB1178" s="187"/>
      <c r="AC1178" s="187"/>
      <c r="AD1178" s="187"/>
      <c r="AE1178" s="187"/>
      <c r="AF1178" s="187"/>
      <c r="AG1178" s="187"/>
      <c r="AH1178" s="187"/>
      <c r="AI1178" s="187"/>
      <c r="AJ1178" s="187"/>
      <c r="AK1178" s="187"/>
      <c r="AL1178" s="187"/>
    </row>
    <row r="1179" spans="2:38" ht="12.75" customHeight="1">
      <c r="B1179" s="6"/>
      <c r="C1179" s="20"/>
      <c r="D1179" s="12"/>
      <c r="E1179" s="12"/>
      <c r="F1179" s="12"/>
      <c r="G1179" s="12"/>
      <c r="H1179" s="20"/>
      <c r="I1179" s="187"/>
      <c r="J1179" s="187"/>
      <c r="K1179" s="187"/>
      <c r="L1179" s="187"/>
      <c r="M1179" s="187"/>
      <c r="N1179" s="187"/>
      <c r="O1179" s="187"/>
      <c r="P1179" s="187"/>
      <c r="Q1179" s="187"/>
      <c r="R1179" s="187"/>
      <c r="S1179" s="187"/>
      <c r="T1179" s="187"/>
      <c r="U1179" s="187"/>
      <c r="V1179" s="187"/>
      <c r="W1179" s="187"/>
      <c r="X1179" s="187"/>
      <c r="Y1179" s="187"/>
      <c r="Z1179" s="187"/>
      <c r="AA1179" s="187"/>
      <c r="AB1179" s="187"/>
      <c r="AC1179" s="187"/>
      <c r="AD1179" s="187"/>
      <c r="AE1179" s="187"/>
      <c r="AF1179" s="187"/>
      <c r="AG1179" s="187"/>
      <c r="AH1179" s="187"/>
      <c r="AI1179" s="187"/>
      <c r="AJ1179" s="187"/>
      <c r="AK1179" s="187"/>
      <c r="AL1179" s="187"/>
    </row>
    <row r="1180" spans="2:38" ht="12.75" customHeight="1">
      <c r="B1180" s="6"/>
      <c r="C1180" s="20"/>
      <c r="D1180" s="12"/>
      <c r="E1180" s="12"/>
      <c r="F1180" s="12"/>
      <c r="G1180" s="12"/>
      <c r="H1180" s="20"/>
      <c r="I1180" s="188"/>
      <c r="J1180" s="188"/>
      <c r="K1180" s="188"/>
      <c r="L1180" s="188"/>
      <c r="M1180" s="188"/>
      <c r="N1180" s="188"/>
      <c r="O1180" s="188"/>
      <c r="P1180" s="188"/>
      <c r="Q1180" s="188"/>
      <c r="R1180" s="188"/>
      <c r="S1180" s="188"/>
      <c r="T1180" s="188"/>
      <c r="U1180" s="188"/>
      <c r="V1180" s="188"/>
      <c r="W1180" s="188"/>
      <c r="X1180" s="188"/>
      <c r="Y1180" s="188"/>
      <c r="Z1180" s="188"/>
      <c r="AA1180" s="188"/>
      <c r="AB1180" s="188"/>
      <c r="AC1180" s="188"/>
      <c r="AD1180" s="188"/>
      <c r="AE1180" s="188"/>
      <c r="AF1180" s="188"/>
      <c r="AG1180" s="188"/>
      <c r="AH1180" s="188"/>
      <c r="AI1180" s="188"/>
      <c r="AJ1180" s="188"/>
      <c r="AK1180" s="188"/>
      <c r="AL1180" s="188"/>
    </row>
    <row r="1181" spans="2:38" ht="12.75" customHeight="1">
      <c r="B1181" s="6"/>
      <c r="C1181" s="20"/>
      <c r="D1181" s="12"/>
      <c r="E1181" s="12"/>
      <c r="F1181" s="12"/>
      <c r="G1181" s="12"/>
      <c r="H1181" s="20"/>
      <c r="I1181" s="187"/>
      <c r="J1181" s="187"/>
      <c r="K1181" s="187"/>
      <c r="L1181" s="187"/>
      <c r="M1181" s="187"/>
      <c r="N1181" s="187"/>
      <c r="O1181" s="187"/>
      <c r="P1181" s="187"/>
      <c r="Q1181" s="187"/>
      <c r="R1181" s="187"/>
      <c r="S1181" s="187"/>
      <c r="T1181" s="187"/>
      <c r="U1181" s="187"/>
      <c r="V1181" s="187"/>
      <c r="W1181" s="187"/>
      <c r="X1181" s="187"/>
      <c r="Y1181" s="187"/>
      <c r="Z1181" s="187"/>
      <c r="AA1181" s="187"/>
      <c r="AB1181" s="187"/>
      <c r="AC1181" s="187"/>
      <c r="AD1181" s="187"/>
      <c r="AE1181" s="187"/>
      <c r="AF1181" s="187"/>
      <c r="AG1181" s="187"/>
      <c r="AH1181" s="187"/>
      <c r="AI1181" s="187"/>
      <c r="AJ1181" s="187"/>
      <c r="AK1181" s="187"/>
      <c r="AL1181" s="187"/>
    </row>
    <row r="1182" spans="2:38" ht="12.75" customHeight="1">
      <c r="B1182" s="6"/>
      <c r="C1182" s="20"/>
      <c r="D1182" s="12"/>
      <c r="E1182" s="12"/>
      <c r="F1182" s="12"/>
      <c r="G1182" s="12"/>
      <c r="H1182" s="20"/>
      <c r="I1182" s="187"/>
      <c r="J1182" s="187"/>
      <c r="K1182" s="187"/>
      <c r="L1182" s="187"/>
      <c r="M1182" s="187"/>
      <c r="N1182" s="187"/>
      <c r="O1182" s="187"/>
      <c r="P1182" s="187"/>
      <c r="Q1182" s="187"/>
      <c r="R1182" s="187"/>
      <c r="S1182" s="187"/>
      <c r="T1182" s="187"/>
      <c r="U1182" s="187"/>
      <c r="V1182" s="187"/>
      <c r="W1182" s="187"/>
      <c r="X1182" s="187"/>
      <c r="Y1182" s="187"/>
      <c r="Z1182" s="187"/>
      <c r="AA1182" s="187"/>
      <c r="AB1182" s="187"/>
      <c r="AC1182" s="187"/>
      <c r="AD1182" s="187"/>
      <c r="AE1182" s="187"/>
      <c r="AF1182" s="187"/>
      <c r="AG1182" s="187"/>
      <c r="AH1182" s="187"/>
      <c r="AI1182" s="187"/>
      <c r="AJ1182" s="187"/>
      <c r="AK1182" s="187"/>
      <c r="AL1182" s="187"/>
    </row>
    <row r="1183" spans="2:38" ht="12.75" customHeight="1">
      <c r="B1183" s="6"/>
      <c r="C1183" s="20"/>
      <c r="D1183" s="12"/>
      <c r="E1183" s="12"/>
      <c r="F1183" s="12"/>
      <c r="G1183" s="12"/>
      <c r="H1183" s="20"/>
      <c r="I1183" s="187"/>
      <c r="J1183" s="187"/>
      <c r="K1183" s="187"/>
      <c r="L1183" s="187"/>
      <c r="M1183" s="187"/>
      <c r="N1183" s="187"/>
      <c r="O1183" s="187"/>
      <c r="P1183" s="187"/>
      <c r="Q1183" s="187"/>
      <c r="R1183" s="187"/>
      <c r="S1183" s="187"/>
      <c r="T1183" s="187"/>
      <c r="U1183" s="187"/>
      <c r="V1183" s="187"/>
      <c r="W1183" s="187"/>
      <c r="X1183" s="187"/>
      <c r="Y1183" s="187"/>
      <c r="Z1183" s="187"/>
      <c r="AA1183" s="187"/>
      <c r="AB1183" s="187"/>
      <c r="AC1183" s="187"/>
      <c r="AD1183" s="187"/>
      <c r="AE1183" s="187"/>
      <c r="AF1183" s="187"/>
      <c r="AG1183" s="187"/>
      <c r="AH1183" s="187"/>
      <c r="AI1183" s="187"/>
      <c r="AJ1183" s="187"/>
      <c r="AK1183" s="187"/>
      <c r="AL1183" s="187"/>
    </row>
    <row r="1184" spans="2:38" ht="12.75" customHeight="1">
      <c r="B1184" s="6"/>
      <c r="C1184" s="20"/>
      <c r="D1184" s="12"/>
      <c r="E1184" s="12"/>
      <c r="F1184" s="12"/>
      <c r="G1184" s="12"/>
      <c r="H1184" s="20"/>
      <c r="I1184" s="187"/>
      <c r="J1184" s="187"/>
      <c r="K1184" s="187"/>
      <c r="L1184" s="187"/>
      <c r="M1184" s="187"/>
      <c r="N1184" s="187"/>
      <c r="O1184" s="187"/>
      <c r="P1184" s="187"/>
      <c r="Q1184" s="187"/>
      <c r="R1184" s="187"/>
      <c r="S1184" s="187"/>
      <c r="T1184" s="187"/>
      <c r="U1184" s="187"/>
      <c r="V1184" s="187"/>
      <c r="W1184" s="187"/>
      <c r="X1184" s="187"/>
      <c r="Y1184" s="187"/>
      <c r="Z1184" s="187"/>
      <c r="AA1184" s="187"/>
      <c r="AB1184" s="187"/>
      <c r="AC1184" s="187"/>
      <c r="AD1184" s="187"/>
      <c r="AE1184" s="187"/>
      <c r="AF1184" s="187"/>
      <c r="AG1184" s="187"/>
      <c r="AH1184" s="187"/>
      <c r="AI1184" s="187"/>
      <c r="AJ1184" s="187"/>
      <c r="AK1184" s="187"/>
      <c r="AL1184" s="187"/>
    </row>
    <row r="1185" spans="2:38" ht="12.75" customHeight="1">
      <c r="B1185" s="6"/>
      <c r="C1185" s="20"/>
      <c r="D1185" s="12"/>
      <c r="E1185" s="12"/>
      <c r="F1185" s="189"/>
      <c r="G1185" s="189"/>
      <c r="H1185" s="20"/>
      <c r="I1185" s="187"/>
      <c r="J1185" s="187"/>
      <c r="K1185" s="187"/>
      <c r="L1185" s="187"/>
      <c r="M1185" s="187"/>
      <c r="N1185" s="187"/>
      <c r="O1185" s="187"/>
      <c r="P1185" s="187"/>
      <c r="Q1185" s="187"/>
      <c r="R1185" s="187"/>
      <c r="S1185" s="187"/>
      <c r="T1185" s="187"/>
      <c r="U1185" s="187"/>
      <c r="V1185" s="187"/>
      <c r="W1185" s="187"/>
      <c r="X1185" s="187"/>
      <c r="Y1185" s="187"/>
      <c r="Z1185" s="187"/>
      <c r="AA1185" s="187"/>
      <c r="AB1185" s="187"/>
      <c r="AC1185" s="187"/>
      <c r="AD1185" s="187"/>
      <c r="AE1185" s="187"/>
      <c r="AF1185" s="187"/>
      <c r="AG1185" s="187"/>
      <c r="AH1185" s="187"/>
      <c r="AI1185" s="187"/>
      <c r="AJ1185" s="187"/>
      <c r="AK1185" s="187"/>
      <c r="AL1185" s="187"/>
    </row>
    <row r="1186" spans="2:38" ht="12.75" customHeight="1">
      <c r="B1186" s="6"/>
      <c r="C1186" s="20"/>
      <c r="D1186" s="12"/>
      <c r="E1186" s="12"/>
      <c r="F1186" s="12"/>
      <c r="G1186" s="12"/>
      <c r="H1186" s="20"/>
      <c r="I1186" s="187"/>
      <c r="J1186" s="187"/>
      <c r="K1186" s="187"/>
      <c r="L1186" s="187"/>
      <c r="M1186" s="187"/>
      <c r="N1186" s="187"/>
      <c r="O1186" s="187"/>
      <c r="P1186" s="187"/>
      <c r="Q1186" s="187"/>
      <c r="R1186" s="187"/>
      <c r="S1186" s="187"/>
      <c r="T1186" s="187"/>
      <c r="U1186" s="187"/>
      <c r="V1186" s="187"/>
      <c r="W1186" s="187"/>
      <c r="X1186" s="187"/>
      <c r="Y1186" s="187"/>
      <c r="Z1186" s="187"/>
      <c r="AA1186" s="187"/>
      <c r="AB1186" s="187"/>
      <c r="AC1186" s="187"/>
      <c r="AD1186" s="187"/>
      <c r="AE1186" s="187"/>
      <c r="AF1186" s="187"/>
      <c r="AG1186" s="187"/>
      <c r="AH1186" s="187"/>
      <c r="AI1186" s="187"/>
      <c r="AJ1186" s="187"/>
      <c r="AK1186" s="187"/>
      <c r="AL1186" s="187"/>
    </row>
    <row r="1187" spans="2:38" ht="12.75" customHeight="1">
      <c r="B1187" s="6"/>
      <c r="C1187" s="20"/>
      <c r="D1187" s="12"/>
      <c r="E1187" s="12"/>
      <c r="F1187" s="12"/>
      <c r="G1187" s="12"/>
      <c r="H1187" s="20"/>
      <c r="I1187" s="187"/>
      <c r="J1187" s="187"/>
      <c r="K1187" s="187"/>
      <c r="L1187" s="187"/>
      <c r="M1187" s="187"/>
      <c r="N1187" s="187"/>
      <c r="O1187" s="187"/>
      <c r="P1187" s="187"/>
      <c r="Q1187" s="187"/>
      <c r="R1187" s="187"/>
      <c r="S1187" s="187"/>
      <c r="T1187" s="187"/>
      <c r="U1187" s="187"/>
      <c r="V1187" s="187"/>
      <c r="W1187" s="187"/>
      <c r="X1187" s="187"/>
      <c r="Y1187" s="187"/>
      <c r="Z1187" s="187"/>
      <c r="AA1187" s="187"/>
      <c r="AB1187" s="187"/>
      <c r="AC1187" s="187"/>
      <c r="AD1187" s="187"/>
      <c r="AE1187" s="187"/>
      <c r="AF1187" s="187"/>
      <c r="AG1187" s="187"/>
      <c r="AH1187" s="187"/>
      <c r="AI1187" s="187"/>
      <c r="AJ1187" s="187"/>
      <c r="AK1187" s="187"/>
      <c r="AL1187" s="187"/>
    </row>
    <row r="1188" spans="2:38" ht="12.75" customHeight="1">
      <c r="B1188" s="6"/>
      <c r="C1188" s="20"/>
      <c r="D1188" s="12"/>
      <c r="E1188" s="12"/>
      <c r="F1188" s="12"/>
      <c r="G1188" s="12"/>
      <c r="H1188" s="20"/>
      <c r="I1188" s="187"/>
      <c r="J1188" s="187"/>
      <c r="K1188" s="187"/>
      <c r="L1188" s="187"/>
      <c r="M1188" s="187"/>
      <c r="N1188" s="187"/>
      <c r="O1188" s="187"/>
      <c r="P1188" s="187"/>
      <c r="Q1188" s="187"/>
      <c r="R1188" s="187"/>
      <c r="S1188" s="187"/>
      <c r="T1188" s="187"/>
      <c r="U1188" s="187"/>
      <c r="V1188" s="187"/>
      <c r="W1188" s="187"/>
      <c r="X1188" s="187"/>
      <c r="Y1188" s="187"/>
      <c r="Z1188" s="187"/>
      <c r="AA1188" s="187"/>
      <c r="AB1188" s="187"/>
      <c r="AC1188" s="187"/>
      <c r="AD1188" s="187"/>
      <c r="AE1188" s="187"/>
      <c r="AF1188" s="187"/>
      <c r="AG1188" s="187"/>
      <c r="AH1188" s="187"/>
      <c r="AI1188" s="187"/>
      <c r="AJ1188" s="187"/>
      <c r="AK1188" s="187"/>
      <c r="AL1188" s="187"/>
    </row>
    <row r="1189" spans="2:38" ht="12.75" customHeight="1">
      <c r="B1189" s="6"/>
      <c r="C1189" s="20"/>
      <c r="D1189" s="12"/>
      <c r="E1189" s="12"/>
      <c r="F1189" s="12"/>
      <c r="G1189" s="12"/>
      <c r="H1189" s="20"/>
      <c r="I1189" s="187"/>
      <c r="J1189" s="187"/>
      <c r="K1189" s="187"/>
      <c r="L1189" s="187"/>
      <c r="M1189" s="187"/>
      <c r="N1189" s="187"/>
      <c r="O1189" s="187"/>
      <c r="P1189" s="187"/>
      <c r="Q1189" s="187"/>
      <c r="R1189" s="187"/>
      <c r="S1189" s="187"/>
      <c r="T1189" s="187"/>
      <c r="U1189" s="187"/>
      <c r="V1189" s="187"/>
      <c r="W1189" s="187"/>
      <c r="X1189" s="187"/>
      <c r="Y1189" s="187"/>
      <c r="Z1189" s="187"/>
      <c r="AA1189" s="187"/>
      <c r="AB1189" s="187"/>
      <c r="AC1189" s="187"/>
      <c r="AD1189" s="187"/>
      <c r="AE1189" s="187"/>
      <c r="AF1189" s="187"/>
      <c r="AG1189" s="187"/>
      <c r="AH1189" s="187"/>
      <c r="AI1189" s="187"/>
      <c r="AJ1189" s="187"/>
      <c r="AK1189" s="187"/>
      <c r="AL1189" s="187"/>
    </row>
    <row r="1190" spans="2:38" ht="12.75" customHeight="1">
      <c r="B1190" s="6"/>
      <c r="C1190" s="20"/>
      <c r="D1190" s="12"/>
      <c r="E1190" s="12"/>
      <c r="F1190" s="12"/>
      <c r="G1190" s="12"/>
      <c r="H1190" s="20"/>
      <c r="I1190" s="187"/>
      <c r="J1190" s="187"/>
      <c r="K1190" s="187"/>
      <c r="L1190" s="187"/>
      <c r="M1190" s="187"/>
      <c r="N1190" s="187"/>
      <c r="O1190" s="187"/>
      <c r="P1190" s="187"/>
      <c r="Q1190" s="187"/>
      <c r="R1190" s="187"/>
      <c r="S1190" s="187"/>
      <c r="T1190" s="187"/>
      <c r="U1190" s="187"/>
      <c r="V1190" s="187"/>
      <c r="W1190" s="187"/>
      <c r="X1190" s="187"/>
      <c r="Y1190" s="187"/>
      <c r="Z1190" s="187"/>
      <c r="AA1190" s="187"/>
      <c r="AB1190" s="187"/>
      <c r="AC1190" s="187"/>
      <c r="AD1190" s="187"/>
      <c r="AE1190" s="187"/>
      <c r="AF1190" s="187"/>
      <c r="AG1190" s="187"/>
      <c r="AH1190" s="187"/>
      <c r="AI1190" s="187"/>
      <c r="AJ1190" s="187"/>
      <c r="AK1190" s="187"/>
      <c r="AL1190" s="187"/>
    </row>
    <row r="1191" spans="2:38" ht="12.75" customHeight="1">
      <c r="B1191" s="6"/>
      <c r="C1191" s="20"/>
      <c r="D1191" s="12"/>
      <c r="E1191" s="12"/>
      <c r="F1191" s="12"/>
      <c r="G1191" s="12"/>
      <c r="H1191" s="20"/>
      <c r="I1191" s="187"/>
      <c r="J1191" s="187"/>
      <c r="K1191" s="187"/>
      <c r="L1191" s="187"/>
      <c r="M1191" s="187"/>
      <c r="N1191" s="187"/>
      <c r="O1191" s="187"/>
      <c r="P1191" s="187"/>
      <c r="Q1191" s="187"/>
      <c r="R1191" s="187"/>
      <c r="S1191" s="187"/>
      <c r="T1191" s="187"/>
      <c r="U1191" s="187"/>
      <c r="V1191" s="187"/>
      <c r="W1191" s="187"/>
      <c r="X1191" s="187"/>
      <c r="Y1191" s="187"/>
      <c r="Z1191" s="187"/>
      <c r="AA1191" s="187"/>
      <c r="AB1191" s="187"/>
      <c r="AC1191" s="187"/>
      <c r="AD1191" s="187"/>
      <c r="AE1191" s="187"/>
      <c r="AF1191" s="187"/>
      <c r="AG1191" s="187"/>
      <c r="AH1191" s="187"/>
      <c r="AI1191" s="187"/>
      <c r="AJ1191" s="187"/>
      <c r="AK1191" s="187"/>
      <c r="AL1191" s="187"/>
    </row>
    <row r="1192" spans="2:38" ht="12.75" customHeight="1">
      <c r="B1192" s="6"/>
      <c r="C1192" s="20"/>
      <c r="D1192" s="12"/>
      <c r="E1192" s="12"/>
      <c r="F1192" s="12"/>
      <c r="G1192" s="12"/>
      <c r="H1192" s="20"/>
      <c r="I1192" s="188"/>
      <c r="J1192" s="188"/>
      <c r="K1192" s="188"/>
      <c r="L1192" s="188"/>
      <c r="M1192" s="188"/>
      <c r="N1192" s="188"/>
      <c r="O1192" s="188"/>
      <c r="P1192" s="188"/>
      <c r="Q1192" s="188"/>
      <c r="R1192" s="188"/>
      <c r="S1192" s="188"/>
      <c r="T1192" s="188"/>
      <c r="U1192" s="188"/>
      <c r="V1192" s="188"/>
      <c r="W1192" s="188"/>
      <c r="X1192" s="188"/>
      <c r="Y1192" s="188"/>
      <c r="Z1192" s="188"/>
      <c r="AA1192" s="188"/>
      <c r="AB1192" s="188"/>
      <c r="AC1192" s="188"/>
      <c r="AD1192" s="188"/>
      <c r="AE1192" s="188"/>
      <c r="AF1192" s="188"/>
      <c r="AG1192" s="188"/>
      <c r="AH1192" s="188"/>
      <c r="AI1192" s="188"/>
      <c r="AJ1192" s="188"/>
      <c r="AK1192" s="188"/>
      <c r="AL1192" s="188"/>
    </row>
    <row r="1193" spans="2:38" ht="12.75" customHeight="1">
      <c r="B1193" s="6"/>
      <c r="C1193" s="20"/>
      <c r="D1193" s="12"/>
      <c r="E1193" s="12"/>
      <c r="F1193" s="12"/>
      <c r="G1193" s="12"/>
      <c r="H1193" s="20"/>
      <c r="I1193" s="187"/>
      <c r="J1193" s="187"/>
      <c r="K1193" s="187"/>
      <c r="L1193" s="187"/>
      <c r="M1193" s="187"/>
      <c r="N1193" s="187"/>
      <c r="O1193" s="187"/>
      <c r="P1193" s="187"/>
      <c r="Q1193" s="187"/>
      <c r="R1193" s="187"/>
      <c r="S1193" s="187"/>
      <c r="T1193" s="187"/>
      <c r="U1193" s="187"/>
      <c r="V1193" s="187"/>
      <c r="W1193" s="187"/>
      <c r="X1193" s="187"/>
      <c r="Y1193" s="187"/>
      <c r="Z1193" s="187"/>
      <c r="AA1193" s="187"/>
      <c r="AB1193" s="187"/>
      <c r="AC1193" s="187"/>
      <c r="AD1193" s="187"/>
      <c r="AE1193" s="187"/>
      <c r="AF1193" s="187"/>
      <c r="AG1193" s="187"/>
      <c r="AH1193" s="187"/>
      <c r="AI1193" s="187"/>
      <c r="AJ1193" s="187"/>
      <c r="AK1193" s="187"/>
      <c r="AL1193" s="187"/>
    </row>
    <row r="1194" spans="2:38" ht="12.75" customHeight="1">
      <c r="B1194" s="6"/>
      <c r="C1194" s="20"/>
      <c r="D1194" s="12"/>
      <c r="E1194" s="12"/>
      <c r="F1194" s="189"/>
      <c r="G1194" s="189"/>
      <c r="H1194" s="20"/>
      <c r="I1194" s="187"/>
      <c r="J1194" s="187"/>
      <c r="K1194" s="187"/>
      <c r="L1194" s="187"/>
      <c r="M1194" s="187"/>
      <c r="N1194" s="187"/>
      <c r="O1194" s="187"/>
      <c r="P1194" s="187"/>
      <c r="Q1194" s="187"/>
      <c r="R1194" s="187"/>
      <c r="S1194" s="187"/>
      <c r="T1194" s="187"/>
      <c r="U1194" s="187"/>
      <c r="V1194" s="187"/>
      <c r="W1194" s="187"/>
      <c r="X1194" s="187"/>
      <c r="Y1194" s="187"/>
      <c r="Z1194" s="187"/>
      <c r="AA1194" s="187"/>
      <c r="AB1194" s="187"/>
      <c r="AC1194" s="187"/>
      <c r="AD1194" s="187"/>
      <c r="AE1194" s="187"/>
      <c r="AF1194" s="187"/>
      <c r="AG1194" s="187"/>
      <c r="AH1194" s="187"/>
      <c r="AI1194" s="187"/>
      <c r="AJ1194" s="187"/>
      <c r="AK1194" s="187"/>
      <c r="AL1194" s="187"/>
    </row>
    <row r="1195" spans="2:38" ht="12.75" customHeight="1">
      <c r="B1195" s="6"/>
      <c r="C1195" s="20"/>
      <c r="D1195" s="12"/>
      <c r="E1195" s="12"/>
      <c r="F1195" s="12"/>
      <c r="G1195" s="12"/>
      <c r="H1195" s="20"/>
      <c r="I1195" s="187"/>
      <c r="J1195" s="187"/>
      <c r="K1195" s="187"/>
      <c r="L1195" s="187"/>
      <c r="M1195" s="187"/>
      <c r="N1195" s="187"/>
      <c r="O1195" s="187"/>
      <c r="P1195" s="187"/>
      <c r="Q1195" s="187"/>
      <c r="R1195" s="187"/>
      <c r="S1195" s="187"/>
      <c r="T1195" s="187"/>
      <c r="U1195" s="187"/>
      <c r="V1195" s="187"/>
      <c r="W1195" s="187"/>
      <c r="X1195" s="187"/>
      <c r="Y1195" s="187"/>
      <c r="Z1195" s="187"/>
      <c r="AA1195" s="187"/>
      <c r="AB1195" s="187"/>
      <c r="AC1195" s="187"/>
      <c r="AD1195" s="187"/>
      <c r="AE1195" s="187"/>
      <c r="AF1195" s="187"/>
      <c r="AG1195" s="187"/>
      <c r="AH1195" s="187"/>
      <c r="AI1195" s="187"/>
      <c r="AJ1195" s="187"/>
      <c r="AK1195" s="187"/>
      <c r="AL1195" s="187"/>
    </row>
    <row r="1196" spans="2:38" ht="12.75" customHeight="1">
      <c r="B1196" s="6"/>
      <c r="C1196" s="20"/>
      <c r="D1196" s="12"/>
      <c r="E1196" s="12"/>
      <c r="F1196" s="12"/>
      <c r="G1196" s="12"/>
      <c r="H1196" s="20"/>
      <c r="I1196" s="187"/>
      <c r="J1196" s="187"/>
      <c r="K1196" s="187"/>
      <c r="L1196" s="187"/>
      <c r="M1196" s="187"/>
      <c r="N1196" s="187"/>
      <c r="O1196" s="187"/>
      <c r="P1196" s="187"/>
      <c r="Q1196" s="187"/>
      <c r="R1196" s="187"/>
      <c r="S1196" s="187"/>
      <c r="T1196" s="187"/>
      <c r="U1196" s="187"/>
      <c r="V1196" s="187"/>
      <c r="W1196" s="187"/>
      <c r="X1196" s="187"/>
      <c r="Y1196" s="187"/>
      <c r="Z1196" s="187"/>
      <c r="AA1196" s="187"/>
      <c r="AB1196" s="187"/>
      <c r="AC1196" s="187"/>
      <c r="AD1196" s="187"/>
      <c r="AE1196" s="187"/>
      <c r="AF1196" s="187"/>
      <c r="AG1196" s="187"/>
      <c r="AH1196" s="187"/>
      <c r="AI1196" s="187"/>
      <c r="AJ1196" s="187"/>
      <c r="AK1196" s="187"/>
      <c r="AL1196" s="187"/>
    </row>
    <row r="1197" spans="2:38" ht="12.75" customHeight="1">
      <c r="B1197" s="6"/>
      <c r="C1197" s="20"/>
      <c r="D1197" s="12"/>
      <c r="E1197" s="12"/>
      <c r="F1197" s="12"/>
      <c r="G1197" s="12"/>
      <c r="H1197" s="20"/>
      <c r="I1197" s="187"/>
      <c r="J1197" s="187"/>
      <c r="K1197" s="187"/>
      <c r="L1197" s="187"/>
      <c r="M1197" s="187"/>
      <c r="N1197" s="187"/>
      <c r="O1197" s="187"/>
      <c r="P1197" s="187"/>
      <c r="Q1197" s="187"/>
      <c r="R1197" s="187"/>
      <c r="S1197" s="187"/>
      <c r="T1197" s="187"/>
      <c r="U1197" s="187"/>
      <c r="V1197" s="187"/>
      <c r="W1197" s="187"/>
      <c r="X1197" s="187"/>
      <c r="Y1197" s="187"/>
      <c r="Z1197" s="187"/>
      <c r="AA1197" s="187"/>
      <c r="AB1197" s="187"/>
      <c r="AC1197" s="187"/>
      <c r="AD1197" s="187"/>
      <c r="AE1197" s="187"/>
      <c r="AF1197" s="187"/>
      <c r="AG1197" s="187"/>
      <c r="AH1197" s="187"/>
      <c r="AI1197" s="187"/>
      <c r="AJ1197" s="187"/>
      <c r="AK1197" s="187"/>
      <c r="AL1197" s="187"/>
    </row>
    <row r="1198" spans="2:38" ht="12.75" customHeight="1">
      <c r="B1198" s="6"/>
      <c r="C1198" s="20"/>
      <c r="D1198" s="12"/>
      <c r="E1198" s="12"/>
      <c r="F1198" s="12"/>
      <c r="G1198" s="12"/>
      <c r="H1198" s="20"/>
      <c r="I1198" s="187"/>
      <c r="J1198" s="187"/>
      <c r="K1198" s="187"/>
      <c r="L1198" s="187"/>
      <c r="M1198" s="187"/>
      <c r="N1198" s="187"/>
      <c r="O1198" s="187"/>
      <c r="P1198" s="187"/>
      <c r="Q1198" s="187"/>
      <c r="R1198" s="187"/>
      <c r="S1198" s="187"/>
      <c r="T1198" s="187"/>
      <c r="U1198" s="187"/>
      <c r="V1198" s="187"/>
      <c r="W1198" s="187"/>
      <c r="X1198" s="187"/>
      <c r="Y1198" s="187"/>
      <c r="Z1198" s="187"/>
      <c r="AA1198" s="187"/>
      <c r="AB1198" s="187"/>
      <c r="AC1198" s="187"/>
      <c r="AD1198" s="187"/>
      <c r="AE1198" s="187"/>
      <c r="AF1198" s="187"/>
      <c r="AG1198" s="187"/>
      <c r="AH1198" s="187"/>
      <c r="AI1198" s="187"/>
      <c r="AJ1198" s="187"/>
      <c r="AK1198" s="187"/>
      <c r="AL1198" s="187"/>
    </row>
    <row r="1199" spans="2:38" ht="12.75" customHeight="1">
      <c r="B1199" s="6"/>
      <c r="C1199" s="20"/>
      <c r="D1199" s="12"/>
      <c r="E1199" s="12"/>
      <c r="F1199" s="12"/>
      <c r="G1199" s="12"/>
      <c r="H1199" s="20"/>
      <c r="I1199" s="187"/>
      <c r="J1199" s="187"/>
      <c r="K1199" s="187"/>
      <c r="L1199" s="187"/>
      <c r="M1199" s="187"/>
      <c r="N1199" s="187"/>
      <c r="O1199" s="187"/>
      <c r="P1199" s="187"/>
      <c r="Q1199" s="187"/>
      <c r="R1199" s="187"/>
      <c r="S1199" s="187"/>
      <c r="T1199" s="187"/>
      <c r="U1199" s="187"/>
      <c r="V1199" s="187"/>
      <c r="W1199" s="187"/>
      <c r="X1199" s="187"/>
      <c r="Y1199" s="187"/>
      <c r="Z1199" s="187"/>
      <c r="AA1199" s="187"/>
      <c r="AB1199" s="187"/>
      <c r="AC1199" s="187"/>
      <c r="AD1199" s="187"/>
      <c r="AE1199" s="187"/>
      <c r="AF1199" s="187"/>
      <c r="AG1199" s="187"/>
      <c r="AH1199" s="187"/>
      <c r="AI1199" s="187"/>
      <c r="AJ1199" s="187"/>
      <c r="AK1199" s="187"/>
      <c r="AL1199" s="187"/>
    </row>
    <row r="1200" spans="2:38" ht="12.75" customHeight="1">
      <c r="B1200" s="6"/>
      <c r="C1200" s="20"/>
      <c r="D1200" s="12"/>
      <c r="E1200" s="12"/>
      <c r="F1200" s="12"/>
      <c r="G1200" s="12"/>
      <c r="H1200" s="20"/>
      <c r="I1200" s="187"/>
      <c r="J1200" s="187"/>
      <c r="K1200" s="187"/>
      <c r="L1200" s="187"/>
      <c r="M1200" s="187"/>
      <c r="N1200" s="187"/>
      <c r="O1200" s="187"/>
      <c r="P1200" s="187"/>
      <c r="Q1200" s="187"/>
      <c r="R1200" s="187"/>
      <c r="S1200" s="187"/>
      <c r="T1200" s="187"/>
      <c r="U1200" s="187"/>
      <c r="V1200" s="187"/>
      <c r="W1200" s="187"/>
      <c r="X1200" s="187"/>
      <c r="Y1200" s="187"/>
      <c r="Z1200" s="187"/>
      <c r="AA1200" s="187"/>
      <c r="AB1200" s="187"/>
      <c r="AC1200" s="187"/>
      <c r="AD1200" s="187"/>
      <c r="AE1200" s="187"/>
      <c r="AF1200" s="187"/>
      <c r="AG1200" s="187"/>
      <c r="AH1200" s="187"/>
      <c r="AI1200" s="187"/>
      <c r="AJ1200" s="187"/>
      <c r="AK1200" s="187"/>
      <c r="AL1200" s="187"/>
    </row>
    <row r="1201" spans="2:38" ht="12.75" customHeight="1">
      <c r="B1201" s="6"/>
      <c r="C1201" s="20"/>
      <c r="D1201" s="12"/>
      <c r="E1201" s="12"/>
      <c r="F1201" s="12"/>
      <c r="G1201" s="12"/>
      <c r="H1201" s="20"/>
      <c r="I1201" s="187"/>
      <c r="J1201" s="187"/>
      <c r="K1201" s="187"/>
      <c r="L1201" s="187"/>
      <c r="M1201" s="187"/>
      <c r="N1201" s="187"/>
      <c r="O1201" s="187"/>
      <c r="P1201" s="187"/>
      <c r="Q1201" s="187"/>
      <c r="R1201" s="187"/>
      <c r="S1201" s="187"/>
      <c r="T1201" s="187"/>
      <c r="U1201" s="187"/>
      <c r="V1201" s="187"/>
      <c r="W1201" s="187"/>
      <c r="X1201" s="187"/>
      <c r="Y1201" s="187"/>
      <c r="Z1201" s="187"/>
      <c r="AA1201" s="187"/>
      <c r="AB1201" s="187"/>
      <c r="AC1201" s="187"/>
      <c r="AD1201" s="187"/>
      <c r="AE1201" s="187"/>
      <c r="AF1201" s="187"/>
      <c r="AG1201" s="187"/>
      <c r="AH1201" s="187"/>
      <c r="AI1201" s="187"/>
      <c r="AJ1201" s="187"/>
      <c r="AK1201" s="187"/>
      <c r="AL1201" s="187"/>
    </row>
    <row r="1202" spans="2:38" ht="12.75" customHeight="1">
      <c r="B1202" s="6"/>
      <c r="C1202" s="20"/>
      <c r="D1202" s="12"/>
      <c r="E1202" s="12"/>
      <c r="F1202" s="12"/>
      <c r="G1202" s="12"/>
      <c r="H1202" s="20"/>
      <c r="I1202" s="187"/>
      <c r="J1202" s="187"/>
      <c r="K1202" s="187"/>
      <c r="L1202" s="187"/>
      <c r="M1202" s="187"/>
      <c r="N1202" s="187"/>
      <c r="O1202" s="187"/>
      <c r="P1202" s="187"/>
      <c r="Q1202" s="187"/>
      <c r="R1202" s="187"/>
      <c r="S1202" s="187"/>
      <c r="T1202" s="187"/>
      <c r="U1202" s="187"/>
      <c r="V1202" s="187"/>
      <c r="W1202" s="187"/>
      <c r="X1202" s="187"/>
      <c r="Y1202" s="187"/>
      <c r="Z1202" s="187"/>
      <c r="AA1202" s="187"/>
      <c r="AB1202" s="187"/>
      <c r="AC1202" s="187"/>
      <c r="AD1202" s="187"/>
      <c r="AE1202" s="187"/>
      <c r="AF1202" s="187"/>
      <c r="AG1202" s="187"/>
      <c r="AH1202" s="187"/>
      <c r="AI1202" s="187"/>
      <c r="AJ1202" s="187"/>
      <c r="AK1202" s="187"/>
      <c r="AL1202" s="187"/>
    </row>
    <row r="1203" spans="2:38" ht="12.75" customHeight="1">
      <c r="B1203" s="6"/>
      <c r="C1203" s="20"/>
      <c r="D1203" s="12"/>
      <c r="E1203" s="12"/>
      <c r="F1203" s="12"/>
      <c r="G1203" s="12"/>
      <c r="H1203" s="20"/>
      <c r="I1203" s="187"/>
      <c r="J1203" s="187"/>
      <c r="K1203" s="187"/>
      <c r="L1203" s="187"/>
      <c r="M1203" s="187"/>
      <c r="N1203" s="187"/>
      <c r="O1203" s="187"/>
      <c r="P1203" s="187"/>
      <c r="Q1203" s="187"/>
      <c r="R1203" s="187"/>
      <c r="S1203" s="187"/>
      <c r="T1203" s="187"/>
      <c r="U1203" s="187"/>
      <c r="V1203" s="187"/>
      <c r="W1203" s="187"/>
      <c r="X1203" s="187"/>
      <c r="Y1203" s="187"/>
      <c r="Z1203" s="187"/>
      <c r="AA1203" s="187"/>
      <c r="AB1203" s="187"/>
      <c r="AC1203" s="187"/>
      <c r="AD1203" s="187"/>
      <c r="AE1203" s="187"/>
      <c r="AF1203" s="187"/>
      <c r="AG1203" s="187"/>
      <c r="AH1203" s="187"/>
      <c r="AI1203" s="187"/>
      <c r="AJ1203" s="187"/>
      <c r="AK1203" s="187"/>
      <c r="AL1203" s="187"/>
    </row>
    <row r="1204" spans="2:38" ht="12.75" customHeight="1">
      <c r="B1204" s="6"/>
      <c r="C1204" s="20"/>
      <c r="D1204" s="12"/>
      <c r="E1204" s="12"/>
      <c r="F1204" s="12"/>
      <c r="G1204" s="12"/>
      <c r="H1204" s="20"/>
      <c r="I1204" s="187"/>
      <c r="J1204" s="187"/>
      <c r="K1204" s="187"/>
      <c r="L1204" s="187"/>
      <c r="M1204" s="187"/>
      <c r="N1204" s="187"/>
      <c r="O1204" s="187"/>
      <c r="P1204" s="187"/>
      <c r="Q1204" s="187"/>
      <c r="R1204" s="187"/>
      <c r="S1204" s="187"/>
      <c r="T1204" s="187"/>
      <c r="U1204" s="187"/>
      <c r="V1204" s="187"/>
      <c r="W1204" s="187"/>
      <c r="X1204" s="187"/>
      <c r="Y1204" s="187"/>
      <c r="Z1204" s="187"/>
      <c r="AA1204" s="187"/>
      <c r="AB1204" s="187"/>
      <c r="AC1204" s="187"/>
      <c r="AD1204" s="187"/>
      <c r="AE1204" s="187"/>
      <c r="AF1204" s="187"/>
      <c r="AG1204" s="187"/>
      <c r="AH1204" s="187"/>
      <c r="AI1204" s="187"/>
      <c r="AJ1204" s="187"/>
      <c r="AK1204" s="187"/>
      <c r="AL1204" s="187"/>
    </row>
    <row r="1205" spans="2:38" ht="12.75" customHeight="1">
      <c r="B1205" s="6"/>
      <c r="C1205" s="20"/>
      <c r="D1205" s="12"/>
      <c r="E1205" s="12"/>
      <c r="F1205" s="12"/>
      <c r="G1205" s="12"/>
      <c r="H1205" s="20"/>
      <c r="I1205" s="187"/>
      <c r="J1205" s="187"/>
      <c r="K1205" s="187"/>
      <c r="L1205" s="187"/>
      <c r="M1205" s="187"/>
      <c r="N1205" s="187"/>
      <c r="O1205" s="187"/>
      <c r="P1205" s="187"/>
      <c r="Q1205" s="187"/>
      <c r="R1205" s="187"/>
      <c r="S1205" s="187"/>
      <c r="T1205" s="187"/>
      <c r="U1205" s="187"/>
      <c r="V1205" s="187"/>
      <c r="W1205" s="187"/>
      <c r="X1205" s="187"/>
      <c r="Y1205" s="187"/>
      <c r="Z1205" s="187"/>
      <c r="AA1205" s="187"/>
      <c r="AB1205" s="187"/>
      <c r="AC1205" s="187"/>
      <c r="AD1205" s="187"/>
      <c r="AE1205" s="187"/>
      <c r="AF1205" s="187"/>
      <c r="AG1205" s="187"/>
      <c r="AH1205" s="187"/>
      <c r="AI1205" s="187"/>
      <c r="AJ1205" s="187"/>
      <c r="AK1205" s="187"/>
      <c r="AL1205" s="187"/>
    </row>
    <row r="1206" spans="2:38" ht="12.75" customHeight="1">
      <c r="B1206" s="6"/>
      <c r="C1206" s="20"/>
      <c r="D1206" s="12"/>
      <c r="E1206" s="12"/>
      <c r="F1206" s="12"/>
      <c r="G1206" s="12"/>
      <c r="H1206" s="20"/>
      <c r="I1206" s="187"/>
      <c r="J1206" s="187"/>
      <c r="K1206" s="187"/>
      <c r="L1206" s="187"/>
      <c r="M1206" s="187"/>
      <c r="N1206" s="187"/>
      <c r="O1206" s="187"/>
      <c r="P1206" s="187"/>
      <c r="Q1206" s="187"/>
      <c r="R1206" s="187"/>
      <c r="S1206" s="187"/>
      <c r="T1206" s="187"/>
      <c r="U1206" s="187"/>
      <c r="V1206" s="187"/>
      <c r="W1206" s="187"/>
      <c r="X1206" s="187"/>
      <c r="Y1206" s="187"/>
      <c r="Z1206" s="187"/>
      <c r="AA1206" s="187"/>
      <c r="AB1206" s="187"/>
      <c r="AC1206" s="187"/>
      <c r="AD1206" s="187"/>
      <c r="AE1206" s="187"/>
      <c r="AF1206" s="187"/>
      <c r="AG1206" s="187"/>
      <c r="AH1206" s="187"/>
      <c r="AI1206" s="187"/>
      <c r="AJ1206" s="187"/>
      <c r="AK1206" s="187"/>
      <c r="AL1206" s="187"/>
    </row>
    <row r="1207" spans="2:38" ht="12.75" customHeight="1">
      <c r="B1207" s="6"/>
      <c r="C1207" s="20"/>
      <c r="D1207" s="12"/>
      <c r="E1207" s="12"/>
      <c r="F1207" s="12"/>
      <c r="G1207" s="12"/>
      <c r="H1207" s="20"/>
      <c r="I1207" s="187"/>
      <c r="J1207" s="187"/>
      <c r="K1207" s="187"/>
      <c r="L1207" s="187"/>
      <c r="M1207" s="187"/>
      <c r="N1207" s="187"/>
      <c r="O1207" s="187"/>
      <c r="P1207" s="187"/>
      <c r="Q1207" s="187"/>
      <c r="R1207" s="187"/>
      <c r="S1207" s="187"/>
      <c r="T1207" s="187"/>
      <c r="U1207" s="187"/>
      <c r="V1207" s="187"/>
      <c r="W1207" s="187"/>
      <c r="X1207" s="187"/>
      <c r="Y1207" s="187"/>
      <c r="Z1207" s="187"/>
      <c r="AA1207" s="187"/>
      <c r="AB1207" s="187"/>
      <c r="AC1207" s="187"/>
      <c r="AD1207" s="187"/>
      <c r="AE1207" s="187"/>
      <c r="AF1207" s="187"/>
      <c r="AG1207" s="187"/>
      <c r="AH1207" s="187"/>
      <c r="AI1207" s="187"/>
      <c r="AJ1207" s="187"/>
      <c r="AK1207" s="187"/>
      <c r="AL1207" s="187"/>
    </row>
    <row r="1208" spans="2:38" ht="12.75" customHeight="1">
      <c r="B1208" s="6"/>
      <c r="C1208" s="20"/>
      <c r="D1208" s="12"/>
      <c r="E1208" s="12"/>
      <c r="F1208" s="12"/>
      <c r="G1208" s="12"/>
      <c r="H1208" s="20"/>
      <c r="I1208" s="187"/>
      <c r="J1208" s="187"/>
      <c r="K1208" s="187"/>
      <c r="L1208" s="187"/>
      <c r="M1208" s="187"/>
      <c r="N1208" s="187"/>
      <c r="O1208" s="187"/>
      <c r="P1208" s="187"/>
      <c r="Q1208" s="187"/>
      <c r="R1208" s="187"/>
      <c r="S1208" s="187"/>
      <c r="T1208" s="187"/>
      <c r="U1208" s="187"/>
      <c r="V1208" s="187"/>
      <c r="W1208" s="187"/>
      <c r="X1208" s="187"/>
      <c r="Y1208" s="187"/>
      <c r="Z1208" s="187"/>
      <c r="AA1208" s="187"/>
      <c r="AB1208" s="187"/>
      <c r="AC1208" s="187"/>
      <c r="AD1208" s="187"/>
      <c r="AE1208" s="187"/>
      <c r="AF1208" s="187"/>
      <c r="AG1208" s="187"/>
      <c r="AH1208" s="187"/>
      <c r="AI1208" s="187"/>
      <c r="AJ1208" s="187"/>
      <c r="AK1208" s="187"/>
      <c r="AL1208" s="187"/>
    </row>
    <row r="1209" spans="2:38" ht="12.75" customHeight="1">
      <c r="B1209" s="6"/>
      <c r="C1209" s="20"/>
      <c r="D1209" s="12"/>
      <c r="E1209" s="12"/>
      <c r="F1209" s="12"/>
      <c r="G1209" s="12"/>
      <c r="H1209" s="20"/>
      <c r="I1209" s="187"/>
      <c r="J1209" s="187"/>
      <c r="K1209" s="187"/>
      <c r="L1209" s="187"/>
      <c r="M1209" s="187"/>
      <c r="N1209" s="187"/>
      <c r="O1209" s="187"/>
      <c r="P1209" s="187"/>
      <c r="Q1209" s="187"/>
      <c r="R1209" s="187"/>
      <c r="S1209" s="187"/>
      <c r="T1209" s="187"/>
      <c r="U1209" s="187"/>
      <c r="V1209" s="187"/>
      <c r="W1209" s="187"/>
      <c r="X1209" s="187"/>
      <c r="Y1209" s="187"/>
      <c r="Z1209" s="187"/>
      <c r="AA1209" s="187"/>
      <c r="AB1209" s="187"/>
      <c r="AC1209" s="187"/>
      <c r="AD1209" s="187"/>
      <c r="AE1209" s="187"/>
      <c r="AF1209" s="187"/>
      <c r="AG1209" s="187"/>
      <c r="AH1209" s="187"/>
      <c r="AI1209" s="187"/>
      <c r="AJ1209" s="187"/>
      <c r="AK1209" s="187"/>
      <c r="AL1209" s="187"/>
    </row>
    <row r="1210" spans="2:38" ht="12.75" customHeight="1">
      <c r="B1210" s="6"/>
      <c r="C1210" s="20"/>
      <c r="D1210" s="12"/>
      <c r="E1210" s="12"/>
      <c r="F1210" s="12"/>
      <c r="G1210" s="12"/>
      <c r="H1210" s="20"/>
      <c r="I1210" s="187"/>
      <c r="J1210" s="187"/>
      <c r="K1210" s="187"/>
      <c r="L1210" s="187"/>
      <c r="M1210" s="187"/>
      <c r="N1210" s="187"/>
      <c r="O1210" s="187"/>
      <c r="P1210" s="187"/>
      <c r="Q1210" s="187"/>
      <c r="R1210" s="187"/>
      <c r="S1210" s="187"/>
      <c r="T1210" s="187"/>
      <c r="U1210" s="187"/>
      <c r="V1210" s="187"/>
      <c r="W1210" s="187"/>
      <c r="X1210" s="187"/>
      <c r="Y1210" s="187"/>
      <c r="Z1210" s="187"/>
      <c r="AA1210" s="187"/>
      <c r="AB1210" s="187"/>
      <c r="AC1210" s="187"/>
      <c r="AD1210" s="187"/>
      <c r="AE1210" s="187"/>
      <c r="AF1210" s="187"/>
      <c r="AG1210" s="187"/>
      <c r="AH1210" s="187"/>
      <c r="AI1210" s="187"/>
      <c r="AJ1210" s="187"/>
      <c r="AK1210" s="187"/>
      <c r="AL1210" s="187"/>
    </row>
    <row r="1211" spans="2:38" ht="12.75" customHeight="1">
      <c r="B1211" s="6"/>
      <c r="C1211" s="20"/>
      <c r="D1211" s="12"/>
      <c r="E1211" s="12"/>
      <c r="F1211" s="12"/>
      <c r="G1211" s="12"/>
      <c r="H1211" s="20"/>
      <c r="I1211" s="187"/>
      <c r="J1211" s="187"/>
      <c r="K1211" s="187"/>
      <c r="L1211" s="187"/>
      <c r="M1211" s="187"/>
      <c r="N1211" s="187"/>
      <c r="O1211" s="187"/>
      <c r="P1211" s="187"/>
      <c r="Q1211" s="187"/>
      <c r="R1211" s="187"/>
      <c r="S1211" s="187"/>
      <c r="T1211" s="187"/>
      <c r="U1211" s="187"/>
      <c r="V1211" s="187"/>
      <c r="W1211" s="187"/>
      <c r="X1211" s="187"/>
      <c r="Y1211" s="187"/>
      <c r="Z1211" s="187"/>
      <c r="AA1211" s="187"/>
      <c r="AB1211" s="187"/>
      <c r="AC1211" s="187"/>
      <c r="AD1211" s="187"/>
      <c r="AE1211" s="187"/>
      <c r="AF1211" s="187"/>
      <c r="AG1211" s="187"/>
      <c r="AH1211" s="187"/>
      <c r="AI1211" s="187"/>
      <c r="AJ1211" s="187"/>
      <c r="AK1211" s="187"/>
      <c r="AL1211" s="187"/>
    </row>
    <row r="1212" spans="2:38" ht="12.75" customHeight="1">
      <c r="B1212" s="6"/>
      <c r="C1212" s="20"/>
      <c r="D1212" s="12"/>
      <c r="E1212" s="12"/>
      <c r="F1212" s="12"/>
      <c r="G1212" s="12"/>
      <c r="H1212" s="20"/>
      <c r="I1212" s="187"/>
      <c r="J1212" s="187"/>
      <c r="K1212" s="187"/>
      <c r="L1212" s="187"/>
      <c r="M1212" s="187"/>
      <c r="N1212" s="187"/>
      <c r="O1212" s="187"/>
      <c r="P1212" s="187"/>
      <c r="Q1212" s="187"/>
      <c r="R1212" s="187"/>
      <c r="S1212" s="187"/>
      <c r="T1212" s="187"/>
      <c r="U1212" s="187"/>
      <c r="V1212" s="187"/>
      <c r="W1212" s="187"/>
      <c r="X1212" s="187"/>
      <c r="Y1212" s="187"/>
      <c r="Z1212" s="187"/>
      <c r="AA1212" s="187"/>
      <c r="AB1212" s="187"/>
      <c r="AC1212" s="187"/>
      <c r="AD1212" s="187"/>
      <c r="AE1212" s="187"/>
      <c r="AF1212" s="187"/>
      <c r="AG1212" s="187"/>
      <c r="AH1212" s="187"/>
      <c r="AI1212" s="187"/>
      <c r="AJ1212" s="187"/>
      <c r="AK1212" s="187"/>
      <c r="AL1212" s="187"/>
    </row>
    <row r="1213" spans="2:38" ht="12.75" customHeight="1">
      <c r="B1213" s="6"/>
      <c r="C1213" s="20"/>
      <c r="D1213" s="12"/>
      <c r="E1213" s="12"/>
      <c r="F1213" s="12"/>
      <c r="G1213" s="12"/>
      <c r="H1213" s="20"/>
      <c r="I1213" s="187"/>
      <c r="J1213" s="187"/>
      <c r="K1213" s="187"/>
      <c r="L1213" s="187"/>
      <c r="M1213" s="187"/>
      <c r="N1213" s="187"/>
      <c r="O1213" s="187"/>
      <c r="P1213" s="187"/>
      <c r="Q1213" s="187"/>
      <c r="R1213" s="187"/>
      <c r="S1213" s="187"/>
      <c r="T1213" s="187"/>
      <c r="U1213" s="187"/>
      <c r="V1213" s="187"/>
      <c r="W1213" s="187"/>
      <c r="X1213" s="187"/>
      <c r="Y1213" s="187"/>
      <c r="Z1213" s="187"/>
      <c r="AA1213" s="187"/>
      <c r="AB1213" s="187"/>
      <c r="AC1213" s="187"/>
      <c r="AD1213" s="187"/>
      <c r="AE1213" s="187"/>
      <c r="AF1213" s="187"/>
      <c r="AG1213" s="187"/>
      <c r="AH1213" s="187"/>
      <c r="AI1213" s="187"/>
      <c r="AJ1213" s="187"/>
      <c r="AK1213" s="187"/>
      <c r="AL1213" s="187"/>
    </row>
    <row r="1214" spans="2:38" ht="12.75" customHeight="1">
      <c r="B1214" s="6"/>
      <c r="C1214" s="20"/>
      <c r="D1214" s="12"/>
      <c r="E1214" s="12"/>
      <c r="F1214" s="12"/>
      <c r="G1214" s="12"/>
      <c r="H1214" s="20"/>
      <c r="I1214" s="187"/>
      <c r="J1214" s="187"/>
      <c r="K1214" s="187"/>
      <c r="L1214" s="187"/>
      <c r="M1214" s="187"/>
      <c r="N1214" s="187"/>
      <c r="O1214" s="187"/>
      <c r="P1214" s="187"/>
      <c r="Q1214" s="187"/>
      <c r="R1214" s="187"/>
      <c r="S1214" s="187"/>
      <c r="T1214" s="187"/>
      <c r="U1214" s="187"/>
      <c r="V1214" s="187"/>
      <c r="W1214" s="187"/>
      <c r="X1214" s="187"/>
      <c r="Y1214" s="187"/>
      <c r="Z1214" s="187"/>
      <c r="AA1214" s="187"/>
      <c r="AB1214" s="187"/>
      <c r="AC1214" s="187"/>
      <c r="AD1214" s="187"/>
      <c r="AE1214" s="187"/>
      <c r="AF1214" s="187"/>
      <c r="AG1214" s="187"/>
      <c r="AH1214" s="187"/>
      <c r="AI1214" s="187"/>
      <c r="AJ1214" s="187"/>
      <c r="AK1214" s="187"/>
      <c r="AL1214" s="187"/>
    </row>
    <row r="1215" spans="2:38" ht="12.75" customHeight="1">
      <c r="B1215" s="6"/>
      <c r="C1215" s="20"/>
      <c r="D1215" s="12"/>
      <c r="E1215" s="12"/>
      <c r="F1215" s="12"/>
      <c r="G1215" s="12"/>
      <c r="H1215" s="20"/>
      <c r="I1215" s="187"/>
      <c r="J1215" s="187"/>
      <c r="K1215" s="187"/>
      <c r="L1215" s="187"/>
      <c r="M1215" s="187"/>
      <c r="N1215" s="187"/>
      <c r="O1215" s="187"/>
      <c r="P1215" s="187"/>
      <c r="Q1215" s="187"/>
      <c r="R1215" s="187"/>
      <c r="S1215" s="187"/>
      <c r="T1215" s="187"/>
      <c r="U1215" s="187"/>
      <c r="V1215" s="187"/>
      <c r="W1215" s="187"/>
      <c r="X1215" s="187"/>
      <c r="Y1215" s="187"/>
      <c r="Z1215" s="187"/>
      <c r="AA1215" s="187"/>
      <c r="AB1215" s="187"/>
      <c r="AC1215" s="187"/>
      <c r="AD1215" s="187"/>
      <c r="AE1215" s="187"/>
      <c r="AF1215" s="187"/>
      <c r="AG1215" s="187"/>
      <c r="AH1215" s="187"/>
      <c r="AI1215" s="187"/>
      <c r="AJ1215" s="187"/>
      <c r="AK1215" s="187"/>
      <c r="AL1215" s="187"/>
    </row>
    <row r="1216" spans="2:38" ht="12.75" customHeight="1">
      <c r="B1216" s="6"/>
      <c r="C1216" s="20"/>
      <c r="D1216" s="12"/>
      <c r="E1216" s="12"/>
      <c r="F1216" s="12"/>
      <c r="G1216" s="12"/>
      <c r="H1216" s="20"/>
      <c r="I1216" s="187"/>
      <c r="J1216" s="187"/>
      <c r="K1216" s="187"/>
      <c r="L1216" s="187"/>
      <c r="M1216" s="187"/>
      <c r="N1216" s="187"/>
      <c r="O1216" s="187"/>
      <c r="P1216" s="187"/>
      <c r="Q1216" s="187"/>
      <c r="R1216" s="187"/>
      <c r="S1216" s="187"/>
      <c r="T1216" s="187"/>
      <c r="U1216" s="187"/>
      <c r="V1216" s="187"/>
      <c r="W1216" s="187"/>
      <c r="X1216" s="187"/>
      <c r="Y1216" s="187"/>
      <c r="Z1216" s="187"/>
      <c r="AA1216" s="187"/>
      <c r="AB1216" s="187"/>
      <c r="AC1216" s="187"/>
      <c r="AD1216" s="187"/>
      <c r="AE1216" s="187"/>
      <c r="AF1216" s="187"/>
      <c r="AG1216" s="187"/>
      <c r="AH1216" s="187"/>
      <c r="AI1216" s="187"/>
      <c r="AJ1216" s="187"/>
      <c r="AK1216" s="187"/>
      <c r="AL1216" s="187"/>
    </row>
    <row r="1217" spans="2:38" ht="12.75" customHeight="1">
      <c r="B1217" s="6"/>
      <c r="C1217" s="20"/>
      <c r="D1217" s="12"/>
      <c r="E1217" s="12"/>
      <c r="F1217" s="12"/>
      <c r="G1217" s="12"/>
      <c r="H1217" s="20"/>
      <c r="I1217" s="187"/>
      <c r="J1217" s="187"/>
      <c r="K1217" s="187"/>
      <c r="L1217" s="187"/>
      <c r="M1217" s="187"/>
      <c r="N1217" s="187"/>
      <c r="O1217" s="187"/>
      <c r="P1217" s="187"/>
      <c r="Q1217" s="187"/>
      <c r="R1217" s="187"/>
      <c r="S1217" s="187"/>
      <c r="T1217" s="187"/>
      <c r="U1217" s="187"/>
      <c r="V1217" s="187"/>
      <c r="W1217" s="187"/>
      <c r="X1217" s="187"/>
      <c r="Y1217" s="187"/>
      <c r="Z1217" s="187"/>
      <c r="AA1217" s="187"/>
      <c r="AB1217" s="187"/>
      <c r="AC1217" s="187"/>
      <c r="AD1217" s="187"/>
      <c r="AE1217" s="187"/>
      <c r="AF1217" s="187"/>
      <c r="AG1217" s="187"/>
      <c r="AH1217" s="187"/>
      <c r="AI1217" s="187"/>
      <c r="AJ1217" s="187"/>
      <c r="AK1217" s="187"/>
      <c r="AL1217" s="187"/>
    </row>
    <row r="1218" spans="2:38" ht="12.75" customHeight="1">
      <c r="B1218" s="6"/>
      <c r="C1218" s="20"/>
      <c r="D1218" s="12"/>
      <c r="E1218" s="12"/>
      <c r="F1218" s="12"/>
      <c r="G1218" s="12"/>
      <c r="H1218" s="20"/>
      <c r="I1218" s="187"/>
      <c r="J1218" s="187"/>
      <c r="K1218" s="187"/>
      <c r="L1218" s="187"/>
      <c r="M1218" s="187"/>
      <c r="N1218" s="187"/>
      <c r="O1218" s="187"/>
      <c r="P1218" s="187"/>
      <c r="Q1218" s="187"/>
      <c r="R1218" s="187"/>
      <c r="S1218" s="187"/>
      <c r="T1218" s="187"/>
      <c r="U1218" s="187"/>
      <c r="V1218" s="187"/>
      <c r="W1218" s="187"/>
      <c r="X1218" s="187"/>
      <c r="Y1218" s="187"/>
      <c r="Z1218" s="187"/>
      <c r="AA1218" s="187"/>
      <c r="AB1218" s="187"/>
      <c r="AC1218" s="187"/>
      <c r="AD1218" s="187"/>
      <c r="AE1218" s="187"/>
      <c r="AF1218" s="187"/>
      <c r="AG1218" s="187"/>
      <c r="AH1218" s="187"/>
      <c r="AI1218" s="187"/>
      <c r="AJ1218" s="187"/>
      <c r="AK1218" s="187"/>
      <c r="AL1218" s="187"/>
    </row>
    <row r="1219" spans="2:38" ht="12.75" customHeight="1">
      <c r="B1219" s="6"/>
      <c r="C1219" s="20"/>
      <c r="D1219" s="12"/>
      <c r="E1219" s="12"/>
      <c r="F1219" s="12"/>
      <c r="G1219" s="12"/>
      <c r="H1219" s="20"/>
      <c r="I1219" s="187"/>
      <c r="J1219" s="187"/>
      <c r="K1219" s="187"/>
      <c r="L1219" s="187"/>
      <c r="M1219" s="187"/>
      <c r="N1219" s="187"/>
      <c r="O1219" s="187"/>
      <c r="P1219" s="187"/>
      <c r="Q1219" s="187"/>
      <c r="R1219" s="187"/>
      <c r="S1219" s="187"/>
      <c r="T1219" s="187"/>
      <c r="U1219" s="187"/>
      <c r="V1219" s="187"/>
      <c r="W1219" s="187"/>
      <c r="X1219" s="187"/>
      <c r="Y1219" s="187"/>
      <c r="Z1219" s="187"/>
      <c r="AA1219" s="187"/>
      <c r="AB1219" s="187"/>
      <c r="AC1219" s="187"/>
      <c r="AD1219" s="187"/>
      <c r="AE1219" s="187"/>
      <c r="AF1219" s="187"/>
      <c r="AG1219" s="187"/>
      <c r="AH1219" s="187"/>
      <c r="AI1219" s="187"/>
      <c r="AJ1219" s="187"/>
      <c r="AK1219" s="187"/>
      <c r="AL1219" s="187"/>
    </row>
    <row r="1220" spans="2:38" ht="12.75" customHeight="1">
      <c r="B1220" s="6"/>
      <c r="C1220" s="20"/>
      <c r="D1220" s="12"/>
      <c r="E1220" s="12"/>
      <c r="F1220" s="12"/>
      <c r="G1220" s="12"/>
      <c r="H1220" s="20"/>
      <c r="I1220" s="187"/>
      <c r="J1220" s="187"/>
      <c r="K1220" s="187"/>
      <c r="L1220" s="187"/>
      <c r="M1220" s="187"/>
      <c r="N1220" s="187"/>
      <c r="O1220" s="187"/>
      <c r="P1220" s="187"/>
      <c r="Q1220" s="187"/>
      <c r="R1220" s="187"/>
      <c r="S1220" s="187"/>
      <c r="T1220" s="187"/>
      <c r="U1220" s="187"/>
      <c r="V1220" s="187"/>
      <c r="W1220" s="187"/>
      <c r="X1220" s="187"/>
      <c r="Y1220" s="187"/>
      <c r="Z1220" s="187"/>
      <c r="AA1220" s="187"/>
      <c r="AB1220" s="187"/>
      <c r="AC1220" s="187"/>
      <c r="AD1220" s="187"/>
      <c r="AE1220" s="187"/>
      <c r="AF1220" s="187"/>
      <c r="AG1220" s="187"/>
      <c r="AH1220" s="187"/>
      <c r="AI1220" s="187"/>
      <c r="AJ1220" s="187"/>
      <c r="AK1220" s="187"/>
      <c r="AL1220" s="187"/>
    </row>
    <row r="1221" spans="2:38" ht="12.75" customHeight="1">
      <c r="B1221" s="6"/>
      <c r="C1221" s="20"/>
      <c r="D1221" s="12"/>
      <c r="E1221" s="12"/>
      <c r="F1221" s="12"/>
      <c r="G1221" s="12"/>
      <c r="H1221" s="20"/>
      <c r="I1221" s="187"/>
      <c r="J1221" s="187"/>
      <c r="K1221" s="187"/>
      <c r="L1221" s="187"/>
      <c r="M1221" s="187"/>
      <c r="N1221" s="187"/>
      <c r="O1221" s="187"/>
      <c r="P1221" s="187"/>
      <c r="Q1221" s="187"/>
      <c r="R1221" s="187"/>
      <c r="S1221" s="187"/>
      <c r="T1221" s="187"/>
      <c r="U1221" s="187"/>
      <c r="V1221" s="187"/>
      <c r="W1221" s="187"/>
      <c r="X1221" s="187"/>
      <c r="Y1221" s="187"/>
      <c r="Z1221" s="187"/>
      <c r="AA1221" s="187"/>
      <c r="AB1221" s="187"/>
      <c r="AC1221" s="187"/>
      <c r="AD1221" s="187"/>
      <c r="AE1221" s="187"/>
      <c r="AF1221" s="187"/>
      <c r="AG1221" s="187"/>
      <c r="AH1221" s="187"/>
      <c r="AI1221" s="187"/>
      <c r="AJ1221" s="187"/>
      <c r="AK1221" s="187"/>
      <c r="AL1221" s="187"/>
    </row>
    <row r="1222" spans="2:38" ht="12.75" customHeight="1">
      <c r="B1222" s="6"/>
      <c r="C1222" s="20"/>
      <c r="D1222" s="12"/>
      <c r="E1222" s="12"/>
      <c r="F1222" s="12"/>
      <c r="G1222" s="12"/>
      <c r="H1222" s="20"/>
      <c r="I1222" s="187"/>
      <c r="J1222" s="187"/>
      <c r="K1222" s="187"/>
      <c r="L1222" s="187"/>
      <c r="M1222" s="187"/>
      <c r="N1222" s="187"/>
      <c r="O1222" s="187"/>
      <c r="P1222" s="187"/>
      <c r="Q1222" s="187"/>
      <c r="R1222" s="187"/>
      <c r="S1222" s="187"/>
      <c r="T1222" s="187"/>
      <c r="U1222" s="187"/>
      <c r="V1222" s="187"/>
      <c r="W1222" s="187"/>
      <c r="X1222" s="187"/>
      <c r="Y1222" s="187"/>
      <c r="Z1222" s="187"/>
      <c r="AA1222" s="187"/>
      <c r="AB1222" s="187"/>
      <c r="AC1222" s="187"/>
      <c r="AD1222" s="187"/>
      <c r="AE1222" s="187"/>
      <c r="AF1222" s="187"/>
      <c r="AG1222" s="187"/>
      <c r="AH1222" s="187"/>
      <c r="AI1222" s="187"/>
      <c r="AJ1222" s="187"/>
      <c r="AK1222" s="187"/>
      <c r="AL1222" s="187"/>
    </row>
    <row r="1223" spans="2:38" ht="12.75" customHeight="1">
      <c r="B1223" s="6"/>
      <c r="C1223" s="20"/>
      <c r="D1223" s="12"/>
      <c r="E1223" s="12"/>
      <c r="F1223" s="12"/>
      <c r="G1223" s="12"/>
      <c r="H1223" s="20"/>
      <c r="I1223" s="187"/>
      <c r="J1223" s="187"/>
      <c r="K1223" s="187"/>
      <c r="L1223" s="187"/>
      <c r="M1223" s="187"/>
      <c r="N1223" s="187"/>
      <c r="O1223" s="187"/>
      <c r="P1223" s="187"/>
      <c r="Q1223" s="187"/>
      <c r="R1223" s="187"/>
      <c r="S1223" s="187"/>
      <c r="T1223" s="187"/>
      <c r="U1223" s="187"/>
      <c r="V1223" s="187"/>
      <c r="W1223" s="187"/>
      <c r="X1223" s="187"/>
      <c r="Y1223" s="187"/>
      <c r="Z1223" s="187"/>
      <c r="AA1223" s="187"/>
      <c r="AB1223" s="187"/>
      <c r="AC1223" s="187"/>
      <c r="AD1223" s="187"/>
      <c r="AE1223" s="187"/>
      <c r="AF1223" s="187"/>
      <c r="AG1223" s="187"/>
      <c r="AH1223" s="187"/>
      <c r="AI1223" s="187"/>
      <c r="AJ1223" s="187"/>
      <c r="AK1223" s="187"/>
      <c r="AL1223" s="187"/>
    </row>
    <row r="1224" spans="2:38" ht="12.75" customHeight="1">
      <c r="B1224" s="6"/>
      <c r="C1224" s="20"/>
      <c r="D1224" s="12"/>
      <c r="E1224" s="12"/>
      <c r="F1224" s="12"/>
      <c r="G1224" s="12"/>
      <c r="H1224" s="20"/>
      <c r="I1224" s="187"/>
      <c r="J1224" s="187"/>
      <c r="K1224" s="187"/>
      <c r="L1224" s="187"/>
      <c r="M1224" s="187"/>
      <c r="N1224" s="187"/>
      <c r="O1224" s="187"/>
      <c r="P1224" s="187"/>
      <c r="Q1224" s="187"/>
      <c r="R1224" s="187"/>
      <c r="S1224" s="187"/>
      <c r="T1224" s="187"/>
      <c r="U1224" s="187"/>
      <c r="V1224" s="187"/>
      <c r="W1224" s="187"/>
      <c r="X1224" s="187"/>
      <c r="Y1224" s="187"/>
      <c r="Z1224" s="187"/>
      <c r="AA1224" s="187"/>
      <c r="AB1224" s="187"/>
      <c r="AC1224" s="187"/>
      <c r="AD1224" s="187"/>
      <c r="AE1224" s="187"/>
      <c r="AF1224" s="187"/>
      <c r="AG1224" s="187"/>
      <c r="AH1224" s="187"/>
      <c r="AI1224" s="187"/>
      <c r="AJ1224" s="187"/>
      <c r="AK1224" s="187"/>
      <c r="AL1224" s="187"/>
    </row>
    <row r="1225" spans="2:38" ht="12.75" customHeight="1">
      <c r="B1225" s="6"/>
      <c r="C1225" s="20"/>
      <c r="D1225" s="12"/>
      <c r="E1225" s="12"/>
      <c r="F1225" s="12"/>
      <c r="G1225" s="12"/>
      <c r="H1225" s="20"/>
      <c r="I1225" s="187"/>
      <c r="J1225" s="187"/>
      <c r="K1225" s="187"/>
      <c r="L1225" s="187"/>
      <c r="M1225" s="187"/>
      <c r="N1225" s="187"/>
      <c r="O1225" s="187"/>
      <c r="P1225" s="187"/>
      <c r="Q1225" s="187"/>
      <c r="R1225" s="187"/>
      <c r="S1225" s="187"/>
      <c r="T1225" s="187"/>
      <c r="U1225" s="187"/>
      <c r="V1225" s="187"/>
      <c r="W1225" s="187"/>
      <c r="X1225" s="187"/>
      <c r="Y1225" s="187"/>
      <c r="Z1225" s="187"/>
      <c r="AA1225" s="187"/>
      <c r="AB1225" s="187"/>
      <c r="AC1225" s="187"/>
      <c r="AD1225" s="187"/>
      <c r="AE1225" s="187"/>
      <c r="AF1225" s="187"/>
      <c r="AG1225" s="187"/>
      <c r="AH1225" s="187"/>
      <c r="AI1225" s="187"/>
      <c r="AJ1225" s="187"/>
      <c r="AK1225" s="187"/>
      <c r="AL1225" s="187"/>
    </row>
    <row r="1226" spans="2:38" ht="12.75" customHeight="1">
      <c r="B1226" s="6"/>
      <c r="C1226" s="20"/>
      <c r="D1226" s="12"/>
      <c r="E1226" s="12"/>
      <c r="F1226" s="12"/>
      <c r="G1226" s="12"/>
      <c r="H1226" s="20"/>
      <c r="I1226" s="187"/>
      <c r="J1226" s="187"/>
      <c r="K1226" s="187"/>
      <c r="L1226" s="187"/>
      <c r="M1226" s="187"/>
      <c r="N1226" s="187"/>
      <c r="O1226" s="187"/>
      <c r="P1226" s="187"/>
      <c r="Q1226" s="187"/>
      <c r="R1226" s="187"/>
      <c r="S1226" s="187"/>
      <c r="T1226" s="187"/>
      <c r="U1226" s="187"/>
      <c r="V1226" s="187"/>
      <c r="W1226" s="187"/>
      <c r="X1226" s="187"/>
      <c r="Y1226" s="187"/>
      <c r="Z1226" s="187"/>
      <c r="AA1226" s="187"/>
      <c r="AB1226" s="187"/>
      <c r="AC1226" s="187"/>
      <c r="AD1226" s="187"/>
      <c r="AE1226" s="187"/>
      <c r="AF1226" s="187"/>
      <c r="AG1226" s="187"/>
      <c r="AH1226" s="187"/>
      <c r="AI1226" s="187"/>
      <c r="AJ1226" s="187"/>
      <c r="AK1226" s="187"/>
      <c r="AL1226" s="187"/>
    </row>
    <row r="1227" spans="2:38" ht="12.75" customHeight="1">
      <c r="B1227" s="6"/>
      <c r="C1227" s="20"/>
      <c r="D1227" s="12"/>
      <c r="E1227" s="12"/>
      <c r="F1227" s="12"/>
      <c r="G1227" s="12"/>
      <c r="H1227" s="20"/>
      <c r="I1227" s="187"/>
      <c r="J1227" s="187"/>
      <c r="K1227" s="187"/>
      <c r="L1227" s="187"/>
      <c r="M1227" s="187"/>
      <c r="N1227" s="187"/>
      <c r="O1227" s="187"/>
      <c r="P1227" s="187"/>
      <c r="Q1227" s="187"/>
      <c r="R1227" s="187"/>
      <c r="S1227" s="187"/>
      <c r="T1227" s="187"/>
      <c r="U1227" s="187"/>
      <c r="V1227" s="187"/>
      <c r="W1227" s="187"/>
      <c r="X1227" s="187"/>
      <c r="Y1227" s="187"/>
      <c r="Z1227" s="187"/>
      <c r="AA1227" s="187"/>
      <c r="AB1227" s="187"/>
      <c r="AC1227" s="187"/>
      <c r="AD1227" s="187"/>
      <c r="AE1227" s="187"/>
      <c r="AF1227" s="187"/>
      <c r="AG1227" s="187"/>
      <c r="AH1227" s="187"/>
      <c r="AI1227" s="187"/>
      <c r="AJ1227" s="187"/>
      <c r="AK1227" s="187"/>
      <c r="AL1227" s="187"/>
    </row>
    <row r="1228" spans="2:38" ht="12.75" customHeight="1">
      <c r="B1228" s="6"/>
      <c r="C1228" s="20"/>
      <c r="D1228" s="12"/>
      <c r="E1228" s="12"/>
      <c r="F1228" s="12"/>
      <c r="G1228" s="12"/>
      <c r="H1228" s="20"/>
      <c r="I1228" s="187"/>
      <c r="J1228" s="187"/>
      <c r="K1228" s="187"/>
      <c r="L1228" s="187"/>
      <c r="M1228" s="187"/>
      <c r="N1228" s="187"/>
      <c r="O1228" s="187"/>
      <c r="P1228" s="187"/>
      <c r="Q1228" s="187"/>
      <c r="R1228" s="187"/>
      <c r="S1228" s="187"/>
      <c r="T1228" s="187"/>
      <c r="U1228" s="187"/>
      <c r="V1228" s="187"/>
      <c r="W1228" s="187"/>
      <c r="X1228" s="187"/>
      <c r="Y1228" s="187"/>
      <c r="Z1228" s="187"/>
      <c r="AA1228" s="187"/>
      <c r="AB1228" s="187"/>
      <c r="AC1228" s="187"/>
      <c r="AD1228" s="187"/>
      <c r="AE1228" s="187"/>
      <c r="AF1228" s="187"/>
      <c r="AG1228" s="187"/>
      <c r="AH1228" s="187"/>
      <c r="AI1228" s="187"/>
      <c r="AJ1228" s="187"/>
      <c r="AK1228" s="187"/>
      <c r="AL1228" s="187"/>
    </row>
    <row r="1229" spans="2:38" ht="12.75" customHeight="1">
      <c r="B1229" s="6"/>
      <c r="C1229" s="20"/>
      <c r="D1229" s="12"/>
      <c r="E1229" s="12"/>
      <c r="F1229" s="12"/>
      <c r="G1229" s="12"/>
      <c r="H1229" s="20"/>
      <c r="I1229" s="187"/>
      <c r="J1229" s="187"/>
      <c r="K1229" s="187"/>
      <c r="L1229" s="187"/>
      <c r="M1229" s="187"/>
      <c r="N1229" s="187"/>
      <c r="O1229" s="187"/>
      <c r="P1229" s="187"/>
      <c r="Q1229" s="187"/>
      <c r="R1229" s="187"/>
      <c r="S1229" s="187"/>
      <c r="T1229" s="187"/>
      <c r="U1229" s="187"/>
      <c r="V1229" s="187"/>
      <c r="W1229" s="187"/>
      <c r="X1229" s="187"/>
      <c r="Y1229" s="187"/>
      <c r="Z1229" s="187"/>
      <c r="AA1229" s="187"/>
      <c r="AB1229" s="187"/>
      <c r="AC1229" s="187"/>
      <c r="AD1229" s="187"/>
      <c r="AE1229" s="187"/>
      <c r="AF1229" s="187"/>
      <c r="AG1229" s="187"/>
      <c r="AH1229" s="187"/>
      <c r="AI1229" s="187"/>
      <c r="AJ1229" s="187"/>
      <c r="AK1229" s="187"/>
      <c r="AL1229" s="187"/>
    </row>
    <row r="1230" spans="2:38" ht="12.75" customHeight="1">
      <c r="B1230" s="6"/>
      <c r="C1230" s="20"/>
      <c r="D1230" s="12"/>
      <c r="E1230" s="12"/>
      <c r="F1230" s="12"/>
      <c r="G1230" s="12"/>
      <c r="H1230" s="20"/>
      <c r="I1230" s="187"/>
      <c r="J1230" s="187"/>
      <c r="K1230" s="187"/>
      <c r="L1230" s="187"/>
      <c r="M1230" s="187"/>
      <c r="N1230" s="187"/>
      <c r="O1230" s="187"/>
      <c r="P1230" s="187"/>
      <c r="Q1230" s="187"/>
      <c r="R1230" s="187"/>
      <c r="S1230" s="187"/>
      <c r="T1230" s="187"/>
      <c r="U1230" s="187"/>
      <c r="V1230" s="187"/>
      <c r="W1230" s="187"/>
      <c r="X1230" s="187"/>
      <c r="Y1230" s="187"/>
      <c r="Z1230" s="187"/>
      <c r="AA1230" s="187"/>
      <c r="AB1230" s="187"/>
      <c r="AC1230" s="187"/>
      <c r="AD1230" s="187"/>
      <c r="AE1230" s="187"/>
      <c r="AF1230" s="187"/>
      <c r="AG1230" s="187"/>
      <c r="AH1230" s="187"/>
      <c r="AI1230" s="187"/>
      <c r="AJ1230" s="187"/>
      <c r="AK1230" s="187"/>
      <c r="AL1230" s="187"/>
    </row>
    <row r="1231" spans="2:38" ht="12.75" customHeight="1">
      <c r="B1231" s="6"/>
      <c r="C1231" s="20"/>
      <c r="D1231" s="12"/>
      <c r="E1231" s="12"/>
      <c r="F1231" s="12"/>
      <c r="G1231" s="12"/>
      <c r="H1231" s="20"/>
      <c r="I1231" s="187"/>
      <c r="J1231" s="187"/>
      <c r="K1231" s="187"/>
      <c r="L1231" s="187"/>
      <c r="M1231" s="187"/>
      <c r="N1231" s="187"/>
      <c r="O1231" s="187"/>
      <c r="P1231" s="187"/>
      <c r="Q1231" s="187"/>
      <c r="R1231" s="187"/>
      <c r="S1231" s="187"/>
      <c r="T1231" s="187"/>
      <c r="U1231" s="187"/>
      <c r="V1231" s="187"/>
      <c r="W1231" s="187"/>
      <c r="X1231" s="187"/>
      <c r="Y1231" s="187"/>
      <c r="Z1231" s="187"/>
      <c r="AA1231" s="187"/>
      <c r="AB1231" s="187"/>
      <c r="AC1231" s="187"/>
      <c r="AD1231" s="187"/>
      <c r="AE1231" s="187"/>
      <c r="AF1231" s="187"/>
      <c r="AG1231" s="187"/>
      <c r="AH1231" s="187"/>
      <c r="AI1231" s="187"/>
      <c r="AJ1231" s="187"/>
      <c r="AK1231" s="187"/>
      <c r="AL1231" s="187"/>
    </row>
    <row r="1232" spans="2:38" ht="12.75" customHeight="1">
      <c r="B1232" s="6"/>
      <c r="C1232" s="20"/>
      <c r="D1232" s="12"/>
      <c r="E1232" s="12"/>
      <c r="F1232" s="12"/>
      <c r="G1232" s="12"/>
      <c r="H1232" s="20"/>
      <c r="I1232" s="187"/>
      <c r="J1232" s="187"/>
      <c r="K1232" s="187"/>
      <c r="L1232" s="187"/>
      <c r="M1232" s="187"/>
      <c r="N1232" s="187"/>
      <c r="O1232" s="187"/>
      <c r="P1232" s="187"/>
      <c r="Q1232" s="187"/>
      <c r="R1232" s="187"/>
      <c r="S1232" s="187"/>
      <c r="T1232" s="187"/>
      <c r="U1232" s="187"/>
      <c r="V1232" s="187"/>
      <c r="W1232" s="187"/>
      <c r="X1232" s="187"/>
      <c r="Y1232" s="187"/>
      <c r="Z1232" s="187"/>
      <c r="AA1232" s="187"/>
      <c r="AB1232" s="187"/>
      <c r="AC1232" s="187"/>
      <c r="AD1232" s="187"/>
      <c r="AE1232" s="187"/>
      <c r="AF1232" s="187"/>
      <c r="AG1232" s="187"/>
      <c r="AH1232" s="187"/>
      <c r="AI1232" s="187"/>
      <c r="AJ1232" s="187"/>
      <c r="AK1232" s="187"/>
      <c r="AL1232" s="187"/>
    </row>
    <row r="1233" spans="2:38" ht="12.75" customHeight="1">
      <c r="B1233" s="6"/>
      <c r="C1233" s="20"/>
      <c r="D1233" s="12"/>
      <c r="E1233" s="12"/>
      <c r="F1233" s="12"/>
      <c r="G1233" s="12"/>
      <c r="H1233" s="20"/>
      <c r="I1233" s="187"/>
      <c r="J1233" s="187"/>
      <c r="K1233" s="187"/>
      <c r="L1233" s="187"/>
      <c r="M1233" s="187"/>
      <c r="N1233" s="187"/>
      <c r="O1233" s="187"/>
      <c r="P1233" s="187"/>
      <c r="Q1233" s="187"/>
      <c r="R1233" s="187"/>
      <c r="S1233" s="187"/>
      <c r="T1233" s="187"/>
      <c r="U1233" s="187"/>
      <c r="V1233" s="187"/>
      <c r="W1233" s="187"/>
      <c r="X1233" s="187"/>
      <c r="Y1233" s="187"/>
      <c r="Z1233" s="187"/>
      <c r="AA1233" s="187"/>
      <c r="AB1233" s="187"/>
      <c r="AC1233" s="187"/>
      <c r="AD1233" s="187"/>
      <c r="AE1233" s="187"/>
      <c r="AF1233" s="187"/>
      <c r="AG1233" s="187"/>
      <c r="AH1233" s="187"/>
      <c r="AI1233" s="187"/>
      <c r="AJ1233" s="187"/>
      <c r="AK1233" s="187"/>
      <c r="AL1233" s="187"/>
    </row>
    <row r="1234" spans="2:38" ht="12.75" customHeight="1">
      <c r="B1234" s="6"/>
      <c r="C1234" s="20"/>
      <c r="D1234" s="12"/>
      <c r="E1234" s="12"/>
      <c r="F1234" s="12"/>
      <c r="G1234" s="12"/>
      <c r="H1234" s="20"/>
      <c r="I1234" s="187"/>
      <c r="J1234" s="187"/>
      <c r="K1234" s="187"/>
      <c r="L1234" s="187"/>
      <c r="M1234" s="187"/>
      <c r="N1234" s="187"/>
      <c r="O1234" s="187"/>
      <c r="P1234" s="187"/>
      <c r="Q1234" s="187"/>
      <c r="R1234" s="187"/>
      <c r="S1234" s="187"/>
      <c r="T1234" s="187"/>
      <c r="U1234" s="187"/>
      <c r="V1234" s="187"/>
      <c r="W1234" s="187"/>
      <c r="X1234" s="187"/>
      <c r="Y1234" s="187"/>
      <c r="Z1234" s="187"/>
      <c r="AA1234" s="187"/>
      <c r="AB1234" s="187"/>
      <c r="AC1234" s="187"/>
      <c r="AD1234" s="187"/>
      <c r="AE1234" s="187"/>
      <c r="AF1234" s="187"/>
      <c r="AG1234" s="187"/>
      <c r="AH1234" s="187"/>
      <c r="AI1234" s="187"/>
      <c r="AJ1234" s="187"/>
      <c r="AK1234" s="187"/>
      <c r="AL1234" s="187"/>
    </row>
    <row r="1235" spans="2:38" ht="12.75" customHeight="1">
      <c r="B1235" s="6"/>
      <c r="C1235" s="20"/>
      <c r="D1235" s="12"/>
      <c r="E1235" s="12"/>
      <c r="F1235" s="12"/>
      <c r="G1235" s="12"/>
      <c r="H1235" s="20"/>
      <c r="I1235" s="187"/>
      <c r="J1235" s="187"/>
      <c r="K1235" s="187"/>
      <c r="L1235" s="187"/>
      <c r="M1235" s="187"/>
      <c r="N1235" s="187"/>
      <c r="O1235" s="187"/>
      <c r="P1235" s="187"/>
      <c r="Q1235" s="187"/>
      <c r="R1235" s="187"/>
      <c r="S1235" s="187"/>
      <c r="T1235" s="187"/>
      <c r="U1235" s="187"/>
      <c r="V1235" s="187"/>
      <c r="W1235" s="187"/>
      <c r="X1235" s="187"/>
      <c r="Y1235" s="187"/>
      <c r="Z1235" s="187"/>
      <c r="AA1235" s="187"/>
      <c r="AB1235" s="187"/>
      <c r="AC1235" s="187"/>
      <c r="AD1235" s="187"/>
      <c r="AE1235" s="187"/>
      <c r="AF1235" s="187"/>
      <c r="AG1235" s="187"/>
      <c r="AH1235" s="187"/>
      <c r="AI1235" s="187"/>
      <c r="AJ1235" s="187"/>
      <c r="AK1235" s="187"/>
      <c r="AL1235" s="187"/>
    </row>
    <row r="1236" spans="2:38" ht="12.75" customHeight="1">
      <c r="B1236" s="6"/>
      <c r="C1236" s="20"/>
      <c r="D1236" s="12"/>
      <c r="E1236" s="12"/>
      <c r="F1236" s="12"/>
      <c r="G1236" s="12"/>
      <c r="H1236" s="20"/>
      <c r="I1236" s="187"/>
      <c r="J1236" s="187"/>
      <c r="K1236" s="187"/>
      <c r="L1236" s="187"/>
      <c r="M1236" s="187"/>
      <c r="N1236" s="187"/>
      <c r="O1236" s="187"/>
      <c r="P1236" s="187"/>
      <c r="Q1236" s="187"/>
      <c r="R1236" s="187"/>
      <c r="S1236" s="187"/>
      <c r="T1236" s="187"/>
      <c r="U1236" s="187"/>
      <c r="V1236" s="187"/>
      <c r="W1236" s="187"/>
      <c r="X1236" s="187"/>
      <c r="Y1236" s="187"/>
      <c r="Z1236" s="187"/>
      <c r="AA1236" s="187"/>
      <c r="AB1236" s="187"/>
      <c r="AC1236" s="187"/>
      <c r="AD1236" s="187"/>
      <c r="AE1236" s="187"/>
      <c r="AF1236" s="187"/>
      <c r="AG1236" s="187"/>
      <c r="AH1236" s="187"/>
      <c r="AI1236" s="187"/>
      <c r="AJ1236" s="187"/>
      <c r="AK1236" s="187"/>
      <c r="AL1236" s="187"/>
    </row>
    <row r="1237" spans="2:38" ht="12.75" customHeight="1">
      <c r="B1237" s="6"/>
      <c r="C1237" s="20"/>
      <c r="D1237" s="12"/>
      <c r="E1237" s="12"/>
      <c r="F1237" s="12"/>
      <c r="G1237" s="12"/>
      <c r="H1237" s="20"/>
      <c r="I1237" s="187"/>
      <c r="J1237" s="187"/>
      <c r="K1237" s="187"/>
      <c r="L1237" s="187"/>
      <c r="M1237" s="187"/>
      <c r="N1237" s="187"/>
      <c r="O1237" s="187"/>
      <c r="P1237" s="187"/>
      <c r="Q1237" s="187"/>
      <c r="R1237" s="187"/>
      <c r="S1237" s="187"/>
      <c r="T1237" s="187"/>
      <c r="U1237" s="187"/>
      <c r="V1237" s="187"/>
      <c r="W1237" s="187"/>
      <c r="X1237" s="187"/>
      <c r="Y1237" s="187"/>
      <c r="Z1237" s="187"/>
      <c r="AA1237" s="187"/>
      <c r="AB1237" s="187"/>
      <c r="AC1237" s="187"/>
      <c r="AD1237" s="187"/>
      <c r="AE1237" s="187"/>
      <c r="AF1237" s="187"/>
      <c r="AG1237" s="187"/>
      <c r="AH1237" s="187"/>
      <c r="AI1237" s="187"/>
      <c r="AJ1237" s="187"/>
      <c r="AK1237" s="187"/>
      <c r="AL1237" s="187"/>
    </row>
    <row r="1238" spans="2:38" ht="12.75" customHeight="1">
      <c r="B1238" s="6"/>
      <c r="C1238" s="20"/>
      <c r="D1238" s="12"/>
      <c r="E1238" s="12"/>
      <c r="F1238" s="12"/>
      <c r="G1238" s="12"/>
      <c r="H1238" s="20"/>
      <c r="I1238" s="187"/>
      <c r="J1238" s="187"/>
      <c r="K1238" s="187"/>
      <c r="L1238" s="187"/>
      <c r="M1238" s="187"/>
      <c r="N1238" s="187"/>
      <c r="O1238" s="187"/>
      <c r="P1238" s="187"/>
      <c r="Q1238" s="187"/>
      <c r="R1238" s="187"/>
      <c r="S1238" s="187"/>
      <c r="T1238" s="187"/>
      <c r="U1238" s="187"/>
      <c r="V1238" s="187"/>
      <c r="W1238" s="187"/>
      <c r="X1238" s="187"/>
      <c r="Y1238" s="187"/>
      <c r="Z1238" s="187"/>
      <c r="AA1238" s="187"/>
      <c r="AB1238" s="187"/>
      <c r="AC1238" s="187"/>
      <c r="AD1238" s="187"/>
      <c r="AE1238" s="187"/>
      <c r="AF1238" s="187"/>
      <c r="AG1238" s="187"/>
      <c r="AH1238" s="187"/>
      <c r="AI1238" s="187"/>
      <c r="AJ1238" s="187"/>
      <c r="AK1238" s="187"/>
      <c r="AL1238" s="187"/>
    </row>
    <row r="1239" spans="2:38" ht="12.75" customHeight="1">
      <c r="B1239" s="6"/>
      <c r="C1239" s="20"/>
      <c r="D1239" s="12"/>
      <c r="E1239" s="12"/>
      <c r="F1239" s="12"/>
      <c r="G1239" s="12"/>
      <c r="H1239" s="20"/>
      <c r="I1239" s="187"/>
      <c r="J1239" s="187"/>
      <c r="K1239" s="187"/>
      <c r="L1239" s="187"/>
      <c r="M1239" s="187"/>
      <c r="N1239" s="187"/>
      <c r="O1239" s="187"/>
      <c r="P1239" s="187"/>
      <c r="Q1239" s="187"/>
      <c r="R1239" s="187"/>
      <c r="S1239" s="187"/>
      <c r="T1239" s="187"/>
      <c r="U1239" s="187"/>
      <c r="V1239" s="187"/>
      <c r="W1239" s="187"/>
      <c r="X1239" s="187"/>
      <c r="Y1239" s="187"/>
      <c r="Z1239" s="187"/>
      <c r="AA1239" s="187"/>
      <c r="AB1239" s="187"/>
      <c r="AC1239" s="187"/>
      <c r="AD1239" s="187"/>
      <c r="AE1239" s="187"/>
      <c r="AF1239" s="187"/>
      <c r="AG1239" s="187"/>
      <c r="AH1239" s="187"/>
      <c r="AI1239" s="187"/>
      <c r="AJ1239" s="187"/>
      <c r="AK1239" s="187"/>
      <c r="AL1239" s="187"/>
    </row>
    <row r="1240" spans="2:38" ht="12.75" customHeight="1">
      <c r="B1240" s="6"/>
      <c r="C1240" s="20"/>
      <c r="D1240" s="12"/>
      <c r="E1240" s="12"/>
      <c r="F1240" s="12"/>
      <c r="G1240" s="12"/>
      <c r="H1240" s="20"/>
      <c r="I1240" s="187"/>
      <c r="J1240" s="187"/>
      <c r="K1240" s="187"/>
      <c r="L1240" s="187"/>
      <c r="M1240" s="187"/>
      <c r="N1240" s="187"/>
      <c r="O1240" s="187"/>
      <c r="P1240" s="187"/>
      <c r="Q1240" s="187"/>
      <c r="R1240" s="187"/>
      <c r="S1240" s="187"/>
      <c r="T1240" s="187"/>
      <c r="U1240" s="187"/>
      <c r="V1240" s="187"/>
      <c r="W1240" s="187"/>
      <c r="X1240" s="187"/>
      <c r="Y1240" s="187"/>
      <c r="Z1240" s="187"/>
      <c r="AA1240" s="187"/>
      <c r="AB1240" s="187"/>
      <c r="AC1240" s="187"/>
      <c r="AD1240" s="187"/>
      <c r="AE1240" s="187"/>
      <c r="AF1240" s="187"/>
      <c r="AG1240" s="187"/>
      <c r="AH1240" s="187"/>
      <c r="AI1240" s="187"/>
      <c r="AJ1240" s="187"/>
      <c r="AK1240" s="187"/>
      <c r="AL1240" s="187"/>
    </row>
    <row r="1241" spans="2:38" ht="12.75" customHeight="1">
      <c r="B1241" s="6"/>
      <c r="C1241" s="20"/>
      <c r="D1241" s="12"/>
      <c r="E1241" s="12"/>
      <c r="F1241" s="12"/>
      <c r="G1241" s="12"/>
      <c r="H1241" s="20"/>
      <c r="I1241" s="187"/>
      <c r="J1241" s="187"/>
      <c r="K1241" s="187"/>
      <c r="L1241" s="187"/>
      <c r="M1241" s="187"/>
      <c r="N1241" s="187"/>
      <c r="O1241" s="187"/>
      <c r="P1241" s="187"/>
      <c r="Q1241" s="187"/>
      <c r="R1241" s="187"/>
      <c r="S1241" s="187"/>
      <c r="T1241" s="187"/>
      <c r="U1241" s="187"/>
      <c r="V1241" s="187"/>
      <c r="W1241" s="187"/>
      <c r="X1241" s="187"/>
      <c r="Y1241" s="187"/>
      <c r="Z1241" s="187"/>
      <c r="AA1241" s="187"/>
      <c r="AB1241" s="187"/>
      <c r="AC1241" s="187"/>
      <c r="AD1241" s="187"/>
      <c r="AE1241" s="187"/>
      <c r="AF1241" s="187"/>
      <c r="AG1241" s="187"/>
      <c r="AH1241" s="187"/>
      <c r="AI1241" s="187"/>
      <c r="AJ1241" s="187"/>
      <c r="AK1241" s="187"/>
      <c r="AL1241" s="187"/>
    </row>
    <row r="1242" spans="2:38" ht="12.75" customHeight="1">
      <c r="B1242" s="6"/>
      <c r="C1242" s="20"/>
      <c r="D1242" s="12"/>
      <c r="E1242" s="12"/>
      <c r="F1242" s="12"/>
      <c r="G1242" s="12"/>
      <c r="H1242" s="20"/>
      <c r="I1242" s="187"/>
      <c r="J1242" s="187"/>
      <c r="K1242" s="187"/>
      <c r="L1242" s="187"/>
      <c r="M1242" s="187"/>
      <c r="N1242" s="187"/>
      <c r="O1242" s="187"/>
      <c r="P1242" s="187"/>
      <c r="Q1242" s="187"/>
      <c r="R1242" s="187"/>
      <c r="S1242" s="187"/>
      <c r="T1242" s="187"/>
      <c r="U1242" s="187"/>
      <c r="V1242" s="187"/>
      <c r="W1242" s="187"/>
      <c r="X1242" s="187"/>
      <c r="Y1242" s="187"/>
      <c r="Z1242" s="187"/>
      <c r="AA1242" s="187"/>
      <c r="AB1242" s="187"/>
      <c r="AC1242" s="187"/>
      <c r="AD1242" s="187"/>
      <c r="AE1242" s="187"/>
      <c r="AF1242" s="187"/>
      <c r="AG1242" s="187"/>
      <c r="AH1242" s="187"/>
      <c r="AI1242" s="187"/>
      <c r="AJ1242" s="187"/>
      <c r="AK1242" s="187"/>
      <c r="AL1242" s="187"/>
    </row>
    <row r="1243" spans="2:38" ht="12.75" customHeight="1">
      <c r="B1243" s="6"/>
      <c r="C1243" s="20"/>
      <c r="D1243" s="12"/>
      <c r="E1243" s="12"/>
      <c r="F1243" s="12"/>
      <c r="G1243" s="12"/>
      <c r="H1243" s="20"/>
      <c r="I1243" s="187"/>
      <c r="J1243" s="187"/>
      <c r="K1243" s="187"/>
      <c r="L1243" s="187"/>
      <c r="M1243" s="187"/>
      <c r="N1243" s="187"/>
      <c r="O1243" s="187"/>
      <c r="P1243" s="187"/>
      <c r="Q1243" s="187"/>
      <c r="R1243" s="187"/>
      <c r="S1243" s="187"/>
      <c r="T1243" s="187"/>
      <c r="U1243" s="187"/>
      <c r="V1243" s="187"/>
      <c r="W1243" s="187"/>
      <c r="X1243" s="187"/>
      <c r="Y1243" s="187"/>
      <c r="Z1243" s="187"/>
      <c r="AA1243" s="187"/>
      <c r="AB1243" s="187"/>
      <c r="AC1243" s="187"/>
      <c r="AD1243" s="187"/>
      <c r="AE1243" s="187"/>
      <c r="AF1243" s="187"/>
      <c r="AG1243" s="187"/>
      <c r="AH1243" s="187"/>
      <c r="AI1243" s="187"/>
      <c r="AJ1243" s="187"/>
      <c r="AK1243" s="187"/>
      <c r="AL1243" s="187"/>
    </row>
    <row r="1244" spans="2:38" ht="12.75" customHeight="1">
      <c r="B1244" s="6"/>
      <c r="C1244" s="20"/>
      <c r="D1244" s="12"/>
      <c r="E1244" s="12"/>
      <c r="F1244" s="12"/>
      <c r="G1244" s="12"/>
      <c r="H1244" s="20"/>
      <c r="I1244" s="187"/>
      <c r="J1244" s="187"/>
      <c r="K1244" s="187"/>
      <c r="L1244" s="187"/>
      <c r="M1244" s="187"/>
      <c r="N1244" s="187"/>
      <c r="O1244" s="187"/>
      <c r="P1244" s="187"/>
      <c r="Q1244" s="187"/>
      <c r="R1244" s="187"/>
      <c r="S1244" s="187"/>
      <c r="T1244" s="187"/>
      <c r="U1244" s="187"/>
      <c r="V1244" s="187"/>
      <c r="W1244" s="187"/>
      <c r="X1244" s="187"/>
      <c r="Y1244" s="187"/>
      <c r="Z1244" s="187"/>
      <c r="AA1244" s="187"/>
      <c r="AB1244" s="187"/>
      <c r="AC1244" s="187"/>
      <c r="AD1244" s="187"/>
      <c r="AE1244" s="187"/>
      <c r="AF1244" s="187"/>
      <c r="AG1244" s="187"/>
      <c r="AH1244" s="187"/>
      <c r="AI1244" s="187"/>
      <c r="AJ1244" s="187"/>
      <c r="AK1244" s="187"/>
      <c r="AL1244" s="187"/>
    </row>
    <row r="1245" spans="2:38" ht="12.75" customHeight="1">
      <c r="B1245" s="6"/>
      <c r="C1245" s="20"/>
      <c r="D1245" s="12"/>
      <c r="E1245" s="12"/>
      <c r="F1245" s="12"/>
      <c r="G1245" s="12"/>
      <c r="H1245" s="20"/>
      <c r="I1245" s="187"/>
      <c r="J1245" s="187"/>
      <c r="K1245" s="187"/>
      <c r="L1245" s="187"/>
      <c r="M1245" s="187"/>
      <c r="N1245" s="187"/>
      <c r="O1245" s="187"/>
      <c r="P1245" s="187"/>
      <c r="Q1245" s="187"/>
      <c r="R1245" s="187"/>
      <c r="S1245" s="187"/>
      <c r="T1245" s="187"/>
      <c r="U1245" s="187"/>
      <c r="V1245" s="187"/>
      <c r="W1245" s="187"/>
      <c r="X1245" s="187"/>
      <c r="Y1245" s="187"/>
      <c r="Z1245" s="187"/>
      <c r="AA1245" s="187"/>
      <c r="AB1245" s="187"/>
      <c r="AC1245" s="187"/>
      <c r="AD1245" s="187"/>
      <c r="AE1245" s="187"/>
      <c r="AF1245" s="187"/>
      <c r="AG1245" s="187"/>
      <c r="AH1245" s="187"/>
      <c r="AI1245" s="187"/>
      <c r="AJ1245" s="187"/>
      <c r="AK1245" s="187"/>
      <c r="AL1245" s="187"/>
    </row>
    <row r="1246" spans="2:38" ht="12.75" customHeight="1">
      <c r="B1246" s="6"/>
      <c r="C1246" s="20"/>
      <c r="D1246" s="12"/>
      <c r="E1246" s="12"/>
      <c r="F1246" s="12"/>
      <c r="G1246" s="12"/>
      <c r="H1246" s="20"/>
      <c r="I1246" s="187"/>
      <c r="J1246" s="187"/>
      <c r="K1246" s="187"/>
      <c r="L1246" s="187"/>
      <c r="M1246" s="187"/>
      <c r="N1246" s="187"/>
      <c r="O1246" s="187"/>
      <c r="P1246" s="187"/>
      <c r="Q1246" s="187"/>
      <c r="R1246" s="187"/>
      <c r="S1246" s="187"/>
      <c r="T1246" s="187"/>
      <c r="U1246" s="187"/>
      <c r="V1246" s="187"/>
      <c r="W1246" s="187"/>
      <c r="X1246" s="187"/>
      <c r="Y1246" s="187"/>
      <c r="Z1246" s="187"/>
      <c r="AA1246" s="187"/>
      <c r="AB1246" s="187"/>
      <c r="AC1246" s="187"/>
      <c r="AD1246" s="187"/>
      <c r="AE1246" s="187"/>
      <c r="AF1246" s="187"/>
      <c r="AG1246" s="187"/>
      <c r="AH1246" s="187"/>
      <c r="AI1246" s="187"/>
      <c r="AJ1246" s="187"/>
      <c r="AK1246" s="187"/>
      <c r="AL1246" s="187"/>
    </row>
    <row r="1247" spans="2:38" ht="12.75" customHeight="1">
      <c r="B1247" s="6"/>
      <c r="C1247" s="20"/>
      <c r="D1247" s="12"/>
      <c r="E1247" s="12"/>
      <c r="F1247" s="12"/>
      <c r="G1247" s="12"/>
      <c r="H1247" s="20"/>
      <c r="I1247" s="187"/>
      <c r="J1247" s="187"/>
      <c r="K1247" s="187"/>
      <c r="L1247" s="187"/>
      <c r="M1247" s="187"/>
      <c r="N1247" s="187"/>
      <c r="O1247" s="187"/>
      <c r="P1247" s="187"/>
      <c r="Q1247" s="187"/>
      <c r="R1247" s="187"/>
      <c r="S1247" s="187"/>
      <c r="T1247" s="187"/>
      <c r="U1247" s="187"/>
      <c r="V1247" s="187"/>
      <c r="W1247" s="187"/>
      <c r="X1247" s="187"/>
      <c r="Y1247" s="187"/>
      <c r="Z1247" s="187"/>
      <c r="AA1247" s="187"/>
      <c r="AB1247" s="187"/>
      <c r="AC1247" s="187"/>
      <c r="AD1247" s="187"/>
      <c r="AE1247" s="187"/>
      <c r="AF1247" s="187"/>
      <c r="AG1247" s="187"/>
      <c r="AH1247" s="187"/>
      <c r="AI1247" s="187"/>
      <c r="AJ1247" s="187"/>
      <c r="AK1247" s="187"/>
      <c r="AL1247" s="187"/>
    </row>
    <row r="1248" spans="2:38" ht="12.75" customHeight="1">
      <c r="B1248" s="6"/>
      <c r="C1248" s="20"/>
      <c r="D1248" s="12"/>
      <c r="E1248" s="12"/>
      <c r="F1248" s="12"/>
      <c r="G1248" s="12"/>
      <c r="H1248" s="20"/>
      <c r="I1248" s="187"/>
      <c r="J1248" s="187"/>
      <c r="K1248" s="187"/>
      <c r="L1248" s="187"/>
      <c r="M1248" s="187"/>
      <c r="N1248" s="187"/>
      <c r="O1248" s="187"/>
      <c r="P1248" s="187"/>
      <c r="Q1248" s="187"/>
      <c r="R1248" s="187"/>
      <c r="S1248" s="187"/>
      <c r="T1248" s="187"/>
      <c r="U1248" s="187"/>
      <c r="V1248" s="187"/>
      <c r="W1248" s="187"/>
      <c r="X1248" s="187"/>
      <c r="Y1248" s="187"/>
      <c r="Z1248" s="187"/>
      <c r="AA1248" s="187"/>
      <c r="AB1248" s="187"/>
      <c r="AC1248" s="187"/>
      <c r="AD1248" s="187"/>
      <c r="AE1248" s="187"/>
      <c r="AF1248" s="187"/>
      <c r="AG1248" s="187"/>
      <c r="AH1248" s="187"/>
      <c r="AI1248" s="187"/>
      <c r="AJ1248" s="187"/>
      <c r="AK1248" s="187"/>
      <c r="AL1248" s="187"/>
    </row>
    <row r="1249" spans="2:38" ht="12.75" customHeight="1">
      <c r="B1249" s="6"/>
      <c r="C1249" s="20"/>
      <c r="D1249" s="12"/>
      <c r="E1249" s="12"/>
      <c r="F1249" s="12"/>
      <c r="G1249" s="12"/>
      <c r="H1249" s="20"/>
      <c r="I1249" s="187"/>
      <c r="J1249" s="187"/>
      <c r="K1249" s="187"/>
      <c r="L1249" s="187"/>
      <c r="M1249" s="187"/>
      <c r="N1249" s="187"/>
      <c r="O1249" s="187"/>
      <c r="P1249" s="187"/>
      <c r="Q1249" s="187"/>
      <c r="R1249" s="187"/>
      <c r="S1249" s="187"/>
      <c r="T1249" s="187"/>
      <c r="U1249" s="187"/>
      <c r="V1249" s="187"/>
      <c r="W1249" s="187"/>
      <c r="X1249" s="187"/>
      <c r="Y1249" s="187"/>
      <c r="Z1249" s="187"/>
      <c r="AA1249" s="187"/>
      <c r="AB1249" s="187"/>
      <c r="AC1249" s="187"/>
      <c r="AD1249" s="187"/>
      <c r="AE1249" s="187"/>
      <c r="AF1249" s="187"/>
      <c r="AG1249" s="187"/>
      <c r="AH1249" s="187"/>
      <c r="AI1249" s="187"/>
      <c r="AJ1249" s="187"/>
      <c r="AK1249" s="187"/>
      <c r="AL1249" s="187"/>
    </row>
    <row r="1250" spans="2:38" ht="12.75" customHeight="1">
      <c r="B1250" s="6"/>
      <c r="C1250" s="20"/>
      <c r="D1250" s="12"/>
      <c r="E1250" s="12"/>
      <c r="F1250" s="12"/>
      <c r="G1250" s="12"/>
      <c r="H1250" s="20"/>
      <c r="I1250" s="187"/>
      <c r="J1250" s="187"/>
      <c r="K1250" s="187"/>
      <c r="L1250" s="187"/>
      <c r="M1250" s="187"/>
      <c r="N1250" s="187"/>
      <c r="O1250" s="187"/>
      <c r="P1250" s="187"/>
      <c r="Q1250" s="187"/>
      <c r="R1250" s="187"/>
      <c r="S1250" s="187"/>
      <c r="T1250" s="187"/>
      <c r="U1250" s="187"/>
      <c r="V1250" s="187"/>
      <c r="W1250" s="187"/>
      <c r="X1250" s="187"/>
      <c r="Y1250" s="187"/>
      <c r="Z1250" s="187"/>
      <c r="AA1250" s="187"/>
      <c r="AB1250" s="187"/>
      <c r="AC1250" s="187"/>
      <c r="AD1250" s="187"/>
      <c r="AE1250" s="187"/>
      <c r="AF1250" s="187"/>
      <c r="AG1250" s="187"/>
      <c r="AH1250" s="187"/>
      <c r="AI1250" s="187"/>
      <c r="AJ1250" s="187"/>
      <c r="AK1250" s="187"/>
      <c r="AL1250" s="187"/>
    </row>
    <row r="1251" spans="2:38" ht="12.75" customHeight="1">
      <c r="B1251" s="6"/>
      <c r="C1251" s="20"/>
      <c r="D1251" s="12"/>
      <c r="E1251" s="12"/>
      <c r="F1251" s="12"/>
      <c r="G1251" s="12"/>
      <c r="H1251" s="20"/>
      <c r="I1251" s="187"/>
      <c r="J1251" s="187"/>
      <c r="K1251" s="187"/>
      <c r="L1251" s="187"/>
      <c r="M1251" s="187"/>
      <c r="N1251" s="187"/>
      <c r="O1251" s="187"/>
      <c r="P1251" s="187"/>
      <c r="Q1251" s="187"/>
      <c r="R1251" s="187"/>
      <c r="S1251" s="187"/>
      <c r="T1251" s="187"/>
      <c r="U1251" s="187"/>
      <c r="V1251" s="187"/>
      <c r="W1251" s="187"/>
      <c r="X1251" s="187"/>
      <c r="Y1251" s="187"/>
      <c r="Z1251" s="187"/>
      <c r="AA1251" s="187"/>
      <c r="AB1251" s="187"/>
      <c r="AC1251" s="187"/>
      <c r="AD1251" s="187"/>
      <c r="AE1251" s="187"/>
      <c r="AF1251" s="187"/>
      <c r="AG1251" s="187"/>
      <c r="AH1251" s="187"/>
      <c r="AI1251" s="187"/>
      <c r="AJ1251" s="187"/>
      <c r="AK1251" s="187"/>
      <c r="AL1251" s="187"/>
    </row>
    <row r="1252" spans="2:38" ht="12.75" customHeight="1">
      <c r="B1252" s="6"/>
      <c r="C1252" s="20"/>
      <c r="D1252" s="12"/>
      <c r="E1252" s="12"/>
      <c r="F1252" s="12"/>
      <c r="G1252" s="12"/>
      <c r="H1252" s="20"/>
      <c r="I1252" s="187"/>
      <c r="J1252" s="187"/>
      <c r="K1252" s="187"/>
      <c r="L1252" s="187"/>
      <c r="M1252" s="187"/>
      <c r="N1252" s="187"/>
      <c r="O1252" s="187"/>
      <c r="P1252" s="187"/>
      <c r="Q1252" s="187"/>
      <c r="R1252" s="187"/>
      <c r="S1252" s="187"/>
      <c r="T1252" s="187"/>
      <c r="U1252" s="187"/>
      <c r="V1252" s="187"/>
      <c r="W1252" s="187"/>
      <c r="X1252" s="187"/>
      <c r="Y1252" s="187"/>
      <c r="Z1252" s="187"/>
      <c r="AA1252" s="187"/>
      <c r="AB1252" s="187"/>
      <c r="AC1252" s="187"/>
      <c r="AD1252" s="187"/>
      <c r="AE1252" s="187"/>
      <c r="AF1252" s="187"/>
      <c r="AG1252" s="187"/>
      <c r="AH1252" s="187"/>
      <c r="AI1252" s="187"/>
      <c r="AJ1252" s="187"/>
      <c r="AK1252" s="187"/>
      <c r="AL1252" s="187"/>
    </row>
    <row r="1253" spans="2:38" ht="12.75" customHeight="1">
      <c r="B1253" s="6"/>
      <c r="C1253" s="20"/>
      <c r="D1253" s="12"/>
      <c r="E1253" s="12"/>
      <c r="F1253" s="12"/>
      <c r="G1253" s="12"/>
      <c r="H1253" s="20"/>
      <c r="I1253" s="187"/>
      <c r="J1253" s="187"/>
      <c r="K1253" s="187"/>
      <c r="L1253" s="187"/>
      <c r="M1253" s="187"/>
      <c r="N1253" s="187"/>
      <c r="O1253" s="187"/>
      <c r="P1253" s="187"/>
      <c r="Q1253" s="187"/>
      <c r="R1253" s="187"/>
      <c r="S1253" s="187"/>
      <c r="T1253" s="187"/>
      <c r="U1253" s="187"/>
      <c r="V1253" s="187"/>
      <c r="W1253" s="187"/>
      <c r="X1253" s="187"/>
      <c r="Y1253" s="187"/>
      <c r="Z1253" s="187"/>
      <c r="AA1253" s="187"/>
      <c r="AB1253" s="187"/>
      <c r="AC1253" s="187"/>
      <c r="AD1253" s="187"/>
      <c r="AE1253" s="187"/>
      <c r="AF1253" s="187"/>
      <c r="AG1253" s="187"/>
      <c r="AH1253" s="187"/>
      <c r="AI1253" s="187"/>
      <c r="AJ1253" s="187"/>
      <c r="AK1253" s="187"/>
      <c r="AL1253" s="187"/>
    </row>
    <row r="1254" spans="2:38" ht="12.75" customHeight="1">
      <c r="B1254" s="6"/>
      <c r="C1254" s="6"/>
      <c r="D1254" s="12"/>
      <c r="E1254" s="12"/>
      <c r="F1254" s="12"/>
      <c r="G1254" s="6"/>
      <c r="H1254" s="6"/>
      <c r="I1254" s="190"/>
      <c r="J1254" s="190"/>
      <c r="K1254" s="190"/>
      <c r="L1254" s="190"/>
      <c r="M1254" s="190"/>
      <c r="N1254" s="190"/>
      <c r="O1254" s="190"/>
      <c r="P1254" s="190"/>
      <c r="Q1254" s="190"/>
      <c r="R1254" s="190"/>
      <c r="S1254" s="190"/>
      <c r="T1254" s="190"/>
      <c r="U1254" s="190"/>
      <c r="V1254" s="190"/>
      <c r="W1254" s="190"/>
      <c r="X1254" s="190"/>
      <c r="Y1254" s="190"/>
      <c r="Z1254" s="190"/>
      <c r="AA1254" s="190"/>
      <c r="AB1254" s="190"/>
      <c r="AC1254" s="190"/>
      <c r="AD1254" s="190"/>
      <c r="AE1254" s="190"/>
      <c r="AF1254" s="190"/>
      <c r="AG1254" s="190"/>
      <c r="AH1254" s="190"/>
      <c r="AI1254" s="190"/>
      <c r="AJ1254" s="190"/>
      <c r="AK1254" s="190"/>
      <c r="AL1254" s="190"/>
    </row>
    <row r="1255" spans="2:38" ht="12.75" customHeight="1">
      <c r="B1255" s="6"/>
      <c r="C1255" s="6"/>
      <c r="D1255" s="12"/>
      <c r="E1255" s="12"/>
      <c r="F1255" s="12"/>
      <c r="G1255" s="12"/>
      <c r="H1255" s="6"/>
      <c r="I1255" s="7"/>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row>
    <row r="1256" spans="2:38" ht="12.75" customHeight="1">
      <c r="B1256" s="6"/>
      <c r="C1256" s="6"/>
      <c r="D1256" s="12"/>
      <c r="E1256" s="12"/>
      <c r="F1256" s="12"/>
      <c r="G1256" s="12"/>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row>
    <row r="1257" spans="2:38" ht="12.75" customHeight="1">
      <c r="B1257" s="6"/>
      <c r="C1257" s="6"/>
      <c r="D1257" s="12"/>
      <c r="E1257" s="12"/>
      <c r="F1257" s="12"/>
      <c r="G1257" s="12"/>
      <c r="H1257" s="6"/>
      <c r="I1257" s="7"/>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row>
    <row r="1258" spans="2:38" ht="12.75" customHeight="1">
      <c r="B1258" s="6"/>
      <c r="C1258" s="6"/>
      <c r="D1258" s="12"/>
      <c r="E1258" s="12"/>
      <c r="F1258" s="12"/>
      <c r="G1258" s="12"/>
      <c r="H1258" s="6"/>
      <c r="I1258" s="190"/>
      <c r="J1258" s="190"/>
      <c r="K1258" s="190"/>
      <c r="L1258" s="190"/>
      <c r="M1258" s="190"/>
      <c r="N1258" s="190"/>
      <c r="O1258" s="190"/>
      <c r="P1258" s="190"/>
      <c r="Q1258" s="190"/>
      <c r="R1258" s="190"/>
      <c r="S1258" s="190"/>
      <c r="T1258" s="190"/>
      <c r="U1258" s="190"/>
      <c r="V1258" s="190"/>
      <c r="W1258" s="190"/>
      <c r="X1258" s="190"/>
      <c r="Y1258" s="190"/>
      <c r="Z1258" s="190"/>
      <c r="AA1258" s="190"/>
      <c r="AB1258" s="190"/>
      <c r="AC1258" s="190"/>
      <c r="AD1258" s="190"/>
      <c r="AE1258" s="190"/>
      <c r="AF1258" s="190"/>
      <c r="AG1258" s="190"/>
      <c r="AH1258" s="190"/>
      <c r="AI1258" s="190"/>
      <c r="AJ1258" s="190"/>
      <c r="AK1258" s="190"/>
      <c r="AL1258" s="190"/>
    </row>
    <row r="1259" spans="2:38" ht="12.75" customHeight="1">
      <c r="B1259" s="6"/>
      <c r="C1259" s="6"/>
      <c r="D1259" s="12"/>
      <c r="E1259" s="12"/>
      <c r="F1259" s="12"/>
      <c r="G1259" s="12"/>
      <c r="H1259" s="6"/>
      <c r="I1259" s="190"/>
      <c r="J1259" s="190"/>
      <c r="K1259" s="190"/>
      <c r="L1259" s="190"/>
      <c r="M1259" s="190"/>
      <c r="N1259" s="190"/>
      <c r="O1259" s="190"/>
      <c r="P1259" s="190"/>
      <c r="Q1259" s="190"/>
      <c r="R1259" s="190"/>
      <c r="S1259" s="190"/>
      <c r="T1259" s="190"/>
      <c r="U1259" s="190"/>
      <c r="V1259" s="190"/>
      <c r="W1259" s="190"/>
      <c r="X1259" s="190"/>
      <c r="Y1259" s="190"/>
      <c r="Z1259" s="190"/>
      <c r="AA1259" s="190"/>
      <c r="AB1259" s="190"/>
      <c r="AC1259" s="190"/>
      <c r="AD1259" s="190"/>
      <c r="AE1259" s="190"/>
      <c r="AF1259" s="190"/>
      <c r="AG1259" s="190"/>
      <c r="AH1259" s="190"/>
      <c r="AI1259" s="190"/>
      <c r="AJ1259" s="190"/>
      <c r="AK1259" s="190"/>
      <c r="AL1259" s="190"/>
    </row>
    <row r="1260" spans="2:38" ht="12.75" customHeight="1">
      <c r="B1260" s="6"/>
      <c r="C1260" s="6"/>
      <c r="D1260" s="12"/>
      <c r="E1260" s="12"/>
      <c r="F1260" s="12"/>
      <c r="G1260" s="12"/>
      <c r="H1260" s="6"/>
      <c r="I1260" s="190"/>
      <c r="J1260" s="190"/>
      <c r="K1260" s="190"/>
      <c r="L1260" s="190"/>
      <c r="M1260" s="190"/>
      <c r="N1260" s="190"/>
      <c r="O1260" s="190"/>
      <c r="P1260" s="190"/>
      <c r="Q1260" s="190"/>
      <c r="R1260" s="190"/>
      <c r="S1260" s="190"/>
      <c r="T1260" s="190"/>
      <c r="U1260" s="190"/>
      <c r="V1260" s="190"/>
      <c r="W1260" s="190"/>
      <c r="X1260" s="190"/>
      <c r="Y1260" s="190"/>
      <c r="Z1260" s="190"/>
      <c r="AA1260" s="190"/>
      <c r="AB1260" s="190"/>
      <c r="AC1260" s="190"/>
      <c r="AD1260" s="190"/>
      <c r="AE1260" s="190"/>
      <c r="AF1260" s="190"/>
      <c r="AG1260" s="190"/>
      <c r="AH1260" s="190"/>
      <c r="AI1260" s="190"/>
      <c r="AJ1260" s="190"/>
      <c r="AK1260" s="190"/>
      <c r="AL1260" s="190"/>
    </row>
    <row r="1261" spans="2:38" ht="12.75" customHeight="1">
      <c r="B1261" s="6"/>
      <c r="C1261" s="6"/>
      <c r="D1261" s="12"/>
      <c r="E1261" s="12"/>
      <c r="F1261" s="12"/>
      <c r="G1261" s="12"/>
      <c r="H1261" s="6"/>
      <c r="I1261" s="190"/>
      <c r="J1261" s="190"/>
      <c r="K1261" s="190"/>
      <c r="L1261" s="190"/>
      <c r="M1261" s="190"/>
      <c r="N1261" s="190"/>
      <c r="O1261" s="190"/>
      <c r="P1261" s="190"/>
      <c r="Q1261" s="190"/>
      <c r="R1261" s="190"/>
      <c r="S1261" s="190"/>
      <c r="T1261" s="190"/>
      <c r="U1261" s="190"/>
      <c r="V1261" s="190"/>
      <c r="W1261" s="190"/>
      <c r="X1261" s="190"/>
      <c r="Y1261" s="190"/>
      <c r="Z1261" s="190"/>
      <c r="AA1261" s="190"/>
      <c r="AB1261" s="190"/>
      <c r="AC1261" s="190"/>
      <c r="AD1261" s="190"/>
      <c r="AE1261" s="190"/>
      <c r="AF1261" s="190"/>
      <c r="AG1261" s="190"/>
      <c r="AH1261" s="190"/>
      <c r="AI1261" s="190"/>
      <c r="AJ1261" s="190"/>
      <c r="AK1261" s="190"/>
      <c r="AL1261" s="190"/>
    </row>
    <row r="1262" spans="2:38" ht="12.75" customHeight="1">
      <c r="B1262" s="6"/>
      <c r="C1262" s="6"/>
      <c r="D1262" s="12"/>
      <c r="E1262" s="12"/>
      <c r="F1262" s="12"/>
      <c r="G1262" s="12"/>
      <c r="H1262" s="6"/>
      <c r="I1262" s="190"/>
      <c r="J1262" s="190"/>
      <c r="K1262" s="190"/>
      <c r="L1262" s="190"/>
      <c r="M1262" s="190"/>
      <c r="N1262" s="190"/>
      <c r="O1262" s="190"/>
      <c r="P1262" s="190"/>
      <c r="Q1262" s="190"/>
      <c r="R1262" s="190"/>
      <c r="S1262" s="190"/>
      <c r="T1262" s="190"/>
      <c r="U1262" s="190"/>
      <c r="V1262" s="190"/>
      <c r="W1262" s="190"/>
      <c r="X1262" s="190"/>
      <c r="Y1262" s="190"/>
      <c r="Z1262" s="190"/>
      <c r="AA1262" s="190"/>
      <c r="AB1262" s="190"/>
      <c r="AC1262" s="190"/>
      <c r="AD1262" s="190"/>
      <c r="AE1262" s="190"/>
      <c r="AF1262" s="190"/>
      <c r="AG1262" s="190"/>
      <c r="AH1262" s="190"/>
      <c r="AI1262" s="190"/>
      <c r="AJ1262" s="190"/>
      <c r="AK1262" s="190"/>
      <c r="AL1262" s="190"/>
    </row>
    <row r="1263" spans="2:38" ht="12.75" customHeight="1">
      <c r="B1263" s="6"/>
      <c r="C1263" s="6"/>
      <c r="D1263" s="12"/>
      <c r="E1263" s="12"/>
      <c r="F1263" s="12"/>
      <c r="G1263" s="12"/>
      <c r="H1263" s="6"/>
      <c r="I1263" s="190"/>
      <c r="J1263" s="190"/>
      <c r="K1263" s="190"/>
      <c r="L1263" s="190"/>
      <c r="M1263" s="190"/>
      <c r="N1263" s="190"/>
      <c r="O1263" s="190"/>
      <c r="P1263" s="190"/>
      <c r="Q1263" s="190"/>
      <c r="R1263" s="190"/>
      <c r="S1263" s="190"/>
      <c r="T1263" s="190"/>
      <c r="U1263" s="190"/>
      <c r="V1263" s="190"/>
      <c r="W1263" s="190"/>
      <c r="X1263" s="190"/>
      <c r="Y1263" s="190"/>
      <c r="Z1263" s="190"/>
      <c r="AA1263" s="190"/>
      <c r="AB1263" s="190"/>
      <c r="AC1263" s="190"/>
      <c r="AD1263" s="190"/>
      <c r="AE1263" s="190"/>
      <c r="AF1263" s="190"/>
      <c r="AG1263" s="190"/>
      <c r="AH1263" s="190"/>
      <c r="AI1263" s="190"/>
      <c r="AJ1263" s="190"/>
      <c r="AK1263" s="190"/>
      <c r="AL1263" s="190"/>
    </row>
    <row r="1264" spans="2:38" ht="12.75" customHeight="1">
      <c r="B1264" s="6"/>
      <c r="C1264" s="6"/>
      <c r="D1264" s="12"/>
      <c r="E1264" s="12"/>
      <c r="F1264" s="12"/>
      <c r="G1264" s="12"/>
      <c r="H1264" s="6"/>
      <c r="I1264" s="190"/>
      <c r="J1264" s="190"/>
      <c r="K1264" s="190"/>
      <c r="L1264" s="190"/>
      <c r="M1264" s="190"/>
      <c r="N1264" s="190"/>
      <c r="O1264" s="190"/>
      <c r="P1264" s="190"/>
      <c r="Q1264" s="190"/>
      <c r="R1264" s="190"/>
      <c r="S1264" s="190"/>
      <c r="T1264" s="190"/>
      <c r="U1264" s="190"/>
      <c r="V1264" s="190"/>
      <c r="W1264" s="190"/>
      <c r="X1264" s="190"/>
      <c r="Y1264" s="190"/>
      <c r="Z1264" s="190"/>
      <c r="AA1264" s="190"/>
      <c r="AB1264" s="190"/>
      <c r="AC1264" s="190"/>
      <c r="AD1264" s="190"/>
      <c r="AE1264" s="190"/>
      <c r="AF1264" s="190"/>
      <c r="AG1264" s="190"/>
      <c r="AH1264" s="190"/>
      <c r="AI1264" s="190"/>
      <c r="AJ1264" s="190"/>
      <c r="AK1264" s="190"/>
      <c r="AL1264" s="190"/>
    </row>
    <row r="1265" spans="2:38" ht="12.75" customHeight="1">
      <c r="B1265" s="6"/>
      <c r="C1265" s="6"/>
      <c r="D1265" s="12"/>
      <c r="E1265" s="12"/>
      <c r="F1265" s="12"/>
      <c r="G1265" s="12"/>
      <c r="H1265" s="6"/>
      <c r="I1265" s="190"/>
      <c r="J1265" s="190"/>
      <c r="K1265" s="190"/>
      <c r="L1265" s="190"/>
      <c r="M1265" s="190"/>
      <c r="N1265" s="190"/>
      <c r="O1265" s="190"/>
      <c r="P1265" s="190"/>
      <c r="Q1265" s="190"/>
      <c r="R1265" s="190"/>
      <c r="S1265" s="190"/>
      <c r="T1265" s="190"/>
      <c r="U1265" s="190"/>
      <c r="V1265" s="190"/>
      <c r="W1265" s="190"/>
      <c r="X1265" s="190"/>
      <c r="Y1265" s="190"/>
      <c r="Z1265" s="190"/>
      <c r="AA1265" s="190"/>
      <c r="AB1265" s="190"/>
      <c r="AC1265" s="190"/>
      <c r="AD1265" s="190"/>
      <c r="AE1265" s="190"/>
      <c r="AF1265" s="190"/>
      <c r="AG1265" s="190"/>
      <c r="AH1265" s="190"/>
      <c r="AI1265" s="190"/>
      <c r="AJ1265" s="190"/>
      <c r="AK1265" s="190"/>
      <c r="AL1265" s="190"/>
    </row>
    <row r="1266" spans="2:38" ht="12.75" customHeight="1">
      <c r="B1266" s="6"/>
      <c r="C1266" s="6"/>
      <c r="D1266" s="12"/>
      <c r="E1266" s="12"/>
      <c r="F1266" s="12"/>
      <c r="G1266" s="12"/>
      <c r="H1266" s="6"/>
      <c r="I1266" s="190"/>
      <c r="J1266" s="190"/>
      <c r="K1266" s="190"/>
      <c r="L1266" s="190"/>
      <c r="M1266" s="190"/>
      <c r="N1266" s="190"/>
      <c r="O1266" s="190"/>
      <c r="P1266" s="190"/>
      <c r="Q1266" s="190"/>
      <c r="R1266" s="190"/>
      <c r="S1266" s="190"/>
      <c r="T1266" s="190"/>
      <c r="U1266" s="190"/>
      <c r="V1266" s="190"/>
      <c r="W1266" s="190"/>
      <c r="X1266" s="190"/>
      <c r="Y1266" s="190"/>
      <c r="Z1266" s="190"/>
      <c r="AA1266" s="190"/>
      <c r="AB1266" s="190"/>
      <c r="AC1266" s="190"/>
      <c r="AD1266" s="190"/>
      <c r="AE1266" s="190"/>
      <c r="AF1266" s="190"/>
      <c r="AG1266" s="190"/>
      <c r="AH1266" s="190"/>
      <c r="AI1266" s="190"/>
      <c r="AJ1266" s="190"/>
      <c r="AK1266" s="190"/>
      <c r="AL1266" s="190"/>
    </row>
    <row r="1267" spans="2:38" ht="12.75" customHeight="1">
      <c r="B1267" s="6"/>
      <c r="C1267" s="6"/>
      <c r="D1267" s="12"/>
      <c r="E1267" s="12"/>
      <c r="F1267" s="12"/>
      <c r="G1267" s="12"/>
      <c r="H1267" s="6"/>
      <c r="I1267" s="190"/>
      <c r="J1267" s="190"/>
      <c r="K1267" s="190"/>
      <c r="L1267" s="190"/>
      <c r="M1267" s="190"/>
      <c r="N1267" s="190"/>
      <c r="O1267" s="190"/>
      <c r="P1267" s="190"/>
      <c r="Q1267" s="190"/>
      <c r="R1267" s="190"/>
      <c r="S1267" s="190"/>
      <c r="T1267" s="190"/>
      <c r="U1267" s="190"/>
      <c r="V1267" s="190"/>
      <c r="W1267" s="190"/>
      <c r="X1267" s="190"/>
      <c r="Y1267" s="190"/>
      <c r="Z1267" s="190"/>
      <c r="AA1267" s="190"/>
      <c r="AB1267" s="190"/>
      <c r="AC1267" s="190"/>
      <c r="AD1267" s="190"/>
      <c r="AE1267" s="190"/>
      <c r="AF1267" s="190"/>
      <c r="AG1267" s="190"/>
      <c r="AH1267" s="190"/>
      <c r="AI1267" s="190"/>
      <c r="AJ1267" s="190"/>
      <c r="AK1267" s="190"/>
      <c r="AL1267" s="190"/>
    </row>
    <row r="1268" spans="2:38" ht="12.75" customHeight="1">
      <c r="B1268" s="6"/>
      <c r="C1268" s="6"/>
      <c r="D1268" s="12"/>
      <c r="E1268" s="12"/>
      <c r="F1268" s="12"/>
      <c r="G1268" s="12"/>
      <c r="H1268" s="6"/>
      <c r="I1268" s="190"/>
      <c r="J1268" s="190"/>
      <c r="K1268" s="190"/>
      <c r="L1268" s="190"/>
      <c r="M1268" s="190"/>
      <c r="N1268" s="190"/>
      <c r="O1268" s="190"/>
      <c r="P1268" s="190"/>
      <c r="Q1268" s="190"/>
      <c r="R1268" s="190"/>
      <c r="S1268" s="190"/>
      <c r="T1268" s="190"/>
      <c r="U1268" s="190"/>
      <c r="V1268" s="190"/>
      <c r="W1268" s="190"/>
      <c r="X1268" s="190"/>
      <c r="Y1268" s="190"/>
      <c r="Z1268" s="190"/>
      <c r="AA1268" s="190"/>
      <c r="AB1268" s="190"/>
      <c r="AC1268" s="190"/>
      <c r="AD1268" s="190"/>
      <c r="AE1268" s="190"/>
      <c r="AF1268" s="190"/>
      <c r="AG1268" s="190"/>
      <c r="AH1268" s="190"/>
      <c r="AI1268" s="190"/>
      <c r="AJ1268" s="190"/>
      <c r="AK1268" s="190"/>
      <c r="AL1268" s="190"/>
    </row>
    <row r="1269" spans="2:38" ht="12.75" customHeight="1">
      <c r="B1269" s="6"/>
      <c r="C1269" s="6"/>
      <c r="D1269" s="12"/>
      <c r="E1269" s="12"/>
      <c r="F1269" s="12"/>
      <c r="G1269" s="12"/>
      <c r="H1269" s="6"/>
      <c r="I1269" s="190"/>
      <c r="J1269" s="190"/>
      <c r="K1269" s="190"/>
      <c r="L1269" s="190"/>
      <c r="M1269" s="190"/>
      <c r="N1269" s="190"/>
      <c r="O1269" s="190"/>
      <c r="P1269" s="190"/>
      <c r="Q1269" s="190"/>
      <c r="R1269" s="190"/>
      <c r="S1269" s="190"/>
      <c r="T1269" s="190"/>
      <c r="U1269" s="190"/>
      <c r="V1269" s="190"/>
      <c r="W1269" s="190"/>
      <c r="X1269" s="190"/>
      <c r="Y1269" s="190"/>
      <c r="Z1269" s="190"/>
      <c r="AA1269" s="190"/>
      <c r="AB1269" s="190"/>
      <c r="AC1269" s="190"/>
      <c r="AD1269" s="190"/>
      <c r="AE1269" s="190"/>
      <c r="AF1269" s="190"/>
      <c r="AG1269" s="190"/>
      <c r="AH1269" s="190"/>
      <c r="AI1269" s="190"/>
      <c r="AJ1269" s="190"/>
      <c r="AK1269" s="190"/>
      <c r="AL1269" s="190"/>
    </row>
    <row r="1270" spans="2:38" ht="12.75" customHeight="1">
      <c r="B1270" s="6"/>
      <c r="C1270" s="6"/>
      <c r="D1270" s="12"/>
      <c r="E1270" s="12"/>
      <c r="F1270" s="12"/>
      <c r="G1270" s="12"/>
      <c r="H1270" s="6"/>
      <c r="I1270" s="190"/>
      <c r="J1270" s="190"/>
      <c r="K1270" s="190"/>
      <c r="L1270" s="190"/>
      <c r="M1270" s="190"/>
      <c r="N1270" s="190"/>
      <c r="O1270" s="190"/>
      <c r="P1270" s="190"/>
      <c r="Q1270" s="190"/>
      <c r="R1270" s="190"/>
      <c r="S1270" s="190"/>
      <c r="T1270" s="190"/>
      <c r="U1270" s="190"/>
      <c r="V1270" s="190"/>
      <c r="W1270" s="190"/>
      <c r="X1270" s="190"/>
      <c r="Y1270" s="190"/>
      <c r="Z1270" s="190"/>
      <c r="AA1270" s="190"/>
      <c r="AB1270" s="190"/>
      <c r="AC1270" s="190"/>
      <c r="AD1270" s="190"/>
      <c r="AE1270" s="190"/>
      <c r="AF1270" s="190"/>
      <c r="AG1270" s="190"/>
      <c r="AH1270" s="190"/>
      <c r="AI1270" s="190"/>
      <c r="AJ1270" s="190"/>
      <c r="AK1270" s="190"/>
      <c r="AL1270" s="190"/>
    </row>
    <row r="1271" spans="2:38" ht="12.75" customHeight="1">
      <c r="B1271" s="6"/>
      <c r="C1271" s="6"/>
      <c r="D1271" s="12"/>
      <c r="E1271" s="12"/>
      <c r="F1271" s="12"/>
      <c r="G1271" s="12"/>
      <c r="H1271" s="6"/>
      <c r="I1271" s="190"/>
      <c r="J1271" s="190"/>
      <c r="K1271" s="190"/>
      <c r="L1271" s="190"/>
      <c r="M1271" s="190"/>
      <c r="N1271" s="190"/>
      <c r="O1271" s="190"/>
      <c r="P1271" s="190"/>
      <c r="Q1271" s="190"/>
      <c r="R1271" s="190"/>
      <c r="S1271" s="190"/>
      <c r="T1271" s="190"/>
      <c r="U1271" s="190"/>
      <c r="V1271" s="190"/>
      <c r="W1271" s="190"/>
      <c r="X1271" s="190"/>
      <c r="Y1271" s="190"/>
      <c r="Z1271" s="190"/>
      <c r="AA1271" s="190"/>
      <c r="AB1271" s="190"/>
      <c r="AC1271" s="190"/>
      <c r="AD1271" s="190"/>
      <c r="AE1271" s="190"/>
      <c r="AF1271" s="190"/>
      <c r="AG1271" s="190"/>
      <c r="AH1271" s="190"/>
      <c r="AI1271" s="190"/>
      <c r="AJ1271" s="190"/>
      <c r="AK1271" s="190"/>
      <c r="AL1271" s="190"/>
    </row>
    <row r="1272" spans="2:38" ht="12.75" customHeight="1">
      <c r="B1272" s="6"/>
      <c r="C1272" s="6"/>
      <c r="D1272" s="12"/>
      <c r="E1272" s="12"/>
      <c r="F1272" s="12"/>
      <c r="G1272" s="12"/>
      <c r="H1272" s="6"/>
      <c r="I1272" s="190"/>
      <c r="J1272" s="190"/>
      <c r="K1272" s="190"/>
      <c r="L1272" s="190"/>
      <c r="M1272" s="190"/>
      <c r="N1272" s="190"/>
      <c r="O1272" s="190"/>
      <c r="P1272" s="190"/>
      <c r="Q1272" s="190"/>
      <c r="R1272" s="190"/>
      <c r="S1272" s="190"/>
      <c r="T1272" s="190"/>
      <c r="U1272" s="190"/>
      <c r="V1272" s="190"/>
      <c r="W1272" s="190"/>
      <c r="X1272" s="190"/>
      <c r="Y1272" s="190"/>
      <c r="Z1272" s="190"/>
      <c r="AA1272" s="190"/>
      <c r="AB1272" s="190"/>
      <c r="AC1272" s="190"/>
      <c r="AD1272" s="190"/>
      <c r="AE1272" s="190"/>
      <c r="AF1272" s="190"/>
      <c r="AG1272" s="190"/>
      <c r="AH1272" s="190"/>
      <c r="AI1272" s="190"/>
      <c r="AJ1272" s="190"/>
      <c r="AK1272" s="190"/>
      <c r="AL1272" s="190"/>
    </row>
    <row r="1273" spans="2:38" ht="12.75" customHeight="1">
      <c r="B1273" s="6"/>
      <c r="C1273" s="6"/>
      <c r="D1273" s="12"/>
      <c r="E1273" s="12"/>
      <c r="F1273" s="12"/>
      <c r="G1273" s="12"/>
      <c r="H1273" s="6"/>
      <c r="I1273" s="190"/>
      <c r="J1273" s="190"/>
      <c r="K1273" s="190"/>
      <c r="L1273" s="190"/>
      <c r="M1273" s="190"/>
      <c r="N1273" s="190"/>
      <c r="O1273" s="190"/>
      <c r="P1273" s="190"/>
      <c r="Q1273" s="190"/>
      <c r="R1273" s="190"/>
      <c r="S1273" s="190"/>
      <c r="T1273" s="190"/>
      <c r="U1273" s="190"/>
      <c r="V1273" s="190"/>
      <c r="W1273" s="190"/>
      <c r="X1273" s="190"/>
      <c r="Y1273" s="190"/>
      <c r="Z1273" s="190"/>
      <c r="AA1273" s="190"/>
      <c r="AB1273" s="190"/>
      <c r="AC1273" s="190"/>
      <c r="AD1273" s="190"/>
      <c r="AE1273" s="190"/>
      <c r="AF1273" s="190"/>
      <c r="AG1273" s="190"/>
      <c r="AH1273" s="190"/>
      <c r="AI1273" s="190"/>
      <c r="AJ1273" s="190"/>
      <c r="AK1273" s="190"/>
      <c r="AL1273" s="190"/>
    </row>
    <row r="1274" spans="2:38" ht="12.75" customHeight="1">
      <c r="B1274" s="6"/>
      <c r="C1274" s="6"/>
      <c r="D1274" s="12"/>
      <c r="E1274" s="12"/>
      <c r="F1274" s="12"/>
      <c r="G1274" s="12"/>
      <c r="H1274" s="6"/>
      <c r="I1274" s="190"/>
      <c r="J1274" s="190"/>
      <c r="K1274" s="190"/>
      <c r="L1274" s="190"/>
      <c r="M1274" s="190"/>
      <c r="N1274" s="190"/>
      <c r="O1274" s="190"/>
      <c r="P1274" s="190"/>
      <c r="Q1274" s="190"/>
      <c r="R1274" s="190"/>
      <c r="S1274" s="190"/>
      <c r="T1274" s="190"/>
      <c r="U1274" s="190"/>
      <c r="V1274" s="190"/>
      <c r="W1274" s="190"/>
      <c r="X1274" s="190"/>
      <c r="Y1274" s="190"/>
      <c r="Z1274" s="190"/>
      <c r="AA1274" s="190"/>
      <c r="AB1274" s="190"/>
      <c r="AC1274" s="190"/>
      <c r="AD1274" s="190"/>
      <c r="AE1274" s="190"/>
      <c r="AF1274" s="190"/>
      <c r="AG1274" s="190"/>
      <c r="AH1274" s="190"/>
      <c r="AI1274" s="190"/>
      <c r="AJ1274" s="190"/>
      <c r="AK1274" s="190"/>
      <c r="AL1274" s="190"/>
    </row>
    <row r="1275" spans="2:38" ht="12.75" customHeight="1">
      <c r="B1275" s="6"/>
      <c r="C1275" s="6"/>
      <c r="D1275" s="12"/>
      <c r="E1275" s="12"/>
      <c r="F1275" s="12"/>
      <c r="G1275" s="12"/>
      <c r="H1275" s="6"/>
      <c r="I1275" s="190"/>
      <c r="J1275" s="190"/>
      <c r="K1275" s="190"/>
      <c r="L1275" s="190"/>
      <c r="M1275" s="190"/>
      <c r="N1275" s="190"/>
      <c r="O1275" s="190"/>
      <c r="P1275" s="190"/>
      <c r="Q1275" s="190"/>
      <c r="R1275" s="190"/>
      <c r="S1275" s="190"/>
      <c r="T1275" s="190"/>
      <c r="U1275" s="190"/>
      <c r="V1275" s="190"/>
      <c r="W1275" s="190"/>
      <c r="X1275" s="190"/>
      <c r="Y1275" s="190"/>
      <c r="Z1275" s="190"/>
      <c r="AA1275" s="190"/>
      <c r="AB1275" s="190"/>
      <c r="AC1275" s="190"/>
      <c r="AD1275" s="190"/>
      <c r="AE1275" s="190"/>
      <c r="AF1275" s="190"/>
      <c r="AG1275" s="190"/>
      <c r="AH1275" s="190"/>
      <c r="AI1275" s="190"/>
      <c r="AJ1275" s="190"/>
      <c r="AK1275" s="190"/>
      <c r="AL1275" s="190"/>
    </row>
    <row r="1276" spans="2:38" ht="12.75" customHeight="1">
      <c r="B1276" s="6"/>
      <c r="C1276" s="6"/>
      <c r="D1276" s="12"/>
      <c r="E1276" s="12"/>
      <c r="F1276" s="12"/>
      <c r="G1276" s="12"/>
      <c r="H1276" s="6"/>
      <c r="I1276" s="190"/>
      <c r="J1276" s="190"/>
      <c r="K1276" s="190"/>
      <c r="L1276" s="190"/>
      <c r="M1276" s="190"/>
      <c r="N1276" s="190"/>
      <c r="O1276" s="190"/>
      <c r="P1276" s="190"/>
      <c r="Q1276" s="190"/>
      <c r="R1276" s="190"/>
      <c r="S1276" s="190"/>
      <c r="T1276" s="190"/>
      <c r="U1276" s="190"/>
      <c r="V1276" s="190"/>
      <c r="W1276" s="190"/>
      <c r="X1276" s="190"/>
      <c r="Y1276" s="190"/>
      <c r="Z1276" s="190"/>
      <c r="AA1276" s="190"/>
      <c r="AB1276" s="190"/>
      <c r="AC1276" s="190"/>
      <c r="AD1276" s="190"/>
      <c r="AE1276" s="190"/>
      <c r="AF1276" s="190"/>
      <c r="AG1276" s="190"/>
      <c r="AH1276" s="190"/>
      <c r="AI1276" s="190"/>
      <c r="AJ1276" s="190"/>
      <c r="AK1276" s="190"/>
      <c r="AL1276" s="190"/>
    </row>
    <row r="1277" spans="2:38" ht="12.75" customHeight="1">
      <c r="B1277" s="6"/>
      <c r="C1277" s="6"/>
      <c r="D1277" s="12"/>
      <c r="E1277" s="12"/>
      <c r="F1277" s="12"/>
      <c r="G1277" s="12"/>
      <c r="H1277" s="6"/>
      <c r="I1277" s="190"/>
      <c r="J1277" s="190"/>
      <c r="K1277" s="190"/>
      <c r="L1277" s="190"/>
      <c r="M1277" s="190"/>
      <c r="N1277" s="190"/>
      <c r="O1277" s="190"/>
      <c r="P1277" s="190"/>
      <c r="Q1277" s="190"/>
      <c r="R1277" s="190"/>
      <c r="S1277" s="190"/>
      <c r="T1277" s="190"/>
      <c r="U1277" s="190"/>
      <c r="V1277" s="190"/>
      <c r="W1277" s="190"/>
      <c r="X1277" s="190"/>
      <c r="Y1277" s="190"/>
      <c r="Z1277" s="190"/>
      <c r="AA1277" s="190"/>
      <c r="AB1277" s="190"/>
      <c r="AC1277" s="190"/>
      <c r="AD1277" s="190"/>
      <c r="AE1277" s="190"/>
      <c r="AF1277" s="190"/>
      <c r="AG1277" s="190"/>
      <c r="AH1277" s="190"/>
      <c r="AI1277" s="190"/>
      <c r="AJ1277" s="190"/>
      <c r="AK1277" s="190"/>
      <c r="AL1277" s="190"/>
    </row>
    <row r="1278" spans="2:38" ht="12.75" customHeight="1">
      <c r="B1278" s="6"/>
      <c r="C1278" s="6"/>
      <c r="D1278" s="12"/>
      <c r="E1278" s="12"/>
      <c r="F1278" s="12"/>
      <c r="G1278" s="12"/>
      <c r="H1278" s="6"/>
      <c r="I1278" s="190"/>
      <c r="J1278" s="190"/>
      <c r="K1278" s="190"/>
      <c r="L1278" s="190"/>
      <c r="M1278" s="190"/>
      <c r="N1278" s="190"/>
      <c r="O1278" s="190"/>
      <c r="P1278" s="190"/>
      <c r="Q1278" s="190"/>
      <c r="R1278" s="190"/>
      <c r="S1278" s="190"/>
      <c r="T1278" s="190"/>
      <c r="U1278" s="190"/>
      <c r="V1278" s="190"/>
      <c r="W1278" s="190"/>
      <c r="X1278" s="190"/>
      <c r="Y1278" s="190"/>
      <c r="Z1278" s="190"/>
      <c r="AA1278" s="190"/>
      <c r="AB1278" s="190"/>
      <c r="AC1278" s="190"/>
      <c r="AD1278" s="190"/>
      <c r="AE1278" s="190"/>
      <c r="AF1278" s="190"/>
      <c r="AG1278" s="190"/>
      <c r="AH1278" s="190"/>
      <c r="AI1278" s="190"/>
      <c r="AJ1278" s="190"/>
      <c r="AK1278" s="190"/>
      <c r="AL1278" s="190"/>
    </row>
    <row r="1279" spans="2:38" ht="12.75" customHeight="1">
      <c r="B1279" s="6"/>
      <c r="C1279" s="6"/>
      <c r="D1279" s="12"/>
      <c r="E1279" s="12"/>
      <c r="F1279" s="12"/>
      <c r="G1279" s="12"/>
      <c r="H1279" s="6"/>
      <c r="I1279" s="190"/>
      <c r="J1279" s="190"/>
      <c r="K1279" s="190"/>
      <c r="L1279" s="190"/>
      <c r="M1279" s="190"/>
      <c r="N1279" s="190"/>
      <c r="O1279" s="190"/>
      <c r="P1279" s="190"/>
      <c r="Q1279" s="190"/>
      <c r="R1279" s="190"/>
      <c r="S1279" s="190"/>
      <c r="T1279" s="190"/>
      <c r="U1279" s="190"/>
      <c r="V1279" s="190"/>
      <c r="W1279" s="190"/>
      <c r="X1279" s="190"/>
      <c r="Y1279" s="190"/>
      <c r="Z1279" s="190"/>
      <c r="AA1279" s="190"/>
      <c r="AB1279" s="190"/>
      <c r="AC1279" s="190"/>
      <c r="AD1279" s="190"/>
      <c r="AE1279" s="190"/>
      <c r="AF1279" s="190"/>
      <c r="AG1279" s="190"/>
      <c r="AH1279" s="190"/>
      <c r="AI1279" s="190"/>
      <c r="AJ1279" s="190"/>
      <c r="AK1279" s="190"/>
      <c r="AL1279" s="190"/>
    </row>
    <row r="1280" spans="2:38" ht="12.75" customHeight="1">
      <c r="B1280" s="6"/>
      <c r="C1280" s="6"/>
      <c r="D1280" s="12"/>
      <c r="E1280" s="12"/>
      <c r="F1280" s="12"/>
      <c r="G1280" s="12"/>
      <c r="H1280" s="6"/>
      <c r="I1280" s="190"/>
      <c r="J1280" s="190"/>
      <c r="K1280" s="190"/>
      <c r="L1280" s="190"/>
      <c r="M1280" s="190"/>
      <c r="N1280" s="190"/>
      <c r="O1280" s="190"/>
      <c r="P1280" s="190"/>
      <c r="Q1280" s="190"/>
      <c r="R1280" s="190"/>
      <c r="S1280" s="190"/>
      <c r="T1280" s="190"/>
      <c r="U1280" s="190"/>
      <c r="V1280" s="190"/>
      <c r="W1280" s="190"/>
      <c r="X1280" s="190"/>
      <c r="Y1280" s="190"/>
      <c r="Z1280" s="190"/>
      <c r="AA1280" s="190"/>
      <c r="AB1280" s="190"/>
      <c r="AC1280" s="190"/>
      <c r="AD1280" s="190"/>
      <c r="AE1280" s="190"/>
      <c r="AF1280" s="190"/>
      <c r="AG1280" s="190"/>
      <c r="AH1280" s="190"/>
      <c r="AI1280" s="190"/>
      <c r="AJ1280" s="190"/>
      <c r="AK1280" s="190"/>
      <c r="AL1280" s="190"/>
    </row>
    <row r="1281" spans="2:38" ht="12.75" customHeight="1">
      <c r="B1281" s="6"/>
      <c r="C1281" s="6"/>
      <c r="D1281" s="12"/>
      <c r="E1281" s="12"/>
      <c r="F1281" s="12"/>
      <c r="G1281" s="12"/>
      <c r="H1281" s="6"/>
      <c r="I1281" s="190"/>
      <c r="J1281" s="190"/>
      <c r="K1281" s="190"/>
      <c r="L1281" s="190"/>
      <c r="M1281" s="190"/>
      <c r="N1281" s="190"/>
      <c r="O1281" s="190"/>
      <c r="P1281" s="190"/>
      <c r="Q1281" s="190"/>
      <c r="R1281" s="190"/>
      <c r="S1281" s="190"/>
      <c r="T1281" s="190"/>
      <c r="U1281" s="190"/>
      <c r="V1281" s="190"/>
      <c r="W1281" s="190"/>
      <c r="X1281" s="190"/>
      <c r="Y1281" s="190"/>
      <c r="Z1281" s="190"/>
      <c r="AA1281" s="190"/>
      <c r="AB1281" s="190"/>
      <c r="AC1281" s="190"/>
      <c r="AD1281" s="190"/>
      <c r="AE1281" s="190"/>
      <c r="AF1281" s="190"/>
      <c r="AG1281" s="190"/>
      <c r="AH1281" s="190"/>
      <c r="AI1281" s="190"/>
      <c r="AJ1281" s="190"/>
      <c r="AK1281" s="190"/>
      <c r="AL1281" s="190"/>
    </row>
    <row r="1282" spans="2:38" ht="12.75" customHeight="1">
      <c r="B1282" s="6"/>
      <c r="C1282" s="6"/>
      <c r="D1282" s="12"/>
      <c r="E1282" s="12"/>
      <c r="F1282" s="12"/>
      <c r="G1282" s="12"/>
      <c r="H1282" s="6"/>
      <c r="I1282" s="190"/>
      <c r="J1282" s="190"/>
      <c r="K1282" s="190"/>
      <c r="L1282" s="190"/>
      <c r="M1282" s="190"/>
      <c r="N1282" s="190"/>
      <c r="O1282" s="190"/>
      <c r="P1282" s="190"/>
      <c r="Q1282" s="190"/>
      <c r="R1282" s="190"/>
      <c r="S1282" s="190"/>
      <c r="T1282" s="190"/>
      <c r="U1282" s="190"/>
      <c r="V1282" s="190"/>
      <c r="W1282" s="190"/>
      <c r="X1282" s="190"/>
      <c r="Y1282" s="190"/>
      <c r="Z1282" s="190"/>
      <c r="AA1282" s="190"/>
      <c r="AB1282" s="190"/>
      <c r="AC1282" s="190"/>
      <c r="AD1282" s="190"/>
      <c r="AE1282" s="190"/>
      <c r="AF1282" s="190"/>
      <c r="AG1282" s="190"/>
      <c r="AH1282" s="190"/>
      <c r="AI1282" s="190"/>
      <c r="AJ1282" s="190"/>
      <c r="AK1282" s="190"/>
      <c r="AL1282" s="190"/>
    </row>
    <row r="1283" spans="2:38" ht="12.75" customHeight="1">
      <c r="B1283" s="6"/>
      <c r="C1283" s="6"/>
      <c r="D1283" s="12"/>
      <c r="E1283" s="12"/>
      <c r="F1283" s="12"/>
      <c r="G1283" s="12"/>
      <c r="H1283" s="6"/>
      <c r="I1283" s="190"/>
      <c r="J1283" s="190"/>
      <c r="K1283" s="190"/>
      <c r="L1283" s="190"/>
      <c r="M1283" s="190"/>
      <c r="N1283" s="190"/>
      <c r="O1283" s="190"/>
      <c r="P1283" s="190"/>
      <c r="Q1283" s="190"/>
      <c r="R1283" s="190"/>
      <c r="S1283" s="190"/>
      <c r="T1283" s="190"/>
      <c r="U1283" s="190"/>
      <c r="V1283" s="190"/>
      <c r="W1283" s="190"/>
      <c r="X1283" s="190"/>
      <c r="Y1283" s="190"/>
      <c r="Z1283" s="190"/>
      <c r="AA1283" s="190"/>
      <c r="AB1283" s="190"/>
      <c r="AC1283" s="190"/>
      <c r="AD1283" s="190"/>
      <c r="AE1283" s="190"/>
      <c r="AF1283" s="190"/>
      <c r="AG1283" s="190"/>
      <c r="AH1283" s="190"/>
      <c r="AI1283" s="190"/>
      <c r="AJ1283" s="190"/>
      <c r="AK1283" s="190"/>
      <c r="AL1283" s="190"/>
    </row>
    <row r="1284" spans="2:38" ht="12.75" customHeight="1">
      <c r="B1284" s="6"/>
      <c r="C1284" s="6"/>
      <c r="D1284" s="12"/>
      <c r="E1284" s="12"/>
      <c r="F1284" s="12"/>
      <c r="G1284" s="12"/>
      <c r="H1284" s="6"/>
      <c r="I1284" s="190"/>
      <c r="J1284" s="190"/>
      <c r="K1284" s="190"/>
      <c r="L1284" s="190"/>
      <c r="M1284" s="190"/>
      <c r="N1284" s="190"/>
      <c r="O1284" s="190"/>
      <c r="P1284" s="190"/>
      <c r="Q1284" s="190"/>
      <c r="R1284" s="190"/>
      <c r="S1284" s="190"/>
      <c r="T1284" s="190"/>
      <c r="U1284" s="190"/>
      <c r="V1284" s="190"/>
      <c r="W1284" s="190"/>
      <c r="X1284" s="190"/>
      <c r="Y1284" s="190"/>
      <c r="Z1284" s="190"/>
      <c r="AA1284" s="190"/>
      <c r="AB1284" s="190"/>
      <c r="AC1284" s="190"/>
      <c r="AD1284" s="190"/>
      <c r="AE1284" s="190"/>
      <c r="AF1284" s="190"/>
      <c r="AG1284" s="190"/>
      <c r="AH1284" s="190"/>
      <c r="AI1284" s="190"/>
      <c r="AJ1284" s="190"/>
      <c r="AK1284" s="190"/>
      <c r="AL1284" s="190"/>
    </row>
    <row r="1285" spans="2:38" ht="12.75" customHeight="1">
      <c r="B1285" s="6"/>
      <c r="C1285" s="6"/>
      <c r="D1285" s="12"/>
      <c r="E1285" s="12"/>
      <c r="F1285" s="12"/>
      <c r="G1285" s="12"/>
      <c r="H1285" s="6"/>
      <c r="I1285" s="190"/>
      <c r="J1285" s="190"/>
      <c r="K1285" s="190"/>
      <c r="L1285" s="190"/>
      <c r="M1285" s="190"/>
      <c r="N1285" s="190"/>
      <c r="O1285" s="190"/>
      <c r="P1285" s="190"/>
      <c r="Q1285" s="190"/>
      <c r="R1285" s="190"/>
      <c r="S1285" s="190"/>
      <c r="T1285" s="190"/>
      <c r="U1285" s="190"/>
      <c r="V1285" s="190"/>
      <c r="W1285" s="190"/>
      <c r="X1285" s="190"/>
      <c r="Y1285" s="190"/>
      <c r="Z1285" s="190"/>
      <c r="AA1285" s="190"/>
      <c r="AB1285" s="190"/>
      <c r="AC1285" s="190"/>
      <c r="AD1285" s="190"/>
      <c r="AE1285" s="190"/>
      <c r="AF1285" s="190"/>
      <c r="AG1285" s="190"/>
      <c r="AH1285" s="190"/>
      <c r="AI1285" s="190"/>
      <c r="AJ1285" s="190"/>
      <c r="AK1285" s="190"/>
      <c r="AL1285" s="190"/>
    </row>
    <row r="1286" spans="2:38" ht="12.75" customHeight="1">
      <c r="B1286" s="6"/>
      <c r="C1286" s="6"/>
      <c r="D1286" s="12"/>
      <c r="E1286" s="12"/>
      <c r="F1286" s="12"/>
      <c r="G1286" s="12"/>
      <c r="H1286" s="6"/>
      <c r="I1286" s="190"/>
      <c r="J1286" s="190"/>
      <c r="K1286" s="190"/>
      <c r="L1286" s="190"/>
      <c r="M1286" s="190"/>
      <c r="N1286" s="190"/>
      <c r="O1286" s="190"/>
      <c r="P1286" s="190"/>
      <c r="Q1286" s="190"/>
      <c r="R1286" s="190"/>
      <c r="S1286" s="190"/>
      <c r="T1286" s="190"/>
      <c r="U1286" s="190"/>
      <c r="V1286" s="190"/>
      <c r="W1286" s="190"/>
      <c r="X1286" s="190"/>
      <c r="Y1286" s="190"/>
      <c r="Z1286" s="190"/>
      <c r="AA1286" s="190"/>
      <c r="AB1286" s="190"/>
      <c r="AC1286" s="190"/>
      <c r="AD1286" s="190"/>
      <c r="AE1286" s="190"/>
      <c r="AF1286" s="190"/>
      <c r="AG1286" s="190"/>
      <c r="AH1286" s="190"/>
      <c r="AI1286" s="190"/>
      <c r="AJ1286" s="190"/>
      <c r="AK1286" s="190"/>
      <c r="AL1286" s="190"/>
    </row>
    <row r="1287" spans="2:38" ht="12.75" customHeight="1">
      <c r="B1287" s="6"/>
      <c r="C1287" s="6"/>
      <c r="D1287" s="12"/>
      <c r="E1287" s="12"/>
      <c r="F1287" s="12"/>
      <c r="G1287" s="12"/>
      <c r="H1287" s="6"/>
      <c r="I1287" s="190"/>
      <c r="J1287" s="190"/>
      <c r="K1287" s="190"/>
      <c r="L1287" s="190"/>
      <c r="M1287" s="190"/>
      <c r="N1287" s="190"/>
      <c r="O1287" s="190"/>
      <c r="P1287" s="190"/>
      <c r="Q1287" s="190"/>
      <c r="R1287" s="190"/>
      <c r="S1287" s="190"/>
      <c r="T1287" s="190"/>
      <c r="U1287" s="190"/>
      <c r="V1287" s="190"/>
      <c r="W1287" s="190"/>
      <c r="X1287" s="190"/>
      <c r="Y1287" s="190"/>
      <c r="Z1287" s="190"/>
      <c r="AA1287" s="190"/>
      <c r="AB1287" s="190"/>
      <c r="AC1287" s="190"/>
      <c r="AD1287" s="190"/>
      <c r="AE1287" s="190"/>
      <c r="AF1287" s="190"/>
      <c r="AG1287" s="190"/>
      <c r="AH1287" s="190"/>
      <c r="AI1287" s="190"/>
      <c r="AJ1287" s="190"/>
      <c r="AK1287" s="190"/>
      <c r="AL1287" s="190"/>
    </row>
    <row r="1288" spans="2:38" ht="12.75" customHeight="1">
      <c r="B1288" s="6"/>
      <c r="C1288" s="6"/>
      <c r="D1288" s="12"/>
      <c r="E1288" s="12"/>
      <c r="F1288" s="12"/>
      <c r="G1288" s="12"/>
      <c r="H1288" s="6"/>
      <c r="I1288" s="190"/>
      <c r="J1288" s="190"/>
      <c r="K1288" s="190"/>
      <c r="L1288" s="190"/>
      <c r="M1288" s="190"/>
      <c r="N1288" s="190"/>
      <c r="O1288" s="190"/>
      <c r="P1288" s="190"/>
      <c r="Q1288" s="190"/>
      <c r="R1288" s="190"/>
      <c r="S1288" s="190"/>
      <c r="T1288" s="190"/>
      <c r="U1288" s="190"/>
      <c r="V1288" s="190"/>
      <c r="W1288" s="190"/>
      <c r="X1288" s="190"/>
      <c r="Y1288" s="190"/>
      <c r="Z1288" s="190"/>
      <c r="AA1288" s="190"/>
      <c r="AB1288" s="190"/>
      <c r="AC1288" s="190"/>
      <c r="AD1288" s="190"/>
      <c r="AE1288" s="190"/>
      <c r="AF1288" s="190"/>
      <c r="AG1288" s="190"/>
      <c r="AH1288" s="190"/>
      <c r="AI1288" s="190"/>
      <c r="AJ1288" s="190"/>
      <c r="AK1288" s="190"/>
      <c r="AL1288" s="190"/>
    </row>
    <row r="1289" spans="2:38" ht="12.75" customHeight="1">
      <c r="B1289" s="6"/>
      <c r="C1289" s="6"/>
      <c r="D1289" s="12"/>
      <c r="E1289" s="12"/>
      <c r="F1289" s="12"/>
      <c r="G1289" s="12"/>
      <c r="H1289" s="6"/>
      <c r="I1289" s="190"/>
      <c r="J1289" s="190"/>
      <c r="K1289" s="190"/>
      <c r="L1289" s="190"/>
      <c r="M1289" s="190"/>
      <c r="N1289" s="190"/>
      <c r="O1289" s="190"/>
      <c r="P1289" s="190"/>
      <c r="Q1289" s="190"/>
      <c r="R1289" s="190"/>
      <c r="S1289" s="190"/>
      <c r="T1289" s="190"/>
      <c r="U1289" s="190"/>
      <c r="V1289" s="190"/>
      <c r="W1289" s="190"/>
      <c r="X1289" s="190"/>
      <c r="Y1289" s="190"/>
      <c r="Z1289" s="190"/>
      <c r="AA1289" s="190"/>
      <c r="AB1289" s="190"/>
      <c r="AC1289" s="190"/>
      <c r="AD1289" s="190"/>
      <c r="AE1289" s="190"/>
      <c r="AF1289" s="190"/>
      <c r="AG1289" s="190"/>
      <c r="AH1289" s="190"/>
      <c r="AI1289" s="190"/>
      <c r="AJ1289" s="190"/>
      <c r="AK1289" s="190"/>
      <c r="AL1289" s="190"/>
    </row>
    <row r="1290" spans="2:38" ht="12.75" customHeight="1">
      <c r="B1290" s="6"/>
      <c r="C1290" s="6"/>
      <c r="D1290" s="12"/>
      <c r="E1290" s="12"/>
      <c r="F1290" s="12"/>
      <c r="G1290" s="12"/>
      <c r="H1290" s="6"/>
      <c r="I1290" s="190"/>
      <c r="J1290" s="190"/>
      <c r="K1290" s="190"/>
      <c r="L1290" s="190"/>
      <c r="M1290" s="190"/>
      <c r="N1290" s="190"/>
      <c r="O1290" s="190"/>
      <c r="P1290" s="190"/>
      <c r="Q1290" s="190"/>
      <c r="R1290" s="190"/>
      <c r="S1290" s="190"/>
      <c r="T1290" s="190"/>
      <c r="U1290" s="190"/>
      <c r="V1290" s="190"/>
      <c r="W1290" s="190"/>
      <c r="X1290" s="190"/>
      <c r="Y1290" s="190"/>
      <c r="Z1290" s="190"/>
      <c r="AA1290" s="190"/>
      <c r="AB1290" s="190"/>
      <c r="AC1290" s="190"/>
      <c r="AD1290" s="190"/>
      <c r="AE1290" s="190"/>
      <c r="AF1290" s="190"/>
      <c r="AG1290" s="190"/>
      <c r="AH1290" s="190"/>
      <c r="AI1290" s="190"/>
      <c r="AJ1290" s="190"/>
      <c r="AK1290" s="190"/>
      <c r="AL1290" s="190"/>
    </row>
    <row r="1291" spans="2:38" ht="12.75" customHeight="1">
      <c r="B1291" s="6"/>
      <c r="C1291" s="6"/>
      <c r="D1291" s="12"/>
      <c r="E1291" s="12"/>
      <c r="F1291" s="12"/>
      <c r="G1291" s="12"/>
      <c r="H1291" s="6"/>
      <c r="I1291" s="190"/>
      <c r="J1291" s="190"/>
      <c r="K1291" s="190"/>
      <c r="L1291" s="190"/>
      <c r="M1291" s="190"/>
      <c r="N1291" s="190"/>
      <c r="O1291" s="190"/>
      <c r="P1291" s="190"/>
      <c r="Q1291" s="190"/>
      <c r="R1291" s="190"/>
      <c r="S1291" s="190"/>
      <c r="T1291" s="190"/>
      <c r="U1291" s="190"/>
      <c r="V1291" s="190"/>
      <c r="W1291" s="190"/>
      <c r="X1291" s="190"/>
      <c r="Y1291" s="190"/>
      <c r="Z1291" s="190"/>
      <c r="AA1291" s="190"/>
      <c r="AB1291" s="190"/>
      <c r="AC1291" s="190"/>
      <c r="AD1291" s="190"/>
      <c r="AE1291" s="190"/>
      <c r="AF1291" s="190"/>
      <c r="AG1291" s="190"/>
      <c r="AH1291" s="190"/>
      <c r="AI1291" s="190"/>
      <c r="AJ1291" s="190"/>
      <c r="AK1291" s="190"/>
      <c r="AL1291" s="190"/>
    </row>
    <row r="1292" spans="2:38" ht="12.75" customHeight="1">
      <c r="B1292" s="6"/>
      <c r="C1292" s="6"/>
      <c r="D1292" s="12"/>
      <c r="E1292" s="12"/>
      <c r="F1292" s="12"/>
      <c r="G1292" s="12"/>
      <c r="H1292" s="6"/>
      <c r="I1292" s="190"/>
      <c r="J1292" s="190"/>
      <c r="K1292" s="190"/>
      <c r="L1292" s="190"/>
      <c r="M1292" s="190"/>
      <c r="N1292" s="190"/>
      <c r="O1292" s="190"/>
      <c r="P1292" s="190"/>
      <c r="Q1292" s="190"/>
      <c r="R1292" s="190"/>
      <c r="S1292" s="190"/>
      <c r="T1292" s="190"/>
      <c r="U1292" s="190"/>
      <c r="V1292" s="190"/>
      <c r="W1292" s="190"/>
      <c r="X1292" s="190"/>
      <c r="Y1292" s="190"/>
      <c r="Z1292" s="190"/>
      <c r="AA1292" s="190"/>
      <c r="AB1292" s="190"/>
      <c r="AC1292" s="190"/>
      <c r="AD1292" s="190"/>
      <c r="AE1292" s="190"/>
      <c r="AF1292" s="190"/>
      <c r="AG1292" s="190"/>
      <c r="AH1292" s="190"/>
      <c r="AI1292" s="190"/>
      <c r="AJ1292" s="190"/>
      <c r="AK1292" s="190"/>
      <c r="AL1292" s="190"/>
    </row>
    <row r="1293" spans="2:38" ht="12.75" customHeight="1">
      <c r="B1293" s="6"/>
      <c r="C1293" s="6"/>
      <c r="D1293" s="12"/>
      <c r="E1293" s="12"/>
      <c r="F1293" s="12"/>
      <c r="G1293" s="12"/>
      <c r="H1293" s="6"/>
      <c r="I1293" s="190"/>
      <c r="J1293" s="190"/>
      <c r="K1293" s="190"/>
      <c r="L1293" s="190"/>
      <c r="M1293" s="190"/>
      <c r="N1293" s="190"/>
      <c r="O1293" s="190"/>
      <c r="P1293" s="190"/>
      <c r="Q1293" s="190"/>
      <c r="R1293" s="190"/>
      <c r="S1293" s="190"/>
      <c r="T1293" s="190"/>
      <c r="U1293" s="190"/>
      <c r="V1293" s="190"/>
      <c r="W1293" s="190"/>
      <c r="X1293" s="190"/>
      <c r="Y1293" s="190"/>
      <c r="Z1293" s="190"/>
      <c r="AA1293" s="190"/>
      <c r="AB1293" s="190"/>
      <c r="AC1293" s="190"/>
      <c r="AD1293" s="190"/>
      <c r="AE1293" s="190"/>
      <c r="AF1293" s="190"/>
      <c r="AG1293" s="190"/>
      <c r="AH1293" s="190"/>
      <c r="AI1293" s="190"/>
      <c r="AJ1293" s="190"/>
      <c r="AK1293" s="190"/>
      <c r="AL1293" s="190"/>
    </row>
    <row r="1294" spans="2:38" ht="12.75" customHeight="1">
      <c r="B1294" s="6"/>
      <c r="C1294" s="6"/>
      <c r="D1294" s="12"/>
      <c r="E1294" s="12"/>
      <c r="F1294" s="12"/>
      <c r="G1294" s="12"/>
      <c r="H1294" s="6"/>
      <c r="I1294" s="190"/>
      <c r="J1294" s="190"/>
      <c r="K1294" s="190"/>
      <c r="L1294" s="190"/>
      <c r="M1294" s="190"/>
      <c r="N1294" s="190"/>
      <c r="O1294" s="190"/>
      <c r="P1294" s="190"/>
      <c r="Q1294" s="190"/>
      <c r="R1294" s="190"/>
      <c r="S1294" s="190"/>
      <c r="T1294" s="190"/>
      <c r="U1294" s="190"/>
      <c r="V1294" s="190"/>
      <c r="W1294" s="190"/>
      <c r="X1294" s="190"/>
      <c r="Y1294" s="190"/>
      <c r="Z1294" s="190"/>
      <c r="AA1294" s="190"/>
      <c r="AB1294" s="190"/>
      <c r="AC1294" s="190"/>
      <c r="AD1294" s="190"/>
      <c r="AE1294" s="190"/>
      <c r="AF1294" s="190"/>
      <c r="AG1294" s="190"/>
      <c r="AH1294" s="190"/>
      <c r="AI1294" s="190"/>
      <c r="AJ1294" s="190"/>
      <c r="AK1294" s="190"/>
      <c r="AL1294" s="190"/>
    </row>
    <row r="1295" spans="2:38" ht="12.75" customHeight="1">
      <c r="B1295" s="6"/>
      <c r="C1295" s="6"/>
      <c r="D1295" s="12"/>
      <c r="E1295" s="12"/>
      <c r="F1295" s="12"/>
      <c r="G1295" s="12"/>
      <c r="H1295" s="6"/>
      <c r="I1295" s="190"/>
      <c r="J1295" s="190"/>
      <c r="K1295" s="190"/>
      <c r="L1295" s="190"/>
      <c r="M1295" s="190"/>
      <c r="N1295" s="190"/>
      <c r="O1295" s="190"/>
      <c r="P1295" s="190"/>
      <c r="Q1295" s="190"/>
      <c r="R1295" s="190"/>
      <c r="S1295" s="190"/>
      <c r="T1295" s="190"/>
      <c r="U1295" s="190"/>
      <c r="V1295" s="190"/>
      <c r="W1295" s="190"/>
      <c r="X1295" s="190"/>
      <c r="Y1295" s="190"/>
      <c r="Z1295" s="190"/>
      <c r="AA1295" s="190"/>
      <c r="AB1295" s="190"/>
      <c r="AC1295" s="190"/>
      <c r="AD1295" s="190"/>
      <c r="AE1295" s="190"/>
      <c r="AF1295" s="190"/>
      <c r="AG1295" s="190"/>
      <c r="AH1295" s="190"/>
      <c r="AI1295" s="190"/>
      <c r="AJ1295" s="190"/>
      <c r="AK1295" s="190"/>
      <c r="AL1295" s="190"/>
    </row>
    <row r="1296" spans="2:38" ht="12.75" customHeight="1">
      <c r="B1296" s="6"/>
      <c r="C1296" s="6"/>
      <c r="D1296" s="12"/>
      <c r="E1296" s="12"/>
      <c r="F1296" s="12"/>
      <c r="G1296" s="12"/>
      <c r="H1296" s="6"/>
      <c r="I1296" s="190"/>
      <c r="J1296" s="190"/>
      <c r="K1296" s="190"/>
      <c r="L1296" s="190"/>
      <c r="M1296" s="190"/>
      <c r="N1296" s="190"/>
      <c r="O1296" s="190"/>
      <c r="P1296" s="190"/>
      <c r="Q1296" s="190"/>
      <c r="R1296" s="190"/>
      <c r="S1296" s="190"/>
      <c r="T1296" s="190"/>
      <c r="U1296" s="190"/>
      <c r="V1296" s="190"/>
      <c r="W1296" s="190"/>
      <c r="X1296" s="190"/>
      <c r="Y1296" s="190"/>
      <c r="Z1296" s="190"/>
      <c r="AA1296" s="190"/>
      <c r="AB1296" s="190"/>
      <c r="AC1296" s="190"/>
      <c r="AD1296" s="190"/>
      <c r="AE1296" s="190"/>
      <c r="AF1296" s="190"/>
      <c r="AG1296" s="190"/>
      <c r="AH1296" s="190"/>
      <c r="AI1296" s="190"/>
      <c r="AJ1296" s="190"/>
      <c r="AK1296" s="190"/>
      <c r="AL1296" s="190"/>
    </row>
    <row r="1297" spans="2:38" ht="12.75" customHeight="1">
      <c r="B1297" s="6"/>
      <c r="C1297" s="6"/>
      <c r="D1297" s="12"/>
      <c r="E1297" s="12"/>
      <c r="F1297" s="12"/>
      <c r="G1297" s="12"/>
      <c r="H1297" s="6"/>
      <c r="I1297" s="190"/>
      <c r="J1297" s="190"/>
      <c r="K1297" s="190"/>
      <c r="L1297" s="190"/>
      <c r="M1297" s="190"/>
      <c r="N1297" s="190"/>
      <c r="O1297" s="190"/>
      <c r="P1297" s="190"/>
      <c r="Q1297" s="190"/>
      <c r="R1297" s="190"/>
      <c r="S1297" s="190"/>
      <c r="T1297" s="190"/>
      <c r="U1297" s="190"/>
      <c r="V1297" s="190"/>
      <c r="W1297" s="190"/>
      <c r="X1297" s="190"/>
      <c r="Y1297" s="190"/>
      <c r="Z1297" s="190"/>
      <c r="AA1297" s="190"/>
      <c r="AB1297" s="190"/>
      <c r="AC1297" s="190"/>
      <c r="AD1297" s="190"/>
      <c r="AE1297" s="190"/>
      <c r="AF1297" s="190"/>
      <c r="AG1297" s="190"/>
      <c r="AH1297" s="190"/>
      <c r="AI1297" s="190"/>
      <c r="AJ1297" s="190"/>
      <c r="AK1297" s="190"/>
      <c r="AL1297" s="190"/>
    </row>
    <row r="1298" spans="2:38" ht="12.75" customHeight="1">
      <c r="B1298" s="6"/>
      <c r="C1298" s="6"/>
      <c r="D1298" s="12"/>
      <c r="E1298" s="12"/>
      <c r="F1298" s="12"/>
      <c r="G1298" s="12"/>
      <c r="H1298" s="6"/>
      <c r="I1298" s="190"/>
      <c r="J1298" s="190"/>
      <c r="K1298" s="190"/>
      <c r="L1298" s="190"/>
      <c r="M1298" s="190"/>
      <c r="N1298" s="190"/>
      <c r="O1298" s="190"/>
      <c r="P1298" s="190"/>
      <c r="Q1298" s="190"/>
      <c r="R1298" s="190"/>
      <c r="S1298" s="190"/>
      <c r="T1298" s="190"/>
      <c r="U1298" s="190"/>
      <c r="V1298" s="190"/>
      <c r="W1298" s="190"/>
      <c r="X1298" s="190"/>
      <c r="Y1298" s="190"/>
      <c r="Z1298" s="190"/>
      <c r="AA1298" s="190"/>
      <c r="AB1298" s="190"/>
      <c r="AC1298" s="190"/>
      <c r="AD1298" s="190"/>
      <c r="AE1298" s="190"/>
      <c r="AF1298" s="190"/>
      <c r="AG1298" s="190"/>
      <c r="AH1298" s="190"/>
      <c r="AI1298" s="190"/>
      <c r="AJ1298" s="190"/>
      <c r="AK1298" s="190"/>
      <c r="AL1298" s="190"/>
    </row>
    <row r="1299" spans="2:38" ht="12.75" customHeight="1">
      <c r="B1299" s="6"/>
      <c r="C1299" s="6"/>
      <c r="D1299" s="12"/>
      <c r="E1299" s="12"/>
      <c r="F1299" s="12"/>
      <c r="G1299" s="12"/>
      <c r="H1299" s="6"/>
      <c r="I1299" s="190"/>
      <c r="J1299" s="190"/>
      <c r="K1299" s="190"/>
      <c r="L1299" s="190"/>
      <c r="M1299" s="190"/>
      <c r="N1299" s="190"/>
      <c r="O1299" s="190"/>
      <c r="P1299" s="190"/>
      <c r="Q1299" s="190"/>
      <c r="R1299" s="190"/>
      <c r="S1299" s="190"/>
      <c r="T1299" s="190"/>
      <c r="U1299" s="190"/>
      <c r="V1299" s="190"/>
      <c r="W1299" s="190"/>
      <c r="X1299" s="190"/>
      <c r="Y1299" s="190"/>
      <c r="Z1299" s="190"/>
      <c r="AA1299" s="190"/>
      <c r="AB1299" s="190"/>
      <c r="AC1299" s="190"/>
      <c r="AD1299" s="190"/>
      <c r="AE1299" s="190"/>
      <c r="AF1299" s="190"/>
      <c r="AG1299" s="190"/>
      <c r="AH1299" s="190"/>
      <c r="AI1299" s="190"/>
      <c r="AJ1299" s="190"/>
      <c r="AK1299" s="190"/>
      <c r="AL1299" s="190"/>
    </row>
    <row r="1300" spans="2:38" ht="12.75" customHeight="1">
      <c r="B1300" s="6"/>
      <c r="C1300" s="6"/>
      <c r="D1300" s="12"/>
      <c r="E1300" s="12"/>
      <c r="F1300" s="12"/>
      <c r="G1300" s="12"/>
      <c r="H1300" s="6"/>
      <c r="I1300" s="190"/>
      <c r="J1300" s="190"/>
      <c r="K1300" s="190"/>
      <c r="L1300" s="190"/>
      <c r="M1300" s="190"/>
      <c r="N1300" s="190"/>
      <c r="O1300" s="190"/>
      <c r="P1300" s="190"/>
      <c r="Q1300" s="190"/>
      <c r="R1300" s="190"/>
      <c r="S1300" s="190"/>
      <c r="T1300" s="190"/>
      <c r="U1300" s="190"/>
      <c r="V1300" s="190"/>
      <c r="W1300" s="190"/>
      <c r="X1300" s="190"/>
      <c r="Y1300" s="190"/>
      <c r="Z1300" s="190"/>
      <c r="AA1300" s="190"/>
      <c r="AB1300" s="190"/>
      <c r="AC1300" s="190"/>
      <c r="AD1300" s="190"/>
      <c r="AE1300" s="190"/>
      <c r="AF1300" s="190"/>
      <c r="AG1300" s="190"/>
      <c r="AH1300" s="190"/>
      <c r="AI1300" s="190"/>
      <c r="AJ1300" s="190"/>
      <c r="AK1300" s="190"/>
      <c r="AL1300" s="190"/>
    </row>
    <row r="1301" spans="2:38" ht="12.75" customHeight="1">
      <c r="B1301" s="6"/>
      <c r="C1301" s="6"/>
      <c r="D1301" s="12"/>
      <c r="E1301" s="12"/>
      <c r="F1301" s="12"/>
      <c r="G1301" s="12"/>
      <c r="H1301" s="6"/>
      <c r="I1301" s="190"/>
      <c r="J1301" s="190"/>
      <c r="K1301" s="190"/>
      <c r="L1301" s="190"/>
      <c r="M1301" s="190"/>
      <c r="N1301" s="190"/>
      <c r="O1301" s="190"/>
      <c r="P1301" s="190"/>
      <c r="Q1301" s="190"/>
      <c r="R1301" s="190"/>
      <c r="S1301" s="190"/>
      <c r="T1301" s="190"/>
      <c r="U1301" s="190"/>
      <c r="V1301" s="190"/>
      <c r="W1301" s="190"/>
      <c r="X1301" s="190"/>
      <c r="Y1301" s="190"/>
      <c r="Z1301" s="190"/>
      <c r="AA1301" s="190"/>
      <c r="AB1301" s="190"/>
      <c r="AC1301" s="190"/>
      <c r="AD1301" s="190"/>
      <c r="AE1301" s="190"/>
      <c r="AF1301" s="190"/>
      <c r="AG1301" s="190"/>
      <c r="AH1301" s="190"/>
      <c r="AI1301" s="190"/>
      <c r="AJ1301" s="190"/>
      <c r="AK1301" s="190"/>
      <c r="AL1301" s="190"/>
    </row>
    <row r="1302" spans="2:38" ht="12.75" customHeight="1">
      <c r="B1302" s="6"/>
      <c r="C1302" s="6"/>
      <c r="D1302" s="12"/>
      <c r="E1302" s="12"/>
      <c r="F1302" s="12"/>
      <c r="G1302" s="12"/>
      <c r="H1302" s="6"/>
      <c r="I1302" s="190"/>
      <c r="J1302" s="190"/>
      <c r="K1302" s="190"/>
      <c r="L1302" s="190"/>
      <c r="M1302" s="190"/>
      <c r="N1302" s="190"/>
      <c r="O1302" s="190"/>
      <c r="P1302" s="190"/>
      <c r="Q1302" s="190"/>
      <c r="R1302" s="190"/>
      <c r="S1302" s="190"/>
      <c r="T1302" s="190"/>
      <c r="U1302" s="190"/>
      <c r="V1302" s="190"/>
      <c r="W1302" s="190"/>
      <c r="X1302" s="190"/>
      <c r="Y1302" s="190"/>
      <c r="Z1302" s="190"/>
      <c r="AA1302" s="190"/>
      <c r="AB1302" s="190"/>
      <c r="AC1302" s="190"/>
      <c r="AD1302" s="190"/>
      <c r="AE1302" s="190"/>
      <c r="AF1302" s="190"/>
      <c r="AG1302" s="190"/>
      <c r="AH1302" s="190"/>
      <c r="AI1302" s="190"/>
      <c r="AJ1302" s="190"/>
      <c r="AK1302" s="190"/>
      <c r="AL1302" s="190"/>
    </row>
    <row r="1303" spans="2:38" ht="12.75" customHeight="1">
      <c r="B1303" s="6"/>
      <c r="C1303" s="6"/>
      <c r="D1303" s="12"/>
      <c r="E1303" s="12"/>
      <c r="F1303" s="12"/>
      <c r="G1303" s="12"/>
      <c r="H1303" s="6"/>
      <c r="I1303" s="190"/>
      <c r="J1303" s="190"/>
      <c r="K1303" s="190"/>
      <c r="L1303" s="190"/>
      <c r="M1303" s="190"/>
      <c r="N1303" s="190"/>
      <c r="O1303" s="190"/>
      <c r="P1303" s="190"/>
      <c r="Q1303" s="190"/>
      <c r="R1303" s="190"/>
      <c r="S1303" s="190"/>
      <c r="T1303" s="190"/>
      <c r="U1303" s="190"/>
      <c r="V1303" s="190"/>
      <c r="W1303" s="190"/>
      <c r="X1303" s="190"/>
      <c r="Y1303" s="190"/>
      <c r="Z1303" s="190"/>
      <c r="AA1303" s="190"/>
      <c r="AB1303" s="190"/>
      <c r="AC1303" s="190"/>
      <c r="AD1303" s="190"/>
      <c r="AE1303" s="190"/>
      <c r="AF1303" s="190"/>
      <c r="AG1303" s="190"/>
      <c r="AH1303" s="190"/>
      <c r="AI1303" s="190"/>
      <c r="AJ1303" s="190"/>
      <c r="AK1303" s="190"/>
      <c r="AL1303" s="190"/>
    </row>
    <row r="1304" spans="2:38" ht="12.75" customHeight="1">
      <c r="B1304" s="6"/>
      <c r="C1304" s="6"/>
      <c r="D1304" s="12"/>
      <c r="E1304" s="12"/>
      <c r="F1304" s="12"/>
      <c r="G1304" s="12"/>
      <c r="H1304" s="6"/>
      <c r="I1304" s="190"/>
      <c r="J1304" s="190"/>
      <c r="K1304" s="190"/>
      <c r="L1304" s="190"/>
      <c r="M1304" s="190"/>
      <c r="N1304" s="190"/>
      <c r="O1304" s="190"/>
      <c r="P1304" s="190"/>
      <c r="Q1304" s="190"/>
      <c r="R1304" s="190"/>
      <c r="S1304" s="190"/>
      <c r="T1304" s="190"/>
      <c r="U1304" s="190"/>
      <c r="V1304" s="190"/>
      <c r="W1304" s="190"/>
      <c r="X1304" s="190"/>
      <c r="Y1304" s="190"/>
      <c r="Z1304" s="190"/>
      <c r="AA1304" s="190"/>
      <c r="AB1304" s="190"/>
      <c r="AC1304" s="190"/>
      <c r="AD1304" s="190"/>
      <c r="AE1304" s="190"/>
      <c r="AF1304" s="190"/>
      <c r="AG1304" s="190"/>
      <c r="AH1304" s="190"/>
      <c r="AI1304" s="190"/>
      <c r="AJ1304" s="190"/>
      <c r="AK1304" s="190"/>
      <c r="AL1304" s="190"/>
    </row>
    <row r="1305" spans="2:38" ht="12.75" customHeight="1">
      <c r="B1305" s="6"/>
      <c r="C1305" s="6"/>
      <c r="D1305" s="12"/>
      <c r="E1305" s="12"/>
      <c r="F1305" s="12"/>
      <c r="G1305" s="12"/>
      <c r="H1305" s="6"/>
      <c r="I1305" s="190"/>
      <c r="J1305" s="190"/>
      <c r="K1305" s="190"/>
      <c r="L1305" s="190"/>
      <c r="M1305" s="190"/>
      <c r="N1305" s="190"/>
      <c r="O1305" s="190"/>
      <c r="P1305" s="190"/>
      <c r="Q1305" s="190"/>
      <c r="R1305" s="190"/>
      <c r="S1305" s="190"/>
      <c r="T1305" s="190"/>
      <c r="U1305" s="190"/>
      <c r="V1305" s="190"/>
      <c r="W1305" s="190"/>
      <c r="X1305" s="190"/>
      <c r="Y1305" s="190"/>
      <c r="Z1305" s="190"/>
      <c r="AA1305" s="190"/>
      <c r="AB1305" s="190"/>
      <c r="AC1305" s="190"/>
      <c r="AD1305" s="190"/>
      <c r="AE1305" s="190"/>
      <c r="AF1305" s="190"/>
      <c r="AG1305" s="190"/>
      <c r="AH1305" s="190"/>
      <c r="AI1305" s="190"/>
      <c r="AJ1305" s="190"/>
      <c r="AK1305" s="190"/>
      <c r="AL1305" s="190"/>
    </row>
    <row r="1306" spans="2:38" ht="12.75" customHeight="1">
      <c r="B1306" s="6"/>
      <c r="C1306" s="6"/>
      <c r="D1306" s="12"/>
      <c r="E1306" s="12"/>
      <c r="F1306" s="12"/>
      <c r="G1306" s="12"/>
      <c r="H1306" s="6"/>
      <c r="I1306" s="190"/>
      <c r="J1306" s="190"/>
      <c r="K1306" s="190"/>
      <c r="L1306" s="190"/>
      <c r="M1306" s="190"/>
      <c r="N1306" s="190"/>
      <c r="O1306" s="190"/>
      <c r="P1306" s="190"/>
      <c r="Q1306" s="190"/>
      <c r="R1306" s="190"/>
      <c r="S1306" s="190"/>
      <c r="T1306" s="190"/>
      <c r="U1306" s="190"/>
      <c r="V1306" s="190"/>
      <c r="W1306" s="190"/>
      <c r="X1306" s="190"/>
      <c r="Y1306" s="190"/>
      <c r="Z1306" s="190"/>
      <c r="AA1306" s="190"/>
      <c r="AB1306" s="190"/>
      <c r="AC1306" s="190"/>
      <c r="AD1306" s="190"/>
      <c r="AE1306" s="190"/>
      <c r="AF1306" s="190"/>
      <c r="AG1306" s="190"/>
      <c r="AH1306" s="190"/>
      <c r="AI1306" s="190"/>
      <c r="AJ1306" s="190"/>
      <c r="AK1306" s="190"/>
      <c r="AL1306" s="190"/>
    </row>
    <row r="1307" spans="2:38" ht="12.75" customHeight="1">
      <c r="B1307" s="6"/>
      <c r="C1307" s="6"/>
      <c r="D1307" s="12"/>
      <c r="E1307" s="12"/>
      <c r="F1307" s="12"/>
      <c r="G1307" s="12"/>
      <c r="H1307" s="6"/>
      <c r="I1307" s="190"/>
      <c r="J1307" s="190"/>
      <c r="K1307" s="190"/>
      <c r="L1307" s="190"/>
      <c r="M1307" s="190"/>
      <c r="N1307" s="190"/>
      <c r="O1307" s="190"/>
      <c r="P1307" s="190"/>
      <c r="Q1307" s="190"/>
      <c r="R1307" s="190"/>
      <c r="S1307" s="190"/>
      <c r="T1307" s="190"/>
      <c r="U1307" s="190"/>
      <c r="V1307" s="190"/>
      <c r="W1307" s="190"/>
      <c r="X1307" s="190"/>
      <c r="Y1307" s="190"/>
      <c r="Z1307" s="190"/>
      <c r="AA1307" s="190"/>
      <c r="AB1307" s="190"/>
      <c r="AC1307" s="190"/>
      <c r="AD1307" s="190"/>
      <c r="AE1307" s="190"/>
      <c r="AF1307" s="190"/>
      <c r="AG1307" s="190"/>
      <c r="AH1307" s="190"/>
      <c r="AI1307" s="190"/>
      <c r="AJ1307" s="190"/>
      <c r="AK1307" s="190"/>
      <c r="AL1307" s="190"/>
    </row>
    <row r="1308" spans="2:38" ht="12.75" customHeight="1">
      <c r="B1308" s="6"/>
      <c r="C1308" s="6"/>
      <c r="D1308" s="12"/>
      <c r="E1308" s="12"/>
      <c r="F1308" s="12"/>
      <c r="G1308" s="12"/>
      <c r="H1308" s="6"/>
      <c r="I1308" s="190"/>
      <c r="J1308" s="190"/>
      <c r="K1308" s="190"/>
      <c r="L1308" s="190"/>
      <c r="M1308" s="190"/>
      <c r="N1308" s="190"/>
      <c r="O1308" s="190"/>
      <c r="P1308" s="190"/>
      <c r="Q1308" s="190"/>
      <c r="R1308" s="190"/>
      <c r="S1308" s="190"/>
      <c r="T1308" s="190"/>
      <c r="U1308" s="190"/>
      <c r="V1308" s="190"/>
      <c r="W1308" s="190"/>
      <c r="X1308" s="190"/>
      <c r="Y1308" s="190"/>
      <c r="Z1308" s="190"/>
      <c r="AA1308" s="190"/>
      <c r="AB1308" s="190"/>
      <c r="AC1308" s="190"/>
      <c r="AD1308" s="190"/>
      <c r="AE1308" s="190"/>
      <c r="AF1308" s="190"/>
      <c r="AG1308" s="190"/>
      <c r="AH1308" s="190"/>
      <c r="AI1308" s="190"/>
      <c r="AJ1308" s="190"/>
      <c r="AK1308" s="190"/>
      <c r="AL1308" s="190"/>
    </row>
    <row r="1309" spans="2:38" ht="12.75" customHeight="1">
      <c r="B1309" s="6"/>
      <c r="C1309" s="6"/>
      <c r="D1309" s="12"/>
      <c r="E1309" s="12"/>
      <c r="F1309" s="12"/>
      <c r="G1309" s="12"/>
      <c r="H1309" s="6"/>
      <c r="I1309" s="190"/>
      <c r="J1309" s="190"/>
      <c r="K1309" s="190"/>
      <c r="L1309" s="190"/>
      <c r="M1309" s="190"/>
      <c r="N1309" s="190"/>
      <c r="O1309" s="190"/>
      <c r="P1309" s="190"/>
      <c r="Q1309" s="190"/>
      <c r="R1309" s="190"/>
      <c r="S1309" s="190"/>
      <c r="T1309" s="190"/>
      <c r="U1309" s="190"/>
      <c r="V1309" s="190"/>
      <c r="W1309" s="190"/>
      <c r="X1309" s="190"/>
      <c r="Y1309" s="190"/>
      <c r="Z1309" s="190"/>
      <c r="AA1309" s="190"/>
      <c r="AB1309" s="190"/>
      <c r="AC1309" s="190"/>
      <c r="AD1309" s="190"/>
      <c r="AE1309" s="190"/>
      <c r="AF1309" s="190"/>
      <c r="AG1309" s="190"/>
      <c r="AH1309" s="190"/>
      <c r="AI1309" s="190"/>
      <c r="AJ1309" s="190"/>
      <c r="AK1309" s="190"/>
      <c r="AL1309" s="190"/>
    </row>
    <row r="1310" spans="2:38" ht="12.75" customHeight="1">
      <c r="B1310" s="6"/>
      <c r="C1310" s="6"/>
      <c r="D1310" s="12"/>
      <c r="E1310" s="12"/>
      <c r="F1310" s="12"/>
      <c r="G1310" s="12"/>
      <c r="H1310" s="6"/>
      <c r="I1310" s="190"/>
      <c r="J1310" s="190"/>
      <c r="K1310" s="190"/>
      <c r="L1310" s="190"/>
      <c r="M1310" s="190"/>
      <c r="N1310" s="190"/>
      <c r="O1310" s="190"/>
      <c r="P1310" s="190"/>
      <c r="Q1310" s="190"/>
      <c r="R1310" s="190"/>
      <c r="S1310" s="190"/>
      <c r="T1310" s="190"/>
      <c r="U1310" s="190"/>
      <c r="V1310" s="190"/>
      <c r="W1310" s="190"/>
      <c r="X1310" s="190"/>
      <c r="Y1310" s="190"/>
      <c r="Z1310" s="190"/>
      <c r="AA1310" s="190"/>
      <c r="AB1310" s="190"/>
      <c r="AC1310" s="190"/>
      <c r="AD1310" s="190"/>
      <c r="AE1310" s="190"/>
      <c r="AF1310" s="190"/>
      <c r="AG1310" s="190"/>
      <c r="AH1310" s="190"/>
      <c r="AI1310" s="190"/>
      <c r="AJ1310" s="190"/>
      <c r="AK1310" s="190"/>
      <c r="AL1310" s="190"/>
    </row>
    <row r="1311" spans="2:38" ht="12.75" customHeight="1">
      <c r="B1311" s="6"/>
      <c r="C1311" s="6"/>
      <c r="D1311" s="12"/>
      <c r="E1311" s="12"/>
      <c r="F1311" s="12"/>
      <c r="G1311" s="12"/>
      <c r="H1311" s="6"/>
      <c r="I1311" s="190"/>
      <c r="J1311" s="190"/>
      <c r="K1311" s="190"/>
      <c r="L1311" s="190"/>
      <c r="M1311" s="190"/>
      <c r="N1311" s="190"/>
      <c r="O1311" s="190"/>
      <c r="P1311" s="190"/>
      <c r="Q1311" s="190"/>
      <c r="R1311" s="190"/>
      <c r="S1311" s="190"/>
      <c r="T1311" s="190"/>
      <c r="U1311" s="190"/>
      <c r="V1311" s="190"/>
      <c r="W1311" s="190"/>
      <c r="X1311" s="190"/>
      <c r="Y1311" s="190"/>
      <c r="Z1311" s="190"/>
      <c r="AA1311" s="190"/>
      <c r="AB1311" s="190"/>
      <c r="AC1311" s="190"/>
      <c r="AD1311" s="190"/>
      <c r="AE1311" s="190"/>
      <c r="AF1311" s="190"/>
      <c r="AG1311" s="190"/>
      <c r="AH1311" s="190"/>
      <c r="AI1311" s="190"/>
      <c r="AJ1311" s="190"/>
      <c r="AK1311" s="190"/>
      <c r="AL1311" s="190"/>
    </row>
    <row r="1312" spans="2:38" ht="12.75" customHeight="1">
      <c r="B1312" s="6"/>
      <c r="C1312" s="6"/>
      <c r="D1312" s="12"/>
      <c r="E1312" s="12"/>
      <c r="F1312" s="12"/>
      <c r="G1312" s="12"/>
      <c r="H1312" s="6"/>
      <c r="I1312" s="190"/>
      <c r="J1312" s="190"/>
      <c r="K1312" s="190"/>
      <c r="L1312" s="190"/>
      <c r="M1312" s="190"/>
      <c r="N1312" s="190"/>
      <c r="O1312" s="190"/>
      <c r="P1312" s="190"/>
      <c r="Q1312" s="190"/>
      <c r="R1312" s="190"/>
      <c r="S1312" s="190"/>
      <c r="T1312" s="190"/>
      <c r="U1312" s="190"/>
      <c r="V1312" s="190"/>
      <c r="W1312" s="190"/>
      <c r="X1312" s="190"/>
      <c r="Y1312" s="190"/>
      <c r="Z1312" s="190"/>
      <c r="AA1312" s="190"/>
      <c r="AB1312" s="190"/>
      <c r="AC1312" s="190"/>
      <c r="AD1312" s="190"/>
      <c r="AE1312" s="190"/>
      <c r="AF1312" s="190"/>
      <c r="AG1312" s="190"/>
      <c r="AH1312" s="190"/>
      <c r="AI1312" s="190"/>
      <c r="AJ1312" s="190"/>
      <c r="AK1312" s="190"/>
      <c r="AL1312" s="190"/>
    </row>
    <row r="1313" spans="2:38" ht="12.75" customHeight="1">
      <c r="B1313" s="6"/>
      <c r="C1313" s="6"/>
      <c r="D1313" s="12"/>
      <c r="E1313" s="12"/>
      <c r="F1313" s="12"/>
      <c r="G1313" s="12"/>
      <c r="H1313" s="6"/>
      <c r="I1313" s="190"/>
      <c r="J1313" s="190"/>
      <c r="K1313" s="190"/>
      <c r="L1313" s="190"/>
      <c r="M1313" s="190"/>
      <c r="N1313" s="190"/>
      <c r="O1313" s="190"/>
      <c r="P1313" s="190"/>
      <c r="Q1313" s="190"/>
      <c r="R1313" s="190"/>
      <c r="S1313" s="190"/>
      <c r="T1313" s="190"/>
      <c r="U1313" s="190"/>
      <c r="V1313" s="190"/>
      <c r="W1313" s="190"/>
      <c r="X1313" s="190"/>
      <c r="Y1313" s="190"/>
      <c r="Z1313" s="190"/>
      <c r="AA1313" s="190"/>
      <c r="AB1313" s="190"/>
      <c r="AC1313" s="190"/>
      <c r="AD1313" s="190"/>
      <c r="AE1313" s="190"/>
      <c r="AF1313" s="190"/>
      <c r="AG1313" s="190"/>
      <c r="AH1313" s="190"/>
      <c r="AI1313" s="190"/>
      <c r="AJ1313" s="190"/>
      <c r="AK1313" s="190"/>
      <c r="AL1313" s="190"/>
    </row>
    <row r="1314" spans="2:38" ht="12.75" customHeight="1">
      <c r="B1314" s="6"/>
      <c r="C1314" s="6"/>
      <c r="D1314" s="12"/>
      <c r="E1314" s="12"/>
      <c r="F1314" s="12"/>
      <c r="G1314" s="12"/>
      <c r="H1314" s="6"/>
      <c r="I1314" s="190"/>
      <c r="J1314" s="190"/>
      <c r="K1314" s="190"/>
      <c r="L1314" s="190"/>
      <c r="M1314" s="190"/>
      <c r="N1314" s="190"/>
      <c r="O1314" s="190"/>
      <c r="P1314" s="190"/>
      <c r="Q1314" s="190"/>
      <c r="R1314" s="190"/>
      <c r="S1314" s="190"/>
      <c r="T1314" s="190"/>
      <c r="U1314" s="190"/>
      <c r="V1314" s="190"/>
      <c r="W1314" s="190"/>
      <c r="X1314" s="190"/>
      <c r="Y1314" s="190"/>
      <c r="Z1314" s="190"/>
      <c r="AA1314" s="190"/>
      <c r="AB1314" s="190"/>
      <c r="AC1314" s="190"/>
      <c r="AD1314" s="190"/>
      <c r="AE1314" s="190"/>
      <c r="AF1314" s="190"/>
      <c r="AG1314" s="190"/>
      <c r="AH1314" s="190"/>
      <c r="AI1314" s="190"/>
      <c r="AJ1314" s="190"/>
      <c r="AK1314" s="190"/>
      <c r="AL1314" s="190"/>
    </row>
    <row r="1315" spans="2:38" ht="12.75" customHeight="1">
      <c r="B1315" s="6"/>
      <c r="C1315" s="6"/>
      <c r="D1315" s="12"/>
      <c r="E1315" s="12"/>
      <c r="F1315" s="12"/>
      <c r="G1315" s="12"/>
      <c r="H1315" s="6"/>
      <c r="I1315" s="190"/>
      <c r="J1315" s="190"/>
      <c r="K1315" s="190"/>
      <c r="L1315" s="190"/>
      <c r="M1315" s="190"/>
      <c r="N1315" s="190"/>
      <c r="O1315" s="190"/>
      <c r="P1315" s="190"/>
      <c r="Q1315" s="190"/>
      <c r="R1315" s="190"/>
      <c r="S1315" s="190"/>
      <c r="T1315" s="190"/>
      <c r="U1315" s="190"/>
      <c r="V1315" s="190"/>
      <c r="W1315" s="190"/>
      <c r="X1315" s="190"/>
      <c r="Y1315" s="190"/>
      <c r="Z1315" s="190"/>
      <c r="AA1315" s="190"/>
      <c r="AB1315" s="190"/>
      <c r="AC1315" s="190"/>
      <c r="AD1315" s="190"/>
      <c r="AE1315" s="190"/>
      <c r="AF1315" s="190"/>
      <c r="AG1315" s="190"/>
      <c r="AH1315" s="190"/>
      <c r="AI1315" s="190"/>
      <c r="AJ1315" s="190"/>
      <c r="AK1315" s="190"/>
      <c r="AL1315" s="190"/>
    </row>
    <row r="1316" spans="2:38" ht="12.75" customHeight="1">
      <c r="B1316" s="6"/>
      <c r="C1316" s="6"/>
      <c r="D1316" s="12"/>
      <c r="E1316" s="12"/>
      <c r="F1316" s="12"/>
      <c r="G1316" s="12"/>
      <c r="H1316" s="6"/>
      <c r="I1316" s="190"/>
      <c r="J1316" s="190"/>
      <c r="K1316" s="190"/>
      <c r="L1316" s="190"/>
      <c r="M1316" s="190"/>
      <c r="N1316" s="190"/>
      <c r="O1316" s="190"/>
      <c r="P1316" s="190"/>
      <c r="Q1316" s="190"/>
      <c r="R1316" s="190"/>
      <c r="S1316" s="190"/>
      <c r="T1316" s="190"/>
      <c r="U1316" s="190"/>
      <c r="V1316" s="190"/>
      <c r="W1316" s="190"/>
      <c r="X1316" s="190"/>
      <c r="Y1316" s="190"/>
      <c r="Z1316" s="190"/>
      <c r="AA1316" s="190"/>
      <c r="AB1316" s="190"/>
      <c r="AC1316" s="190"/>
      <c r="AD1316" s="190"/>
      <c r="AE1316" s="190"/>
      <c r="AF1316" s="190"/>
      <c r="AG1316" s="190"/>
      <c r="AH1316" s="190"/>
      <c r="AI1316" s="190"/>
      <c r="AJ1316" s="190"/>
      <c r="AK1316" s="190"/>
      <c r="AL1316" s="190"/>
    </row>
    <row r="1317" spans="2:38" ht="12.75" customHeight="1">
      <c r="B1317" s="6"/>
      <c r="C1317" s="6"/>
      <c r="D1317" s="12"/>
      <c r="E1317" s="12"/>
      <c r="F1317" s="12"/>
      <c r="G1317" s="12"/>
      <c r="H1317" s="6"/>
      <c r="I1317" s="190"/>
      <c r="J1317" s="190"/>
      <c r="K1317" s="190"/>
      <c r="L1317" s="190"/>
      <c r="M1317" s="190"/>
      <c r="N1317" s="190"/>
      <c r="O1317" s="190"/>
      <c r="P1317" s="190"/>
      <c r="Q1317" s="190"/>
      <c r="R1317" s="190"/>
      <c r="S1317" s="190"/>
      <c r="T1317" s="190"/>
      <c r="U1317" s="190"/>
      <c r="V1317" s="190"/>
      <c r="W1317" s="190"/>
      <c r="X1317" s="190"/>
      <c r="Y1317" s="190"/>
      <c r="Z1317" s="190"/>
      <c r="AA1317" s="190"/>
      <c r="AB1317" s="190"/>
      <c r="AC1317" s="190"/>
      <c r="AD1317" s="190"/>
      <c r="AE1317" s="190"/>
      <c r="AF1317" s="190"/>
      <c r="AG1317" s="190"/>
      <c r="AH1317" s="190"/>
      <c r="AI1317" s="190"/>
      <c r="AJ1317" s="190"/>
      <c r="AK1317" s="190"/>
      <c r="AL1317" s="190"/>
    </row>
    <row r="1318" spans="2:38" ht="12.75" customHeight="1">
      <c r="B1318" s="6"/>
      <c r="C1318" s="6"/>
      <c r="D1318" s="12"/>
      <c r="E1318" s="12"/>
      <c r="F1318" s="12"/>
      <c r="G1318" s="12"/>
      <c r="H1318" s="6"/>
      <c r="I1318" s="190"/>
      <c r="J1318" s="190"/>
      <c r="K1318" s="190"/>
      <c r="L1318" s="190"/>
      <c r="M1318" s="190"/>
      <c r="N1318" s="190"/>
      <c r="O1318" s="190"/>
      <c r="P1318" s="190"/>
      <c r="Q1318" s="190"/>
      <c r="R1318" s="190"/>
      <c r="S1318" s="190"/>
      <c r="T1318" s="190"/>
      <c r="U1318" s="190"/>
      <c r="V1318" s="190"/>
      <c r="W1318" s="190"/>
      <c r="X1318" s="190"/>
      <c r="Y1318" s="190"/>
      <c r="Z1318" s="190"/>
      <c r="AA1318" s="190"/>
      <c r="AB1318" s="190"/>
      <c r="AC1318" s="190"/>
      <c r="AD1318" s="190"/>
      <c r="AE1318" s="190"/>
      <c r="AF1318" s="190"/>
      <c r="AG1318" s="190"/>
      <c r="AH1318" s="190"/>
      <c r="AI1318" s="190"/>
      <c r="AJ1318" s="190"/>
      <c r="AK1318" s="190"/>
      <c r="AL1318" s="190"/>
    </row>
    <row r="1319" spans="2:38" ht="12.75" customHeight="1">
      <c r="B1319" s="6"/>
      <c r="C1319" s="6"/>
      <c r="D1319" s="12"/>
      <c r="E1319" s="12"/>
      <c r="F1319" s="12"/>
      <c r="G1319" s="12"/>
      <c r="H1319" s="6"/>
      <c r="I1319" s="190"/>
      <c r="J1319" s="190"/>
      <c r="K1319" s="190"/>
      <c r="L1319" s="190"/>
      <c r="M1319" s="190"/>
      <c r="N1319" s="190"/>
      <c r="O1319" s="190"/>
      <c r="P1319" s="190"/>
      <c r="Q1319" s="190"/>
      <c r="R1319" s="190"/>
      <c r="S1319" s="190"/>
      <c r="T1319" s="190"/>
      <c r="U1319" s="190"/>
      <c r="V1319" s="190"/>
      <c r="W1319" s="190"/>
      <c r="X1319" s="190"/>
      <c r="Y1319" s="190"/>
      <c r="Z1319" s="190"/>
      <c r="AA1319" s="190"/>
      <c r="AB1319" s="190"/>
      <c r="AC1319" s="190"/>
      <c r="AD1319" s="190"/>
      <c r="AE1319" s="190"/>
      <c r="AF1319" s="190"/>
      <c r="AG1319" s="190"/>
      <c r="AH1319" s="190"/>
      <c r="AI1319" s="190"/>
      <c r="AJ1319" s="190"/>
      <c r="AK1319" s="190"/>
      <c r="AL1319" s="190"/>
    </row>
    <row r="1320" spans="2:38" ht="12.75" customHeight="1">
      <c r="B1320" s="6"/>
      <c r="C1320" s="6"/>
      <c r="D1320" s="12"/>
      <c r="E1320" s="12"/>
      <c r="F1320" s="12"/>
      <c r="G1320" s="12"/>
      <c r="H1320" s="6"/>
      <c r="I1320" s="190"/>
      <c r="J1320" s="190"/>
      <c r="K1320" s="190"/>
      <c r="L1320" s="190"/>
      <c r="M1320" s="190"/>
      <c r="N1320" s="190"/>
      <c r="O1320" s="190"/>
      <c r="P1320" s="190"/>
      <c r="Q1320" s="190"/>
      <c r="R1320" s="190"/>
      <c r="S1320" s="190"/>
      <c r="T1320" s="190"/>
      <c r="U1320" s="190"/>
      <c r="V1320" s="190"/>
      <c r="W1320" s="190"/>
      <c r="X1320" s="190"/>
      <c r="Y1320" s="190"/>
      <c r="Z1320" s="190"/>
      <c r="AA1320" s="190"/>
      <c r="AB1320" s="190"/>
      <c r="AC1320" s="190"/>
      <c r="AD1320" s="190"/>
      <c r="AE1320" s="190"/>
      <c r="AF1320" s="190"/>
      <c r="AG1320" s="190"/>
      <c r="AH1320" s="190"/>
      <c r="AI1320" s="190"/>
      <c r="AJ1320" s="190"/>
      <c r="AK1320" s="190"/>
      <c r="AL1320" s="190"/>
    </row>
    <row r="1321" spans="2:38" ht="12.75" customHeight="1">
      <c r="B1321" s="6"/>
      <c r="C1321" s="6"/>
      <c r="D1321" s="12"/>
      <c r="E1321" s="12"/>
      <c r="F1321" s="12"/>
      <c r="G1321" s="12"/>
      <c r="H1321" s="6"/>
      <c r="I1321" s="190"/>
      <c r="J1321" s="190"/>
      <c r="K1321" s="190"/>
      <c r="L1321" s="190"/>
      <c r="M1321" s="190"/>
      <c r="N1321" s="190"/>
      <c r="O1321" s="190"/>
      <c r="P1321" s="190"/>
      <c r="Q1321" s="190"/>
      <c r="R1321" s="190"/>
      <c r="S1321" s="190"/>
      <c r="T1321" s="190"/>
      <c r="U1321" s="190"/>
      <c r="V1321" s="190"/>
      <c r="W1321" s="190"/>
      <c r="X1321" s="190"/>
      <c r="Y1321" s="190"/>
      <c r="Z1321" s="190"/>
      <c r="AA1321" s="190"/>
      <c r="AB1321" s="190"/>
      <c r="AC1321" s="190"/>
      <c r="AD1321" s="190"/>
      <c r="AE1321" s="190"/>
      <c r="AF1321" s="190"/>
      <c r="AG1321" s="190"/>
      <c r="AH1321" s="190"/>
      <c r="AI1321" s="190"/>
      <c r="AJ1321" s="190"/>
      <c r="AK1321" s="190"/>
      <c r="AL1321" s="190"/>
    </row>
    <row r="1322" spans="2:38" ht="12.75" customHeight="1">
      <c r="B1322" s="6"/>
      <c r="C1322" s="6"/>
      <c r="D1322" s="12"/>
      <c r="E1322" s="12"/>
      <c r="F1322" s="12"/>
      <c r="G1322" s="12"/>
      <c r="H1322" s="6"/>
      <c r="I1322" s="190"/>
      <c r="J1322" s="190"/>
      <c r="K1322" s="190"/>
      <c r="L1322" s="190"/>
      <c r="M1322" s="190"/>
      <c r="N1322" s="190"/>
      <c r="O1322" s="190"/>
      <c r="P1322" s="190"/>
      <c r="Q1322" s="190"/>
      <c r="R1322" s="190"/>
      <c r="S1322" s="190"/>
      <c r="T1322" s="190"/>
      <c r="U1322" s="190"/>
      <c r="V1322" s="190"/>
      <c r="W1322" s="190"/>
      <c r="X1322" s="190"/>
      <c r="Y1322" s="190"/>
      <c r="Z1322" s="190"/>
      <c r="AA1322" s="190"/>
      <c r="AB1322" s="190"/>
      <c r="AC1322" s="190"/>
      <c r="AD1322" s="190"/>
      <c r="AE1322" s="190"/>
      <c r="AF1322" s="190"/>
      <c r="AG1322" s="190"/>
      <c r="AH1322" s="190"/>
      <c r="AI1322" s="190"/>
      <c r="AJ1322" s="190"/>
      <c r="AK1322" s="190"/>
      <c r="AL1322" s="190"/>
    </row>
    <row r="1323" spans="2:38" ht="12.75" customHeight="1">
      <c r="B1323" s="6"/>
      <c r="C1323" s="6"/>
      <c r="D1323" s="12"/>
      <c r="E1323" s="12"/>
      <c r="F1323" s="12"/>
      <c r="G1323" s="12"/>
      <c r="H1323" s="6"/>
      <c r="I1323" s="190"/>
      <c r="J1323" s="190"/>
      <c r="K1323" s="190"/>
      <c r="L1323" s="190"/>
      <c r="M1323" s="190"/>
      <c r="N1323" s="190"/>
      <c r="O1323" s="190"/>
      <c r="P1323" s="190"/>
      <c r="Q1323" s="190"/>
      <c r="R1323" s="190"/>
      <c r="S1323" s="190"/>
      <c r="T1323" s="190"/>
      <c r="U1323" s="190"/>
      <c r="V1323" s="190"/>
      <c r="W1323" s="190"/>
      <c r="X1323" s="190"/>
      <c r="Y1323" s="190"/>
      <c r="Z1323" s="190"/>
      <c r="AA1323" s="190"/>
      <c r="AB1323" s="190"/>
      <c r="AC1323" s="190"/>
      <c r="AD1323" s="190"/>
      <c r="AE1323" s="190"/>
      <c r="AF1323" s="190"/>
      <c r="AG1323" s="190"/>
      <c r="AH1323" s="190"/>
      <c r="AI1323" s="190"/>
      <c r="AJ1323" s="190"/>
      <c r="AK1323" s="190"/>
      <c r="AL1323" s="190"/>
    </row>
    <row r="1324" spans="2:38" ht="12.75" customHeight="1">
      <c r="B1324" s="6"/>
      <c r="C1324" s="6"/>
      <c r="D1324" s="12"/>
      <c r="E1324" s="12"/>
      <c r="F1324" s="12"/>
      <c r="G1324" s="12"/>
      <c r="H1324" s="6"/>
      <c r="I1324" s="190"/>
      <c r="J1324" s="190"/>
      <c r="K1324" s="190"/>
      <c r="L1324" s="190"/>
      <c r="M1324" s="190"/>
      <c r="N1324" s="190"/>
      <c r="O1324" s="190"/>
      <c r="P1324" s="190"/>
      <c r="Q1324" s="190"/>
      <c r="R1324" s="190"/>
      <c r="S1324" s="190"/>
      <c r="T1324" s="190"/>
      <c r="U1324" s="190"/>
      <c r="V1324" s="190"/>
      <c r="W1324" s="190"/>
      <c r="X1324" s="190"/>
      <c r="Y1324" s="190"/>
      <c r="Z1324" s="190"/>
      <c r="AA1324" s="190"/>
      <c r="AB1324" s="190"/>
      <c r="AC1324" s="190"/>
      <c r="AD1324" s="190"/>
      <c r="AE1324" s="190"/>
      <c r="AF1324" s="190"/>
      <c r="AG1324" s="190"/>
      <c r="AH1324" s="190"/>
      <c r="AI1324" s="190"/>
      <c r="AJ1324" s="190"/>
      <c r="AK1324" s="190"/>
      <c r="AL1324" s="190"/>
    </row>
    <row r="1325" spans="2:38" ht="12.75" customHeight="1">
      <c r="B1325" s="6"/>
      <c r="C1325" s="6"/>
      <c r="D1325" s="12"/>
      <c r="E1325" s="12"/>
      <c r="F1325" s="12"/>
      <c r="G1325" s="12"/>
      <c r="H1325" s="6"/>
      <c r="I1325" s="190"/>
      <c r="J1325" s="190"/>
      <c r="K1325" s="190"/>
      <c r="L1325" s="190"/>
      <c r="M1325" s="190"/>
      <c r="N1325" s="190"/>
      <c r="O1325" s="190"/>
      <c r="P1325" s="190"/>
      <c r="Q1325" s="190"/>
      <c r="R1325" s="190"/>
      <c r="S1325" s="190"/>
      <c r="T1325" s="190"/>
      <c r="U1325" s="190"/>
      <c r="V1325" s="190"/>
      <c r="W1325" s="190"/>
      <c r="X1325" s="190"/>
      <c r="Y1325" s="190"/>
      <c r="Z1325" s="190"/>
      <c r="AA1325" s="190"/>
      <c r="AB1325" s="190"/>
      <c r="AC1325" s="190"/>
      <c r="AD1325" s="190"/>
      <c r="AE1325" s="190"/>
      <c r="AF1325" s="190"/>
      <c r="AG1325" s="190"/>
      <c r="AH1325" s="190"/>
      <c r="AI1325" s="190"/>
      <c r="AJ1325" s="190"/>
      <c r="AK1325" s="190"/>
      <c r="AL1325" s="190"/>
    </row>
    <row r="1326" spans="2:38" ht="12.75" customHeight="1">
      <c r="B1326" s="6"/>
      <c r="C1326" s="6"/>
      <c r="D1326" s="12"/>
      <c r="E1326" s="12"/>
      <c r="F1326" s="12"/>
      <c r="G1326" s="12"/>
      <c r="H1326" s="6"/>
      <c r="I1326" s="190"/>
      <c r="J1326" s="190"/>
      <c r="K1326" s="190"/>
      <c r="L1326" s="190"/>
      <c r="M1326" s="190"/>
      <c r="N1326" s="190"/>
      <c r="O1326" s="190"/>
      <c r="P1326" s="190"/>
      <c r="Q1326" s="190"/>
      <c r="R1326" s="190"/>
      <c r="S1326" s="190"/>
      <c r="T1326" s="190"/>
      <c r="U1326" s="190"/>
      <c r="V1326" s="190"/>
      <c r="W1326" s="190"/>
      <c r="X1326" s="190"/>
      <c r="Y1326" s="190"/>
      <c r="Z1326" s="190"/>
      <c r="AA1326" s="190"/>
      <c r="AB1326" s="190"/>
      <c r="AC1326" s="190"/>
      <c r="AD1326" s="190"/>
      <c r="AE1326" s="190"/>
      <c r="AF1326" s="190"/>
      <c r="AG1326" s="190"/>
      <c r="AH1326" s="190"/>
      <c r="AI1326" s="190"/>
      <c r="AJ1326" s="190"/>
      <c r="AK1326" s="190"/>
      <c r="AL1326" s="190"/>
    </row>
    <row r="1327" spans="2:38" ht="12.75" customHeight="1">
      <c r="B1327" s="6"/>
      <c r="C1327" s="6"/>
      <c r="D1327" s="12"/>
      <c r="E1327" s="12"/>
      <c r="F1327" s="12"/>
      <c r="G1327" s="12"/>
      <c r="H1327" s="6"/>
      <c r="I1327" s="190"/>
      <c r="J1327" s="190"/>
      <c r="K1327" s="190"/>
      <c r="L1327" s="190"/>
      <c r="M1327" s="190"/>
      <c r="N1327" s="190"/>
      <c r="O1327" s="190"/>
      <c r="P1327" s="190"/>
      <c r="Q1327" s="190"/>
      <c r="R1327" s="190"/>
      <c r="S1327" s="190"/>
      <c r="T1327" s="190"/>
      <c r="U1327" s="190"/>
      <c r="V1327" s="190"/>
      <c r="W1327" s="190"/>
      <c r="X1327" s="190"/>
      <c r="Y1327" s="190"/>
      <c r="Z1327" s="190"/>
      <c r="AA1327" s="190"/>
      <c r="AB1327" s="190"/>
      <c r="AC1327" s="190"/>
      <c r="AD1327" s="190"/>
      <c r="AE1327" s="190"/>
      <c r="AF1327" s="190"/>
      <c r="AG1327" s="190"/>
      <c r="AH1327" s="190"/>
      <c r="AI1327" s="190"/>
      <c r="AJ1327" s="190"/>
      <c r="AK1327" s="190"/>
      <c r="AL1327" s="190"/>
    </row>
    <row r="1328" spans="2:38" ht="12.75" customHeight="1">
      <c r="B1328" s="6"/>
      <c r="C1328" s="6"/>
      <c r="D1328" s="12"/>
      <c r="E1328" s="12"/>
      <c r="F1328" s="12"/>
      <c r="G1328" s="12"/>
      <c r="H1328" s="6"/>
      <c r="I1328" s="190"/>
      <c r="J1328" s="190"/>
      <c r="K1328" s="190"/>
      <c r="L1328" s="190"/>
      <c r="M1328" s="190"/>
      <c r="N1328" s="190"/>
      <c r="O1328" s="190"/>
      <c r="P1328" s="190"/>
      <c r="Q1328" s="190"/>
      <c r="R1328" s="190"/>
      <c r="S1328" s="190"/>
      <c r="T1328" s="190"/>
      <c r="U1328" s="190"/>
      <c r="V1328" s="190"/>
      <c r="W1328" s="190"/>
      <c r="X1328" s="190"/>
      <c r="Y1328" s="190"/>
      <c r="Z1328" s="190"/>
      <c r="AA1328" s="190"/>
      <c r="AB1328" s="190"/>
      <c r="AC1328" s="190"/>
      <c r="AD1328" s="190"/>
      <c r="AE1328" s="190"/>
      <c r="AF1328" s="190"/>
      <c r="AG1328" s="190"/>
      <c r="AH1328" s="190"/>
      <c r="AI1328" s="190"/>
      <c r="AJ1328" s="190"/>
      <c r="AK1328" s="190"/>
      <c r="AL1328" s="190"/>
    </row>
    <row r="1329" spans="2:38" ht="12.75" customHeight="1">
      <c r="B1329" s="6"/>
      <c r="C1329" s="6"/>
      <c r="D1329" s="12"/>
      <c r="E1329" s="12"/>
      <c r="F1329" s="12"/>
      <c r="G1329" s="12"/>
      <c r="H1329" s="6"/>
      <c r="I1329" s="190"/>
      <c r="J1329" s="190"/>
      <c r="K1329" s="190"/>
      <c r="L1329" s="190"/>
      <c r="M1329" s="190"/>
      <c r="N1329" s="190"/>
      <c r="O1329" s="190"/>
      <c r="P1329" s="190"/>
      <c r="Q1329" s="190"/>
      <c r="R1329" s="190"/>
      <c r="S1329" s="190"/>
      <c r="T1329" s="190"/>
      <c r="U1329" s="190"/>
      <c r="V1329" s="190"/>
      <c r="W1329" s="190"/>
      <c r="X1329" s="190"/>
      <c r="Y1329" s="190"/>
      <c r="Z1329" s="190"/>
      <c r="AA1329" s="190"/>
      <c r="AB1329" s="190"/>
      <c r="AC1329" s="190"/>
      <c r="AD1329" s="190"/>
      <c r="AE1329" s="190"/>
      <c r="AF1329" s="190"/>
      <c r="AG1329" s="190"/>
      <c r="AH1329" s="190"/>
      <c r="AI1329" s="190"/>
      <c r="AJ1329" s="190"/>
      <c r="AK1329" s="190"/>
      <c r="AL1329" s="190"/>
    </row>
    <row r="1330" spans="2:38" ht="12.75" customHeight="1">
      <c r="B1330" s="6"/>
      <c r="C1330" s="6"/>
      <c r="D1330" s="12"/>
      <c r="E1330" s="12"/>
      <c r="F1330" s="12"/>
      <c r="G1330" s="12"/>
      <c r="H1330" s="6"/>
      <c r="I1330" s="190"/>
      <c r="J1330" s="190"/>
      <c r="K1330" s="190"/>
      <c r="L1330" s="190"/>
      <c r="M1330" s="190"/>
      <c r="N1330" s="190"/>
      <c r="O1330" s="190"/>
      <c r="P1330" s="190"/>
      <c r="Q1330" s="190"/>
      <c r="R1330" s="190"/>
      <c r="S1330" s="190"/>
      <c r="T1330" s="190"/>
      <c r="U1330" s="190"/>
      <c r="V1330" s="190"/>
      <c r="W1330" s="190"/>
      <c r="X1330" s="190"/>
      <c r="Y1330" s="190"/>
      <c r="Z1330" s="190"/>
      <c r="AA1330" s="190"/>
      <c r="AB1330" s="190"/>
      <c r="AC1330" s="190"/>
      <c r="AD1330" s="190"/>
      <c r="AE1330" s="190"/>
      <c r="AF1330" s="190"/>
      <c r="AG1330" s="190"/>
      <c r="AH1330" s="190"/>
      <c r="AI1330" s="190"/>
      <c r="AJ1330" s="190"/>
      <c r="AK1330" s="190"/>
      <c r="AL1330" s="190"/>
    </row>
    <row r="1331" spans="2:38" ht="12.75" customHeight="1">
      <c r="B1331" s="6"/>
      <c r="C1331" s="6"/>
      <c r="D1331" s="12"/>
      <c r="E1331" s="12"/>
      <c r="F1331" s="12"/>
      <c r="G1331" s="12"/>
      <c r="H1331" s="6"/>
      <c r="I1331" s="190"/>
      <c r="J1331" s="190"/>
      <c r="K1331" s="190"/>
      <c r="L1331" s="190"/>
      <c r="M1331" s="190"/>
      <c r="N1331" s="190"/>
      <c r="O1331" s="190"/>
      <c r="P1331" s="190"/>
      <c r="Q1331" s="190"/>
      <c r="R1331" s="190"/>
      <c r="S1331" s="190"/>
      <c r="T1331" s="190"/>
      <c r="U1331" s="190"/>
      <c r="V1331" s="190"/>
      <c r="W1331" s="190"/>
      <c r="X1331" s="190"/>
      <c r="Y1331" s="190"/>
      <c r="Z1331" s="190"/>
      <c r="AA1331" s="190"/>
      <c r="AB1331" s="190"/>
      <c r="AC1331" s="190"/>
      <c r="AD1331" s="190"/>
      <c r="AE1331" s="190"/>
      <c r="AF1331" s="190"/>
      <c r="AG1331" s="190"/>
      <c r="AH1331" s="190"/>
      <c r="AI1331" s="190"/>
      <c r="AJ1331" s="190"/>
      <c r="AK1331" s="190"/>
      <c r="AL1331" s="190"/>
    </row>
    <row r="1332" spans="2:38" ht="12.75" customHeight="1">
      <c r="B1332" s="6"/>
      <c r="C1332" s="6"/>
      <c r="D1332" s="12"/>
      <c r="E1332" s="12"/>
      <c r="F1332" s="12"/>
      <c r="G1332" s="12"/>
      <c r="H1332" s="6"/>
      <c r="I1332" s="190"/>
      <c r="J1332" s="190"/>
      <c r="K1332" s="190"/>
      <c r="L1332" s="190"/>
      <c r="M1332" s="190"/>
      <c r="N1332" s="190"/>
      <c r="O1332" s="190"/>
      <c r="P1332" s="190"/>
      <c r="Q1332" s="190"/>
      <c r="R1332" s="190"/>
      <c r="S1332" s="190"/>
      <c r="T1332" s="190"/>
      <c r="U1332" s="190"/>
      <c r="V1332" s="190"/>
      <c r="W1332" s="190"/>
      <c r="X1332" s="190"/>
      <c r="Y1332" s="190"/>
      <c r="Z1332" s="190"/>
      <c r="AA1332" s="190"/>
      <c r="AB1332" s="190"/>
      <c r="AC1332" s="190"/>
      <c r="AD1332" s="190"/>
      <c r="AE1332" s="190"/>
      <c r="AF1332" s="190"/>
      <c r="AG1332" s="190"/>
      <c r="AH1332" s="190"/>
      <c r="AI1332" s="190"/>
      <c r="AJ1332" s="190"/>
      <c r="AK1332" s="190"/>
      <c r="AL1332" s="190"/>
    </row>
    <row r="1333" spans="2:38" ht="12.75" customHeight="1">
      <c r="B1333" s="6"/>
      <c r="C1333" s="6"/>
      <c r="D1333" s="12"/>
      <c r="E1333" s="12"/>
      <c r="F1333" s="12"/>
      <c r="G1333" s="12"/>
      <c r="H1333" s="6"/>
      <c r="I1333" s="190"/>
      <c r="J1333" s="190"/>
      <c r="K1333" s="190"/>
      <c r="L1333" s="190"/>
      <c r="M1333" s="190"/>
      <c r="N1333" s="190"/>
      <c r="O1333" s="190"/>
      <c r="P1333" s="190"/>
      <c r="Q1333" s="190"/>
      <c r="R1333" s="190"/>
      <c r="S1333" s="190"/>
      <c r="T1333" s="190"/>
      <c r="U1333" s="190"/>
      <c r="V1333" s="190"/>
      <c r="W1333" s="190"/>
      <c r="X1333" s="190"/>
      <c r="Y1333" s="190"/>
      <c r="Z1333" s="190"/>
      <c r="AA1333" s="190"/>
      <c r="AB1333" s="190"/>
      <c r="AC1333" s="190"/>
      <c r="AD1333" s="190"/>
      <c r="AE1333" s="190"/>
      <c r="AF1333" s="190"/>
      <c r="AG1333" s="190"/>
      <c r="AH1333" s="190"/>
      <c r="AI1333" s="190"/>
      <c r="AJ1333" s="190"/>
      <c r="AK1333" s="190"/>
      <c r="AL1333" s="190"/>
    </row>
    <row r="1334" spans="2:38" ht="12.75" customHeight="1">
      <c r="B1334" s="6"/>
      <c r="C1334" s="6"/>
      <c r="D1334" s="12"/>
      <c r="E1334" s="12"/>
      <c r="F1334" s="12"/>
      <c r="G1334" s="12"/>
      <c r="H1334" s="6"/>
      <c r="I1334" s="190"/>
      <c r="J1334" s="190"/>
      <c r="K1334" s="190"/>
      <c r="L1334" s="190"/>
      <c r="M1334" s="190"/>
      <c r="N1334" s="190"/>
      <c r="O1334" s="190"/>
      <c r="P1334" s="190"/>
      <c r="Q1334" s="190"/>
      <c r="R1334" s="190"/>
      <c r="S1334" s="190"/>
      <c r="T1334" s="190"/>
      <c r="U1334" s="190"/>
      <c r="V1334" s="190"/>
      <c r="W1334" s="190"/>
      <c r="X1334" s="190"/>
      <c r="Y1334" s="190"/>
      <c r="Z1334" s="190"/>
      <c r="AA1334" s="190"/>
      <c r="AB1334" s="190"/>
      <c r="AC1334" s="190"/>
      <c r="AD1334" s="190"/>
      <c r="AE1334" s="190"/>
      <c r="AF1334" s="190"/>
      <c r="AG1334" s="190"/>
      <c r="AH1334" s="190"/>
      <c r="AI1334" s="190"/>
      <c r="AJ1334" s="190"/>
      <c r="AK1334" s="190"/>
      <c r="AL1334" s="190"/>
    </row>
    <row r="1335" spans="2:38" ht="12.75" customHeight="1">
      <c r="B1335" s="6"/>
      <c r="C1335" s="6"/>
      <c r="D1335" s="12"/>
      <c r="E1335" s="12"/>
      <c r="F1335" s="12"/>
      <c r="G1335" s="12"/>
      <c r="H1335" s="6"/>
      <c r="I1335" s="190"/>
      <c r="J1335" s="190"/>
      <c r="K1335" s="190"/>
      <c r="L1335" s="190"/>
      <c r="M1335" s="190"/>
      <c r="N1335" s="190"/>
      <c r="O1335" s="190"/>
      <c r="P1335" s="190"/>
      <c r="Q1335" s="190"/>
      <c r="R1335" s="190"/>
      <c r="S1335" s="190"/>
      <c r="T1335" s="190"/>
      <c r="U1335" s="190"/>
      <c r="V1335" s="190"/>
      <c r="W1335" s="190"/>
      <c r="X1335" s="190"/>
      <c r="Y1335" s="190"/>
      <c r="Z1335" s="190"/>
      <c r="AA1335" s="190"/>
      <c r="AB1335" s="190"/>
      <c r="AC1335" s="190"/>
      <c r="AD1335" s="190"/>
      <c r="AE1335" s="190"/>
      <c r="AF1335" s="190"/>
      <c r="AG1335" s="190"/>
      <c r="AH1335" s="190"/>
      <c r="AI1335" s="190"/>
      <c r="AJ1335" s="190"/>
      <c r="AK1335" s="190"/>
      <c r="AL1335" s="190"/>
    </row>
    <row r="1336" spans="2:38" ht="12.75" customHeight="1">
      <c r="B1336" s="6"/>
      <c r="C1336" s="6"/>
      <c r="D1336" s="12"/>
      <c r="E1336" s="12"/>
      <c r="F1336" s="12"/>
      <c r="G1336" s="12"/>
      <c r="H1336" s="6"/>
      <c r="I1336" s="190"/>
      <c r="J1336" s="190"/>
      <c r="K1336" s="190"/>
      <c r="L1336" s="190"/>
      <c r="M1336" s="190"/>
      <c r="N1336" s="190"/>
      <c r="O1336" s="190"/>
      <c r="P1336" s="190"/>
      <c r="Q1336" s="190"/>
      <c r="R1336" s="190"/>
      <c r="S1336" s="190"/>
      <c r="T1336" s="190"/>
      <c r="U1336" s="190"/>
      <c r="V1336" s="190"/>
      <c r="W1336" s="190"/>
      <c r="X1336" s="190"/>
      <c r="Y1336" s="190"/>
      <c r="Z1336" s="190"/>
      <c r="AA1336" s="190"/>
      <c r="AB1336" s="190"/>
      <c r="AC1336" s="190"/>
      <c r="AD1336" s="190"/>
      <c r="AE1336" s="190"/>
      <c r="AF1336" s="190"/>
      <c r="AG1336" s="190"/>
      <c r="AH1336" s="190"/>
      <c r="AI1336" s="190"/>
      <c r="AJ1336" s="190"/>
      <c r="AK1336" s="190"/>
      <c r="AL1336" s="190"/>
    </row>
    <row r="1337" spans="2:38" ht="12.75" customHeight="1">
      <c r="B1337" s="6"/>
      <c r="C1337" s="6"/>
      <c r="D1337" s="12"/>
      <c r="E1337" s="12"/>
      <c r="F1337" s="12"/>
      <c r="G1337" s="12"/>
      <c r="H1337" s="6"/>
      <c r="I1337" s="190"/>
      <c r="J1337" s="190"/>
      <c r="K1337" s="190"/>
      <c r="L1337" s="190"/>
      <c r="M1337" s="190"/>
      <c r="N1337" s="190"/>
      <c r="O1337" s="190"/>
      <c r="P1337" s="190"/>
      <c r="Q1337" s="190"/>
      <c r="R1337" s="190"/>
      <c r="S1337" s="190"/>
      <c r="T1337" s="190"/>
      <c r="U1337" s="190"/>
      <c r="V1337" s="190"/>
      <c r="W1337" s="190"/>
      <c r="X1337" s="190"/>
      <c r="Y1337" s="190"/>
      <c r="Z1337" s="190"/>
      <c r="AA1337" s="190"/>
      <c r="AB1337" s="190"/>
      <c r="AC1337" s="190"/>
      <c r="AD1337" s="190"/>
      <c r="AE1337" s="190"/>
      <c r="AF1337" s="190"/>
      <c r="AG1337" s="190"/>
      <c r="AH1337" s="190"/>
      <c r="AI1337" s="190"/>
      <c r="AJ1337" s="190"/>
      <c r="AK1337" s="190"/>
      <c r="AL1337" s="190"/>
    </row>
    <row r="1338" spans="2:38" ht="12.75" customHeight="1">
      <c r="B1338" s="6"/>
      <c r="C1338" s="6"/>
      <c r="D1338" s="12"/>
      <c r="E1338" s="12"/>
      <c r="F1338" s="12"/>
      <c r="G1338" s="12"/>
      <c r="H1338" s="6"/>
      <c r="I1338" s="190"/>
      <c r="J1338" s="190"/>
      <c r="K1338" s="190"/>
      <c r="L1338" s="190"/>
      <c r="M1338" s="190"/>
      <c r="N1338" s="190"/>
      <c r="O1338" s="190"/>
      <c r="P1338" s="190"/>
      <c r="Q1338" s="190"/>
      <c r="R1338" s="190"/>
      <c r="S1338" s="190"/>
      <c r="T1338" s="190"/>
      <c r="U1338" s="190"/>
      <c r="V1338" s="190"/>
      <c r="W1338" s="190"/>
      <c r="X1338" s="190"/>
      <c r="Y1338" s="190"/>
      <c r="Z1338" s="190"/>
      <c r="AA1338" s="190"/>
      <c r="AB1338" s="190"/>
      <c r="AC1338" s="190"/>
      <c r="AD1338" s="190"/>
      <c r="AE1338" s="190"/>
      <c r="AF1338" s="190"/>
      <c r="AG1338" s="190"/>
      <c r="AH1338" s="190"/>
      <c r="AI1338" s="190"/>
      <c r="AJ1338" s="190"/>
      <c r="AK1338" s="190"/>
      <c r="AL1338" s="190"/>
    </row>
    <row r="1339" spans="2:38" ht="12.75" customHeight="1">
      <c r="B1339" s="6"/>
      <c r="C1339" s="6"/>
      <c r="D1339" s="12"/>
      <c r="E1339" s="12"/>
      <c r="F1339" s="12"/>
      <c r="G1339" s="12"/>
      <c r="H1339" s="6"/>
      <c r="I1339" s="190"/>
      <c r="J1339" s="190"/>
      <c r="K1339" s="190"/>
      <c r="L1339" s="190"/>
      <c r="M1339" s="190"/>
      <c r="N1339" s="190"/>
      <c r="O1339" s="190"/>
      <c r="P1339" s="190"/>
      <c r="Q1339" s="190"/>
      <c r="R1339" s="190"/>
      <c r="S1339" s="190"/>
      <c r="T1339" s="190"/>
      <c r="U1339" s="190"/>
      <c r="V1339" s="190"/>
      <c r="W1339" s="190"/>
      <c r="X1339" s="190"/>
      <c r="Y1339" s="190"/>
      <c r="Z1339" s="190"/>
      <c r="AA1339" s="190"/>
      <c r="AB1339" s="190"/>
      <c r="AC1339" s="190"/>
      <c r="AD1339" s="190"/>
      <c r="AE1339" s="190"/>
      <c r="AF1339" s="190"/>
      <c r="AG1339" s="190"/>
      <c r="AH1339" s="190"/>
      <c r="AI1339" s="190"/>
      <c r="AJ1339" s="190"/>
      <c r="AK1339" s="190"/>
      <c r="AL1339" s="190"/>
    </row>
    <row r="1340" spans="2:38" ht="12.75" customHeight="1">
      <c r="B1340" s="6"/>
      <c r="C1340" s="6"/>
      <c r="D1340" s="12"/>
      <c r="E1340" s="12"/>
      <c r="F1340" s="12"/>
      <c r="G1340" s="12"/>
      <c r="H1340" s="6"/>
      <c r="I1340" s="190"/>
      <c r="J1340" s="190"/>
      <c r="K1340" s="190"/>
      <c r="L1340" s="190"/>
      <c r="M1340" s="190"/>
      <c r="N1340" s="190"/>
      <c r="O1340" s="190"/>
      <c r="P1340" s="190"/>
      <c r="Q1340" s="190"/>
      <c r="R1340" s="190"/>
      <c r="S1340" s="190"/>
      <c r="T1340" s="190"/>
      <c r="U1340" s="190"/>
      <c r="V1340" s="190"/>
      <c r="W1340" s="190"/>
      <c r="X1340" s="190"/>
      <c r="Y1340" s="190"/>
      <c r="Z1340" s="190"/>
      <c r="AA1340" s="190"/>
      <c r="AB1340" s="190"/>
      <c r="AC1340" s="190"/>
      <c r="AD1340" s="190"/>
      <c r="AE1340" s="190"/>
      <c r="AF1340" s="190"/>
      <c r="AG1340" s="190"/>
      <c r="AH1340" s="190"/>
      <c r="AI1340" s="190"/>
      <c r="AJ1340" s="190"/>
      <c r="AK1340" s="190"/>
      <c r="AL1340" s="190"/>
    </row>
    <row r="1341" spans="2:38" ht="12.75" customHeight="1">
      <c r="B1341" s="6"/>
      <c r="C1341" s="6"/>
      <c r="D1341" s="12"/>
      <c r="E1341" s="12"/>
      <c r="F1341" s="12"/>
      <c r="G1341" s="12"/>
      <c r="H1341" s="6"/>
      <c r="I1341" s="190"/>
      <c r="J1341" s="190"/>
      <c r="K1341" s="190"/>
      <c r="L1341" s="190"/>
      <c r="M1341" s="190"/>
      <c r="N1341" s="190"/>
      <c r="O1341" s="190"/>
      <c r="P1341" s="190"/>
      <c r="Q1341" s="190"/>
      <c r="R1341" s="190"/>
      <c r="S1341" s="190"/>
      <c r="T1341" s="190"/>
      <c r="U1341" s="190"/>
      <c r="V1341" s="190"/>
      <c r="W1341" s="190"/>
      <c r="X1341" s="190"/>
      <c r="Y1341" s="190"/>
      <c r="Z1341" s="190"/>
      <c r="AA1341" s="190"/>
      <c r="AB1341" s="190"/>
      <c r="AC1341" s="190"/>
      <c r="AD1341" s="190"/>
      <c r="AE1341" s="190"/>
      <c r="AF1341" s="190"/>
      <c r="AG1341" s="190"/>
      <c r="AH1341" s="190"/>
      <c r="AI1341" s="190"/>
      <c r="AJ1341" s="190"/>
      <c r="AK1341" s="190"/>
      <c r="AL1341" s="190"/>
    </row>
    <row r="1342" spans="2:38" ht="12.75" customHeight="1">
      <c r="B1342" s="6"/>
      <c r="C1342" s="6"/>
      <c r="D1342" s="12"/>
      <c r="E1342" s="12"/>
      <c r="F1342" s="12"/>
      <c r="G1342" s="12"/>
      <c r="H1342" s="6"/>
      <c r="I1342" s="190"/>
      <c r="J1342" s="190"/>
      <c r="K1342" s="190"/>
      <c r="L1342" s="190"/>
      <c r="M1342" s="190"/>
      <c r="N1342" s="190"/>
      <c r="O1342" s="190"/>
      <c r="P1342" s="190"/>
      <c r="Q1342" s="190"/>
      <c r="R1342" s="190"/>
      <c r="S1342" s="190"/>
      <c r="T1342" s="190"/>
      <c r="U1342" s="190"/>
      <c r="V1342" s="190"/>
      <c r="W1342" s="190"/>
      <c r="X1342" s="190"/>
      <c r="Y1342" s="190"/>
      <c r="Z1342" s="190"/>
      <c r="AA1342" s="190"/>
      <c r="AB1342" s="190"/>
      <c r="AC1342" s="190"/>
      <c r="AD1342" s="190"/>
      <c r="AE1342" s="190"/>
      <c r="AF1342" s="190"/>
      <c r="AG1342" s="190"/>
      <c r="AH1342" s="190"/>
      <c r="AI1342" s="190"/>
      <c r="AJ1342" s="190"/>
      <c r="AK1342" s="190"/>
      <c r="AL1342" s="190"/>
    </row>
    <row r="1343" spans="2:38" ht="12.75" customHeight="1">
      <c r="B1343" s="6"/>
      <c r="C1343" s="6"/>
      <c r="D1343" s="12"/>
      <c r="E1343" s="12"/>
      <c r="F1343" s="12"/>
      <c r="G1343" s="12"/>
      <c r="H1343" s="6"/>
      <c r="I1343" s="190"/>
      <c r="J1343" s="190"/>
      <c r="K1343" s="190"/>
      <c r="L1343" s="190"/>
      <c r="M1343" s="190"/>
      <c r="N1343" s="190"/>
      <c r="O1343" s="190"/>
      <c r="P1343" s="190"/>
      <c r="Q1343" s="190"/>
      <c r="R1343" s="190"/>
      <c r="S1343" s="190"/>
      <c r="T1343" s="190"/>
      <c r="U1343" s="190"/>
      <c r="V1343" s="190"/>
      <c r="W1343" s="190"/>
      <c r="X1343" s="190"/>
      <c r="Y1343" s="190"/>
      <c r="Z1343" s="190"/>
      <c r="AA1343" s="190"/>
      <c r="AB1343" s="190"/>
      <c r="AC1343" s="190"/>
      <c r="AD1343" s="190"/>
      <c r="AE1343" s="190"/>
      <c r="AF1343" s="190"/>
      <c r="AG1343" s="190"/>
      <c r="AH1343" s="190"/>
      <c r="AI1343" s="190"/>
      <c r="AJ1343" s="190"/>
      <c r="AK1343" s="190"/>
      <c r="AL1343" s="190"/>
    </row>
    <row r="1344" spans="2:38" ht="12.75" customHeight="1">
      <c r="B1344" s="6"/>
      <c r="C1344" s="6"/>
      <c r="D1344" s="12"/>
      <c r="E1344" s="12"/>
      <c r="F1344" s="12"/>
      <c r="G1344" s="12"/>
      <c r="H1344" s="6"/>
      <c r="I1344" s="190"/>
      <c r="J1344" s="190"/>
      <c r="K1344" s="190"/>
      <c r="L1344" s="190"/>
      <c r="M1344" s="190"/>
      <c r="N1344" s="190"/>
      <c r="O1344" s="190"/>
      <c r="P1344" s="190"/>
      <c r="Q1344" s="190"/>
      <c r="R1344" s="190"/>
      <c r="S1344" s="190"/>
      <c r="T1344" s="190"/>
      <c r="U1344" s="190"/>
      <c r="V1344" s="190"/>
      <c r="W1344" s="190"/>
      <c r="X1344" s="190"/>
      <c r="Y1344" s="190"/>
      <c r="Z1344" s="190"/>
      <c r="AA1344" s="190"/>
      <c r="AB1344" s="190"/>
      <c r="AC1344" s="190"/>
      <c r="AD1344" s="190"/>
      <c r="AE1344" s="190"/>
      <c r="AF1344" s="190"/>
      <c r="AG1344" s="190"/>
      <c r="AH1344" s="190"/>
      <c r="AI1344" s="190"/>
      <c r="AJ1344" s="190"/>
      <c r="AK1344" s="190"/>
      <c r="AL1344" s="190"/>
    </row>
    <row r="1345" spans="2:38" ht="12.75" customHeight="1">
      <c r="B1345" s="6"/>
      <c r="C1345" s="6"/>
      <c r="D1345" s="12"/>
      <c r="E1345" s="12"/>
      <c r="F1345" s="12"/>
      <c r="G1345" s="12"/>
      <c r="H1345" s="6"/>
      <c r="I1345" s="190"/>
      <c r="J1345" s="190"/>
      <c r="K1345" s="190"/>
      <c r="L1345" s="190"/>
      <c r="M1345" s="190"/>
      <c r="N1345" s="190"/>
      <c r="O1345" s="190"/>
      <c r="P1345" s="190"/>
      <c r="Q1345" s="190"/>
      <c r="R1345" s="190"/>
      <c r="S1345" s="190"/>
      <c r="T1345" s="190"/>
      <c r="U1345" s="190"/>
      <c r="V1345" s="190"/>
      <c r="W1345" s="190"/>
      <c r="X1345" s="190"/>
      <c r="Y1345" s="190"/>
      <c r="Z1345" s="190"/>
      <c r="AA1345" s="190"/>
      <c r="AB1345" s="190"/>
      <c r="AC1345" s="190"/>
      <c r="AD1345" s="190"/>
      <c r="AE1345" s="190"/>
      <c r="AF1345" s="190"/>
      <c r="AG1345" s="190"/>
      <c r="AH1345" s="190"/>
      <c r="AI1345" s="190"/>
      <c r="AJ1345" s="190"/>
      <c r="AK1345" s="190"/>
      <c r="AL1345" s="190"/>
    </row>
    <row r="1346" spans="2:38" ht="12.75" customHeight="1">
      <c r="B1346" s="6"/>
      <c r="C1346" s="6"/>
      <c r="D1346" s="12"/>
      <c r="E1346" s="12"/>
      <c r="F1346" s="12"/>
      <c r="G1346" s="12"/>
      <c r="H1346" s="6"/>
      <c r="I1346" s="190"/>
      <c r="J1346" s="190"/>
      <c r="K1346" s="190"/>
      <c r="L1346" s="190"/>
      <c r="M1346" s="190"/>
      <c r="N1346" s="190"/>
      <c r="O1346" s="190"/>
      <c r="P1346" s="190"/>
      <c r="Q1346" s="190"/>
      <c r="R1346" s="190"/>
      <c r="S1346" s="190"/>
      <c r="T1346" s="190"/>
      <c r="U1346" s="190"/>
      <c r="V1346" s="190"/>
      <c r="W1346" s="190"/>
      <c r="X1346" s="190"/>
      <c r="Y1346" s="190"/>
      <c r="Z1346" s="190"/>
      <c r="AA1346" s="190"/>
      <c r="AB1346" s="190"/>
      <c r="AC1346" s="190"/>
      <c r="AD1346" s="190"/>
      <c r="AE1346" s="190"/>
      <c r="AF1346" s="190"/>
      <c r="AG1346" s="190"/>
      <c r="AH1346" s="190"/>
      <c r="AI1346" s="190"/>
      <c r="AJ1346" s="190"/>
      <c r="AK1346" s="190"/>
      <c r="AL1346" s="190"/>
    </row>
    <row r="1347" spans="2:38" ht="12.75" customHeight="1">
      <c r="B1347" s="6"/>
      <c r="C1347" s="6"/>
      <c r="D1347" s="12"/>
      <c r="E1347" s="12"/>
      <c r="F1347" s="12"/>
      <c r="G1347" s="12"/>
      <c r="H1347" s="6"/>
      <c r="I1347" s="190"/>
      <c r="J1347" s="190"/>
      <c r="K1347" s="190"/>
      <c r="L1347" s="190"/>
      <c r="M1347" s="190"/>
      <c r="N1347" s="190"/>
      <c r="O1347" s="190"/>
      <c r="P1347" s="190"/>
      <c r="Q1347" s="190"/>
      <c r="R1347" s="190"/>
      <c r="S1347" s="190"/>
      <c r="T1347" s="190"/>
      <c r="U1347" s="190"/>
      <c r="V1347" s="190"/>
      <c r="W1347" s="190"/>
      <c r="X1347" s="190"/>
      <c r="Y1347" s="190"/>
      <c r="Z1347" s="190"/>
      <c r="AA1347" s="190"/>
      <c r="AB1347" s="190"/>
      <c r="AC1347" s="190"/>
      <c r="AD1347" s="190"/>
      <c r="AE1347" s="190"/>
      <c r="AF1347" s="190"/>
      <c r="AG1347" s="190"/>
      <c r="AH1347" s="190"/>
      <c r="AI1347" s="190"/>
      <c r="AJ1347" s="190"/>
      <c r="AK1347" s="190"/>
      <c r="AL1347" s="190"/>
    </row>
    <row r="1348" spans="2:38" ht="12.75" customHeight="1">
      <c r="B1348" s="6"/>
      <c r="C1348" s="6"/>
      <c r="D1348" s="12"/>
      <c r="E1348" s="12"/>
      <c r="F1348" s="12"/>
      <c r="G1348" s="12"/>
      <c r="H1348" s="6"/>
      <c r="I1348" s="190"/>
      <c r="J1348" s="190"/>
      <c r="K1348" s="190"/>
      <c r="L1348" s="190"/>
      <c r="M1348" s="190"/>
      <c r="N1348" s="190"/>
      <c r="O1348" s="190"/>
      <c r="P1348" s="190"/>
      <c r="Q1348" s="190"/>
      <c r="R1348" s="190"/>
      <c r="S1348" s="190"/>
      <c r="T1348" s="190"/>
      <c r="U1348" s="190"/>
      <c r="V1348" s="190"/>
      <c r="W1348" s="190"/>
      <c r="X1348" s="190"/>
      <c r="Y1348" s="190"/>
      <c r="Z1348" s="190"/>
      <c r="AA1348" s="190"/>
      <c r="AB1348" s="190"/>
      <c r="AC1348" s="190"/>
      <c r="AD1348" s="190"/>
      <c r="AE1348" s="190"/>
      <c r="AF1348" s="190"/>
      <c r="AG1348" s="190"/>
      <c r="AH1348" s="190"/>
      <c r="AI1348" s="190"/>
      <c r="AJ1348" s="190"/>
      <c r="AK1348" s="190"/>
      <c r="AL1348" s="190"/>
    </row>
    <row r="1349" spans="2:38" ht="12.75" customHeight="1">
      <c r="B1349" s="6"/>
      <c r="C1349" s="6"/>
      <c r="D1349" s="12"/>
      <c r="E1349" s="12"/>
      <c r="F1349" s="12"/>
      <c r="G1349" s="12"/>
      <c r="H1349" s="6"/>
      <c r="I1349" s="190"/>
      <c r="J1349" s="190"/>
      <c r="K1349" s="190"/>
      <c r="L1349" s="190"/>
      <c r="M1349" s="190"/>
      <c r="N1349" s="190"/>
      <c r="O1349" s="190"/>
      <c r="P1349" s="190"/>
      <c r="Q1349" s="190"/>
      <c r="R1349" s="190"/>
      <c r="S1349" s="190"/>
      <c r="T1349" s="190"/>
      <c r="U1349" s="190"/>
      <c r="V1349" s="190"/>
      <c r="W1349" s="190"/>
      <c r="X1349" s="190"/>
      <c r="Y1349" s="190"/>
      <c r="Z1349" s="190"/>
      <c r="AA1349" s="190"/>
      <c r="AB1349" s="190"/>
      <c r="AC1349" s="190"/>
      <c r="AD1349" s="190"/>
      <c r="AE1349" s="190"/>
      <c r="AF1349" s="190"/>
      <c r="AG1349" s="190"/>
      <c r="AH1349" s="190"/>
      <c r="AI1349" s="190"/>
      <c r="AJ1349" s="190"/>
      <c r="AK1349" s="190"/>
      <c r="AL1349" s="190"/>
    </row>
    <row r="1350" spans="2:38" ht="12.75" customHeight="1">
      <c r="B1350" s="6"/>
      <c r="C1350" s="6"/>
      <c r="D1350" s="12"/>
      <c r="E1350" s="12"/>
      <c r="F1350" s="12"/>
      <c r="G1350" s="12"/>
      <c r="H1350" s="6"/>
      <c r="I1350" s="190"/>
      <c r="J1350" s="190"/>
      <c r="K1350" s="190"/>
      <c r="L1350" s="190"/>
      <c r="M1350" s="190"/>
      <c r="N1350" s="190"/>
      <c r="O1350" s="190"/>
      <c r="P1350" s="190"/>
      <c r="Q1350" s="190"/>
      <c r="R1350" s="190"/>
      <c r="S1350" s="190"/>
      <c r="T1350" s="190"/>
      <c r="U1350" s="190"/>
      <c r="V1350" s="190"/>
      <c r="W1350" s="190"/>
      <c r="X1350" s="190"/>
      <c r="Y1350" s="190"/>
      <c r="Z1350" s="190"/>
      <c r="AA1350" s="190"/>
      <c r="AB1350" s="190"/>
      <c r="AC1350" s="190"/>
      <c r="AD1350" s="190"/>
      <c r="AE1350" s="190"/>
      <c r="AF1350" s="190"/>
      <c r="AG1350" s="190"/>
      <c r="AH1350" s="190"/>
      <c r="AI1350" s="190"/>
      <c r="AJ1350" s="190"/>
      <c r="AK1350" s="190"/>
      <c r="AL1350" s="190"/>
    </row>
    <row r="1351" spans="2:38" ht="12.75" customHeight="1">
      <c r="B1351" s="6"/>
      <c r="C1351" s="6"/>
      <c r="D1351" s="12"/>
      <c r="E1351" s="12"/>
      <c r="F1351" s="12"/>
      <c r="G1351" s="12"/>
      <c r="H1351" s="6"/>
      <c r="I1351" s="190"/>
      <c r="J1351" s="190"/>
      <c r="K1351" s="190"/>
      <c r="L1351" s="190"/>
      <c r="M1351" s="190"/>
      <c r="N1351" s="190"/>
      <c r="O1351" s="190"/>
      <c r="P1351" s="190"/>
      <c r="Q1351" s="190"/>
      <c r="R1351" s="190"/>
      <c r="S1351" s="190"/>
      <c r="T1351" s="190"/>
      <c r="U1351" s="190"/>
      <c r="V1351" s="190"/>
      <c r="W1351" s="190"/>
      <c r="X1351" s="190"/>
      <c r="Y1351" s="190"/>
      <c r="Z1351" s="190"/>
      <c r="AA1351" s="190"/>
      <c r="AB1351" s="190"/>
      <c r="AC1351" s="190"/>
      <c r="AD1351" s="190"/>
      <c r="AE1351" s="190"/>
      <c r="AF1351" s="190"/>
      <c r="AG1351" s="190"/>
      <c r="AH1351" s="190"/>
      <c r="AI1351" s="190"/>
      <c r="AJ1351" s="190"/>
      <c r="AK1351" s="190"/>
      <c r="AL1351" s="190"/>
    </row>
    <row r="1352" spans="2:38" ht="12.75" customHeight="1">
      <c r="B1352" s="6"/>
      <c r="C1352" s="6"/>
      <c r="D1352" s="12"/>
      <c r="E1352" s="12"/>
      <c r="F1352" s="12"/>
      <c r="G1352" s="12"/>
      <c r="H1352" s="6"/>
      <c r="I1352" s="190"/>
      <c r="J1352" s="190"/>
      <c r="K1352" s="190"/>
      <c r="L1352" s="190"/>
      <c r="M1352" s="190"/>
      <c r="N1352" s="190"/>
      <c r="O1352" s="190"/>
      <c r="P1352" s="190"/>
      <c r="Q1352" s="190"/>
      <c r="R1352" s="190"/>
      <c r="S1352" s="190"/>
      <c r="T1352" s="190"/>
      <c r="U1352" s="190"/>
      <c r="V1352" s="190"/>
      <c r="W1352" s="190"/>
      <c r="X1352" s="190"/>
      <c r="Y1352" s="190"/>
      <c r="Z1352" s="190"/>
      <c r="AA1352" s="190"/>
      <c r="AB1352" s="190"/>
      <c r="AC1352" s="190"/>
      <c r="AD1352" s="190"/>
      <c r="AE1352" s="190"/>
      <c r="AF1352" s="190"/>
      <c r="AG1352" s="190"/>
      <c r="AH1352" s="190"/>
      <c r="AI1352" s="190"/>
      <c r="AJ1352" s="190"/>
      <c r="AK1352" s="190"/>
      <c r="AL1352" s="190"/>
    </row>
    <row r="1353" spans="2:38" ht="12.75" customHeight="1">
      <c r="B1353" s="6"/>
      <c r="C1353" s="6"/>
      <c r="D1353" s="12"/>
      <c r="E1353" s="12"/>
      <c r="F1353" s="12"/>
      <c r="G1353" s="12"/>
      <c r="H1353" s="6"/>
      <c r="I1353" s="190"/>
      <c r="J1353" s="190"/>
      <c r="K1353" s="190"/>
      <c r="L1353" s="190"/>
      <c r="M1353" s="190"/>
      <c r="N1353" s="190"/>
      <c r="O1353" s="190"/>
      <c r="P1353" s="190"/>
      <c r="Q1353" s="190"/>
      <c r="R1353" s="190"/>
      <c r="S1353" s="190"/>
      <c r="T1353" s="190"/>
      <c r="U1353" s="190"/>
      <c r="V1353" s="190"/>
      <c r="W1353" s="190"/>
      <c r="X1353" s="190"/>
      <c r="Y1353" s="190"/>
      <c r="Z1353" s="190"/>
      <c r="AA1353" s="190"/>
      <c r="AB1353" s="190"/>
      <c r="AC1353" s="190"/>
      <c r="AD1353" s="190"/>
      <c r="AE1353" s="190"/>
      <c r="AF1353" s="190"/>
      <c r="AG1353" s="190"/>
      <c r="AH1353" s="190"/>
      <c r="AI1353" s="190"/>
      <c r="AJ1353" s="190"/>
      <c r="AK1353" s="190"/>
      <c r="AL1353" s="190"/>
    </row>
    <row r="1354" spans="2:38" ht="12.75" customHeight="1">
      <c r="B1354" s="6"/>
      <c r="C1354" s="6"/>
      <c r="D1354" s="12"/>
      <c r="E1354" s="12"/>
      <c r="F1354" s="12"/>
      <c r="G1354" s="12"/>
      <c r="H1354" s="6"/>
      <c r="I1354" s="190"/>
      <c r="J1354" s="190"/>
      <c r="K1354" s="190"/>
      <c r="L1354" s="190"/>
      <c r="M1354" s="190"/>
      <c r="N1354" s="190"/>
      <c r="O1354" s="190"/>
      <c r="P1354" s="190"/>
      <c r="Q1354" s="190"/>
      <c r="R1354" s="190"/>
      <c r="S1354" s="190"/>
      <c r="T1354" s="190"/>
      <c r="U1354" s="190"/>
      <c r="V1354" s="190"/>
      <c r="W1354" s="190"/>
      <c r="X1354" s="190"/>
      <c r="Y1354" s="190"/>
      <c r="Z1354" s="190"/>
      <c r="AA1354" s="190"/>
      <c r="AB1354" s="190"/>
      <c r="AC1354" s="190"/>
      <c r="AD1354" s="190"/>
      <c r="AE1354" s="190"/>
      <c r="AF1354" s="190"/>
      <c r="AG1354" s="190"/>
      <c r="AH1354" s="190"/>
      <c r="AI1354" s="190"/>
      <c r="AJ1354" s="190"/>
      <c r="AK1354" s="190"/>
      <c r="AL1354" s="190"/>
    </row>
    <row r="1355" spans="2:38" ht="12.75" customHeight="1">
      <c r="B1355" s="6"/>
      <c r="C1355" s="6"/>
      <c r="D1355" s="12"/>
      <c r="E1355" s="12"/>
      <c r="F1355" s="12"/>
      <c r="G1355" s="12"/>
      <c r="H1355" s="6"/>
      <c r="I1355" s="190"/>
      <c r="J1355" s="190"/>
      <c r="K1355" s="190"/>
      <c r="L1355" s="190"/>
      <c r="M1355" s="190"/>
      <c r="N1355" s="190"/>
      <c r="O1355" s="190"/>
      <c r="P1355" s="190"/>
      <c r="Q1355" s="190"/>
      <c r="R1355" s="190"/>
      <c r="S1355" s="190"/>
      <c r="T1355" s="190"/>
      <c r="U1355" s="190"/>
      <c r="V1355" s="190"/>
      <c r="W1355" s="190"/>
      <c r="X1355" s="190"/>
      <c r="Y1355" s="190"/>
      <c r="Z1355" s="190"/>
      <c r="AA1355" s="190"/>
      <c r="AB1355" s="190"/>
      <c r="AC1355" s="190"/>
      <c r="AD1355" s="190"/>
      <c r="AE1355" s="190"/>
      <c r="AF1355" s="190"/>
      <c r="AG1355" s="190"/>
      <c r="AH1355" s="190"/>
      <c r="AI1355" s="190"/>
      <c r="AJ1355" s="190"/>
      <c r="AK1355" s="190"/>
      <c r="AL1355" s="190"/>
    </row>
    <row r="1356" spans="2:38" ht="12.75" customHeight="1">
      <c r="B1356" s="6"/>
      <c r="C1356" s="6"/>
      <c r="D1356" s="12"/>
      <c r="E1356" s="12"/>
      <c r="F1356" s="12"/>
      <c r="G1356" s="12"/>
      <c r="H1356" s="6"/>
      <c r="I1356" s="190"/>
      <c r="J1356" s="190"/>
      <c r="K1356" s="190"/>
      <c r="L1356" s="190"/>
      <c r="M1356" s="190"/>
      <c r="N1356" s="190"/>
      <c r="O1356" s="190"/>
      <c r="P1356" s="190"/>
      <c r="Q1356" s="190"/>
      <c r="R1356" s="190"/>
      <c r="S1356" s="190"/>
      <c r="T1356" s="190"/>
      <c r="U1356" s="190"/>
      <c r="V1356" s="190"/>
      <c r="W1356" s="190"/>
      <c r="X1356" s="190"/>
      <c r="Y1356" s="190"/>
      <c r="Z1356" s="190"/>
      <c r="AA1356" s="190"/>
      <c r="AB1356" s="190"/>
      <c r="AC1356" s="190"/>
      <c r="AD1356" s="190"/>
      <c r="AE1356" s="190"/>
      <c r="AF1356" s="190"/>
      <c r="AG1356" s="190"/>
      <c r="AH1356" s="190"/>
      <c r="AI1356" s="190"/>
      <c r="AJ1356" s="190"/>
      <c r="AK1356" s="190"/>
      <c r="AL1356" s="190"/>
    </row>
    <row r="1357" spans="2:38" ht="12.75" customHeight="1">
      <c r="B1357" s="6"/>
      <c r="C1357" s="6"/>
      <c r="D1357" s="12"/>
      <c r="E1357" s="12"/>
      <c r="F1357" s="12"/>
      <c r="G1357" s="12"/>
      <c r="H1357" s="6"/>
      <c r="I1357" s="190"/>
      <c r="J1357" s="190"/>
      <c r="K1357" s="190"/>
      <c r="L1357" s="190"/>
      <c r="M1357" s="190"/>
      <c r="N1357" s="190"/>
      <c r="O1357" s="190"/>
      <c r="P1357" s="190"/>
      <c r="Q1357" s="190"/>
      <c r="R1357" s="190"/>
      <c r="S1357" s="190"/>
      <c r="T1357" s="190"/>
      <c r="U1357" s="190"/>
      <c r="V1357" s="190"/>
      <c r="W1357" s="190"/>
      <c r="X1357" s="190"/>
      <c r="Y1357" s="190"/>
      <c r="Z1357" s="190"/>
      <c r="AA1357" s="190"/>
      <c r="AB1357" s="190"/>
      <c r="AC1357" s="190"/>
      <c r="AD1357" s="190"/>
      <c r="AE1357" s="190"/>
      <c r="AF1357" s="190"/>
      <c r="AG1357" s="190"/>
      <c r="AH1357" s="190"/>
      <c r="AI1357" s="190"/>
      <c r="AJ1357" s="190"/>
      <c r="AK1357" s="190"/>
      <c r="AL1357" s="190"/>
    </row>
    <row r="1358" spans="2:38" ht="12.75" customHeight="1">
      <c r="B1358" s="6"/>
      <c r="C1358" s="6"/>
      <c r="D1358" s="12"/>
      <c r="E1358" s="12"/>
      <c r="F1358" s="12"/>
      <c r="G1358" s="12"/>
      <c r="H1358" s="6"/>
      <c r="I1358" s="190"/>
      <c r="J1358" s="190"/>
      <c r="K1358" s="190"/>
      <c r="L1358" s="190"/>
      <c r="M1358" s="190"/>
      <c r="N1358" s="190"/>
      <c r="O1358" s="190"/>
      <c r="P1358" s="190"/>
      <c r="Q1358" s="190"/>
      <c r="R1358" s="190"/>
      <c r="S1358" s="190"/>
      <c r="T1358" s="190"/>
      <c r="U1358" s="190"/>
      <c r="V1358" s="190"/>
      <c r="W1358" s="190"/>
      <c r="X1358" s="190"/>
      <c r="Y1358" s="190"/>
      <c r="Z1358" s="190"/>
      <c r="AA1358" s="190"/>
      <c r="AB1358" s="190"/>
      <c r="AC1358" s="190"/>
      <c r="AD1358" s="190"/>
      <c r="AE1358" s="190"/>
      <c r="AF1358" s="190"/>
      <c r="AG1358" s="190"/>
      <c r="AH1358" s="190"/>
      <c r="AI1358" s="190"/>
      <c r="AJ1358" s="190"/>
      <c r="AK1358" s="190"/>
      <c r="AL1358" s="190"/>
    </row>
    <row r="1359" spans="2:38" ht="12.75" customHeight="1">
      <c r="B1359" s="6"/>
      <c r="C1359" s="6"/>
      <c r="D1359" s="12"/>
      <c r="E1359" s="12"/>
      <c r="F1359" s="12"/>
      <c r="G1359" s="12"/>
      <c r="H1359" s="6"/>
      <c r="I1359" s="190"/>
      <c r="J1359" s="190"/>
      <c r="K1359" s="190"/>
      <c r="L1359" s="190"/>
      <c r="M1359" s="190"/>
      <c r="N1359" s="190"/>
      <c r="O1359" s="190"/>
      <c r="P1359" s="190"/>
      <c r="Q1359" s="190"/>
      <c r="R1359" s="190"/>
      <c r="S1359" s="190"/>
      <c r="T1359" s="190"/>
      <c r="U1359" s="190"/>
      <c r="V1359" s="190"/>
      <c r="W1359" s="190"/>
      <c r="X1359" s="190"/>
      <c r="Y1359" s="190"/>
      <c r="Z1359" s="190"/>
      <c r="AA1359" s="190"/>
      <c r="AB1359" s="190"/>
      <c r="AC1359" s="190"/>
      <c r="AD1359" s="190"/>
      <c r="AE1359" s="190"/>
      <c r="AF1359" s="190"/>
      <c r="AG1359" s="190"/>
      <c r="AH1359" s="190"/>
      <c r="AI1359" s="190"/>
      <c r="AJ1359" s="190"/>
      <c r="AK1359" s="190"/>
      <c r="AL1359" s="190"/>
    </row>
    <row r="1360" spans="2:38" ht="12.75" customHeight="1">
      <c r="B1360" s="6"/>
      <c r="C1360" s="6"/>
      <c r="D1360" s="12"/>
      <c r="E1360" s="12"/>
      <c r="F1360" s="12"/>
      <c r="G1360" s="12"/>
      <c r="H1360" s="6"/>
      <c r="I1360" s="190"/>
      <c r="J1360" s="190"/>
      <c r="K1360" s="190"/>
      <c r="L1360" s="190"/>
      <c r="M1360" s="190"/>
      <c r="N1360" s="190"/>
      <c r="O1360" s="190"/>
      <c r="P1360" s="190"/>
      <c r="Q1360" s="190"/>
      <c r="R1360" s="190"/>
      <c r="S1360" s="190"/>
      <c r="T1360" s="190"/>
      <c r="U1360" s="190"/>
      <c r="V1360" s="190"/>
      <c r="W1360" s="190"/>
      <c r="X1360" s="190"/>
      <c r="Y1360" s="190"/>
      <c r="Z1360" s="190"/>
      <c r="AA1360" s="190"/>
      <c r="AB1360" s="190"/>
      <c r="AC1360" s="190"/>
      <c r="AD1360" s="190"/>
      <c r="AE1360" s="190"/>
      <c r="AF1360" s="190"/>
      <c r="AG1360" s="190"/>
      <c r="AH1360" s="190"/>
      <c r="AI1360" s="190"/>
      <c r="AJ1360" s="190"/>
      <c r="AK1360" s="190"/>
      <c r="AL1360" s="190"/>
    </row>
    <row r="1361" spans="2:38" ht="12.75" customHeight="1">
      <c r="B1361" s="6"/>
      <c r="C1361" s="6"/>
      <c r="D1361" s="12"/>
      <c r="E1361" s="12"/>
      <c r="F1361" s="12"/>
      <c r="G1361" s="12"/>
      <c r="H1361" s="6"/>
      <c r="I1361" s="190"/>
      <c r="J1361" s="190"/>
      <c r="K1361" s="190"/>
      <c r="L1361" s="190"/>
      <c r="M1361" s="190"/>
      <c r="N1361" s="190"/>
      <c r="O1361" s="190"/>
      <c r="P1361" s="190"/>
      <c r="Q1361" s="190"/>
      <c r="R1361" s="190"/>
      <c r="S1361" s="190"/>
      <c r="T1361" s="190"/>
      <c r="U1361" s="190"/>
      <c r="V1361" s="190"/>
      <c r="W1361" s="190"/>
      <c r="X1361" s="190"/>
      <c r="Y1361" s="190"/>
      <c r="Z1361" s="190"/>
      <c r="AA1361" s="190"/>
      <c r="AB1361" s="190"/>
      <c r="AC1361" s="190"/>
      <c r="AD1361" s="190"/>
      <c r="AE1361" s="190"/>
      <c r="AF1361" s="190"/>
      <c r="AG1361" s="190"/>
      <c r="AH1361" s="190"/>
      <c r="AI1361" s="190"/>
      <c r="AJ1361" s="190"/>
      <c r="AK1361" s="190"/>
      <c r="AL1361" s="190"/>
    </row>
    <row r="1362" spans="2:38" ht="12.75" customHeight="1">
      <c r="B1362" s="6"/>
      <c r="C1362" s="6"/>
      <c r="D1362" s="12"/>
      <c r="E1362" s="12"/>
      <c r="F1362" s="12"/>
      <c r="G1362" s="12"/>
      <c r="H1362" s="6"/>
      <c r="I1362" s="190"/>
      <c r="J1362" s="190"/>
      <c r="K1362" s="190"/>
      <c r="L1362" s="190"/>
      <c r="M1362" s="190"/>
      <c r="N1362" s="190"/>
      <c r="O1362" s="190"/>
      <c r="P1362" s="190"/>
      <c r="Q1362" s="190"/>
      <c r="R1362" s="190"/>
      <c r="S1362" s="190"/>
      <c r="T1362" s="190"/>
      <c r="U1362" s="190"/>
      <c r="V1362" s="190"/>
      <c r="W1362" s="190"/>
      <c r="X1362" s="190"/>
      <c r="Y1362" s="190"/>
      <c r="Z1362" s="190"/>
      <c r="AA1362" s="190"/>
      <c r="AB1362" s="190"/>
      <c r="AC1362" s="190"/>
      <c r="AD1362" s="190"/>
      <c r="AE1362" s="190"/>
      <c r="AF1362" s="190"/>
      <c r="AG1362" s="190"/>
      <c r="AH1362" s="190"/>
      <c r="AI1362" s="190"/>
      <c r="AJ1362" s="190"/>
      <c r="AK1362" s="190"/>
      <c r="AL1362" s="190"/>
    </row>
    <row r="1363" spans="2:38" ht="12.75" customHeight="1">
      <c r="B1363" s="6"/>
      <c r="C1363" s="6"/>
      <c r="D1363" s="12"/>
      <c r="E1363" s="12"/>
      <c r="F1363" s="12"/>
      <c r="G1363" s="12"/>
      <c r="H1363" s="6"/>
      <c r="I1363" s="190"/>
      <c r="J1363" s="190"/>
      <c r="K1363" s="190"/>
      <c r="L1363" s="190"/>
      <c r="M1363" s="190"/>
      <c r="N1363" s="190"/>
      <c r="O1363" s="190"/>
      <c r="P1363" s="190"/>
      <c r="Q1363" s="190"/>
      <c r="R1363" s="190"/>
      <c r="S1363" s="190"/>
      <c r="T1363" s="190"/>
      <c r="U1363" s="190"/>
      <c r="V1363" s="190"/>
      <c r="W1363" s="190"/>
      <c r="X1363" s="190"/>
      <c r="Y1363" s="190"/>
      <c r="Z1363" s="190"/>
      <c r="AA1363" s="190"/>
      <c r="AB1363" s="190"/>
      <c r="AC1363" s="190"/>
      <c r="AD1363" s="190"/>
      <c r="AE1363" s="190"/>
      <c r="AF1363" s="190"/>
      <c r="AG1363" s="190"/>
      <c r="AH1363" s="190"/>
      <c r="AI1363" s="190"/>
      <c r="AJ1363" s="190"/>
      <c r="AK1363" s="190"/>
      <c r="AL1363" s="190"/>
    </row>
    <row r="1364" spans="2:38" ht="12.75" customHeight="1">
      <c r="B1364" s="6"/>
      <c r="C1364" s="6"/>
      <c r="D1364" s="12"/>
      <c r="E1364" s="12"/>
      <c r="F1364" s="12"/>
      <c r="G1364" s="12"/>
      <c r="H1364" s="6"/>
      <c r="I1364" s="190"/>
      <c r="J1364" s="190"/>
      <c r="K1364" s="190"/>
      <c r="L1364" s="190"/>
      <c r="M1364" s="190"/>
      <c r="N1364" s="190"/>
      <c r="O1364" s="190"/>
      <c r="P1364" s="190"/>
      <c r="Q1364" s="190"/>
      <c r="R1364" s="190"/>
      <c r="S1364" s="190"/>
      <c r="T1364" s="190"/>
      <c r="U1364" s="190"/>
      <c r="V1364" s="190"/>
      <c r="W1364" s="190"/>
      <c r="X1364" s="190"/>
      <c r="Y1364" s="190"/>
      <c r="Z1364" s="190"/>
      <c r="AA1364" s="190"/>
      <c r="AB1364" s="190"/>
      <c r="AC1364" s="190"/>
      <c r="AD1364" s="190"/>
      <c r="AE1364" s="190"/>
      <c r="AF1364" s="190"/>
      <c r="AG1364" s="190"/>
      <c r="AH1364" s="190"/>
      <c r="AI1364" s="190"/>
      <c r="AJ1364" s="190"/>
      <c r="AK1364" s="190"/>
      <c r="AL1364" s="190"/>
    </row>
    <row r="1365" spans="2:38" ht="12.75" customHeight="1">
      <c r="B1365" s="6"/>
      <c r="C1365" s="6"/>
      <c r="D1365" s="12"/>
      <c r="E1365" s="12"/>
      <c r="F1365" s="12"/>
      <c r="G1365" s="12"/>
      <c r="H1365" s="6"/>
      <c r="I1365" s="190"/>
      <c r="J1365" s="190"/>
      <c r="K1365" s="190"/>
      <c r="L1365" s="190"/>
      <c r="M1365" s="190"/>
      <c r="N1365" s="190"/>
      <c r="O1365" s="190"/>
      <c r="P1365" s="190"/>
      <c r="Q1365" s="190"/>
      <c r="R1365" s="190"/>
      <c r="S1365" s="190"/>
      <c r="T1365" s="190"/>
      <c r="U1365" s="190"/>
      <c r="V1365" s="190"/>
      <c r="W1365" s="190"/>
      <c r="X1365" s="190"/>
      <c r="Y1365" s="190"/>
      <c r="Z1365" s="190"/>
      <c r="AA1365" s="190"/>
      <c r="AB1365" s="190"/>
      <c r="AC1365" s="190"/>
      <c r="AD1365" s="190"/>
      <c r="AE1365" s="190"/>
      <c r="AF1365" s="190"/>
      <c r="AG1365" s="190"/>
      <c r="AH1365" s="190"/>
      <c r="AI1365" s="190"/>
      <c r="AJ1365" s="190"/>
      <c r="AK1365" s="190"/>
      <c r="AL1365" s="190"/>
    </row>
    <row r="1366" spans="2:38" ht="12.75" customHeight="1">
      <c r="B1366" s="6"/>
      <c r="C1366" s="6"/>
      <c r="D1366" s="12"/>
      <c r="E1366" s="12"/>
      <c r="F1366" s="12"/>
      <c r="G1366" s="12"/>
      <c r="H1366" s="6"/>
      <c r="I1366" s="190"/>
      <c r="J1366" s="190"/>
      <c r="K1366" s="190"/>
      <c r="L1366" s="190"/>
      <c r="M1366" s="190"/>
      <c r="N1366" s="190"/>
      <c r="O1366" s="190"/>
      <c r="P1366" s="190"/>
      <c r="Q1366" s="190"/>
      <c r="R1366" s="190"/>
      <c r="S1366" s="190"/>
      <c r="T1366" s="190"/>
      <c r="U1366" s="190"/>
      <c r="V1366" s="190"/>
      <c r="W1366" s="190"/>
      <c r="X1366" s="190"/>
      <c r="Y1366" s="190"/>
      <c r="Z1366" s="190"/>
      <c r="AA1366" s="190"/>
      <c r="AB1366" s="190"/>
      <c r="AC1366" s="190"/>
      <c r="AD1366" s="190"/>
      <c r="AE1366" s="190"/>
      <c r="AF1366" s="190"/>
      <c r="AG1366" s="190"/>
      <c r="AH1366" s="190"/>
      <c r="AI1366" s="190"/>
      <c r="AJ1366" s="190"/>
      <c r="AK1366" s="190"/>
      <c r="AL1366" s="190"/>
    </row>
    <row r="1367" spans="2:38" ht="12.75" customHeight="1">
      <c r="B1367" s="6"/>
      <c r="C1367" s="6"/>
      <c r="D1367" s="12"/>
      <c r="E1367" s="12"/>
      <c r="F1367" s="12"/>
      <c r="G1367" s="12"/>
      <c r="H1367" s="6"/>
      <c r="I1367" s="190"/>
      <c r="J1367" s="190"/>
      <c r="K1367" s="190"/>
      <c r="L1367" s="190"/>
      <c r="M1367" s="190"/>
      <c r="N1367" s="190"/>
      <c r="O1367" s="190"/>
      <c r="P1367" s="190"/>
      <c r="Q1367" s="190"/>
      <c r="R1367" s="190"/>
      <c r="S1367" s="190"/>
      <c r="T1367" s="190"/>
      <c r="U1367" s="190"/>
      <c r="V1367" s="190"/>
      <c r="W1367" s="190"/>
      <c r="X1367" s="190"/>
      <c r="Y1367" s="190"/>
      <c r="Z1367" s="190"/>
      <c r="AA1367" s="190"/>
      <c r="AB1367" s="190"/>
      <c r="AC1367" s="190"/>
      <c r="AD1367" s="190"/>
      <c r="AE1367" s="190"/>
      <c r="AF1367" s="190"/>
      <c r="AG1367" s="190"/>
      <c r="AH1367" s="190"/>
      <c r="AI1367" s="190"/>
      <c r="AJ1367" s="190"/>
      <c r="AK1367" s="190"/>
      <c r="AL1367" s="190"/>
    </row>
    <row r="1368" spans="2:38" ht="12.75" customHeight="1">
      <c r="B1368" s="6"/>
      <c r="C1368" s="6"/>
      <c r="D1368" s="12"/>
      <c r="E1368" s="12"/>
      <c r="F1368" s="12"/>
      <c r="G1368" s="12"/>
      <c r="H1368" s="6"/>
      <c r="I1368" s="190"/>
      <c r="J1368" s="190"/>
      <c r="K1368" s="190"/>
      <c r="L1368" s="190"/>
      <c r="M1368" s="190"/>
      <c r="N1368" s="190"/>
      <c r="O1368" s="190"/>
      <c r="P1368" s="190"/>
      <c r="Q1368" s="190"/>
      <c r="R1368" s="190"/>
      <c r="S1368" s="190"/>
      <c r="T1368" s="190"/>
      <c r="U1368" s="190"/>
      <c r="V1368" s="190"/>
      <c r="W1368" s="190"/>
      <c r="X1368" s="190"/>
      <c r="Y1368" s="190"/>
      <c r="Z1368" s="190"/>
      <c r="AA1368" s="190"/>
      <c r="AB1368" s="190"/>
      <c r="AC1368" s="190"/>
      <c r="AD1368" s="190"/>
      <c r="AE1368" s="190"/>
      <c r="AF1368" s="190"/>
      <c r="AG1368" s="190"/>
      <c r="AH1368" s="190"/>
      <c r="AI1368" s="190"/>
      <c r="AJ1368" s="190"/>
      <c r="AK1368" s="190"/>
      <c r="AL1368" s="190"/>
    </row>
    <row r="1369" spans="2:38" ht="12.75" customHeight="1">
      <c r="B1369" s="6"/>
      <c r="C1369" s="6"/>
      <c r="D1369" s="12"/>
      <c r="E1369" s="12"/>
      <c r="F1369" s="12"/>
      <c r="G1369" s="12"/>
      <c r="H1369" s="6"/>
      <c r="I1369" s="190"/>
      <c r="J1369" s="190"/>
      <c r="K1369" s="190"/>
      <c r="L1369" s="190"/>
      <c r="M1369" s="190"/>
      <c r="N1369" s="190"/>
      <c r="O1369" s="190"/>
      <c r="P1369" s="190"/>
      <c r="Q1369" s="190"/>
      <c r="R1369" s="190"/>
      <c r="S1369" s="190"/>
      <c r="T1369" s="190"/>
      <c r="U1369" s="190"/>
      <c r="V1369" s="190"/>
      <c r="W1369" s="190"/>
      <c r="X1369" s="190"/>
      <c r="Y1369" s="190"/>
      <c r="Z1369" s="190"/>
      <c r="AA1369" s="190"/>
      <c r="AB1369" s="190"/>
      <c r="AC1369" s="190"/>
      <c r="AD1369" s="190"/>
      <c r="AE1369" s="190"/>
      <c r="AF1369" s="190"/>
      <c r="AG1369" s="190"/>
      <c r="AH1369" s="190"/>
      <c r="AI1369" s="190"/>
      <c r="AJ1369" s="190"/>
      <c r="AK1369" s="190"/>
      <c r="AL1369" s="190"/>
    </row>
    <row r="1370" spans="2:38" ht="12.75" customHeight="1">
      <c r="B1370" s="6"/>
      <c r="C1370" s="6"/>
      <c r="D1370" s="12"/>
      <c r="E1370" s="12"/>
      <c r="F1370" s="12"/>
      <c r="G1370" s="12"/>
      <c r="H1370" s="6"/>
      <c r="I1370" s="190"/>
      <c r="J1370" s="190"/>
      <c r="K1370" s="190"/>
      <c r="L1370" s="190"/>
      <c r="M1370" s="190"/>
      <c r="N1370" s="190"/>
      <c r="O1370" s="190"/>
      <c r="P1370" s="190"/>
      <c r="Q1370" s="190"/>
      <c r="R1370" s="190"/>
      <c r="S1370" s="190"/>
      <c r="T1370" s="190"/>
      <c r="U1370" s="190"/>
      <c r="V1370" s="190"/>
      <c r="W1370" s="190"/>
      <c r="X1370" s="190"/>
      <c r="Y1370" s="190"/>
      <c r="Z1370" s="190"/>
      <c r="AA1370" s="190"/>
      <c r="AB1370" s="190"/>
      <c r="AC1370" s="190"/>
      <c r="AD1370" s="190"/>
      <c r="AE1370" s="190"/>
      <c r="AF1370" s="190"/>
      <c r="AG1370" s="190"/>
      <c r="AH1370" s="190"/>
      <c r="AI1370" s="190"/>
      <c r="AJ1370" s="190"/>
      <c r="AK1370" s="190"/>
      <c r="AL1370" s="190"/>
    </row>
    <row r="1371" spans="2:38" ht="12.75" customHeight="1">
      <c r="B1371" s="6"/>
      <c r="C1371" s="6"/>
      <c r="D1371" s="12"/>
      <c r="E1371" s="12"/>
      <c r="F1371" s="12"/>
      <c r="G1371" s="12"/>
      <c r="H1371" s="6"/>
      <c r="I1371" s="190"/>
      <c r="J1371" s="190"/>
      <c r="K1371" s="190"/>
      <c r="L1371" s="190"/>
      <c r="M1371" s="190"/>
      <c r="N1371" s="190"/>
      <c r="O1371" s="190"/>
      <c r="P1371" s="190"/>
      <c r="Q1371" s="190"/>
      <c r="R1371" s="190"/>
      <c r="S1371" s="190"/>
      <c r="T1371" s="190"/>
      <c r="U1371" s="190"/>
      <c r="V1371" s="190"/>
      <c r="W1371" s="190"/>
      <c r="X1371" s="190"/>
      <c r="Y1371" s="190"/>
      <c r="Z1371" s="190"/>
      <c r="AA1371" s="190"/>
      <c r="AB1371" s="190"/>
      <c r="AC1371" s="190"/>
      <c r="AD1371" s="190"/>
      <c r="AE1371" s="190"/>
      <c r="AF1371" s="190"/>
      <c r="AG1371" s="190"/>
      <c r="AH1371" s="190"/>
      <c r="AI1371" s="190"/>
      <c r="AJ1371" s="190"/>
      <c r="AK1371" s="190"/>
      <c r="AL1371" s="190"/>
    </row>
    <row r="1372" spans="2:38" ht="12.75" customHeight="1">
      <c r="B1372" s="6"/>
      <c r="C1372" s="6"/>
      <c r="D1372" s="12"/>
      <c r="E1372" s="12"/>
      <c r="F1372" s="12"/>
      <c r="G1372" s="12"/>
      <c r="H1372" s="6"/>
      <c r="I1372" s="190"/>
      <c r="J1372" s="190"/>
      <c r="K1372" s="190"/>
      <c r="L1372" s="190"/>
      <c r="M1372" s="190"/>
      <c r="N1372" s="190"/>
      <c r="O1372" s="190"/>
      <c r="P1372" s="190"/>
      <c r="Q1372" s="190"/>
      <c r="R1372" s="190"/>
      <c r="S1372" s="190"/>
      <c r="T1372" s="190"/>
      <c r="U1372" s="190"/>
      <c r="V1372" s="190"/>
      <c r="W1372" s="190"/>
      <c r="X1372" s="190"/>
      <c r="Y1372" s="190"/>
      <c r="Z1372" s="190"/>
      <c r="AA1372" s="190"/>
      <c r="AB1372" s="190"/>
      <c r="AC1372" s="190"/>
      <c r="AD1372" s="190"/>
      <c r="AE1372" s="190"/>
      <c r="AF1372" s="190"/>
      <c r="AG1372" s="190"/>
      <c r="AH1372" s="190"/>
      <c r="AI1372" s="190"/>
      <c r="AJ1372" s="190"/>
      <c r="AK1372" s="190"/>
      <c r="AL1372" s="190"/>
    </row>
    <row r="1373" spans="2:38" ht="12.75" customHeight="1">
      <c r="B1373" s="6"/>
      <c r="C1373" s="6"/>
      <c r="D1373" s="12"/>
      <c r="E1373" s="12"/>
      <c r="F1373" s="12"/>
      <c r="G1373" s="12"/>
      <c r="H1373" s="6"/>
      <c r="I1373" s="190"/>
      <c r="J1373" s="190"/>
      <c r="K1373" s="190"/>
      <c r="L1373" s="190"/>
      <c r="M1373" s="190"/>
      <c r="N1373" s="190"/>
      <c r="O1373" s="190"/>
      <c r="P1373" s="190"/>
      <c r="Q1373" s="190"/>
      <c r="R1373" s="190"/>
      <c r="S1373" s="190"/>
      <c r="T1373" s="190"/>
      <c r="U1373" s="190"/>
      <c r="V1373" s="190"/>
      <c r="W1373" s="190"/>
      <c r="X1373" s="190"/>
      <c r="Y1373" s="190"/>
      <c r="Z1373" s="190"/>
      <c r="AA1373" s="190"/>
      <c r="AB1373" s="190"/>
      <c r="AC1373" s="190"/>
      <c r="AD1373" s="190"/>
      <c r="AE1373" s="190"/>
      <c r="AF1373" s="190"/>
      <c r="AG1373" s="190"/>
      <c r="AH1373" s="190"/>
      <c r="AI1373" s="190"/>
      <c r="AJ1373" s="190"/>
      <c r="AK1373" s="190"/>
      <c r="AL1373" s="190"/>
    </row>
    <row r="1374" spans="2:38" ht="12.75" customHeight="1">
      <c r="B1374" s="6"/>
      <c r="C1374" s="6"/>
      <c r="D1374" s="12"/>
      <c r="E1374" s="12"/>
      <c r="F1374" s="12"/>
      <c r="G1374" s="12"/>
      <c r="H1374" s="6"/>
      <c r="I1374" s="190"/>
      <c r="J1374" s="190"/>
      <c r="K1374" s="190"/>
      <c r="L1374" s="190"/>
      <c r="M1374" s="190"/>
      <c r="N1374" s="190"/>
      <c r="O1374" s="190"/>
      <c r="P1374" s="190"/>
      <c r="Q1374" s="190"/>
      <c r="R1374" s="190"/>
      <c r="S1374" s="190"/>
      <c r="T1374" s="190"/>
      <c r="U1374" s="190"/>
      <c r="V1374" s="190"/>
      <c r="W1374" s="190"/>
      <c r="X1374" s="190"/>
      <c r="Y1374" s="190"/>
      <c r="Z1374" s="190"/>
      <c r="AA1374" s="190"/>
      <c r="AB1374" s="190"/>
      <c r="AC1374" s="190"/>
      <c r="AD1374" s="190"/>
      <c r="AE1374" s="190"/>
      <c r="AF1374" s="190"/>
      <c r="AG1374" s="190"/>
      <c r="AH1374" s="190"/>
      <c r="AI1374" s="190"/>
      <c r="AJ1374" s="190"/>
      <c r="AK1374" s="190"/>
      <c r="AL1374" s="190"/>
    </row>
    <row r="1375" spans="2:38" ht="12.75" customHeight="1">
      <c r="B1375" s="6"/>
      <c r="C1375" s="6"/>
      <c r="D1375" s="12"/>
      <c r="E1375" s="12"/>
      <c r="F1375" s="12"/>
      <c r="G1375" s="12"/>
      <c r="H1375" s="6"/>
      <c r="I1375" s="190"/>
      <c r="J1375" s="190"/>
      <c r="K1375" s="190"/>
      <c r="L1375" s="190"/>
      <c r="M1375" s="190"/>
      <c r="N1375" s="190"/>
      <c r="O1375" s="190"/>
      <c r="P1375" s="190"/>
      <c r="Q1375" s="190"/>
      <c r="R1375" s="190"/>
      <c r="S1375" s="190"/>
      <c r="T1375" s="190"/>
      <c r="U1375" s="190"/>
      <c r="V1375" s="190"/>
      <c r="W1375" s="190"/>
      <c r="X1375" s="190"/>
      <c r="Y1375" s="190"/>
      <c r="Z1375" s="190"/>
      <c r="AA1375" s="190"/>
      <c r="AB1375" s="190"/>
      <c r="AC1375" s="190"/>
      <c r="AD1375" s="190"/>
      <c r="AE1375" s="190"/>
      <c r="AF1375" s="190"/>
      <c r="AG1375" s="190"/>
      <c r="AH1375" s="190"/>
      <c r="AI1375" s="190"/>
      <c r="AJ1375" s="190"/>
      <c r="AK1375" s="190"/>
      <c r="AL1375" s="190"/>
    </row>
    <row r="1376" spans="2:38" ht="12.75" customHeight="1">
      <c r="B1376" s="6"/>
      <c r="C1376" s="6"/>
      <c r="D1376" s="12"/>
      <c r="E1376" s="12"/>
      <c r="F1376" s="12"/>
      <c r="G1376" s="12"/>
      <c r="H1376" s="6"/>
      <c r="I1376" s="190"/>
      <c r="J1376" s="190"/>
      <c r="K1376" s="190"/>
      <c r="L1376" s="190"/>
      <c r="M1376" s="190"/>
      <c r="N1376" s="190"/>
      <c r="O1376" s="190"/>
      <c r="P1376" s="190"/>
      <c r="Q1376" s="190"/>
      <c r="R1376" s="190"/>
      <c r="S1376" s="190"/>
      <c r="T1376" s="190"/>
      <c r="U1376" s="190"/>
      <c r="V1376" s="190"/>
      <c r="W1376" s="190"/>
      <c r="X1376" s="190"/>
      <c r="Y1376" s="190"/>
      <c r="Z1376" s="190"/>
      <c r="AA1376" s="190"/>
      <c r="AB1376" s="190"/>
      <c r="AC1376" s="190"/>
      <c r="AD1376" s="190"/>
      <c r="AE1376" s="190"/>
      <c r="AF1376" s="190"/>
      <c r="AG1376" s="190"/>
      <c r="AH1376" s="190"/>
      <c r="AI1376" s="190"/>
      <c r="AJ1376" s="190"/>
      <c r="AK1376" s="190"/>
      <c r="AL1376" s="190"/>
    </row>
    <row r="1377" spans="2:38" ht="12.75" customHeight="1">
      <c r="B1377" s="6"/>
      <c r="C1377" s="6"/>
      <c r="D1377" s="12"/>
      <c r="E1377" s="12"/>
      <c r="F1377" s="12"/>
      <c r="G1377" s="12"/>
      <c r="H1377" s="6"/>
      <c r="I1377" s="190"/>
      <c r="J1377" s="190"/>
      <c r="K1377" s="190"/>
      <c r="L1377" s="190"/>
      <c r="M1377" s="190"/>
      <c r="N1377" s="190"/>
      <c r="O1377" s="190"/>
      <c r="P1377" s="190"/>
      <c r="Q1377" s="190"/>
      <c r="R1377" s="190"/>
      <c r="S1377" s="190"/>
      <c r="T1377" s="190"/>
      <c r="U1377" s="190"/>
      <c r="V1377" s="190"/>
      <c r="W1377" s="190"/>
      <c r="X1377" s="190"/>
      <c r="Y1377" s="190"/>
      <c r="Z1377" s="190"/>
      <c r="AA1377" s="190"/>
      <c r="AB1377" s="190"/>
      <c r="AC1377" s="190"/>
      <c r="AD1377" s="190"/>
      <c r="AE1377" s="190"/>
      <c r="AF1377" s="190"/>
      <c r="AG1377" s="190"/>
      <c r="AH1377" s="190"/>
      <c r="AI1377" s="190"/>
      <c r="AJ1377" s="190"/>
      <c r="AK1377" s="190"/>
      <c r="AL1377" s="190"/>
    </row>
    <row r="1378" spans="2:38" ht="12.75" customHeight="1">
      <c r="B1378" s="6"/>
      <c r="C1378" s="6"/>
      <c r="D1378" s="12"/>
      <c r="E1378" s="12"/>
      <c r="F1378" s="12"/>
      <c r="G1378" s="12"/>
      <c r="H1378" s="6"/>
      <c r="I1378" s="190"/>
      <c r="J1378" s="190"/>
      <c r="K1378" s="190"/>
      <c r="L1378" s="190"/>
      <c r="M1378" s="190"/>
      <c r="N1378" s="190"/>
      <c r="O1378" s="190"/>
      <c r="P1378" s="190"/>
      <c r="Q1378" s="190"/>
      <c r="R1378" s="190"/>
      <c r="S1378" s="190"/>
      <c r="T1378" s="190"/>
      <c r="U1378" s="190"/>
      <c r="V1378" s="190"/>
      <c r="W1378" s="190"/>
      <c r="X1378" s="190"/>
      <c r="Y1378" s="190"/>
      <c r="Z1378" s="190"/>
      <c r="AA1378" s="190"/>
      <c r="AB1378" s="190"/>
      <c r="AC1378" s="190"/>
      <c r="AD1378" s="190"/>
      <c r="AE1378" s="190"/>
      <c r="AF1378" s="190"/>
      <c r="AG1378" s="190"/>
      <c r="AH1378" s="190"/>
      <c r="AI1378" s="190"/>
      <c r="AJ1378" s="190"/>
      <c r="AK1378" s="190"/>
      <c r="AL1378" s="190"/>
    </row>
    <row r="1379" spans="2:38" ht="12.75" customHeight="1">
      <c r="B1379" s="6"/>
      <c r="C1379" s="6"/>
      <c r="D1379" s="12"/>
      <c r="E1379" s="12"/>
      <c r="F1379" s="12"/>
      <c r="G1379" s="12"/>
      <c r="H1379" s="6"/>
      <c r="I1379" s="190"/>
      <c r="J1379" s="190"/>
      <c r="K1379" s="190"/>
      <c r="L1379" s="190"/>
      <c r="M1379" s="190"/>
      <c r="N1379" s="190"/>
      <c r="O1379" s="190"/>
      <c r="P1379" s="190"/>
      <c r="Q1379" s="190"/>
      <c r="R1379" s="190"/>
      <c r="S1379" s="190"/>
      <c r="T1379" s="190"/>
      <c r="U1379" s="190"/>
      <c r="V1379" s="190"/>
      <c r="W1379" s="190"/>
      <c r="X1379" s="190"/>
      <c r="Y1379" s="190"/>
      <c r="Z1379" s="190"/>
      <c r="AA1379" s="190"/>
      <c r="AB1379" s="190"/>
      <c r="AC1379" s="190"/>
      <c r="AD1379" s="190"/>
      <c r="AE1379" s="190"/>
      <c r="AF1379" s="190"/>
      <c r="AG1379" s="190"/>
      <c r="AH1379" s="190"/>
      <c r="AI1379" s="190"/>
      <c r="AJ1379" s="190"/>
      <c r="AK1379" s="190"/>
      <c r="AL1379" s="190"/>
    </row>
    <row r="1380" spans="2:38" ht="12.75" customHeight="1">
      <c r="B1380" s="6"/>
      <c r="C1380" s="6"/>
      <c r="D1380" s="12"/>
      <c r="E1380" s="12"/>
      <c r="F1380" s="12"/>
      <c r="G1380" s="12"/>
      <c r="H1380" s="6"/>
      <c r="I1380" s="190"/>
      <c r="J1380" s="190"/>
      <c r="K1380" s="190"/>
      <c r="L1380" s="190"/>
      <c r="M1380" s="190"/>
      <c r="N1380" s="190"/>
      <c r="O1380" s="190"/>
      <c r="P1380" s="190"/>
      <c r="Q1380" s="190"/>
      <c r="R1380" s="190"/>
      <c r="S1380" s="190"/>
      <c r="T1380" s="190"/>
      <c r="U1380" s="190"/>
      <c r="V1380" s="190"/>
      <c r="W1380" s="190"/>
      <c r="X1380" s="190"/>
      <c r="Y1380" s="190"/>
      <c r="Z1380" s="190"/>
      <c r="AA1380" s="190"/>
      <c r="AB1380" s="190"/>
      <c r="AC1380" s="190"/>
      <c r="AD1380" s="190"/>
      <c r="AE1380" s="190"/>
      <c r="AF1380" s="190"/>
      <c r="AG1380" s="190"/>
      <c r="AH1380" s="190"/>
      <c r="AI1380" s="190"/>
      <c r="AJ1380" s="190"/>
      <c r="AK1380" s="190"/>
      <c r="AL1380" s="190"/>
    </row>
    <row r="1381" spans="2:38" ht="12.75" customHeight="1">
      <c r="B1381" s="6"/>
      <c r="C1381" s="6"/>
      <c r="D1381" s="12"/>
      <c r="E1381" s="12"/>
      <c r="F1381" s="12"/>
      <c r="G1381" s="12"/>
      <c r="H1381" s="6"/>
      <c r="I1381" s="190"/>
      <c r="J1381" s="190"/>
      <c r="K1381" s="190"/>
      <c r="L1381" s="190"/>
      <c r="M1381" s="190"/>
      <c r="N1381" s="190"/>
      <c r="O1381" s="190"/>
      <c r="P1381" s="190"/>
      <c r="Q1381" s="190"/>
      <c r="R1381" s="190"/>
      <c r="S1381" s="190"/>
      <c r="T1381" s="190"/>
      <c r="U1381" s="190"/>
      <c r="V1381" s="190"/>
      <c r="W1381" s="190"/>
      <c r="X1381" s="190"/>
      <c r="Y1381" s="190"/>
      <c r="Z1381" s="190"/>
      <c r="AA1381" s="190"/>
      <c r="AB1381" s="190"/>
      <c r="AC1381" s="190"/>
      <c r="AD1381" s="190"/>
      <c r="AE1381" s="190"/>
      <c r="AF1381" s="190"/>
      <c r="AG1381" s="190"/>
      <c r="AH1381" s="190"/>
      <c r="AI1381" s="190"/>
      <c r="AJ1381" s="190"/>
      <c r="AK1381" s="190"/>
      <c r="AL1381" s="190"/>
    </row>
    <row r="1382" spans="2:38" ht="12.75" customHeight="1">
      <c r="B1382" s="6"/>
      <c r="C1382" s="6"/>
      <c r="D1382" s="12"/>
      <c r="E1382" s="12"/>
      <c r="F1382" s="12"/>
      <c r="G1382" s="12"/>
      <c r="H1382" s="6"/>
      <c r="I1382" s="190"/>
      <c r="J1382" s="190"/>
      <c r="K1382" s="190"/>
      <c r="L1382" s="190"/>
      <c r="M1382" s="190"/>
      <c r="N1382" s="190"/>
      <c r="O1382" s="190"/>
      <c r="P1382" s="190"/>
      <c r="Q1382" s="190"/>
      <c r="R1382" s="190"/>
      <c r="S1382" s="190"/>
      <c r="T1382" s="190"/>
      <c r="U1382" s="190"/>
      <c r="V1382" s="190"/>
      <c r="W1382" s="190"/>
      <c r="X1382" s="190"/>
      <c r="Y1382" s="190"/>
      <c r="Z1382" s="190"/>
      <c r="AA1382" s="190"/>
      <c r="AB1382" s="190"/>
      <c r="AC1382" s="190"/>
      <c r="AD1382" s="190"/>
      <c r="AE1382" s="190"/>
      <c r="AF1382" s="190"/>
      <c r="AG1382" s="190"/>
      <c r="AH1382" s="190"/>
      <c r="AI1382" s="190"/>
      <c r="AJ1382" s="190"/>
      <c r="AK1382" s="190"/>
      <c r="AL1382" s="190"/>
    </row>
    <row r="1383" spans="2:38" ht="12.75" customHeight="1">
      <c r="B1383" s="6"/>
      <c r="C1383" s="6"/>
      <c r="D1383" s="12"/>
      <c r="E1383" s="12"/>
      <c r="F1383" s="12"/>
      <c r="G1383" s="12"/>
      <c r="H1383" s="6"/>
      <c r="I1383" s="190"/>
      <c r="J1383" s="190"/>
      <c r="K1383" s="190"/>
      <c r="L1383" s="190"/>
      <c r="M1383" s="190"/>
      <c r="N1383" s="190"/>
      <c r="O1383" s="190"/>
      <c r="P1383" s="190"/>
      <c r="Q1383" s="190"/>
      <c r="R1383" s="190"/>
      <c r="S1383" s="190"/>
      <c r="T1383" s="190"/>
      <c r="U1383" s="190"/>
      <c r="V1383" s="190"/>
      <c r="W1383" s="190"/>
      <c r="X1383" s="190"/>
      <c r="Y1383" s="190"/>
      <c r="Z1383" s="190"/>
      <c r="AA1383" s="190"/>
      <c r="AB1383" s="190"/>
      <c r="AC1383" s="190"/>
      <c r="AD1383" s="190"/>
      <c r="AE1383" s="190"/>
      <c r="AF1383" s="190"/>
      <c r="AG1383" s="190"/>
      <c r="AH1383" s="190"/>
      <c r="AI1383" s="190"/>
      <c r="AJ1383" s="190"/>
      <c r="AK1383" s="190"/>
      <c r="AL1383" s="190"/>
    </row>
    <row r="1384" spans="2:38" ht="12.75" customHeight="1">
      <c r="B1384" s="6"/>
      <c r="C1384" s="6"/>
      <c r="D1384" s="12"/>
      <c r="E1384" s="12"/>
      <c r="F1384" s="12"/>
      <c r="G1384" s="12"/>
      <c r="H1384" s="6"/>
      <c r="I1384" s="190"/>
      <c r="J1384" s="190"/>
      <c r="K1384" s="190"/>
      <c r="L1384" s="190"/>
      <c r="M1384" s="190"/>
      <c r="N1384" s="190"/>
      <c r="O1384" s="190"/>
      <c r="P1384" s="190"/>
      <c r="Q1384" s="190"/>
      <c r="R1384" s="190"/>
      <c r="S1384" s="190"/>
      <c r="T1384" s="190"/>
      <c r="U1384" s="190"/>
      <c r="V1384" s="190"/>
      <c r="W1384" s="190"/>
      <c r="X1384" s="190"/>
      <c r="Y1384" s="190"/>
      <c r="Z1384" s="190"/>
      <c r="AA1384" s="190"/>
      <c r="AB1384" s="190"/>
      <c r="AC1384" s="190"/>
      <c r="AD1384" s="190"/>
      <c r="AE1384" s="190"/>
      <c r="AF1384" s="190"/>
      <c r="AG1384" s="190"/>
      <c r="AH1384" s="190"/>
      <c r="AI1384" s="190"/>
      <c r="AJ1384" s="190"/>
      <c r="AK1384" s="190"/>
      <c r="AL1384" s="190"/>
    </row>
    <row r="1385" spans="2:38" ht="12.75" customHeight="1">
      <c r="B1385" s="6"/>
      <c r="C1385" s="6"/>
      <c r="D1385" s="12"/>
      <c r="E1385" s="12"/>
      <c r="F1385" s="12"/>
      <c r="G1385" s="12"/>
      <c r="H1385" s="6"/>
      <c r="I1385" s="190"/>
      <c r="J1385" s="190"/>
      <c r="K1385" s="190"/>
      <c r="L1385" s="190"/>
      <c r="M1385" s="190"/>
      <c r="N1385" s="190"/>
      <c r="O1385" s="190"/>
      <c r="P1385" s="190"/>
      <c r="Q1385" s="190"/>
      <c r="R1385" s="190"/>
      <c r="S1385" s="190"/>
      <c r="T1385" s="190"/>
      <c r="U1385" s="190"/>
      <c r="V1385" s="190"/>
      <c r="W1385" s="190"/>
      <c r="X1385" s="190"/>
      <c r="Y1385" s="190"/>
      <c r="Z1385" s="190"/>
      <c r="AA1385" s="190"/>
      <c r="AB1385" s="190"/>
      <c r="AC1385" s="190"/>
      <c r="AD1385" s="190"/>
      <c r="AE1385" s="190"/>
      <c r="AF1385" s="190"/>
      <c r="AG1385" s="190"/>
      <c r="AH1385" s="190"/>
      <c r="AI1385" s="190"/>
      <c r="AJ1385" s="190"/>
      <c r="AK1385" s="190"/>
      <c r="AL1385" s="190"/>
    </row>
    <row r="1386" spans="2:38" ht="12.75" customHeight="1">
      <c r="B1386" s="6"/>
      <c r="C1386" s="6"/>
      <c r="D1386" s="12"/>
      <c r="E1386" s="12"/>
      <c r="F1386" s="12"/>
      <c r="G1386" s="12"/>
      <c r="H1386" s="6"/>
      <c r="I1386" s="190"/>
      <c r="J1386" s="190"/>
      <c r="K1386" s="190"/>
      <c r="L1386" s="190"/>
      <c r="M1386" s="190"/>
      <c r="N1386" s="190"/>
      <c r="O1386" s="190"/>
      <c r="P1386" s="190"/>
      <c r="Q1386" s="190"/>
      <c r="R1386" s="190"/>
      <c r="S1386" s="190"/>
      <c r="T1386" s="190"/>
      <c r="U1386" s="190"/>
      <c r="V1386" s="190"/>
      <c r="W1386" s="190"/>
      <c r="X1386" s="190"/>
      <c r="Y1386" s="190"/>
      <c r="Z1386" s="190"/>
      <c r="AA1386" s="190"/>
      <c r="AB1386" s="190"/>
      <c r="AC1386" s="190"/>
      <c r="AD1386" s="190"/>
      <c r="AE1386" s="190"/>
      <c r="AF1386" s="190"/>
      <c r="AG1386" s="190"/>
      <c r="AH1386" s="190"/>
      <c r="AI1386" s="190"/>
      <c r="AJ1386" s="190"/>
      <c r="AK1386" s="190"/>
      <c r="AL1386" s="190"/>
    </row>
    <row r="1387" spans="2:38" ht="12.75" customHeight="1">
      <c r="B1387" s="6"/>
      <c r="C1387" s="6"/>
      <c r="D1387" s="12"/>
      <c r="E1387" s="12"/>
      <c r="F1387" s="12"/>
      <c r="G1387" s="12"/>
      <c r="H1387" s="6"/>
      <c r="I1387" s="190"/>
      <c r="J1387" s="190"/>
      <c r="K1387" s="190"/>
      <c r="L1387" s="190"/>
      <c r="M1387" s="190"/>
      <c r="N1387" s="190"/>
      <c r="O1387" s="190"/>
      <c r="P1387" s="190"/>
      <c r="Q1387" s="190"/>
      <c r="R1387" s="190"/>
      <c r="S1387" s="190"/>
      <c r="T1387" s="190"/>
      <c r="U1387" s="190"/>
      <c r="V1387" s="190"/>
      <c r="W1387" s="190"/>
      <c r="X1387" s="190"/>
      <c r="Y1387" s="190"/>
      <c r="Z1387" s="190"/>
      <c r="AA1387" s="190"/>
      <c r="AB1387" s="190"/>
      <c r="AC1387" s="190"/>
      <c r="AD1387" s="190"/>
      <c r="AE1387" s="190"/>
      <c r="AF1387" s="190"/>
      <c r="AG1387" s="190"/>
      <c r="AH1387" s="190"/>
      <c r="AI1387" s="190"/>
      <c r="AJ1387" s="190"/>
      <c r="AK1387" s="190"/>
      <c r="AL1387" s="190"/>
    </row>
    <row r="1388" spans="2:38" ht="12.75" customHeight="1">
      <c r="B1388" s="6"/>
      <c r="C1388" s="6"/>
      <c r="D1388" s="12"/>
      <c r="E1388" s="12"/>
      <c r="F1388" s="12"/>
      <c r="G1388" s="12"/>
      <c r="H1388" s="6"/>
      <c r="I1388" s="190"/>
      <c r="J1388" s="190"/>
      <c r="K1388" s="190"/>
      <c r="L1388" s="190"/>
      <c r="M1388" s="190"/>
      <c r="N1388" s="190"/>
      <c r="O1388" s="190"/>
      <c r="P1388" s="190"/>
      <c r="Q1388" s="190"/>
      <c r="R1388" s="190"/>
      <c r="S1388" s="190"/>
      <c r="T1388" s="190"/>
      <c r="U1388" s="190"/>
      <c r="V1388" s="190"/>
      <c r="W1388" s="190"/>
      <c r="X1388" s="190"/>
      <c r="Y1388" s="190"/>
      <c r="Z1388" s="190"/>
      <c r="AA1388" s="190"/>
      <c r="AB1388" s="190"/>
      <c r="AC1388" s="190"/>
      <c r="AD1388" s="190"/>
      <c r="AE1388" s="190"/>
      <c r="AF1388" s="190"/>
      <c r="AG1388" s="190"/>
      <c r="AH1388" s="190"/>
      <c r="AI1388" s="190"/>
      <c r="AJ1388" s="190"/>
      <c r="AK1388" s="190"/>
      <c r="AL1388" s="190"/>
    </row>
    <row r="1389" spans="2:38" ht="12.75" customHeight="1">
      <c r="B1389" s="6"/>
      <c r="C1389" s="6"/>
      <c r="D1389" s="12"/>
      <c r="E1389" s="12"/>
      <c r="F1389" s="12"/>
      <c r="G1389" s="12"/>
      <c r="H1389" s="6"/>
      <c r="I1389" s="190"/>
      <c r="J1389" s="190"/>
      <c r="K1389" s="190"/>
      <c r="L1389" s="190"/>
      <c r="M1389" s="190"/>
      <c r="N1389" s="190"/>
      <c r="O1389" s="190"/>
      <c r="P1389" s="190"/>
      <c r="Q1389" s="190"/>
      <c r="R1389" s="190"/>
      <c r="S1389" s="190"/>
      <c r="T1389" s="190"/>
      <c r="U1389" s="190"/>
      <c r="V1389" s="190"/>
      <c r="W1389" s="190"/>
      <c r="X1389" s="190"/>
      <c r="Y1389" s="190"/>
      <c r="Z1389" s="190"/>
      <c r="AA1389" s="190"/>
      <c r="AB1389" s="190"/>
      <c r="AC1389" s="190"/>
      <c r="AD1389" s="190"/>
      <c r="AE1389" s="190"/>
      <c r="AF1389" s="190"/>
      <c r="AG1389" s="190"/>
      <c r="AH1389" s="190"/>
      <c r="AI1389" s="190"/>
      <c r="AJ1389" s="190"/>
      <c r="AK1389" s="190"/>
      <c r="AL1389" s="190"/>
    </row>
    <row r="1390" spans="2:38" ht="12.75" customHeight="1">
      <c r="B1390" s="6"/>
      <c r="C1390" s="6"/>
      <c r="D1390" s="12"/>
      <c r="E1390" s="12"/>
      <c r="F1390" s="12"/>
      <c r="G1390" s="12"/>
      <c r="H1390" s="6"/>
      <c r="I1390" s="190"/>
      <c r="J1390" s="190"/>
      <c r="K1390" s="190"/>
      <c r="L1390" s="190"/>
      <c r="M1390" s="190"/>
      <c r="N1390" s="190"/>
      <c r="O1390" s="190"/>
      <c r="P1390" s="190"/>
      <c r="Q1390" s="190"/>
      <c r="R1390" s="190"/>
      <c r="S1390" s="190"/>
      <c r="T1390" s="190"/>
      <c r="U1390" s="190"/>
      <c r="V1390" s="190"/>
      <c r="W1390" s="190"/>
      <c r="X1390" s="190"/>
      <c r="Y1390" s="190"/>
      <c r="Z1390" s="190"/>
      <c r="AA1390" s="190"/>
      <c r="AB1390" s="190"/>
      <c r="AC1390" s="190"/>
      <c r="AD1390" s="190"/>
      <c r="AE1390" s="190"/>
      <c r="AF1390" s="190"/>
      <c r="AG1390" s="190"/>
      <c r="AH1390" s="190"/>
      <c r="AI1390" s="190"/>
      <c r="AJ1390" s="190"/>
      <c r="AK1390" s="190"/>
      <c r="AL1390" s="190"/>
    </row>
    <row r="1391" spans="2:38" ht="12.75" customHeight="1">
      <c r="B1391" s="6"/>
      <c r="C1391" s="6"/>
      <c r="D1391" s="12"/>
      <c r="E1391" s="12"/>
      <c r="F1391" s="12"/>
      <c r="G1391" s="12"/>
      <c r="H1391" s="6"/>
      <c r="I1391" s="190"/>
      <c r="J1391" s="190"/>
      <c r="K1391" s="190"/>
      <c r="L1391" s="190"/>
      <c r="M1391" s="190"/>
      <c r="N1391" s="190"/>
      <c r="O1391" s="190"/>
      <c r="P1391" s="190"/>
      <c r="Q1391" s="190"/>
      <c r="R1391" s="190"/>
      <c r="S1391" s="190"/>
      <c r="T1391" s="190"/>
      <c r="U1391" s="190"/>
      <c r="V1391" s="190"/>
      <c r="W1391" s="190"/>
      <c r="X1391" s="190"/>
      <c r="Y1391" s="190"/>
      <c r="Z1391" s="190"/>
      <c r="AA1391" s="190"/>
      <c r="AB1391" s="190"/>
      <c r="AC1391" s="190"/>
      <c r="AD1391" s="190"/>
      <c r="AE1391" s="190"/>
      <c r="AF1391" s="190"/>
      <c r="AG1391" s="190"/>
      <c r="AH1391" s="190"/>
      <c r="AI1391" s="190"/>
      <c r="AJ1391" s="190"/>
      <c r="AK1391" s="190"/>
      <c r="AL1391" s="190"/>
    </row>
    <row r="1392" spans="2:38" ht="12.75" customHeight="1">
      <c r="B1392" s="6"/>
      <c r="C1392" s="6"/>
      <c r="D1392" s="12"/>
      <c r="E1392" s="12"/>
      <c r="F1392" s="12"/>
      <c r="G1392" s="12"/>
      <c r="H1392" s="6"/>
      <c r="I1392" s="190"/>
      <c r="J1392" s="190"/>
      <c r="K1392" s="190"/>
      <c r="L1392" s="190"/>
      <c r="M1392" s="190"/>
      <c r="N1392" s="190"/>
      <c r="O1392" s="190"/>
      <c r="P1392" s="190"/>
      <c r="Q1392" s="190"/>
      <c r="R1392" s="190"/>
      <c r="S1392" s="190"/>
      <c r="T1392" s="190"/>
      <c r="U1392" s="190"/>
      <c r="V1392" s="190"/>
      <c r="W1392" s="190"/>
      <c r="X1392" s="190"/>
      <c r="Y1392" s="190"/>
      <c r="Z1392" s="190"/>
      <c r="AA1392" s="190"/>
      <c r="AB1392" s="190"/>
      <c r="AC1392" s="190"/>
      <c r="AD1392" s="190"/>
      <c r="AE1392" s="190"/>
      <c r="AF1392" s="190"/>
      <c r="AG1392" s="190"/>
      <c r="AH1392" s="190"/>
      <c r="AI1392" s="190"/>
      <c r="AJ1392" s="190"/>
      <c r="AK1392" s="190"/>
      <c r="AL1392" s="190"/>
    </row>
    <row r="1393" spans="2:38" ht="12.75" customHeight="1">
      <c r="B1393" s="6"/>
      <c r="C1393" s="6"/>
      <c r="D1393" s="12"/>
      <c r="E1393" s="12"/>
      <c r="F1393" s="12"/>
      <c r="G1393" s="12"/>
      <c r="H1393" s="6"/>
      <c r="I1393" s="190"/>
      <c r="J1393" s="190"/>
      <c r="K1393" s="190"/>
      <c r="L1393" s="190"/>
      <c r="M1393" s="190"/>
      <c r="N1393" s="190"/>
      <c r="O1393" s="190"/>
      <c r="P1393" s="190"/>
      <c r="Q1393" s="190"/>
      <c r="R1393" s="190"/>
      <c r="S1393" s="190"/>
      <c r="T1393" s="190"/>
      <c r="U1393" s="190"/>
      <c r="V1393" s="190"/>
      <c r="W1393" s="190"/>
      <c r="X1393" s="190"/>
      <c r="Y1393" s="190"/>
      <c r="Z1393" s="190"/>
      <c r="AA1393" s="190"/>
      <c r="AB1393" s="190"/>
      <c r="AC1393" s="190"/>
      <c r="AD1393" s="190"/>
      <c r="AE1393" s="190"/>
      <c r="AF1393" s="190"/>
      <c r="AG1393" s="190"/>
      <c r="AH1393" s="190"/>
      <c r="AI1393" s="190"/>
      <c r="AJ1393" s="190"/>
      <c r="AK1393" s="190"/>
      <c r="AL1393" s="190"/>
    </row>
    <row r="1394" spans="2:38" ht="12.75" customHeight="1">
      <c r="B1394" s="6"/>
      <c r="C1394" s="6"/>
      <c r="D1394" s="12"/>
      <c r="E1394" s="12"/>
      <c r="F1394" s="12"/>
      <c r="G1394" s="12"/>
      <c r="H1394" s="6"/>
      <c r="I1394" s="190"/>
      <c r="J1394" s="190"/>
      <c r="K1394" s="190"/>
      <c r="L1394" s="190"/>
      <c r="M1394" s="190"/>
      <c r="N1394" s="190"/>
      <c r="O1394" s="190"/>
      <c r="P1394" s="190"/>
      <c r="Q1394" s="190"/>
      <c r="R1394" s="190"/>
      <c r="S1394" s="190"/>
      <c r="T1394" s="190"/>
      <c r="U1394" s="190"/>
      <c r="V1394" s="190"/>
      <c r="W1394" s="190"/>
      <c r="X1394" s="190"/>
      <c r="Y1394" s="190"/>
      <c r="Z1394" s="190"/>
      <c r="AA1394" s="190"/>
      <c r="AB1394" s="190"/>
      <c r="AC1394" s="190"/>
      <c r="AD1394" s="190"/>
      <c r="AE1394" s="190"/>
      <c r="AF1394" s="190"/>
      <c r="AG1394" s="190"/>
      <c r="AH1394" s="190"/>
      <c r="AI1394" s="190"/>
      <c r="AJ1394" s="190"/>
      <c r="AK1394" s="190"/>
      <c r="AL1394" s="190"/>
    </row>
    <row r="1395" spans="2:38" ht="12.75" customHeight="1">
      <c r="B1395" s="6"/>
      <c r="C1395" s="6"/>
      <c r="D1395" s="12"/>
      <c r="E1395" s="12"/>
      <c r="F1395" s="12"/>
      <c r="G1395" s="12"/>
      <c r="H1395" s="6"/>
      <c r="I1395" s="190"/>
      <c r="J1395" s="190"/>
      <c r="K1395" s="190"/>
      <c r="L1395" s="190"/>
      <c r="M1395" s="190"/>
      <c r="N1395" s="190"/>
      <c r="O1395" s="190"/>
      <c r="P1395" s="190"/>
      <c r="Q1395" s="190"/>
      <c r="R1395" s="190"/>
      <c r="S1395" s="190"/>
      <c r="T1395" s="190"/>
      <c r="U1395" s="190"/>
      <c r="V1395" s="190"/>
      <c r="W1395" s="190"/>
      <c r="X1395" s="190"/>
      <c r="Y1395" s="190"/>
      <c r="Z1395" s="190"/>
      <c r="AA1395" s="190"/>
      <c r="AB1395" s="190"/>
      <c r="AC1395" s="190"/>
      <c r="AD1395" s="190"/>
      <c r="AE1395" s="190"/>
      <c r="AF1395" s="190"/>
      <c r="AG1395" s="190"/>
      <c r="AH1395" s="190"/>
      <c r="AI1395" s="190"/>
      <c r="AJ1395" s="190"/>
      <c r="AK1395" s="190"/>
      <c r="AL1395" s="190"/>
    </row>
    <row r="1396" spans="2:38" ht="12.75" customHeight="1">
      <c r="B1396" s="6"/>
      <c r="C1396" s="6"/>
      <c r="D1396" s="12"/>
      <c r="E1396" s="12"/>
      <c r="F1396" s="12"/>
      <c r="G1396" s="12"/>
      <c r="H1396" s="6"/>
      <c r="I1396" s="190"/>
      <c r="J1396" s="190"/>
      <c r="K1396" s="190"/>
      <c r="L1396" s="190"/>
      <c r="M1396" s="190"/>
      <c r="N1396" s="190"/>
      <c r="O1396" s="190"/>
      <c r="P1396" s="190"/>
      <c r="Q1396" s="190"/>
      <c r="R1396" s="190"/>
      <c r="S1396" s="190"/>
      <c r="T1396" s="190"/>
      <c r="U1396" s="190"/>
      <c r="V1396" s="190"/>
      <c r="W1396" s="190"/>
      <c r="X1396" s="190"/>
      <c r="Y1396" s="190"/>
      <c r="Z1396" s="190"/>
      <c r="AA1396" s="190"/>
      <c r="AB1396" s="190"/>
      <c r="AC1396" s="190"/>
      <c r="AD1396" s="190"/>
      <c r="AE1396" s="190"/>
      <c r="AF1396" s="190"/>
      <c r="AG1396" s="190"/>
      <c r="AH1396" s="190"/>
      <c r="AI1396" s="190"/>
      <c r="AJ1396" s="190"/>
      <c r="AK1396" s="190"/>
      <c r="AL1396" s="190"/>
    </row>
    <row r="1397" spans="2:38" ht="12.75" customHeight="1">
      <c r="B1397" s="6"/>
      <c r="C1397" s="6"/>
      <c r="D1397" s="12"/>
      <c r="E1397" s="12"/>
      <c r="F1397" s="12"/>
      <c r="G1397" s="12"/>
      <c r="H1397" s="6"/>
      <c r="I1397" s="190"/>
      <c r="J1397" s="190"/>
      <c r="K1397" s="190"/>
      <c r="L1397" s="190"/>
      <c r="M1397" s="190"/>
      <c r="N1397" s="190"/>
      <c r="O1397" s="190"/>
      <c r="P1397" s="190"/>
      <c r="Q1397" s="190"/>
      <c r="R1397" s="190"/>
      <c r="S1397" s="190"/>
      <c r="T1397" s="190"/>
      <c r="U1397" s="190"/>
      <c r="V1397" s="190"/>
      <c r="W1397" s="190"/>
      <c r="X1397" s="190"/>
      <c r="Y1397" s="190"/>
      <c r="Z1397" s="190"/>
      <c r="AA1397" s="190"/>
      <c r="AB1397" s="190"/>
      <c r="AC1397" s="190"/>
      <c r="AD1397" s="190"/>
      <c r="AE1397" s="190"/>
      <c r="AF1397" s="190"/>
      <c r="AG1397" s="190"/>
      <c r="AH1397" s="190"/>
      <c r="AI1397" s="190"/>
      <c r="AJ1397" s="190"/>
      <c r="AK1397" s="190"/>
      <c r="AL1397" s="190"/>
    </row>
    <row r="1398" spans="2:38" ht="12.75" customHeight="1">
      <c r="B1398" s="6"/>
      <c r="C1398" s="6"/>
      <c r="D1398" s="12"/>
      <c r="E1398" s="12"/>
      <c r="F1398" s="12"/>
      <c r="G1398" s="12"/>
      <c r="H1398" s="6"/>
      <c r="I1398" s="190"/>
      <c r="J1398" s="190"/>
      <c r="K1398" s="190"/>
      <c r="L1398" s="190"/>
      <c r="M1398" s="190"/>
      <c r="N1398" s="190"/>
      <c r="O1398" s="190"/>
      <c r="P1398" s="190"/>
      <c r="Q1398" s="190"/>
      <c r="R1398" s="190"/>
      <c r="S1398" s="190"/>
      <c r="T1398" s="190"/>
      <c r="U1398" s="190"/>
      <c r="V1398" s="190"/>
      <c r="W1398" s="190"/>
      <c r="X1398" s="190"/>
      <c r="Y1398" s="190"/>
      <c r="Z1398" s="190"/>
      <c r="AA1398" s="190"/>
      <c r="AB1398" s="190"/>
      <c r="AC1398" s="190"/>
      <c r="AD1398" s="190"/>
      <c r="AE1398" s="190"/>
      <c r="AF1398" s="190"/>
      <c r="AG1398" s="190"/>
      <c r="AH1398" s="190"/>
      <c r="AI1398" s="190"/>
      <c r="AJ1398" s="190"/>
      <c r="AK1398" s="190"/>
      <c r="AL1398" s="190"/>
    </row>
    <row r="1399" spans="2:38" ht="12.75" customHeight="1">
      <c r="B1399" s="6"/>
      <c r="C1399" s="6"/>
      <c r="D1399" s="12"/>
      <c r="E1399" s="12"/>
      <c r="F1399" s="12"/>
      <c r="G1399" s="12"/>
      <c r="H1399" s="6"/>
      <c r="I1399" s="190"/>
      <c r="J1399" s="190"/>
      <c r="K1399" s="190"/>
      <c r="L1399" s="190"/>
      <c r="M1399" s="190"/>
      <c r="N1399" s="190"/>
      <c r="O1399" s="190"/>
      <c r="P1399" s="190"/>
      <c r="Q1399" s="190"/>
      <c r="R1399" s="190"/>
      <c r="S1399" s="190"/>
      <c r="T1399" s="190"/>
      <c r="U1399" s="190"/>
      <c r="V1399" s="190"/>
      <c r="W1399" s="190"/>
      <c r="X1399" s="190"/>
      <c r="Y1399" s="190"/>
      <c r="Z1399" s="190"/>
      <c r="AA1399" s="190"/>
      <c r="AB1399" s="190"/>
      <c r="AC1399" s="190"/>
      <c r="AD1399" s="190"/>
      <c r="AE1399" s="190"/>
      <c r="AF1399" s="190"/>
      <c r="AG1399" s="190"/>
      <c r="AH1399" s="190"/>
      <c r="AI1399" s="190"/>
      <c r="AJ1399" s="190"/>
      <c r="AK1399" s="190"/>
      <c r="AL1399" s="190"/>
    </row>
    <row r="1400" spans="2:38" ht="12.75" customHeight="1">
      <c r="B1400" s="6"/>
      <c r="C1400" s="6"/>
      <c r="D1400" s="12"/>
      <c r="E1400" s="12"/>
      <c r="F1400" s="12"/>
      <c r="G1400" s="12"/>
      <c r="H1400" s="6"/>
      <c r="I1400" s="190"/>
      <c r="J1400" s="190"/>
      <c r="K1400" s="190"/>
      <c r="L1400" s="190"/>
      <c r="M1400" s="190"/>
      <c r="N1400" s="190"/>
      <c r="O1400" s="190"/>
      <c r="P1400" s="190"/>
      <c r="Q1400" s="190"/>
      <c r="R1400" s="190"/>
      <c r="S1400" s="190"/>
      <c r="T1400" s="190"/>
      <c r="U1400" s="190"/>
      <c r="V1400" s="190"/>
      <c r="W1400" s="190"/>
      <c r="X1400" s="190"/>
      <c r="Y1400" s="190"/>
      <c r="Z1400" s="190"/>
      <c r="AA1400" s="190"/>
      <c r="AB1400" s="190"/>
      <c r="AC1400" s="190"/>
      <c r="AD1400" s="190"/>
      <c r="AE1400" s="190"/>
      <c r="AF1400" s="190"/>
      <c r="AG1400" s="190"/>
      <c r="AH1400" s="190"/>
      <c r="AI1400" s="190"/>
      <c r="AJ1400" s="190"/>
      <c r="AK1400" s="190"/>
      <c r="AL1400" s="190"/>
    </row>
    <row r="1401" spans="2:38" ht="12.75" customHeight="1">
      <c r="B1401" s="6"/>
      <c r="C1401" s="6"/>
      <c r="D1401" s="12"/>
      <c r="E1401" s="12"/>
      <c r="F1401" s="12"/>
      <c r="G1401" s="12"/>
      <c r="H1401" s="6"/>
      <c r="I1401" s="190"/>
      <c r="J1401" s="190"/>
      <c r="K1401" s="190"/>
      <c r="L1401" s="190"/>
      <c r="M1401" s="190"/>
      <c r="N1401" s="190"/>
      <c r="O1401" s="190"/>
      <c r="P1401" s="190"/>
      <c r="Q1401" s="190"/>
      <c r="R1401" s="190"/>
      <c r="S1401" s="190"/>
      <c r="T1401" s="190"/>
      <c r="U1401" s="190"/>
      <c r="V1401" s="190"/>
      <c r="W1401" s="190"/>
      <c r="X1401" s="190"/>
      <c r="Y1401" s="190"/>
      <c r="Z1401" s="190"/>
      <c r="AA1401" s="190"/>
      <c r="AB1401" s="190"/>
      <c r="AC1401" s="190"/>
      <c r="AD1401" s="190"/>
      <c r="AE1401" s="190"/>
      <c r="AF1401" s="190"/>
      <c r="AG1401" s="190"/>
      <c r="AH1401" s="190"/>
      <c r="AI1401" s="190"/>
      <c r="AJ1401" s="190"/>
      <c r="AK1401" s="190"/>
      <c r="AL1401" s="190"/>
    </row>
    <row r="1402" spans="2:38" ht="12.75" customHeight="1">
      <c r="B1402" s="6"/>
      <c r="C1402" s="6"/>
      <c r="D1402" s="12"/>
      <c r="E1402" s="12"/>
      <c r="F1402" s="12"/>
      <c r="G1402" s="12"/>
      <c r="H1402" s="6"/>
      <c r="I1402" s="190"/>
      <c r="J1402" s="190"/>
      <c r="K1402" s="190"/>
      <c r="L1402" s="190"/>
      <c r="M1402" s="190"/>
      <c r="N1402" s="190"/>
      <c r="O1402" s="190"/>
      <c r="P1402" s="190"/>
      <c r="Q1402" s="190"/>
      <c r="R1402" s="190"/>
      <c r="S1402" s="190"/>
      <c r="T1402" s="190"/>
      <c r="U1402" s="190"/>
      <c r="V1402" s="190"/>
      <c r="W1402" s="190"/>
      <c r="X1402" s="190"/>
      <c r="Y1402" s="190"/>
      <c r="Z1402" s="190"/>
      <c r="AA1402" s="190"/>
      <c r="AB1402" s="190"/>
      <c r="AC1402" s="190"/>
      <c r="AD1402" s="190"/>
      <c r="AE1402" s="190"/>
      <c r="AF1402" s="190"/>
      <c r="AG1402" s="190"/>
      <c r="AH1402" s="190"/>
      <c r="AI1402" s="190"/>
      <c r="AJ1402" s="190"/>
      <c r="AK1402" s="190"/>
      <c r="AL1402" s="190"/>
    </row>
    <row r="1403" spans="2:38" ht="12.75" customHeight="1">
      <c r="B1403" s="6"/>
      <c r="C1403" s="6"/>
      <c r="D1403" s="12"/>
      <c r="E1403" s="12"/>
      <c r="F1403" s="12"/>
      <c r="G1403" s="12"/>
      <c r="H1403" s="6"/>
      <c r="I1403" s="190"/>
      <c r="J1403" s="190"/>
      <c r="K1403" s="190"/>
      <c r="L1403" s="190"/>
      <c r="M1403" s="190"/>
      <c r="N1403" s="190"/>
      <c r="O1403" s="190"/>
      <c r="P1403" s="190"/>
      <c r="Q1403" s="190"/>
      <c r="R1403" s="190"/>
      <c r="S1403" s="190"/>
      <c r="T1403" s="190"/>
      <c r="U1403" s="190"/>
      <c r="V1403" s="190"/>
      <c r="W1403" s="190"/>
      <c r="X1403" s="190"/>
      <c r="Y1403" s="190"/>
      <c r="Z1403" s="190"/>
      <c r="AA1403" s="190"/>
      <c r="AB1403" s="190"/>
      <c r="AC1403" s="190"/>
      <c r="AD1403" s="190"/>
      <c r="AE1403" s="190"/>
      <c r="AF1403" s="190"/>
      <c r="AG1403" s="190"/>
      <c r="AH1403" s="190"/>
      <c r="AI1403" s="190"/>
      <c r="AJ1403" s="190"/>
      <c r="AK1403" s="190"/>
      <c r="AL1403" s="190"/>
    </row>
    <row r="1404" spans="2:38" ht="12.75" customHeight="1">
      <c r="B1404" s="6"/>
      <c r="C1404" s="6"/>
      <c r="D1404" s="12"/>
      <c r="E1404" s="12"/>
      <c r="F1404" s="12"/>
      <c r="G1404" s="12"/>
      <c r="H1404" s="6"/>
      <c r="I1404" s="190"/>
      <c r="J1404" s="190"/>
      <c r="K1404" s="190"/>
      <c r="L1404" s="190"/>
      <c r="M1404" s="190"/>
      <c r="N1404" s="190"/>
      <c r="O1404" s="190"/>
      <c r="P1404" s="190"/>
      <c r="Q1404" s="190"/>
      <c r="R1404" s="190"/>
      <c r="S1404" s="190"/>
      <c r="T1404" s="190"/>
      <c r="U1404" s="190"/>
      <c r="V1404" s="190"/>
      <c r="W1404" s="190"/>
      <c r="X1404" s="190"/>
      <c r="Y1404" s="190"/>
      <c r="Z1404" s="190"/>
      <c r="AA1404" s="190"/>
      <c r="AB1404" s="190"/>
      <c r="AC1404" s="190"/>
      <c r="AD1404" s="190"/>
      <c r="AE1404" s="190"/>
      <c r="AF1404" s="190"/>
      <c r="AG1404" s="190"/>
      <c r="AH1404" s="190"/>
      <c r="AI1404" s="190"/>
      <c r="AJ1404" s="190"/>
      <c r="AK1404" s="190"/>
      <c r="AL1404" s="190"/>
    </row>
    <row r="1405" spans="2:38" ht="12.75" customHeight="1">
      <c r="B1405" s="6"/>
      <c r="C1405" s="6"/>
      <c r="D1405" s="12"/>
      <c r="E1405" s="12"/>
      <c r="F1405" s="12"/>
      <c r="G1405" s="12"/>
      <c r="H1405" s="6"/>
      <c r="I1405" s="190"/>
      <c r="J1405" s="190"/>
      <c r="K1405" s="190"/>
      <c r="L1405" s="190"/>
      <c r="M1405" s="190"/>
      <c r="N1405" s="190"/>
      <c r="O1405" s="190"/>
      <c r="P1405" s="190"/>
      <c r="Q1405" s="190"/>
      <c r="R1405" s="190"/>
      <c r="S1405" s="190"/>
      <c r="T1405" s="190"/>
      <c r="U1405" s="190"/>
      <c r="V1405" s="190"/>
      <c r="W1405" s="190"/>
      <c r="X1405" s="190"/>
      <c r="Y1405" s="190"/>
      <c r="Z1405" s="190"/>
      <c r="AA1405" s="190"/>
      <c r="AB1405" s="190"/>
      <c r="AC1405" s="190"/>
      <c r="AD1405" s="190"/>
      <c r="AE1405" s="190"/>
      <c r="AF1405" s="190"/>
      <c r="AG1405" s="190"/>
      <c r="AH1405" s="190"/>
      <c r="AI1405" s="190"/>
      <c r="AJ1405" s="190"/>
      <c r="AK1405" s="190"/>
      <c r="AL1405" s="190"/>
    </row>
    <row r="1406" spans="2:38" ht="12.75" customHeight="1">
      <c r="B1406" s="6"/>
      <c r="C1406" s="6"/>
      <c r="D1406" s="12"/>
      <c r="E1406" s="12"/>
      <c r="F1406" s="12"/>
      <c r="G1406" s="12"/>
      <c r="H1406" s="6"/>
      <c r="I1406" s="190"/>
      <c r="J1406" s="190"/>
      <c r="K1406" s="190"/>
      <c r="L1406" s="190"/>
      <c r="M1406" s="190"/>
      <c r="N1406" s="190"/>
      <c r="O1406" s="190"/>
      <c r="P1406" s="190"/>
      <c r="Q1406" s="190"/>
      <c r="R1406" s="190"/>
      <c r="S1406" s="190"/>
      <c r="T1406" s="190"/>
      <c r="U1406" s="190"/>
      <c r="V1406" s="190"/>
      <c r="W1406" s="190"/>
      <c r="X1406" s="190"/>
      <c r="Y1406" s="190"/>
      <c r="Z1406" s="190"/>
      <c r="AA1406" s="190"/>
      <c r="AB1406" s="190"/>
      <c r="AC1406" s="190"/>
      <c r="AD1406" s="190"/>
      <c r="AE1406" s="190"/>
      <c r="AF1406" s="190"/>
      <c r="AG1406" s="190"/>
      <c r="AH1406" s="190"/>
      <c r="AI1406" s="190"/>
      <c r="AJ1406" s="190"/>
      <c r="AK1406" s="190"/>
      <c r="AL1406" s="190"/>
    </row>
    <row r="1407" spans="2:38" ht="12.75" customHeight="1">
      <c r="B1407" s="6"/>
      <c r="C1407" s="6"/>
      <c r="D1407" s="12"/>
      <c r="E1407" s="12"/>
      <c r="F1407" s="12"/>
      <c r="G1407" s="12"/>
      <c r="H1407" s="6"/>
      <c r="I1407" s="190"/>
      <c r="J1407" s="190"/>
      <c r="K1407" s="190"/>
      <c r="L1407" s="190"/>
      <c r="M1407" s="190"/>
      <c r="N1407" s="190"/>
      <c r="O1407" s="190"/>
      <c r="P1407" s="190"/>
      <c r="Q1407" s="190"/>
      <c r="R1407" s="190"/>
      <c r="S1407" s="190"/>
      <c r="T1407" s="190"/>
      <c r="U1407" s="190"/>
      <c r="V1407" s="190"/>
      <c r="W1407" s="190"/>
      <c r="X1407" s="190"/>
      <c r="Y1407" s="190"/>
      <c r="Z1407" s="190"/>
      <c r="AA1407" s="190"/>
      <c r="AB1407" s="190"/>
      <c r="AC1407" s="190"/>
      <c r="AD1407" s="190"/>
      <c r="AE1407" s="190"/>
      <c r="AF1407" s="190"/>
      <c r="AG1407" s="190"/>
      <c r="AH1407" s="190"/>
      <c r="AI1407" s="190"/>
      <c r="AJ1407" s="190"/>
      <c r="AK1407" s="190"/>
      <c r="AL1407" s="190"/>
    </row>
    <row r="1408" spans="2:38" ht="12.75" customHeight="1">
      <c r="B1408" s="6"/>
      <c r="C1408" s="6"/>
      <c r="D1408" s="12"/>
      <c r="E1408" s="12"/>
      <c r="F1408" s="12"/>
      <c r="G1408" s="12"/>
      <c r="H1408" s="6"/>
      <c r="I1408" s="190"/>
      <c r="J1408" s="190"/>
      <c r="K1408" s="190"/>
      <c r="L1408" s="190"/>
      <c r="M1408" s="190"/>
      <c r="N1408" s="190"/>
      <c r="O1408" s="190"/>
      <c r="P1408" s="190"/>
      <c r="Q1408" s="190"/>
      <c r="R1408" s="190"/>
      <c r="S1408" s="190"/>
      <c r="T1408" s="190"/>
      <c r="U1408" s="190"/>
      <c r="V1408" s="190"/>
      <c r="W1408" s="190"/>
      <c r="X1408" s="190"/>
      <c r="Y1408" s="190"/>
      <c r="Z1408" s="190"/>
      <c r="AA1408" s="190"/>
      <c r="AB1408" s="190"/>
      <c r="AC1408" s="190"/>
      <c r="AD1408" s="190"/>
      <c r="AE1408" s="190"/>
      <c r="AF1408" s="190"/>
      <c r="AG1408" s="190"/>
      <c r="AH1408" s="190"/>
      <c r="AI1408" s="190"/>
      <c r="AJ1408" s="190"/>
      <c r="AK1408" s="190"/>
      <c r="AL1408" s="190"/>
    </row>
    <row r="1409" spans="2:38" ht="12.75" customHeight="1">
      <c r="B1409" s="6"/>
      <c r="C1409" s="6"/>
      <c r="D1409" s="12"/>
      <c r="E1409" s="12"/>
      <c r="F1409" s="12"/>
      <c r="G1409" s="12"/>
      <c r="H1409" s="6"/>
      <c r="I1409" s="190"/>
      <c r="J1409" s="190"/>
      <c r="K1409" s="190"/>
      <c r="L1409" s="190"/>
      <c r="M1409" s="190"/>
      <c r="N1409" s="190"/>
      <c r="O1409" s="190"/>
      <c r="P1409" s="190"/>
      <c r="Q1409" s="190"/>
      <c r="R1409" s="190"/>
      <c r="S1409" s="190"/>
      <c r="T1409" s="190"/>
      <c r="U1409" s="190"/>
      <c r="V1409" s="190"/>
      <c r="W1409" s="190"/>
      <c r="X1409" s="190"/>
      <c r="Y1409" s="190"/>
      <c r="Z1409" s="190"/>
      <c r="AA1409" s="190"/>
      <c r="AB1409" s="190"/>
      <c r="AC1409" s="190"/>
      <c r="AD1409" s="190"/>
      <c r="AE1409" s="190"/>
      <c r="AF1409" s="190"/>
      <c r="AG1409" s="190"/>
      <c r="AH1409" s="190"/>
      <c r="AI1409" s="190"/>
      <c r="AJ1409" s="190"/>
      <c r="AK1409" s="190"/>
      <c r="AL1409" s="190"/>
    </row>
    <row r="1410" spans="2:38" ht="12.75" customHeight="1">
      <c r="B1410" s="6"/>
      <c r="C1410" s="6"/>
      <c r="D1410" s="12"/>
      <c r="E1410" s="12"/>
      <c r="F1410" s="12"/>
      <c r="G1410" s="12"/>
      <c r="H1410" s="6"/>
      <c r="I1410" s="190"/>
      <c r="J1410" s="190"/>
      <c r="K1410" s="190"/>
      <c r="L1410" s="190"/>
      <c r="M1410" s="190"/>
      <c r="N1410" s="190"/>
      <c r="O1410" s="190"/>
      <c r="P1410" s="190"/>
      <c r="Q1410" s="190"/>
      <c r="R1410" s="190"/>
      <c r="S1410" s="190"/>
      <c r="T1410" s="190"/>
      <c r="U1410" s="190"/>
      <c r="V1410" s="190"/>
      <c r="W1410" s="190"/>
      <c r="X1410" s="190"/>
      <c r="Y1410" s="190"/>
      <c r="Z1410" s="190"/>
      <c r="AA1410" s="190"/>
      <c r="AB1410" s="190"/>
      <c r="AC1410" s="190"/>
      <c r="AD1410" s="190"/>
      <c r="AE1410" s="190"/>
      <c r="AF1410" s="190"/>
      <c r="AG1410" s="190"/>
      <c r="AH1410" s="190"/>
      <c r="AI1410" s="190"/>
      <c r="AJ1410" s="190"/>
      <c r="AK1410" s="190"/>
      <c r="AL1410" s="190"/>
    </row>
    <row r="1411" spans="2:38" ht="12.75" customHeight="1">
      <c r="B1411" s="6"/>
      <c r="C1411" s="6"/>
      <c r="D1411" s="12"/>
      <c r="E1411" s="12"/>
      <c r="F1411" s="12"/>
      <c r="G1411" s="12"/>
      <c r="H1411" s="6"/>
      <c r="I1411" s="190"/>
      <c r="J1411" s="190"/>
      <c r="K1411" s="190"/>
      <c r="L1411" s="190"/>
      <c r="M1411" s="190"/>
      <c r="N1411" s="190"/>
      <c r="O1411" s="190"/>
      <c r="P1411" s="190"/>
      <c r="Q1411" s="190"/>
      <c r="R1411" s="190"/>
      <c r="S1411" s="190"/>
      <c r="T1411" s="190"/>
      <c r="U1411" s="190"/>
      <c r="V1411" s="190"/>
      <c r="W1411" s="190"/>
      <c r="X1411" s="190"/>
      <c r="Y1411" s="190"/>
      <c r="Z1411" s="190"/>
      <c r="AA1411" s="190"/>
      <c r="AB1411" s="190"/>
      <c r="AC1411" s="190"/>
      <c r="AD1411" s="190"/>
      <c r="AE1411" s="190"/>
      <c r="AF1411" s="190"/>
      <c r="AG1411" s="190"/>
      <c r="AH1411" s="190"/>
      <c r="AI1411" s="190"/>
      <c r="AJ1411" s="190"/>
      <c r="AK1411" s="190"/>
      <c r="AL1411" s="190"/>
    </row>
    <row r="1412" spans="2:38" ht="12.75" customHeight="1">
      <c r="B1412" s="6"/>
      <c r="C1412" s="6"/>
      <c r="D1412" s="12"/>
      <c r="E1412" s="12"/>
      <c r="F1412" s="12"/>
      <c r="G1412" s="12"/>
      <c r="H1412" s="6"/>
      <c r="I1412" s="190"/>
      <c r="J1412" s="190"/>
      <c r="K1412" s="190"/>
      <c r="L1412" s="190"/>
      <c r="M1412" s="190"/>
      <c r="N1412" s="190"/>
      <c r="O1412" s="190"/>
      <c r="P1412" s="190"/>
      <c r="Q1412" s="190"/>
      <c r="R1412" s="190"/>
      <c r="S1412" s="190"/>
      <c r="T1412" s="190"/>
      <c r="U1412" s="190"/>
      <c r="V1412" s="190"/>
      <c r="W1412" s="190"/>
      <c r="X1412" s="190"/>
      <c r="Y1412" s="190"/>
      <c r="Z1412" s="190"/>
      <c r="AA1412" s="190"/>
      <c r="AB1412" s="190"/>
      <c r="AC1412" s="190"/>
      <c r="AD1412" s="190"/>
      <c r="AE1412" s="190"/>
      <c r="AF1412" s="190"/>
      <c r="AG1412" s="190"/>
      <c r="AH1412" s="190"/>
      <c r="AI1412" s="190"/>
      <c r="AJ1412" s="190"/>
      <c r="AK1412" s="190"/>
      <c r="AL1412" s="190"/>
    </row>
    <row r="1413" spans="2:38" ht="12.75" customHeight="1">
      <c r="B1413" s="6"/>
      <c r="C1413" s="6"/>
      <c r="D1413" s="12"/>
      <c r="E1413" s="12"/>
      <c r="F1413" s="12"/>
      <c r="G1413" s="12"/>
      <c r="H1413" s="6"/>
      <c r="I1413" s="190"/>
      <c r="J1413" s="190"/>
      <c r="K1413" s="190"/>
      <c r="L1413" s="190"/>
      <c r="M1413" s="190"/>
      <c r="N1413" s="190"/>
      <c r="O1413" s="190"/>
      <c r="P1413" s="190"/>
      <c r="Q1413" s="190"/>
      <c r="R1413" s="190"/>
      <c r="S1413" s="190"/>
      <c r="T1413" s="190"/>
      <c r="U1413" s="190"/>
      <c r="V1413" s="190"/>
      <c r="W1413" s="190"/>
      <c r="X1413" s="190"/>
      <c r="Y1413" s="190"/>
      <c r="Z1413" s="190"/>
      <c r="AA1413" s="190"/>
      <c r="AB1413" s="190"/>
      <c r="AC1413" s="190"/>
      <c r="AD1413" s="190"/>
      <c r="AE1413" s="190"/>
      <c r="AF1413" s="190"/>
      <c r="AG1413" s="190"/>
      <c r="AH1413" s="190"/>
      <c r="AI1413" s="190"/>
      <c r="AJ1413" s="190"/>
      <c r="AK1413" s="190"/>
      <c r="AL1413" s="190"/>
    </row>
    <row r="1414" spans="2:38" ht="12.75" customHeight="1">
      <c r="B1414" s="6"/>
      <c r="C1414" s="6"/>
      <c r="D1414" s="12"/>
      <c r="E1414" s="12"/>
      <c r="F1414" s="12"/>
      <c r="G1414" s="12"/>
      <c r="H1414" s="6"/>
      <c r="I1414" s="190"/>
      <c r="J1414" s="190"/>
      <c r="K1414" s="190"/>
      <c r="L1414" s="190"/>
      <c r="M1414" s="190"/>
      <c r="N1414" s="190"/>
      <c r="O1414" s="190"/>
      <c r="P1414" s="190"/>
      <c r="Q1414" s="190"/>
      <c r="R1414" s="190"/>
      <c r="S1414" s="190"/>
      <c r="T1414" s="190"/>
      <c r="U1414" s="190"/>
      <c r="V1414" s="190"/>
      <c r="W1414" s="190"/>
      <c r="X1414" s="190"/>
      <c r="Y1414" s="190"/>
      <c r="Z1414" s="190"/>
      <c r="AA1414" s="190"/>
      <c r="AB1414" s="190"/>
      <c r="AC1414" s="190"/>
      <c r="AD1414" s="190"/>
      <c r="AE1414" s="190"/>
      <c r="AF1414" s="190"/>
      <c r="AG1414" s="190"/>
      <c r="AH1414" s="190"/>
      <c r="AI1414" s="190"/>
      <c r="AJ1414" s="190"/>
      <c r="AK1414" s="190"/>
      <c r="AL1414" s="190"/>
    </row>
    <row r="1415" spans="2:38" ht="12.75" customHeight="1">
      <c r="B1415" s="6"/>
      <c r="C1415" s="6"/>
      <c r="D1415" s="12"/>
      <c r="E1415" s="12"/>
      <c r="F1415" s="12"/>
      <c r="G1415" s="12"/>
      <c r="H1415" s="6"/>
      <c r="I1415" s="190"/>
      <c r="J1415" s="190"/>
      <c r="K1415" s="190"/>
      <c r="L1415" s="190"/>
      <c r="M1415" s="190"/>
      <c r="N1415" s="190"/>
      <c r="O1415" s="190"/>
      <c r="P1415" s="190"/>
      <c r="Q1415" s="190"/>
      <c r="R1415" s="190"/>
      <c r="S1415" s="190"/>
      <c r="T1415" s="190"/>
      <c r="U1415" s="190"/>
      <c r="V1415" s="190"/>
      <c r="W1415" s="190"/>
      <c r="X1415" s="190"/>
      <c r="Y1415" s="190"/>
      <c r="Z1415" s="190"/>
      <c r="AA1415" s="190"/>
      <c r="AB1415" s="190"/>
      <c r="AC1415" s="190"/>
      <c r="AD1415" s="190"/>
      <c r="AE1415" s="190"/>
      <c r="AF1415" s="190"/>
      <c r="AG1415" s="190"/>
      <c r="AH1415" s="190"/>
      <c r="AI1415" s="190"/>
      <c r="AJ1415" s="190"/>
      <c r="AK1415" s="190"/>
      <c r="AL1415" s="190"/>
    </row>
    <row r="1416" spans="2:38" ht="12.75" customHeight="1">
      <c r="B1416" s="6"/>
      <c r="C1416" s="6"/>
      <c r="D1416" s="12"/>
      <c r="E1416" s="12"/>
      <c r="F1416" s="12"/>
      <c r="G1416" s="12"/>
      <c r="H1416" s="6"/>
      <c r="I1416" s="190"/>
      <c r="J1416" s="190"/>
      <c r="K1416" s="190"/>
      <c r="L1416" s="190"/>
      <c r="M1416" s="190"/>
      <c r="N1416" s="190"/>
      <c r="O1416" s="190"/>
      <c r="P1416" s="190"/>
      <c r="Q1416" s="190"/>
      <c r="R1416" s="190"/>
      <c r="S1416" s="190"/>
      <c r="T1416" s="190"/>
      <c r="U1416" s="190"/>
      <c r="V1416" s="190"/>
      <c r="W1416" s="190"/>
      <c r="X1416" s="190"/>
      <c r="Y1416" s="190"/>
      <c r="Z1416" s="190"/>
      <c r="AA1416" s="190"/>
      <c r="AB1416" s="190"/>
      <c r="AC1416" s="190"/>
      <c r="AD1416" s="190"/>
      <c r="AE1416" s="190"/>
      <c r="AF1416" s="190"/>
      <c r="AG1416" s="190"/>
      <c r="AH1416" s="190"/>
      <c r="AI1416" s="190"/>
      <c r="AJ1416" s="190"/>
      <c r="AK1416" s="190"/>
      <c r="AL1416" s="190"/>
    </row>
    <row r="1417" spans="2:38" ht="12.75" customHeight="1">
      <c r="B1417" s="6"/>
      <c r="C1417" s="6"/>
      <c r="D1417" s="12"/>
      <c r="E1417" s="12"/>
      <c r="F1417" s="12"/>
      <c r="G1417" s="12"/>
      <c r="H1417" s="6"/>
      <c r="I1417" s="190"/>
      <c r="J1417" s="190"/>
      <c r="K1417" s="190"/>
      <c r="L1417" s="190"/>
      <c r="M1417" s="190"/>
      <c r="N1417" s="190"/>
      <c r="O1417" s="190"/>
      <c r="P1417" s="190"/>
      <c r="Q1417" s="190"/>
      <c r="R1417" s="190"/>
      <c r="S1417" s="190"/>
      <c r="T1417" s="190"/>
      <c r="U1417" s="190"/>
      <c r="V1417" s="190"/>
      <c r="W1417" s="190"/>
      <c r="X1417" s="190"/>
      <c r="Y1417" s="190"/>
      <c r="Z1417" s="190"/>
      <c r="AA1417" s="190"/>
      <c r="AB1417" s="190"/>
      <c r="AC1417" s="190"/>
      <c r="AD1417" s="190"/>
      <c r="AE1417" s="190"/>
      <c r="AF1417" s="190"/>
      <c r="AG1417" s="190"/>
      <c r="AH1417" s="190"/>
      <c r="AI1417" s="190"/>
      <c r="AJ1417" s="190"/>
      <c r="AK1417" s="190"/>
      <c r="AL1417" s="190"/>
    </row>
    <row r="1418" spans="2:38" ht="12.75" customHeight="1">
      <c r="B1418" s="6"/>
      <c r="C1418" s="6"/>
      <c r="D1418" s="12"/>
      <c r="E1418" s="12"/>
      <c r="F1418" s="12"/>
      <c r="G1418" s="12"/>
      <c r="H1418" s="6"/>
      <c r="I1418" s="190"/>
      <c r="J1418" s="190"/>
      <c r="K1418" s="190"/>
      <c r="L1418" s="190"/>
      <c r="M1418" s="190"/>
      <c r="N1418" s="190"/>
      <c r="O1418" s="190"/>
      <c r="P1418" s="190"/>
      <c r="Q1418" s="190"/>
      <c r="R1418" s="190"/>
      <c r="S1418" s="190"/>
      <c r="T1418" s="190"/>
      <c r="U1418" s="190"/>
      <c r="V1418" s="190"/>
      <c r="W1418" s="190"/>
      <c r="X1418" s="190"/>
      <c r="Y1418" s="190"/>
      <c r="Z1418" s="190"/>
      <c r="AA1418" s="190"/>
      <c r="AB1418" s="190"/>
      <c r="AC1418" s="190"/>
      <c r="AD1418" s="190"/>
      <c r="AE1418" s="190"/>
      <c r="AF1418" s="190"/>
      <c r="AG1418" s="190"/>
      <c r="AH1418" s="190"/>
      <c r="AI1418" s="190"/>
      <c r="AJ1418" s="190"/>
      <c r="AK1418" s="190"/>
      <c r="AL1418" s="190"/>
    </row>
    <row r="1419" spans="2:38" ht="12.75" customHeight="1">
      <c r="B1419" s="6"/>
      <c r="C1419" s="6"/>
      <c r="D1419" s="12"/>
      <c r="E1419" s="12"/>
      <c r="F1419" s="12"/>
      <c r="G1419" s="12"/>
      <c r="H1419" s="6"/>
      <c r="I1419" s="190"/>
      <c r="J1419" s="190"/>
      <c r="K1419" s="190"/>
      <c r="L1419" s="190"/>
      <c r="M1419" s="190"/>
      <c r="N1419" s="190"/>
      <c r="O1419" s="190"/>
      <c r="P1419" s="190"/>
      <c r="Q1419" s="190"/>
      <c r="R1419" s="190"/>
      <c r="S1419" s="190"/>
      <c r="T1419" s="190"/>
      <c r="U1419" s="190"/>
      <c r="V1419" s="190"/>
      <c r="W1419" s="190"/>
      <c r="X1419" s="190"/>
      <c r="Y1419" s="190"/>
      <c r="Z1419" s="190"/>
      <c r="AA1419" s="190"/>
      <c r="AB1419" s="190"/>
      <c r="AC1419" s="190"/>
      <c r="AD1419" s="190"/>
      <c r="AE1419" s="190"/>
      <c r="AF1419" s="190"/>
      <c r="AG1419" s="190"/>
      <c r="AH1419" s="190"/>
      <c r="AI1419" s="190"/>
      <c r="AJ1419" s="190"/>
      <c r="AK1419" s="190"/>
      <c r="AL1419" s="190"/>
    </row>
    <row r="1420" spans="2:38" ht="12.75" customHeight="1">
      <c r="B1420" s="6"/>
      <c r="C1420" s="6"/>
      <c r="D1420" s="12"/>
      <c r="E1420" s="12"/>
      <c r="F1420" s="12"/>
      <c r="G1420" s="12"/>
      <c r="H1420" s="6"/>
      <c r="I1420" s="190"/>
      <c r="J1420" s="190"/>
      <c r="K1420" s="190"/>
      <c r="L1420" s="190"/>
      <c r="M1420" s="190"/>
      <c r="N1420" s="190"/>
      <c r="O1420" s="190"/>
      <c r="P1420" s="190"/>
      <c r="Q1420" s="190"/>
      <c r="R1420" s="190"/>
      <c r="S1420" s="190"/>
      <c r="T1420" s="190"/>
      <c r="U1420" s="190"/>
      <c r="V1420" s="190"/>
      <c r="W1420" s="190"/>
      <c r="X1420" s="190"/>
      <c r="Y1420" s="190"/>
      <c r="Z1420" s="190"/>
      <c r="AA1420" s="190"/>
      <c r="AB1420" s="190"/>
      <c r="AC1420" s="190"/>
      <c r="AD1420" s="190"/>
      <c r="AE1420" s="190"/>
      <c r="AF1420" s="190"/>
      <c r="AG1420" s="190"/>
      <c r="AH1420" s="190"/>
      <c r="AI1420" s="190"/>
      <c r="AJ1420" s="190"/>
      <c r="AK1420" s="190"/>
      <c r="AL1420" s="190"/>
    </row>
    <row r="1421" spans="2:38" ht="12.75" customHeight="1">
      <c r="B1421" s="6"/>
      <c r="C1421" s="6"/>
      <c r="D1421" s="12"/>
      <c r="E1421" s="12"/>
      <c r="F1421" s="12"/>
      <c r="G1421" s="12"/>
      <c r="H1421" s="6"/>
      <c r="I1421" s="190"/>
      <c r="J1421" s="190"/>
      <c r="K1421" s="190"/>
      <c r="L1421" s="190"/>
      <c r="M1421" s="190"/>
      <c r="N1421" s="190"/>
      <c r="O1421" s="190"/>
      <c r="P1421" s="190"/>
      <c r="Q1421" s="190"/>
      <c r="R1421" s="190"/>
      <c r="S1421" s="190"/>
      <c r="T1421" s="190"/>
      <c r="U1421" s="190"/>
      <c r="V1421" s="190"/>
      <c r="W1421" s="190"/>
      <c r="X1421" s="190"/>
      <c r="Y1421" s="190"/>
      <c r="Z1421" s="190"/>
      <c r="AA1421" s="190"/>
      <c r="AB1421" s="190"/>
      <c r="AC1421" s="190"/>
      <c r="AD1421" s="190"/>
      <c r="AE1421" s="190"/>
      <c r="AF1421" s="190"/>
      <c r="AG1421" s="190"/>
      <c r="AH1421" s="190"/>
      <c r="AI1421" s="190"/>
      <c r="AJ1421" s="190"/>
      <c r="AK1421" s="190"/>
      <c r="AL1421" s="190"/>
    </row>
    <row r="1422" spans="2:38" ht="12.75" customHeight="1">
      <c r="B1422" s="6"/>
      <c r="C1422" s="6"/>
      <c r="D1422" s="12"/>
      <c r="E1422" s="12"/>
      <c r="F1422" s="12"/>
      <c r="G1422" s="12"/>
      <c r="H1422" s="6"/>
      <c r="I1422" s="190"/>
      <c r="J1422" s="190"/>
      <c r="K1422" s="190"/>
      <c r="L1422" s="190"/>
      <c r="M1422" s="190"/>
      <c r="N1422" s="190"/>
      <c r="O1422" s="190"/>
      <c r="P1422" s="190"/>
      <c r="Q1422" s="190"/>
      <c r="R1422" s="190"/>
      <c r="S1422" s="190"/>
      <c r="T1422" s="190"/>
      <c r="U1422" s="190"/>
      <c r="V1422" s="190"/>
      <c r="W1422" s="190"/>
      <c r="X1422" s="190"/>
      <c r="Y1422" s="190"/>
      <c r="Z1422" s="190"/>
      <c r="AA1422" s="190"/>
      <c r="AB1422" s="190"/>
      <c r="AC1422" s="190"/>
      <c r="AD1422" s="190"/>
      <c r="AE1422" s="190"/>
      <c r="AF1422" s="190"/>
      <c r="AG1422" s="190"/>
      <c r="AH1422" s="190"/>
      <c r="AI1422" s="190"/>
      <c r="AJ1422" s="190"/>
      <c r="AK1422" s="190"/>
      <c r="AL1422" s="190"/>
    </row>
    <row r="1423" spans="2:38" ht="12.75" customHeight="1">
      <c r="B1423" s="6"/>
      <c r="C1423" s="6"/>
      <c r="D1423" s="12"/>
      <c r="E1423" s="12"/>
      <c r="F1423" s="12"/>
      <c r="G1423" s="12"/>
      <c r="H1423" s="6"/>
      <c r="I1423" s="190"/>
      <c r="J1423" s="190"/>
      <c r="K1423" s="190"/>
      <c r="L1423" s="190"/>
      <c r="M1423" s="190"/>
      <c r="N1423" s="190"/>
      <c r="O1423" s="190"/>
      <c r="P1423" s="190"/>
      <c r="Q1423" s="190"/>
      <c r="R1423" s="190"/>
      <c r="S1423" s="190"/>
      <c r="T1423" s="190"/>
      <c r="U1423" s="190"/>
      <c r="V1423" s="190"/>
      <c r="W1423" s="190"/>
      <c r="X1423" s="190"/>
      <c r="Y1423" s="190"/>
      <c r="Z1423" s="190"/>
      <c r="AA1423" s="190"/>
      <c r="AB1423" s="190"/>
      <c r="AC1423" s="190"/>
      <c r="AD1423" s="190"/>
      <c r="AE1423" s="190"/>
      <c r="AF1423" s="190"/>
      <c r="AG1423" s="190"/>
      <c r="AH1423" s="190"/>
      <c r="AI1423" s="190"/>
      <c r="AJ1423" s="190"/>
      <c r="AK1423" s="190"/>
      <c r="AL1423" s="190"/>
    </row>
    <row r="1424" spans="2:38" ht="12.75" customHeight="1">
      <c r="B1424" s="6"/>
      <c r="C1424" s="6"/>
      <c r="D1424" s="12"/>
      <c r="E1424" s="12"/>
      <c r="F1424" s="12"/>
      <c r="G1424" s="12"/>
      <c r="H1424" s="6"/>
      <c r="I1424" s="190"/>
      <c r="J1424" s="190"/>
      <c r="K1424" s="190"/>
      <c r="L1424" s="190"/>
      <c r="M1424" s="190"/>
      <c r="N1424" s="190"/>
      <c r="O1424" s="190"/>
      <c r="P1424" s="190"/>
      <c r="Q1424" s="190"/>
      <c r="R1424" s="190"/>
      <c r="S1424" s="190"/>
      <c r="T1424" s="190"/>
      <c r="U1424" s="190"/>
      <c r="V1424" s="190"/>
      <c r="W1424" s="190"/>
      <c r="X1424" s="190"/>
      <c r="Y1424" s="190"/>
      <c r="Z1424" s="190"/>
      <c r="AA1424" s="190"/>
      <c r="AB1424" s="190"/>
      <c r="AC1424" s="190"/>
      <c r="AD1424" s="190"/>
      <c r="AE1424" s="190"/>
      <c r="AF1424" s="190"/>
      <c r="AG1424" s="190"/>
      <c r="AH1424" s="190"/>
      <c r="AI1424" s="190"/>
      <c r="AJ1424" s="190"/>
      <c r="AK1424" s="190"/>
      <c r="AL1424" s="190"/>
    </row>
    <row r="1425" spans="2:38" ht="12.75" customHeight="1">
      <c r="B1425" s="6"/>
      <c r="C1425" s="6"/>
      <c r="D1425" s="12"/>
      <c r="E1425" s="12"/>
      <c r="F1425" s="12"/>
      <c r="G1425" s="12"/>
      <c r="H1425" s="6"/>
      <c r="I1425" s="190"/>
      <c r="J1425" s="190"/>
      <c r="K1425" s="190"/>
      <c r="L1425" s="190"/>
      <c r="M1425" s="190"/>
      <c r="N1425" s="190"/>
      <c r="O1425" s="190"/>
      <c r="P1425" s="190"/>
      <c r="Q1425" s="190"/>
      <c r="R1425" s="190"/>
      <c r="S1425" s="190"/>
      <c r="T1425" s="190"/>
      <c r="U1425" s="190"/>
      <c r="V1425" s="190"/>
      <c r="W1425" s="190"/>
      <c r="X1425" s="190"/>
      <c r="Y1425" s="190"/>
      <c r="Z1425" s="190"/>
      <c r="AA1425" s="190"/>
      <c r="AB1425" s="190"/>
      <c r="AC1425" s="190"/>
      <c r="AD1425" s="190"/>
      <c r="AE1425" s="190"/>
      <c r="AF1425" s="190"/>
      <c r="AG1425" s="190"/>
      <c r="AH1425" s="190"/>
      <c r="AI1425" s="190"/>
      <c r="AJ1425" s="190"/>
      <c r="AK1425" s="190"/>
      <c r="AL1425" s="190"/>
    </row>
    <row r="1426" spans="2:38" ht="12.75" customHeight="1">
      <c r="B1426" s="6"/>
      <c r="C1426" s="6"/>
      <c r="D1426" s="12"/>
      <c r="E1426" s="12"/>
      <c r="F1426" s="12"/>
      <c r="G1426" s="12"/>
      <c r="H1426" s="6"/>
      <c r="I1426" s="190"/>
      <c r="J1426" s="190"/>
      <c r="K1426" s="190"/>
      <c r="L1426" s="190"/>
      <c r="M1426" s="190"/>
      <c r="N1426" s="190"/>
      <c r="O1426" s="190"/>
      <c r="P1426" s="190"/>
      <c r="Q1426" s="190"/>
      <c r="R1426" s="190"/>
      <c r="S1426" s="190"/>
      <c r="T1426" s="190"/>
      <c r="U1426" s="190"/>
      <c r="V1426" s="190"/>
      <c r="W1426" s="190"/>
      <c r="X1426" s="190"/>
      <c r="Y1426" s="190"/>
      <c r="Z1426" s="190"/>
      <c r="AA1426" s="190"/>
      <c r="AB1426" s="190"/>
      <c r="AC1426" s="190"/>
      <c r="AD1426" s="190"/>
      <c r="AE1426" s="190"/>
      <c r="AF1426" s="190"/>
      <c r="AG1426" s="190"/>
      <c r="AH1426" s="190"/>
      <c r="AI1426" s="190"/>
      <c r="AJ1426" s="190"/>
      <c r="AK1426" s="190"/>
      <c r="AL1426" s="190"/>
    </row>
    <row r="1427" spans="2:38" ht="12.75" customHeight="1">
      <c r="B1427" s="6"/>
      <c r="C1427" s="6"/>
      <c r="D1427" s="12"/>
      <c r="E1427" s="12"/>
      <c r="F1427" s="12"/>
      <c r="G1427" s="12"/>
      <c r="H1427" s="6"/>
      <c r="I1427" s="190"/>
      <c r="J1427" s="190"/>
      <c r="K1427" s="190"/>
      <c r="L1427" s="190"/>
      <c r="M1427" s="190"/>
      <c r="N1427" s="190"/>
      <c r="O1427" s="190"/>
      <c r="P1427" s="190"/>
      <c r="Q1427" s="190"/>
      <c r="R1427" s="190"/>
      <c r="S1427" s="190"/>
      <c r="T1427" s="190"/>
      <c r="U1427" s="190"/>
      <c r="V1427" s="190"/>
      <c r="W1427" s="190"/>
      <c r="X1427" s="190"/>
      <c r="Y1427" s="190"/>
      <c r="Z1427" s="190"/>
      <c r="AA1427" s="190"/>
      <c r="AB1427" s="190"/>
      <c r="AC1427" s="190"/>
      <c r="AD1427" s="190"/>
      <c r="AE1427" s="190"/>
      <c r="AF1427" s="190"/>
      <c r="AG1427" s="190"/>
      <c r="AH1427" s="190"/>
      <c r="AI1427" s="190"/>
      <c r="AJ1427" s="190"/>
      <c r="AK1427" s="190"/>
      <c r="AL1427" s="190"/>
    </row>
    <row r="1428" spans="2:38" ht="12.75" customHeight="1">
      <c r="B1428" s="6"/>
      <c r="C1428" s="6"/>
      <c r="D1428" s="12"/>
      <c r="E1428" s="12"/>
      <c r="F1428" s="12"/>
      <c r="G1428" s="12"/>
      <c r="H1428" s="6"/>
      <c r="I1428" s="190"/>
      <c r="J1428" s="190"/>
      <c r="K1428" s="190"/>
      <c r="L1428" s="190"/>
      <c r="M1428" s="190"/>
      <c r="N1428" s="190"/>
      <c r="O1428" s="190"/>
      <c r="P1428" s="190"/>
      <c r="Q1428" s="190"/>
      <c r="R1428" s="190"/>
      <c r="S1428" s="190"/>
      <c r="T1428" s="190"/>
      <c r="U1428" s="190"/>
      <c r="V1428" s="190"/>
      <c r="W1428" s="190"/>
      <c r="X1428" s="190"/>
      <c r="Y1428" s="190"/>
      <c r="Z1428" s="190"/>
      <c r="AA1428" s="190"/>
      <c r="AB1428" s="190"/>
      <c r="AC1428" s="190"/>
      <c r="AD1428" s="190"/>
      <c r="AE1428" s="190"/>
      <c r="AF1428" s="190"/>
      <c r="AG1428" s="190"/>
      <c r="AH1428" s="190"/>
      <c r="AI1428" s="190"/>
      <c r="AJ1428" s="190"/>
      <c r="AK1428" s="190"/>
      <c r="AL1428" s="190"/>
    </row>
    <row r="1429" spans="2:38" ht="12.75" customHeight="1">
      <c r="B1429" s="6"/>
      <c r="C1429" s="6"/>
      <c r="D1429" s="12"/>
      <c r="E1429" s="12"/>
      <c r="F1429" s="12"/>
      <c r="G1429" s="12"/>
      <c r="H1429" s="6"/>
      <c r="I1429" s="190"/>
      <c r="J1429" s="190"/>
      <c r="K1429" s="190"/>
      <c r="L1429" s="190"/>
      <c r="M1429" s="190"/>
      <c r="N1429" s="190"/>
      <c r="O1429" s="190"/>
      <c r="P1429" s="190"/>
      <c r="Q1429" s="190"/>
      <c r="R1429" s="190"/>
      <c r="S1429" s="190"/>
      <c r="T1429" s="190"/>
      <c r="U1429" s="190"/>
      <c r="V1429" s="190"/>
      <c r="W1429" s="190"/>
      <c r="X1429" s="190"/>
      <c r="Y1429" s="190"/>
      <c r="Z1429" s="190"/>
      <c r="AA1429" s="190"/>
      <c r="AB1429" s="190"/>
      <c r="AC1429" s="190"/>
      <c r="AD1429" s="190"/>
      <c r="AE1429" s="190"/>
      <c r="AF1429" s="190"/>
      <c r="AG1429" s="190"/>
      <c r="AH1429" s="190"/>
      <c r="AI1429" s="190"/>
      <c r="AJ1429" s="190"/>
      <c r="AK1429" s="190"/>
      <c r="AL1429" s="190"/>
    </row>
    <row r="1430" spans="2:38" ht="12.75" customHeight="1">
      <c r="B1430" s="6"/>
      <c r="C1430" s="6"/>
      <c r="D1430" s="12"/>
      <c r="E1430" s="12"/>
      <c r="F1430" s="12"/>
      <c r="G1430" s="12"/>
      <c r="H1430" s="6"/>
      <c r="I1430" s="190"/>
      <c r="J1430" s="190"/>
      <c r="K1430" s="190"/>
      <c r="L1430" s="190"/>
      <c r="M1430" s="190"/>
      <c r="N1430" s="190"/>
      <c r="O1430" s="190"/>
      <c r="P1430" s="190"/>
      <c r="Q1430" s="190"/>
      <c r="R1430" s="190"/>
      <c r="S1430" s="190"/>
      <c r="T1430" s="190"/>
      <c r="U1430" s="190"/>
      <c r="V1430" s="190"/>
      <c r="W1430" s="190"/>
      <c r="X1430" s="190"/>
      <c r="Y1430" s="190"/>
      <c r="Z1430" s="190"/>
      <c r="AA1430" s="190"/>
      <c r="AB1430" s="190"/>
      <c r="AC1430" s="190"/>
      <c r="AD1430" s="190"/>
      <c r="AE1430" s="190"/>
      <c r="AF1430" s="190"/>
      <c r="AG1430" s="190"/>
      <c r="AH1430" s="190"/>
      <c r="AI1430" s="190"/>
      <c r="AJ1430" s="190"/>
      <c r="AK1430" s="190"/>
      <c r="AL1430" s="190"/>
    </row>
    <row r="1431" spans="2:38" ht="12.75" customHeight="1">
      <c r="B1431" s="6"/>
      <c r="C1431" s="6"/>
      <c r="D1431" s="12"/>
      <c r="E1431" s="12"/>
      <c r="F1431" s="12"/>
      <c r="G1431" s="12"/>
      <c r="H1431" s="6"/>
      <c r="I1431" s="190"/>
      <c r="J1431" s="190"/>
      <c r="K1431" s="190"/>
      <c r="L1431" s="190"/>
      <c r="M1431" s="190"/>
      <c r="N1431" s="190"/>
      <c r="O1431" s="190"/>
      <c r="P1431" s="190"/>
      <c r="Q1431" s="190"/>
      <c r="R1431" s="190"/>
      <c r="S1431" s="190"/>
      <c r="T1431" s="190"/>
      <c r="U1431" s="190"/>
      <c r="V1431" s="190"/>
      <c r="W1431" s="190"/>
      <c r="X1431" s="190"/>
      <c r="Y1431" s="190"/>
      <c r="Z1431" s="190"/>
      <c r="AA1431" s="190"/>
      <c r="AB1431" s="190"/>
      <c r="AC1431" s="190"/>
      <c r="AD1431" s="190"/>
      <c r="AE1431" s="190"/>
      <c r="AF1431" s="190"/>
      <c r="AG1431" s="190"/>
      <c r="AH1431" s="190"/>
      <c r="AI1431" s="190"/>
      <c r="AJ1431" s="190"/>
      <c r="AK1431" s="190"/>
      <c r="AL1431" s="190"/>
    </row>
    <row r="1432" spans="2:38" ht="12.75" customHeight="1">
      <c r="B1432" s="6"/>
      <c r="C1432" s="6"/>
      <c r="D1432" s="12"/>
      <c r="E1432" s="12"/>
      <c r="F1432" s="12"/>
      <c r="G1432" s="12"/>
      <c r="H1432" s="6"/>
      <c r="I1432" s="190"/>
      <c r="J1432" s="190"/>
      <c r="K1432" s="190"/>
      <c r="L1432" s="190"/>
      <c r="M1432" s="190"/>
      <c r="N1432" s="190"/>
      <c r="O1432" s="190"/>
      <c r="P1432" s="190"/>
      <c r="Q1432" s="190"/>
      <c r="R1432" s="190"/>
      <c r="S1432" s="190"/>
      <c r="T1432" s="190"/>
      <c r="U1432" s="190"/>
      <c r="V1432" s="190"/>
      <c r="W1432" s="190"/>
      <c r="X1432" s="190"/>
      <c r="Y1432" s="190"/>
      <c r="Z1432" s="190"/>
      <c r="AA1432" s="190"/>
      <c r="AB1432" s="190"/>
      <c r="AC1432" s="190"/>
      <c r="AD1432" s="190"/>
      <c r="AE1432" s="190"/>
      <c r="AF1432" s="190"/>
      <c r="AG1432" s="190"/>
      <c r="AH1432" s="190"/>
      <c r="AI1432" s="190"/>
      <c r="AJ1432" s="190"/>
      <c r="AK1432" s="190"/>
      <c r="AL1432" s="190"/>
    </row>
    <row r="1433" spans="2:38" ht="12.75" customHeight="1">
      <c r="B1433" s="6"/>
      <c r="C1433" s="6"/>
      <c r="D1433" s="12"/>
      <c r="E1433" s="12"/>
      <c r="F1433" s="12"/>
      <c r="G1433" s="12"/>
      <c r="H1433" s="6"/>
      <c r="I1433" s="190"/>
      <c r="J1433" s="190"/>
      <c r="K1433" s="190"/>
      <c r="L1433" s="190"/>
      <c r="M1433" s="190"/>
      <c r="N1433" s="190"/>
      <c r="O1433" s="190"/>
      <c r="P1433" s="190"/>
      <c r="Q1433" s="190"/>
      <c r="R1433" s="190"/>
      <c r="S1433" s="190"/>
      <c r="T1433" s="190"/>
      <c r="U1433" s="190"/>
      <c r="V1433" s="190"/>
      <c r="W1433" s="190"/>
      <c r="X1433" s="190"/>
      <c r="Y1433" s="190"/>
      <c r="Z1433" s="190"/>
      <c r="AA1433" s="190"/>
      <c r="AB1433" s="190"/>
      <c r="AC1433" s="190"/>
      <c r="AD1433" s="190"/>
      <c r="AE1433" s="190"/>
      <c r="AF1433" s="190"/>
      <c r="AG1433" s="190"/>
      <c r="AH1433" s="190"/>
      <c r="AI1433" s="190"/>
      <c r="AJ1433" s="190"/>
      <c r="AK1433" s="190"/>
      <c r="AL1433" s="190"/>
    </row>
    <row r="1434" spans="2:38" ht="12.75" customHeight="1">
      <c r="B1434" s="6"/>
      <c r="C1434" s="6"/>
      <c r="D1434" s="12"/>
      <c r="E1434" s="12"/>
      <c r="F1434" s="12"/>
      <c r="G1434" s="12"/>
      <c r="H1434" s="6"/>
      <c r="I1434" s="190"/>
      <c r="J1434" s="190"/>
      <c r="K1434" s="190"/>
      <c r="L1434" s="190"/>
      <c r="M1434" s="190"/>
      <c r="N1434" s="190"/>
      <c r="O1434" s="190"/>
      <c r="P1434" s="190"/>
      <c r="Q1434" s="190"/>
      <c r="R1434" s="190"/>
      <c r="S1434" s="190"/>
      <c r="T1434" s="190"/>
      <c r="U1434" s="190"/>
      <c r="V1434" s="190"/>
      <c r="W1434" s="190"/>
      <c r="X1434" s="190"/>
      <c r="Y1434" s="190"/>
      <c r="Z1434" s="190"/>
      <c r="AA1434" s="190"/>
      <c r="AB1434" s="190"/>
      <c r="AC1434" s="190"/>
      <c r="AD1434" s="190"/>
      <c r="AE1434" s="190"/>
      <c r="AF1434" s="190"/>
      <c r="AG1434" s="190"/>
      <c r="AH1434" s="190"/>
      <c r="AI1434" s="190"/>
      <c r="AJ1434" s="190"/>
      <c r="AK1434" s="190"/>
      <c r="AL1434" s="190"/>
    </row>
    <row r="1435" spans="2:38" ht="12.75" customHeight="1">
      <c r="B1435" s="6"/>
      <c r="C1435" s="6"/>
      <c r="D1435" s="12"/>
      <c r="E1435" s="12"/>
      <c r="F1435" s="12"/>
      <c r="G1435" s="12"/>
      <c r="H1435" s="6"/>
      <c r="I1435" s="190"/>
      <c r="J1435" s="190"/>
      <c r="K1435" s="190"/>
      <c r="L1435" s="190"/>
      <c r="M1435" s="190"/>
      <c r="N1435" s="190"/>
      <c r="O1435" s="190"/>
      <c r="P1435" s="190"/>
      <c r="Q1435" s="190"/>
      <c r="R1435" s="190"/>
      <c r="S1435" s="190"/>
      <c r="T1435" s="190"/>
      <c r="U1435" s="190"/>
      <c r="V1435" s="190"/>
      <c r="W1435" s="190"/>
      <c r="X1435" s="190"/>
      <c r="Y1435" s="190"/>
      <c r="Z1435" s="190"/>
      <c r="AA1435" s="190"/>
      <c r="AB1435" s="190"/>
      <c r="AC1435" s="190"/>
      <c r="AD1435" s="190"/>
      <c r="AE1435" s="190"/>
      <c r="AF1435" s="190"/>
      <c r="AG1435" s="190"/>
      <c r="AH1435" s="190"/>
      <c r="AI1435" s="190"/>
      <c r="AJ1435" s="190"/>
      <c r="AK1435" s="190"/>
      <c r="AL1435" s="190"/>
    </row>
    <row r="1436" spans="2:38" ht="12.75" customHeight="1">
      <c r="B1436" s="6"/>
      <c r="C1436" s="6"/>
      <c r="D1436" s="12"/>
      <c r="E1436" s="12"/>
      <c r="F1436" s="12"/>
      <c r="G1436" s="12"/>
      <c r="H1436" s="6"/>
      <c r="I1436" s="190"/>
      <c r="J1436" s="190"/>
      <c r="K1436" s="190"/>
      <c r="L1436" s="190"/>
      <c r="M1436" s="190"/>
      <c r="N1436" s="190"/>
      <c r="O1436" s="190"/>
      <c r="P1436" s="190"/>
      <c r="Q1436" s="190"/>
      <c r="R1436" s="190"/>
      <c r="S1436" s="190"/>
      <c r="T1436" s="190"/>
      <c r="U1436" s="190"/>
      <c r="V1436" s="190"/>
      <c r="W1436" s="190"/>
      <c r="X1436" s="190"/>
      <c r="Y1436" s="190"/>
      <c r="Z1436" s="190"/>
      <c r="AA1436" s="190"/>
      <c r="AB1436" s="190"/>
      <c r="AC1436" s="190"/>
      <c r="AD1436" s="190"/>
      <c r="AE1436" s="190"/>
      <c r="AF1436" s="190"/>
      <c r="AG1436" s="190"/>
      <c r="AH1436" s="190"/>
      <c r="AI1436" s="190"/>
      <c r="AJ1436" s="190"/>
      <c r="AK1436" s="190"/>
      <c r="AL1436" s="190"/>
    </row>
    <row r="1437" spans="2:38" ht="12.75" customHeight="1">
      <c r="B1437" s="6"/>
      <c r="C1437" s="6"/>
      <c r="D1437" s="12"/>
      <c r="E1437" s="12"/>
      <c r="F1437" s="12"/>
      <c r="G1437" s="12"/>
      <c r="H1437" s="6"/>
      <c r="I1437" s="190"/>
      <c r="J1437" s="190"/>
      <c r="K1437" s="190"/>
      <c r="L1437" s="190"/>
      <c r="M1437" s="190"/>
      <c r="N1437" s="190"/>
      <c r="O1437" s="190"/>
      <c r="P1437" s="190"/>
      <c r="Q1437" s="190"/>
      <c r="R1437" s="190"/>
      <c r="S1437" s="190"/>
      <c r="T1437" s="190"/>
      <c r="U1437" s="190"/>
      <c r="V1437" s="190"/>
      <c r="W1437" s="190"/>
      <c r="X1437" s="190"/>
      <c r="Y1437" s="190"/>
      <c r="Z1437" s="190"/>
      <c r="AA1437" s="190"/>
      <c r="AB1437" s="190"/>
      <c r="AC1437" s="190"/>
      <c r="AD1437" s="190"/>
      <c r="AE1437" s="190"/>
      <c r="AF1437" s="190"/>
      <c r="AG1437" s="190"/>
      <c r="AH1437" s="190"/>
      <c r="AI1437" s="190"/>
      <c r="AJ1437" s="190"/>
      <c r="AK1437" s="190"/>
      <c r="AL1437" s="190"/>
    </row>
    <row r="1438" spans="2:38" ht="12.75" customHeight="1">
      <c r="B1438" s="6"/>
      <c r="C1438" s="6"/>
      <c r="D1438" s="12"/>
      <c r="E1438" s="12"/>
      <c r="F1438" s="12"/>
      <c r="G1438" s="12"/>
      <c r="H1438" s="6"/>
      <c r="I1438" s="190"/>
      <c r="J1438" s="190"/>
      <c r="K1438" s="190"/>
      <c r="L1438" s="190"/>
      <c r="M1438" s="190"/>
      <c r="N1438" s="190"/>
      <c r="O1438" s="190"/>
      <c r="P1438" s="190"/>
      <c r="Q1438" s="190"/>
      <c r="R1438" s="190"/>
      <c r="S1438" s="190"/>
      <c r="T1438" s="190"/>
      <c r="U1438" s="190"/>
      <c r="V1438" s="190"/>
      <c r="W1438" s="190"/>
      <c r="X1438" s="190"/>
      <c r="Y1438" s="190"/>
      <c r="Z1438" s="190"/>
      <c r="AA1438" s="190"/>
      <c r="AB1438" s="190"/>
      <c r="AC1438" s="190"/>
      <c r="AD1438" s="190"/>
      <c r="AE1438" s="190"/>
      <c r="AF1438" s="190"/>
      <c r="AG1438" s="190"/>
      <c r="AH1438" s="190"/>
      <c r="AI1438" s="190"/>
      <c r="AJ1438" s="190"/>
      <c r="AK1438" s="190"/>
      <c r="AL1438" s="190"/>
    </row>
    <row r="1439" spans="2:38" ht="12.75" customHeight="1">
      <c r="B1439" s="6"/>
      <c r="C1439" s="6"/>
      <c r="D1439" s="12"/>
      <c r="E1439" s="12"/>
      <c r="F1439" s="12"/>
      <c r="G1439" s="12"/>
      <c r="H1439" s="6"/>
      <c r="I1439" s="190"/>
      <c r="J1439" s="190"/>
      <c r="K1439" s="190"/>
      <c r="L1439" s="190"/>
      <c r="M1439" s="190"/>
      <c r="N1439" s="190"/>
      <c r="O1439" s="190"/>
      <c r="P1439" s="190"/>
      <c r="Q1439" s="190"/>
      <c r="R1439" s="190"/>
      <c r="S1439" s="190"/>
      <c r="T1439" s="190"/>
      <c r="U1439" s="190"/>
      <c r="V1439" s="190"/>
      <c r="W1439" s="190"/>
      <c r="X1439" s="190"/>
      <c r="Y1439" s="190"/>
      <c r="Z1439" s="190"/>
      <c r="AA1439" s="190"/>
      <c r="AB1439" s="190"/>
      <c r="AC1439" s="190"/>
      <c r="AD1439" s="190"/>
      <c r="AE1439" s="190"/>
      <c r="AF1439" s="190"/>
      <c r="AG1439" s="190"/>
      <c r="AH1439" s="190"/>
      <c r="AI1439" s="190"/>
      <c r="AJ1439" s="190"/>
      <c r="AK1439" s="190"/>
      <c r="AL1439" s="190"/>
    </row>
    <row r="1440" spans="2:38" ht="12.75" customHeight="1">
      <c r="B1440" s="6"/>
      <c r="C1440" s="6"/>
      <c r="D1440" s="12"/>
      <c r="E1440" s="12"/>
      <c r="F1440" s="12"/>
      <c r="G1440" s="12"/>
      <c r="H1440" s="6"/>
      <c r="I1440" s="190"/>
      <c r="J1440" s="190"/>
      <c r="K1440" s="190"/>
      <c r="L1440" s="190"/>
      <c r="M1440" s="190"/>
      <c r="N1440" s="190"/>
      <c r="O1440" s="190"/>
      <c r="P1440" s="190"/>
      <c r="Q1440" s="190"/>
      <c r="R1440" s="190"/>
      <c r="S1440" s="190"/>
      <c r="T1440" s="190"/>
      <c r="U1440" s="190"/>
      <c r="V1440" s="190"/>
      <c r="W1440" s="190"/>
      <c r="X1440" s="190"/>
      <c r="Y1440" s="190"/>
      <c r="Z1440" s="190"/>
      <c r="AA1440" s="190"/>
      <c r="AB1440" s="190"/>
      <c r="AC1440" s="190"/>
      <c r="AD1440" s="190"/>
      <c r="AE1440" s="190"/>
      <c r="AF1440" s="190"/>
      <c r="AG1440" s="190"/>
      <c r="AH1440" s="190"/>
      <c r="AI1440" s="190"/>
      <c r="AJ1440" s="190"/>
      <c r="AK1440" s="190"/>
      <c r="AL1440" s="190"/>
    </row>
    <row r="1441" spans="2:38" ht="12.75" customHeight="1">
      <c r="B1441" s="6"/>
      <c r="C1441" s="6"/>
      <c r="D1441" s="12"/>
      <c r="E1441" s="12"/>
      <c r="F1441" s="12"/>
      <c r="G1441" s="12"/>
      <c r="H1441" s="6"/>
      <c r="I1441" s="190"/>
      <c r="J1441" s="190"/>
      <c r="K1441" s="190"/>
      <c r="L1441" s="190"/>
      <c r="M1441" s="190"/>
      <c r="N1441" s="190"/>
      <c r="O1441" s="190"/>
      <c r="P1441" s="190"/>
      <c r="Q1441" s="190"/>
      <c r="R1441" s="190"/>
      <c r="S1441" s="190"/>
      <c r="T1441" s="190"/>
      <c r="U1441" s="190"/>
      <c r="V1441" s="190"/>
      <c r="W1441" s="190"/>
      <c r="X1441" s="190"/>
      <c r="Y1441" s="190"/>
      <c r="Z1441" s="190"/>
      <c r="AA1441" s="190"/>
      <c r="AB1441" s="190"/>
      <c r="AC1441" s="190"/>
      <c r="AD1441" s="190"/>
      <c r="AE1441" s="190"/>
      <c r="AF1441" s="190"/>
      <c r="AG1441" s="190"/>
      <c r="AH1441" s="190"/>
      <c r="AI1441" s="190"/>
      <c r="AJ1441" s="190"/>
      <c r="AK1441" s="190"/>
      <c r="AL1441" s="190"/>
    </row>
    <row r="1442" spans="2:38" ht="12.75" customHeight="1">
      <c r="B1442" s="6"/>
      <c r="C1442" s="6"/>
      <c r="D1442" s="12"/>
      <c r="E1442" s="12"/>
      <c r="F1442" s="12"/>
      <c r="G1442" s="12"/>
      <c r="H1442" s="6"/>
      <c r="I1442" s="190"/>
      <c r="J1442" s="190"/>
      <c r="K1442" s="190"/>
      <c r="L1442" s="190"/>
      <c r="M1442" s="190"/>
      <c r="N1442" s="190"/>
      <c r="O1442" s="190"/>
      <c r="P1442" s="190"/>
      <c r="Q1442" s="190"/>
      <c r="R1442" s="190"/>
      <c r="S1442" s="190"/>
      <c r="T1442" s="190"/>
      <c r="U1442" s="190"/>
      <c r="V1442" s="190"/>
      <c r="W1442" s="190"/>
      <c r="X1442" s="190"/>
      <c r="Y1442" s="190"/>
      <c r="Z1442" s="190"/>
      <c r="AA1442" s="190"/>
      <c r="AB1442" s="190"/>
      <c r="AC1442" s="190"/>
      <c r="AD1442" s="190"/>
      <c r="AE1442" s="190"/>
      <c r="AF1442" s="190"/>
      <c r="AG1442" s="190"/>
      <c r="AH1442" s="190"/>
      <c r="AI1442" s="190"/>
      <c r="AJ1442" s="190"/>
      <c r="AK1442" s="190"/>
      <c r="AL1442" s="190"/>
    </row>
    <row r="1443" spans="2:38" ht="12.75" customHeight="1">
      <c r="B1443" s="6"/>
      <c r="C1443" s="6"/>
      <c r="D1443" s="12"/>
      <c r="E1443" s="12"/>
      <c r="F1443" s="12"/>
      <c r="G1443" s="12"/>
      <c r="H1443" s="6"/>
      <c r="I1443" s="190"/>
      <c r="J1443" s="190"/>
      <c r="K1443" s="190"/>
      <c r="L1443" s="190"/>
      <c r="M1443" s="190"/>
      <c r="N1443" s="190"/>
      <c r="O1443" s="190"/>
      <c r="P1443" s="190"/>
      <c r="Q1443" s="190"/>
      <c r="R1443" s="190"/>
      <c r="S1443" s="190"/>
      <c r="T1443" s="190"/>
      <c r="U1443" s="190"/>
      <c r="V1443" s="190"/>
      <c r="W1443" s="190"/>
      <c r="X1443" s="190"/>
      <c r="Y1443" s="190"/>
      <c r="Z1443" s="190"/>
      <c r="AA1443" s="190"/>
      <c r="AB1443" s="190"/>
      <c r="AC1443" s="190"/>
      <c r="AD1443" s="190"/>
      <c r="AE1443" s="190"/>
      <c r="AF1443" s="190"/>
      <c r="AG1443" s="190"/>
      <c r="AH1443" s="190"/>
      <c r="AI1443" s="190"/>
      <c r="AJ1443" s="190"/>
      <c r="AK1443" s="190"/>
      <c r="AL1443" s="190"/>
    </row>
    <row r="1444" spans="2:38" ht="12.75" customHeight="1">
      <c r="B1444" s="6"/>
      <c r="C1444" s="6"/>
      <c r="D1444" s="12"/>
      <c r="E1444" s="12"/>
      <c r="F1444" s="12"/>
      <c r="G1444" s="12"/>
      <c r="H1444" s="6"/>
      <c r="I1444" s="190"/>
      <c r="J1444" s="190"/>
      <c r="K1444" s="190"/>
      <c r="L1444" s="190"/>
      <c r="M1444" s="190"/>
      <c r="N1444" s="190"/>
      <c r="O1444" s="190"/>
      <c r="P1444" s="190"/>
      <c r="Q1444" s="190"/>
      <c r="R1444" s="190"/>
      <c r="S1444" s="190"/>
      <c r="T1444" s="190"/>
      <c r="U1444" s="190"/>
      <c r="V1444" s="190"/>
      <c r="W1444" s="190"/>
      <c r="X1444" s="190"/>
      <c r="Y1444" s="190"/>
      <c r="Z1444" s="190"/>
      <c r="AA1444" s="190"/>
      <c r="AB1444" s="190"/>
      <c r="AC1444" s="190"/>
      <c r="AD1444" s="190"/>
      <c r="AE1444" s="190"/>
      <c r="AF1444" s="190"/>
      <c r="AG1444" s="190"/>
      <c r="AH1444" s="190"/>
      <c r="AI1444" s="190"/>
      <c r="AJ1444" s="190"/>
      <c r="AK1444" s="190"/>
      <c r="AL1444" s="190"/>
    </row>
    <row r="1445" spans="2:38" ht="12.75" customHeight="1">
      <c r="B1445" s="6"/>
      <c r="C1445" s="6"/>
      <c r="D1445" s="12"/>
      <c r="E1445" s="12"/>
      <c r="F1445" s="12"/>
      <c r="G1445" s="12"/>
      <c r="H1445" s="6"/>
      <c r="I1445" s="190"/>
      <c r="J1445" s="190"/>
      <c r="K1445" s="190"/>
      <c r="L1445" s="190"/>
      <c r="M1445" s="190"/>
      <c r="N1445" s="190"/>
      <c r="O1445" s="190"/>
      <c r="P1445" s="190"/>
      <c r="Q1445" s="190"/>
      <c r="R1445" s="190"/>
      <c r="S1445" s="190"/>
      <c r="T1445" s="190"/>
      <c r="U1445" s="190"/>
      <c r="V1445" s="190"/>
      <c r="W1445" s="190"/>
      <c r="X1445" s="190"/>
      <c r="Y1445" s="190"/>
      <c r="Z1445" s="190"/>
      <c r="AA1445" s="190"/>
      <c r="AB1445" s="190"/>
      <c r="AC1445" s="190"/>
      <c r="AD1445" s="190"/>
      <c r="AE1445" s="190"/>
      <c r="AF1445" s="190"/>
      <c r="AG1445" s="190"/>
      <c r="AH1445" s="190"/>
      <c r="AI1445" s="190"/>
      <c r="AJ1445" s="190"/>
      <c r="AK1445" s="190"/>
      <c r="AL1445" s="190"/>
    </row>
    <row r="1446" spans="2:38" ht="12.75" customHeight="1">
      <c r="B1446" s="6"/>
      <c r="C1446" s="6"/>
      <c r="D1446" s="12"/>
      <c r="E1446" s="12"/>
      <c r="F1446" s="12"/>
      <c r="G1446" s="12"/>
      <c r="H1446" s="6"/>
      <c r="I1446" s="190"/>
      <c r="J1446" s="190"/>
      <c r="K1446" s="190"/>
      <c r="L1446" s="190"/>
      <c r="M1446" s="190"/>
      <c r="N1446" s="190"/>
      <c r="O1446" s="190"/>
      <c r="P1446" s="190"/>
      <c r="Q1446" s="190"/>
      <c r="R1446" s="190"/>
      <c r="S1446" s="190"/>
      <c r="T1446" s="190"/>
      <c r="U1446" s="190"/>
      <c r="V1446" s="190"/>
      <c r="W1446" s="190"/>
      <c r="X1446" s="190"/>
      <c r="Y1446" s="190"/>
      <c r="Z1446" s="190"/>
      <c r="AA1446" s="190"/>
      <c r="AB1446" s="190"/>
      <c r="AC1446" s="190"/>
      <c r="AD1446" s="190"/>
      <c r="AE1446" s="190"/>
      <c r="AF1446" s="190"/>
      <c r="AG1446" s="190"/>
      <c r="AH1446" s="190"/>
      <c r="AI1446" s="190"/>
      <c r="AJ1446" s="190"/>
      <c r="AK1446" s="190"/>
      <c r="AL1446" s="190"/>
    </row>
    <row r="1447" spans="2:38" ht="12.75" customHeight="1">
      <c r="B1447" s="6"/>
      <c r="C1447" s="6"/>
      <c r="D1447" s="12"/>
      <c r="E1447" s="12"/>
      <c r="F1447" s="12"/>
      <c r="G1447" s="12"/>
      <c r="H1447" s="6"/>
      <c r="I1447" s="190"/>
      <c r="J1447" s="190"/>
      <c r="K1447" s="190"/>
      <c r="L1447" s="190"/>
      <c r="M1447" s="190"/>
      <c r="N1447" s="190"/>
      <c r="O1447" s="190"/>
      <c r="P1447" s="190"/>
      <c r="Q1447" s="190"/>
      <c r="R1447" s="190"/>
      <c r="S1447" s="190"/>
      <c r="T1447" s="190"/>
      <c r="U1447" s="190"/>
      <c r="V1447" s="190"/>
      <c r="W1447" s="190"/>
      <c r="X1447" s="190"/>
      <c r="Y1447" s="190"/>
      <c r="Z1447" s="190"/>
      <c r="AA1447" s="190"/>
      <c r="AB1447" s="190"/>
      <c r="AC1447" s="190"/>
      <c r="AD1447" s="190"/>
      <c r="AE1447" s="190"/>
      <c r="AF1447" s="190"/>
      <c r="AG1447" s="190"/>
      <c r="AH1447" s="190"/>
      <c r="AI1447" s="190"/>
      <c r="AJ1447" s="190"/>
      <c r="AK1447" s="190"/>
      <c r="AL1447" s="190"/>
    </row>
    <row r="1448" spans="2:38" ht="12.75" customHeight="1">
      <c r="B1448" s="6"/>
      <c r="C1448" s="6"/>
      <c r="D1448" s="12"/>
      <c r="E1448" s="12"/>
      <c r="F1448" s="12"/>
      <c r="G1448" s="12"/>
      <c r="H1448" s="6"/>
      <c r="I1448" s="190"/>
      <c r="J1448" s="190"/>
      <c r="K1448" s="190"/>
      <c r="L1448" s="190"/>
      <c r="M1448" s="190"/>
      <c r="N1448" s="190"/>
      <c r="O1448" s="190"/>
      <c r="P1448" s="190"/>
      <c r="Q1448" s="190"/>
      <c r="R1448" s="190"/>
      <c r="S1448" s="190"/>
      <c r="T1448" s="190"/>
      <c r="U1448" s="190"/>
      <c r="V1448" s="190"/>
      <c r="W1448" s="190"/>
      <c r="X1448" s="190"/>
      <c r="Y1448" s="190"/>
      <c r="Z1448" s="190"/>
      <c r="AA1448" s="190"/>
      <c r="AB1448" s="190"/>
      <c r="AC1448" s="190"/>
      <c r="AD1448" s="190"/>
      <c r="AE1448" s="190"/>
      <c r="AF1448" s="190"/>
      <c r="AG1448" s="190"/>
      <c r="AH1448" s="190"/>
      <c r="AI1448" s="190"/>
      <c r="AJ1448" s="190"/>
      <c r="AK1448" s="190"/>
      <c r="AL1448" s="190"/>
    </row>
    <row r="1449" spans="2:38" ht="12.75" customHeight="1">
      <c r="B1449" s="6"/>
      <c r="C1449" s="6"/>
      <c r="D1449" s="12"/>
      <c r="E1449" s="12"/>
      <c r="F1449" s="12"/>
      <c r="G1449" s="12"/>
      <c r="H1449" s="6"/>
      <c r="I1449" s="190"/>
      <c r="J1449" s="190"/>
      <c r="K1449" s="190"/>
      <c r="L1449" s="190"/>
      <c r="M1449" s="190"/>
      <c r="N1449" s="190"/>
      <c r="O1449" s="190"/>
      <c r="P1449" s="190"/>
      <c r="Q1449" s="190"/>
      <c r="R1449" s="190"/>
      <c r="S1449" s="190"/>
      <c r="T1449" s="190"/>
      <c r="U1449" s="190"/>
      <c r="V1449" s="190"/>
      <c r="W1449" s="190"/>
      <c r="X1449" s="190"/>
      <c r="Y1449" s="190"/>
      <c r="Z1449" s="190"/>
      <c r="AA1449" s="190"/>
      <c r="AB1449" s="190"/>
      <c r="AC1449" s="190"/>
      <c r="AD1449" s="190"/>
      <c r="AE1449" s="190"/>
      <c r="AF1449" s="190"/>
      <c r="AG1449" s="190"/>
      <c r="AH1449" s="190"/>
      <c r="AI1449" s="190"/>
      <c r="AJ1449" s="190"/>
      <c r="AK1449" s="190"/>
      <c r="AL1449" s="190"/>
    </row>
    <row r="1450" spans="2:38" ht="12.75" customHeight="1">
      <c r="B1450" s="6"/>
      <c r="C1450" s="6"/>
      <c r="D1450" s="12"/>
      <c r="E1450" s="12"/>
      <c r="F1450" s="12"/>
      <c r="G1450" s="12"/>
      <c r="H1450" s="6"/>
      <c r="I1450" s="190"/>
      <c r="J1450" s="190"/>
      <c r="K1450" s="190"/>
      <c r="L1450" s="190"/>
      <c r="M1450" s="190"/>
      <c r="N1450" s="190"/>
      <c r="O1450" s="190"/>
      <c r="P1450" s="190"/>
      <c r="Q1450" s="190"/>
      <c r="R1450" s="190"/>
      <c r="S1450" s="190"/>
      <c r="T1450" s="190"/>
      <c r="U1450" s="190"/>
      <c r="V1450" s="190"/>
      <c r="W1450" s="190"/>
      <c r="X1450" s="190"/>
      <c r="Y1450" s="190"/>
      <c r="Z1450" s="190"/>
      <c r="AA1450" s="190"/>
      <c r="AB1450" s="190"/>
      <c r="AC1450" s="190"/>
      <c r="AD1450" s="190"/>
      <c r="AE1450" s="190"/>
      <c r="AF1450" s="190"/>
      <c r="AG1450" s="190"/>
      <c r="AH1450" s="190"/>
      <c r="AI1450" s="190"/>
      <c r="AJ1450" s="190"/>
      <c r="AK1450" s="190"/>
      <c r="AL1450" s="190"/>
    </row>
    <row r="1451" spans="2:38" ht="12.75" customHeight="1">
      <c r="B1451" s="6"/>
      <c r="C1451" s="6"/>
      <c r="D1451" s="12"/>
      <c r="E1451" s="12"/>
      <c r="F1451" s="12"/>
      <c r="G1451" s="12"/>
      <c r="H1451" s="6"/>
      <c r="I1451" s="190"/>
      <c r="J1451" s="190"/>
      <c r="K1451" s="190"/>
      <c r="L1451" s="190"/>
      <c r="M1451" s="190"/>
      <c r="N1451" s="190"/>
      <c r="O1451" s="190"/>
      <c r="P1451" s="190"/>
      <c r="Q1451" s="190"/>
      <c r="R1451" s="190"/>
      <c r="S1451" s="190"/>
      <c r="T1451" s="190"/>
      <c r="U1451" s="190"/>
      <c r="V1451" s="190"/>
      <c r="W1451" s="190"/>
      <c r="X1451" s="190"/>
      <c r="Y1451" s="190"/>
      <c r="Z1451" s="190"/>
      <c r="AA1451" s="190"/>
      <c r="AB1451" s="190"/>
      <c r="AC1451" s="190"/>
      <c r="AD1451" s="190"/>
      <c r="AE1451" s="190"/>
      <c r="AF1451" s="190"/>
      <c r="AG1451" s="190"/>
      <c r="AH1451" s="190"/>
      <c r="AI1451" s="190"/>
      <c r="AJ1451" s="190"/>
      <c r="AK1451" s="190"/>
      <c r="AL1451" s="190"/>
    </row>
    <row r="1452" spans="2:38" ht="12.75" customHeight="1">
      <c r="B1452" s="6"/>
      <c r="C1452" s="6"/>
      <c r="D1452" s="12"/>
      <c r="E1452" s="12"/>
      <c r="F1452" s="12"/>
      <c r="G1452" s="12"/>
      <c r="H1452" s="6"/>
      <c r="I1452" s="190"/>
      <c r="J1452" s="190"/>
      <c r="K1452" s="190"/>
      <c r="L1452" s="190"/>
      <c r="M1452" s="190"/>
      <c r="N1452" s="190"/>
      <c r="O1452" s="190"/>
      <c r="P1452" s="190"/>
      <c r="Q1452" s="190"/>
      <c r="R1452" s="190"/>
      <c r="S1452" s="190"/>
      <c r="T1452" s="190"/>
      <c r="U1452" s="190"/>
      <c r="V1452" s="190"/>
      <c r="W1452" s="190"/>
      <c r="X1452" s="190"/>
      <c r="Y1452" s="190"/>
      <c r="Z1452" s="190"/>
      <c r="AA1452" s="190"/>
      <c r="AB1452" s="190"/>
      <c r="AC1452" s="190"/>
      <c r="AD1452" s="190"/>
      <c r="AE1452" s="190"/>
      <c r="AF1452" s="190"/>
      <c r="AG1452" s="190"/>
      <c r="AH1452" s="190"/>
      <c r="AI1452" s="190"/>
      <c r="AJ1452" s="190"/>
      <c r="AK1452" s="190"/>
      <c r="AL1452" s="190"/>
    </row>
    <row r="1453" spans="2:38" ht="12.75" customHeight="1">
      <c r="B1453" s="6"/>
      <c r="C1453" s="6"/>
      <c r="D1453" s="12"/>
      <c r="E1453" s="12"/>
      <c r="F1453" s="12"/>
      <c r="G1453" s="12"/>
      <c r="H1453" s="6"/>
      <c r="I1453" s="190"/>
      <c r="J1453" s="190"/>
      <c r="K1453" s="190"/>
      <c r="L1453" s="190"/>
      <c r="M1453" s="190"/>
      <c r="N1453" s="190"/>
      <c r="O1453" s="190"/>
      <c r="P1453" s="190"/>
      <c r="Q1453" s="190"/>
      <c r="R1453" s="190"/>
      <c r="S1453" s="190"/>
      <c r="T1453" s="190"/>
      <c r="U1453" s="190"/>
      <c r="V1453" s="190"/>
      <c r="W1453" s="190"/>
      <c r="X1453" s="190"/>
      <c r="Y1453" s="190"/>
      <c r="Z1453" s="190"/>
      <c r="AA1453" s="190"/>
      <c r="AB1453" s="190"/>
      <c r="AC1453" s="190"/>
      <c r="AD1453" s="190"/>
      <c r="AE1453" s="190"/>
      <c r="AF1453" s="190"/>
      <c r="AG1453" s="190"/>
      <c r="AH1453" s="190"/>
      <c r="AI1453" s="190"/>
      <c r="AJ1453" s="190"/>
      <c r="AK1453" s="190"/>
      <c r="AL1453" s="190"/>
    </row>
    <row r="1454" spans="2:38" ht="12.75" customHeight="1">
      <c r="B1454" s="6"/>
      <c r="C1454" s="6"/>
      <c r="D1454" s="12"/>
      <c r="E1454" s="12"/>
      <c r="F1454" s="12"/>
      <c r="G1454" s="12"/>
      <c r="H1454" s="6"/>
      <c r="I1454" s="190"/>
      <c r="J1454" s="190"/>
      <c r="K1454" s="190"/>
      <c r="L1454" s="190"/>
      <c r="M1454" s="190"/>
      <c r="N1454" s="190"/>
      <c r="O1454" s="190"/>
      <c r="P1454" s="190"/>
      <c r="Q1454" s="190"/>
      <c r="R1454" s="190"/>
      <c r="S1454" s="190"/>
      <c r="T1454" s="190"/>
      <c r="U1454" s="190"/>
      <c r="V1454" s="190"/>
      <c r="W1454" s="190"/>
      <c r="X1454" s="190"/>
      <c r="Y1454" s="190"/>
      <c r="Z1454" s="190"/>
      <c r="AA1454" s="190"/>
      <c r="AB1454" s="190"/>
      <c r="AC1454" s="190"/>
      <c r="AD1454" s="190"/>
      <c r="AE1454" s="190"/>
      <c r="AF1454" s="190"/>
      <c r="AG1454" s="190"/>
      <c r="AH1454" s="190"/>
      <c r="AI1454" s="190"/>
      <c r="AJ1454" s="190"/>
      <c r="AK1454" s="190"/>
      <c r="AL1454" s="190"/>
    </row>
    <row r="1455" spans="2:38" ht="12.75" customHeight="1">
      <c r="B1455" s="6"/>
      <c r="C1455" s="6"/>
      <c r="D1455" s="12"/>
      <c r="E1455" s="12"/>
      <c r="F1455" s="12"/>
      <c r="G1455" s="12"/>
      <c r="H1455" s="6"/>
      <c r="I1455" s="190"/>
      <c r="J1455" s="190"/>
      <c r="K1455" s="190"/>
      <c r="L1455" s="190"/>
      <c r="M1455" s="190"/>
      <c r="N1455" s="190"/>
      <c r="O1455" s="190"/>
      <c r="P1455" s="190"/>
      <c r="Q1455" s="190"/>
      <c r="R1455" s="190"/>
      <c r="S1455" s="190"/>
      <c r="T1455" s="190"/>
      <c r="U1455" s="190"/>
      <c r="V1455" s="190"/>
      <c r="W1455" s="190"/>
      <c r="X1455" s="190"/>
      <c r="Y1455" s="190"/>
      <c r="Z1455" s="190"/>
      <c r="AA1455" s="190"/>
      <c r="AB1455" s="190"/>
      <c r="AC1455" s="190"/>
      <c r="AD1455" s="190"/>
      <c r="AE1455" s="190"/>
      <c r="AF1455" s="190"/>
      <c r="AG1455" s="190"/>
      <c r="AH1455" s="190"/>
      <c r="AI1455" s="190"/>
      <c r="AJ1455" s="190"/>
      <c r="AK1455" s="190"/>
      <c r="AL1455" s="190"/>
    </row>
    <row r="1456" spans="2:38" ht="12.75" customHeight="1">
      <c r="B1456" s="6"/>
      <c r="C1456" s="6"/>
      <c r="D1456" s="12"/>
      <c r="E1456" s="12"/>
      <c r="F1456" s="12"/>
      <c r="G1456" s="12"/>
      <c r="H1456" s="6"/>
      <c r="I1456" s="190"/>
      <c r="J1456" s="190"/>
      <c r="K1456" s="190"/>
      <c r="L1456" s="190"/>
      <c r="M1456" s="190"/>
      <c r="N1456" s="190"/>
      <c r="O1456" s="190"/>
      <c r="P1456" s="190"/>
      <c r="Q1456" s="190"/>
      <c r="R1456" s="190"/>
      <c r="S1456" s="190"/>
      <c r="T1456" s="190"/>
      <c r="U1456" s="190"/>
      <c r="V1456" s="190"/>
      <c r="W1456" s="190"/>
      <c r="X1456" s="190"/>
      <c r="Y1456" s="190"/>
      <c r="Z1456" s="190"/>
      <c r="AA1456" s="190"/>
      <c r="AB1456" s="190"/>
      <c r="AC1456" s="190"/>
      <c r="AD1456" s="190"/>
      <c r="AE1456" s="190"/>
      <c r="AF1456" s="190"/>
      <c r="AG1456" s="190"/>
      <c r="AH1456" s="190"/>
      <c r="AI1456" s="190"/>
      <c r="AJ1456" s="190"/>
      <c r="AK1456" s="190"/>
      <c r="AL1456" s="190"/>
    </row>
    <row r="1457" spans="2:38" ht="12.75" customHeight="1">
      <c r="B1457" s="6"/>
      <c r="C1457" s="6"/>
      <c r="D1457" s="12"/>
      <c r="E1457" s="12"/>
      <c r="F1457" s="12"/>
      <c r="G1457" s="12"/>
      <c r="H1457" s="6"/>
      <c r="I1457" s="190"/>
      <c r="J1457" s="190"/>
      <c r="K1457" s="190"/>
      <c r="L1457" s="190"/>
      <c r="M1457" s="190"/>
      <c r="N1457" s="190"/>
      <c r="O1457" s="190"/>
      <c r="P1457" s="190"/>
      <c r="Q1457" s="190"/>
      <c r="R1457" s="190"/>
      <c r="S1457" s="190"/>
      <c r="T1457" s="190"/>
      <c r="U1457" s="190"/>
      <c r="V1457" s="190"/>
      <c r="W1457" s="190"/>
      <c r="X1457" s="190"/>
      <c r="Y1457" s="190"/>
      <c r="Z1457" s="190"/>
      <c r="AA1457" s="190"/>
      <c r="AB1457" s="190"/>
      <c r="AC1457" s="190"/>
      <c r="AD1457" s="190"/>
      <c r="AE1457" s="190"/>
      <c r="AF1457" s="190"/>
      <c r="AG1457" s="190"/>
      <c r="AH1457" s="190"/>
      <c r="AI1457" s="190"/>
      <c r="AJ1457" s="190"/>
      <c r="AK1457" s="190"/>
      <c r="AL1457" s="190"/>
    </row>
    <row r="1458" spans="2:38" ht="12.75" customHeight="1">
      <c r="B1458" s="6"/>
      <c r="C1458" s="6"/>
      <c r="D1458" s="12"/>
      <c r="E1458" s="12"/>
      <c r="F1458" s="12"/>
      <c r="G1458" s="12"/>
      <c r="H1458" s="6"/>
      <c r="I1458" s="190"/>
      <c r="J1458" s="190"/>
      <c r="K1458" s="190"/>
      <c r="L1458" s="190"/>
      <c r="M1458" s="190"/>
      <c r="N1458" s="190"/>
      <c r="O1458" s="190"/>
      <c r="P1458" s="190"/>
      <c r="Q1458" s="190"/>
      <c r="R1458" s="190"/>
      <c r="S1458" s="190"/>
      <c r="T1458" s="190"/>
      <c r="U1458" s="190"/>
      <c r="V1458" s="190"/>
      <c r="W1458" s="190"/>
      <c r="X1458" s="190"/>
      <c r="Y1458" s="190"/>
      <c r="Z1458" s="190"/>
      <c r="AA1458" s="190"/>
      <c r="AB1458" s="190"/>
      <c r="AC1458" s="190"/>
      <c r="AD1458" s="190"/>
      <c r="AE1458" s="190"/>
      <c r="AF1458" s="190"/>
      <c r="AG1458" s="190"/>
      <c r="AH1458" s="190"/>
      <c r="AI1458" s="190"/>
      <c r="AJ1458" s="190"/>
      <c r="AK1458" s="190"/>
      <c r="AL1458" s="190"/>
    </row>
    <row r="1459" spans="2:38" ht="12.75" customHeight="1">
      <c r="B1459" s="6"/>
      <c r="C1459" s="6"/>
      <c r="D1459" s="12"/>
      <c r="E1459" s="12"/>
      <c r="F1459" s="12"/>
      <c r="G1459" s="12"/>
      <c r="H1459" s="6"/>
      <c r="I1459" s="190"/>
      <c r="J1459" s="190"/>
      <c r="K1459" s="190"/>
      <c r="L1459" s="190"/>
      <c r="M1459" s="190"/>
      <c r="N1459" s="190"/>
      <c r="O1459" s="190"/>
      <c r="P1459" s="190"/>
      <c r="Q1459" s="190"/>
      <c r="R1459" s="190"/>
      <c r="S1459" s="190"/>
      <c r="T1459" s="190"/>
      <c r="U1459" s="190"/>
      <c r="V1459" s="190"/>
      <c r="W1459" s="190"/>
      <c r="X1459" s="190"/>
      <c r="Y1459" s="190"/>
      <c r="Z1459" s="190"/>
      <c r="AA1459" s="190"/>
      <c r="AB1459" s="190"/>
      <c r="AC1459" s="190"/>
      <c r="AD1459" s="190"/>
      <c r="AE1459" s="190"/>
      <c r="AF1459" s="190"/>
      <c r="AG1459" s="190"/>
      <c r="AH1459" s="190"/>
      <c r="AI1459" s="190"/>
      <c r="AJ1459" s="190"/>
      <c r="AK1459" s="190"/>
      <c r="AL1459" s="190"/>
    </row>
    <row r="1460" spans="2:38" ht="12.75" customHeight="1">
      <c r="B1460" s="6"/>
      <c r="C1460" s="6"/>
      <c r="D1460" s="12"/>
      <c r="E1460" s="12"/>
      <c r="F1460" s="12"/>
      <c r="G1460" s="12"/>
      <c r="H1460" s="6"/>
      <c r="I1460" s="190"/>
      <c r="J1460" s="190"/>
      <c r="K1460" s="190"/>
      <c r="L1460" s="190"/>
      <c r="M1460" s="190"/>
      <c r="N1460" s="190"/>
      <c r="O1460" s="190"/>
      <c r="P1460" s="190"/>
      <c r="Q1460" s="190"/>
      <c r="R1460" s="190"/>
      <c r="S1460" s="190"/>
      <c r="T1460" s="190"/>
      <c r="U1460" s="190"/>
      <c r="V1460" s="190"/>
      <c r="W1460" s="190"/>
      <c r="X1460" s="190"/>
      <c r="Y1460" s="190"/>
      <c r="Z1460" s="190"/>
      <c r="AA1460" s="190"/>
      <c r="AB1460" s="190"/>
      <c r="AC1460" s="190"/>
      <c r="AD1460" s="190"/>
      <c r="AE1460" s="190"/>
      <c r="AF1460" s="190"/>
      <c r="AG1460" s="190"/>
      <c r="AH1460" s="190"/>
      <c r="AI1460" s="190"/>
      <c r="AJ1460" s="190"/>
      <c r="AK1460" s="190"/>
      <c r="AL1460" s="190"/>
    </row>
    <row r="1461" spans="2:38" ht="12.75" customHeight="1">
      <c r="B1461" s="6"/>
      <c r="C1461" s="6"/>
      <c r="D1461" s="12"/>
      <c r="E1461" s="12"/>
      <c r="F1461" s="12"/>
      <c r="G1461" s="12"/>
      <c r="H1461" s="6"/>
      <c r="I1461" s="190"/>
      <c r="J1461" s="190"/>
      <c r="K1461" s="190"/>
      <c r="L1461" s="190"/>
      <c r="M1461" s="190"/>
      <c r="N1461" s="190"/>
      <c r="O1461" s="190"/>
      <c r="P1461" s="190"/>
      <c r="Q1461" s="190"/>
      <c r="R1461" s="190"/>
      <c r="S1461" s="190"/>
      <c r="T1461" s="190"/>
      <c r="U1461" s="190"/>
      <c r="V1461" s="190"/>
      <c r="W1461" s="190"/>
      <c r="X1461" s="190"/>
      <c r="Y1461" s="190"/>
      <c r="Z1461" s="190"/>
      <c r="AA1461" s="190"/>
      <c r="AB1461" s="190"/>
      <c r="AC1461" s="190"/>
      <c r="AD1461" s="190"/>
      <c r="AE1461" s="190"/>
      <c r="AF1461" s="190"/>
      <c r="AG1461" s="190"/>
      <c r="AH1461" s="190"/>
      <c r="AI1461" s="190"/>
      <c r="AJ1461" s="190"/>
      <c r="AK1461" s="190"/>
      <c r="AL1461" s="190"/>
    </row>
    <row r="1462" spans="2:38" ht="12.75" customHeight="1">
      <c r="B1462" s="6"/>
      <c r="C1462" s="6"/>
      <c r="D1462" s="12"/>
      <c r="E1462" s="12"/>
      <c r="F1462" s="12"/>
      <c r="G1462" s="12"/>
      <c r="H1462" s="6"/>
      <c r="I1462" s="190"/>
      <c r="J1462" s="190"/>
      <c r="K1462" s="190"/>
      <c r="L1462" s="190"/>
      <c r="M1462" s="190"/>
      <c r="N1462" s="190"/>
      <c r="O1462" s="190"/>
      <c r="P1462" s="190"/>
      <c r="Q1462" s="190"/>
      <c r="R1462" s="190"/>
      <c r="S1462" s="190"/>
      <c r="T1462" s="190"/>
      <c r="U1462" s="190"/>
      <c r="V1462" s="190"/>
      <c r="W1462" s="190"/>
      <c r="X1462" s="190"/>
      <c r="Y1462" s="190"/>
      <c r="Z1462" s="190"/>
      <c r="AA1462" s="190"/>
      <c r="AB1462" s="190"/>
      <c r="AC1462" s="190"/>
      <c r="AD1462" s="190"/>
      <c r="AE1462" s="190"/>
      <c r="AF1462" s="190"/>
      <c r="AG1462" s="190"/>
      <c r="AH1462" s="190"/>
      <c r="AI1462" s="190"/>
      <c r="AJ1462" s="190"/>
      <c r="AK1462" s="190"/>
      <c r="AL1462" s="190"/>
    </row>
    <row r="1463" spans="2:38" ht="12.75" customHeight="1">
      <c r="B1463" s="6"/>
      <c r="C1463" s="6"/>
      <c r="D1463" s="12"/>
      <c r="E1463" s="12"/>
      <c r="F1463" s="12"/>
      <c r="G1463" s="12"/>
      <c r="H1463" s="6"/>
      <c r="I1463" s="190"/>
      <c r="J1463" s="190"/>
      <c r="K1463" s="190"/>
      <c r="L1463" s="190"/>
      <c r="M1463" s="190"/>
      <c r="N1463" s="190"/>
      <c r="O1463" s="190"/>
      <c r="P1463" s="190"/>
      <c r="Q1463" s="190"/>
      <c r="R1463" s="190"/>
      <c r="S1463" s="190"/>
      <c r="T1463" s="190"/>
      <c r="U1463" s="190"/>
      <c r="V1463" s="190"/>
      <c r="W1463" s="190"/>
      <c r="X1463" s="190"/>
      <c r="Y1463" s="190"/>
      <c r="Z1463" s="190"/>
      <c r="AA1463" s="190"/>
      <c r="AB1463" s="190"/>
      <c r="AC1463" s="190"/>
      <c r="AD1463" s="190"/>
      <c r="AE1463" s="190"/>
      <c r="AF1463" s="190"/>
      <c r="AG1463" s="190"/>
      <c r="AH1463" s="190"/>
      <c r="AI1463" s="190"/>
      <c r="AJ1463" s="190"/>
      <c r="AK1463" s="190"/>
      <c r="AL1463" s="190"/>
    </row>
    <row r="1464" spans="2:38" ht="12.75" customHeight="1">
      <c r="B1464" s="6"/>
      <c r="C1464" s="6"/>
      <c r="D1464" s="12"/>
      <c r="E1464" s="12"/>
      <c r="F1464" s="12"/>
      <c r="G1464" s="12"/>
      <c r="H1464" s="6"/>
      <c r="I1464" s="190"/>
      <c r="J1464" s="190"/>
      <c r="K1464" s="190"/>
      <c r="L1464" s="190"/>
      <c r="M1464" s="190"/>
      <c r="N1464" s="190"/>
      <c r="O1464" s="190"/>
      <c r="P1464" s="190"/>
      <c r="Q1464" s="190"/>
      <c r="R1464" s="190"/>
      <c r="S1464" s="190"/>
      <c r="T1464" s="190"/>
      <c r="U1464" s="190"/>
      <c r="V1464" s="190"/>
      <c r="W1464" s="190"/>
      <c r="X1464" s="190"/>
      <c r="Y1464" s="190"/>
      <c r="Z1464" s="190"/>
      <c r="AA1464" s="190"/>
      <c r="AB1464" s="190"/>
      <c r="AC1464" s="190"/>
      <c r="AD1464" s="190"/>
      <c r="AE1464" s="190"/>
      <c r="AF1464" s="190"/>
      <c r="AG1464" s="190"/>
      <c r="AH1464" s="190"/>
      <c r="AI1464" s="190"/>
      <c r="AJ1464" s="190"/>
      <c r="AK1464" s="190"/>
      <c r="AL1464" s="190"/>
    </row>
    <row r="1465" spans="2:38" ht="12.75" customHeight="1">
      <c r="B1465" s="6"/>
      <c r="C1465" s="6"/>
      <c r="D1465" s="12"/>
      <c r="E1465" s="12"/>
      <c r="F1465" s="12"/>
      <c r="G1465" s="12"/>
      <c r="H1465" s="6"/>
      <c r="I1465" s="190"/>
      <c r="J1465" s="190"/>
      <c r="K1465" s="190"/>
      <c r="L1465" s="190"/>
      <c r="M1465" s="190"/>
      <c r="N1465" s="190"/>
      <c r="O1465" s="190"/>
      <c r="P1465" s="190"/>
      <c r="Q1465" s="190"/>
      <c r="R1465" s="190"/>
      <c r="S1465" s="190"/>
      <c r="T1465" s="190"/>
      <c r="U1465" s="190"/>
      <c r="V1465" s="190"/>
      <c r="W1465" s="190"/>
      <c r="X1465" s="190"/>
      <c r="Y1465" s="190"/>
      <c r="Z1465" s="190"/>
      <c r="AA1465" s="190"/>
      <c r="AB1465" s="190"/>
      <c r="AC1465" s="190"/>
      <c r="AD1465" s="190"/>
      <c r="AE1465" s="190"/>
      <c r="AF1465" s="190"/>
      <c r="AG1465" s="190"/>
      <c r="AH1465" s="190"/>
      <c r="AI1465" s="190"/>
      <c r="AJ1465" s="190"/>
      <c r="AK1465" s="190"/>
      <c r="AL1465" s="190"/>
    </row>
    <row r="1466" spans="2:38" ht="12.75" customHeight="1">
      <c r="B1466" s="6"/>
      <c r="C1466" s="6"/>
      <c r="D1466" s="12"/>
      <c r="E1466" s="12"/>
      <c r="F1466" s="12"/>
      <c r="G1466" s="12"/>
      <c r="H1466" s="6"/>
      <c r="I1466" s="190"/>
      <c r="J1466" s="190"/>
      <c r="K1466" s="190"/>
      <c r="L1466" s="190"/>
      <c r="M1466" s="190"/>
      <c r="N1466" s="190"/>
      <c r="O1466" s="190"/>
      <c r="P1466" s="190"/>
      <c r="Q1466" s="190"/>
      <c r="R1466" s="190"/>
      <c r="S1466" s="190"/>
      <c r="T1466" s="190"/>
      <c r="U1466" s="190"/>
      <c r="V1466" s="190"/>
      <c r="W1466" s="190"/>
      <c r="X1466" s="190"/>
      <c r="Y1466" s="190"/>
      <c r="Z1466" s="190"/>
      <c r="AA1466" s="190"/>
      <c r="AB1466" s="190"/>
      <c r="AC1466" s="190"/>
      <c r="AD1466" s="190"/>
      <c r="AE1466" s="190"/>
      <c r="AF1466" s="190"/>
      <c r="AG1466" s="190"/>
      <c r="AH1466" s="190"/>
      <c r="AI1466" s="190"/>
      <c r="AJ1466" s="190"/>
      <c r="AK1466" s="190"/>
      <c r="AL1466" s="190"/>
    </row>
    <row r="1467" spans="2:38" ht="12.75" customHeight="1">
      <c r="B1467" s="6"/>
      <c r="C1467" s="6"/>
      <c r="D1467" s="12"/>
      <c r="E1467" s="12"/>
      <c r="F1467" s="12"/>
      <c r="G1467" s="12"/>
      <c r="H1467" s="6"/>
      <c r="I1467" s="190"/>
      <c r="J1467" s="190"/>
      <c r="K1467" s="190"/>
      <c r="L1467" s="190"/>
      <c r="M1467" s="190"/>
      <c r="N1467" s="190"/>
      <c r="O1467" s="190"/>
      <c r="P1467" s="190"/>
      <c r="Q1467" s="190"/>
      <c r="R1467" s="190"/>
      <c r="S1467" s="190"/>
      <c r="T1467" s="190"/>
      <c r="U1467" s="190"/>
      <c r="V1467" s="190"/>
      <c r="W1467" s="190"/>
      <c r="X1467" s="190"/>
      <c r="Y1467" s="190"/>
      <c r="Z1467" s="190"/>
      <c r="AA1467" s="190"/>
      <c r="AB1467" s="190"/>
      <c r="AC1467" s="190"/>
      <c r="AD1467" s="190"/>
      <c r="AE1467" s="190"/>
      <c r="AF1467" s="190"/>
      <c r="AG1467" s="190"/>
      <c r="AH1467" s="190"/>
      <c r="AI1467" s="190"/>
      <c r="AJ1467" s="190"/>
      <c r="AK1467" s="190"/>
      <c r="AL1467" s="190"/>
    </row>
    <row r="1468" spans="2:38" ht="12.75" customHeight="1">
      <c r="B1468" s="6"/>
      <c r="C1468" s="6"/>
      <c r="D1468" s="12"/>
      <c r="E1468" s="12"/>
      <c r="F1468" s="12"/>
      <c r="G1468" s="12"/>
      <c r="H1468" s="6"/>
      <c r="I1468" s="190"/>
      <c r="J1468" s="190"/>
      <c r="K1468" s="190"/>
      <c r="L1468" s="190"/>
      <c r="M1468" s="190"/>
      <c r="N1468" s="190"/>
      <c r="O1468" s="190"/>
      <c r="P1468" s="190"/>
      <c r="Q1468" s="190"/>
      <c r="R1468" s="190"/>
      <c r="S1468" s="190"/>
      <c r="T1468" s="190"/>
      <c r="U1468" s="190"/>
      <c r="V1468" s="190"/>
      <c r="W1468" s="190"/>
      <c r="X1468" s="190"/>
      <c r="Y1468" s="190"/>
      <c r="Z1468" s="190"/>
      <c r="AA1468" s="190"/>
      <c r="AB1468" s="190"/>
      <c r="AC1468" s="190"/>
      <c r="AD1468" s="190"/>
      <c r="AE1468" s="190"/>
      <c r="AF1468" s="190"/>
      <c r="AG1468" s="190"/>
      <c r="AH1468" s="190"/>
      <c r="AI1468" s="190"/>
      <c r="AJ1468" s="190"/>
      <c r="AK1468" s="190"/>
      <c r="AL1468" s="190"/>
    </row>
    <row r="1469" spans="2:38" ht="12.75" customHeight="1">
      <c r="B1469" s="6"/>
      <c r="C1469" s="6"/>
      <c r="D1469" s="12"/>
      <c r="E1469" s="12"/>
      <c r="F1469" s="12"/>
      <c r="G1469" s="12"/>
      <c r="H1469" s="6"/>
      <c r="I1469" s="190"/>
      <c r="J1469" s="190"/>
      <c r="K1469" s="190"/>
      <c r="L1469" s="190"/>
      <c r="M1469" s="190"/>
      <c r="N1469" s="190"/>
      <c r="O1469" s="190"/>
      <c r="P1469" s="190"/>
      <c r="Q1469" s="190"/>
      <c r="R1469" s="190"/>
      <c r="S1469" s="190"/>
      <c r="T1469" s="190"/>
      <c r="U1469" s="190"/>
      <c r="V1469" s="190"/>
      <c r="W1469" s="190"/>
      <c r="X1469" s="190"/>
      <c r="Y1469" s="190"/>
      <c r="Z1469" s="190"/>
      <c r="AA1469" s="190"/>
      <c r="AB1469" s="190"/>
      <c r="AC1469" s="190"/>
      <c r="AD1469" s="190"/>
      <c r="AE1469" s="190"/>
      <c r="AF1469" s="190"/>
      <c r="AG1469" s="190"/>
      <c r="AH1469" s="190"/>
      <c r="AI1469" s="190"/>
      <c r="AJ1469" s="190"/>
      <c r="AK1469" s="190"/>
      <c r="AL1469" s="190"/>
    </row>
    <row r="1470" spans="2:38" ht="12.75" customHeight="1">
      <c r="B1470" s="6"/>
      <c r="C1470" s="6"/>
      <c r="D1470" s="12"/>
      <c r="E1470" s="12"/>
      <c r="F1470" s="12"/>
      <c r="G1470" s="12"/>
      <c r="H1470" s="6"/>
      <c r="I1470" s="190"/>
      <c r="J1470" s="190"/>
      <c r="K1470" s="190"/>
      <c r="L1470" s="190"/>
      <c r="M1470" s="190"/>
      <c r="N1470" s="190"/>
      <c r="O1470" s="190"/>
      <c r="P1470" s="190"/>
      <c r="Q1470" s="190"/>
      <c r="R1470" s="190"/>
      <c r="S1470" s="190"/>
      <c r="T1470" s="190"/>
      <c r="U1470" s="190"/>
      <c r="V1470" s="190"/>
      <c r="W1470" s="190"/>
      <c r="X1470" s="190"/>
      <c r="Y1470" s="190"/>
      <c r="Z1470" s="190"/>
      <c r="AA1470" s="190"/>
      <c r="AB1470" s="190"/>
      <c r="AC1470" s="190"/>
      <c r="AD1470" s="190"/>
      <c r="AE1470" s="190"/>
      <c r="AF1470" s="190"/>
      <c r="AG1470" s="190"/>
      <c r="AH1470" s="190"/>
      <c r="AI1470" s="190"/>
      <c r="AJ1470" s="190"/>
      <c r="AK1470" s="190"/>
      <c r="AL1470" s="190"/>
    </row>
    <row r="1471" spans="2:38" ht="12.75" customHeight="1">
      <c r="B1471" s="6"/>
      <c r="C1471" s="6"/>
      <c r="D1471" s="12"/>
      <c r="E1471" s="12"/>
      <c r="F1471" s="12"/>
      <c r="G1471" s="12"/>
      <c r="H1471" s="6"/>
      <c r="I1471" s="190"/>
      <c r="J1471" s="190"/>
      <c r="K1471" s="190"/>
      <c r="L1471" s="190"/>
      <c r="M1471" s="190"/>
      <c r="N1471" s="190"/>
      <c r="O1471" s="190"/>
      <c r="P1471" s="190"/>
      <c r="Q1471" s="190"/>
      <c r="R1471" s="190"/>
      <c r="S1471" s="190"/>
      <c r="T1471" s="190"/>
      <c r="U1471" s="190"/>
      <c r="V1471" s="190"/>
      <c r="W1471" s="190"/>
      <c r="X1471" s="190"/>
      <c r="Y1471" s="190"/>
      <c r="Z1471" s="190"/>
      <c r="AA1471" s="190"/>
      <c r="AB1471" s="190"/>
      <c r="AC1471" s="190"/>
      <c r="AD1471" s="190"/>
      <c r="AE1471" s="190"/>
      <c r="AF1471" s="190"/>
      <c r="AG1471" s="190"/>
      <c r="AH1471" s="190"/>
      <c r="AI1471" s="190"/>
      <c r="AJ1471" s="190"/>
      <c r="AK1471" s="190"/>
      <c r="AL1471" s="190"/>
    </row>
    <row r="1472" spans="2:38" ht="12.75" customHeight="1">
      <c r="B1472" s="6"/>
      <c r="C1472" s="6"/>
      <c r="D1472" s="12"/>
      <c r="E1472" s="12"/>
      <c r="F1472" s="12"/>
      <c r="G1472" s="12"/>
      <c r="H1472" s="6"/>
      <c r="I1472" s="190"/>
      <c r="J1472" s="190"/>
      <c r="K1472" s="190"/>
      <c r="L1472" s="190"/>
      <c r="M1472" s="190"/>
      <c r="N1472" s="190"/>
      <c r="O1472" s="190"/>
      <c r="P1472" s="190"/>
      <c r="Q1472" s="190"/>
      <c r="R1472" s="190"/>
      <c r="S1472" s="190"/>
      <c r="T1472" s="190"/>
      <c r="U1472" s="190"/>
      <c r="V1472" s="190"/>
      <c r="W1472" s="190"/>
      <c r="X1472" s="190"/>
      <c r="Y1472" s="190"/>
      <c r="Z1472" s="190"/>
      <c r="AA1472" s="190"/>
      <c r="AB1472" s="190"/>
      <c r="AC1472" s="190"/>
      <c r="AD1472" s="190"/>
      <c r="AE1472" s="190"/>
      <c r="AF1472" s="190"/>
      <c r="AG1472" s="190"/>
      <c r="AH1472" s="190"/>
      <c r="AI1472" s="190"/>
      <c r="AJ1472" s="190"/>
      <c r="AK1472" s="190"/>
      <c r="AL1472" s="190"/>
    </row>
    <row r="1473" spans="2:38" ht="12.75" customHeight="1">
      <c r="B1473" s="6"/>
      <c r="C1473" s="6"/>
      <c r="D1473" s="12"/>
      <c r="E1473" s="12"/>
      <c r="F1473" s="12"/>
      <c r="G1473" s="12"/>
      <c r="H1473" s="6"/>
      <c r="I1473" s="190"/>
      <c r="J1473" s="190"/>
      <c r="K1473" s="190"/>
      <c r="L1473" s="190"/>
      <c r="M1473" s="190"/>
      <c r="N1473" s="190"/>
      <c r="O1473" s="190"/>
      <c r="P1473" s="190"/>
      <c r="Q1473" s="190"/>
      <c r="R1473" s="190"/>
      <c r="S1473" s="190"/>
      <c r="T1473" s="190"/>
      <c r="U1473" s="190"/>
      <c r="V1473" s="190"/>
      <c r="W1473" s="190"/>
      <c r="X1473" s="190"/>
      <c r="Y1473" s="190"/>
      <c r="Z1473" s="190"/>
      <c r="AA1473" s="190"/>
      <c r="AB1473" s="190"/>
      <c r="AC1473" s="190"/>
      <c r="AD1473" s="190"/>
      <c r="AE1473" s="190"/>
      <c r="AF1473" s="190"/>
      <c r="AG1473" s="190"/>
      <c r="AH1473" s="190"/>
      <c r="AI1473" s="190"/>
      <c r="AJ1473" s="190"/>
      <c r="AK1473" s="190"/>
      <c r="AL1473" s="190"/>
    </row>
    <row r="1474" spans="2:38" ht="12.75" customHeight="1">
      <c r="B1474" s="6"/>
      <c r="C1474" s="6"/>
      <c r="D1474" s="12"/>
      <c r="E1474" s="12"/>
      <c r="F1474" s="12"/>
      <c r="G1474" s="12"/>
      <c r="H1474" s="6"/>
      <c r="I1474" s="190"/>
      <c r="J1474" s="190"/>
      <c r="K1474" s="190"/>
      <c r="L1474" s="190"/>
      <c r="M1474" s="190"/>
      <c r="N1474" s="190"/>
      <c r="O1474" s="190"/>
      <c r="P1474" s="190"/>
      <c r="Q1474" s="190"/>
      <c r="R1474" s="190"/>
      <c r="S1474" s="190"/>
      <c r="T1474" s="190"/>
      <c r="U1474" s="190"/>
      <c r="V1474" s="190"/>
      <c r="W1474" s="190"/>
      <c r="X1474" s="190"/>
      <c r="Y1474" s="190"/>
      <c r="Z1474" s="190"/>
      <c r="AA1474" s="190"/>
      <c r="AB1474" s="190"/>
      <c r="AC1474" s="190"/>
      <c r="AD1474" s="190"/>
      <c r="AE1474" s="190"/>
      <c r="AF1474" s="190"/>
      <c r="AG1474" s="190"/>
      <c r="AH1474" s="190"/>
      <c r="AI1474" s="190"/>
      <c r="AJ1474" s="190"/>
      <c r="AK1474" s="190"/>
      <c r="AL1474" s="190"/>
    </row>
    <row r="1475" spans="2:38" ht="12.75" customHeight="1">
      <c r="B1475" s="6"/>
      <c r="C1475" s="6"/>
      <c r="D1475" s="12"/>
      <c r="E1475" s="12"/>
      <c r="F1475" s="12"/>
      <c r="G1475" s="12"/>
      <c r="H1475" s="6"/>
      <c r="I1475" s="190"/>
      <c r="J1475" s="190"/>
      <c r="K1475" s="190"/>
      <c r="L1475" s="190"/>
      <c r="M1475" s="190"/>
      <c r="N1475" s="190"/>
      <c r="O1475" s="190"/>
      <c r="P1475" s="190"/>
      <c r="Q1475" s="190"/>
      <c r="R1475" s="190"/>
      <c r="S1475" s="190"/>
      <c r="T1475" s="190"/>
      <c r="U1475" s="190"/>
      <c r="V1475" s="190"/>
      <c r="W1475" s="190"/>
      <c r="X1475" s="190"/>
      <c r="Y1475" s="190"/>
      <c r="Z1475" s="190"/>
      <c r="AA1475" s="190"/>
      <c r="AB1475" s="190"/>
      <c r="AC1475" s="190"/>
      <c r="AD1475" s="190"/>
      <c r="AE1475" s="190"/>
      <c r="AF1475" s="190"/>
      <c r="AG1475" s="190"/>
      <c r="AH1475" s="190"/>
      <c r="AI1475" s="190"/>
      <c r="AJ1475" s="190"/>
      <c r="AK1475" s="190"/>
      <c r="AL1475" s="190"/>
    </row>
    <row r="1476" spans="2:38" ht="12.75" customHeight="1">
      <c r="B1476" s="6"/>
      <c r="C1476" s="6"/>
      <c r="D1476" s="12"/>
      <c r="E1476" s="12"/>
      <c r="F1476" s="12"/>
      <c r="G1476" s="12"/>
      <c r="H1476" s="6"/>
      <c r="I1476" s="190"/>
      <c r="J1476" s="190"/>
      <c r="K1476" s="190"/>
      <c r="L1476" s="190"/>
      <c r="M1476" s="190"/>
      <c r="N1476" s="190"/>
      <c r="O1476" s="190"/>
      <c r="P1476" s="190"/>
      <c r="Q1476" s="190"/>
      <c r="R1476" s="190"/>
      <c r="S1476" s="190"/>
      <c r="T1476" s="190"/>
      <c r="U1476" s="190"/>
      <c r="V1476" s="190"/>
      <c r="W1476" s="190"/>
      <c r="X1476" s="190"/>
      <c r="Y1476" s="190"/>
      <c r="Z1476" s="190"/>
      <c r="AA1476" s="190"/>
      <c r="AB1476" s="190"/>
      <c r="AC1476" s="190"/>
      <c r="AD1476" s="190"/>
      <c r="AE1476" s="190"/>
      <c r="AF1476" s="190"/>
      <c r="AG1476" s="190"/>
      <c r="AH1476" s="190"/>
      <c r="AI1476" s="190"/>
      <c r="AJ1476" s="190"/>
      <c r="AK1476" s="190"/>
      <c r="AL1476" s="190"/>
    </row>
    <row r="1477" spans="2:38" ht="12.75" customHeight="1">
      <c r="B1477" s="6"/>
      <c r="C1477" s="6"/>
      <c r="D1477" s="12"/>
      <c r="E1477" s="12"/>
      <c r="F1477" s="12"/>
      <c r="G1477" s="12"/>
      <c r="H1477" s="6"/>
      <c r="I1477" s="190"/>
      <c r="J1477" s="190"/>
      <c r="K1477" s="190"/>
      <c r="L1477" s="190"/>
      <c r="M1477" s="190"/>
      <c r="N1477" s="190"/>
      <c r="O1477" s="190"/>
      <c r="P1477" s="190"/>
      <c r="Q1477" s="190"/>
      <c r="R1477" s="190"/>
      <c r="S1477" s="190"/>
      <c r="T1477" s="190"/>
      <c r="U1477" s="190"/>
      <c r="V1477" s="190"/>
      <c r="W1477" s="190"/>
      <c r="X1477" s="190"/>
      <c r="Y1477" s="190"/>
      <c r="Z1477" s="190"/>
      <c r="AA1477" s="190"/>
      <c r="AB1477" s="190"/>
      <c r="AC1477" s="190"/>
      <c r="AD1477" s="190"/>
      <c r="AE1477" s="190"/>
      <c r="AF1477" s="190"/>
      <c r="AG1477" s="190"/>
      <c r="AH1477" s="190"/>
      <c r="AI1477" s="190"/>
      <c r="AJ1477" s="190"/>
      <c r="AK1477" s="190"/>
      <c r="AL1477" s="190"/>
    </row>
    <row r="1478" spans="2:38" ht="12.75" customHeight="1">
      <c r="B1478" s="6"/>
      <c r="C1478" s="6"/>
      <c r="D1478" s="12"/>
      <c r="E1478" s="12"/>
      <c r="F1478" s="12"/>
      <c r="G1478" s="12"/>
      <c r="H1478" s="6"/>
      <c r="I1478" s="190"/>
      <c r="J1478" s="190"/>
      <c r="K1478" s="190"/>
      <c r="L1478" s="190"/>
      <c r="M1478" s="190"/>
      <c r="N1478" s="190"/>
      <c r="O1478" s="190"/>
      <c r="P1478" s="190"/>
      <c r="Q1478" s="190"/>
      <c r="R1478" s="190"/>
      <c r="S1478" s="190"/>
      <c r="T1478" s="190"/>
      <c r="U1478" s="190"/>
      <c r="V1478" s="190"/>
      <c r="W1478" s="190"/>
      <c r="X1478" s="190"/>
      <c r="Y1478" s="190"/>
      <c r="Z1478" s="190"/>
      <c r="AA1478" s="190"/>
      <c r="AB1478" s="190"/>
      <c r="AC1478" s="190"/>
      <c r="AD1478" s="190"/>
      <c r="AE1478" s="190"/>
      <c r="AF1478" s="190"/>
      <c r="AG1478" s="190"/>
      <c r="AH1478" s="190"/>
      <c r="AI1478" s="190"/>
      <c r="AJ1478" s="190"/>
      <c r="AK1478" s="190"/>
      <c r="AL1478" s="190"/>
    </row>
    <row r="1479" spans="2:38" ht="12.75" customHeight="1">
      <c r="B1479" s="6"/>
      <c r="C1479" s="6"/>
      <c r="D1479" s="12"/>
      <c r="E1479" s="12"/>
      <c r="F1479" s="12"/>
      <c r="G1479" s="12"/>
      <c r="H1479" s="6"/>
      <c r="I1479" s="190"/>
      <c r="J1479" s="190"/>
      <c r="K1479" s="190"/>
      <c r="L1479" s="190"/>
      <c r="M1479" s="190"/>
      <c r="N1479" s="190"/>
      <c r="O1479" s="190"/>
      <c r="P1479" s="190"/>
      <c r="Q1479" s="190"/>
      <c r="R1479" s="190"/>
      <c r="S1479" s="190"/>
      <c r="T1479" s="190"/>
      <c r="U1479" s="190"/>
      <c r="V1479" s="190"/>
      <c r="W1479" s="190"/>
      <c r="X1479" s="190"/>
      <c r="Y1479" s="190"/>
      <c r="Z1479" s="190"/>
      <c r="AA1479" s="190"/>
      <c r="AB1479" s="190"/>
      <c r="AC1479" s="190"/>
      <c r="AD1479" s="190"/>
      <c r="AE1479" s="190"/>
      <c r="AF1479" s="190"/>
      <c r="AG1479" s="190"/>
      <c r="AH1479" s="190"/>
      <c r="AI1479" s="190"/>
      <c r="AJ1479" s="190"/>
      <c r="AK1479" s="190"/>
      <c r="AL1479" s="190"/>
    </row>
    <row r="1480" spans="2:38" ht="12.75" customHeight="1">
      <c r="B1480" s="6"/>
      <c r="C1480" s="6"/>
      <c r="D1480" s="12"/>
      <c r="E1480" s="12"/>
      <c r="F1480" s="12"/>
      <c r="G1480" s="12"/>
      <c r="H1480" s="6"/>
      <c r="I1480" s="190"/>
      <c r="J1480" s="190"/>
      <c r="K1480" s="190"/>
      <c r="L1480" s="190"/>
      <c r="M1480" s="190"/>
      <c r="N1480" s="190"/>
      <c r="O1480" s="190"/>
      <c r="P1480" s="190"/>
      <c r="Q1480" s="190"/>
      <c r="R1480" s="190"/>
      <c r="S1480" s="190"/>
      <c r="T1480" s="190"/>
      <c r="U1480" s="190"/>
      <c r="V1480" s="190"/>
      <c r="W1480" s="190"/>
      <c r="X1480" s="190"/>
      <c r="Y1480" s="190"/>
      <c r="Z1480" s="190"/>
      <c r="AA1480" s="190"/>
      <c r="AB1480" s="190"/>
      <c r="AC1480" s="190"/>
      <c r="AD1480" s="190"/>
      <c r="AE1480" s="190"/>
      <c r="AF1480" s="190"/>
      <c r="AG1480" s="190"/>
      <c r="AH1480" s="190"/>
      <c r="AI1480" s="190"/>
      <c r="AJ1480" s="190"/>
      <c r="AK1480" s="190"/>
      <c r="AL1480" s="190"/>
    </row>
    <row r="1481" spans="2:38" ht="12.75" customHeight="1">
      <c r="B1481" s="6"/>
      <c r="C1481" s="6"/>
      <c r="D1481" s="12"/>
      <c r="E1481" s="12"/>
      <c r="F1481" s="12"/>
      <c r="G1481" s="12"/>
      <c r="H1481" s="6"/>
      <c r="I1481" s="190"/>
      <c r="J1481" s="190"/>
      <c r="K1481" s="190"/>
      <c r="L1481" s="190"/>
      <c r="M1481" s="190"/>
      <c r="N1481" s="190"/>
      <c r="O1481" s="190"/>
      <c r="P1481" s="190"/>
      <c r="Q1481" s="190"/>
      <c r="R1481" s="190"/>
      <c r="S1481" s="190"/>
      <c r="T1481" s="190"/>
      <c r="U1481" s="190"/>
      <c r="V1481" s="190"/>
      <c r="W1481" s="190"/>
      <c r="X1481" s="190"/>
      <c r="Y1481" s="190"/>
      <c r="Z1481" s="190"/>
      <c r="AA1481" s="190"/>
      <c r="AB1481" s="190"/>
      <c r="AC1481" s="190"/>
      <c r="AD1481" s="190"/>
      <c r="AE1481" s="190"/>
      <c r="AF1481" s="190"/>
      <c r="AG1481" s="190"/>
      <c r="AH1481" s="190"/>
      <c r="AI1481" s="190"/>
      <c r="AJ1481" s="190"/>
      <c r="AK1481" s="190"/>
      <c r="AL1481" s="190"/>
    </row>
    <row r="1482" spans="2:38" ht="12.75" customHeight="1">
      <c r="B1482" s="6"/>
      <c r="C1482" s="6"/>
      <c r="D1482" s="12"/>
      <c r="E1482" s="12"/>
      <c r="F1482" s="12"/>
      <c r="G1482" s="12"/>
      <c r="H1482" s="6"/>
      <c r="I1482" s="190"/>
      <c r="J1482" s="190"/>
      <c r="K1482" s="190"/>
      <c r="L1482" s="190"/>
      <c r="M1482" s="190"/>
      <c r="N1482" s="190"/>
      <c r="O1482" s="190"/>
      <c r="P1482" s="190"/>
      <c r="Q1482" s="190"/>
      <c r="R1482" s="190"/>
      <c r="S1482" s="190"/>
      <c r="T1482" s="190"/>
      <c r="U1482" s="190"/>
      <c r="V1482" s="190"/>
      <c r="W1482" s="190"/>
      <c r="X1482" s="190"/>
      <c r="Y1482" s="190"/>
      <c r="Z1482" s="190"/>
      <c r="AA1482" s="190"/>
      <c r="AB1482" s="190"/>
      <c r="AC1482" s="190"/>
      <c r="AD1482" s="190"/>
      <c r="AE1482" s="190"/>
      <c r="AF1482" s="190"/>
      <c r="AG1482" s="190"/>
      <c r="AH1482" s="190"/>
      <c r="AI1482" s="190"/>
      <c r="AJ1482" s="190"/>
      <c r="AK1482" s="190"/>
      <c r="AL1482" s="190"/>
    </row>
    <row r="1483" spans="2:38" ht="12.75" customHeight="1">
      <c r="B1483" s="6"/>
      <c r="C1483" s="6"/>
      <c r="D1483" s="12"/>
      <c r="E1483" s="12"/>
      <c r="F1483" s="12"/>
      <c r="G1483" s="12"/>
      <c r="H1483" s="6"/>
      <c r="I1483" s="190"/>
      <c r="J1483" s="190"/>
      <c r="K1483" s="190"/>
      <c r="L1483" s="190"/>
      <c r="M1483" s="190"/>
      <c r="N1483" s="190"/>
      <c r="O1483" s="190"/>
      <c r="P1483" s="190"/>
      <c r="Q1483" s="190"/>
      <c r="R1483" s="190"/>
      <c r="S1483" s="190"/>
      <c r="T1483" s="190"/>
      <c r="U1483" s="190"/>
      <c r="V1483" s="190"/>
      <c r="W1483" s="190"/>
      <c r="X1483" s="190"/>
      <c r="Y1483" s="190"/>
      <c r="Z1483" s="190"/>
      <c r="AA1483" s="190"/>
      <c r="AB1483" s="190"/>
      <c r="AC1483" s="190"/>
      <c r="AD1483" s="190"/>
      <c r="AE1483" s="190"/>
      <c r="AF1483" s="190"/>
      <c r="AG1483" s="190"/>
      <c r="AH1483" s="190"/>
      <c r="AI1483" s="190"/>
      <c r="AJ1483" s="190"/>
      <c r="AK1483" s="190"/>
      <c r="AL1483" s="190"/>
    </row>
    <row r="1484" spans="2:38" ht="12.75" customHeight="1">
      <c r="B1484" s="6"/>
      <c r="C1484" s="6"/>
      <c r="D1484" s="12"/>
      <c r="E1484" s="12"/>
      <c r="F1484" s="12"/>
      <c r="G1484" s="12"/>
      <c r="H1484" s="6"/>
      <c r="I1484" s="190"/>
      <c r="J1484" s="190"/>
      <c r="K1484" s="190"/>
      <c r="L1484" s="190"/>
      <c r="M1484" s="190"/>
      <c r="N1484" s="190"/>
      <c r="O1484" s="190"/>
      <c r="P1484" s="190"/>
      <c r="Q1484" s="190"/>
      <c r="R1484" s="190"/>
      <c r="S1484" s="190"/>
      <c r="T1484" s="190"/>
      <c r="U1484" s="190"/>
      <c r="V1484" s="190"/>
      <c r="W1484" s="190"/>
      <c r="X1484" s="190"/>
      <c r="Y1484" s="190"/>
      <c r="Z1484" s="190"/>
      <c r="AA1484" s="190"/>
      <c r="AB1484" s="190"/>
      <c r="AC1484" s="190"/>
      <c r="AD1484" s="190"/>
      <c r="AE1484" s="190"/>
      <c r="AF1484" s="190"/>
      <c r="AG1484" s="190"/>
      <c r="AH1484" s="190"/>
      <c r="AI1484" s="190"/>
      <c r="AJ1484" s="190"/>
      <c r="AK1484" s="190"/>
      <c r="AL1484" s="190"/>
    </row>
    <row r="1485" spans="2:38" ht="12.75" customHeight="1">
      <c r="B1485" s="6"/>
      <c r="C1485" s="6"/>
      <c r="D1485" s="12"/>
      <c r="E1485" s="12"/>
      <c r="F1485" s="12"/>
      <c r="G1485" s="12"/>
      <c r="H1485" s="6"/>
      <c r="I1485" s="190"/>
      <c r="J1485" s="190"/>
      <c r="K1485" s="190"/>
      <c r="L1485" s="190"/>
      <c r="M1485" s="190"/>
      <c r="N1485" s="190"/>
      <c r="O1485" s="190"/>
      <c r="P1485" s="190"/>
      <c r="Q1485" s="190"/>
      <c r="R1485" s="190"/>
      <c r="S1485" s="190"/>
      <c r="T1485" s="190"/>
      <c r="U1485" s="190"/>
      <c r="V1485" s="190"/>
      <c r="W1485" s="190"/>
      <c r="X1485" s="190"/>
      <c r="Y1485" s="190"/>
      <c r="Z1485" s="190"/>
      <c r="AA1485" s="190"/>
      <c r="AB1485" s="190"/>
      <c r="AC1485" s="190"/>
      <c r="AD1485" s="190"/>
      <c r="AE1485" s="190"/>
      <c r="AF1485" s="190"/>
      <c r="AG1485" s="190"/>
      <c r="AH1485" s="190"/>
      <c r="AI1485" s="190"/>
      <c r="AJ1485" s="190"/>
      <c r="AK1485" s="190"/>
      <c r="AL1485" s="190"/>
    </row>
    <row r="1486" spans="2:38" ht="12.75" customHeight="1">
      <c r="B1486" s="6"/>
      <c r="C1486" s="6"/>
      <c r="D1486" s="12"/>
      <c r="E1486" s="12"/>
      <c r="F1486" s="12"/>
      <c r="G1486" s="12"/>
      <c r="H1486" s="6"/>
      <c r="I1486" s="190"/>
      <c r="J1486" s="190"/>
      <c r="K1486" s="190"/>
      <c r="L1486" s="190"/>
      <c r="M1486" s="190"/>
      <c r="N1486" s="190"/>
      <c r="O1486" s="190"/>
      <c r="P1486" s="190"/>
      <c r="Q1486" s="190"/>
      <c r="R1486" s="190"/>
      <c r="S1486" s="190"/>
      <c r="T1486" s="190"/>
      <c r="U1486" s="190"/>
      <c r="V1486" s="190"/>
      <c r="W1486" s="190"/>
      <c r="X1486" s="190"/>
      <c r="Y1486" s="190"/>
      <c r="Z1486" s="190"/>
      <c r="AA1486" s="190"/>
      <c r="AB1486" s="190"/>
      <c r="AC1486" s="190"/>
      <c r="AD1486" s="190"/>
      <c r="AE1486" s="190"/>
      <c r="AF1486" s="190"/>
      <c r="AG1486" s="190"/>
      <c r="AH1486" s="190"/>
      <c r="AI1486" s="190"/>
      <c r="AJ1486" s="190"/>
      <c r="AK1486" s="190"/>
      <c r="AL1486" s="190"/>
    </row>
    <row r="1487" spans="2:38" ht="12.75" customHeight="1">
      <c r="B1487" s="6"/>
      <c r="C1487" s="6"/>
      <c r="D1487" s="12"/>
      <c r="E1487" s="12"/>
      <c r="F1487" s="12"/>
      <c r="G1487" s="12"/>
      <c r="H1487" s="6"/>
      <c r="I1487" s="190"/>
      <c r="J1487" s="190"/>
      <c r="K1487" s="190"/>
      <c r="L1487" s="190"/>
      <c r="M1487" s="190"/>
      <c r="N1487" s="190"/>
      <c r="O1487" s="190"/>
      <c r="P1487" s="190"/>
      <c r="Q1487" s="190"/>
      <c r="R1487" s="190"/>
      <c r="S1487" s="190"/>
      <c r="T1487" s="190"/>
      <c r="U1487" s="190"/>
      <c r="V1487" s="190"/>
      <c r="W1487" s="190"/>
      <c r="X1487" s="190"/>
      <c r="Y1487" s="190"/>
      <c r="Z1487" s="190"/>
      <c r="AA1487" s="190"/>
      <c r="AB1487" s="190"/>
      <c r="AC1487" s="190"/>
      <c r="AD1487" s="190"/>
      <c r="AE1487" s="190"/>
      <c r="AF1487" s="190"/>
      <c r="AG1487" s="190"/>
      <c r="AH1487" s="190"/>
      <c r="AI1487" s="190"/>
      <c r="AJ1487" s="190"/>
      <c r="AK1487" s="190"/>
      <c r="AL1487" s="190"/>
    </row>
    <row r="1488" spans="2:38" ht="12.75" customHeight="1">
      <c r="B1488" s="6"/>
      <c r="C1488" s="6"/>
      <c r="D1488" s="12"/>
      <c r="E1488" s="12"/>
      <c r="F1488" s="12"/>
      <c r="G1488" s="12"/>
      <c r="H1488" s="6"/>
      <c r="I1488" s="190"/>
      <c r="J1488" s="190"/>
      <c r="K1488" s="190"/>
      <c r="L1488" s="190"/>
      <c r="M1488" s="190"/>
      <c r="N1488" s="190"/>
      <c r="O1488" s="190"/>
      <c r="P1488" s="190"/>
      <c r="Q1488" s="190"/>
      <c r="R1488" s="190"/>
      <c r="S1488" s="190"/>
      <c r="T1488" s="190"/>
      <c r="U1488" s="190"/>
      <c r="V1488" s="190"/>
      <c r="W1488" s="190"/>
      <c r="X1488" s="190"/>
      <c r="Y1488" s="190"/>
      <c r="Z1488" s="190"/>
      <c r="AA1488" s="190"/>
      <c r="AB1488" s="190"/>
      <c r="AC1488" s="190"/>
      <c r="AD1488" s="190"/>
      <c r="AE1488" s="190"/>
      <c r="AF1488" s="190"/>
      <c r="AG1488" s="190"/>
      <c r="AH1488" s="190"/>
      <c r="AI1488" s="190"/>
      <c r="AJ1488" s="190"/>
      <c r="AK1488" s="190"/>
      <c r="AL1488" s="190"/>
    </row>
    <row r="1489" spans="2:38" ht="12.75" customHeight="1">
      <c r="B1489" s="6"/>
      <c r="C1489" s="6"/>
      <c r="D1489" s="12"/>
      <c r="E1489" s="12"/>
      <c r="F1489" s="12"/>
      <c r="G1489" s="12"/>
      <c r="H1489" s="6"/>
      <c r="I1489" s="190"/>
      <c r="J1489" s="190"/>
      <c r="K1489" s="190"/>
      <c r="L1489" s="190"/>
      <c r="M1489" s="190"/>
      <c r="N1489" s="190"/>
      <c r="O1489" s="190"/>
      <c r="P1489" s="190"/>
      <c r="Q1489" s="190"/>
      <c r="R1489" s="190"/>
      <c r="S1489" s="190"/>
      <c r="T1489" s="190"/>
      <c r="U1489" s="190"/>
      <c r="V1489" s="190"/>
      <c r="W1489" s="190"/>
      <c r="X1489" s="190"/>
      <c r="Y1489" s="190"/>
      <c r="Z1489" s="190"/>
      <c r="AA1489" s="190"/>
      <c r="AB1489" s="190"/>
      <c r="AC1489" s="190"/>
      <c r="AD1489" s="190"/>
      <c r="AE1489" s="190"/>
      <c r="AF1489" s="190"/>
      <c r="AG1489" s="190"/>
      <c r="AH1489" s="190"/>
      <c r="AI1489" s="190"/>
      <c r="AJ1489" s="190"/>
      <c r="AK1489" s="190"/>
      <c r="AL1489" s="190"/>
    </row>
    <row r="1490" spans="2:38" ht="12.75" customHeight="1">
      <c r="B1490" s="6"/>
      <c r="C1490" s="6"/>
      <c r="D1490" s="12"/>
      <c r="E1490" s="12"/>
      <c r="F1490" s="12"/>
      <c r="G1490" s="12"/>
      <c r="H1490" s="6"/>
      <c r="I1490" s="190"/>
      <c r="J1490" s="190"/>
      <c r="K1490" s="190"/>
      <c r="L1490" s="190"/>
      <c r="M1490" s="190"/>
      <c r="N1490" s="190"/>
      <c r="O1490" s="190"/>
      <c r="P1490" s="190"/>
      <c r="Q1490" s="190"/>
      <c r="R1490" s="190"/>
      <c r="S1490" s="190"/>
      <c r="T1490" s="190"/>
      <c r="U1490" s="190"/>
      <c r="V1490" s="190"/>
      <c r="W1490" s="190"/>
      <c r="X1490" s="190"/>
      <c r="Y1490" s="190"/>
      <c r="Z1490" s="190"/>
      <c r="AA1490" s="190"/>
      <c r="AB1490" s="190"/>
      <c r="AC1490" s="190"/>
      <c r="AD1490" s="190"/>
      <c r="AE1490" s="190"/>
      <c r="AF1490" s="190"/>
      <c r="AG1490" s="190"/>
      <c r="AH1490" s="190"/>
      <c r="AI1490" s="190"/>
      <c r="AJ1490" s="190"/>
      <c r="AK1490" s="190"/>
      <c r="AL1490" s="190"/>
    </row>
    <row r="1491" spans="2:38" ht="12.75" customHeight="1">
      <c r="B1491" s="6"/>
      <c r="C1491" s="6"/>
      <c r="D1491" s="12"/>
      <c r="E1491" s="12"/>
      <c r="F1491" s="12"/>
      <c r="G1491" s="12"/>
      <c r="H1491" s="6"/>
      <c r="I1491" s="190"/>
      <c r="J1491" s="190"/>
      <c r="K1491" s="190"/>
      <c r="L1491" s="190"/>
      <c r="M1491" s="190"/>
      <c r="N1491" s="190"/>
      <c r="O1491" s="190"/>
      <c r="P1491" s="190"/>
      <c r="Q1491" s="190"/>
      <c r="R1491" s="190"/>
      <c r="S1491" s="190"/>
      <c r="T1491" s="190"/>
      <c r="U1491" s="190"/>
      <c r="V1491" s="190"/>
      <c r="W1491" s="190"/>
      <c r="X1491" s="190"/>
      <c r="Y1491" s="190"/>
      <c r="Z1491" s="190"/>
      <c r="AA1491" s="190"/>
      <c r="AB1491" s="190"/>
      <c r="AC1491" s="190"/>
      <c r="AD1491" s="190"/>
      <c r="AE1491" s="190"/>
      <c r="AF1491" s="190"/>
      <c r="AG1491" s="190"/>
      <c r="AH1491" s="190"/>
      <c r="AI1491" s="190"/>
      <c r="AJ1491" s="190"/>
      <c r="AK1491" s="190"/>
      <c r="AL1491" s="190"/>
    </row>
    <row r="1492" spans="2:38" ht="12.75" customHeight="1">
      <c r="B1492" s="6"/>
      <c r="C1492" s="6"/>
      <c r="D1492" s="12"/>
      <c r="E1492" s="12"/>
      <c r="F1492" s="12"/>
      <c r="G1492" s="12"/>
      <c r="H1492" s="6"/>
      <c r="I1492" s="190"/>
      <c r="J1492" s="190"/>
      <c r="K1492" s="190"/>
      <c r="L1492" s="190"/>
      <c r="M1492" s="190"/>
      <c r="N1492" s="190"/>
      <c r="O1492" s="190"/>
      <c r="P1492" s="190"/>
      <c r="Q1492" s="190"/>
      <c r="R1492" s="190"/>
      <c r="S1492" s="190"/>
      <c r="T1492" s="190"/>
      <c r="U1492" s="190"/>
      <c r="V1492" s="190"/>
      <c r="W1492" s="190"/>
      <c r="X1492" s="190"/>
      <c r="Y1492" s="190"/>
      <c r="Z1492" s="190"/>
      <c r="AA1492" s="190"/>
      <c r="AB1492" s="190"/>
      <c r="AC1492" s="190"/>
      <c r="AD1492" s="190"/>
      <c r="AE1492" s="190"/>
      <c r="AF1492" s="190"/>
      <c r="AG1492" s="190"/>
      <c r="AH1492" s="190"/>
      <c r="AI1492" s="190"/>
      <c r="AJ1492" s="190"/>
      <c r="AK1492" s="190"/>
      <c r="AL1492" s="190"/>
    </row>
    <row r="1493" spans="2:38" ht="12.75" customHeight="1">
      <c r="B1493" s="6"/>
      <c r="C1493" s="6"/>
      <c r="D1493" s="12"/>
      <c r="E1493" s="12"/>
      <c r="F1493" s="12"/>
      <c r="G1493" s="12"/>
      <c r="H1493" s="6"/>
      <c r="I1493" s="190"/>
      <c r="J1493" s="190"/>
      <c r="K1493" s="190"/>
      <c r="L1493" s="190"/>
      <c r="M1493" s="190"/>
      <c r="N1493" s="190"/>
      <c r="O1493" s="190"/>
      <c r="P1493" s="190"/>
      <c r="Q1493" s="190"/>
      <c r="R1493" s="190"/>
      <c r="S1493" s="190"/>
      <c r="T1493" s="190"/>
      <c r="U1493" s="190"/>
      <c r="V1493" s="190"/>
      <c r="W1493" s="190"/>
      <c r="X1493" s="190"/>
      <c r="Y1493" s="190"/>
      <c r="Z1493" s="190"/>
      <c r="AA1493" s="190"/>
      <c r="AB1493" s="190"/>
      <c r="AC1493" s="190"/>
      <c r="AD1493" s="190"/>
      <c r="AE1493" s="190"/>
      <c r="AF1493" s="190"/>
      <c r="AG1493" s="190"/>
      <c r="AH1493" s="190"/>
      <c r="AI1493" s="190"/>
      <c r="AJ1493" s="190"/>
      <c r="AK1493" s="190"/>
      <c r="AL1493" s="190"/>
    </row>
    <row r="1494" spans="2:38" ht="12.75" customHeight="1">
      <c r="B1494" s="6"/>
      <c r="C1494" s="6"/>
      <c r="D1494" s="12"/>
      <c r="E1494" s="12"/>
      <c r="F1494" s="12"/>
      <c r="G1494" s="12"/>
      <c r="H1494" s="6"/>
      <c r="I1494" s="190"/>
      <c r="J1494" s="190"/>
      <c r="K1494" s="190"/>
      <c r="L1494" s="190"/>
      <c r="M1494" s="190"/>
      <c r="N1494" s="190"/>
      <c r="O1494" s="190"/>
      <c r="P1494" s="190"/>
      <c r="Q1494" s="190"/>
      <c r="R1494" s="190"/>
      <c r="S1494" s="190"/>
      <c r="T1494" s="190"/>
      <c r="U1494" s="190"/>
      <c r="V1494" s="190"/>
      <c r="W1494" s="190"/>
      <c r="X1494" s="190"/>
      <c r="Y1494" s="190"/>
      <c r="Z1494" s="190"/>
      <c r="AA1494" s="190"/>
      <c r="AB1494" s="190"/>
      <c r="AC1494" s="190"/>
      <c r="AD1494" s="190"/>
      <c r="AE1494" s="190"/>
      <c r="AF1494" s="190"/>
      <c r="AG1494" s="190"/>
      <c r="AH1494" s="190"/>
      <c r="AI1494" s="190"/>
      <c r="AJ1494" s="190"/>
      <c r="AK1494" s="190"/>
      <c r="AL1494" s="190"/>
    </row>
    <row r="1495" spans="2:38" ht="12.75" customHeight="1">
      <c r="B1495" s="6"/>
      <c r="C1495" s="6"/>
      <c r="D1495" s="12"/>
      <c r="E1495" s="12"/>
      <c r="F1495" s="12"/>
      <c r="G1495" s="12"/>
      <c r="H1495" s="6"/>
      <c r="I1495" s="190"/>
      <c r="J1495" s="190"/>
      <c r="K1495" s="190"/>
      <c r="L1495" s="190"/>
      <c r="M1495" s="190"/>
      <c r="N1495" s="190"/>
      <c r="O1495" s="190"/>
      <c r="P1495" s="190"/>
      <c r="Q1495" s="190"/>
      <c r="R1495" s="190"/>
      <c r="S1495" s="190"/>
      <c r="T1495" s="190"/>
      <c r="U1495" s="190"/>
      <c r="V1495" s="190"/>
      <c r="W1495" s="190"/>
      <c r="X1495" s="190"/>
      <c r="Y1495" s="190"/>
      <c r="Z1495" s="190"/>
      <c r="AA1495" s="190"/>
      <c r="AB1495" s="190"/>
      <c r="AC1495" s="190"/>
      <c r="AD1495" s="190"/>
      <c r="AE1495" s="190"/>
      <c r="AF1495" s="190"/>
      <c r="AG1495" s="190"/>
      <c r="AH1495" s="190"/>
      <c r="AI1495" s="190"/>
      <c r="AJ1495" s="190"/>
      <c r="AK1495" s="190"/>
      <c r="AL1495" s="190"/>
    </row>
    <row r="1496" spans="2:38" ht="12.75" customHeight="1">
      <c r="B1496" s="6"/>
      <c r="C1496" s="6"/>
      <c r="D1496" s="12"/>
      <c r="E1496" s="12"/>
      <c r="F1496" s="12"/>
      <c r="G1496" s="12"/>
      <c r="H1496" s="6"/>
      <c r="I1496" s="190"/>
      <c r="J1496" s="190"/>
      <c r="K1496" s="190"/>
      <c r="L1496" s="190"/>
      <c r="M1496" s="190"/>
      <c r="N1496" s="190"/>
      <c r="O1496" s="190"/>
      <c r="P1496" s="190"/>
      <c r="Q1496" s="190"/>
      <c r="R1496" s="190"/>
      <c r="S1496" s="190"/>
      <c r="T1496" s="190"/>
      <c r="U1496" s="190"/>
      <c r="V1496" s="190"/>
      <c r="W1496" s="190"/>
      <c r="X1496" s="190"/>
      <c r="Y1496" s="190"/>
      <c r="Z1496" s="190"/>
      <c r="AA1496" s="190"/>
      <c r="AB1496" s="190"/>
      <c r="AC1496" s="190"/>
      <c r="AD1496" s="190"/>
      <c r="AE1496" s="190"/>
      <c r="AF1496" s="190"/>
      <c r="AG1496" s="190"/>
      <c r="AH1496" s="190"/>
      <c r="AI1496" s="190"/>
      <c r="AJ1496" s="190"/>
      <c r="AK1496" s="190"/>
      <c r="AL1496" s="190"/>
    </row>
    <row r="1497" spans="2:38" ht="12.75" customHeight="1">
      <c r="B1497" s="6"/>
      <c r="C1497" s="6"/>
      <c r="D1497" s="12"/>
      <c r="E1497" s="12"/>
      <c r="F1497" s="12"/>
      <c r="G1497" s="12"/>
      <c r="H1497" s="6"/>
      <c r="I1497" s="190"/>
      <c r="J1497" s="190"/>
      <c r="K1497" s="190"/>
      <c r="L1497" s="190"/>
      <c r="M1497" s="190"/>
      <c r="N1497" s="190"/>
      <c r="O1497" s="190"/>
      <c r="P1497" s="190"/>
      <c r="Q1497" s="190"/>
      <c r="R1497" s="190"/>
      <c r="S1497" s="190"/>
      <c r="T1497" s="190"/>
      <c r="U1497" s="190"/>
      <c r="V1497" s="190"/>
      <c r="W1497" s="190"/>
      <c r="X1497" s="190"/>
      <c r="Y1497" s="190"/>
      <c r="Z1497" s="190"/>
      <c r="AA1497" s="190"/>
      <c r="AB1497" s="190"/>
      <c r="AC1497" s="190"/>
      <c r="AD1497" s="190"/>
      <c r="AE1497" s="190"/>
      <c r="AF1497" s="190"/>
      <c r="AG1497" s="190"/>
      <c r="AH1497" s="190"/>
      <c r="AI1497" s="190"/>
      <c r="AJ1497" s="190"/>
      <c r="AK1497" s="190"/>
      <c r="AL1497" s="190"/>
    </row>
    <row r="1498" spans="2:38" ht="12.75" customHeight="1">
      <c r="B1498" s="6"/>
      <c r="C1498" s="6"/>
      <c r="D1498" s="12"/>
      <c r="E1498" s="12"/>
      <c r="F1498" s="12"/>
      <c r="G1498" s="12"/>
      <c r="H1498" s="6"/>
      <c r="I1498" s="190"/>
      <c r="J1498" s="190"/>
      <c r="K1498" s="190"/>
      <c r="L1498" s="190"/>
      <c r="M1498" s="190"/>
      <c r="N1498" s="190"/>
      <c r="O1498" s="190"/>
      <c r="P1498" s="190"/>
      <c r="Q1498" s="190"/>
      <c r="R1498" s="190"/>
      <c r="S1498" s="190"/>
      <c r="T1498" s="190"/>
      <c r="U1498" s="190"/>
      <c r="V1498" s="190"/>
      <c r="W1498" s="190"/>
      <c r="X1498" s="190"/>
      <c r="Y1498" s="190"/>
      <c r="Z1498" s="190"/>
      <c r="AA1498" s="190"/>
      <c r="AB1498" s="190"/>
      <c r="AC1498" s="190"/>
      <c r="AD1498" s="190"/>
      <c r="AE1498" s="190"/>
      <c r="AF1498" s="190"/>
      <c r="AG1498" s="190"/>
      <c r="AH1498" s="190"/>
      <c r="AI1498" s="190"/>
      <c r="AJ1498" s="190"/>
      <c r="AK1498" s="190"/>
      <c r="AL1498" s="190"/>
    </row>
    <row r="1499" spans="2:38" ht="12.75" customHeight="1">
      <c r="B1499" s="6"/>
      <c r="C1499" s="6"/>
      <c r="D1499" s="12"/>
      <c r="E1499" s="12"/>
      <c r="F1499" s="12"/>
      <c r="G1499" s="12"/>
      <c r="H1499" s="6"/>
      <c r="I1499" s="190"/>
      <c r="J1499" s="190"/>
      <c r="K1499" s="190"/>
      <c r="L1499" s="190"/>
      <c r="M1499" s="190"/>
      <c r="N1499" s="190"/>
      <c r="O1499" s="190"/>
      <c r="P1499" s="190"/>
      <c r="Q1499" s="190"/>
      <c r="R1499" s="190"/>
      <c r="S1499" s="190"/>
      <c r="T1499" s="190"/>
      <c r="U1499" s="190"/>
      <c r="V1499" s="190"/>
      <c r="W1499" s="190"/>
      <c r="X1499" s="190"/>
      <c r="Y1499" s="190"/>
      <c r="Z1499" s="190"/>
      <c r="AA1499" s="190"/>
      <c r="AB1499" s="190"/>
      <c r="AC1499" s="190"/>
      <c r="AD1499" s="190"/>
      <c r="AE1499" s="190"/>
      <c r="AF1499" s="190"/>
      <c r="AG1499" s="190"/>
      <c r="AH1499" s="190"/>
      <c r="AI1499" s="190"/>
      <c r="AJ1499" s="190"/>
      <c r="AK1499" s="190"/>
      <c r="AL1499" s="190"/>
    </row>
    <row r="1500" spans="2:38" ht="12.75" customHeight="1">
      <c r="B1500" s="6"/>
      <c r="C1500" s="6"/>
      <c r="D1500" s="12"/>
      <c r="E1500" s="12"/>
      <c r="F1500" s="12"/>
      <c r="G1500" s="12"/>
      <c r="H1500" s="6"/>
      <c r="I1500" s="190"/>
      <c r="J1500" s="190"/>
      <c r="K1500" s="190"/>
      <c r="L1500" s="190"/>
      <c r="M1500" s="190"/>
      <c r="N1500" s="190"/>
      <c r="O1500" s="190"/>
      <c r="P1500" s="190"/>
      <c r="Q1500" s="190"/>
      <c r="R1500" s="190"/>
      <c r="S1500" s="190"/>
      <c r="T1500" s="190"/>
      <c r="U1500" s="190"/>
      <c r="V1500" s="190"/>
      <c r="W1500" s="190"/>
      <c r="X1500" s="190"/>
      <c r="Y1500" s="190"/>
      <c r="Z1500" s="190"/>
      <c r="AA1500" s="190"/>
      <c r="AB1500" s="190"/>
      <c r="AC1500" s="190"/>
      <c r="AD1500" s="190"/>
      <c r="AE1500" s="190"/>
      <c r="AF1500" s="190"/>
      <c r="AG1500" s="190"/>
      <c r="AH1500" s="190"/>
      <c r="AI1500" s="190"/>
      <c r="AJ1500" s="190"/>
      <c r="AK1500" s="190"/>
      <c r="AL1500" s="190"/>
    </row>
    <row r="1501" spans="2:38" ht="12.75" customHeight="1">
      <c r="B1501" s="6"/>
      <c r="C1501" s="6"/>
      <c r="D1501" s="12"/>
      <c r="E1501" s="12"/>
      <c r="F1501" s="12"/>
      <c r="G1501" s="12"/>
      <c r="H1501" s="6"/>
      <c r="I1501" s="190"/>
      <c r="J1501" s="190"/>
      <c r="K1501" s="190"/>
      <c r="L1501" s="190"/>
      <c r="M1501" s="190"/>
      <c r="N1501" s="190"/>
      <c r="O1501" s="190"/>
      <c r="P1501" s="190"/>
      <c r="Q1501" s="190"/>
      <c r="R1501" s="190"/>
      <c r="S1501" s="190"/>
      <c r="T1501" s="190"/>
      <c r="U1501" s="190"/>
      <c r="V1501" s="190"/>
      <c r="W1501" s="190"/>
      <c r="X1501" s="190"/>
      <c r="Y1501" s="190"/>
      <c r="Z1501" s="190"/>
      <c r="AA1501" s="190"/>
      <c r="AB1501" s="190"/>
      <c r="AC1501" s="190"/>
      <c r="AD1501" s="190"/>
      <c r="AE1501" s="190"/>
      <c r="AF1501" s="190"/>
      <c r="AG1501" s="190"/>
      <c r="AH1501" s="190"/>
      <c r="AI1501" s="190"/>
      <c r="AJ1501" s="190"/>
      <c r="AK1501" s="190"/>
      <c r="AL1501" s="190"/>
    </row>
    <row r="1502" spans="2:38" ht="12.75" customHeight="1">
      <c r="B1502" s="6"/>
      <c r="C1502" s="6"/>
      <c r="D1502" s="12"/>
      <c r="E1502" s="12"/>
      <c r="F1502" s="12"/>
      <c r="G1502" s="12"/>
      <c r="H1502" s="6"/>
      <c r="I1502" s="190"/>
      <c r="J1502" s="190"/>
      <c r="K1502" s="190"/>
      <c r="L1502" s="190"/>
      <c r="M1502" s="190"/>
      <c r="N1502" s="190"/>
      <c r="O1502" s="190"/>
      <c r="P1502" s="190"/>
      <c r="Q1502" s="190"/>
      <c r="R1502" s="190"/>
      <c r="S1502" s="190"/>
      <c r="T1502" s="190"/>
      <c r="U1502" s="190"/>
      <c r="V1502" s="190"/>
      <c r="W1502" s="190"/>
      <c r="X1502" s="190"/>
      <c r="Y1502" s="190"/>
      <c r="Z1502" s="190"/>
      <c r="AA1502" s="190"/>
      <c r="AB1502" s="190"/>
      <c r="AC1502" s="190"/>
      <c r="AD1502" s="190"/>
      <c r="AE1502" s="190"/>
      <c r="AF1502" s="190"/>
      <c r="AG1502" s="190"/>
      <c r="AH1502" s="190"/>
      <c r="AI1502" s="190"/>
      <c r="AJ1502" s="190"/>
      <c r="AK1502" s="190"/>
      <c r="AL1502" s="190"/>
    </row>
    <row r="1503" spans="2:38" ht="12.75" customHeight="1">
      <c r="B1503" s="6"/>
      <c r="C1503" s="6"/>
      <c r="D1503" s="12"/>
      <c r="E1503" s="12"/>
      <c r="F1503" s="12"/>
      <c r="G1503" s="12"/>
      <c r="H1503" s="6"/>
      <c r="I1503" s="190"/>
      <c r="J1503" s="190"/>
      <c r="K1503" s="190"/>
      <c r="L1503" s="190"/>
      <c r="M1503" s="190"/>
      <c r="N1503" s="190"/>
      <c r="O1503" s="190"/>
      <c r="P1503" s="190"/>
      <c r="Q1503" s="190"/>
      <c r="R1503" s="190"/>
      <c r="S1503" s="190"/>
      <c r="T1503" s="190"/>
      <c r="U1503" s="190"/>
      <c r="V1503" s="190"/>
      <c r="W1503" s="190"/>
      <c r="X1503" s="190"/>
      <c r="Y1503" s="190"/>
      <c r="Z1503" s="190"/>
      <c r="AA1503" s="190"/>
      <c r="AB1503" s="190"/>
      <c r="AC1503" s="190"/>
      <c r="AD1503" s="190"/>
      <c r="AE1503" s="190"/>
      <c r="AF1503" s="190"/>
      <c r="AG1503" s="190"/>
      <c r="AH1503" s="190"/>
      <c r="AI1503" s="190"/>
      <c r="AJ1503" s="190"/>
      <c r="AK1503" s="190"/>
      <c r="AL1503" s="190"/>
    </row>
    <row r="1504" spans="2:38" ht="12.75" customHeight="1">
      <c r="B1504" s="6"/>
      <c r="C1504" s="6"/>
      <c r="D1504" s="12"/>
      <c r="E1504" s="12"/>
      <c r="F1504" s="12"/>
      <c r="G1504" s="12"/>
      <c r="H1504" s="6"/>
      <c r="I1504" s="190"/>
      <c r="J1504" s="190"/>
      <c r="K1504" s="190"/>
      <c r="L1504" s="190"/>
      <c r="M1504" s="190"/>
      <c r="N1504" s="190"/>
      <c r="O1504" s="190"/>
      <c r="P1504" s="190"/>
      <c r="Q1504" s="190"/>
      <c r="R1504" s="190"/>
      <c r="S1504" s="190"/>
      <c r="T1504" s="190"/>
      <c r="U1504" s="190"/>
      <c r="V1504" s="190"/>
      <c r="W1504" s="190"/>
      <c r="X1504" s="190"/>
      <c r="Y1504" s="190"/>
      <c r="Z1504" s="190"/>
      <c r="AA1504" s="190"/>
      <c r="AB1504" s="190"/>
      <c r="AC1504" s="190"/>
      <c r="AD1504" s="190"/>
      <c r="AE1504" s="190"/>
      <c r="AF1504" s="190"/>
      <c r="AG1504" s="190"/>
      <c r="AH1504" s="190"/>
      <c r="AI1504" s="190"/>
      <c r="AJ1504" s="190"/>
      <c r="AK1504" s="190"/>
      <c r="AL1504" s="190"/>
    </row>
    <row r="1505" spans="2:38" ht="12.75" customHeight="1">
      <c r="B1505" s="6"/>
      <c r="C1505" s="6"/>
      <c r="D1505" s="12"/>
      <c r="E1505" s="12"/>
      <c r="F1505" s="12"/>
      <c r="G1505" s="12"/>
      <c r="H1505" s="6"/>
      <c r="I1505" s="190"/>
      <c r="J1505" s="190"/>
      <c r="K1505" s="190"/>
      <c r="L1505" s="190"/>
      <c r="M1505" s="190"/>
      <c r="N1505" s="190"/>
      <c r="O1505" s="190"/>
      <c r="P1505" s="190"/>
      <c r="Q1505" s="190"/>
      <c r="R1505" s="190"/>
      <c r="S1505" s="190"/>
      <c r="T1505" s="190"/>
      <c r="U1505" s="190"/>
      <c r="V1505" s="190"/>
      <c r="W1505" s="190"/>
      <c r="X1505" s="190"/>
      <c r="Y1505" s="190"/>
      <c r="Z1505" s="190"/>
      <c r="AA1505" s="190"/>
      <c r="AB1505" s="190"/>
      <c r="AC1505" s="190"/>
      <c r="AD1505" s="190"/>
      <c r="AE1505" s="190"/>
      <c r="AF1505" s="190"/>
      <c r="AG1505" s="190"/>
      <c r="AH1505" s="190"/>
      <c r="AI1505" s="190"/>
      <c r="AJ1505" s="190"/>
      <c r="AK1505" s="190"/>
      <c r="AL1505" s="190"/>
    </row>
    <row r="1506" spans="2:38" ht="12.75" customHeight="1">
      <c r="B1506" s="6"/>
      <c r="C1506" s="6"/>
      <c r="D1506" s="12"/>
      <c r="E1506" s="12"/>
      <c r="F1506" s="12"/>
      <c r="G1506" s="12"/>
      <c r="H1506" s="6"/>
      <c r="I1506" s="190"/>
      <c r="J1506" s="190"/>
      <c r="K1506" s="190"/>
      <c r="L1506" s="190"/>
      <c r="M1506" s="190"/>
      <c r="N1506" s="190"/>
      <c r="O1506" s="190"/>
      <c r="P1506" s="190"/>
      <c r="Q1506" s="190"/>
      <c r="R1506" s="190"/>
      <c r="S1506" s="190"/>
      <c r="T1506" s="190"/>
      <c r="U1506" s="190"/>
      <c r="V1506" s="190"/>
      <c r="W1506" s="190"/>
      <c r="X1506" s="190"/>
      <c r="Y1506" s="190"/>
      <c r="Z1506" s="190"/>
      <c r="AA1506" s="190"/>
      <c r="AB1506" s="190"/>
      <c r="AC1506" s="190"/>
      <c r="AD1506" s="190"/>
      <c r="AE1506" s="190"/>
      <c r="AF1506" s="190"/>
      <c r="AG1506" s="190"/>
      <c r="AH1506" s="190"/>
      <c r="AI1506" s="190"/>
      <c r="AJ1506" s="190"/>
      <c r="AK1506" s="190"/>
      <c r="AL1506" s="190"/>
    </row>
    <row r="1507" spans="2:38" ht="12.75" customHeight="1">
      <c r="B1507" s="6"/>
      <c r="C1507" s="6"/>
      <c r="D1507" s="12"/>
      <c r="E1507" s="12"/>
      <c r="F1507" s="12"/>
      <c r="G1507" s="12"/>
      <c r="H1507" s="6"/>
      <c r="I1507" s="190"/>
      <c r="J1507" s="190"/>
      <c r="K1507" s="190"/>
      <c r="L1507" s="190"/>
      <c r="M1507" s="190"/>
      <c r="N1507" s="190"/>
      <c r="O1507" s="190"/>
      <c r="P1507" s="190"/>
      <c r="Q1507" s="190"/>
      <c r="R1507" s="190"/>
      <c r="S1507" s="190"/>
      <c r="T1507" s="190"/>
      <c r="U1507" s="190"/>
      <c r="V1507" s="190"/>
      <c r="W1507" s="190"/>
      <c r="X1507" s="190"/>
      <c r="Y1507" s="190"/>
      <c r="Z1507" s="190"/>
      <c r="AA1507" s="190"/>
      <c r="AB1507" s="190"/>
      <c r="AC1507" s="190"/>
      <c r="AD1507" s="190"/>
      <c r="AE1507" s="190"/>
      <c r="AF1507" s="190"/>
      <c r="AG1507" s="190"/>
      <c r="AH1507" s="190"/>
      <c r="AI1507" s="190"/>
      <c r="AJ1507" s="190"/>
      <c r="AK1507" s="190"/>
      <c r="AL1507" s="190"/>
    </row>
    <row r="1508" spans="2:38" ht="12.75" customHeight="1">
      <c r="B1508" s="6"/>
      <c r="C1508" s="6"/>
      <c r="D1508" s="12"/>
      <c r="E1508" s="12"/>
      <c r="F1508" s="12"/>
      <c r="G1508" s="12"/>
      <c r="H1508" s="6"/>
      <c r="I1508" s="190"/>
      <c r="J1508" s="190"/>
      <c r="K1508" s="190"/>
      <c r="L1508" s="190"/>
      <c r="M1508" s="190"/>
      <c r="N1508" s="190"/>
      <c r="O1508" s="190"/>
      <c r="P1508" s="190"/>
      <c r="Q1508" s="190"/>
      <c r="R1508" s="190"/>
      <c r="S1508" s="190"/>
      <c r="T1508" s="190"/>
      <c r="U1508" s="190"/>
      <c r="V1508" s="190"/>
      <c r="W1508" s="190"/>
      <c r="X1508" s="190"/>
      <c r="Y1508" s="190"/>
      <c r="Z1508" s="190"/>
      <c r="AA1508" s="190"/>
      <c r="AB1508" s="190"/>
      <c r="AC1508" s="190"/>
      <c r="AD1508" s="190"/>
      <c r="AE1508" s="190"/>
      <c r="AF1508" s="190"/>
      <c r="AG1508" s="190"/>
      <c r="AH1508" s="190"/>
      <c r="AI1508" s="190"/>
      <c r="AJ1508" s="190"/>
      <c r="AK1508" s="190"/>
      <c r="AL1508" s="190"/>
    </row>
    <row r="1509" spans="2:38" ht="12.75" customHeight="1">
      <c r="B1509" s="6"/>
      <c r="C1509" s="6"/>
      <c r="D1509" s="12"/>
      <c r="E1509" s="12"/>
      <c r="F1509" s="12"/>
      <c r="G1509" s="12"/>
      <c r="H1509" s="6"/>
      <c r="I1509" s="190"/>
      <c r="J1509" s="190"/>
      <c r="K1509" s="190"/>
      <c r="L1509" s="190"/>
      <c r="M1509" s="190"/>
      <c r="N1509" s="190"/>
      <c r="O1509" s="190"/>
      <c r="P1509" s="190"/>
      <c r="Q1509" s="190"/>
      <c r="R1509" s="190"/>
      <c r="S1509" s="190"/>
      <c r="T1509" s="190"/>
      <c r="U1509" s="190"/>
      <c r="V1509" s="190"/>
      <c r="W1509" s="190"/>
      <c r="X1509" s="190"/>
      <c r="Y1509" s="190"/>
      <c r="Z1509" s="190"/>
      <c r="AA1509" s="190"/>
      <c r="AB1509" s="190"/>
      <c r="AC1509" s="190"/>
      <c r="AD1509" s="190"/>
      <c r="AE1509" s="190"/>
      <c r="AF1509" s="190"/>
      <c r="AG1509" s="190"/>
      <c r="AH1509" s="190"/>
      <c r="AI1509" s="190"/>
      <c r="AJ1509" s="190"/>
      <c r="AK1509" s="190"/>
      <c r="AL1509" s="190"/>
    </row>
    <row r="1510" spans="2:38" ht="12.75" customHeight="1">
      <c r="B1510" s="6"/>
      <c r="C1510" s="6"/>
      <c r="D1510" s="12"/>
      <c r="E1510" s="12"/>
      <c r="F1510" s="12"/>
      <c r="G1510" s="12"/>
      <c r="H1510" s="6"/>
      <c r="I1510" s="190"/>
      <c r="J1510" s="190"/>
      <c r="K1510" s="190"/>
      <c r="L1510" s="190"/>
      <c r="M1510" s="190"/>
      <c r="N1510" s="190"/>
      <c r="O1510" s="190"/>
      <c r="P1510" s="190"/>
      <c r="Q1510" s="190"/>
      <c r="R1510" s="190"/>
      <c r="S1510" s="190"/>
      <c r="T1510" s="190"/>
      <c r="U1510" s="190"/>
      <c r="V1510" s="190"/>
      <c r="W1510" s="190"/>
      <c r="X1510" s="190"/>
      <c r="Y1510" s="190"/>
      <c r="Z1510" s="190"/>
      <c r="AA1510" s="190"/>
      <c r="AB1510" s="190"/>
      <c r="AC1510" s="190"/>
      <c r="AD1510" s="190"/>
      <c r="AE1510" s="190"/>
      <c r="AF1510" s="190"/>
      <c r="AG1510" s="190"/>
      <c r="AH1510" s="190"/>
      <c r="AI1510" s="190"/>
      <c r="AJ1510" s="190"/>
      <c r="AK1510" s="190"/>
      <c r="AL1510" s="190"/>
    </row>
    <row r="1511" spans="2:38" ht="12.75" customHeight="1">
      <c r="B1511" s="6"/>
      <c r="C1511" s="6"/>
      <c r="D1511" s="12"/>
      <c r="E1511" s="12"/>
      <c r="F1511" s="12"/>
      <c r="G1511" s="12"/>
      <c r="H1511" s="6"/>
      <c r="I1511" s="190"/>
      <c r="J1511" s="190"/>
      <c r="K1511" s="190"/>
      <c r="L1511" s="190"/>
      <c r="M1511" s="190"/>
      <c r="N1511" s="190"/>
      <c r="O1511" s="190"/>
      <c r="P1511" s="190"/>
      <c r="Q1511" s="190"/>
      <c r="R1511" s="190"/>
      <c r="S1511" s="190"/>
      <c r="T1511" s="190"/>
      <c r="U1511" s="190"/>
      <c r="V1511" s="190"/>
      <c r="W1511" s="190"/>
      <c r="X1511" s="190"/>
      <c r="Y1511" s="190"/>
      <c r="Z1511" s="190"/>
      <c r="AA1511" s="190"/>
      <c r="AB1511" s="190"/>
      <c r="AC1511" s="190"/>
      <c r="AD1511" s="190"/>
      <c r="AE1511" s="190"/>
      <c r="AF1511" s="190"/>
      <c r="AG1511" s="190"/>
      <c r="AH1511" s="190"/>
      <c r="AI1511" s="190"/>
      <c r="AJ1511" s="190"/>
      <c r="AK1511" s="190"/>
      <c r="AL1511" s="190"/>
    </row>
    <row r="1512" spans="2:38" ht="12.75" customHeight="1">
      <c r="B1512" s="6"/>
      <c r="C1512" s="6"/>
      <c r="D1512" s="12"/>
      <c r="E1512" s="12"/>
      <c r="F1512" s="12"/>
      <c r="G1512" s="12"/>
      <c r="H1512" s="6"/>
      <c r="I1512" s="190"/>
      <c r="J1512" s="190"/>
      <c r="K1512" s="190"/>
      <c r="L1512" s="190"/>
      <c r="M1512" s="190"/>
      <c r="N1512" s="190"/>
      <c r="O1512" s="190"/>
      <c r="P1512" s="190"/>
      <c r="Q1512" s="190"/>
      <c r="R1512" s="190"/>
      <c r="S1512" s="190"/>
      <c r="T1512" s="190"/>
      <c r="U1512" s="190"/>
      <c r="V1512" s="190"/>
      <c r="W1512" s="190"/>
      <c r="X1512" s="190"/>
      <c r="Y1512" s="190"/>
      <c r="Z1512" s="190"/>
      <c r="AA1512" s="190"/>
      <c r="AB1512" s="190"/>
      <c r="AC1512" s="190"/>
      <c r="AD1512" s="190"/>
      <c r="AE1512" s="190"/>
      <c r="AF1512" s="190"/>
      <c r="AG1512" s="190"/>
      <c r="AH1512" s="190"/>
      <c r="AI1512" s="190"/>
      <c r="AJ1512" s="190"/>
      <c r="AK1512" s="190"/>
      <c r="AL1512" s="190"/>
    </row>
    <row r="1513" spans="2:38" ht="12.75" customHeight="1">
      <c r="B1513" s="6"/>
      <c r="C1513" s="6"/>
      <c r="D1513" s="12"/>
      <c r="E1513" s="12"/>
      <c r="F1513" s="12"/>
      <c r="G1513" s="12"/>
      <c r="H1513" s="6"/>
      <c r="I1513" s="190"/>
      <c r="J1513" s="190"/>
      <c r="K1513" s="190"/>
      <c r="L1513" s="190"/>
      <c r="M1513" s="190"/>
      <c r="N1513" s="190"/>
      <c r="O1513" s="190"/>
      <c r="P1513" s="190"/>
      <c r="Q1513" s="190"/>
      <c r="R1513" s="190"/>
      <c r="S1513" s="190"/>
      <c r="T1513" s="190"/>
      <c r="U1513" s="190"/>
      <c r="V1513" s="190"/>
      <c r="W1513" s="190"/>
      <c r="X1513" s="190"/>
      <c r="Y1513" s="190"/>
      <c r="Z1513" s="190"/>
      <c r="AA1513" s="190"/>
      <c r="AB1513" s="190"/>
      <c r="AC1513" s="190"/>
      <c r="AD1513" s="190"/>
      <c r="AE1513" s="190"/>
      <c r="AF1513" s="190"/>
      <c r="AG1513" s="190"/>
      <c r="AH1513" s="190"/>
      <c r="AI1513" s="190"/>
      <c r="AJ1513" s="190"/>
      <c r="AK1513" s="190"/>
      <c r="AL1513" s="190"/>
    </row>
    <row r="1514" spans="2:38" ht="12.75" customHeight="1">
      <c r="B1514" s="6"/>
      <c r="C1514" s="6"/>
      <c r="D1514" s="12"/>
      <c r="E1514" s="12"/>
      <c r="F1514" s="12"/>
      <c r="G1514" s="12"/>
      <c r="H1514" s="6"/>
      <c r="I1514" s="190"/>
      <c r="J1514" s="190"/>
      <c r="K1514" s="190"/>
      <c r="L1514" s="190"/>
      <c r="M1514" s="190"/>
      <c r="N1514" s="190"/>
      <c r="O1514" s="190"/>
      <c r="P1514" s="190"/>
      <c r="Q1514" s="190"/>
      <c r="R1514" s="190"/>
      <c r="S1514" s="190"/>
      <c r="T1514" s="190"/>
      <c r="U1514" s="190"/>
      <c r="V1514" s="190"/>
      <c r="W1514" s="190"/>
      <c r="X1514" s="190"/>
      <c r="Y1514" s="190"/>
      <c r="Z1514" s="190"/>
      <c r="AA1514" s="190"/>
      <c r="AB1514" s="190"/>
      <c r="AC1514" s="190"/>
      <c r="AD1514" s="190"/>
      <c r="AE1514" s="190"/>
      <c r="AF1514" s="190"/>
      <c r="AG1514" s="190"/>
      <c r="AH1514" s="190"/>
      <c r="AI1514" s="190"/>
      <c r="AJ1514" s="190"/>
      <c r="AK1514" s="190"/>
      <c r="AL1514" s="190"/>
    </row>
    <row r="1515" spans="2:38" ht="12.75" customHeight="1">
      <c r="B1515" s="6"/>
      <c r="C1515" s="6"/>
      <c r="D1515" s="12"/>
      <c r="E1515" s="12"/>
      <c r="F1515" s="12"/>
      <c r="G1515" s="12"/>
      <c r="H1515" s="6"/>
      <c r="I1515" s="190"/>
      <c r="J1515" s="190"/>
      <c r="K1515" s="190"/>
      <c r="L1515" s="190"/>
      <c r="M1515" s="190"/>
      <c r="N1515" s="190"/>
      <c r="O1515" s="190"/>
      <c r="P1515" s="190"/>
      <c r="Q1515" s="190"/>
      <c r="R1515" s="190"/>
      <c r="S1515" s="190"/>
      <c r="T1515" s="190"/>
      <c r="U1515" s="190"/>
      <c r="V1515" s="190"/>
      <c r="W1515" s="190"/>
      <c r="X1515" s="190"/>
      <c r="Y1515" s="190"/>
      <c r="Z1515" s="190"/>
      <c r="AA1515" s="190"/>
      <c r="AB1515" s="190"/>
      <c r="AC1515" s="190"/>
      <c r="AD1515" s="190"/>
      <c r="AE1515" s="190"/>
      <c r="AF1515" s="190"/>
      <c r="AG1515" s="190"/>
      <c r="AH1515" s="190"/>
      <c r="AI1515" s="190"/>
      <c r="AJ1515" s="190"/>
      <c r="AK1515" s="190"/>
      <c r="AL1515" s="190"/>
    </row>
    <row r="1516" spans="2:38" ht="12.75" customHeight="1">
      <c r="B1516" s="6"/>
      <c r="C1516" s="6"/>
      <c r="D1516" s="12"/>
      <c r="E1516" s="12"/>
      <c r="F1516" s="12"/>
      <c r="G1516" s="12"/>
      <c r="H1516" s="6"/>
      <c r="I1516" s="190"/>
      <c r="J1516" s="190"/>
      <c r="K1516" s="190"/>
      <c r="L1516" s="190"/>
      <c r="M1516" s="190"/>
      <c r="N1516" s="190"/>
      <c r="O1516" s="190"/>
      <c r="P1516" s="190"/>
      <c r="Q1516" s="190"/>
      <c r="R1516" s="190"/>
      <c r="S1516" s="190"/>
      <c r="T1516" s="190"/>
      <c r="U1516" s="190"/>
      <c r="V1516" s="190"/>
      <c r="W1516" s="190"/>
      <c r="X1516" s="190"/>
      <c r="Y1516" s="190"/>
      <c r="Z1516" s="190"/>
      <c r="AA1516" s="190"/>
      <c r="AB1516" s="190"/>
      <c r="AC1516" s="190"/>
      <c r="AD1516" s="190"/>
      <c r="AE1516" s="190"/>
      <c r="AF1516" s="190"/>
      <c r="AG1516" s="190"/>
      <c r="AH1516" s="190"/>
      <c r="AI1516" s="190"/>
      <c r="AJ1516" s="190"/>
      <c r="AK1516" s="190"/>
      <c r="AL1516" s="190"/>
    </row>
    <row r="1517" spans="2:38" ht="12.75" customHeight="1">
      <c r="B1517" s="6"/>
      <c r="C1517" s="6"/>
      <c r="D1517" s="12"/>
      <c r="E1517" s="12"/>
      <c r="F1517" s="12"/>
      <c r="G1517" s="12"/>
      <c r="H1517" s="6"/>
      <c r="I1517" s="190"/>
      <c r="J1517" s="190"/>
      <c r="K1517" s="190"/>
      <c r="L1517" s="190"/>
      <c r="M1517" s="190"/>
      <c r="N1517" s="190"/>
      <c r="O1517" s="190"/>
      <c r="P1517" s="190"/>
      <c r="Q1517" s="190"/>
      <c r="R1517" s="190"/>
      <c r="S1517" s="190"/>
      <c r="T1517" s="190"/>
      <c r="U1517" s="190"/>
      <c r="V1517" s="190"/>
      <c r="W1517" s="190"/>
      <c r="X1517" s="190"/>
      <c r="Y1517" s="190"/>
      <c r="Z1517" s="190"/>
      <c r="AA1517" s="190"/>
      <c r="AB1517" s="190"/>
      <c r="AC1517" s="190"/>
      <c r="AD1517" s="190"/>
      <c r="AE1517" s="190"/>
      <c r="AF1517" s="190"/>
      <c r="AG1517" s="190"/>
      <c r="AH1517" s="190"/>
      <c r="AI1517" s="190"/>
      <c r="AJ1517" s="190"/>
      <c r="AK1517" s="190"/>
      <c r="AL1517" s="190"/>
    </row>
    <row r="1518" spans="2:38" ht="12.75" customHeight="1">
      <c r="B1518" s="6"/>
      <c r="C1518" s="6"/>
      <c r="D1518" s="12"/>
      <c r="E1518" s="12"/>
      <c r="F1518" s="12"/>
      <c r="G1518" s="12"/>
      <c r="H1518" s="6"/>
      <c r="I1518" s="190"/>
      <c r="J1518" s="190"/>
      <c r="K1518" s="190"/>
      <c r="L1518" s="190"/>
      <c r="M1518" s="190"/>
      <c r="N1518" s="190"/>
      <c r="O1518" s="190"/>
      <c r="P1518" s="190"/>
      <c r="Q1518" s="190"/>
      <c r="R1518" s="190"/>
      <c r="S1518" s="190"/>
      <c r="T1518" s="190"/>
      <c r="U1518" s="190"/>
      <c r="V1518" s="190"/>
      <c r="W1518" s="190"/>
      <c r="X1518" s="190"/>
      <c r="Y1518" s="190"/>
      <c r="Z1518" s="190"/>
      <c r="AA1518" s="190"/>
      <c r="AB1518" s="190"/>
      <c r="AC1518" s="190"/>
      <c r="AD1518" s="190"/>
      <c r="AE1518" s="190"/>
      <c r="AF1518" s="190"/>
      <c r="AG1518" s="190"/>
      <c r="AH1518" s="190"/>
      <c r="AI1518" s="190"/>
      <c r="AJ1518" s="190"/>
      <c r="AK1518" s="190"/>
      <c r="AL1518" s="190"/>
    </row>
    <row r="1519" spans="2:38" ht="12.75" customHeight="1">
      <c r="B1519" s="6"/>
      <c r="C1519" s="6"/>
      <c r="D1519" s="12"/>
      <c r="E1519" s="12"/>
      <c r="F1519" s="12"/>
      <c r="G1519" s="12"/>
      <c r="H1519" s="6"/>
      <c r="I1519" s="190"/>
      <c r="J1519" s="190"/>
      <c r="K1519" s="190"/>
      <c r="L1519" s="190"/>
      <c r="M1519" s="190"/>
      <c r="N1519" s="190"/>
      <c r="O1519" s="190"/>
      <c r="P1519" s="190"/>
      <c r="Q1519" s="190"/>
      <c r="R1519" s="190"/>
      <c r="S1519" s="190"/>
      <c r="T1519" s="190"/>
      <c r="U1519" s="190"/>
      <c r="V1519" s="190"/>
      <c r="W1519" s="190"/>
      <c r="X1519" s="190"/>
      <c r="Y1519" s="190"/>
      <c r="Z1519" s="190"/>
      <c r="AA1519" s="190"/>
      <c r="AB1519" s="190"/>
      <c r="AC1519" s="190"/>
      <c r="AD1519" s="190"/>
      <c r="AE1519" s="190"/>
      <c r="AF1519" s="190"/>
      <c r="AG1519" s="190"/>
      <c r="AH1519" s="190"/>
      <c r="AI1519" s="190"/>
      <c r="AJ1519" s="190"/>
      <c r="AK1519" s="190"/>
      <c r="AL1519" s="190"/>
    </row>
    <row r="1520" spans="2:38" ht="12.75" customHeight="1">
      <c r="B1520" s="6"/>
      <c r="C1520" s="6"/>
      <c r="D1520" s="12"/>
      <c r="E1520" s="12"/>
      <c r="F1520" s="12"/>
      <c r="G1520" s="12"/>
      <c r="H1520" s="6"/>
      <c r="I1520" s="190"/>
      <c r="J1520" s="190"/>
      <c r="K1520" s="190"/>
      <c r="L1520" s="190"/>
      <c r="M1520" s="190"/>
      <c r="N1520" s="190"/>
      <c r="O1520" s="190"/>
      <c r="P1520" s="190"/>
      <c r="Q1520" s="190"/>
      <c r="R1520" s="190"/>
      <c r="S1520" s="190"/>
      <c r="T1520" s="190"/>
      <c r="U1520" s="190"/>
      <c r="V1520" s="190"/>
      <c r="W1520" s="190"/>
      <c r="X1520" s="190"/>
      <c r="Y1520" s="190"/>
      <c r="Z1520" s="190"/>
      <c r="AA1520" s="190"/>
      <c r="AB1520" s="190"/>
      <c r="AC1520" s="190"/>
      <c r="AD1520" s="190"/>
      <c r="AE1520" s="190"/>
      <c r="AF1520" s="190"/>
      <c r="AG1520" s="190"/>
      <c r="AH1520" s="190"/>
      <c r="AI1520" s="190"/>
      <c r="AJ1520" s="190"/>
      <c r="AK1520" s="190"/>
      <c r="AL1520" s="190"/>
    </row>
    <row r="1521" spans="2:38" ht="12.75" customHeight="1">
      <c r="B1521" s="6"/>
      <c r="C1521" s="6"/>
      <c r="D1521" s="12"/>
      <c r="E1521" s="12"/>
      <c r="F1521" s="12"/>
      <c r="G1521" s="12"/>
      <c r="H1521" s="6"/>
      <c r="I1521" s="190"/>
      <c r="J1521" s="190"/>
      <c r="K1521" s="190"/>
      <c r="L1521" s="190"/>
      <c r="M1521" s="190"/>
      <c r="N1521" s="190"/>
      <c r="O1521" s="190"/>
      <c r="P1521" s="190"/>
      <c r="Q1521" s="190"/>
      <c r="R1521" s="190"/>
      <c r="S1521" s="190"/>
      <c r="T1521" s="190"/>
      <c r="U1521" s="190"/>
      <c r="V1521" s="190"/>
      <c r="W1521" s="190"/>
      <c r="X1521" s="190"/>
      <c r="Y1521" s="190"/>
      <c r="Z1521" s="190"/>
      <c r="AA1521" s="190"/>
      <c r="AB1521" s="190"/>
      <c r="AC1521" s="190"/>
      <c r="AD1521" s="190"/>
      <c r="AE1521" s="190"/>
      <c r="AF1521" s="190"/>
      <c r="AG1521" s="190"/>
      <c r="AH1521" s="190"/>
      <c r="AI1521" s="190"/>
      <c r="AJ1521" s="190"/>
      <c r="AK1521" s="190"/>
      <c r="AL1521" s="190"/>
    </row>
    <row r="1522" spans="2:38" ht="12.75" customHeight="1">
      <c r="B1522" s="6"/>
      <c r="C1522" s="6"/>
      <c r="D1522" s="12"/>
      <c r="E1522" s="12"/>
      <c r="F1522" s="12"/>
      <c r="G1522" s="12"/>
      <c r="H1522" s="6"/>
      <c r="I1522" s="190"/>
      <c r="J1522" s="190"/>
      <c r="K1522" s="190"/>
      <c r="L1522" s="190"/>
      <c r="M1522" s="190"/>
      <c r="N1522" s="190"/>
      <c r="O1522" s="190"/>
      <c r="P1522" s="190"/>
      <c r="Q1522" s="190"/>
      <c r="R1522" s="190"/>
      <c r="S1522" s="190"/>
      <c r="T1522" s="190"/>
      <c r="U1522" s="190"/>
      <c r="V1522" s="190"/>
      <c r="W1522" s="190"/>
      <c r="X1522" s="190"/>
      <c r="Y1522" s="190"/>
      <c r="Z1522" s="190"/>
      <c r="AA1522" s="190"/>
      <c r="AB1522" s="190"/>
      <c r="AC1522" s="190"/>
      <c r="AD1522" s="190"/>
      <c r="AE1522" s="190"/>
      <c r="AF1522" s="190"/>
      <c r="AG1522" s="190"/>
      <c r="AH1522" s="190"/>
      <c r="AI1522" s="190"/>
      <c r="AJ1522" s="190"/>
      <c r="AK1522" s="190"/>
      <c r="AL1522" s="190"/>
    </row>
    <row r="1523" spans="2:38" ht="12.75" customHeight="1">
      <c r="B1523" s="6"/>
      <c r="C1523" s="6"/>
      <c r="D1523" s="12"/>
      <c r="E1523" s="12"/>
      <c r="F1523" s="12"/>
      <c r="G1523" s="12"/>
      <c r="H1523" s="6"/>
      <c r="I1523" s="190"/>
      <c r="J1523" s="190"/>
      <c r="K1523" s="190"/>
      <c r="L1523" s="190"/>
      <c r="M1523" s="190"/>
      <c r="N1523" s="190"/>
      <c r="O1523" s="190"/>
      <c r="P1523" s="190"/>
      <c r="Q1523" s="190"/>
      <c r="R1523" s="190"/>
      <c r="S1523" s="190"/>
      <c r="T1523" s="190"/>
      <c r="U1523" s="190"/>
      <c r="V1523" s="190"/>
      <c r="W1523" s="190"/>
      <c r="X1523" s="190"/>
      <c r="Y1523" s="190"/>
      <c r="Z1523" s="190"/>
      <c r="AA1523" s="190"/>
      <c r="AB1523" s="190"/>
      <c r="AC1523" s="190"/>
      <c r="AD1523" s="190"/>
      <c r="AE1523" s="190"/>
      <c r="AF1523" s="190"/>
      <c r="AG1523" s="190"/>
      <c r="AH1523" s="190"/>
      <c r="AI1523" s="190"/>
      <c r="AJ1523" s="190"/>
      <c r="AK1523" s="190"/>
      <c r="AL1523" s="190"/>
    </row>
    <row r="1524" spans="2:38" ht="12.75" customHeight="1">
      <c r="B1524" s="6"/>
      <c r="C1524" s="6"/>
      <c r="D1524" s="12"/>
      <c r="E1524" s="12"/>
      <c r="F1524" s="12"/>
      <c r="G1524" s="12"/>
      <c r="H1524" s="6"/>
      <c r="I1524" s="190"/>
      <c r="J1524" s="190"/>
      <c r="K1524" s="190"/>
      <c r="L1524" s="190"/>
      <c r="M1524" s="190"/>
      <c r="N1524" s="190"/>
      <c r="O1524" s="190"/>
      <c r="P1524" s="190"/>
      <c r="Q1524" s="190"/>
      <c r="R1524" s="190"/>
      <c r="S1524" s="190"/>
      <c r="T1524" s="190"/>
      <c r="U1524" s="190"/>
      <c r="V1524" s="190"/>
      <c r="W1524" s="190"/>
      <c r="X1524" s="190"/>
      <c r="Y1524" s="190"/>
      <c r="Z1524" s="190"/>
      <c r="AA1524" s="190"/>
      <c r="AB1524" s="190"/>
      <c r="AC1524" s="190"/>
      <c r="AD1524" s="190"/>
      <c r="AE1524" s="190"/>
      <c r="AF1524" s="190"/>
      <c r="AG1524" s="190"/>
      <c r="AH1524" s="190"/>
      <c r="AI1524" s="190"/>
      <c r="AJ1524" s="190"/>
      <c r="AK1524" s="190"/>
      <c r="AL1524" s="190"/>
    </row>
    <row r="1525" spans="2:38" ht="12.75" customHeight="1">
      <c r="B1525" s="6"/>
      <c r="C1525" s="6"/>
      <c r="D1525" s="12"/>
      <c r="E1525" s="12"/>
      <c r="F1525" s="12"/>
      <c r="G1525" s="12"/>
      <c r="H1525" s="6"/>
      <c r="I1525" s="190"/>
      <c r="J1525" s="190"/>
      <c r="K1525" s="190"/>
      <c r="L1525" s="190"/>
      <c r="M1525" s="190"/>
      <c r="N1525" s="190"/>
      <c r="O1525" s="190"/>
      <c r="P1525" s="190"/>
      <c r="Q1525" s="190"/>
      <c r="R1525" s="190"/>
      <c r="S1525" s="190"/>
      <c r="T1525" s="190"/>
      <c r="U1525" s="190"/>
      <c r="V1525" s="190"/>
      <c r="W1525" s="190"/>
      <c r="X1525" s="190"/>
      <c r="Y1525" s="190"/>
      <c r="Z1525" s="190"/>
      <c r="AA1525" s="190"/>
      <c r="AB1525" s="190"/>
      <c r="AC1525" s="190"/>
      <c r="AD1525" s="190"/>
      <c r="AE1525" s="190"/>
      <c r="AF1525" s="190"/>
      <c r="AG1525" s="190"/>
      <c r="AH1525" s="190"/>
      <c r="AI1525" s="190"/>
      <c r="AJ1525" s="190"/>
      <c r="AK1525" s="190"/>
      <c r="AL1525" s="190"/>
    </row>
    <row r="1526" spans="2:38" ht="12.75" customHeight="1">
      <c r="B1526" s="6"/>
      <c r="C1526" s="6"/>
      <c r="D1526" s="12"/>
      <c r="E1526" s="12"/>
      <c r="F1526" s="12"/>
      <c r="G1526" s="12"/>
      <c r="H1526" s="6"/>
      <c r="I1526" s="190"/>
      <c r="J1526" s="190"/>
      <c r="K1526" s="190"/>
      <c r="L1526" s="190"/>
      <c r="M1526" s="190"/>
      <c r="N1526" s="190"/>
      <c r="O1526" s="190"/>
      <c r="P1526" s="190"/>
      <c r="Q1526" s="190"/>
      <c r="R1526" s="190"/>
      <c r="S1526" s="190"/>
      <c r="T1526" s="190"/>
      <c r="U1526" s="190"/>
      <c r="V1526" s="190"/>
      <c r="W1526" s="190"/>
      <c r="X1526" s="190"/>
      <c r="Y1526" s="190"/>
      <c r="Z1526" s="190"/>
      <c r="AA1526" s="190"/>
      <c r="AB1526" s="190"/>
      <c r="AC1526" s="190"/>
      <c r="AD1526" s="190"/>
      <c r="AE1526" s="190"/>
      <c r="AF1526" s="190"/>
      <c r="AG1526" s="190"/>
      <c r="AH1526" s="190"/>
      <c r="AI1526" s="190"/>
      <c r="AJ1526" s="190"/>
      <c r="AK1526" s="190"/>
      <c r="AL1526" s="190"/>
    </row>
    <row r="1527" spans="2:38" ht="12.75" customHeight="1">
      <c r="B1527" s="6"/>
      <c r="C1527" s="6"/>
      <c r="D1527" s="12"/>
      <c r="E1527" s="12"/>
      <c r="F1527" s="12"/>
      <c r="G1527" s="12"/>
      <c r="H1527" s="6"/>
      <c r="I1527" s="190"/>
      <c r="J1527" s="190"/>
      <c r="K1527" s="190"/>
      <c r="L1527" s="190"/>
      <c r="M1527" s="190"/>
      <c r="N1527" s="190"/>
      <c r="O1527" s="190"/>
      <c r="P1527" s="190"/>
      <c r="Q1527" s="190"/>
      <c r="R1527" s="190"/>
      <c r="S1527" s="190"/>
      <c r="T1527" s="190"/>
      <c r="U1527" s="190"/>
      <c r="V1527" s="190"/>
      <c r="W1527" s="190"/>
      <c r="X1527" s="190"/>
      <c r="Y1527" s="190"/>
      <c r="Z1527" s="190"/>
      <c r="AA1527" s="190"/>
      <c r="AB1527" s="190"/>
      <c r="AC1527" s="190"/>
      <c r="AD1527" s="190"/>
      <c r="AE1527" s="190"/>
      <c r="AF1527" s="190"/>
      <c r="AG1527" s="190"/>
      <c r="AH1527" s="190"/>
      <c r="AI1527" s="190"/>
      <c r="AJ1527" s="190"/>
      <c r="AK1527" s="190"/>
      <c r="AL1527" s="190"/>
    </row>
    <row r="1528" spans="2:38" ht="12.75" customHeight="1">
      <c r="B1528" s="6"/>
      <c r="C1528" s="6"/>
      <c r="D1528" s="12"/>
      <c r="E1528" s="12"/>
      <c r="F1528" s="12"/>
      <c r="G1528" s="12"/>
      <c r="H1528" s="6"/>
      <c r="I1528" s="190"/>
      <c r="J1528" s="190"/>
      <c r="K1528" s="190"/>
      <c r="L1528" s="190"/>
      <c r="M1528" s="190"/>
      <c r="N1528" s="190"/>
      <c r="O1528" s="190"/>
      <c r="P1528" s="190"/>
      <c r="Q1528" s="190"/>
      <c r="R1528" s="190"/>
      <c r="S1528" s="190"/>
      <c r="T1528" s="190"/>
      <c r="U1528" s="190"/>
      <c r="V1528" s="190"/>
      <c r="W1528" s="190"/>
      <c r="X1528" s="190"/>
      <c r="Y1528" s="190"/>
      <c r="Z1528" s="190"/>
      <c r="AA1528" s="190"/>
      <c r="AB1528" s="190"/>
      <c r="AC1528" s="190"/>
      <c r="AD1528" s="190"/>
      <c r="AE1528" s="190"/>
      <c r="AF1528" s="190"/>
      <c r="AG1528" s="190"/>
      <c r="AH1528" s="190"/>
      <c r="AI1528" s="190"/>
      <c r="AJ1528" s="190"/>
      <c r="AK1528" s="190"/>
      <c r="AL1528" s="190"/>
    </row>
    <row r="1529" spans="2:38" ht="12.75" customHeight="1">
      <c r="B1529" s="6"/>
      <c r="C1529" s="6"/>
      <c r="D1529" s="12"/>
      <c r="E1529" s="12"/>
      <c r="F1529" s="12"/>
      <c r="G1529" s="12"/>
      <c r="H1529" s="6"/>
      <c r="I1529" s="190"/>
      <c r="J1529" s="190"/>
      <c r="K1529" s="190"/>
      <c r="L1529" s="190"/>
      <c r="M1529" s="190"/>
      <c r="N1529" s="190"/>
      <c r="O1529" s="190"/>
      <c r="P1529" s="190"/>
      <c r="Q1529" s="190"/>
      <c r="R1529" s="190"/>
      <c r="S1529" s="190"/>
      <c r="T1529" s="190"/>
      <c r="U1529" s="190"/>
      <c r="V1529" s="190"/>
      <c r="W1529" s="190"/>
      <c r="X1529" s="190"/>
      <c r="Y1529" s="190"/>
      <c r="Z1529" s="190"/>
      <c r="AA1529" s="190"/>
      <c r="AB1529" s="190"/>
      <c r="AC1529" s="190"/>
      <c r="AD1529" s="190"/>
      <c r="AE1529" s="190"/>
      <c r="AF1529" s="190"/>
      <c r="AG1529" s="190"/>
      <c r="AH1529" s="190"/>
      <c r="AI1529" s="190"/>
      <c r="AJ1529" s="190"/>
      <c r="AK1529" s="190"/>
      <c r="AL1529" s="190"/>
    </row>
    <row r="1530" spans="2:38" ht="12.75" customHeight="1">
      <c r="B1530" s="6"/>
      <c r="C1530" s="6"/>
      <c r="D1530" s="12"/>
      <c r="E1530" s="12"/>
      <c r="F1530" s="12"/>
      <c r="G1530" s="12"/>
      <c r="H1530" s="6"/>
      <c r="I1530" s="190"/>
      <c r="J1530" s="190"/>
      <c r="K1530" s="190"/>
      <c r="L1530" s="190"/>
      <c r="M1530" s="190"/>
      <c r="N1530" s="190"/>
      <c r="O1530" s="190"/>
      <c r="P1530" s="190"/>
      <c r="Q1530" s="190"/>
      <c r="R1530" s="190"/>
      <c r="S1530" s="190"/>
      <c r="T1530" s="190"/>
      <c r="U1530" s="190"/>
      <c r="V1530" s="190"/>
      <c r="W1530" s="190"/>
      <c r="X1530" s="190"/>
      <c r="Y1530" s="190"/>
      <c r="Z1530" s="190"/>
      <c r="AA1530" s="190"/>
      <c r="AB1530" s="190"/>
      <c r="AC1530" s="190"/>
      <c r="AD1530" s="190"/>
      <c r="AE1530" s="190"/>
      <c r="AF1530" s="190"/>
      <c r="AG1530" s="190"/>
      <c r="AH1530" s="190"/>
      <c r="AI1530" s="190"/>
      <c r="AJ1530" s="190"/>
      <c r="AK1530" s="190"/>
      <c r="AL1530" s="190"/>
    </row>
    <row r="1531" spans="2:38" ht="12.75" customHeight="1">
      <c r="B1531" s="6"/>
      <c r="C1531" s="6"/>
      <c r="D1531" s="12"/>
      <c r="E1531" s="12"/>
      <c r="F1531" s="12"/>
      <c r="G1531" s="12"/>
      <c r="H1531" s="6"/>
      <c r="I1531" s="190"/>
      <c r="J1531" s="190"/>
      <c r="K1531" s="190"/>
      <c r="L1531" s="190"/>
      <c r="M1531" s="190"/>
      <c r="N1531" s="190"/>
      <c r="O1531" s="190"/>
      <c r="P1531" s="190"/>
      <c r="Q1531" s="190"/>
      <c r="R1531" s="190"/>
      <c r="S1531" s="190"/>
      <c r="T1531" s="190"/>
      <c r="U1531" s="190"/>
      <c r="V1531" s="190"/>
      <c r="W1531" s="190"/>
      <c r="X1531" s="190"/>
      <c r="Y1531" s="190"/>
      <c r="Z1531" s="190"/>
      <c r="AA1531" s="190"/>
      <c r="AB1531" s="190"/>
      <c r="AC1531" s="190"/>
      <c r="AD1531" s="190"/>
      <c r="AE1531" s="190"/>
      <c r="AF1531" s="190"/>
      <c r="AG1531" s="190"/>
      <c r="AH1531" s="190"/>
      <c r="AI1531" s="190"/>
      <c r="AJ1531" s="190"/>
      <c r="AK1531" s="190"/>
      <c r="AL1531" s="190"/>
    </row>
    <row r="1532" spans="2:38" ht="12.75" customHeight="1">
      <c r="B1532" s="6"/>
      <c r="C1532" s="6"/>
      <c r="D1532" s="12"/>
      <c r="E1532" s="12"/>
      <c r="F1532" s="12"/>
      <c r="G1532" s="12"/>
      <c r="H1532" s="6"/>
      <c r="I1532" s="190"/>
      <c r="J1532" s="190"/>
      <c r="K1532" s="190"/>
      <c r="L1532" s="190"/>
      <c r="M1532" s="190"/>
      <c r="N1532" s="190"/>
      <c r="O1532" s="190"/>
      <c r="P1532" s="190"/>
      <c r="Q1532" s="190"/>
      <c r="R1532" s="190"/>
      <c r="S1532" s="190"/>
      <c r="T1532" s="190"/>
      <c r="U1532" s="190"/>
      <c r="V1532" s="190"/>
      <c r="W1532" s="190"/>
      <c r="X1532" s="190"/>
      <c r="Y1532" s="190"/>
      <c r="Z1532" s="190"/>
      <c r="AA1532" s="190"/>
      <c r="AB1532" s="190"/>
      <c r="AC1532" s="190"/>
      <c r="AD1532" s="190"/>
      <c r="AE1532" s="190"/>
      <c r="AF1532" s="190"/>
      <c r="AG1532" s="190"/>
      <c r="AH1532" s="190"/>
      <c r="AI1532" s="190"/>
      <c r="AJ1532" s="190"/>
      <c r="AK1532" s="190"/>
      <c r="AL1532" s="190"/>
    </row>
    <row r="1533" spans="2:38" ht="12.75" customHeight="1">
      <c r="B1533" s="6"/>
      <c r="C1533" s="6"/>
      <c r="D1533" s="12"/>
      <c r="E1533" s="12"/>
      <c r="F1533" s="12"/>
      <c r="G1533" s="12"/>
      <c r="H1533" s="6"/>
      <c r="I1533" s="190"/>
      <c r="J1533" s="190"/>
      <c r="K1533" s="190"/>
      <c r="L1533" s="190"/>
      <c r="M1533" s="190"/>
      <c r="N1533" s="190"/>
      <c r="O1533" s="190"/>
      <c r="P1533" s="190"/>
      <c r="Q1533" s="190"/>
      <c r="R1533" s="190"/>
      <c r="S1533" s="190"/>
      <c r="T1533" s="190"/>
      <c r="U1533" s="190"/>
      <c r="V1533" s="190"/>
      <c r="W1533" s="190"/>
      <c r="X1533" s="190"/>
      <c r="Y1533" s="190"/>
      <c r="Z1533" s="190"/>
      <c r="AA1533" s="190"/>
      <c r="AB1533" s="190"/>
      <c r="AC1533" s="190"/>
      <c r="AD1533" s="190"/>
      <c r="AE1533" s="190"/>
      <c r="AF1533" s="190"/>
      <c r="AG1533" s="190"/>
      <c r="AH1533" s="190"/>
      <c r="AI1533" s="190"/>
      <c r="AJ1533" s="190"/>
      <c r="AK1533" s="190"/>
      <c r="AL1533" s="190"/>
    </row>
    <row r="1534" spans="2:38" ht="12.75" customHeight="1">
      <c r="B1534" s="6"/>
      <c r="C1534" s="6"/>
      <c r="D1534" s="12"/>
      <c r="E1534" s="12"/>
      <c r="F1534" s="12"/>
      <c r="G1534" s="12"/>
      <c r="H1534" s="6"/>
      <c r="I1534" s="190"/>
      <c r="J1534" s="190"/>
      <c r="K1534" s="190"/>
      <c r="L1534" s="190"/>
      <c r="M1534" s="190"/>
      <c r="N1534" s="190"/>
      <c r="O1534" s="190"/>
      <c r="P1534" s="190"/>
      <c r="Q1534" s="190"/>
      <c r="R1534" s="190"/>
      <c r="S1534" s="190"/>
      <c r="T1534" s="190"/>
      <c r="U1534" s="190"/>
      <c r="V1534" s="190"/>
      <c r="W1534" s="190"/>
      <c r="X1534" s="190"/>
      <c r="Y1534" s="190"/>
      <c r="Z1534" s="190"/>
      <c r="AA1534" s="190"/>
      <c r="AB1534" s="190"/>
      <c r="AC1534" s="190"/>
      <c r="AD1534" s="190"/>
      <c r="AE1534" s="190"/>
      <c r="AF1534" s="190"/>
      <c r="AG1534" s="190"/>
      <c r="AH1534" s="190"/>
      <c r="AI1534" s="190"/>
      <c r="AJ1534" s="190"/>
      <c r="AK1534" s="190"/>
      <c r="AL1534" s="190"/>
    </row>
    <row r="1535" spans="2:38" ht="12.75" customHeight="1">
      <c r="B1535" s="6"/>
      <c r="C1535" s="6"/>
      <c r="D1535" s="12"/>
      <c r="E1535" s="12"/>
      <c r="F1535" s="12"/>
      <c r="G1535" s="12"/>
      <c r="H1535" s="6"/>
      <c r="I1535" s="190"/>
      <c r="J1535" s="190"/>
      <c r="K1535" s="190"/>
      <c r="L1535" s="190"/>
      <c r="M1535" s="190"/>
      <c r="N1535" s="190"/>
      <c r="O1535" s="190"/>
      <c r="P1535" s="190"/>
      <c r="Q1535" s="190"/>
      <c r="R1535" s="190"/>
      <c r="S1535" s="190"/>
      <c r="T1535" s="190"/>
      <c r="U1535" s="190"/>
      <c r="V1535" s="190"/>
      <c r="W1535" s="190"/>
      <c r="X1535" s="190"/>
      <c r="Y1535" s="190"/>
      <c r="Z1535" s="190"/>
      <c r="AA1535" s="190"/>
      <c r="AB1535" s="190"/>
      <c r="AC1535" s="190"/>
      <c r="AD1535" s="190"/>
      <c r="AE1535" s="190"/>
      <c r="AF1535" s="190"/>
      <c r="AG1535" s="190"/>
      <c r="AH1535" s="190"/>
      <c r="AI1535" s="190"/>
      <c r="AJ1535" s="190"/>
      <c r="AK1535" s="190"/>
      <c r="AL1535" s="190"/>
    </row>
    <row r="1536" spans="2:38" ht="12.75" customHeight="1">
      <c r="B1536" s="6"/>
      <c r="C1536" s="6"/>
      <c r="D1536" s="12"/>
      <c r="E1536" s="12"/>
      <c r="F1536" s="12"/>
      <c r="G1536" s="12"/>
      <c r="H1536" s="6"/>
      <c r="I1536" s="190"/>
      <c r="J1536" s="190"/>
      <c r="K1536" s="190"/>
      <c r="L1536" s="190"/>
      <c r="M1536" s="190"/>
      <c r="N1536" s="190"/>
      <c r="O1536" s="190"/>
      <c r="P1536" s="190"/>
      <c r="Q1536" s="190"/>
      <c r="R1536" s="190"/>
      <c r="S1536" s="190"/>
      <c r="T1536" s="190"/>
      <c r="U1536" s="190"/>
      <c r="V1536" s="190"/>
      <c r="W1536" s="190"/>
      <c r="X1536" s="190"/>
      <c r="Y1536" s="190"/>
      <c r="Z1536" s="190"/>
      <c r="AA1536" s="190"/>
      <c r="AB1536" s="190"/>
      <c r="AC1536" s="190"/>
      <c r="AD1536" s="190"/>
      <c r="AE1536" s="190"/>
      <c r="AF1536" s="190"/>
      <c r="AG1536" s="190"/>
      <c r="AH1536" s="190"/>
      <c r="AI1536" s="190"/>
      <c r="AJ1536" s="190"/>
      <c r="AK1536" s="190"/>
      <c r="AL1536" s="190"/>
    </row>
    <row r="1537" spans="2:38" ht="12.75" customHeight="1">
      <c r="B1537" s="6"/>
      <c r="C1537" s="6"/>
      <c r="D1537" s="12"/>
      <c r="E1537" s="12"/>
      <c r="F1537" s="12"/>
      <c r="G1537" s="12"/>
      <c r="H1537" s="6"/>
      <c r="I1537" s="190"/>
      <c r="J1537" s="190"/>
      <c r="K1537" s="190"/>
      <c r="L1537" s="190"/>
      <c r="M1537" s="190"/>
      <c r="N1537" s="190"/>
      <c r="O1537" s="190"/>
      <c r="P1537" s="190"/>
      <c r="Q1537" s="190"/>
      <c r="R1537" s="190"/>
      <c r="S1537" s="190"/>
      <c r="T1537" s="190"/>
      <c r="U1537" s="190"/>
      <c r="V1537" s="190"/>
      <c r="W1537" s="190"/>
      <c r="X1537" s="190"/>
      <c r="Y1537" s="190"/>
      <c r="Z1537" s="190"/>
      <c r="AA1537" s="190"/>
      <c r="AB1537" s="190"/>
      <c r="AC1537" s="190"/>
      <c r="AD1537" s="190"/>
      <c r="AE1537" s="190"/>
      <c r="AF1537" s="190"/>
      <c r="AG1537" s="190"/>
      <c r="AH1537" s="190"/>
      <c r="AI1537" s="190"/>
      <c r="AJ1537" s="190"/>
      <c r="AK1537" s="190"/>
      <c r="AL1537" s="190"/>
    </row>
    <row r="1538" spans="2:38" ht="12.75" customHeight="1">
      <c r="B1538" s="6"/>
      <c r="C1538" s="6"/>
      <c r="D1538" s="12"/>
      <c r="E1538" s="12"/>
      <c r="F1538" s="12"/>
      <c r="G1538" s="12"/>
      <c r="H1538" s="6"/>
      <c r="I1538" s="190"/>
      <c r="J1538" s="190"/>
      <c r="K1538" s="190"/>
      <c r="L1538" s="190"/>
      <c r="M1538" s="190"/>
      <c r="N1538" s="190"/>
      <c r="O1538" s="190"/>
      <c r="P1538" s="190"/>
      <c r="Q1538" s="190"/>
      <c r="R1538" s="190"/>
      <c r="S1538" s="190"/>
      <c r="T1538" s="190"/>
      <c r="U1538" s="190"/>
      <c r="V1538" s="190"/>
      <c r="W1538" s="190"/>
      <c r="X1538" s="190"/>
      <c r="Y1538" s="190"/>
      <c r="Z1538" s="190"/>
      <c r="AA1538" s="190"/>
      <c r="AB1538" s="190"/>
      <c r="AC1538" s="190"/>
      <c r="AD1538" s="190"/>
      <c r="AE1538" s="190"/>
      <c r="AF1538" s="190"/>
      <c r="AG1538" s="190"/>
      <c r="AH1538" s="190"/>
      <c r="AI1538" s="190"/>
      <c r="AJ1538" s="190"/>
      <c r="AK1538" s="190"/>
      <c r="AL1538" s="190"/>
    </row>
    <row r="1539" spans="2:38" ht="12.75" customHeight="1">
      <c r="B1539" s="6"/>
      <c r="C1539" s="6"/>
      <c r="D1539" s="12"/>
      <c r="E1539" s="12"/>
      <c r="F1539" s="12"/>
      <c r="G1539" s="12"/>
      <c r="H1539" s="6"/>
      <c r="I1539" s="190"/>
      <c r="J1539" s="190"/>
      <c r="K1539" s="190"/>
      <c r="L1539" s="190"/>
      <c r="M1539" s="190"/>
      <c r="N1539" s="190"/>
      <c r="O1539" s="190"/>
      <c r="P1539" s="190"/>
      <c r="Q1539" s="190"/>
      <c r="R1539" s="190"/>
      <c r="S1539" s="190"/>
      <c r="T1539" s="190"/>
      <c r="U1539" s="190"/>
      <c r="V1539" s="190"/>
      <c r="W1539" s="190"/>
      <c r="X1539" s="190"/>
      <c r="Y1539" s="190"/>
      <c r="Z1539" s="190"/>
      <c r="AA1539" s="190"/>
      <c r="AB1539" s="190"/>
      <c r="AC1539" s="190"/>
      <c r="AD1539" s="190"/>
      <c r="AE1539" s="190"/>
      <c r="AF1539" s="190"/>
      <c r="AG1539" s="190"/>
      <c r="AH1539" s="190"/>
      <c r="AI1539" s="190"/>
      <c r="AJ1539" s="190"/>
      <c r="AK1539" s="190"/>
      <c r="AL1539" s="190"/>
    </row>
    <row r="1540" spans="2:38" ht="12.75" customHeight="1">
      <c r="B1540" s="6"/>
      <c r="C1540" s="6"/>
      <c r="D1540" s="12"/>
      <c r="E1540" s="12"/>
      <c r="F1540" s="12"/>
      <c r="G1540" s="12"/>
      <c r="H1540" s="6"/>
      <c r="I1540" s="190"/>
      <c r="J1540" s="190"/>
      <c r="K1540" s="190"/>
      <c r="L1540" s="190"/>
      <c r="M1540" s="190"/>
      <c r="N1540" s="190"/>
      <c r="O1540" s="190"/>
      <c r="P1540" s="190"/>
      <c r="Q1540" s="190"/>
      <c r="R1540" s="190"/>
      <c r="S1540" s="190"/>
      <c r="T1540" s="190"/>
      <c r="U1540" s="190"/>
      <c r="V1540" s="190"/>
      <c r="W1540" s="190"/>
      <c r="X1540" s="190"/>
      <c r="Y1540" s="190"/>
      <c r="Z1540" s="190"/>
      <c r="AA1540" s="190"/>
      <c r="AB1540" s="190"/>
      <c r="AC1540" s="190"/>
      <c r="AD1540" s="190"/>
      <c r="AE1540" s="190"/>
      <c r="AF1540" s="190"/>
      <c r="AG1540" s="190"/>
      <c r="AH1540" s="190"/>
      <c r="AI1540" s="190"/>
      <c r="AJ1540" s="190"/>
      <c r="AK1540" s="190"/>
      <c r="AL1540" s="190"/>
    </row>
    <row r="1541" spans="2:38" ht="12.75" customHeight="1">
      <c r="B1541" s="6"/>
      <c r="C1541" s="6"/>
      <c r="D1541" s="12"/>
      <c r="E1541" s="12"/>
      <c r="F1541" s="12"/>
      <c r="G1541" s="12"/>
      <c r="H1541" s="6"/>
      <c r="I1541" s="190"/>
      <c r="J1541" s="190"/>
      <c r="K1541" s="190"/>
      <c r="L1541" s="190"/>
      <c r="M1541" s="190"/>
      <c r="N1541" s="190"/>
      <c r="O1541" s="190"/>
      <c r="P1541" s="190"/>
      <c r="Q1541" s="190"/>
      <c r="R1541" s="190"/>
      <c r="S1541" s="190"/>
      <c r="T1541" s="190"/>
      <c r="U1541" s="190"/>
      <c r="V1541" s="190"/>
      <c r="W1541" s="190"/>
      <c r="X1541" s="190"/>
      <c r="Y1541" s="190"/>
      <c r="Z1541" s="190"/>
      <c r="AA1541" s="190"/>
      <c r="AB1541" s="190"/>
      <c r="AC1541" s="190"/>
      <c r="AD1541" s="190"/>
      <c r="AE1541" s="190"/>
      <c r="AF1541" s="190"/>
      <c r="AG1541" s="190"/>
      <c r="AH1541" s="190"/>
      <c r="AI1541" s="190"/>
      <c r="AJ1541" s="190"/>
      <c r="AK1541" s="190"/>
      <c r="AL1541" s="190"/>
    </row>
    <row r="1542" spans="2:38" ht="12.75" customHeight="1">
      <c r="B1542" s="6"/>
      <c r="C1542" s="6"/>
      <c r="D1542" s="12"/>
      <c r="E1542" s="12"/>
      <c r="F1542" s="12"/>
      <c r="G1542" s="12"/>
      <c r="H1542" s="6"/>
      <c r="I1542" s="190"/>
      <c r="J1542" s="190"/>
      <c r="K1542" s="190"/>
      <c r="L1542" s="190"/>
      <c r="M1542" s="190"/>
      <c r="N1542" s="190"/>
      <c r="O1542" s="190"/>
      <c r="P1542" s="190"/>
      <c r="Q1542" s="190"/>
      <c r="R1542" s="190"/>
      <c r="S1542" s="190"/>
      <c r="T1542" s="190"/>
      <c r="U1542" s="190"/>
      <c r="V1542" s="190"/>
      <c r="W1542" s="190"/>
      <c r="X1542" s="190"/>
      <c r="Y1542" s="190"/>
      <c r="Z1542" s="190"/>
      <c r="AA1542" s="190"/>
      <c r="AB1542" s="190"/>
      <c r="AC1542" s="190"/>
      <c r="AD1542" s="190"/>
      <c r="AE1542" s="190"/>
      <c r="AF1542" s="190"/>
      <c r="AG1542" s="190"/>
      <c r="AH1542" s="190"/>
      <c r="AI1542" s="190"/>
      <c r="AJ1542" s="190"/>
      <c r="AK1542" s="190"/>
      <c r="AL1542" s="190"/>
    </row>
    <row r="1543" spans="2:38" ht="12.75" customHeight="1">
      <c r="B1543" s="6"/>
      <c r="C1543" s="6"/>
      <c r="D1543" s="12"/>
      <c r="E1543" s="12"/>
      <c r="F1543" s="12"/>
      <c r="G1543" s="12"/>
      <c r="H1543" s="6"/>
      <c r="I1543" s="190"/>
      <c r="J1543" s="190"/>
      <c r="K1543" s="190"/>
      <c r="L1543" s="190"/>
      <c r="M1543" s="190"/>
      <c r="N1543" s="190"/>
      <c r="O1543" s="190"/>
      <c r="P1543" s="190"/>
      <c r="Q1543" s="190"/>
      <c r="R1543" s="190"/>
      <c r="S1543" s="190"/>
      <c r="T1543" s="190"/>
      <c r="U1543" s="190"/>
      <c r="V1543" s="190"/>
      <c r="W1543" s="190"/>
      <c r="X1543" s="190"/>
      <c r="Y1543" s="190"/>
      <c r="Z1543" s="190"/>
      <c r="AA1543" s="190"/>
      <c r="AB1543" s="190"/>
      <c r="AC1543" s="190"/>
      <c r="AD1543" s="190"/>
      <c r="AE1543" s="190"/>
      <c r="AF1543" s="190"/>
      <c r="AG1543" s="190"/>
      <c r="AH1543" s="190"/>
      <c r="AI1543" s="190"/>
      <c r="AJ1543" s="190"/>
      <c r="AK1543" s="190"/>
      <c r="AL1543" s="190"/>
    </row>
    <row r="1544" spans="2:38" ht="12.75" customHeight="1">
      <c r="B1544" s="6"/>
      <c r="C1544" s="6"/>
      <c r="D1544" s="12"/>
      <c r="E1544" s="12"/>
      <c r="F1544" s="12"/>
      <c r="G1544" s="12"/>
      <c r="H1544" s="6"/>
      <c r="I1544" s="190"/>
      <c r="J1544" s="190"/>
      <c r="K1544" s="190"/>
      <c r="L1544" s="190"/>
      <c r="M1544" s="190"/>
      <c r="N1544" s="190"/>
      <c r="O1544" s="190"/>
      <c r="P1544" s="190"/>
      <c r="Q1544" s="190"/>
      <c r="R1544" s="190"/>
      <c r="S1544" s="190"/>
      <c r="T1544" s="190"/>
      <c r="U1544" s="190"/>
      <c r="V1544" s="190"/>
      <c r="W1544" s="190"/>
      <c r="X1544" s="190"/>
      <c r="Y1544" s="190"/>
      <c r="Z1544" s="190"/>
      <c r="AA1544" s="190"/>
      <c r="AB1544" s="190"/>
      <c r="AC1544" s="190"/>
      <c r="AD1544" s="190"/>
      <c r="AE1544" s="190"/>
      <c r="AF1544" s="190"/>
      <c r="AG1544" s="190"/>
      <c r="AH1544" s="190"/>
      <c r="AI1544" s="190"/>
      <c r="AJ1544" s="190"/>
      <c r="AK1544" s="190"/>
      <c r="AL1544" s="190"/>
    </row>
    <row r="1545" spans="2:38" ht="12.75" customHeight="1">
      <c r="B1545" s="6"/>
      <c r="C1545" s="6"/>
      <c r="D1545" s="12"/>
      <c r="E1545" s="12"/>
      <c r="F1545" s="12"/>
      <c r="G1545" s="12"/>
      <c r="H1545" s="6"/>
      <c r="I1545" s="190"/>
      <c r="J1545" s="190"/>
      <c r="K1545" s="190"/>
      <c r="L1545" s="190"/>
      <c r="M1545" s="190"/>
      <c r="N1545" s="190"/>
      <c r="O1545" s="190"/>
      <c r="P1545" s="190"/>
      <c r="Q1545" s="190"/>
      <c r="R1545" s="190"/>
      <c r="S1545" s="190"/>
      <c r="T1545" s="190"/>
      <c r="U1545" s="190"/>
      <c r="V1545" s="190"/>
      <c r="W1545" s="190"/>
      <c r="X1545" s="190"/>
      <c r="Y1545" s="190"/>
      <c r="Z1545" s="190"/>
      <c r="AA1545" s="190"/>
      <c r="AB1545" s="190"/>
      <c r="AC1545" s="190"/>
      <c r="AD1545" s="190"/>
      <c r="AE1545" s="190"/>
      <c r="AF1545" s="190"/>
      <c r="AG1545" s="190"/>
      <c r="AH1545" s="190"/>
      <c r="AI1545" s="190"/>
      <c r="AJ1545" s="190"/>
      <c r="AK1545" s="190"/>
      <c r="AL1545" s="190"/>
    </row>
    <row r="1546" spans="2:38" ht="12.75" customHeight="1">
      <c r="B1546" s="6"/>
      <c r="C1546" s="6"/>
      <c r="D1546" s="12"/>
      <c r="E1546" s="12"/>
      <c r="F1546" s="12"/>
      <c r="G1546" s="12"/>
      <c r="H1546" s="6"/>
      <c r="I1546" s="190"/>
      <c r="J1546" s="190"/>
      <c r="K1546" s="190"/>
      <c r="L1546" s="190"/>
      <c r="M1546" s="190"/>
      <c r="N1546" s="190"/>
      <c r="O1546" s="190"/>
      <c r="P1546" s="190"/>
      <c r="Q1546" s="190"/>
      <c r="R1546" s="190"/>
      <c r="S1546" s="190"/>
      <c r="T1546" s="190"/>
      <c r="U1546" s="190"/>
      <c r="V1546" s="190"/>
      <c r="W1546" s="190"/>
      <c r="X1546" s="190"/>
      <c r="Y1546" s="190"/>
      <c r="Z1546" s="190"/>
      <c r="AA1546" s="190"/>
      <c r="AB1546" s="190"/>
      <c r="AC1546" s="190"/>
      <c r="AD1546" s="190"/>
      <c r="AE1546" s="190"/>
      <c r="AF1546" s="190"/>
      <c r="AG1546" s="190"/>
      <c r="AH1546" s="190"/>
      <c r="AI1546" s="190"/>
      <c r="AJ1546" s="190"/>
      <c r="AK1546" s="190"/>
      <c r="AL1546" s="190"/>
    </row>
    <row r="1547" spans="2:38" ht="12.75" customHeight="1">
      <c r="B1547" s="6"/>
      <c r="C1547" s="6"/>
      <c r="D1547" s="12"/>
      <c r="E1547" s="12"/>
      <c r="F1547" s="12"/>
      <c r="G1547" s="12"/>
      <c r="H1547" s="6"/>
      <c r="I1547" s="190"/>
      <c r="J1547" s="190"/>
      <c r="K1547" s="190"/>
      <c r="L1547" s="190"/>
      <c r="M1547" s="190"/>
      <c r="N1547" s="190"/>
      <c r="O1547" s="190"/>
      <c r="P1547" s="190"/>
      <c r="Q1547" s="190"/>
      <c r="R1547" s="190"/>
      <c r="S1547" s="190"/>
      <c r="T1547" s="190"/>
      <c r="U1547" s="190"/>
      <c r="V1547" s="190"/>
      <c r="W1547" s="190"/>
      <c r="X1547" s="190"/>
      <c r="Y1547" s="190"/>
      <c r="Z1547" s="190"/>
      <c r="AA1547" s="190"/>
      <c r="AB1547" s="190"/>
      <c r="AC1547" s="190"/>
      <c r="AD1547" s="190"/>
      <c r="AE1547" s="190"/>
      <c r="AF1547" s="190"/>
      <c r="AG1547" s="190"/>
      <c r="AH1547" s="190"/>
      <c r="AI1547" s="190"/>
      <c r="AJ1547" s="190"/>
      <c r="AK1547" s="190"/>
      <c r="AL1547" s="190"/>
    </row>
    <row r="1548" spans="2:38" ht="12.75" customHeight="1">
      <c r="B1548" s="6"/>
      <c r="C1548" s="6"/>
      <c r="D1548" s="12"/>
      <c r="E1548" s="12"/>
      <c r="F1548" s="12"/>
      <c r="G1548" s="12"/>
      <c r="H1548" s="6"/>
      <c r="I1548" s="190"/>
      <c r="J1548" s="190"/>
      <c r="K1548" s="190"/>
      <c r="L1548" s="190"/>
      <c r="M1548" s="190"/>
      <c r="N1548" s="190"/>
      <c r="O1548" s="190"/>
      <c r="P1548" s="190"/>
      <c r="Q1548" s="190"/>
      <c r="R1548" s="190"/>
      <c r="S1548" s="190"/>
      <c r="T1548" s="190"/>
      <c r="U1548" s="190"/>
      <c r="V1548" s="190"/>
      <c r="W1548" s="190"/>
      <c r="X1548" s="190"/>
      <c r="Y1548" s="190"/>
      <c r="Z1548" s="190"/>
      <c r="AA1548" s="190"/>
      <c r="AB1548" s="190"/>
      <c r="AC1548" s="190"/>
      <c r="AD1548" s="190"/>
      <c r="AE1548" s="190"/>
      <c r="AF1548" s="190"/>
      <c r="AG1548" s="190"/>
      <c r="AH1548" s="190"/>
      <c r="AI1548" s="190"/>
      <c r="AJ1548" s="190"/>
      <c r="AK1548" s="190"/>
      <c r="AL1548" s="190"/>
    </row>
    <row r="1549" spans="2:38" ht="12.75" customHeight="1">
      <c r="B1549" s="6"/>
      <c r="C1549" s="6"/>
      <c r="D1549" s="12"/>
      <c r="E1549" s="12"/>
      <c r="F1549" s="12"/>
      <c r="G1549" s="12"/>
      <c r="H1549" s="6"/>
      <c r="I1549" s="190"/>
      <c r="J1549" s="190"/>
      <c r="K1549" s="190"/>
      <c r="L1549" s="190"/>
      <c r="M1549" s="190"/>
      <c r="N1549" s="190"/>
      <c r="O1549" s="190"/>
      <c r="P1549" s="190"/>
      <c r="Q1549" s="190"/>
      <c r="R1549" s="190"/>
      <c r="S1549" s="190"/>
      <c r="T1549" s="190"/>
      <c r="U1549" s="190"/>
      <c r="V1549" s="190"/>
      <c r="W1549" s="190"/>
      <c r="X1549" s="190"/>
      <c r="Y1549" s="190"/>
      <c r="Z1549" s="190"/>
      <c r="AA1549" s="190"/>
      <c r="AB1549" s="190"/>
      <c r="AC1549" s="190"/>
      <c r="AD1549" s="190"/>
      <c r="AE1549" s="190"/>
      <c r="AF1549" s="190"/>
      <c r="AG1549" s="190"/>
      <c r="AH1549" s="190"/>
      <c r="AI1549" s="190"/>
      <c r="AJ1549" s="190"/>
      <c r="AK1549" s="190"/>
      <c r="AL1549" s="190"/>
    </row>
    <row r="1550" spans="2:38" ht="12.75" customHeight="1">
      <c r="B1550" s="6"/>
      <c r="C1550" s="6"/>
      <c r="D1550" s="12"/>
      <c r="E1550" s="12"/>
      <c r="F1550" s="12"/>
      <c r="G1550" s="12"/>
      <c r="H1550" s="6"/>
      <c r="I1550" s="190"/>
      <c r="J1550" s="190"/>
      <c r="K1550" s="190"/>
      <c r="L1550" s="190"/>
      <c r="M1550" s="190"/>
      <c r="N1550" s="190"/>
      <c r="O1550" s="190"/>
      <c r="P1550" s="190"/>
      <c r="Q1550" s="190"/>
      <c r="R1550" s="190"/>
      <c r="S1550" s="190"/>
      <c r="T1550" s="190"/>
      <c r="U1550" s="190"/>
      <c r="V1550" s="190"/>
      <c r="W1550" s="190"/>
      <c r="X1550" s="190"/>
      <c r="Y1550" s="190"/>
      <c r="Z1550" s="190"/>
      <c r="AA1550" s="190"/>
      <c r="AB1550" s="190"/>
      <c r="AC1550" s="190"/>
      <c r="AD1550" s="190"/>
      <c r="AE1550" s="190"/>
      <c r="AF1550" s="190"/>
      <c r="AG1550" s="190"/>
      <c r="AH1550" s="190"/>
      <c r="AI1550" s="190"/>
      <c r="AJ1550" s="190"/>
      <c r="AK1550" s="190"/>
      <c r="AL1550" s="190"/>
    </row>
    <row r="1551" spans="2:38" ht="12.75" customHeight="1">
      <c r="B1551" s="6"/>
      <c r="C1551" s="6"/>
      <c r="D1551" s="12"/>
      <c r="E1551" s="12"/>
      <c r="F1551" s="12"/>
      <c r="G1551" s="12"/>
      <c r="H1551" s="6"/>
      <c r="I1551" s="190"/>
      <c r="J1551" s="190"/>
      <c r="K1551" s="190"/>
      <c r="L1551" s="190"/>
      <c r="M1551" s="190"/>
      <c r="N1551" s="190"/>
      <c r="O1551" s="190"/>
      <c r="P1551" s="190"/>
      <c r="Q1551" s="190"/>
      <c r="R1551" s="190"/>
      <c r="S1551" s="190"/>
      <c r="T1551" s="190"/>
      <c r="U1551" s="190"/>
      <c r="V1551" s="190"/>
      <c r="W1551" s="190"/>
      <c r="X1551" s="190"/>
      <c r="Y1551" s="190"/>
      <c r="Z1551" s="190"/>
      <c r="AA1551" s="190"/>
      <c r="AB1551" s="190"/>
      <c r="AC1551" s="190"/>
      <c r="AD1551" s="190"/>
      <c r="AE1551" s="190"/>
      <c r="AF1551" s="190"/>
      <c r="AG1551" s="190"/>
      <c r="AH1551" s="190"/>
      <c r="AI1551" s="190"/>
      <c r="AJ1551" s="190"/>
      <c r="AK1551" s="190"/>
      <c r="AL1551" s="190"/>
    </row>
    <row r="1552" spans="2:38" ht="12.75" customHeight="1">
      <c r="B1552" s="6"/>
      <c r="C1552" s="6"/>
      <c r="D1552" s="12"/>
      <c r="E1552" s="12"/>
      <c r="F1552" s="12"/>
      <c r="G1552" s="12"/>
      <c r="H1552" s="6"/>
      <c r="I1552" s="190"/>
      <c r="J1552" s="190"/>
      <c r="K1552" s="190"/>
      <c r="L1552" s="190"/>
      <c r="M1552" s="190"/>
      <c r="N1552" s="190"/>
      <c r="O1552" s="190"/>
      <c r="P1552" s="190"/>
      <c r="Q1552" s="190"/>
      <c r="R1552" s="190"/>
      <c r="S1552" s="190"/>
      <c r="T1552" s="190"/>
      <c r="U1552" s="190"/>
      <c r="V1552" s="190"/>
      <c r="W1552" s="190"/>
      <c r="X1552" s="190"/>
      <c r="Y1552" s="190"/>
      <c r="Z1552" s="190"/>
      <c r="AA1552" s="190"/>
      <c r="AB1552" s="190"/>
      <c r="AC1552" s="190"/>
      <c r="AD1552" s="190"/>
      <c r="AE1552" s="190"/>
      <c r="AF1552" s="190"/>
      <c r="AG1552" s="190"/>
      <c r="AH1552" s="190"/>
      <c r="AI1552" s="190"/>
      <c r="AJ1552" s="190"/>
      <c r="AK1552" s="190"/>
      <c r="AL1552" s="190"/>
    </row>
    <row r="1553" spans="2:38" ht="12.75" customHeight="1">
      <c r="B1553" s="6"/>
      <c r="C1553" s="6"/>
      <c r="D1553" s="12"/>
      <c r="E1553" s="12"/>
      <c r="F1553" s="12"/>
      <c r="G1553" s="12"/>
      <c r="H1553" s="6"/>
      <c r="I1553" s="190"/>
      <c r="J1553" s="190"/>
      <c r="K1553" s="190"/>
      <c r="L1553" s="190"/>
      <c r="M1553" s="190"/>
      <c r="N1553" s="190"/>
      <c r="O1553" s="190"/>
      <c r="P1553" s="190"/>
      <c r="Q1553" s="190"/>
      <c r="R1553" s="190"/>
      <c r="S1553" s="190"/>
      <c r="T1553" s="190"/>
      <c r="U1553" s="190"/>
      <c r="V1553" s="190"/>
      <c r="W1553" s="190"/>
      <c r="X1553" s="190"/>
      <c r="Y1553" s="190"/>
      <c r="Z1553" s="190"/>
      <c r="AA1553" s="190"/>
      <c r="AB1553" s="190"/>
      <c r="AC1553" s="190"/>
      <c r="AD1553" s="190"/>
      <c r="AE1553" s="190"/>
      <c r="AF1553" s="190"/>
      <c r="AG1553" s="190"/>
      <c r="AH1553" s="190"/>
      <c r="AI1553" s="190"/>
      <c r="AJ1553" s="190"/>
      <c r="AK1553" s="190"/>
      <c r="AL1553" s="190"/>
    </row>
    <row r="1554" spans="2:38" ht="12.75" customHeight="1">
      <c r="B1554" s="6"/>
      <c r="C1554" s="6"/>
      <c r="D1554" s="12"/>
      <c r="E1554" s="12"/>
      <c r="F1554" s="12"/>
      <c r="G1554" s="12"/>
      <c r="H1554" s="6"/>
      <c r="I1554" s="190"/>
      <c r="J1554" s="190"/>
      <c r="K1554" s="190"/>
      <c r="L1554" s="190"/>
      <c r="M1554" s="190"/>
      <c r="N1554" s="190"/>
      <c r="O1554" s="190"/>
      <c r="P1554" s="190"/>
      <c r="Q1554" s="190"/>
      <c r="R1554" s="190"/>
      <c r="S1554" s="190"/>
      <c r="T1554" s="190"/>
      <c r="U1554" s="190"/>
      <c r="V1554" s="190"/>
      <c r="W1554" s="190"/>
      <c r="X1554" s="190"/>
      <c r="Y1554" s="190"/>
      <c r="Z1554" s="190"/>
      <c r="AA1554" s="190"/>
      <c r="AB1554" s="190"/>
      <c r="AC1554" s="190"/>
      <c r="AD1554" s="190"/>
      <c r="AE1554" s="190"/>
      <c r="AF1554" s="190"/>
      <c r="AG1554" s="190"/>
      <c r="AH1554" s="190"/>
      <c r="AI1554" s="190"/>
      <c r="AJ1554" s="190"/>
      <c r="AK1554" s="190"/>
      <c r="AL1554" s="190"/>
    </row>
    <row r="1555" spans="2:38" ht="12.75" customHeight="1">
      <c r="B1555" s="6"/>
      <c r="C1555" s="6"/>
      <c r="D1555" s="12"/>
      <c r="E1555" s="12"/>
      <c r="F1555" s="12"/>
      <c r="G1555" s="12"/>
      <c r="H1555" s="6"/>
      <c r="I1555" s="190"/>
      <c r="J1555" s="190"/>
      <c r="K1555" s="190"/>
      <c r="L1555" s="190"/>
      <c r="M1555" s="190"/>
      <c r="N1555" s="190"/>
      <c r="O1555" s="190"/>
      <c r="P1555" s="190"/>
      <c r="Q1555" s="190"/>
      <c r="R1555" s="190"/>
      <c r="S1555" s="190"/>
      <c r="T1555" s="190"/>
      <c r="U1555" s="190"/>
      <c r="V1555" s="190"/>
      <c r="W1555" s="190"/>
      <c r="X1555" s="190"/>
      <c r="Y1555" s="190"/>
      <c r="Z1555" s="190"/>
      <c r="AA1555" s="190"/>
      <c r="AB1555" s="190"/>
      <c r="AC1555" s="190"/>
      <c r="AD1555" s="190"/>
      <c r="AE1555" s="190"/>
      <c r="AF1555" s="190"/>
      <c r="AG1555" s="190"/>
      <c r="AH1555" s="190"/>
      <c r="AI1555" s="190"/>
      <c r="AJ1555" s="190"/>
      <c r="AK1555" s="190"/>
      <c r="AL1555" s="190"/>
    </row>
    <row r="1556" spans="2:38" ht="12.75" customHeight="1">
      <c r="B1556" s="6"/>
      <c r="C1556" s="6"/>
      <c r="D1556" s="12"/>
      <c r="E1556" s="12"/>
      <c r="F1556" s="12"/>
      <c r="G1556" s="12"/>
      <c r="H1556" s="6"/>
      <c r="I1556" s="190"/>
      <c r="J1556" s="190"/>
      <c r="K1556" s="190"/>
      <c r="L1556" s="190"/>
      <c r="M1556" s="190"/>
      <c r="N1556" s="190"/>
      <c r="O1556" s="190"/>
      <c r="P1556" s="190"/>
      <c r="Q1556" s="190"/>
      <c r="R1556" s="190"/>
      <c r="S1556" s="190"/>
      <c r="T1556" s="190"/>
      <c r="U1556" s="190"/>
      <c r="V1556" s="190"/>
      <c r="W1556" s="190"/>
      <c r="X1556" s="190"/>
      <c r="Y1556" s="190"/>
      <c r="Z1556" s="190"/>
      <c r="AA1556" s="190"/>
      <c r="AB1556" s="190"/>
      <c r="AC1556" s="190"/>
      <c r="AD1556" s="190"/>
      <c r="AE1556" s="190"/>
      <c r="AF1556" s="190"/>
      <c r="AG1556" s="190"/>
      <c r="AH1556" s="190"/>
      <c r="AI1556" s="190"/>
      <c r="AJ1556" s="190"/>
      <c r="AK1556" s="190"/>
      <c r="AL1556" s="190"/>
    </row>
    <row r="1557" spans="2:38" ht="12.75" customHeight="1">
      <c r="B1557" s="6"/>
      <c r="C1557" s="6"/>
      <c r="D1557" s="12"/>
      <c r="E1557" s="12"/>
      <c r="F1557" s="12"/>
      <c r="G1557" s="12"/>
      <c r="H1557" s="6"/>
      <c r="I1557" s="190"/>
      <c r="J1557" s="190"/>
      <c r="K1557" s="190"/>
      <c r="L1557" s="190"/>
      <c r="M1557" s="190"/>
      <c r="N1557" s="190"/>
      <c r="O1557" s="190"/>
      <c r="P1557" s="190"/>
      <c r="Q1557" s="190"/>
      <c r="R1557" s="190"/>
      <c r="S1557" s="190"/>
      <c r="T1557" s="190"/>
      <c r="U1557" s="190"/>
      <c r="V1557" s="190"/>
      <c r="W1557" s="190"/>
      <c r="X1557" s="190"/>
      <c r="Y1557" s="190"/>
      <c r="Z1557" s="190"/>
      <c r="AA1557" s="190"/>
      <c r="AB1557" s="190"/>
      <c r="AC1557" s="190"/>
      <c r="AD1557" s="190"/>
      <c r="AE1557" s="190"/>
      <c r="AF1557" s="190"/>
      <c r="AG1557" s="190"/>
      <c r="AH1557" s="190"/>
      <c r="AI1557" s="190"/>
      <c r="AJ1557" s="190"/>
      <c r="AK1557" s="190"/>
      <c r="AL1557" s="190"/>
    </row>
    <row r="1558" spans="2:38" ht="12.75" customHeight="1">
      <c r="B1558" s="6"/>
      <c r="C1558" s="6"/>
      <c r="D1558" s="12"/>
      <c r="E1558" s="12"/>
      <c r="F1558" s="12"/>
      <c r="G1558" s="12"/>
      <c r="H1558" s="6"/>
      <c r="I1558" s="190"/>
      <c r="J1558" s="190"/>
      <c r="K1558" s="190"/>
      <c r="L1558" s="190"/>
      <c r="M1558" s="190"/>
      <c r="N1558" s="190"/>
      <c r="O1558" s="190"/>
      <c r="P1558" s="190"/>
      <c r="Q1558" s="190"/>
      <c r="R1558" s="190"/>
      <c r="S1558" s="190"/>
      <c r="T1558" s="190"/>
      <c r="U1558" s="190"/>
      <c r="V1558" s="190"/>
      <c r="W1558" s="190"/>
      <c r="X1558" s="190"/>
      <c r="Y1558" s="190"/>
      <c r="Z1558" s="190"/>
      <c r="AA1558" s="190"/>
      <c r="AB1558" s="190"/>
      <c r="AC1558" s="190"/>
      <c r="AD1558" s="190"/>
      <c r="AE1558" s="190"/>
      <c r="AF1558" s="190"/>
      <c r="AG1558" s="190"/>
      <c r="AH1558" s="190"/>
      <c r="AI1558" s="190"/>
      <c r="AJ1558" s="190"/>
      <c r="AK1558" s="190"/>
      <c r="AL1558" s="190"/>
    </row>
    <row r="1559" spans="2:38" ht="12.75" customHeight="1">
      <c r="B1559" s="6"/>
      <c r="C1559" s="6"/>
      <c r="D1559" s="12"/>
      <c r="E1559" s="12"/>
      <c r="F1559" s="12"/>
      <c r="G1559" s="12"/>
      <c r="H1559" s="6"/>
      <c r="I1559" s="190"/>
      <c r="J1559" s="190"/>
      <c r="K1559" s="190"/>
      <c r="L1559" s="190"/>
      <c r="M1559" s="190"/>
      <c r="N1559" s="190"/>
      <c r="O1559" s="190"/>
      <c r="P1559" s="190"/>
      <c r="Q1559" s="190"/>
      <c r="R1559" s="190"/>
      <c r="S1559" s="190"/>
      <c r="T1559" s="190"/>
      <c r="U1559" s="190"/>
      <c r="V1559" s="190"/>
      <c r="W1559" s="190"/>
      <c r="X1559" s="190"/>
      <c r="Y1559" s="190"/>
      <c r="Z1559" s="190"/>
      <c r="AA1559" s="190"/>
      <c r="AB1559" s="190"/>
      <c r="AC1559" s="190"/>
      <c r="AD1559" s="190"/>
      <c r="AE1559" s="190"/>
      <c r="AF1559" s="190"/>
      <c r="AG1559" s="190"/>
      <c r="AH1559" s="190"/>
      <c r="AI1559" s="190"/>
      <c r="AJ1559" s="190"/>
      <c r="AK1559" s="190"/>
      <c r="AL1559" s="190"/>
    </row>
    <row r="1560" spans="2:38" ht="12.75" customHeight="1">
      <c r="B1560" s="6"/>
      <c r="C1560" s="6"/>
      <c r="D1560" s="12"/>
      <c r="E1560" s="12"/>
      <c r="F1560" s="12"/>
      <c r="G1560" s="12"/>
      <c r="H1560" s="6"/>
      <c r="I1560" s="190"/>
      <c r="J1560" s="190"/>
      <c r="K1560" s="190"/>
      <c r="L1560" s="190"/>
      <c r="M1560" s="190"/>
      <c r="N1560" s="190"/>
      <c r="O1560" s="190"/>
      <c r="P1560" s="190"/>
      <c r="Q1560" s="190"/>
      <c r="R1560" s="190"/>
      <c r="S1560" s="190"/>
      <c r="T1560" s="190"/>
      <c r="U1560" s="190"/>
      <c r="V1560" s="190"/>
      <c r="W1560" s="190"/>
      <c r="X1560" s="190"/>
      <c r="Y1560" s="190"/>
      <c r="Z1560" s="190"/>
      <c r="AA1560" s="190"/>
      <c r="AB1560" s="190"/>
      <c r="AC1560" s="190"/>
      <c r="AD1560" s="190"/>
      <c r="AE1560" s="190"/>
      <c r="AF1560" s="190"/>
      <c r="AG1560" s="190"/>
      <c r="AH1560" s="190"/>
      <c r="AI1560" s="190"/>
      <c r="AJ1560" s="190"/>
      <c r="AK1560" s="190"/>
      <c r="AL1560" s="190"/>
    </row>
    <row r="1561" spans="2:38" ht="12.75" customHeight="1">
      <c r="B1561" s="6"/>
      <c r="C1561" s="6"/>
      <c r="D1561" s="12"/>
      <c r="E1561" s="12"/>
      <c r="F1561" s="12"/>
      <c r="G1561" s="12"/>
      <c r="H1561" s="6"/>
      <c r="I1561" s="190"/>
      <c r="J1561" s="190"/>
      <c r="K1561" s="190"/>
      <c r="L1561" s="190"/>
      <c r="M1561" s="190"/>
      <c r="N1561" s="190"/>
      <c r="O1561" s="190"/>
      <c r="P1561" s="190"/>
      <c r="Q1561" s="190"/>
      <c r="R1561" s="190"/>
      <c r="S1561" s="190"/>
      <c r="T1561" s="190"/>
      <c r="U1561" s="190"/>
      <c r="V1561" s="190"/>
      <c r="W1561" s="190"/>
      <c r="X1561" s="190"/>
      <c r="Y1561" s="190"/>
      <c r="Z1561" s="190"/>
      <c r="AA1561" s="190"/>
      <c r="AB1561" s="190"/>
      <c r="AC1561" s="190"/>
      <c r="AD1561" s="190"/>
      <c r="AE1561" s="190"/>
      <c r="AF1561" s="190"/>
      <c r="AG1561" s="190"/>
      <c r="AH1561" s="190"/>
      <c r="AI1561" s="190"/>
      <c r="AJ1561" s="190"/>
      <c r="AK1561" s="190"/>
      <c r="AL1561" s="190"/>
    </row>
    <row r="1562" spans="2:38" ht="12.75" customHeight="1">
      <c r="B1562" s="6"/>
      <c r="C1562" s="6"/>
      <c r="D1562" s="12"/>
      <c r="E1562" s="12"/>
      <c r="F1562" s="12"/>
      <c r="G1562" s="12"/>
      <c r="H1562" s="6"/>
      <c r="I1562" s="190"/>
      <c r="J1562" s="190"/>
      <c r="K1562" s="190"/>
      <c r="L1562" s="190"/>
      <c r="M1562" s="190"/>
      <c r="N1562" s="190"/>
      <c r="O1562" s="190"/>
      <c r="P1562" s="190"/>
      <c r="Q1562" s="190"/>
      <c r="R1562" s="190"/>
      <c r="S1562" s="190"/>
      <c r="T1562" s="190"/>
      <c r="U1562" s="190"/>
      <c r="V1562" s="190"/>
      <c r="W1562" s="190"/>
      <c r="X1562" s="190"/>
      <c r="Y1562" s="190"/>
      <c r="Z1562" s="190"/>
      <c r="AA1562" s="190"/>
      <c r="AB1562" s="190"/>
      <c r="AC1562" s="190"/>
      <c r="AD1562" s="190"/>
      <c r="AE1562" s="190"/>
      <c r="AF1562" s="190"/>
      <c r="AG1562" s="190"/>
      <c r="AH1562" s="190"/>
      <c r="AI1562" s="190"/>
      <c r="AJ1562" s="190"/>
      <c r="AK1562" s="190"/>
      <c r="AL1562" s="190"/>
    </row>
    <row r="1563" spans="2:38" ht="12.75" customHeight="1">
      <c r="B1563" s="6"/>
      <c r="C1563" s="6"/>
      <c r="D1563" s="12"/>
      <c r="E1563" s="12"/>
      <c r="F1563" s="12"/>
      <c r="G1563" s="12"/>
      <c r="H1563" s="6"/>
      <c r="I1563" s="190"/>
      <c r="J1563" s="190"/>
      <c r="K1563" s="190"/>
      <c r="L1563" s="190"/>
      <c r="M1563" s="190"/>
      <c r="N1563" s="190"/>
      <c r="O1563" s="190"/>
      <c r="P1563" s="190"/>
      <c r="Q1563" s="190"/>
      <c r="R1563" s="190"/>
      <c r="S1563" s="190"/>
      <c r="T1563" s="190"/>
      <c r="U1563" s="190"/>
      <c r="V1563" s="190"/>
      <c r="W1563" s="190"/>
      <c r="X1563" s="190"/>
      <c r="Y1563" s="190"/>
      <c r="Z1563" s="190"/>
      <c r="AA1563" s="190"/>
      <c r="AB1563" s="190"/>
      <c r="AC1563" s="190"/>
      <c r="AD1563" s="190"/>
      <c r="AE1563" s="190"/>
      <c r="AF1563" s="190"/>
      <c r="AG1563" s="190"/>
      <c r="AH1563" s="190"/>
      <c r="AI1563" s="190"/>
      <c r="AJ1563" s="190"/>
      <c r="AK1563" s="190"/>
      <c r="AL1563" s="190"/>
    </row>
    <row r="1564" spans="2:38" ht="12.75" customHeight="1">
      <c r="B1564" s="6"/>
      <c r="C1564" s="6"/>
      <c r="D1564" s="12"/>
      <c r="E1564" s="12"/>
      <c r="F1564" s="12"/>
      <c r="G1564" s="12"/>
      <c r="H1564" s="6"/>
      <c r="I1564" s="190"/>
      <c r="J1564" s="190"/>
      <c r="K1564" s="190"/>
      <c r="L1564" s="190"/>
      <c r="M1564" s="190"/>
      <c r="N1564" s="190"/>
      <c r="O1564" s="190"/>
      <c r="P1564" s="190"/>
      <c r="Q1564" s="190"/>
      <c r="R1564" s="190"/>
      <c r="S1564" s="190"/>
      <c r="T1564" s="190"/>
      <c r="U1564" s="190"/>
      <c r="V1564" s="190"/>
      <c r="W1564" s="190"/>
      <c r="X1564" s="190"/>
      <c r="Y1564" s="190"/>
      <c r="Z1564" s="190"/>
      <c r="AA1564" s="190"/>
      <c r="AB1564" s="190"/>
      <c r="AC1564" s="190"/>
      <c r="AD1564" s="190"/>
      <c r="AE1564" s="190"/>
      <c r="AF1564" s="190"/>
      <c r="AG1564" s="190"/>
      <c r="AH1564" s="190"/>
      <c r="AI1564" s="190"/>
      <c r="AJ1564" s="190"/>
      <c r="AK1564" s="190"/>
      <c r="AL1564" s="190"/>
    </row>
    <row r="1565" spans="2:38" ht="12.75" customHeight="1">
      <c r="B1565" s="6"/>
      <c r="C1565" s="6"/>
      <c r="D1565" s="12"/>
      <c r="E1565" s="12"/>
      <c r="F1565" s="12"/>
      <c r="G1565" s="12"/>
      <c r="H1565" s="6"/>
      <c r="I1565" s="190"/>
      <c r="J1565" s="190"/>
      <c r="K1565" s="190"/>
      <c r="L1565" s="190"/>
      <c r="M1565" s="190"/>
      <c r="N1565" s="190"/>
      <c r="O1565" s="190"/>
      <c r="P1565" s="190"/>
      <c r="Q1565" s="190"/>
      <c r="R1565" s="190"/>
      <c r="S1565" s="190"/>
      <c r="T1565" s="190"/>
      <c r="U1565" s="190"/>
      <c r="V1565" s="190"/>
      <c r="W1565" s="190"/>
      <c r="X1565" s="190"/>
      <c r="Y1565" s="190"/>
      <c r="Z1565" s="190"/>
      <c r="AA1565" s="190"/>
      <c r="AB1565" s="190"/>
      <c r="AC1565" s="190"/>
      <c r="AD1565" s="190"/>
      <c r="AE1565" s="190"/>
      <c r="AF1565" s="190"/>
      <c r="AG1565" s="190"/>
      <c r="AH1565" s="190"/>
      <c r="AI1565" s="190"/>
      <c r="AJ1565" s="190"/>
      <c r="AK1565" s="190"/>
      <c r="AL1565" s="190"/>
    </row>
    <row r="1566" spans="2:38" ht="12.75" customHeight="1">
      <c r="B1566" s="6"/>
      <c r="C1566" s="6"/>
      <c r="D1566" s="12"/>
      <c r="E1566" s="12"/>
      <c r="F1566" s="12"/>
      <c r="G1566" s="12"/>
      <c r="H1566" s="6"/>
      <c r="I1566" s="190"/>
      <c r="J1566" s="190"/>
      <c r="K1566" s="190"/>
      <c r="L1566" s="190"/>
      <c r="M1566" s="190"/>
      <c r="N1566" s="190"/>
      <c r="O1566" s="190"/>
      <c r="P1566" s="190"/>
      <c r="Q1566" s="190"/>
      <c r="R1566" s="190"/>
      <c r="S1566" s="190"/>
      <c r="T1566" s="190"/>
      <c r="U1566" s="190"/>
      <c r="V1566" s="190"/>
      <c r="W1566" s="190"/>
      <c r="X1566" s="190"/>
      <c r="Y1566" s="190"/>
      <c r="Z1566" s="190"/>
      <c r="AA1566" s="190"/>
      <c r="AB1566" s="190"/>
      <c r="AC1566" s="190"/>
      <c r="AD1566" s="190"/>
      <c r="AE1566" s="190"/>
      <c r="AF1566" s="190"/>
      <c r="AG1566" s="190"/>
      <c r="AH1566" s="190"/>
      <c r="AI1566" s="190"/>
      <c r="AJ1566" s="190"/>
      <c r="AK1566" s="190"/>
      <c r="AL1566" s="190"/>
    </row>
    <row r="1567" spans="2:38" ht="12.75" customHeight="1">
      <c r="B1567" s="6"/>
      <c r="C1567" s="6"/>
      <c r="D1567" s="12"/>
      <c r="E1567" s="12"/>
      <c r="F1567" s="12"/>
      <c r="G1567" s="12"/>
      <c r="H1567" s="6"/>
      <c r="I1567" s="190"/>
      <c r="J1567" s="190"/>
      <c r="K1567" s="190"/>
      <c r="L1567" s="190"/>
      <c r="M1567" s="190"/>
      <c r="N1567" s="190"/>
      <c r="O1567" s="190"/>
      <c r="P1567" s="190"/>
      <c r="Q1567" s="190"/>
      <c r="R1567" s="190"/>
      <c r="S1567" s="190"/>
      <c r="T1567" s="190"/>
      <c r="U1567" s="190"/>
      <c r="V1567" s="190"/>
      <c r="W1567" s="190"/>
      <c r="X1567" s="190"/>
      <c r="Y1567" s="190"/>
      <c r="Z1567" s="190"/>
      <c r="AA1567" s="190"/>
      <c r="AB1567" s="190"/>
      <c r="AC1567" s="190"/>
      <c r="AD1567" s="190"/>
      <c r="AE1567" s="190"/>
      <c r="AF1567" s="190"/>
      <c r="AG1567" s="190"/>
      <c r="AH1567" s="190"/>
      <c r="AI1567" s="190"/>
      <c r="AJ1567" s="190"/>
      <c r="AK1567" s="190"/>
      <c r="AL1567" s="190"/>
    </row>
    <row r="1568" spans="2:38" ht="12.75" customHeight="1">
      <c r="B1568" s="6"/>
      <c r="C1568" s="6"/>
      <c r="D1568" s="12"/>
      <c r="E1568" s="12"/>
      <c r="F1568" s="12"/>
      <c r="G1568" s="12"/>
      <c r="H1568" s="6"/>
      <c r="I1568" s="190"/>
      <c r="J1568" s="190"/>
      <c r="K1568" s="190"/>
      <c r="L1568" s="190"/>
      <c r="M1568" s="190"/>
      <c r="N1568" s="190"/>
      <c r="O1568" s="190"/>
      <c r="P1568" s="190"/>
      <c r="Q1568" s="190"/>
      <c r="R1568" s="190"/>
      <c r="S1568" s="190"/>
      <c r="T1568" s="190"/>
      <c r="U1568" s="190"/>
      <c r="V1568" s="190"/>
      <c r="W1568" s="190"/>
      <c r="X1568" s="190"/>
      <c r="Y1568" s="190"/>
      <c r="Z1568" s="190"/>
      <c r="AA1568" s="190"/>
      <c r="AB1568" s="190"/>
      <c r="AC1568" s="190"/>
      <c r="AD1568" s="190"/>
      <c r="AE1568" s="190"/>
      <c r="AF1568" s="190"/>
      <c r="AG1568" s="190"/>
      <c r="AH1568" s="190"/>
      <c r="AI1568" s="190"/>
      <c r="AJ1568" s="190"/>
      <c r="AK1568" s="190"/>
      <c r="AL1568" s="190"/>
    </row>
    <row r="1569" spans="2:38" ht="12.75" customHeight="1">
      <c r="B1569" s="6"/>
      <c r="C1569" s="6"/>
      <c r="D1569" s="12"/>
      <c r="E1569" s="12"/>
      <c r="F1569" s="12"/>
      <c r="G1569" s="12"/>
      <c r="H1569" s="6"/>
      <c r="I1569" s="190"/>
      <c r="J1569" s="190"/>
      <c r="K1569" s="190"/>
      <c r="L1569" s="190"/>
      <c r="M1569" s="190"/>
      <c r="N1569" s="190"/>
      <c r="O1569" s="190"/>
      <c r="P1569" s="190"/>
      <c r="Q1569" s="190"/>
      <c r="R1569" s="190"/>
      <c r="S1569" s="190"/>
      <c r="T1569" s="190"/>
      <c r="U1569" s="190"/>
      <c r="V1569" s="190"/>
      <c r="W1569" s="190"/>
      <c r="X1569" s="190"/>
      <c r="Y1569" s="190"/>
      <c r="Z1569" s="190"/>
      <c r="AA1569" s="190"/>
      <c r="AB1569" s="190"/>
      <c r="AC1569" s="190"/>
      <c r="AD1569" s="190"/>
      <c r="AE1569" s="190"/>
      <c r="AF1569" s="190"/>
      <c r="AG1569" s="190"/>
      <c r="AH1569" s="190"/>
      <c r="AI1569" s="190"/>
      <c r="AJ1569" s="190"/>
      <c r="AK1569" s="190"/>
      <c r="AL1569" s="190"/>
    </row>
    <row r="1570" spans="2:38" ht="12.75" customHeight="1">
      <c r="B1570" s="6"/>
      <c r="C1570" s="6"/>
      <c r="D1570" s="12"/>
      <c r="E1570" s="12"/>
      <c r="F1570" s="12"/>
      <c r="G1570" s="12"/>
      <c r="H1570" s="6"/>
      <c r="I1570" s="190"/>
      <c r="J1570" s="190"/>
      <c r="K1570" s="190"/>
      <c r="L1570" s="190"/>
      <c r="M1570" s="190"/>
      <c r="N1570" s="190"/>
      <c r="O1570" s="190"/>
      <c r="P1570" s="190"/>
      <c r="Q1570" s="190"/>
      <c r="R1570" s="190"/>
      <c r="S1570" s="190"/>
      <c r="T1570" s="190"/>
      <c r="U1570" s="190"/>
      <c r="V1570" s="190"/>
      <c r="W1570" s="190"/>
      <c r="X1570" s="190"/>
      <c r="Y1570" s="190"/>
      <c r="Z1570" s="190"/>
      <c r="AA1570" s="190"/>
      <c r="AB1570" s="190"/>
      <c r="AC1570" s="190"/>
      <c r="AD1570" s="190"/>
      <c r="AE1570" s="190"/>
      <c r="AF1570" s="190"/>
      <c r="AG1570" s="190"/>
      <c r="AH1570" s="190"/>
      <c r="AI1570" s="190"/>
      <c r="AJ1570" s="190"/>
      <c r="AK1570" s="190"/>
      <c r="AL1570" s="190"/>
    </row>
    <row r="1571" spans="2:38" ht="12.75" customHeight="1">
      <c r="B1571" s="6"/>
      <c r="C1571" s="6"/>
      <c r="D1571" s="12"/>
      <c r="E1571" s="12"/>
      <c r="F1571" s="12"/>
      <c r="G1571" s="12"/>
      <c r="H1571" s="6"/>
      <c r="I1571" s="190"/>
      <c r="J1571" s="190"/>
      <c r="K1571" s="190"/>
      <c r="L1571" s="190"/>
      <c r="M1571" s="190"/>
      <c r="N1571" s="190"/>
      <c r="O1571" s="190"/>
      <c r="P1571" s="190"/>
      <c r="Q1571" s="190"/>
      <c r="R1571" s="190"/>
      <c r="S1571" s="190"/>
      <c r="T1571" s="190"/>
      <c r="U1571" s="190"/>
      <c r="V1571" s="190"/>
      <c r="W1571" s="190"/>
      <c r="X1571" s="190"/>
      <c r="Y1571" s="190"/>
      <c r="Z1571" s="190"/>
      <c r="AA1571" s="190"/>
      <c r="AB1571" s="190"/>
      <c r="AC1571" s="190"/>
      <c r="AD1571" s="190"/>
      <c r="AE1571" s="190"/>
      <c r="AF1571" s="190"/>
      <c r="AG1571" s="190"/>
      <c r="AH1571" s="190"/>
      <c r="AI1571" s="190"/>
      <c r="AJ1571" s="190"/>
      <c r="AK1571" s="190"/>
      <c r="AL1571" s="190"/>
    </row>
    <row r="1572" spans="2:38" ht="12.75" customHeight="1">
      <c r="B1572" s="6"/>
      <c r="C1572" s="6"/>
      <c r="D1572" s="12"/>
      <c r="E1572" s="12"/>
      <c r="F1572" s="12"/>
      <c r="G1572" s="12"/>
      <c r="H1572" s="6"/>
      <c r="I1572" s="190"/>
      <c r="J1572" s="190"/>
      <c r="K1572" s="190"/>
      <c r="L1572" s="190"/>
      <c r="M1572" s="190"/>
      <c r="N1572" s="190"/>
      <c r="O1572" s="190"/>
      <c r="P1572" s="190"/>
      <c r="Q1572" s="190"/>
      <c r="R1572" s="190"/>
      <c r="S1572" s="190"/>
      <c r="T1572" s="190"/>
      <c r="U1572" s="190"/>
      <c r="V1572" s="190"/>
      <c r="W1572" s="190"/>
      <c r="X1572" s="190"/>
      <c r="Y1572" s="190"/>
      <c r="Z1572" s="190"/>
      <c r="AA1572" s="190"/>
      <c r="AB1572" s="190"/>
      <c r="AC1572" s="190"/>
      <c r="AD1572" s="190"/>
      <c r="AE1572" s="190"/>
      <c r="AF1572" s="190"/>
      <c r="AG1572" s="190"/>
      <c r="AH1572" s="190"/>
      <c r="AI1572" s="190"/>
      <c r="AJ1572" s="190"/>
      <c r="AK1572" s="190"/>
      <c r="AL1572" s="190"/>
    </row>
    <row r="1573" spans="2:38" ht="12.75" customHeight="1">
      <c r="B1573" s="6"/>
      <c r="C1573" s="6"/>
      <c r="D1573" s="12"/>
      <c r="E1573" s="12"/>
      <c r="F1573" s="12"/>
      <c r="G1573" s="12"/>
      <c r="H1573" s="6"/>
      <c r="I1573" s="190"/>
      <c r="J1573" s="190"/>
      <c r="K1573" s="190"/>
      <c r="L1573" s="190"/>
      <c r="M1573" s="190"/>
      <c r="N1573" s="190"/>
      <c r="O1573" s="190"/>
      <c r="P1573" s="190"/>
      <c r="Q1573" s="190"/>
      <c r="R1573" s="190"/>
      <c r="S1573" s="190"/>
      <c r="T1573" s="190"/>
      <c r="U1573" s="190"/>
      <c r="V1573" s="190"/>
      <c r="W1573" s="190"/>
      <c r="X1573" s="190"/>
      <c r="Y1573" s="190"/>
      <c r="Z1573" s="190"/>
      <c r="AA1573" s="190"/>
      <c r="AB1573" s="190"/>
      <c r="AC1573" s="190"/>
      <c r="AD1573" s="190"/>
      <c r="AE1573" s="190"/>
      <c r="AF1573" s="190"/>
      <c r="AG1573" s="190"/>
      <c r="AH1573" s="190"/>
      <c r="AI1573" s="190"/>
      <c r="AJ1573" s="190"/>
      <c r="AK1573" s="190"/>
      <c r="AL1573" s="190"/>
    </row>
    <row r="1574" spans="2:38" ht="12.75" customHeight="1">
      <c r="B1574" s="6"/>
      <c r="C1574" s="6"/>
      <c r="D1574" s="12"/>
      <c r="E1574" s="12"/>
      <c r="F1574" s="12"/>
      <c r="G1574" s="12"/>
      <c r="H1574" s="6"/>
      <c r="I1574" s="190"/>
      <c r="J1574" s="190"/>
      <c r="K1574" s="190"/>
      <c r="L1574" s="190"/>
      <c r="M1574" s="190"/>
      <c r="N1574" s="190"/>
      <c r="O1574" s="190"/>
      <c r="P1574" s="190"/>
      <c r="Q1574" s="190"/>
      <c r="R1574" s="190"/>
      <c r="S1574" s="190"/>
      <c r="T1574" s="190"/>
      <c r="U1574" s="190"/>
      <c r="V1574" s="190"/>
      <c r="W1574" s="190"/>
      <c r="X1574" s="190"/>
      <c r="Y1574" s="190"/>
      <c r="Z1574" s="190"/>
      <c r="AA1574" s="190"/>
      <c r="AB1574" s="190"/>
      <c r="AC1574" s="190"/>
      <c r="AD1574" s="190"/>
      <c r="AE1574" s="190"/>
      <c r="AF1574" s="190"/>
      <c r="AG1574" s="190"/>
      <c r="AH1574" s="190"/>
      <c r="AI1574" s="190"/>
      <c r="AJ1574" s="190"/>
      <c r="AK1574" s="190"/>
      <c r="AL1574" s="190"/>
    </row>
    <row r="1575" spans="2:38" ht="12.75" customHeight="1">
      <c r="B1575" s="6"/>
      <c r="C1575" s="6"/>
      <c r="D1575" s="12"/>
      <c r="E1575" s="12"/>
      <c r="F1575" s="12"/>
      <c r="G1575" s="12"/>
      <c r="H1575" s="6"/>
      <c r="I1575" s="190"/>
      <c r="J1575" s="190"/>
      <c r="K1575" s="190"/>
      <c r="L1575" s="190"/>
      <c r="M1575" s="190"/>
      <c r="N1575" s="190"/>
      <c r="O1575" s="190"/>
      <c r="P1575" s="190"/>
      <c r="Q1575" s="190"/>
      <c r="R1575" s="190"/>
      <c r="S1575" s="190"/>
      <c r="T1575" s="190"/>
      <c r="U1575" s="190"/>
      <c r="V1575" s="190"/>
      <c r="W1575" s="190"/>
      <c r="X1575" s="190"/>
      <c r="Y1575" s="190"/>
      <c r="Z1575" s="190"/>
      <c r="AA1575" s="190"/>
      <c r="AB1575" s="190"/>
      <c r="AC1575" s="190"/>
      <c r="AD1575" s="190"/>
      <c r="AE1575" s="190"/>
      <c r="AF1575" s="190"/>
      <c r="AG1575" s="190"/>
      <c r="AH1575" s="190"/>
      <c r="AI1575" s="190"/>
      <c r="AJ1575" s="190"/>
      <c r="AK1575" s="190"/>
      <c r="AL1575" s="190"/>
    </row>
    <row r="1576" spans="2:38" ht="12.75" customHeight="1">
      <c r="B1576" s="6"/>
      <c r="C1576" s="6"/>
      <c r="D1576" s="12"/>
      <c r="E1576" s="12"/>
      <c r="F1576" s="12"/>
      <c r="G1576" s="12"/>
      <c r="H1576" s="6"/>
      <c r="I1576" s="190"/>
      <c r="J1576" s="190"/>
      <c r="K1576" s="190"/>
      <c r="L1576" s="190"/>
      <c r="M1576" s="190"/>
      <c r="N1576" s="190"/>
      <c r="O1576" s="190"/>
      <c r="P1576" s="190"/>
      <c r="Q1576" s="190"/>
      <c r="R1576" s="190"/>
      <c r="S1576" s="190"/>
      <c r="T1576" s="190"/>
      <c r="U1576" s="190"/>
      <c r="V1576" s="190"/>
      <c r="W1576" s="190"/>
      <c r="X1576" s="190"/>
      <c r="Y1576" s="190"/>
      <c r="Z1576" s="190"/>
      <c r="AA1576" s="190"/>
      <c r="AB1576" s="190"/>
      <c r="AC1576" s="190"/>
      <c r="AD1576" s="190"/>
      <c r="AE1576" s="190"/>
      <c r="AF1576" s="190"/>
      <c r="AG1576" s="190"/>
      <c r="AH1576" s="190"/>
      <c r="AI1576" s="190"/>
      <c r="AJ1576" s="190"/>
      <c r="AK1576" s="190"/>
      <c r="AL1576" s="190"/>
    </row>
    <row r="1577" spans="2:38" ht="12.75" customHeight="1">
      <c r="B1577" s="6"/>
      <c r="C1577" s="6"/>
      <c r="D1577" s="12"/>
      <c r="E1577" s="12"/>
      <c r="F1577" s="12"/>
      <c r="G1577" s="12"/>
      <c r="H1577" s="6"/>
      <c r="I1577" s="190"/>
      <c r="J1577" s="190"/>
      <c r="K1577" s="190"/>
      <c r="L1577" s="190"/>
      <c r="M1577" s="190"/>
      <c r="N1577" s="190"/>
      <c r="O1577" s="190"/>
      <c r="P1577" s="190"/>
      <c r="Q1577" s="190"/>
      <c r="R1577" s="190"/>
      <c r="S1577" s="190"/>
      <c r="T1577" s="190"/>
      <c r="U1577" s="190"/>
      <c r="V1577" s="190"/>
      <c r="W1577" s="190"/>
      <c r="X1577" s="190"/>
      <c r="Y1577" s="190"/>
      <c r="Z1577" s="190"/>
      <c r="AA1577" s="190"/>
      <c r="AB1577" s="190"/>
      <c r="AC1577" s="190"/>
      <c r="AD1577" s="190"/>
      <c r="AE1577" s="190"/>
      <c r="AF1577" s="190"/>
      <c r="AG1577" s="190"/>
      <c r="AH1577" s="190"/>
      <c r="AI1577" s="190"/>
      <c r="AJ1577" s="190"/>
      <c r="AK1577" s="190"/>
      <c r="AL1577" s="190"/>
    </row>
    <row r="1578" spans="2:38" ht="12.75" customHeight="1">
      <c r="B1578" s="6"/>
      <c r="C1578" s="6"/>
      <c r="D1578" s="12"/>
      <c r="E1578" s="12"/>
      <c r="F1578" s="12"/>
      <c r="G1578" s="12"/>
      <c r="H1578" s="6"/>
      <c r="I1578" s="190"/>
      <c r="J1578" s="190"/>
      <c r="K1578" s="190"/>
      <c r="L1578" s="190"/>
      <c r="M1578" s="190"/>
      <c r="N1578" s="190"/>
      <c r="O1578" s="190"/>
      <c r="P1578" s="190"/>
      <c r="Q1578" s="190"/>
      <c r="R1578" s="190"/>
      <c r="S1578" s="190"/>
      <c r="T1578" s="190"/>
      <c r="U1578" s="190"/>
      <c r="V1578" s="190"/>
      <c r="W1578" s="190"/>
      <c r="X1578" s="190"/>
      <c r="Y1578" s="190"/>
      <c r="Z1578" s="190"/>
      <c r="AA1578" s="190"/>
      <c r="AB1578" s="190"/>
      <c r="AC1578" s="190"/>
      <c r="AD1578" s="190"/>
      <c r="AE1578" s="190"/>
      <c r="AF1578" s="190"/>
      <c r="AG1578" s="190"/>
      <c r="AH1578" s="190"/>
      <c r="AI1578" s="190"/>
      <c r="AJ1578" s="190"/>
      <c r="AK1578" s="190"/>
      <c r="AL1578" s="190"/>
    </row>
    <row r="1579" spans="2:38" ht="12.75" customHeight="1">
      <c r="B1579" s="6"/>
      <c r="C1579" s="6"/>
      <c r="D1579" s="12"/>
      <c r="E1579" s="12"/>
      <c r="F1579" s="12"/>
      <c r="G1579" s="12"/>
      <c r="H1579" s="6"/>
      <c r="I1579" s="190"/>
      <c r="J1579" s="190"/>
      <c r="K1579" s="190"/>
      <c r="L1579" s="190"/>
      <c r="M1579" s="190"/>
      <c r="N1579" s="190"/>
      <c r="O1579" s="190"/>
      <c r="P1579" s="190"/>
      <c r="Q1579" s="190"/>
      <c r="R1579" s="190"/>
      <c r="S1579" s="190"/>
      <c r="T1579" s="190"/>
      <c r="U1579" s="190"/>
      <c r="V1579" s="190"/>
      <c r="W1579" s="190"/>
      <c r="X1579" s="190"/>
      <c r="Y1579" s="190"/>
      <c r="Z1579" s="190"/>
      <c r="AA1579" s="190"/>
      <c r="AB1579" s="190"/>
      <c r="AC1579" s="190"/>
      <c r="AD1579" s="190"/>
      <c r="AE1579" s="190"/>
      <c r="AF1579" s="190"/>
      <c r="AG1579" s="190"/>
      <c r="AH1579" s="190"/>
      <c r="AI1579" s="190"/>
      <c r="AJ1579" s="190"/>
      <c r="AK1579" s="190"/>
      <c r="AL1579" s="190"/>
    </row>
    <row r="1580" spans="2:38" ht="12.75" customHeight="1">
      <c r="B1580" s="6"/>
      <c r="C1580" s="6"/>
      <c r="D1580" s="12"/>
      <c r="E1580" s="12"/>
      <c r="F1580" s="12"/>
      <c r="G1580" s="12"/>
      <c r="H1580" s="6"/>
      <c r="I1580" s="190"/>
      <c r="J1580" s="190"/>
      <c r="K1580" s="190"/>
      <c r="L1580" s="190"/>
      <c r="M1580" s="190"/>
      <c r="N1580" s="190"/>
      <c r="O1580" s="190"/>
      <c r="P1580" s="190"/>
      <c r="Q1580" s="190"/>
      <c r="R1580" s="190"/>
      <c r="S1580" s="190"/>
      <c r="T1580" s="190"/>
      <c r="U1580" s="190"/>
      <c r="V1580" s="190"/>
      <c r="W1580" s="190"/>
      <c r="X1580" s="190"/>
      <c r="Y1580" s="190"/>
      <c r="Z1580" s="190"/>
      <c r="AA1580" s="190"/>
      <c r="AB1580" s="190"/>
      <c r="AC1580" s="190"/>
      <c r="AD1580" s="190"/>
      <c r="AE1580" s="190"/>
      <c r="AF1580" s="190"/>
      <c r="AG1580" s="190"/>
      <c r="AH1580" s="190"/>
      <c r="AI1580" s="190"/>
      <c r="AJ1580" s="190"/>
      <c r="AK1580" s="190"/>
      <c r="AL1580" s="190"/>
    </row>
    <row r="1581" spans="2:38" ht="12.75" customHeight="1">
      <c r="B1581" s="6"/>
      <c r="C1581" s="6"/>
      <c r="D1581" s="12"/>
      <c r="E1581" s="12"/>
      <c r="F1581" s="12"/>
      <c r="G1581" s="12"/>
      <c r="H1581" s="6"/>
      <c r="I1581" s="190"/>
      <c r="J1581" s="190"/>
      <c r="K1581" s="190"/>
      <c r="L1581" s="190"/>
      <c r="M1581" s="190"/>
      <c r="N1581" s="190"/>
      <c r="O1581" s="190"/>
      <c r="P1581" s="190"/>
      <c r="Q1581" s="190"/>
      <c r="R1581" s="190"/>
      <c r="S1581" s="190"/>
      <c r="T1581" s="190"/>
      <c r="U1581" s="190"/>
      <c r="V1581" s="190"/>
      <c r="W1581" s="190"/>
      <c r="X1581" s="190"/>
      <c r="Y1581" s="190"/>
      <c r="Z1581" s="190"/>
      <c r="AA1581" s="190"/>
      <c r="AB1581" s="190"/>
      <c r="AC1581" s="190"/>
      <c r="AD1581" s="190"/>
      <c r="AE1581" s="190"/>
      <c r="AF1581" s="190"/>
      <c r="AG1581" s="190"/>
      <c r="AH1581" s="190"/>
      <c r="AI1581" s="190"/>
      <c r="AJ1581" s="190"/>
      <c r="AK1581" s="190"/>
      <c r="AL1581" s="190"/>
    </row>
    <row r="1582" spans="2:38" ht="12.75" customHeight="1">
      <c r="B1582" s="6"/>
      <c r="C1582" s="6"/>
      <c r="D1582" s="12"/>
      <c r="E1582" s="12"/>
      <c r="F1582" s="12"/>
      <c r="G1582" s="12"/>
      <c r="H1582" s="6"/>
      <c r="I1582" s="190"/>
      <c r="J1582" s="190"/>
      <c r="K1582" s="190"/>
      <c r="L1582" s="190"/>
      <c r="M1582" s="190"/>
      <c r="N1582" s="190"/>
      <c r="O1582" s="190"/>
      <c r="P1582" s="190"/>
      <c r="Q1582" s="190"/>
      <c r="R1582" s="190"/>
      <c r="S1582" s="190"/>
      <c r="T1582" s="190"/>
      <c r="U1582" s="190"/>
      <c r="V1582" s="190"/>
      <c r="W1582" s="190"/>
      <c r="X1582" s="190"/>
      <c r="Y1582" s="190"/>
      <c r="Z1582" s="190"/>
      <c r="AA1582" s="190"/>
      <c r="AB1582" s="190"/>
      <c r="AC1582" s="190"/>
      <c r="AD1582" s="190"/>
      <c r="AE1582" s="190"/>
      <c r="AF1582" s="190"/>
      <c r="AG1582" s="190"/>
      <c r="AH1582" s="190"/>
      <c r="AI1582" s="190"/>
      <c r="AJ1582" s="190"/>
      <c r="AK1582" s="190"/>
      <c r="AL1582" s="190"/>
    </row>
    <row r="1583" spans="2:38" ht="12.75" customHeight="1">
      <c r="B1583" s="6"/>
      <c r="C1583" s="6"/>
      <c r="D1583" s="12"/>
      <c r="E1583" s="12"/>
      <c r="F1583" s="12"/>
      <c r="G1583" s="12"/>
      <c r="H1583" s="6"/>
      <c r="I1583" s="190"/>
      <c r="J1583" s="190"/>
      <c r="K1583" s="190"/>
      <c r="L1583" s="190"/>
      <c r="M1583" s="190"/>
      <c r="N1583" s="190"/>
      <c r="O1583" s="190"/>
      <c r="P1583" s="190"/>
      <c r="Q1583" s="190"/>
      <c r="R1583" s="190"/>
      <c r="S1583" s="190"/>
      <c r="T1583" s="190"/>
      <c r="U1583" s="190"/>
      <c r="V1583" s="190"/>
      <c r="W1583" s="190"/>
      <c r="X1583" s="190"/>
      <c r="Y1583" s="190"/>
      <c r="Z1583" s="190"/>
      <c r="AA1583" s="190"/>
      <c r="AB1583" s="190"/>
      <c r="AC1583" s="190"/>
      <c r="AD1583" s="190"/>
      <c r="AE1583" s="190"/>
      <c r="AF1583" s="190"/>
      <c r="AG1583" s="190"/>
      <c r="AH1583" s="190"/>
      <c r="AI1583" s="190"/>
      <c r="AJ1583" s="190"/>
      <c r="AK1583" s="190"/>
      <c r="AL1583" s="190"/>
    </row>
    <row r="1584" spans="2:38" ht="12.75" customHeight="1">
      <c r="B1584" s="6"/>
      <c r="C1584" s="6"/>
      <c r="D1584" s="12"/>
      <c r="E1584" s="12"/>
      <c r="F1584" s="12"/>
      <c r="G1584" s="12"/>
      <c r="H1584" s="6"/>
      <c r="I1584" s="190"/>
      <c r="J1584" s="190"/>
      <c r="K1584" s="190"/>
      <c r="L1584" s="190"/>
      <c r="M1584" s="190"/>
      <c r="N1584" s="190"/>
      <c r="O1584" s="190"/>
      <c r="P1584" s="190"/>
      <c r="Q1584" s="190"/>
      <c r="R1584" s="190"/>
      <c r="S1584" s="190"/>
      <c r="T1584" s="190"/>
      <c r="U1584" s="190"/>
      <c r="V1584" s="190"/>
      <c r="W1584" s="190"/>
      <c r="X1584" s="190"/>
      <c r="Y1584" s="190"/>
      <c r="Z1584" s="190"/>
      <c r="AA1584" s="190"/>
      <c r="AB1584" s="190"/>
      <c r="AC1584" s="190"/>
      <c r="AD1584" s="190"/>
      <c r="AE1584" s="190"/>
      <c r="AF1584" s="190"/>
      <c r="AG1584" s="190"/>
      <c r="AH1584" s="190"/>
      <c r="AI1584" s="190"/>
      <c r="AJ1584" s="190"/>
      <c r="AK1584" s="190"/>
      <c r="AL1584" s="190"/>
    </row>
    <row r="1585" spans="2:38" ht="12.75" customHeight="1">
      <c r="B1585" s="6"/>
      <c r="C1585" s="6"/>
      <c r="D1585" s="12"/>
      <c r="E1585" s="12"/>
      <c r="F1585" s="12"/>
      <c r="G1585" s="12"/>
      <c r="H1585" s="6"/>
      <c r="I1585" s="190"/>
      <c r="J1585" s="190"/>
      <c r="K1585" s="190"/>
      <c r="L1585" s="190"/>
      <c r="M1585" s="190"/>
      <c r="N1585" s="190"/>
      <c r="O1585" s="190"/>
      <c r="P1585" s="190"/>
      <c r="Q1585" s="190"/>
      <c r="R1585" s="190"/>
      <c r="S1585" s="190"/>
      <c r="T1585" s="190"/>
      <c r="U1585" s="190"/>
      <c r="V1585" s="190"/>
      <c r="W1585" s="190"/>
      <c r="X1585" s="190"/>
      <c r="Y1585" s="190"/>
      <c r="Z1585" s="190"/>
      <c r="AA1585" s="190"/>
      <c r="AB1585" s="190"/>
      <c r="AC1585" s="190"/>
      <c r="AD1585" s="190"/>
      <c r="AE1585" s="190"/>
      <c r="AF1585" s="190"/>
      <c r="AG1585" s="190"/>
      <c r="AH1585" s="190"/>
      <c r="AI1585" s="190"/>
      <c r="AJ1585" s="190"/>
      <c r="AK1585" s="190"/>
      <c r="AL1585" s="190"/>
    </row>
    <row r="1586" spans="2:38" ht="12.75" customHeight="1">
      <c r="B1586" s="6"/>
      <c r="C1586" s="6"/>
      <c r="D1586" s="12"/>
      <c r="E1586" s="12"/>
      <c r="F1586" s="12"/>
      <c r="G1586" s="12"/>
      <c r="H1586" s="6"/>
      <c r="I1586" s="190"/>
      <c r="J1586" s="190"/>
      <c r="K1586" s="190"/>
      <c r="L1586" s="190"/>
      <c r="M1586" s="190"/>
      <c r="N1586" s="190"/>
      <c r="O1586" s="190"/>
      <c r="P1586" s="190"/>
      <c r="Q1586" s="190"/>
      <c r="R1586" s="190"/>
      <c r="S1586" s="190"/>
      <c r="T1586" s="190"/>
      <c r="U1586" s="190"/>
      <c r="V1586" s="190"/>
      <c r="W1586" s="190"/>
      <c r="X1586" s="190"/>
      <c r="Y1586" s="190"/>
      <c r="Z1586" s="190"/>
      <c r="AA1586" s="190"/>
      <c r="AB1586" s="190"/>
      <c r="AC1586" s="190"/>
      <c r="AD1586" s="190"/>
      <c r="AE1586" s="190"/>
      <c r="AF1586" s="190"/>
      <c r="AG1586" s="190"/>
      <c r="AH1586" s="190"/>
      <c r="AI1586" s="190"/>
      <c r="AJ1586" s="190"/>
      <c r="AK1586" s="190"/>
      <c r="AL1586" s="190"/>
    </row>
    <row r="1587" spans="2:38" ht="12.75" customHeight="1">
      <c r="B1587" s="6"/>
      <c r="C1587" s="6"/>
      <c r="D1587" s="12"/>
      <c r="E1587" s="12"/>
      <c r="F1587" s="12"/>
      <c r="G1587" s="12"/>
      <c r="H1587" s="6"/>
      <c r="I1587" s="190"/>
      <c r="J1587" s="190"/>
      <c r="K1587" s="190"/>
      <c r="L1587" s="190"/>
      <c r="M1587" s="190"/>
      <c r="N1587" s="190"/>
      <c r="O1587" s="190"/>
      <c r="P1587" s="190"/>
      <c r="Q1587" s="190"/>
      <c r="R1587" s="190"/>
      <c r="S1587" s="190"/>
      <c r="T1587" s="190"/>
      <c r="U1587" s="190"/>
      <c r="V1587" s="190"/>
      <c r="W1587" s="190"/>
      <c r="X1587" s="190"/>
      <c r="Y1587" s="190"/>
      <c r="Z1587" s="190"/>
      <c r="AA1587" s="190"/>
      <c r="AB1587" s="190"/>
      <c r="AC1587" s="190"/>
      <c r="AD1587" s="190"/>
      <c r="AE1587" s="190"/>
      <c r="AF1587" s="190"/>
      <c r="AG1587" s="190"/>
      <c r="AH1587" s="190"/>
      <c r="AI1587" s="190"/>
      <c r="AJ1587" s="190"/>
      <c r="AK1587" s="190"/>
      <c r="AL1587" s="190"/>
    </row>
    <row r="1588" spans="2:38" ht="12.75" customHeight="1">
      <c r="B1588" s="6"/>
      <c r="C1588" s="6"/>
      <c r="D1588" s="12"/>
      <c r="E1588" s="12"/>
      <c r="F1588" s="12"/>
      <c r="G1588" s="12"/>
      <c r="H1588" s="6"/>
      <c r="I1588" s="190"/>
      <c r="J1588" s="190"/>
      <c r="K1588" s="190"/>
      <c r="L1588" s="190"/>
      <c r="M1588" s="190"/>
      <c r="N1588" s="190"/>
      <c r="O1588" s="190"/>
      <c r="P1588" s="190"/>
      <c r="Q1588" s="190"/>
      <c r="R1588" s="190"/>
      <c r="S1588" s="190"/>
      <c r="T1588" s="190"/>
      <c r="U1588" s="190"/>
      <c r="V1588" s="190"/>
      <c r="W1588" s="190"/>
      <c r="X1588" s="190"/>
      <c r="Y1588" s="190"/>
      <c r="Z1588" s="190"/>
      <c r="AA1588" s="190"/>
      <c r="AB1588" s="190"/>
      <c r="AC1588" s="190"/>
      <c r="AD1588" s="190"/>
      <c r="AE1588" s="190"/>
      <c r="AF1588" s="190"/>
      <c r="AG1588" s="190"/>
      <c r="AH1588" s="190"/>
      <c r="AI1588" s="190"/>
      <c r="AJ1588" s="190"/>
      <c r="AK1588" s="190"/>
      <c r="AL1588" s="190"/>
    </row>
    <row r="1589" spans="2:38" ht="12.75" customHeight="1">
      <c r="B1589" s="6"/>
      <c r="C1589" s="6"/>
      <c r="D1589" s="12"/>
      <c r="E1589" s="12"/>
      <c r="F1589" s="12"/>
      <c r="G1589" s="12"/>
      <c r="H1589" s="6"/>
      <c r="I1589" s="190"/>
      <c r="J1589" s="190"/>
      <c r="K1589" s="190"/>
      <c r="L1589" s="190"/>
      <c r="M1589" s="190"/>
      <c r="N1589" s="190"/>
      <c r="O1589" s="190"/>
      <c r="P1589" s="190"/>
      <c r="Q1589" s="190"/>
      <c r="R1589" s="190"/>
      <c r="S1589" s="190"/>
      <c r="T1589" s="190"/>
      <c r="U1589" s="190"/>
      <c r="V1589" s="190"/>
      <c r="W1589" s="190"/>
      <c r="X1589" s="190"/>
      <c r="Y1589" s="190"/>
      <c r="Z1589" s="190"/>
      <c r="AA1589" s="190"/>
      <c r="AB1589" s="190"/>
      <c r="AC1589" s="190"/>
      <c r="AD1589" s="190"/>
      <c r="AE1589" s="190"/>
      <c r="AF1589" s="190"/>
      <c r="AG1589" s="190"/>
      <c r="AH1589" s="190"/>
      <c r="AI1589" s="190"/>
      <c r="AJ1589" s="190"/>
      <c r="AK1589" s="190"/>
      <c r="AL1589" s="190"/>
    </row>
    <row r="1590" spans="2:38" ht="12.75" customHeight="1">
      <c r="B1590" s="6"/>
      <c r="C1590" s="6"/>
      <c r="D1590" s="12"/>
      <c r="E1590" s="12"/>
      <c r="F1590" s="12"/>
      <c r="G1590" s="12"/>
      <c r="H1590" s="6"/>
      <c r="I1590" s="190"/>
      <c r="J1590" s="190"/>
      <c r="K1590" s="190"/>
      <c r="L1590" s="190"/>
      <c r="M1590" s="190"/>
      <c r="N1590" s="190"/>
      <c r="O1590" s="190"/>
      <c r="P1590" s="190"/>
      <c r="Q1590" s="190"/>
      <c r="R1590" s="190"/>
      <c r="S1590" s="190"/>
      <c r="T1590" s="190"/>
      <c r="U1590" s="190"/>
      <c r="V1590" s="190"/>
      <c r="W1590" s="190"/>
      <c r="X1590" s="190"/>
      <c r="Y1590" s="190"/>
      <c r="Z1590" s="190"/>
      <c r="AA1590" s="190"/>
      <c r="AB1590" s="190"/>
      <c r="AC1590" s="190"/>
      <c r="AD1590" s="190"/>
      <c r="AE1590" s="190"/>
      <c r="AF1590" s="190"/>
      <c r="AG1590" s="190"/>
      <c r="AH1590" s="190"/>
      <c r="AI1590" s="190"/>
      <c r="AJ1590" s="190"/>
      <c r="AK1590" s="190"/>
      <c r="AL1590" s="190"/>
    </row>
    <row r="1591" spans="2:38" ht="12.75" customHeight="1">
      <c r="B1591" s="6"/>
      <c r="C1591" s="6"/>
      <c r="D1591" s="12"/>
      <c r="E1591" s="12"/>
      <c r="F1591" s="12"/>
      <c r="G1591" s="12"/>
      <c r="H1591" s="6"/>
      <c r="I1591" s="190"/>
      <c r="J1591" s="190"/>
      <c r="K1591" s="190"/>
      <c r="L1591" s="190"/>
      <c r="M1591" s="190"/>
      <c r="N1591" s="190"/>
      <c r="O1591" s="190"/>
      <c r="P1591" s="190"/>
      <c r="Q1591" s="190"/>
      <c r="R1591" s="190"/>
      <c r="S1591" s="190"/>
      <c r="T1591" s="190"/>
      <c r="U1591" s="190"/>
      <c r="V1591" s="190"/>
      <c r="W1591" s="190"/>
      <c r="X1591" s="190"/>
      <c r="Y1591" s="190"/>
      <c r="Z1591" s="190"/>
      <c r="AA1591" s="190"/>
      <c r="AB1591" s="190"/>
      <c r="AC1591" s="190"/>
      <c r="AD1591" s="190"/>
      <c r="AE1591" s="190"/>
      <c r="AF1591" s="190"/>
      <c r="AG1591" s="190"/>
      <c r="AH1591" s="190"/>
      <c r="AI1591" s="190"/>
      <c r="AJ1591" s="190"/>
      <c r="AK1591" s="190"/>
      <c r="AL1591" s="190"/>
    </row>
    <row r="1592" spans="2:38" ht="12.75" customHeight="1">
      <c r="B1592" s="6"/>
      <c r="C1592" s="6"/>
      <c r="D1592" s="12"/>
      <c r="E1592" s="12"/>
      <c r="F1592" s="12"/>
      <c r="G1592" s="12"/>
      <c r="H1592" s="6"/>
      <c r="I1592" s="190"/>
      <c r="J1592" s="190"/>
      <c r="K1592" s="190"/>
      <c r="L1592" s="190"/>
      <c r="M1592" s="190"/>
      <c r="N1592" s="190"/>
      <c r="O1592" s="190"/>
      <c r="P1592" s="190"/>
      <c r="Q1592" s="190"/>
      <c r="R1592" s="190"/>
      <c r="S1592" s="190"/>
      <c r="T1592" s="190"/>
      <c r="U1592" s="190"/>
      <c r="V1592" s="190"/>
      <c r="W1592" s="190"/>
      <c r="X1592" s="190"/>
      <c r="Y1592" s="190"/>
      <c r="Z1592" s="190"/>
      <c r="AA1592" s="190"/>
      <c r="AB1592" s="190"/>
      <c r="AC1592" s="190"/>
      <c r="AD1592" s="190"/>
      <c r="AE1592" s="190"/>
      <c r="AF1592" s="190"/>
      <c r="AG1592" s="190"/>
      <c r="AH1592" s="190"/>
      <c r="AI1592" s="190"/>
      <c r="AJ1592" s="190"/>
      <c r="AK1592" s="190"/>
      <c r="AL1592" s="190"/>
    </row>
    <row r="1593" spans="2:38" ht="12.75" customHeight="1">
      <c r="B1593" s="6"/>
      <c r="C1593" s="6"/>
      <c r="D1593" s="12"/>
      <c r="E1593" s="12"/>
      <c r="F1593" s="12"/>
      <c r="G1593" s="12"/>
      <c r="H1593" s="6"/>
      <c r="I1593" s="190"/>
      <c r="J1593" s="190"/>
      <c r="K1593" s="190"/>
      <c r="L1593" s="190"/>
      <c r="M1593" s="190"/>
      <c r="N1593" s="190"/>
      <c r="O1593" s="190"/>
      <c r="P1593" s="190"/>
      <c r="Q1593" s="190"/>
      <c r="R1593" s="190"/>
      <c r="S1593" s="190"/>
      <c r="T1593" s="190"/>
      <c r="U1593" s="190"/>
      <c r="V1593" s="190"/>
      <c r="W1593" s="190"/>
      <c r="X1593" s="190"/>
      <c r="Y1593" s="190"/>
      <c r="Z1593" s="190"/>
      <c r="AA1593" s="190"/>
      <c r="AB1593" s="190"/>
      <c r="AC1593" s="190"/>
      <c r="AD1593" s="190"/>
      <c r="AE1593" s="190"/>
      <c r="AF1593" s="190"/>
      <c r="AG1593" s="190"/>
      <c r="AH1593" s="190"/>
      <c r="AI1593" s="190"/>
      <c r="AJ1593" s="190"/>
      <c r="AK1593" s="190"/>
      <c r="AL1593" s="190"/>
    </row>
    <row r="1594" spans="2:38" ht="12.75" customHeight="1">
      <c r="B1594" s="6"/>
      <c r="C1594" s="6"/>
      <c r="D1594" s="12"/>
      <c r="E1594" s="12"/>
      <c r="F1594" s="12"/>
      <c r="G1594" s="12"/>
      <c r="H1594" s="6"/>
      <c r="I1594" s="190"/>
      <c r="J1594" s="190"/>
      <c r="K1594" s="190"/>
      <c r="L1594" s="190"/>
      <c r="M1594" s="190"/>
      <c r="N1594" s="190"/>
      <c r="O1594" s="190"/>
      <c r="P1594" s="190"/>
      <c r="Q1594" s="190"/>
      <c r="R1594" s="190"/>
      <c r="S1594" s="190"/>
      <c r="T1594" s="190"/>
      <c r="U1594" s="190"/>
      <c r="V1594" s="190"/>
      <c r="W1594" s="190"/>
      <c r="X1594" s="190"/>
      <c r="Y1594" s="190"/>
      <c r="Z1594" s="190"/>
      <c r="AA1594" s="190"/>
      <c r="AB1594" s="190"/>
      <c r="AC1594" s="190"/>
      <c r="AD1594" s="190"/>
      <c r="AE1594" s="190"/>
      <c r="AF1594" s="190"/>
      <c r="AG1594" s="190"/>
      <c r="AH1594" s="190"/>
      <c r="AI1594" s="190"/>
      <c r="AJ1594" s="190"/>
      <c r="AK1594" s="190"/>
      <c r="AL1594" s="190"/>
    </row>
    <row r="1595" spans="2:38" ht="12.75" customHeight="1">
      <c r="B1595" s="6"/>
      <c r="C1595" s="6"/>
      <c r="D1595" s="12"/>
      <c r="E1595" s="12"/>
      <c r="F1595" s="12"/>
      <c r="G1595" s="12"/>
      <c r="H1595" s="6"/>
      <c r="I1595" s="190"/>
      <c r="J1595" s="190"/>
      <c r="K1595" s="190"/>
      <c r="L1595" s="190"/>
      <c r="M1595" s="190"/>
      <c r="N1595" s="190"/>
      <c r="O1595" s="190"/>
      <c r="P1595" s="190"/>
      <c r="Q1595" s="190"/>
      <c r="R1595" s="190"/>
      <c r="S1595" s="190"/>
      <c r="T1595" s="190"/>
      <c r="U1595" s="190"/>
      <c r="V1595" s="190"/>
      <c r="W1595" s="190"/>
      <c r="X1595" s="190"/>
      <c r="Y1595" s="190"/>
      <c r="Z1595" s="190"/>
      <c r="AA1595" s="190"/>
      <c r="AB1595" s="190"/>
      <c r="AC1595" s="190"/>
      <c r="AD1595" s="190"/>
      <c r="AE1595" s="190"/>
      <c r="AF1595" s="190"/>
      <c r="AG1595" s="190"/>
      <c r="AH1595" s="190"/>
      <c r="AI1595" s="190"/>
      <c r="AJ1595" s="190"/>
      <c r="AK1595" s="190"/>
      <c r="AL1595" s="190"/>
    </row>
    <row r="1596" spans="2:38" ht="12.75" customHeight="1">
      <c r="B1596" s="6"/>
      <c r="C1596" s="6"/>
      <c r="D1596" s="12"/>
      <c r="E1596" s="12"/>
      <c r="F1596" s="12"/>
      <c r="G1596" s="12"/>
      <c r="H1596" s="6"/>
      <c r="I1596" s="190"/>
      <c r="J1596" s="190"/>
      <c r="K1596" s="190"/>
      <c r="L1596" s="190"/>
      <c r="M1596" s="190"/>
      <c r="N1596" s="190"/>
      <c r="O1596" s="190"/>
      <c r="P1596" s="190"/>
      <c r="Q1596" s="190"/>
      <c r="R1596" s="190"/>
      <c r="S1596" s="190"/>
      <c r="T1596" s="190"/>
      <c r="U1596" s="190"/>
      <c r="V1596" s="190"/>
      <c r="W1596" s="190"/>
      <c r="X1596" s="190"/>
      <c r="Y1596" s="190"/>
      <c r="Z1596" s="190"/>
      <c r="AA1596" s="190"/>
      <c r="AB1596" s="190"/>
      <c r="AC1596" s="190"/>
      <c r="AD1596" s="190"/>
      <c r="AE1596" s="190"/>
      <c r="AF1596" s="190"/>
      <c r="AG1596" s="190"/>
      <c r="AH1596" s="190"/>
      <c r="AI1596" s="190"/>
      <c r="AJ1596" s="190"/>
      <c r="AK1596" s="190"/>
      <c r="AL1596" s="190"/>
    </row>
    <row r="1597" spans="2:38" ht="12.75" customHeight="1">
      <c r="B1597" s="6"/>
      <c r="C1597" s="6"/>
      <c r="D1597" s="12"/>
      <c r="E1597" s="12"/>
      <c r="F1597" s="12"/>
      <c r="G1597" s="12"/>
      <c r="H1597" s="6"/>
      <c r="I1597" s="190"/>
      <c r="J1597" s="190"/>
      <c r="K1597" s="190"/>
      <c r="L1597" s="190"/>
      <c r="M1597" s="190"/>
      <c r="N1597" s="190"/>
      <c r="O1597" s="190"/>
      <c r="P1597" s="190"/>
      <c r="Q1597" s="190"/>
      <c r="R1597" s="190"/>
      <c r="S1597" s="190"/>
      <c r="T1597" s="190"/>
      <c r="U1597" s="190"/>
      <c r="V1597" s="190"/>
      <c r="W1597" s="190"/>
      <c r="X1597" s="190"/>
      <c r="Y1597" s="190"/>
      <c r="Z1597" s="190"/>
      <c r="AA1597" s="190"/>
      <c r="AB1597" s="190"/>
      <c r="AC1597" s="190"/>
      <c r="AD1597" s="190"/>
      <c r="AE1597" s="190"/>
      <c r="AF1597" s="190"/>
      <c r="AG1597" s="190"/>
      <c r="AH1597" s="190"/>
      <c r="AI1597" s="190"/>
      <c r="AJ1597" s="190"/>
      <c r="AK1597" s="190"/>
      <c r="AL1597" s="190"/>
    </row>
    <row r="1598" spans="2:38" ht="12.75" customHeight="1">
      <c r="B1598" s="6"/>
      <c r="C1598" s="6"/>
      <c r="D1598" s="12"/>
      <c r="E1598" s="12"/>
      <c r="F1598" s="12"/>
      <c r="G1598" s="12"/>
      <c r="H1598" s="6"/>
      <c r="I1598" s="190"/>
      <c r="J1598" s="190"/>
      <c r="K1598" s="190"/>
      <c r="L1598" s="190"/>
      <c r="M1598" s="190"/>
      <c r="N1598" s="190"/>
      <c r="O1598" s="190"/>
      <c r="P1598" s="190"/>
      <c r="Q1598" s="190"/>
      <c r="R1598" s="190"/>
      <c r="S1598" s="190"/>
      <c r="T1598" s="190"/>
      <c r="U1598" s="190"/>
      <c r="V1598" s="190"/>
      <c r="W1598" s="190"/>
      <c r="X1598" s="190"/>
      <c r="Y1598" s="190"/>
      <c r="Z1598" s="190"/>
      <c r="AA1598" s="190"/>
      <c r="AB1598" s="190"/>
      <c r="AC1598" s="190"/>
      <c r="AD1598" s="190"/>
      <c r="AE1598" s="190"/>
      <c r="AF1598" s="190"/>
      <c r="AG1598" s="190"/>
      <c r="AH1598" s="190"/>
      <c r="AI1598" s="190"/>
      <c r="AJ1598" s="190"/>
      <c r="AK1598" s="190"/>
      <c r="AL1598" s="190"/>
    </row>
    <row r="1599" spans="2:38" ht="12.75" customHeight="1">
      <c r="B1599" s="6"/>
      <c r="C1599" s="6"/>
      <c r="D1599" s="12"/>
      <c r="E1599" s="12"/>
      <c r="F1599" s="12"/>
      <c r="G1599" s="12"/>
      <c r="H1599" s="6"/>
      <c r="I1599" s="190"/>
      <c r="J1599" s="190"/>
      <c r="K1599" s="190"/>
      <c r="L1599" s="190"/>
      <c r="M1599" s="190"/>
      <c r="N1599" s="190"/>
      <c r="O1599" s="190"/>
      <c r="P1599" s="190"/>
      <c r="Q1599" s="190"/>
      <c r="R1599" s="190"/>
      <c r="S1599" s="190"/>
      <c r="T1599" s="190"/>
      <c r="U1599" s="190"/>
      <c r="V1599" s="190"/>
      <c r="W1599" s="190"/>
      <c r="X1599" s="190"/>
      <c r="Y1599" s="190"/>
      <c r="Z1599" s="190"/>
      <c r="AA1599" s="190"/>
      <c r="AB1599" s="190"/>
      <c r="AC1599" s="190"/>
      <c r="AD1599" s="190"/>
      <c r="AE1599" s="190"/>
      <c r="AF1599" s="190"/>
      <c r="AG1599" s="190"/>
      <c r="AH1599" s="190"/>
      <c r="AI1599" s="190"/>
      <c r="AJ1599" s="190"/>
      <c r="AK1599" s="190"/>
      <c r="AL1599" s="190"/>
    </row>
    <row r="1600" spans="2:38" ht="12.75" customHeight="1">
      <c r="B1600" s="6"/>
      <c r="C1600" s="6"/>
      <c r="D1600" s="12"/>
      <c r="E1600" s="12"/>
      <c r="F1600" s="12"/>
      <c r="G1600" s="12"/>
      <c r="H1600" s="6"/>
      <c r="I1600" s="190"/>
      <c r="J1600" s="190"/>
      <c r="K1600" s="190"/>
      <c r="L1600" s="190"/>
      <c r="M1600" s="190"/>
      <c r="N1600" s="190"/>
      <c r="O1600" s="190"/>
      <c r="P1600" s="190"/>
      <c r="Q1600" s="190"/>
      <c r="R1600" s="190"/>
      <c r="S1600" s="190"/>
      <c r="T1600" s="190"/>
      <c r="U1600" s="190"/>
      <c r="V1600" s="190"/>
      <c r="W1600" s="190"/>
      <c r="X1600" s="190"/>
      <c r="Y1600" s="190"/>
      <c r="Z1600" s="190"/>
      <c r="AA1600" s="190"/>
      <c r="AB1600" s="190"/>
      <c r="AC1600" s="190"/>
      <c r="AD1600" s="190"/>
      <c r="AE1600" s="190"/>
      <c r="AF1600" s="190"/>
      <c r="AG1600" s="190"/>
      <c r="AH1600" s="190"/>
      <c r="AI1600" s="190"/>
      <c r="AJ1600" s="190"/>
      <c r="AK1600" s="190"/>
      <c r="AL1600" s="190"/>
    </row>
    <row r="1601" spans="2:38" ht="12.75" customHeight="1">
      <c r="B1601" s="6"/>
      <c r="C1601" s="6"/>
      <c r="D1601" s="12"/>
      <c r="E1601" s="12"/>
      <c r="F1601" s="12"/>
      <c r="G1601" s="12"/>
      <c r="H1601" s="6"/>
      <c r="I1601" s="190"/>
      <c r="J1601" s="190"/>
      <c r="K1601" s="190"/>
      <c r="L1601" s="190"/>
      <c r="M1601" s="190"/>
      <c r="N1601" s="190"/>
      <c r="O1601" s="190"/>
      <c r="P1601" s="190"/>
      <c r="Q1601" s="190"/>
      <c r="R1601" s="190"/>
      <c r="S1601" s="190"/>
      <c r="T1601" s="190"/>
      <c r="U1601" s="190"/>
      <c r="V1601" s="190"/>
      <c r="W1601" s="190"/>
      <c r="X1601" s="190"/>
      <c r="Y1601" s="190"/>
      <c r="Z1601" s="190"/>
      <c r="AA1601" s="190"/>
      <c r="AB1601" s="190"/>
      <c r="AC1601" s="190"/>
      <c r="AD1601" s="190"/>
      <c r="AE1601" s="190"/>
      <c r="AF1601" s="190"/>
      <c r="AG1601" s="190"/>
      <c r="AH1601" s="190"/>
      <c r="AI1601" s="190"/>
      <c r="AJ1601" s="190"/>
      <c r="AK1601" s="190"/>
      <c r="AL1601" s="190"/>
    </row>
    <row r="1602" spans="2:38" ht="12.75" customHeight="1">
      <c r="B1602" s="6"/>
      <c r="C1602" s="6"/>
      <c r="D1602" s="12"/>
      <c r="E1602" s="12"/>
      <c r="F1602" s="12"/>
      <c r="G1602" s="12"/>
      <c r="H1602" s="6"/>
      <c r="I1602" s="190"/>
      <c r="J1602" s="190"/>
      <c r="K1602" s="190"/>
      <c r="L1602" s="190"/>
      <c r="M1602" s="190"/>
      <c r="N1602" s="190"/>
      <c r="O1602" s="190"/>
      <c r="P1602" s="190"/>
      <c r="Q1602" s="190"/>
      <c r="R1602" s="190"/>
      <c r="S1602" s="190"/>
      <c r="T1602" s="190"/>
      <c r="U1602" s="190"/>
      <c r="V1602" s="190"/>
      <c r="W1602" s="190"/>
      <c r="X1602" s="190"/>
      <c r="Y1602" s="190"/>
      <c r="Z1602" s="190"/>
      <c r="AA1602" s="190"/>
      <c r="AB1602" s="190"/>
      <c r="AC1602" s="190"/>
      <c r="AD1602" s="190"/>
      <c r="AE1602" s="190"/>
      <c r="AF1602" s="190"/>
      <c r="AG1602" s="190"/>
      <c r="AH1602" s="190"/>
      <c r="AI1602" s="190"/>
      <c r="AJ1602" s="190"/>
      <c r="AK1602" s="190"/>
      <c r="AL1602" s="190"/>
    </row>
    <row r="1603" spans="2:38" ht="12.75" customHeight="1">
      <c r="B1603" s="6"/>
      <c r="C1603" s="6"/>
      <c r="D1603" s="12"/>
      <c r="E1603" s="12"/>
      <c r="F1603" s="12"/>
      <c r="G1603" s="12"/>
      <c r="H1603" s="6"/>
      <c r="I1603" s="190"/>
      <c r="J1603" s="190"/>
      <c r="K1603" s="190"/>
      <c r="L1603" s="190"/>
      <c r="M1603" s="190"/>
      <c r="N1603" s="190"/>
      <c r="O1603" s="190"/>
      <c r="P1603" s="190"/>
      <c r="Q1603" s="190"/>
      <c r="R1603" s="190"/>
      <c r="S1603" s="190"/>
      <c r="T1603" s="190"/>
      <c r="U1603" s="190"/>
      <c r="V1603" s="190"/>
      <c r="W1603" s="190"/>
      <c r="X1603" s="190"/>
      <c r="Y1603" s="190"/>
      <c r="Z1603" s="190"/>
      <c r="AA1603" s="190"/>
      <c r="AB1603" s="190"/>
      <c r="AC1603" s="190"/>
      <c r="AD1603" s="190"/>
      <c r="AE1603" s="190"/>
      <c r="AF1603" s="190"/>
      <c r="AG1603" s="190"/>
      <c r="AH1603" s="190"/>
      <c r="AI1603" s="190"/>
      <c r="AJ1603" s="190"/>
      <c r="AK1603" s="190"/>
      <c r="AL1603" s="190"/>
    </row>
    <row r="1604" spans="2:38" ht="12.75" customHeight="1">
      <c r="B1604" s="6"/>
      <c r="C1604" s="6"/>
      <c r="D1604" s="12"/>
      <c r="E1604" s="12"/>
      <c r="F1604" s="12"/>
      <c r="G1604" s="12"/>
      <c r="H1604" s="6"/>
      <c r="I1604" s="190"/>
      <c r="J1604" s="190"/>
      <c r="K1604" s="190"/>
      <c r="L1604" s="190"/>
      <c r="M1604" s="190"/>
      <c r="N1604" s="190"/>
      <c r="O1604" s="190"/>
      <c r="P1604" s="190"/>
      <c r="Q1604" s="190"/>
      <c r="R1604" s="190"/>
      <c r="S1604" s="190"/>
      <c r="T1604" s="190"/>
      <c r="U1604" s="190"/>
      <c r="V1604" s="190"/>
      <c r="W1604" s="190"/>
      <c r="X1604" s="190"/>
      <c r="Y1604" s="190"/>
      <c r="Z1604" s="190"/>
      <c r="AA1604" s="190"/>
      <c r="AB1604" s="190"/>
      <c r="AC1604" s="190"/>
      <c r="AD1604" s="190"/>
      <c r="AE1604" s="190"/>
      <c r="AF1604" s="190"/>
      <c r="AG1604" s="190"/>
      <c r="AH1604" s="190"/>
      <c r="AI1604" s="190"/>
      <c r="AJ1604" s="190"/>
      <c r="AK1604" s="190"/>
      <c r="AL1604" s="190"/>
    </row>
    <row r="1605" spans="2:38" ht="12.75" customHeight="1">
      <c r="B1605" s="6"/>
      <c r="C1605" s="6"/>
      <c r="D1605" s="12"/>
      <c r="E1605" s="12"/>
      <c r="F1605" s="12"/>
      <c r="G1605" s="12"/>
      <c r="H1605" s="6"/>
      <c r="I1605" s="190"/>
      <c r="J1605" s="190"/>
      <c r="K1605" s="190"/>
      <c r="L1605" s="190"/>
      <c r="M1605" s="190"/>
      <c r="N1605" s="190"/>
      <c r="O1605" s="190"/>
      <c r="P1605" s="190"/>
      <c r="Q1605" s="190"/>
      <c r="R1605" s="190"/>
      <c r="S1605" s="190"/>
      <c r="T1605" s="190"/>
      <c r="U1605" s="190"/>
      <c r="V1605" s="190"/>
      <c r="W1605" s="190"/>
      <c r="X1605" s="190"/>
      <c r="Y1605" s="190"/>
      <c r="Z1605" s="190"/>
      <c r="AA1605" s="190"/>
      <c r="AB1605" s="190"/>
      <c r="AC1605" s="190"/>
      <c r="AD1605" s="190"/>
      <c r="AE1605" s="190"/>
      <c r="AF1605" s="190"/>
      <c r="AG1605" s="190"/>
      <c r="AH1605" s="190"/>
      <c r="AI1605" s="190"/>
      <c r="AJ1605" s="190"/>
      <c r="AK1605" s="190"/>
      <c r="AL1605" s="190"/>
    </row>
    <row r="1606" spans="2:38" ht="12.75" customHeight="1">
      <c r="B1606" s="6"/>
      <c r="C1606" s="6"/>
      <c r="D1606" s="12"/>
      <c r="E1606" s="12"/>
      <c r="F1606" s="12"/>
      <c r="G1606" s="12"/>
      <c r="H1606" s="6"/>
      <c r="I1606" s="190"/>
      <c r="J1606" s="190"/>
      <c r="K1606" s="190"/>
      <c r="L1606" s="190"/>
      <c r="M1606" s="190"/>
      <c r="N1606" s="190"/>
      <c r="O1606" s="190"/>
      <c r="P1606" s="190"/>
      <c r="Q1606" s="190"/>
      <c r="R1606" s="190"/>
      <c r="S1606" s="190"/>
      <c r="T1606" s="190"/>
      <c r="U1606" s="190"/>
      <c r="V1606" s="190"/>
      <c r="W1606" s="190"/>
      <c r="X1606" s="190"/>
      <c r="Y1606" s="190"/>
      <c r="Z1606" s="190"/>
      <c r="AA1606" s="190"/>
      <c r="AB1606" s="190"/>
      <c r="AC1606" s="190"/>
      <c r="AD1606" s="190"/>
      <c r="AE1606" s="190"/>
      <c r="AF1606" s="190"/>
      <c r="AG1606" s="190"/>
      <c r="AH1606" s="190"/>
      <c r="AI1606" s="190"/>
      <c r="AJ1606" s="190"/>
      <c r="AK1606" s="190"/>
      <c r="AL1606" s="190"/>
    </row>
    <row r="1607" spans="2:38" ht="12.75" customHeight="1">
      <c r="B1607" s="6"/>
      <c r="C1607" s="6"/>
      <c r="D1607" s="12"/>
      <c r="E1607" s="12"/>
      <c r="F1607" s="12"/>
      <c r="G1607" s="12"/>
      <c r="H1607" s="6"/>
      <c r="I1607" s="190"/>
      <c r="J1607" s="190"/>
      <c r="K1607" s="190"/>
      <c r="L1607" s="190"/>
      <c r="M1607" s="190"/>
      <c r="N1607" s="190"/>
      <c r="O1607" s="190"/>
      <c r="P1607" s="190"/>
      <c r="Q1607" s="190"/>
      <c r="R1607" s="190"/>
      <c r="S1607" s="190"/>
      <c r="T1607" s="190"/>
      <c r="U1607" s="190"/>
      <c r="V1607" s="190"/>
      <c r="W1607" s="190"/>
      <c r="X1607" s="190"/>
      <c r="Y1607" s="190"/>
      <c r="Z1607" s="190"/>
      <c r="AA1607" s="190"/>
      <c r="AB1607" s="190"/>
      <c r="AC1607" s="190"/>
      <c r="AD1607" s="190"/>
      <c r="AE1607" s="190"/>
      <c r="AF1607" s="190"/>
      <c r="AG1607" s="190"/>
      <c r="AH1607" s="190"/>
      <c r="AI1607" s="190"/>
      <c r="AJ1607" s="190"/>
      <c r="AK1607" s="190"/>
      <c r="AL1607" s="190"/>
    </row>
    <row r="1608" spans="2:38" ht="12.75" customHeight="1">
      <c r="B1608" s="6"/>
      <c r="C1608" s="6"/>
      <c r="D1608" s="12"/>
      <c r="E1608" s="12"/>
      <c r="F1608" s="12"/>
      <c r="G1608" s="12"/>
      <c r="H1608" s="6"/>
      <c r="I1608" s="190"/>
      <c r="J1608" s="190"/>
      <c r="K1608" s="190"/>
      <c r="L1608" s="190"/>
      <c r="M1608" s="190"/>
      <c r="N1608" s="190"/>
      <c r="O1608" s="190"/>
      <c r="P1608" s="190"/>
      <c r="Q1608" s="190"/>
      <c r="R1608" s="190"/>
      <c r="S1608" s="190"/>
      <c r="T1608" s="190"/>
      <c r="U1608" s="190"/>
      <c r="V1608" s="190"/>
      <c r="W1608" s="190"/>
      <c r="X1608" s="190"/>
      <c r="Y1608" s="190"/>
      <c r="Z1608" s="190"/>
      <c r="AA1608" s="190"/>
      <c r="AB1608" s="190"/>
      <c r="AC1608" s="190"/>
      <c r="AD1608" s="190"/>
      <c r="AE1608" s="190"/>
      <c r="AF1608" s="190"/>
      <c r="AG1608" s="190"/>
      <c r="AH1608" s="190"/>
      <c r="AI1608" s="190"/>
      <c r="AJ1608" s="190"/>
      <c r="AK1608" s="190"/>
      <c r="AL1608" s="190"/>
    </row>
    <row r="1609" spans="2:38" ht="12.75" customHeight="1">
      <c r="B1609" s="6"/>
      <c r="C1609" s="6"/>
      <c r="D1609" s="12"/>
      <c r="E1609" s="12"/>
      <c r="F1609" s="12"/>
      <c r="G1609" s="12"/>
      <c r="H1609" s="6"/>
      <c r="I1609" s="190"/>
      <c r="J1609" s="190"/>
      <c r="K1609" s="190"/>
      <c r="L1609" s="190"/>
      <c r="M1609" s="190"/>
      <c r="N1609" s="190"/>
      <c r="O1609" s="190"/>
      <c r="P1609" s="190"/>
      <c r="Q1609" s="190"/>
      <c r="R1609" s="190"/>
      <c r="S1609" s="190"/>
      <c r="T1609" s="190"/>
      <c r="U1609" s="190"/>
      <c r="V1609" s="190"/>
      <c r="W1609" s="190"/>
      <c r="X1609" s="190"/>
      <c r="Y1609" s="190"/>
      <c r="Z1609" s="190"/>
      <c r="AA1609" s="190"/>
      <c r="AB1609" s="190"/>
      <c r="AC1609" s="190"/>
      <c r="AD1609" s="190"/>
      <c r="AE1609" s="190"/>
      <c r="AF1609" s="190"/>
      <c r="AG1609" s="190"/>
      <c r="AH1609" s="190"/>
      <c r="AI1609" s="190"/>
      <c r="AJ1609" s="190"/>
      <c r="AK1609" s="190"/>
      <c r="AL1609" s="190"/>
    </row>
    <row r="1610" spans="2:38" ht="12.75" customHeight="1">
      <c r="B1610" s="6"/>
      <c r="C1610" s="6"/>
      <c r="D1610" s="12"/>
      <c r="E1610" s="12"/>
      <c r="F1610" s="12"/>
      <c r="G1610" s="12"/>
      <c r="H1610" s="6"/>
      <c r="I1610" s="190"/>
      <c r="J1610" s="190"/>
      <c r="K1610" s="190"/>
      <c r="L1610" s="190"/>
      <c r="M1610" s="190"/>
      <c r="N1610" s="190"/>
      <c r="O1610" s="190"/>
      <c r="P1610" s="190"/>
      <c r="Q1610" s="190"/>
      <c r="R1610" s="190"/>
      <c r="S1610" s="190"/>
      <c r="T1610" s="190"/>
      <c r="U1610" s="190"/>
      <c r="V1610" s="190"/>
      <c r="W1610" s="190"/>
      <c r="X1610" s="190"/>
      <c r="Y1610" s="190"/>
      <c r="Z1610" s="190"/>
      <c r="AA1610" s="190"/>
      <c r="AB1610" s="190"/>
      <c r="AC1610" s="190"/>
      <c r="AD1610" s="190"/>
      <c r="AE1610" s="190"/>
      <c r="AF1610" s="190"/>
      <c r="AG1610" s="190"/>
      <c r="AH1610" s="190"/>
      <c r="AI1610" s="190"/>
      <c r="AJ1610" s="190"/>
      <c r="AK1610" s="190"/>
      <c r="AL1610" s="190"/>
    </row>
    <row r="1611" spans="2:38" ht="12.75" customHeight="1">
      <c r="B1611" s="6"/>
      <c r="C1611" s="6"/>
      <c r="D1611" s="12"/>
      <c r="E1611" s="12"/>
      <c r="F1611" s="12"/>
      <c r="G1611" s="12"/>
      <c r="H1611" s="6"/>
      <c r="I1611" s="190"/>
      <c r="J1611" s="190"/>
      <c r="K1611" s="190"/>
      <c r="L1611" s="190"/>
      <c r="M1611" s="190"/>
      <c r="N1611" s="190"/>
      <c r="O1611" s="190"/>
      <c r="P1611" s="190"/>
      <c r="Q1611" s="190"/>
      <c r="R1611" s="190"/>
      <c r="S1611" s="190"/>
      <c r="T1611" s="190"/>
      <c r="U1611" s="190"/>
      <c r="V1611" s="190"/>
      <c r="W1611" s="190"/>
      <c r="X1611" s="190"/>
      <c r="Y1611" s="190"/>
      <c r="Z1611" s="190"/>
      <c r="AA1611" s="190"/>
      <c r="AB1611" s="190"/>
      <c r="AC1611" s="190"/>
      <c r="AD1611" s="190"/>
      <c r="AE1611" s="190"/>
      <c r="AF1611" s="190"/>
      <c r="AG1611" s="190"/>
      <c r="AH1611" s="190"/>
      <c r="AI1611" s="190"/>
      <c r="AJ1611" s="190"/>
      <c r="AK1611" s="190"/>
      <c r="AL1611" s="190"/>
    </row>
    <row r="1612" spans="2:38" ht="12.75" customHeight="1">
      <c r="B1612" s="6"/>
      <c r="C1612" s="6"/>
      <c r="D1612" s="12"/>
      <c r="E1612" s="12"/>
      <c r="F1612" s="12"/>
      <c r="G1612" s="12"/>
      <c r="H1612" s="6"/>
      <c r="I1612" s="190"/>
      <c r="J1612" s="190"/>
      <c r="K1612" s="190"/>
      <c r="L1612" s="190"/>
      <c r="M1612" s="190"/>
      <c r="N1612" s="190"/>
      <c r="O1612" s="190"/>
      <c r="P1612" s="190"/>
      <c r="Q1612" s="190"/>
      <c r="R1612" s="190"/>
      <c r="S1612" s="190"/>
      <c r="T1612" s="190"/>
      <c r="U1612" s="190"/>
      <c r="V1612" s="190"/>
      <c r="W1612" s="190"/>
      <c r="X1612" s="190"/>
      <c r="Y1612" s="190"/>
      <c r="Z1612" s="190"/>
      <c r="AA1612" s="190"/>
      <c r="AB1612" s="190"/>
      <c r="AC1612" s="190"/>
      <c r="AD1612" s="190"/>
      <c r="AE1612" s="190"/>
      <c r="AF1612" s="190"/>
      <c r="AG1612" s="190"/>
      <c r="AH1612" s="190"/>
      <c r="AI1612" s="190"/>
      <c r="AJ1612" s="190"/>
      <c r="AK1612" s="190"/>
      <c r="AL1612" s="190"/>
    </row>
    <row r="1613" spans="2:38" ht="12.75" customHeight="1">
      <c r="B1613" s="6"/>
      <c r="C1613" s="6"/>
      <c r="D1613" s="12"/>
      <c r="E1613" s="12"/>
      <c r="F1613" s="12"/>
      <c r="G1613" s="12"/>
      <c r="H1613" s="6"/>
      <c r="I1613" s="190"/>
      <c r="J1613" s="190"/>
      <c r="K1613" s="190"/>
      <c r="L1613" s="190"/>
      <c r="M1613" s="190"/>
      <c r="N1613" s="190"/>
      <c r="O1613" s="190"/>
      <c r="P1613" s="190"/>
      <c r="Q1613" s="190"/>
      <c r="R1613" s="190"/>
      <c r="S1613" s="190"/>
      <c r="T1613" s="190"/>
      <c r="U1613" s="190"/>
      <c r="V1613" s="190"/>
      <c r="W1613" s="190"/>
      <c r="X1613" s="190"/>
      <c r="Y1613" s="190"/>
      <c r="Z1613" s="190"/>
      <c r="AA1613" s="190"/>
      <c r="AB1613" s="190"/>
      <c r="AC1613" s="190"/>
      <c r="AD1613" s="190"/>
      <c r="AE1613" s="190"/>
      <c r="AF1613" s="190"/>
      <c r="AG1613" s="190"/>
      <c r="AH1613" s="190"/>
      <c r="AI1613" s="190"/>
      <c r="AJ1613" s="190"/>
      <c r="AK1613" s="190"/>
      <c r="AL1613" s="190"/>
    </row>
    <row r="1614" spans="2:38" ht="12.75" customHeight="1">
      <c r="B1614" s="6"/>
      <c r="C1614" s="6"/>
      <c r="D1614" s="12"/>
      <c r="E1614" s="12"/>
      <c r="F1614" s="12"/>
      <c r="G1614" s="12"/>
      <c r="H1614" s="6"/>
      <c r="I1614" s="190"/>
      <c r="J1614" s="190"/>
      <c r="K1614" s="190"/>
      <c r="L1614" s="190"/>
      <c r="M1614" s="190"/>
      <c r="N1614" s="190"/>
      <c r="O1614" s="190"/>
      <c r="P1614" s="190"/>
      <c r="Q1614" s="190"/>
      <c r="R1614" s="190"/>
      <c r="S1614" s="190"/>
      <c r="T1614" s="190"/>
      <c r="U1614" s="190"/>
      <c r="V1614" s="190"/>
      <c r="W1614" s="190"/>
      <c r="X1614" s="190"/>
      <c r="Y1614" s="190"/>
      <c r="Z1614" s="190"/>
      <c r="AA1614" s="190"/>
      <c r="AB1614" s="190"/>
      <c r="AC1614" s="190"/>
      <c r="AD1614" s="190"/>
      <c r="AE1614" s="190"/>
      <c r="AF1614" s="190"/>
      <c r="AG1614" s="190"/>
      <c r="AH1614" s="190"/>
      <c r="AI1614" s="190"/>
      <c r="AJ1614" s="190"/>
      <c r="AK1614" s="190"/>
      <c r="AL1614" s="190"/>
    </row>
    <row r="1615" spans="2:38" ht="12.75" customHeight="1">
      <c r="B1615" s="6"/>
      <c r="C1615" s="6"/>
      <c r="D1615" s="12"/>
      <c r="E1615" s="12"/>
      <c r="F1615" s="12"/>
      <c r="G1615" s="12"/>
      <c r="H1615" s="6"/>
      <c r="I1615" s="190"/>
      <c r="J1615" s="190"/>
      <c r="K1615" s="190"/>
      <c r="L1615" s="190"/>
      <c r="M1615" s="190"/>
      <c r="N1615" s="190"/>
      <c r="O1615" s="190"/>
      <c r="P1615" s="190"/>
      <c r="Q1615" s="190"/>
      <c r="R1615" s="190"/>
      <c r="S1615" s="190"/>
      <c r="T1615" s="190"/>
      <c r="U1615" s="190"/>
      <c r="V1615" s="190"/>
      <c r="W1615" s="190"/>
      <c r="X1615" s="190"/>
      <c r="Y1615" s="190"/>
      <c r="Z1615" s="190"/>
      <c r="AA1615" s="190"/>
      <c r="AB1615" s="190"/>
      <c r="AC1615" s="190"/>
      <c r="AD1615" s="190"/>
      <c r="AE1615" s="190"/>
      <c r="AF1615" s="190"/>
      <c r="AG1615" s="190"/>
      <c r="AH1615" s="190"/>
      <c r="AI1615" s="190"/>
      <c r="AJ1615" s="190"/>
      <c r="AK1615" s="190"/>
      <c r="AL1615" s="190"/>
    </row>
    <row r="1616" spans="2:38" ht="12.75" customHeight="1">
      <c r="B1616" s="6"/>
      <c r="C1616" s="6"/>
      <c r="D1616" s="12"/>
      <c r="E1616" s="12"/>
      <c r="F1616" s="12"/>
      <c r="G1616" s="12"/>
      <c r="H1616" s="6"/>
      <c r="I1616" s="190"/>
      <c r="J1616" s="190"/>
      <c r="K1616" s="190"/>
      <c r="L1616" s="190"/>
      <c r="M1616" s="190"/>
      <c r="N1616" s="190"/>
      <c r="O1616" s="190"/>
      <c r="P1616" s="190"/>
      <c r="Q1616" s="190"/>
      <c r="R1616" s="190"/>
      <c r="S1616" s="190"/>
      <c r="T1616" s="190"/>
      <c r="U1616" s="190"/>
      <c r="V1616" s="190"/>
      <c r="W1616" s="190"/>
      <c r="X1616" s="190"/>
      <c r="Y1616" s="190"/>
      <c r="Z1616" s="190"/>
      <c r="AA1616" s="190"/>
      <c r="AB1616" s="190"/>
      <c r="AC1616" s="190"/>
      <c r="AD1616" s="190"/>
      <c r="AE1616" s="190"/>
      <c r="AF1616" s="190"/>
      <c r="AG1616" s="190"/>
      <c r="AH1616" s="190"/>
      <c r="AI1616" s="190"/>
      <c r="AJ1616" s="190"/>
      <c r="AK1616" s="190"/>
      <c r="AL1616" s="190"/>
    </row>
    <row r="1617" spans="2:38" ht="12.75" customHeight="1">
      <c r="B1617" s="6"/>
      <c r="C1617" s="6"/>
      <c r="D1617" s="12"/>
      <c r="E1617" s="12"/>
      <c r="F1617" s="12"/>
      <c r="G1617" s="12"/>
      <c r="H1617" s="6"/>
      <c r="I1617" s="190"/>
      <c r="J1617" s="190"/>
      <c r="K1617" s="190"/>
      <c r="L1617" s="190"/>
      <c r="M1617" s="190"/>
      <c r="N1617" s="190"/>
      <c r="O1617" s="190"/>
      <c r="P1617" s="190"/>
      <c r="Q1617" s="190"/>
      <c r="R1617" s="190"/>
      <c r="S1617" s="190"/>
      <c r="T1617" s="190"/>
      <c r="U1617" s="190"/>
      <c r="V1617" s="190"/>
      <c r="W1617" s="190"/>
      <c r="X1617" s="190"/>
      <c r="Y1617" s="190"/>
      <c r="Z1617" s="190"/>
      <c r="AA1617" s="190"/>
      <c r="AB1617" s="190"/>
      <c r="AC1617" s="190"/>
      <c r="AD1617" s="190"/>
      <c r="AE1617" s="190"/>
      <c r="AF1617" s="190"/>
      <c r="AG1617" s="190"/>
      <c r="AH1617" s="190"/>
      <c r="AI1617" s="190"/>
      <c r="AJ1617" s="190"/>
      <c r="AK1617" s="190"/>
      <c r="AL1617" s="190"/>
    </row>
    <row r="1618" spans="2:38" ht="12.75" customHeight="1">
      <c r="B1618" s="6"/>
      <c r="C1618" s="6"/>
      <c r="D1618" s="12"/>
      <c r="E1618" s="12"/>
      <c r="F1618" s="12"/>
      <c r="G1618" s="12"/>
      <c r="H1618" s="6"/>
      <c r="I1618" s="190"/>
      <c r="J1618" s="190"/>
      <c r="K1618" s="190"/>
      <c r="L1618" s="190"/>
      <c r="M1618" s="190"/>
      <c r="N1618" s="190"/>
      <c r="O1618" s="190"/>
      <c r="P1618" s="190"/>
      <c r="Q1618" s="190"/>
      <c r="R1618" s="190"/>
      <c r="S1618" s="190"/>
      <c r="T1618" s="190"/>
      <c r="U1618" s="190"/>
      <c r="V1618" s="190"/>
      <c r="W1618" s="190"/>
      <c r="X1618" s="190"/>
      <c r="Y1618" s="190"/>
      <c r="Z1618" s="190"/>
      <c r="AA1618" s="190"/>
      <c r="AB1618" s="190"/>
      <c r="AC1618" s="190"/>
      <c r="AD1618" s="190"/>
      <c r="AE1618" s="190"/>
      <c r="AF1618" s="190"/>
      <c r="AG1618" s="190"/>
      <c r="AH1618" s="190"/>
      <c r="AI1618" s="190"/>
      <c r="AJ1618" s="190"/>
      <c r="AK1618" s="190"/>
      <c r="AL1618" s="190"/>
    </row>
    <row r="1619" spans="2:38" ht="12.75" customHeight="1">
      <c r="B1619" s="6"/>
      <c r="C1619" s="6"/>
      <c r="D1619" s="12"/>
      <c r="E1619" s="12"/>
      <c r="F1619" s="12"/>
      <c r="G1619" s="12"/>
      <c r="H1619" s="6"/>
      <c r="I1619" s="190"/>
      <c r="J1619" s="190"/>
      <c r="K1619" s="190"/>
      <c r="L1619" s="190"/>
      <c r="M1619" s="190"/>
      <c r="N1619" s="190"/>
      <c r="O1619" s="190"/>
      <c r="P1619" s="190"/>
      <c r="Q1619" s="190"/>
      <c r="R1619" s="190"/>
      <c r="S1619" s="190"/>
      <c r="T1619" s="190"/>
      <c r="U1619" s="190"/>
      <c r="V1619" s="190"/>
      <c r="W1619" s="190"/>
      <c r="X1619" s="190"/>
      <c r="Y1619" s="190"/>
      <c r="Z1619" s="190"/>
      <c r="AA1619" s="190"/>
      <c r="AB1619" s="190"/>
      <c r="AC1619" s="190"/>
      <c r="AD1619" s="190"/>
      <c r="AE1619" s="190"/>
      <c r="AF1619" s="190"/>
      <c r="AG1619" s="190"/>
      <c r="AH1619" s="190"/>
      <c r="AI1619" s="190"/>
      <c r="AJ1619" s="190"/>
      <c r="AK1619" s="190"/>
      <c r="AL1619" s="190"/>
    </row>
    <row r="1620" spans="2:38" ht="12.75" customHeight="1">
      <c r="B1620" s="6"/>
      <c r="C1620" s="6"/>
      <c r="D1620" s="12"/>
      <c r="E1620" s="12"/>
      <c r="F1620" s="12"/>
      <c r="G1620" s="12"/>
      <c r="H1620" s="6"/>
      <c r="I1620" s="190"/>
      <c r="J1620" s="190"/>
      <c r="K1620" s="190"/>
      <c r="L1620" s="190"/>
      <c r="M1620" s="190"/>
      <c r="N1620" s="190"/>
      <c r="O1620" s="190"/>
      <c r="P1620" s="190"/>
      <c r="Q1620" s="190"/>
      <c r="R1620" s="190"/>
      <c r="S1620" s="190"/>
      <c r="T1620" s="190"/>
      <c r="U1620" s="190"/>
      <c r="V1620" s="190"/>
      <c r="W1620" s="190"/>
      <c r="X1620" s="190"/>
      <c r="Y1620" s="190"/>
      <c r="Z1620" s="190"/>
      <c r="AA1620" s="190"/>
      <c r="AB1620" s="190"/>
      <c r="AC1620" s="190"/>
      <c r="AD1620" s="190"/>
      <c r="AE1620" s="190"/>
      <c r="AF1620" s="190"/>
      <c r="AG1620" s="190"/>
      <c r="AH1620" s="190"/>
      <c r="AI1620" s="190"/>
      <c r="AJ1620" s="190"/>
      <c r="AK1620" s="190"/>
      <c r="AL1620" s="190"/>
    </row>
    <row r="1621" spans="2:38" ht="12.75" customHeight="1">
      <c r="B1621" s="6"/>
      <c r="C1621" s="6"/>
      <c r="D1621" s="12"/>
      <c r="E1621" s="12"/>
      <c r="F1621" s="12"/>
      <c r="G1621" s="12"/>
      <c r="H1621" s="6"/>
      <c r="I1621" s="190"/>
      <c r="J1621" s="190"/>
      <c r="K1621" s="190"/>
      <c r="L1621" s="190"/>
      <c r="M1621" s="190"/>
      <c r="N1621" s="190"/>
      <c r="O1621" s="190"/>
      <c r="P1621" s="190"/>
      <c r="Q1621" s="190"/>
      <c r="R1621" s="190"/>
      <c r="S1621" s="190"/>
      <c r="T1621" s="190"/>
      <c r="U1621" s="190"/>
      <c r="V1621" s="190"/>
      <c r="W1621" s="190"/>
      <c r="X1621" s="190"/>
      <c r="Y1621" s="190"/>
      <c r="Z1621" s="190"/>
      <c r="AA1621" s="190"/>
      <c r="AB1621" s="190"/>
      <c r="AC1621" s="190"/>
      <c r="AD1621" s="190"/>
      <c r="AE1621" s="190"/>
      <c r="AF1621" s="190"/>
      <c r="AG1621" s="190"/>
      <c r="AH1621" s="190"/>
      <c r="AI1621" s="190"/>
      <c r="AJ1621" s="190"/>
      <c r="AK1621" s="190"/>
      <c r="AL1621" s="190"/>
    </row>
    <row r="1622" spans="2:38" ht="12.75" customHeight="1">
      <c r="B1622" s="6"/>
      <c r="C1622" s="6"/>
      <c r="D1622" s="12"/>
      <c r="E1622" s="12"/>
      <c r="F1622" s="12"/>
      <c r="G1622" s="12"/>
      <c r="H1622" s="6"/>
      <c r="I1622" s="190"/>
      <c r="J1622" s="190"/>
      <c r="K1622" s="190"/>
      <c r="L1622" s="190"/>
      <c r="M1622" s="190"/>
      <c r="N1622" s="190"/>
      <c r="O1622" s="190"/>
      <c r="P1622" s="190"/>
      <c r="Q1622" s="190"/>
      <c r="R1622" s="190"/>
      <c r="S1622" s="190"/>
      <c r="T1622" s="190"/>
      <c r="U1622" s="190"/>
      <c r="V1622" s="190"/>
      <c r="W1622" s="190"/>
      <c r="X1622" s="190"/>
      <c r="Y1622" s="190"/>
      <c r="Z1622" s="190"/>
      <c r="AA1622" s="190"/>
      <c r="AB1622" s="190"/>
      <c r="AC1622" s="190"/>
      <c r="AD1622" s="190"/>
      <c r="AE1622" s="190"/>
      <c r="AF1622" s="190"/>
      <c r="AG1622" s="190"/>
      <c r="AH1622" s="190"/>
      <c r="AI1622" s="190"/>
      <c r="AJ1622" s="190"/>
      <c r="AK1622" s="190"/>
      <c r="AL1622" s="190"/>
    </row>
    <row r="1623" spans="2:38" ht="12.75" customHeight="1">
      <c r="B1623" s="6"/>
      <c r="C1623" s="6"/>
      <c r="D1623" s="12"/>
      <c r="E1623" s="12"/>
      <c r="F1623" s="12"/>
      <c r="G1623" s="12"/>
      <c r="H1623" s="6"/>
      <c r="I1623" s="190"/>
      <c r="J1623" s="190"/>
      <c r="K1623" s="190"/>
      <c r="L1623" s="190"/>
      <c r="M1623" s="190"/>
      <c r="N1623" s="190"/>
      <c r="O1623" s="190"/>
      <c r="P1623" s="190"/>
      <c r="Q1623" s="190"/>
      <c r="R1623" s="190"/>
      <c r="S1623" s="190"/>
      <c r="T1623" s="190"/>
      <c r="U1623" s="190"/>
      <c r="V1623" s="190"/>
      <c r="W1623" s="190"/>
      <c r="X1623" s="190"/>
      <c r="Y1623" s="190"/>
      <c r="Z1623" s="190"/>
      <c r="AA1623" s="190"/>
      <c r="AB1623" s="190"/>
      <c r="AC1623" s="190"/>
      <c r="AD1623" s="190"/>
      <c r="AE1623" s="190"/>
      <c r="AF1623" s="190"/>
      <c r="AG1623" s="190"/>
      <c r="AH1623" s="190"/>
      <c r="AI1623" s="190"/>
      <c r="AJ1623" s="190"/>
      <c r="AK1623" s="190"/>
      <c r="AL1623" s="190"/>
    </row>
    <row r="1624" spans="2:38" ht="12.75" customHeight="1">
      <c r="B1624" s="6"/>
      <c r="C1624" s="6"/>
      <c r="D1624" s="12"/>
      <c r="E1624" s="12"/>
      <c r="F1624" s="12"/>
      <c r="G1624" s="12"/>
      <c r="H1624" s="6"/>
      <c r="I1624" s="190"/>
      <c r="J1624" s="190"/>
      <c r="K1624" s="190"/>
      <c r="L1624" s="190"/>
      <c r="M1624" s="190"/>
      <c r="N1624" s="190"/>
      <c r="O1624" s="190"/>
      <c r="P1624" s="190"/>
      <c r="Q1624" s="190"/>
      <c r="R1624" s="190"/>
      <c r="S1624" s="190"/>
      <c r="T1624" s="190"/>
      <c r="U1624" s="190"/>
      <c r="V1624" s="190"/>
      <c r="W1624" s="190"/>
      <c r="X1624" s="190"/>
      <c r="Y1624" s="190"/>
      <c r="Z1624" s="190"/>
      <c r="AA1624" s="190"/>
      <c r="AB1624" s="190"/>
      <c r="AC1624" s="190"/>
      <c r="AD1624" s="190"/>
      <c r="AE1624" s="190"/>
      <c r="AF1624" s="190"/>
      <c r="AG1624" s="190"/>
      <c r="AH1624" s="190"/>
      <c r="AI1624" s="190"/>
      <c r="AJ1624" s="190"/>
      <c r="AK1624" s="190"/>
      <c r="AL1624" s="190"/>
    </row>
    <row r="1625" spans="2:38" ht="12.75" customHeight="1">
      <c r="B1625" s="6"/>
      <c r="C1625" s="6"/>
      <c r="D1625" s="12"/>
      <c r="E1625" s="12"/>
      <c r="F1625" s="12"/>
      <c r="G1625" s="12"/>
      <c r="H1625" s="6"/>
      <c r="I1625" s="190"/>
      <c r="J1625" s="190"/>
      <c r="K1625" s="190"/>
      <c r="L1625" s="190"/>
      <c r="M1625" s="190"/>
      <c r="N1625" s="190"/>
      <c r="O1625" s="190"/>
      <c r="P1625" s="190"/>
      <c r="Q1625" s="190"/>
      <c r="R1625" s="190"/>
      <c r="S1625" s="190"/>
      <c r="T1625" s="190"/>
      <c r="U1625" s="190"/>
      <c r="V1625" s="190"/>
      <c r="W1625" s="190"/>
      <c r="X1625" s="190"/>
      <c r="Y1625" s="190"/>
      <c r="Z1625" s="190"/>
      <c r="AA1625" s="190"/>
      <c r="AB1625" s="190"/>
      <c r="AC1625" s="190"/>
      <c r="AD1625" s="190"/>
      <c r="AE1625" s="190"/>
      <c r="AF1625" s="190"/>
      <c r="AG1625" s="190"/>
      <c r="AH1625" s="190"/>
      <c r="AI1625" s="190"/>
      <c r="AJ1625" s="190"/>
      <c r="AK1625" s="190"/>
      <c r="AL1625" s="190"/>
    </row>
    <row r="1626" spans="2:38" ht="12.75" customHeight="1">
      <c r="B1626" s="6"/>
      <c r="C1626" s="6"/>
      <c r="D1626" s="12"/>
      <c r="E1626" s="12"/>
      <c r="F1626" s="12"/>
      <c r="G1626" s="12"/>
      <c r="H1626" s="6"/>
      <c r="I1626" s="190"/>
      <c r="J1626" s="190"/>
      <c r="K1626" s="190"/>
      <c r="L1626" s="190"/>
      <c r="M1626" s="190"/>
      <c r="N1626" s="190"/>
      <c r="O1626" s="190"/>
      <c r="P1626" s="190"/>
      <c r="Q1626" s="190"/>
      <c r="R1626" s="190"/>
      <c r="S1626" s="190"/>
      <c r="T1626" s="190"/>
      <c r="U1626" s="190"/>
      <c r="V1626" s="190"/>
      <c r="W1626" s="190"/>
      <c r="X1626" s="190"/>
      <c r="Y1626" s="190"/>
      <c r="Z1626" s="190"/>
      <c r="AA1626" s="190"/>
      <c r="AB1626" s="190"/>
      <c r="AC1626" s="190"/>
      <c r="AD1626" s="190"/>
      <c r="AE1626" s="190"/>
      <c r="AF1626" s="190"/>
      <c r="AG1626" s="190"/>
      <c r="AH1626" s="190"/>
      <c r="AI1626" s="190"/>
      <c r="AJ1626" s="190"/>
      <c r="AK1626" s="190"/>
      <c r="AL1626" s="190"/>
    </row>
    <row r="1627" spans="2:38" ht="12.75" customHeight="1">
      <c r="B1627" s="6"/>
      <c r="C1627" s="6"/>
      <c r="D1627" s="12"/>
      <c r="E1627" s="12"/>
      <c r="F1627" s="12"/>
      <c r="G1627" s="12"/>
      <c r="H1627" s="6"/>
      <c r="I1627" s="190"/>
      <c r="J1627" s="190"/>
      <c r="K1627" s="190"/>
      <c r="L1627" s="190"/>
      <c r="M1627" s="190"/>
      <c r="N1627" s="190"/>
      <c r="O1627" s="190"/>
      <c r="P1627" s="190"/>
      <c r="Q1627" s="190"/>
      <c r="R1627" s="190"/>
      <c r="S1627" s="190"/>
      <c r="T1627" s="190"/>
      <c r="U1627" s="190"/>
      <c r="V1627" s="190"/>
      <c r="W1627" s="190"/>
      <c r="X1627" s="190"/>
      <c r="Y1627" s="190"/>
      <c r="Z1627" s="190"/>
      <c r="AA1627" s="190"/>
      <c r="AB1627" s="190"/>
      <c r="AC1627" s="190"/>
      <c r="AD1627" s="190"/>
      <c r="AE1627" s="190"/>
      <c r="AF1627" s="190"/>
      <c r="AG1627" s="190"/>
      <c r="AH1627" s="190"/>
      <c r="AI1627" s="190"/>
      <c r="AJ1627" s="190"/>
      <c r="AK1627" s="190"/>
      <c r="AL1627" s="190"/>
    </row>
    <row r="1628" spans="2:38" ht="12.75" customHeight="1">
      <c r="B1628" s="6"/>
      <c r="C1628" s="6"/>
      <c r="D1628" s="12"/>
      <c r="E1628" s="12"/>
      <c r="F1628" s="12"/>
      <c r="G1628" s="12"/>
      <c r="H1628" s="6"/>
      <c r="I1628" s="190"/>
      <c r="J1628" s="190"/>
      <c r="K1628" s="190"/>
      <c r="L1628" s="190"/>
      <c r="M1628" s="190"/>
      <c r="N1628" s="190"/>
      <c r="O1628" s="190"/>
      <c r="P1628" s="190"/>
      <c r="Q1628" s="190"/>
      <c r="R1628" s="190"/>
      <c r="S1628" s="190"/>
      <c r="T1628" s="190"/>
      <c r="U1628" s="190"/>
      <c r="V1628" s="190"/>
      <c r="W1628" s="190"/>
      <c r="X1628" s="190"/>
      <c r="Y1628" s="190"/>
      <c r="Z1628" s="190"/>
      <c r="AA1628" s="190"/>
      <c r="AB1628" s="190"/>
      <c r="AC1628" s="190"/>
      <c r="AD1628" s="190"/>
      <c r="AE1628" s="190"/>
      <c r="AF1628" s="190"/>
      <c r="AG1628" s="190"/>
      <c r="AH1628" s="190"/>
      <c r="AI1628" s="190"/>
      <c r="AJ1628" s="190"/>
      <c r="AK1628" s="190"/>
      <c r="AL1628" s="190"/>
    </row>
    <row r="1629" spans="2:38" ht="12.75" customHeight="1">
      <c r="B1629" s="6"/>
      <c r="C1629" s="6"/>
      <c r="D1629" s="12"/>
      <c r="E1629" s="12"/>
      <c r="F1629" s="12"/>
      <c r="G1629" s="12"/>
      <c r="H1629" s="6"/>
      <c r="I1629" s="190"/>
      <c r="J1629" s="190"/>
      <c r="K1629" s="190"/>
      <c r="L1629" s="190"/>
      <c r="M1629" s="190"/>
      <c r="N1629" s="190"/>
      <c r="O1629" s="190"/>
      <c r="P1629" s="190"/>
      <c r="Q1629" s="190"/>
      <c r="R1629" s="190"/>
      <c r="S1629" s="190"/>
      <c r="T1629" s="190"/>
      <c r="U1629" s="190"/>
      <c r="V1629" s="190"/>
      <c r="W1629" s="190"/>
      <c r="X1629" s="190"/>
      <c r="Y1629" s="190"/>
      <c r="Z1629" s="190"/>
      <c r="AA1629" s="190"/>
      <c r="AB1629" s="190"/>
      <c r="AC1629" s="190"/>
      <c r="AD1629" s="190"/>
      <c r="AE1629" s="190"/>
      <c r="AF1629" s="190"/>
      <c r="AG1629" s="190"/>
      <c r="AH1629" s="190"/>
      <c r="AI1629" s="190"/>
      <c r="AJ1629" s="190"/>
      <c r="AK1629" s="190"/>
      <c r="AL1629" s="190"/>
    </row>
    <row r="1630" spans="2:38" ht="12.75" customHeight="1">
      <c r="B1630" s="6"/>
      <c r="C1630" s="6"/>
      <c r="D1630" s="12"/>
      <c r="E1630" s="12"/>
      <c r="F1630" s="12"/>
      <c r="G1630" s="12"/>
      <c r="H1630" s="6"/>
      <c r="I1630" s="190"/>
      <c r="J1630" s="190"/>
      <c r="K1630" s="190"/>
      <c r="L1630" s="190"/>
      <c r="M1630" s="190"/>
      <c r="N1630" s="190"/>
      <c r="O1630" s="190"/>
      <c r="P1630" s="190"/>
      <c r="Q1630" s="190"/>
      <c r="R1630" s="190"/>
      <c r="S1630" s="190"/>
      <c r="T1630" s="190"/>
      <c r="U1630" s="190"/>
      <c r="V1630" s="190"/>
      <c r="W1630" s="190"/>
      <c r="X1630" s="190"/>
      <c r="Y1630" s="190"/>
      <c r="Z1630" s="190"/>
      <c r="AA1630" s="190"/>
      <c r="AB1630" s="190"/>
      <c r="AC1630" s="190"/>
      <c r="AD1630" s="190"/>
      <c r="AE1630" s="190"/>
      <c r="AF1630" s="190"/>
      <c r="AG1630" s="190"/>
      <c r="AH1630" s="190"/>
      <c r="AI1630" s="190"/>
      <c r="AJ1630" s="190"/>
      <c r="AK1630" s="190"/>
      <c r="AL1630" s="190"/>
    </row>
    <row r="1631" spans="2:38" ht="12.75" customHeight="1">
      <c r="B1631" s="6"/>
      <c r="C1631" s="6"/>
      <c r="D1631" s="12"/>
      <c r="E1631" s="12"/>
      <c r="F1631" s="12"/>
      <c r="G1631" s="12"/>
      <c r="H1631" s="6"/>
      <c r="I1631" s="190"/>
      <c r="J1631" s="190"/>
      <c r="K1631" s="190"/>
      <c r="L1631" s="190"/>
      <c r="M1631" s="190"/>
      <c r="N1631" s="190"/>
      <c r="O1631" s="190"/>
      <c r="P1631" s="190"/>
      <c r="Q1631" s="190"/>
      <c r="R1631" s="190"/>
      <c r="S1631" s="190"/>
      <c r="T1631" s="190"/>
      <c r="U1631" s="190"/>
      <c r="V1631" s="190"/>
      <c r="W1631" s="190"/>
      <c r="X1631" s="190"/>
      <c r="Y1631" s="190"/>
      <c r="Z1631" s="190"/>
      <c r="AA1631" s="190"/>
      <c r="AB1631" s="190"/>
      <c r="AC1631" s="190"/>
      <c r="AD1631" s="190"/>
      <c r="AE1631" s="190"/>
      <c r="AF1631" s="190"/>
      <c r="AG1631" s="190"/>
      <c r="AH1631" s="190"/>
      <c r="AI1631" s="190"/>
      <c r="AJ1631" s="190"/>
      <c r="AK1631" s="190"/>
      <c r="AL1631" s="190"/>
    </row>
    <row r="1632" spans="2:38" ht="12.75" customHeight="1">
      <c r="B1632" s="6"/>
      <c r="C1632" s="6"/>
      <c r="D1632" s="12"/>
      <c r="E1632" s="12"/>
      <c r="F1632" s="12"/>
      <c r="G1632" s="12"/>
      <c r="H1632" s="6"/>
      <c r="I1632" s="190"/>
      <c r="J1632" s="190"/>
      <c r="K1632" s="190"/>
      <c r="L1632" s="190"/>
      <c r="M1632" s="190"/>
      <c r="N1632" s="190"/>
      <c r="O1632" s="190"/>
      <c r="P1632" s="190"/>
      <c r="Q1632" s="190"/>
      <c r="R1632" s="190"/>
      <c r="S1632" s="190"/>
      <c r="T1632" s="190"/>
      <c r="U1632" s="190"/>
      <c r="V1632" s="190"/>
      <c r="W1632" s="190"/>
      <c r="X1632" s="190"/>
      <c r="Y1632" s="190"/>
      <c r="Z1632" s="190"/>
      <c r="AA1632" s="190"/>
      <c r="AB1632" s="190"/>
      <c r="AC1632" s="190"/>
      <c r="AD1632" s="190"/>
      <c r="AE1632" s="190"/>
      <c r="AF1632" s="190"/>
      <c r="AG1632" s="190"/>
      <c r="AH1632" s="190"/>
      <c r="AI1632" s="190"/>
      <c r="AJ1632" s="190"/>
      <c r="AK1632" s="190"/>
      <c r="AL1632" s="190"/>
    </row>
    <row r="1633" spans="2:38" ht="12.75" customHeight="1">
      <c r="B1633" s="6"/>
      <c r="C1633" s="6"/>
      <c r="D1633" s="12"/>
      <c r="E1633" s="12"/>
      <c r="F1633" s="12"/>
      <c r="G1633" s="12"/>
      <c r="H1633" s="6"/>
      <c r="I1633" s="190"/>
      <c r="J1633" s="190"/>
      <c r="K1633" s="190"/>
      <c r="L1633" s="190"/>
      <c r="M1633" s="190"/>
      <c r="N1633" s="190"/>
      <c r="O1633" s="190"/>
      <c r="P1633" s="190"/>
      <c r="Q1633" s="190"/>
      <c r="R1633" s="190"/>
      <c r="S1633" s="190"/>
      <c r="T1633" s="190"/>
      <c r="U1633" s="190"/>
      <c r="V1633" s="190"/>
      <c r="W1633" s="190"/>
      <c r="X1633" s="190"/>
      <c r="Y1633" s="190"/>
      <c r="Z1633" s="190"/>
      <c r="AA1633" s="190"/>
      <c r="AB1633" s="190"/>
      <c r="AC1633" s="190"/>
      <c r="AD1633" s="190"/>
      <c r="AE1633" s="190"/>
      <c r="AF1633" s="190"/>
      <c r="AG1633" s="190"/>
      <c r="AH1633" s="190"/>
      <c r="AI1633" s="190"/>
      <c r="AJ1633" s="190"/>
      <c r="AK1633" s="190"/>
      <c r="AL1633" s="190"/>
    </row>
    <row r="1634" spans="2:38" ht="12.75" customHeight="1">
      <c r="B1634" s="6"/>
      <c r="C1634" s="6"/>
      <c r="D1634" s="12"/>
      <c r="E1634" s="12"/>
      <c r="F1634" s="12"/>
      <c r="G1634" s="12"/>
      <c r="H1634" s="6"/>
      <c r="I1634" s="190"/>
      <c r="J1634" s="190"/>
      <c r="K1634" s="190"/>
      <c r="L1634" s="190"/>
      <c r="M1634" s="190"/>
      <c r="N1634" s="190"/>
      <c r="O1634" s="190"/>
      <c r="P1634" s="190"/>
      <c r="Q1634" s="190"/>
      <c r="R1634" s="190"/>
      <c r="S1634" s="190"/>
      <c r="T1634" s="190"/>
      <c r="U1634" s="190"/>
      <c r="V1634" s="190"/>
      <c r="W1634" s="190"/>
      <c r="X1634" s="190"/>
      <c r="Y1634" s="190"/>
      <c r="Z1634" s="190"/>
      <c r="AA1634" s="190"/>
      <c r="AB1634" s="190"/>
      <c r="AC1634" s="190"/>
      <c r="AD1634" s="190"/>
      <c r="AE1634" s="190"/>
      <c r="AF1634" s="190"/>
      <c r="AG1634" s="190"/>
      <c r="AH1634" s="190"/>
      <c r="AI1634" s="190"/>
      <c r="AJ1634" s="190"/>
      <c r="AK1634" s="190"/>
      <c r="AL1634" s="190"/>
    </row>
    <row r="1635" spans="2:38" ht="12.75" customHeight="1">
      <c r="B1635" s="6"/>
      <c r="C1635" s="6"/>
      <c r="D1635" s="12"/>
      <c r="E1635" s="12"/>
      <c r="F1635" s="12"/>
      <c r="G1635" s="12"/>
      <c r="H1635" s="6"/>
      <c r="I1635" s="190"/>
      <c r="J1635" s="190"/>
      <c r="K1635" s="190"/>
      <c r="L1635" s="190"/>
      <c r="M1635" s="190"/>
      <c r="N1635" s="190"/>
      <c r="O1635" s="190"/>
      <c r="P1635" s="190"/>
      <c r="Q1635" s="190"/>
      <c r="R1635" s="190"/>
      <c r="S1635" s="190"/>
      <c r="T1635" s="190"/>
      <c r="U1635" s="190"/>
      <c r="V1635" s="190"/>
      <c r="W1635" s="190"/>
      <c r="X1635" s="190"/>
      <c r="Y1635" s="190"/>
      <c r="Z1635" s="190"/>
      <c r="AA1635" s="190"/>
      <c r="AB1635" s="190"/>
      <c r="AC1635" s="190"/>
      <c r="AD1635" s="190"/>
      <c r="AE1635" s="190"/>
      <c r="AF1635" s="190"/>
      <c r="AG1635" s="190"/>
      <c r="AH1635" s="190"/>
      <c r="AI1635" s="190"/>
      <c r="AJ1635" s="190"/>
      <c r="AK1635" s="190"/>
      <c r="AL1635" s="190"/>
    </row>
    <row r="1636" spans="2:38" ht="12.75" customHeight="1">
      <c r="B1636" s="6"/>
      <c r="C1636" s="6"/>
      <c r="D1636" s="12"/>
      <c r="E1636" s="12"/>
      <c r="F1636" s="12"/>
      <c r="G1636" s="12"/>
      <c r="H1636" s="6"/>
      <c r="I1636" s="190"/>
      <c r="J1636" s="190"/>
      <c r="K1636" s="190"/>
      <c r="L1636" s="190"/>
      <c r="M1636" s="190"/>
      <c r="N1636" s="190"/>
      <c r="O1636" s="190"/>
      <c r="P1636" s="190"/>
      <c r="Q1636" s="190"/>
      <c r="R1636" s="190"/>
      <c r="S1636" s="190"/>
      <c r="T1636" s="190"/>
      <c r="U1636" s="190"/>
      <c r="V1636" s="190"/>
      <c r="W1636" s="190"/>
      <c r="X1636" s="190"/>
      <c r="Y1636" s="190"/>
      <c r="Z1636" s="190"/>
      <c r="AA1636" s="190"/>
      <c r="AB1636" s="190"/>
      <c r="AC1636" s="190"/>
      <c r="AD1636" s="190"/>
      <c r="AE1636" s="190"/>
      <c r="AF1636" s="190"/>
      <c r="AG1636" s="190"/>
      <c r="AH1636" s="190"/>
      <c r="AI1636" s="190"/>
      <c r="AJ1636" s="190"/>
      <c r="AK1636" s="190"/>
      <c r="AL1636" s="190"/>
    </row>
    <row r="1637" spans="2:38" ht="12.75" customHeight="1">
      <c r="B1637" s="6"/>
      <c r="C1637" s="6"/>
      <c r="D1637" s="12"/>
      <c r="E1637" s="12"/>
      <c r="F1637" s="12"/>
      <c r="G1637" s="12"/>
      <c r="H1637" s="6"/>
      <c r="I1637" s="190"/>
      <c r="J1637" s="190"/>
      <c r="K1637" s="190"/>
      <c r="L1637" s="190"/>
      <c r="M1637" s="190"/>
      <c r="N1637" s="190"/>
      <c r="O1637" s="190"/>
      <c r="P1637" s="190"/>
      <c r="Q1637" s="190"/>
      <c r="R1637" s="190"/>
      <c r="S1637" s="190"/>
      <c r="T1637" s="190"/>
      <c r="U1637" s="190"/>
      <c r="V1637" s="190"/>
      <c r="W1637" s="190"/>
      <c r="X1637" s="190"/>
      <c r="Y1637" s="190"/>
      <c r="Z1637" s="190"/>
      <c r="AA1637" s="190"/>
      <c r="AB1637" s="190"/>
      <c r="AC1637" s="190"/>
      <c r="AD1637" s="190"/>
      <c r="AE1637" s="190"/>
      <c r="AF1637" s="190"/>
      <c r="AG1637" s="190"/>
      <c r="AH1637" s="190"/>
      <c r="AI1637" s="190"/>
      <c r="AJ1637" s="190"/>
      <c r="AK1637" s="190"/>
      <c r="AL1637" s="190"/>
    </row>
    <row r="1638" spans="2:38" ht="12.75" customHeight="1">
      <c r="B1638" s="6"/>
      <c r="C1638" s="6"/>
      <c r="D1638" s="12"/>
      <c r="E1638" s="12"/>
      <c r="F1638" s="12"/>
      <c r="G1638" s="12"/>
      <c r="H1638" s="6"/>
      <c r="I1638" s="190"/>
      <c r="J1638" s="190"/>
      <c r="K1638" s="190"/>
      <c r="L1638" s="190"/>
      <c r="M1638" s="190"/>
      <c r="N1638" s="190"/>
      <c r="O1638" s="190"/>
      <c r="P1638" s="190"/>
      <c r="Q1638" s="190"/>
      <c r="R1638" s="190"/>
      <c r="S1638" s="190"/>
      <c r="T1638" s="190"/>
      <c r="U1638" s="190"/>
      <c r="V1638" s="190"/>
      <c r="W1638" s="190"/>
      <c r="X1638" s="190"/>
      <c r="Y1638" s="190"/>
      <c r="Z1638" s="190"/>
      <c r="AA1638" s="190"/>
      <c r="AB1638" s="190"/>
      <c r="AC1638" s="190"/>
      <c r="AD1638" s="190"/>
      <c r="AE1638" s="190"/>
      <c r="AF1638" s="190"/>
      <c r="AG1638" s="190"/>
      <c r="AH1638" s="190"/>
      <c r="AI1638" s="190"/>
      <c r="AJ1638" s="190"/>
      <c r="AK1638" s="190"/>
      <c r="AL1638" s="190"/>
    </row>
    <row r="1639" spans="2:38" ht="12.75" customHeight="1">
      <c r="B1639" s="6"/>
      <c r="C1639" s="6"/>
      <c r="D1639" s="12"/>
      <c r="E1639" s="12"/>
      <c r="F1639" s="12"/>
      <c r="G1639" s="12"/>
      <c r="H1639" s="6"/>
      <c r="I1639" s="190"/>
      <c r="J1639" s="190"/>
      <c r="K1639" s="190"/>
      <c r="L1639" s="190"/>
      <c r="M1639" s="190"/>
      <c r="N1639" s="190"/>
      <c r="O1639" s="190"/>
      <c r="P1639" s="190"/>
      <c r="Q1639" s="190"/>
      <c r="R1639" s="190"/>
      <c r="S1639" s="190"/>
      <c r="T1639" s="190"/>
      <c r="U1639" s="190"/>
      <c r="V1639" s="190"/>
      <c r="W1639" s="190"/>
      <c r="X1639" s="190"/>
      <c r="Y1639" s="190"/>
      <c r="Z1639" s="190"/>
      <c r="AA1639" s="190"/>
      <c r="AB1639" s="190"/>
      <c r="AC1639" s="190"/>
      <c r="AD1639" s="190"/>
      <c r="AE1639" s="190"/>
      <c r="AF1639" s="190"/>
      <c r="AG1639" s="190"/>
      <c r="AH1639" s="190"/>
      <c r="AI1639" s="190"/>
      <c r="AJ1639" s="190"/>
      <c r="AK1639" s="190"/>
      <c r="AL1639" s="190"/>
    </row>
    <row r="1640" spans="2:38" ht="12.75" customHeight="1">
      <c r="B1640" s="6"/>
      <c r="C1640" s="6"/>
      <c r="D1640" s="12"/>
      <c r="E1640" s="12"/>
      <c r="F1640" s="12"/>
      <c r="G1640" s="12"/>
      <c r="H1640" s="6"/>
      <c r="I1640" s="190"/>
      <c r="J1640" s="190"/>
      <c r="K1640" s="190"/>
      <c r="L1640" s="190"/>
      <c r="M1640" s="190"/>
      <c r="N1640" s="190"/>
      <c r="O1640" s="190"/>
      <c r="P1640" s="190"/>
      <c r="Q1640" s="190"/>
      <c r="R1640" s="190"/>
      <c r="S1640" s="190"/>
      <c r="T1640" s="190"/>
      <c r="U1640" s="190"/>
      <c r="V1640" s="190"/>
      <c r="W1640" s="190"/>
      <c r="X1640" s="190"/>
      <c r="Y1640" s="190"/>
      <c r="Z1640" s="190"/>
      <c r="AA1640" s="190"/>
      <c r="AB1640" s="190"/>
      <c r="AC1640" s="190"/>
      <c r="AD1640" s="190"/>
      <c r="AE1640" s="190"/>
      <c r="AF1640" s="190"/>
      <c r="AG1640" s="190"/>
      <c r="AH1640" s="190"/>
      <c r="AI1640" s="190"/>
      <c r="AJ1640" s="190"/>
      <c r="AK1640" s="190"/>
      <c r="AL1640" s="190"/>
    </row>
    <row r="1641" spans="2:38" ht="12.75" customHeight="1">
      <c r="B1641" s="6"/>
      <c r="C1641" s="6"/>
      <c r="D1641" s="12"/>
      <c r="E1641" s="12"/>
      <c r="F1641" s="12"/>
      <c r="G1641" s="12"/>
      <c r="H1641" s="6"/>
      <c r="I1641" s="190"/>
      <c r="J1641" s="190"/>
      <c r="K1641" s="190"/>
      <c r="L1641" s="190"/>
      <c r="M1641" s="190"/>
      <c r="N1641" s="190"/>
      <c r="O1641" s="190"/>
      <c r="P1641" s="190"/>
      <c r="Q1641" s="190"/>
      <c r="R1641" s="190"/>
      <c r="S1641" s="190"/>
      <c r="T1641" s="190"/>
      <c r="U1641" s="190"/>
      <c r="V1641" s="190"/>
      <c r="W1641" s="190"/>
      <c r="X1641" s="190"/>
      <c r="Y1641" s="190"/>
      <c r="Z1641" s="190"/>
      <c r="AA1641" s="190"/>
      <c r="AB1641" s="190"/>
      <c r="AC1641" s="190"/>
      <c r="AD1641" s="190"/>
      <c r="AE1641" s="190"/>
      <c r="AF1641" s="190"/>
      <c r="AG1641" s="190"/>
      <c r="AH1641" s="190"/>
      <c r="AI1641" s="190"/>
      <c r="AJ1641" s="190"/>
      <c r="AK1641" s="190"/>
      <c r="AL1641" s="190"/>
    </row>
    <row r="1642" spans="2:38" ht="12.75" customHeight="1">
      <c r="B1642" s="6"/>
      <c r="C1642" s="6"/>
      <c r="D1642" s="12"/>
      <c r="E1642" s="12"/>
      <c r="F1642" s="12"/>
      <c r="G1642" s="12"/>
      <c r="H1642" s="6"/>
      <c r="I1642" s="190"/>
      <c r="J1642" s="190"/>
      <c r="K1642" s="190"/>
      <c r="L1642" s="190"/>
      <c r="M1642" s="190"/>
      <c r="N1642" s="190"/>
      <c r="O1642" s="190"/>
      <c r="P1642" s="190"/>
      <c r="Q1642" s="190"/>
      <c r="R1642" s="190"/>
      <c r="S1642" s="190"/>
      <c r="T1642" s="190"/>
      <c r="U1642" s="190"/>
      <c r="V1642" s="190"/>
      <c r="W1642" s="190"/>
      <c r="X1642" s="190"/>
      <c r="Y1642" s="190"/>
      <c r="Z1642" s="190"/>
      <c r="AA1642" s="190"/>
      <c r="AB1642" s="190"/>
      <c r="AC1642" s="190"/>
      <c r="AD1642" s="190"/>
      <c r="AE1642" s="190"/>
      <c r="AF1642" s="190"/>
      <c r="AG1642" s="190"/>
      <c r="AH1642" s="190"/>
      <c r="AI1642" s="190"/>
      <c r="AJ1642" s="190"/>
      <c r="AK1642" s="190"/>
      <c r="AL1642" s="190"/>
    </row>
    <row r="1643" spans="2:38" ht="12.75" customHeight="1">
      <c r="B1643" s="6"/>
      <c r="C1643" s="6"/>
      <c r="D1643" s="12"/>
      <c r="E1643" s="12"/>
      <c r="F1643" s="12"/>
      <c r="G1643" s="12"/>
      <c r="H1643" s="6"/>
      <c r="I1643" s="190"/>
      <c r="J1643" s="190"/>
      <c r="K1643" s="190"/>
      <c r="L1643" s="190"/>
      <c r="M1643" s="190"/>
      <c r="N1643" s="190"/>
      <c r="O1643" s="190"/>
      <c r="P1643" s="190"/>
      <c r="Q1643" s="190"/>
      <c r="R1643" s="190"/>
      <c r="S1643" s="190"/>
      <c r="T1643" s="190"/>
      <c r="U1643" s="190"/>
      <c r="V1643" s="190"/>
      <c r="W1643" s="190"/>
      <c r="X1643" s="190"/>
      <c r="Y1643" s="190"/>
      <c r="Z1643" s="190"/>
      <c r="AA1643" s="190"/>
      <c r="AB1643" s="190"/>
      <c r="AC1643" s="190"/>
      <c r="AD1643" s="190"/>
      <c r="AE1643" s="190"/>
      <c r="AF1643" s="190"/>
      <c r="AG1643" s="190"/>
      <c r="AH1643" s="190"/>
      <c r="AI1643" s="190"/>
      <c r="AJ1643" s="190"/>
      <c r="AK1643" s="190"/>
      <c r="AL1643" s="190"/>
    </row>
    <row r="1644" spans="2:38" ht="12.75" customHeight="1">
      <c r="B1644" s="6"/>
      <c r="C1644" s="6"/>
      <c r="D1644" s="12"/>
      <c r="E1644" s="12"/>
      <c r="F1644" s="12"/>
      <c r="G1644" s="12"/>
      <c r="H1644" s="6"/>
      <c r="I1644" s="190"/>
      <c r="J1644" s="190"/>
      <c r="K1644" s="190"/>
      <c r="L1644" s="190"/>
      <c r="M1644" s="190"/>
      <c r="N1644" s="190"/>
      <c r="O1644" s="190"/>
      <c r="P1644" s="190"/>
      <c r="Q1644" s="190"/>
      <c r="R1644" s="190"/>
      <c r="S1644" s="190"/>
      <c r="T1644" s="190"/>
      <c r="U1644" s="190"/>
      <c r="V1644" s="190"/>
      <c r="W1644" s="190"/>
      <c r="X1644" s="190"/>
      <c r="Y1644" s="190"/>
      <c r="Z1644" s="190"/>
      <c r="AA1644" s="190"/>
      <c r="AB1644" s="190"/>
      <c r="AC1644" s="190"/>
      <c r="AD1644" s="190"/>
      <c r="AE1644" s="190"/>
      <c r="AF1644" s="190"/>
      <c r="AG1644" s="190"/>
      <c r="AH1644" s="190"/>
      <c r="AI1644" s="190"/>
      <c r="AJ1644" s="190"/>
      <c r="AK1644" s="190"/>
      <c r="AL1644" s="190"/>
    </row>
    <row r="1645" spans="2:38" ht="12.75" customHeight="1">
      <c r="B1645" s="6"/>
      <c r="C1645" s="6"/>
      <c r="D1645" s="12"/>
      <c r="E1645" s="12"/>
      <c r="F1645" s="12"/>
      <c r="G1645" s="12"/>
      <c r="H1645" s="6"/>
      <c r="I1645" s="190"/>
      <c r="J1645" s="190"/>
      <c r="K1645" s="190"/>
      <c r="L1645" s="190"/>
      <c r="M1645" s="190"/>
      <c r="N1645" s="190"/>
      <c r="O1645" s="190"/>
      <c r="P1645" s="190"/>
      <c r="Q1645" s="190"/>
      <c r="R1645" s="190"/>
      <c r="S1645" s="190"/>
      <c r="T1645" s="190"/>
      <c r="U1645" s="190"/>
      <c r="V1645" s="190"/>
      <c r="W1645" s="190"/>
      <c r="X1645" s="190"/>
      <c r="Y1645" s="190"/>
      <c r="Z1645" s="190"/>
      <c r="AA1645" s="190"/>
      <c r="AB1645" s="190"/>
      <c r="AC1645" s="190"/>
      <c r="AD1645" s="190"/>
      <c r="AE1645" s="190"/>
      <c r="AF1645" s="190"/>
      <c r="AG1645" s="190"/>
      <c r="AH1645" s="190"/>
      <c r="AI1645" s="190"/>
      <c r="AJ1645" s="190"/>
      <c r="AK1645" s="190"/>
      <c r="AL1645" s="190"/>
    </row>
    <row r="1646" spans="2:38" ht="12.75" customHeight="1">
      <c r="B1646" s="6"/>
      <c r="C1646" s="6"/>
      <c r="D1646" s="12"/>
      <c r="E1646" s="12"/>
      <c r="F1646" s="12"/>
      <c r="G1646" s="12"/>
      <c r="H1646" s="6"/>
      <c r="I1646" s="190"/>
      <c r="J1646" s="190"/>
      <c r="K1646" s="190"/>
      <c r="L1646" s="190"/>
      <c r="M1646" s="190"/>
      <c r="N1646" s="190"/>
      <c r="O1646" s="190"/>
      <c r="P1646" s="190"/>
      <c r="Q1646" s="190"/>
      <c r="R1646" s="190"/>
      <c r="S1646" s="190"/>
      <c r="T1646" s="190"/>
      <c r="U1646" s="190"/>
      <c r="V1646" s="190"/>
      <c r="W1646" s="190"/>
      <c r="X1646" s="190"/>
      <c r="Y1646" s="190"/>
      <c r="Z1646" s="190"/>
      <c r="AA1646" s="190"/>
      <c r="AB1646" s="190"/>
      <c r="AC1646" s="190"/>
      <c r="AD1646" s="190"/>
      <c r="AE1646" s="190"/>
      <c r="AF1646" s="190"/>
      <c r="AG1646" s="190"/>
      <c r="AH1646" s="190"/>
      <c r="AI1646" s="190"/>
      <c r="AJ1646" s="190"/>
      <c r="AK1646" s="190"/>
      <c r="AL1646" s="190"/>
    </row>
    <row r="1647" spans="2:38" ht="12.75" customHeight="1">
      <c r="B1647" s="6"/>
      <c r="C1647" s="6"/>
      <c r="D1647" s="12"/>
      <c r="E1647" s="12"/>
      <c r="F1647" s="12"/>
      <c r="G1647" s="12"/>
      <c r="H1647" s="6"/>
      <c r="I1647" s="190"/>
      <c r="J1647" s="190"/>
      <c r="K1647" s="190"/>
      <c r="L1647" s="190"/>
      <c r="M1647" s="190"/>
      <c r="N1647" s="190"/>
      <c r="O1647" s="190"/>
      <c r="P1647" s="190"/>
      <c r="Q1647" s="190"/>
      <c r="R1647" s="190"/>
      <c r="S1647" s="190"/>
      <c r="T1647" s="190"/>
      <c r="U1647" s="190"/>
      <c r="V1647" s="190"/>
      <c r="W1647" s="190"/>
      <c r="X1647" s="190"/>
      <c r="Y1647" s="190"/>
      <c r="Z1647" s="190"/>
      <c r="AA1647" s="190"/>
      <c r="AB1647" s="190"/>
      <c r="AC1647" s="190"/>
      <c r="AD1647" s="190"/>
      <c r="AE1647" s="190"/>
      <c r="AF1647" s="190"/>
      <c r="AG1647" s="190"/>
      <c r="AH1647" s="190"/>
      <c r="AI1647" s="190"/>
      <c r="AJ1647" s="190"/>
      <c r="AK1647" s="190"/>
      <c r="AL1647" s="190"/>
    </row>
    <row r="1648" spans="2:38" ht="12.75" customHeight="1">
      <c r="B1648" s="6"/>
      <c r="C1648" s="6"/>
      <c r="D1648" s="12"/>
      <c r="E1648" s="12"/>
      <c r="F1648" s="12"/>
      <c r="G1648" s="12"/>
      <c r="H1648" s="6"/>
      <c r="I1648" s="190"/>
      <c r="J1648" s="190"/>
      <c r="K1648" s="190"/>
      <c r="L1648" s="190"/>
      <c r="M1648" s="190"/>
      <c r="N1648" s="190"/>
      <c r="O1648" s="190"/>
      <c r="P1648" s="190"/>
      <c r="Q1648" s="190"/>
      <c r="R1648" s="190"/>
      <c r="S1648" s="190"/>
      <c r="T1648" s="190"/>
      <c r="U1648" s="190"/>
      <c r="V1648" s="190"/>
      <c r="W1648" s="190"/>
      <c r="X1648" s="190"/>
      <c r="Y1648" s="190"/>
      <c r="Z1648" s="190"/>
      <c r="AA1648" s="190"/>
      <c r="AB1648" s="190"/>
      <c r="AC1648" s="190"/>
      <c r="AD1648" s="190"/>
      <c r="AE1648" s="190"/>
      <c r="AF1648" s="190"/>
      <c r="AG1648" s="190"/>
      <c r="AH1648" s="190"/>
      <c r="AI1648" s="190"/>
      <c r="AJ1648" s="190"/>
      <c r="AK1648" s="190"/>
      <c r="AL1648" s="190"/>
    </row>
    <row r="1649" spans="2:38" ht="12.75" customHeight="1">
      <c r="B1649" s="6"/>
      <c r="C1649" s="6"/>
      <c r="D1649" s="12"/>
      <c r="E1649" s="12"/>
      <c r="F1649" s="12"/>
      <c r="G1649" s="12"/>
      <c r="H1649" s="6"/>
      <c r="I1649" s="190"/>
      <c r="J1649" s="190"/>
      <c r="K1649" s="190"/>
      <c r="L1649" s="190"/>
      <c r="M1649" s="190"/>
      <c r="N1649" s="190"/>
      <c r="O1649" s="190"/>
      <c r="P1649" s="190"/>
      <c r="Q1649" s="190"/>
      <c r="R1649" s="190"/>
      <c r="S1649" s="190"/>
      <c r="T1649" s="190"/>
      <c r="U1649" s="190"/>
      <c r="V1649" s="190"/>
      <c r="W1649" s="190"/>
      <c r="X1649" s="190"/>
      <c r="Y1649" s="190"/>
      <c r="Z1649" s="190"/>
      <c r="AA1649" s="190"/>
      <c r="AB1649" s="190"/>
      <c r="AC1649" s="190"/>
      <c r="AD1649" s="190"/>
      <c r="AE1649" s="190"/>
      <c r="AF1649" s="190"/>
      <c r="AG1649" s="190"/>
      <c r="AH1649" s="190"/>
      <c r="AI1649" s="190"/>
      <c r="AJ1649" s="190"/>
      <c r="AK1649" s="190"/>
      <c r="AL1649" s="190"/>
    </row>
    <row r="1650" spans="2:38" ht="12.75" customHeight="1">
      <c r="B1650" s="6"/>
      <c r="C1650" s="6"/>
      <c r="D1650" s="12"/>
      <c r="E1650" s="12"/>
      <c r="F1650" s="12"/>
      <c r="G1650" s="12"/>
      <c r="H1650" s="6"/>
      <c r="I1650" s="190"/>
      <c r="J1650" s="190"/>
      <c r="K1650" s="190"/>
      <c r="L1650" s="190"/>
      <c r="M1650" s="190"/>
      <c r="N1650" s="190"/>
      <c r="O1650" s="190"/>
      <c r="P1650" s="190"/>
      <c r="Q1650" s="190"/>
      <c r="R1650" s="190"/>
      <c r="S1650" s="190"/>
      <c r="T1650" s="190"/>
      <c r="U1650" s="190"/>
      <c r="V1650" s="190"/>
      <c r="W1650" s="190"/>
      <c r="X1650" s="190"/>
      <c r="Y1650" s="190"/>
      <c r="Z1650" s="190"/>
      <c r="AA1650" s="190"/>
      <c r="AB1650" s="190"/>
      <c r="AC1650" s="190"/>
      <c r="AD1650" s="190"/>
      <c r="AE1650" s="190"/>
      <c r="AF1650" s="190"/>
      <c r="AG1650" s="190"/>
      <c r="AH1650" s="190"/>
      <c r="AI1650" s="190"/>
      <c r="AJ1650" s="190"/>
      <c r="AK1650" s="190"/>
      <c r="AL1650" s="190"/>
    </row>
    <row r="1651" spans="2:38" ht="12.75" customHeight="1">
      <c r="B1651" s="6"/>
      <c r="C1651" s="6"/>
      <c r="D1651" s="12"/>
      <c r="E1651" s="12"/>
      <c r="F1651" s="12"/>
      <c r="G1651" s="12"/>
      <c r="H1651" s="6"/>
      <c r="I1651" s="190"/>
      <c r="J1651" s="190"/>
      <c r="K1651" s="190"/>
      <c r="L1651" s="190"/>
      <c r="M1651" s="190"/>
      <c r="N1651" s="190"/>
      <c r="O1651" s="190"/>
      <c r="P1651" s="190"/>
      <c r="Q1651" s="190"/>
      <c r="R1651" s="190"/>
      <c r="S1651" s="190"/>
      <c r="T1651" s="190"/>
      <c r="U1651" s="190"/>
      <c r="V1651" s="190"/>
      <c r="W1651" s="190"/>
      <c r="X1651" s="190"/>
      <c r="Y1651" s="190"/>
      <c r="Z1651" s="190"/>
      <c r="AA1651" s="190"/>
      <c r="AB1651" s="190"/>
      <c r="AC1651" s="190"/>
      <c r="AD1651" s="190"/>
      <c r="AE1651" s="190"/>
      <c r="AF1651" s="190"/>
      <c r="AG1651" s="190"/>
      <c r="AH1651" s="190"/>
      <c r="AI1651" s="190"/>
      <c r="AJ1651" s="190"/>
      <c r="AK1651" s="190"/>
      <c r="AL1651" s="190"/>
    </row>
    <row r="1652" spans="2:38" ht="12.75" customHeight="1">
      <c r="B1652" s="6"/>
      <c r="C1652" s="6"/>
      <c r="D1652" s="12"/>
      <c r="E1652" s="12"/>
      <c r="F1652" s="12"/>
      <c r="G1652" s="12"/>
      <c r="H1652" s="6"/>
      <c r="I1652" s="190"/>
      <c r="J1652" s="190"/>
      <c r="K1652" s="190"/>
      <c r="L1652" s="190"/>
      <c r="M1652" s="190"/>
      <c r="N1652" s="190"/>
      <c r="O1652" s="190"/>
      <c r="P1652" s="190"/>
      <c r="Q1652" s="190"/>
      <c r="R1652" s="190"/>
      <c r="S1652" s="190"/>
      <c r="T1652" s="190"/>
      <c r="U1652" s="190"/>
      <c r="V1652" s="190"/>
      <c r="W1652" s="190"/>
      <c r="X1652" s="190"/>
      <c r="Y1652" s="190"/>
      <c r="Z1652" s="190"/>
      <c r="AA1652" s="190"/>
      <c r="AB1652" s="190"/>
      <c r="AC1652" s="190"/>
      <c r="AD1652" s="190"/>
      <c r="AE1652" s="190"/>
      <c r="AF1652" s="190"/>
      <c r="AG1652" s="190"/>
      <c r="AH1652" s="190"/>
      <c r="AI1652" s="190"/>
      <c r="AJ1652" s="190"/>
      <c r="AK1652" s="190"/>
      <c r="AL1652" s="190"/>
    </row>
    <row r="1653" spans="2:38" ht="12.75" customHeight="1">
      <c r="B1653" s="6"/>
      <c r="C1653" s="6"/>
      <c r="D1653" s="12"/>
      <c r="E1653" s="12"/>
      <c r="F1653" s="12"/>
      <c r="G1653" s="12"/>
      <c r="H1653" s="6"/>
      <c r="I1653" s="190"/>
      <c r="J1653" s="190"/>
      <c r="K1653" s="190"/>
      <c r="L1653" s="190"/>
      <c r="M1653" s="190"/>
      <c r="N1653" s="190"/>
      <c r="O1653" s="190"/>
      <c r="P1653" s="190"/>
      <c r="Q1653" s="190"/>
      <c r="R1653" s="190"/>
      <c r="S1653" s="190"/>
      <c r="T1653" s="190"/>
      <c r="U1653" s="190"/>
      <c r="V1653" s="190"/>
      <c r="W1653" s="190"/>
      <c r="X1653" s="190"/>
      <c r="Y1653" s="190"/>
      <c r="Z1653" s="190"/>
      <c r="AA1653" s="190"/>
      <c r="AB1653" s="190"/>
      <c r="AC1653" s="190"/>
      <c r="AD1653" s="190"/>
      <c r="AE1653" s="190"/>
      <c r="AF1653" s="190"/>
      <c r="AG1653" s="190"/>
      <c r="AH1653" s="190"/>
      <c r="AI1653" s="190"/>
      <c r="AJ1653" s="190"/>
      <c r="AK1653" s="190"/>
      <c r="AL1653" s="190"/>
    </row>
    <row r="1654" spans="2:38" ht="12.75" customHeight="1">
      <c r="B1654" s="6"/>
      <c r="C1654" s="6"/>
      <c r="D1654" s="12"/>
      <c r="E1654" s="12"/>
      <c r="F1654" s="12"/>
      <c r="G1654" s="12"/>
      <c r="H1654" s="6"/>
      <c r="I1654" s="190"/>
      <c r="J1654" s="190"/>
      <c r="K1654" s="190"/>
      <c r="L1654" s="190"/>
      <c r="M1654" s="190"/>
      <c r="N1654" s="190"/>
      <c r="O1654" s="190"/>
      <c r="P1654" s="190"/>
      <c r="Q1654" s="190"/>
      <c r="R1654" s="190"/>
      <c r="S1654" s="190"/>
      <c r="T1654" s="190"/>
      <c r="U1654" s="190"/>
      <c r="V1654" s="190"/>
      <c r="W1654" s="190"/>
      <c r="X1654" s="190"/>
      <c r="Y1654" s="190"/>
      <c r="Z1654" s="190"/>
      <c r="AA1654" s="190"/>
      <c r="AB1654" s="190"/>
      <c r="AC1654" s="190"/>
      <c r="AD1654" s="190"/>
      <c r="AE1654" s="190"/>
      <c r="AF1654" s="190"/>
      <c r="AG1654" s="190"/>
      <c r="AH1654" s="190"/>
      <c r="AI1654" s="190"/>
      <c r="AJ1654" s="190"/>
      <c r="AK1654" s="190"/>
      <c r="AL1654" s="190"/>
    </row>
    <row r="1655" spans="2:38" ht="12.75" customHeight="1">
      <c r="B1655" s="6"/>
      <c r="C1655" s="6"/>
      <c r="D1655" s="12"/>
      <c r="E1655" s="12"/>
      <c r="F1655" s="12"/>
      <c r="G1655" s="12"/>
      <c r="H1655" s="6"/>
      <c r="I1655" s="190"/>
      <c r="J1655" s="190"/>
      <c r="K1655" s="190"/>
      <c r="L1655" s="190"/>
      <c r="M1655" s="190"/>
      <c r="N1655" s="190"/>
      <c r="O1655" s="190"/>
      <c r="P1655" s="190"/>
      <c r="Q1655" s="190"/>
      <c r="R1655" s="190"/>
      <c r="S1655" s="190"/>
      <c r="T1655" s="190"/>
      <c r="U1655" s="190"/>
      <c r="V1655" s="190"/>
      <c r="W1655" s="190"/>
      <c r="X1655" s="190"/>
      <c r="Y1655" s="190"/>
      <c r="Z1655" s="190"/>
      <c r="AA1655" s="190"/>
      <c r="AB1655" s="190"/>
      <c r="AC1655" s="190"/>
      <c r="AD1655" s="190"/>
      <c r="AE1655" s="190"/>
      <c r="AF1655" s="190"/>
      <c r="AG1655" s="190"/>
      <c r="AH1655" s="190"/>
      <c r="AI1655" s="190"/>
      <c r="AJ1655" s="190"/>
      <c r="AK1655" s="190"/>
      <c r="AL1655" s="190"/>
    </row>
    <row r="1656" spans="2:38" ht="12.75" customHeight="1">
      <c r="B1656" s="6"/>
      <c r="C1656" s="6"/>
      <c r="D1656" s="12"/>
      <c r="E1656" s="12"/>
      <c r="F1656" s="12"/>
      <c r="G1656" s="12"/>
      <c r="H1656" s="6"/>
      <c r="I1656" s="190"/>
      <c r="J1656" s="190"/>
      <c r="K1656" s="190"/>
      <c r="L1656" s="190"/>
      <c r="M1656" s="190"/>
      <c r="N1656" s="190"/>
      <c r="O1656" s="190"/>
      <c r="P1656" s="190"/>
      <c r="Q1656" s="190"/>
      <c r="R1656" s="190"/>
      <c r="S1656" s="190"/>
      <c r="T1656" s="190"/>
      <c r="U1656" s="190"/>
      <c r="V1656" s="190"/>
      <c r="W1656" s="190"/>
      <c r="X1656" s="190"/>
      <c r="Y1656" s="190"/>
      <c r="Z1656" s="190"/>
      <c r="AA1656" s="190"/>
      <c r="AB1656" s="190"/>
      <c r="AC1656" s="190"/>
      <c r="AD1656" s="190"/>
      <c r="AE1656" s="190"/>
      <c r="AF1656" s="190"/>
      <c r="AG1656" s="190"/>
      <c r="AH1656" s="190"/>
      <c r="AI1656" s="190"/>
      <c r="AJ1656" s="190"/>
      <c r="AK1656" s="190"/>
      <c r="AL1656" s="190"/>
    </row>
    <row r="1657" spans="2:38" ht="12.75" customHeight="1">
      <c r="B1657" s="6"/>
      <c r="C1657" s="6"/>
      <c r="D1657" s="12"/>
      <c r="E1657" s="12"/>
      <c r="F1657" s="12"/>
      <c r="G1657" s="12"/>
      <c r="H1657" s="6"/>
      <c r="I1657" s="190"/>
      <c r="J1657" s="190"/>
      <c r="K1657" s="190"/>
      <c r="L1657" s="190"/>
      <c r="M1657" s="190"/>
      <c r="N1657" s="190"/>
      <c r="O1657" s="190"/>
      <c r="P1657" s="190"/>
      <c r="Q1657" s="190"/>
      <c r="R1657" s="190"/>
      <c r="S1657" s="190"/>
      <c r="T1657" s="190"/>
      <c r="U1657" s="190"/>
      <c r="V1657" s="190"/>
      <c r="W1657" s="190"/>
      <c r="X1657" s="190"/>
      <c r="Y1657" s="190"/>
      <c r="Z1657" s="190"/>
      <c r="AA1657" s="190"/>
      <c r="AB1657" s="190"/>
      <c r="AC1657" s="190"/>
      <c r="AD1657" s="190"/>
      <c r="AE1657" s="190"/>
      <c r="AF1657" s="190"/>
      <c r="AG1657" s="190"/>
      <c r="AH1657" s="190"/>
      <c r="AI1657" s="190"/>
      <c r="AJ1657" s="190"/>
      <c r="AK1657" s="190"/>
      <c r="AL1657" s="190"/>
    </row>
    <row r="1658" spans="2:38" ht="12.75" customHeight="1">
      <c r="B1658" s="6"/>
      <c r="C1658" s="6"/>
      <c r="D1658" s="12"/>
      <c r="E1658" s="12"/>
      <c r="F1658" s="12"/>
      <c r="G1658" s="12"/>
      <c r="H1658" s="6"/>
      <c r="I1658" s="190"/>
      <c r="J1658" s="190"/>
      <c r="K1658" s="190"/>
      <c r="L1658" s="190"/>
      <c r="M1658" s="190"/>
      <c r="N1658" s="190"/>
      <c r="O1658" s="190"/>
      <c r="P1658" s="190"/>
      <c r="Q1658" s="190"/>
      <c r="R1658" s="190"/>
      <c r="S1658" s="190"/>
      <c r="T1658" s="190"/>
      <c r="U1658" s="190"/>
      <c r="V1658" s="190"/>
      <c r="W1658" s="190"/>
      <c r="X1658" s="190"/>
      <c r="Y1658" s="190"/>
      <c r="Z1658" s="190"/>
      <c r="AA1658" s="190"/>
      <c r="AB1658" s="190"/>
      <c r="AC1658" s="190"/>
      <c r="AD1658" s="190"/>
      <c r="AE1658" s="190"/>
      <c r="AF1658" s="190"/>
      <c r="AG1658" s="190"/>
      <c r="AH1658" s="190"/>
      <c r="AI1658" s="190"/>
      <c r="AJ1658" s="190"/>
      <c r="AK1658" s="190"/>
      <c r="AL1658" s="190"/>
    </row>
    <row r="1659" spans="2:38" ht="12.75" customHeight="1">
      <c r="B1659" s="6"/>
      <c r="C1659" s="6"/>
      <c r="D1659" s="12"/>
      <c r="E1659" s="12"/>
      <c r="F1659" s="12"/>
      <c r="G1659" s="12"/>
      <c r="H1659" s="6"/>
      <c r="I1659" s="190"/>
      <c r="J1659" s="190"/>
      <c r="K1659" s="190"/>
      <c r="L1659" s="190"/>
      <c r="M1659" s="190"/>
      <c r="N1659" s="190"/>
      <c r="O1659" s="190"/>
      <c r="P1659" s="190"/>
      <c r="Q1659" s="190"/>
      <c r="R1659" s="190"/>
      <c r="S1659" s="190"/>
      <c r="T1659" s="190"/>
      <c r="U1659" s="190"/>
      <c r="V1659" s="190"/>
      <c r="W1659" s="190"/>
      <c r="X1659" s="190"/>
      <c r="Y1659" s="190"/>
      <c r="Z1659" s="190"/>
      <c r="AA1659" s="190"/>
      <c r="AB1659" s="190"/>
      <c r="AC1659" s="190"/>
      <c r="AD1659" s="190"/>
      <c r="AE1659" s="190"/>
      <c r="AF1659" s="190"/>
      <c r="AG1659" s="190"/>
      <c r="AH1659" s="190"/>
      <c r="AI1659" s="190"/>
      <c r="AJ1659" s="190"/>
      <c r="AK1659" s="190"/>
      <c r="AL1659" s="190"/>
    </row>
    <row r="1660" spans="2:38" ht="12.75" customHeight="1">
      <c r="B1660" s="6"/>
      <c r="C1660" s="6"/>
      <c r="D1660" s="12"/>
      <c r="E1660" s="12"/>
      <c r="F1660" s="12"/>
      <c r="G1660" s="12"/>
      <c r="H1660" s="6"/>
      <c r="I1660" s="190"/>
      <c r="J1660" s="190"/>
      <c r="K1660" s="190"/>
      <c r="L1660" s="190"/>
      <c r="M1660" s="190"/>
      <c r="N1660" s="190"/>
      <c r="O1660" s="190"/>
      <c r="P1660" s="190"/>
      <c r="Q1660" s="190"/>
      <c r="R1660" s="190"/>
      <c r="S1660" s="190"/>
      <c r="T1660" s="190"/>
      <c r="U1660" s="190"/>
      <c r="V1660" s="190"/>
      <c r="W1660" s="190"/>
      <c r="X1660" s="190"/>
      <c r="Y1660" s="190"/>
      <c r="Z1660" s="190"/>
      <c r="AA1660" s="190"/>
      <c r="AB1660" s="190"/>
      <c r="AC1660" s="190"/>
      <c r="AD1660" s="190"/>
      <c r="AE1660" s="190"/>
      <c r="AF1660" s="190"/>
      <c r="AG1660" s="190"/>
      <c r="AH1660" s="190"/>
      <c r="AI1660" s="190"/>
      <c r="AJ1660" s="190"/>
      <c r="AK1660" s="190"/>
      <c r="AL1660" s="190"/>
    </row>
    <row r="1661" spans="2:38" ht="12.75" customHeight="1">
      <c r="B1661" s="6"/>
      <c r="C1661" s="6"/>
      <c r="D1661" s="12"/>
      <c r="E1661" s="12"/>
      <c r="F1661" s="12"/>
      <c r="G1661" s="12"/>
      <c r="H1661" s="6"/>
      <c r="I1661" s="190"/>
      <c r="J1661" s="190"/>
      <c r="K1661" s="190"/>
      <c r="L1661" s="190"/>
      <c r="M1661" s="190"/>
      <c r="N1661" s="190"/>
      <c r="O1661" s="190"/>
      <c r="P1661" s="190"/>
      <c r="Q1661" s="190"/>
      <c r="R1661" s="190"/>
      <c r="S1661" s="190"/>
      <c r="T1661" s="190"/>
      <c r="U1661" s="190"/>
      <c r="V1661" s="190"/>
      <c r="W1661" s="190"/>
      <c r="X1661" s="190"/>
      <c r="Y1661" s="190"/>
      <c r="Z1661" s="190"/>
      <c r="AA1661" s="190"/>
      <c r="AB1661" s="190"/>
      <c r="AC1661" s="190"/>
      <c r="AD1661" s="190"/>
      <c r="AE1661" s="190"/>
      <c r="AF1661" s="190"/>
      <c r="AG1661" s="190"/>
      <c r="AH1661" s="190"/>
      <c r="AI1661" s="190"/>
      <c r="AJ1661" s="190"/>
      <c r="AK1661" s="190"/>
      <c r="AL1661" s="190"/>
    </row>
    <row r="1662" spans="2:38" ht="12.75" customHeight="1">
      <c r="B1662" s="6"/>
      <c r="C1662" s="6"/>
      <c r="D1662" s="12"/>
      <c r="E1662" s="12"/>
      <c r="F1662" s="12"/>
      <c r="G1662" s="12"/>
      <c r="H1662" s="6"/>
      <c r="I1662" s="190"/>
      <c r="J1662" s="190"/>
      <c r="K1662" s="190"/>
      <c r="L1662" s="190"/>
      <c r="M1662" s="190"/>
      <c r="N1662" s="190"/>
      <c r="O1662" s="190"/>
      <c r="P1662" s="190"/>
      <c r="Q1662" s="190"/>
      <c r="R1662" s="190"/>
      <c r="S1662" s="190"/>
      <c r="T1662" s="190"/>
      <c r="U1662" s="190"/>
      <c r="V1662" s="190"/>
      <c r="W1662" s="190"/>
      <c r="X1662" s="190"/>
      <c r="Y1662" s="190"/>
      <c r="Z1662" s="190"/>
      <c r="AA1662" s="190"/>
      <c r="AB1662" s="190"/>
      <c r="AC1662" s="190"/>
      <c r="AD1662" s="190"/>
      <c r="AE1662" s="190"/>
      <c r="AF1662" s="190"/>
      <c r="AG1662" s="190"/>
      <c r="AH1662" s="190"/>
      <c r="AI1662" s="190"/>
      <c r="AJ1662" s="190"/>
      <c r="AK1662" s="190"/>
      <c r="AL1662" s="190"/>
    </row>
    <row r="1663" spans="2:38" ht="12.75" customHeight="1">
      <c r="B1663" s="6"/>
      <c r="C1663" s="6"/>
      <c r="D1663" s="12"/>
      <c r="E1663" s="12"/>
      <c r="F1663" s="12"/>
      <c r="G1663" s="12"/>
      <c r="H1663" s="6"/>
      <c r="I1663" s="190"/>
      <c r="J1663" s="190"/>
      <c r="K1663" s="190"/>
      <c r="L1663" s="190"/>
      <c r="M1663" s="190"/>
      <c r="N1663" s="190"/>
      <c r="O1663" s="190"/>
      <c r="P1663" s="190"/>
      <c r="Q1663" s="190"/>
      <c r="R1663" s="190"/>
      <c r="S1663" s="190"/>
      <c r="T1663" s="190"/>
      <c r="U1663" s="190"/>
      <c r="V1663" s="190"/>
      <c r="W1663" s="190"/>
      <c r="X1663" s="190"/>
      <c r="Y1663" s="190"/>
      <c r="Z1663" s="190"/>
      <c r="AA1663" s="190"/>
      <c r="AB1663" s="190"/>
      <c r="AC1663" s="190"/>
      <c r="AD1663" s="190"/>
      <c r="AE1663" s="190"/>
      <c r="AF1663" s="190"/>
      <c r="AG1663" s="190"/>
      <c r="AH1663" s="190"/>
      <c r="AI1663" s="190"/>
      <c r="AJ1663" s="190"/>
      <c r="AK1663" s="190"/>
      <c r="AL1663" s="190"/>
    </row>
    <row r="1664" spans="2:38" ht="12.75" customHeight="1">
      <c r="B1664" s="6"/>
      <c r="C1664" s="6"/>
      <c r="D1664" s="12"/>
      <c r="E1664" s="12"/>
      <c r="F1664" s="12"/>
      <c r="G1664" s="12"/>
      <c r="H1664" s="6"/>
      <c r="I1664" s="190"/>
      <c r="J1664" s="190"/>
      <c r="K1664" s="190"/>
      <c r="L1664" s="190"/>
      <c r="M1664" s="190"/>
      <c r="N1664" s="190"/>
      <c r="O1664" s="190"/>
      <c r="P1664" s="190"/>
      <c r="Q1664" s="190"/>
      <c r="R1664" s="190"/>
      <c r="S1664" s="190"/>
      <c r="T1664" s="190"/>
      <c r="U1664" s="190"/>
      <c r="V1664" s="190"/>
      <c r="W1664" s="190"/>
      <c r="X1664" s="190"/>
      <c r="Y1664" s="190"/>
      <c r="Z1664" s="190"/>
      <c r="AA1664" s="190"/>
      <c r="AB1664" s="190"/>
      <c r="AC1664" s="190"/>
      <c r="AD1664" s="190"/>
      <c r="AE1664" s="190"/>
      <c r="AF1664" s="190"/>
      <c r="AG1664" s="190"/>
      <c r="AH1664" s="190"/>
      <c r="AI1664" s="190"/>
      <c r="AJ1664" s="190"/>
      <c r="AK1664" s="190"/>
      <c r="AL1664" s="190"/>
    </row>
    <row r="1665" spans="2:38" ht="12.75" customHeight="1">
      <c r="B1665" s="6"/>
      <c r="C1665" s="6"/>
      <c r="D1665" s="12"/>
      <c r="E1665" s="12"/>
      <c r="F1665" s="12"/>
      <c r="G1665" s="12"/>
      <c r="H1665" s="6"/>
      <c r="I1665" s="190"/>
      <c r="J1665" s="190"/>
      <c r="K1665" s="190"/>
      <c r="L1665" s="190"/>
      <c r="M1665" s="190"/>
      <c r="N1665" s="190"/>
      <c r="O1665" s="190"/>
      <c r="P1665" s="190"/>
      <c r="Q1665" s="190"/>
      <c r="R1665" s="190"/>
      <c r="S1665" s="190"/>
      <c r="T1665" s="190"/>
      <c r="U1665" s="190"/>
      <c r="V1665" s="190"/>
      <c r="W1665" s="190"/>
      <c r="X1665" s="190"/>
      <c r="Y1665" s="190"/>
      <c r="Z1665" s="190"/>
      <c r="AA1665" s="190"/>
      <c r="AB1665" s="190"/>
      <c r="AC1665" s="190"/>
      <c r="AD1665" s="190"/>
      <c r="AE1665" s="190"/>
      <c r="AF1665" s="190"/>
      <c r="AG1665" s="190"/>
      <c r="AH1665" s="190"/>
      <c r="AI1665" s="190"/>
      <c r="AJ1665" s="190"/>
      <c r="AK1665" s="190"/>
      <c r="AL1665" s="190"/>
    </row>
    <row r="1666" spans="2:38" ht="12.75" customHeight="1">
      <c r="B1666" s="6"/>
      <c r="C1666" s="6"/>
      <c r="D1666" s="12"/>
      <c r="E1666" s="12"/>
      <c r="F1666" s="12"/>
      <c r="G1666" s="12"/>
      <c r="H1666" s="6"/>
      <c r="I1666" s="190"/>
      <c r="J1666" s="190"/>
      <c r="K1666" s="190"/>
      <c r="L1666" s="190"/>
      <c r="M1666" s="190"/>
      <c r="N1666" s="190"/>
      <c r="O1666" s="190"/>
      <c r="P1666" s="190"/>
      <c r="Q1666" s="190"/>
      <c r="R1666" s="190"/>
      <c r="S1666" s="190"/>
      <c r="T1666" s="190"/>
      <c r="U1666" s="190"/>
      <c r="V1666" s="190"/>
      <c r="W1666" s="190"/>
      <c r="X1666" s="190"/>
      <c r="Y1666" s="190"/>
      <c r="Z1666" s="190"/>
      <c r="AA1666" s="190"/>
      <c r="AB1666" s="190"/>
      <c r="AC1666" s="190"/>
      <c r="AD1666" s="190"/>
      <c r="AE1666" s="190"/>
      <c r="AF1666" s="190"/>
      <c r="AG1666" s="190"/>
      <c r="AH1666" s="190"/>
      <c r="AI1666" s="190"/>
      <c r="AJ1666" s="190"/>
      <c r="AK1666" s="190"/>
      <c r="AL1666" s="190"/>
    </row>
    <row r="1667" spans="2:38" ht="12.75" customHeight="1">
      <c r="B1667" s="36"/>
      <c r="C1667" s="177"/>
      <c r="D1667" s="12"/>
      <c r="E1667" s="12"/>
      <c r="F1667" s="12"/>
      <c r="G1667" s="12"/>
      <c r="H1667" s="6"/>
      <c r="I1667" s="190"/>
      <c r="J1667" s="190"/>
      <c r="K1667" s="190"/>
      <c r="L1667" s="190"/>
      <c r="M1667" s="190"/>
      <c r="N1667" s="190"/>
      <c r="O1667" s="190"/>
      <c r="P1667" s="190"/>
      <c r="Q1667" s="190"/>
      <c r="R1667" s="190"/>
      <c r="S1667" s="190"/>
      <c r="T1667" s="190"/>
      <c r="U1667" s="190"/>
      <c r="V1667" s="190"/>
      <c r="W1667" s="190"/>
      <c r="X1667" s="190"/>
      <c r="Y1667" s="190"/>
      <c r="Z1667" s="190"/>
      <c r="AA1667" s="190"/>
      <c r="AB1667" s="190"/>
      <c r="AC1667" s="190"/>
      <c r="AD1667" s="190"/>
      <c r="AE1667" s="190"/>
      <c r="AF1667" s="190"/>
      <c r="AG1667" s="190"/>
      <c r="AH1667" s="190"/>
      <c r="AI1667" s="190"/>
      <c r="AJ1667" s="190"/>
      <c r="AK1667" s="190"/>
      <c r="AL1667" s="190"/>
    </row>
    <row r="1668" spans="2:38" ht="12.75" customHeight="1">
      <c r="B1668" s="485"/>
      <c r="C1668" s="177"/>
      <c r="D1668" s="12"/>
      <c r="E1668" s="12"/>
      <c r="F1668" s="12"/>
      <c r="G1668" s="12"/>
      <c r="H1668" s="6"/>
      <c r="I1668" s="190"/>
      <c r="J1668" s="190"/>
      <c r="K1668" s="190"/>
      <c r="L1668" s="190"/>
      <c r="M1668" s="190"/>
      <c r="N1668" s="190"/>
      <c r="O1668" s="190"/>
      <c r="P1668" s="190"/>
      <c r="Q1668" s="190"/>
      <c r="R1668" s="190"/>
      <c r="S1668" s="190"/>
      <c r="T1668" s="190"/>
      <c r="U1668" s="190"/>
      <c r="V1668" s="190"/>
      <c r="W1668" s="190"/>
      <c r="X1668" s="190"/>
      <c r="Y1668" s="190"/>
      <c r="Z1668" s="190"/>
      <c r="AA1668" s="190"/>
      <c r="AB1668" s="190"/>
      <c r="AC1668" s="190"/>
      <c r="AD1668" s="190"/>
      <c r="AE1668" s="190"/>
      <c r="AF1668" s="190"/>
      <c r="AG1668" s="190"/>
      <c r="AH1668" s="190"/>
      <c r="AI1668" s="190"/>
      <c r="AJ1668" s="190"/>
      <c r="AK1668" s="190"/>
      <c r="AL1668" s="190"/>
    </row>
    <row r="1669" spans="2:38" ht="12.75" customHeight="1">
      <c r="B1669" s="485"/>
      <c r="C1669" s="6"/>
      <c r="D1669" s="12"/>
      <c r="E1669" s="12"/>
      <c r="F1669" s="12"/>
      <c r="G1669" s="12"/>
      <c r="H1669" s="6"/>
      <c r="I1669" s="190"/>
      <c r="J1669" s="190"/>
      <c r="K1669" s="190"/>
      <c r="L1669" s="190"/>
      <c r="M1669" s="190"/>
      <c r="N1669" s="190"/>
      <c r="O1669" s="190"/>
      <c r="P1669" s="190"/>
      <c r="Q1669" s="190"/>
      <c r="R1669" s="190"/>
      <c r="S1669" s="190"/>
      <c r="T1669" s="190"/>
      <c r="U1669" s="190"/>
      <c r="V1669" s="190"/>
      <c r="W1669" s="190"/>
      <c r="X1669" s="190"/>
      <c r="Y1669" s="190"/>
      <c r="Z1669" s="190"/>
      <c r="AA1669" s="190"/>
      <c r="AB1669" s="190"/>
      <c r="AC1669" s="190"/>
      <c r="AD1669" s="190"/>
      <c r="AE1669" s="190"/>
      <c r="AF1669" s="190"/>
      <c r="AG1669" s="190"/>
      <c r="AH1669" s="190"/>
      <c r="AI1669" s="190"/>
      <c r="AJ1669" s="190"/>
      <c r="AK1669" s="190"/>
      <c r="AL1669" s="190"/>
    </row>
    <row r="1670" spans="2:38" ht="12.75" customHeight="1">
      <c r="B1670" s="485"/>
      <c r="C1670" s="20"/>
      <c r="D1670" s="12"/>
      <c r="E1670" s="12"/>
      <c r="F1670" s="12"/>
      <c r="G1670" s="12"/>
      <c r="H1670" s="20"/>
      <c r="I1670" s="187"/>
      <c r="J1670" s="187"/>
      <c r="K1670" s="187"/>
      <c r="L1670" s="187"/>
      <c r="M1670" s="187"/>
      <c r="N1670" s="187"/>
      <c r="O1670" s="187"/>
      <c r="P1670" s="187"/>
      <c r="Q1670" s="187"/>
      <c r="R1670" s="187"/>
      <c r="S1670" s="187"/>
      <c r="T1670" s="187"/>
      <c r="U1670" s="187"/>
      <c r="V1670" s="187"/>
      <c r="W1670" s="187"/>
      <c r="X1670" s="187"/>
      <c r="Y1670" s="187"/>
      <c r="Z1670" s="187"/>
      <c r="AA1670" s="187"/>
      <c r="AB1670" s="187"/>
      <c r="AC1670" s="187"/>
      <c r="AD1670" s="187"/>
      <c r="AE1670" s="187"/>
      <c r="AF1670" s="187"/>
      <c r="AG1670" s="187"/>
      <c r="AH1670" s="187"/>
      <c r="AI1670" s="187"/>
      <c r="AJ1670" s="187"/>
      <c r="AK1670" s="187"/>
      <c r="AL1670" s="187"/>
    </row>
    <row r="1671" spans="2:38" ht="12.75" customHeight="1">
      <c r="B1671" s="485"/>
      <c r="C1671" s="20"/>
      <c r="D1671" s="12"/>
      <c r="E1671" s="12"/>
      <c r="F1671" s="12"/>
      <c r="G1671" s="12"/>
      <c r="H1671" s="20"/>
      <c r="I1671" s="187"/>
      <c r="J1671" s="187"/>
      <c r="K1671" s="187"/>
      <c r="L1671" s="187"/>
      <c r="M1671" s="187"/>
      <c r="N1671" s="187"/>
      <c r="O1671" s="187"/>
      <c r="P1671" s="187"/>
      <c r="Q1671" s="187"/>
      <c r="R1671" s="187"/>
      <c r="S1671" s="187"/>
      <c r="T1671" s="187"/>
      <c r="U1671" s="187"/>
      <c r="V1671" s="187"/>
      <c r="W1671" s="187"/>
      <c r="X1671" s="187"/>
      <c r="Y1671" s="187"/>
      <c r="Z1671" s="187"/>
      <c r="AA1671" s="187"/>
      <c r="AB1671" s="187"/>
      <c r="AC1671" s="187"/>
      <c r="AD1671" s="187"/>
      <c r="AE1671" s="187"/>
      <c r="AF1671" s="187"/>
      <c r="AG1671" s="187"/>
      <c r="AH1671" s="187"/>
      <c r="AI1671" s="187"/>
      <c r="AJ1671" s="187"/>
      <c r="AK1671" s="187"/>
      <c r="AL1671" s="187"/>
    </row>
    <row r="1672" spans="2:38" ht="12.75" customHeight="1">
      <c r="B1672" s="485"/>
      <c r="C1672" s="20"/>
      <c r="D1672" s="12"/>
      <c r="E1672" s="12"/>
      <c r="F1672" s="12"/>
      <c r="G1672" s="12"/>
      <c r="H1672" s="20"/>
      <c r="I1672" s="187"/>
      <c r="J1672" s="187"/>
      <c r="K1672" s="187"/>
      <c r="L1672" s="187"/>
      <c r="M1672" s="187"/>
      <c r="N1672" s="187"/>
      <c r="O1672" s="187"/>
      <c r="P1672" s="187"/>
      <c r="Q1672" s="187"/>
      <c r="R1672" s="187"/>
      <c r="S1672" s="187"/>
      <c r="T1672" s="187"/>
      <c r="U1672" s="187"/>
      <c r="V1672" s="187"/>
      <c r="W1672" s="187"/>
      <c r="X1672" s="187"/>
      <c r="Y1672" s="187"/>
      <c r="Z1672" s="187"/>
      <c r="AA1672" s="187"/>
      <c r="AB1672" s="187"/>
      <c r="AC1672" s="187"/>
      <c r="AD1672" s="187"/>
      <c r="AE1672" s="187"/>
      <c r="AF1672" s="187"/>
      <c r="AG1672" s="187"/>
      <c r="AH1672" s="187"/>
      <c r="AI1672" s="187"/>
      <c r="AJ1672" s="187"/>
      <c r="AK1672" s="187"/>
      <c r="AL1672" s="187"/>
    </row>
    <row r="1673" spans="2:38" ht="12.75" customHeight="1">
      <c r="B1673" s="485"/>
      <c r="C1673" s="20"/>
      <c r="D1673" s="12"/>
      <c r="E1673" s="12"/>
      <c r="F1673" s="12"/>
      <c r="G1673" s="12"/>
      <c r="H1673" s="20"/>
      <c r="I1673" s="187"/>
      <c r="J1673" s="187"/>
      <c r="K1673" s="187"/>
      <c r="L1673" s="187"/>
      <c r="M1673" s="187"/>
      <c r="N1673" s="187"/>
      <c r="O1673" s="187"/>
      <c r="P1673" s="187"/>
      <c r="Q1673" s="187"/>
      <c r="R1673" s="187"/>
      <c r="S1673" s="187"/>
      <c r="T1673" s="187"/>
      <c r="U1673" s="187"/>
      <c r="V1673" s="187"/>
      <c r="W1673" s="187"/>
      <c r="X1673" s="187"/>
      <c r="Y1673" s="187"/>
      <c r="Z1673" s="187"/>
      <c r="AA1673" s="187"/>
      <c r="AB1673" s="187"/>
      <c r="AC1673" s="187"/>
      <c r="AD1673" s="187"/>
      <c r="AE1673" s="187"/>
      <c r="AF1673" s="187"/>
      <c r="AG1673" s="187"/>
      <c r="AH1673" s="187"/>
      <c r="AI1673" s="187"/>
      <c r="AJ1673" s="187"/>
      <c r="AK1673" s="187"/>
      <c r="AL1673" s="187"/>
    </row>
    <row r="1674" spans="2:38" ht="12.75" customHeight="1">
      <c r="B1674" s="485"/>
      <c r="C1674" s="20"/>
      <c r="D1674" s="12"/>
      <c r="E1674" s="12"/>
      <c r="F1674" s="12"/>
      <c r="G1674" s="12"/>
      <c r="H1674" s="20"/>
      <c r="I1674" s="187"/>
      <c r="J1674" s="187"/>
      <c r="K1674" s="187"/>
      <c r="L1674" s="187"/>
      <c r="M1674" s="187"/>
      <c r="N1674" s="187"/>
      <c r="O1674" s="187"/>
      <c r="P1674" s="187"/>
      <c r="Q1674" s="187"/>
      <c r="R1674" s="187"/>
      <c r="S1674" s="187"/>
      <c r="T1674" s="187"/>
      <c r="U1674" s="187"/>
      <c r="V1674" s="187"/>
      <c r="W1674" s="187"/>
      <c r="X1674" s="187"/>
      <c r="Y1674" s="187"/>
      <c r="Z1674" s="187"/>
      <c r="AA1674" s="187"/>
      <c r="AB1674" s="187"/>
      <c r="AC1674" s="187"/>
      <c r="AD1674" s="187"/>
      <c r="AE1674" s="187"/>
      <c r="AF1674" s="187"/>
      <c r="AG1674" s="187"/>
      <c r="AH1674" s="187"/>
      <c r="AI1674" s="187"/>
      <c r="AJ1674" s="187"/>
      <c r="AK1674" s="187"/>
      <c r="AL1674" s="187"/>
    </row>
    <row r="1675" spans="2:38" ht="12.75" customHeight="1">
      <c r="B1675" s="485"/>
      <c r="C1675" s="20"/>
      <c r="D1675" s="12"/>
      <c r="E1675" s="12"/>
      <c r="F1675" s="12"/>
      <c r="G1675" s="12"/>
      <c r="H1675" s="20"/>
      <c r="I1675" s="187"/>
      <c r="J1675" s="187"/>
      <c r="K1675" s="187"/>
      <c r="L1675" s="187"/>
      <c r="M1675" s="187"/>
      <c r="N1675" s="187"/>
      <c r="O1675" s="187"/>
      <c r="P1675" s="187"/>
      <c r="Q1675" s="187"/>
      <c r="R1675" s="187"/>
      <c r="S1675" s="187"/>
      <c r="T1675" s="187"/>
      <c r="U1675" s="187"/>
      <c r="V1675" s="187"/>
      <c r="W1675" s="187"/>
      <c r="X1675" s="187"/>
      <c r="Y1675" s="187"/>
      <c r="Z1675" s="187"/>
      <c r="AA1675" s="187"/>
      <c r="AB1675" s="187"/>
      <c r="AC1675" s="187"/>
      <c r="AD1675" s="187"/>
      <c r="AE1675" s="187"/>
      <c r="AF1675" s="187"/>
      <c r="AG1675" s="187"/>
      <c r="AH1675" s="187"/>
      <c r="AI1675" s="187"/>
      <c r="AJ1675" s="187"/>
      <c r="AK1675" s="187"/>
      <c r="AL1675" s="187"/>
    </row>
    <row r="1676" spans="2:38" ht="12.75" customHeight="1">
      <c r="B1676" s="485"/>
      <c r="C1676" s="20"/>
      <c r="D1676" s="12"/>
      <c r="E1676" s="12"/>
      <c r="F1676" s="12"/>
      <c r="G1676" s="12"/>
      <c r="H1676" s="20"/>
      <c r="I1676" s="187"/>
      <c r="J1676" s="187"/>
      <c r="K1676" s="187"/>
      <c r="L1676" s="187"/>
      <c r="M1676" s="187"/>
      <c r="N1676" s="187"/>
      <c r="O1676" s="187"/>
      <c r="P1676" s="187"/>
      <c r="Q1676" s="187"/>
      <c r="R1676" s="187"/>
      <c r="S1676" s="187"/>
      <c r="T1676" s="187"/>
      <c r="U1676" s="187"/>
      <c r="V1676" s="187"/>
      <c r="W1676" s="187"/>
      <c r="X1676" s="187"/>
      <c r="Y1676" s="187"/>
      <c r="Z1676" s="187"/>
      <c r="AA1676" s="187"/>
      <c r="AB1676" s="187"/>
      <c r="AC1676" s="187"/>
      <c r="AD1676" s="187"/>
      <c r="AE1676" s="187"/>
      <c r="AF1676" s="187"/>
      <c r="AG1676" s="187"/>
      <c r="AH1676" s="187"/>
      <c r="AI1676" s="187"/>
      <c r="AJ1676" s="187"/>
      <c r="AK1676" s="187"/>
      <c r="AL1676" s="187"/>
    </row>
    <row r="1677" spans="2:38" ht="12.75" customHeight="1">
      <c r="B1677" s="485"/>
      <c r="C1677" s="20"/>
      <c r="D1677" s="12"/>
      <c r="E1677" s="12"/>
      <c r="F1677" s="12"/>
      <c r="G1677" s="12"/>
      <c r="H1677" s="20"/>
      <c r="I1677" s="187"/>
      <c r="J1677" s="187"/>
      <c r="K1677" s="187"/>
      <c r="L1677" s="187"/>
      <c r="M1677" s="187"/>
      <c r="N1677" s="187"/>
      <c r="O1677" s="187"/>
      <c r="P1677" s="187"/>
      <c r="Q1677" s="187"/>
      <c r="R1677" s="187"/>
      <c r="S1677" s="187"/>
      <c r="T1677" s="187"/>
      <c r="U1677" s="187"/>
      <c r="V1677" s="187"/>
      <c r="W1677" s="187"/>
      <c r="X1677" s="187"/>
      <c r="Y1677" s="187"/>
      <c r="Z1677" s="187"/>
      <c r="AA1677" s="187"/>
      <c r="AB1677" s="187"/>
      <c r="AC1677" s="187"/>
      <c r="AD1677" s="187"/>
      <c r="AE1677" s="187"/>
      <c r="AF1677" s="187"/>
      <c r="AG1677" s="187"/>
      <c r="AH1677" s="187"/>
      <c r="AI1677" s="187"/>
      <c r="AJ1677" s="187"/>
      <c r="AK1677" s="187"/>
      <c r="AL1677" s="187"/>
    </row>
    <row r="1678" spans="2:38" ht="12.75" customHeight="1">
      <c r="B1678" s="485"/>
      <c r="C1678" s="20"/>
      <c r="D1678" s="12"/>
      <c r="E1678" s="12"/>
      <c r="F1678" s="12"/>
      <c r="G1678" s="12"/>
      <c r="H1678" s="20"/>
      <c r="I1678" s="187"/>
      <c r="J1678" s="187"/>
      <c r="K1678" s="187"/>
      <c r="L1678" s="187"/>
      <c r="M1678" s="187"/>
      <c r="N1678" s="187"/>
      <c r="O1678" s="187"/>
      <c r="P1678" s="187"/>
      <c r="Q1678" s="187"/>
      <c r="R1678" s="187"/>
      <c r="S1678" s="187"/>
      <c r="T1678" s="187"/>
      <c r="U1678" s="187"/>
      <c r="V1678" s="187"/>
      <c r="W1678" s="187"/>
      <c r="X1678" s="187"/>
      <c r="Y1678" s="187"/>
      <c r="Z1678" s="187"/>
      <c r="AA1678" s="187"/>
      <c r="AB1678" s="187"/>
      <c r="AC1678" s="187"/>
      <c r="AD1678" s="187"/>
      <c r="AE1678" s="187"/>
      <c r="AF1678" s="187"/>
      <c r="AG1678" s="187"/>
      <c r="AH1678" s="187"/>
      <c r="AI1678" s="187"/>
      <c r="AJ1678" s="187"/>
      <c r="AK1678" s="187"/>
      <c r="AL1678" s="187"/>
    </row>
    <row r="1679" spans="2:38" ht="12.75" customHeight="1">
      <c r="B1679" s="485"/>
      <c r="C1679" s="20"/>
      <c r="D1679" s="12"/>
      <c r="E1679" s="12"/>
      <c r="F1679" s="12"/>
      <c r="G1679" s="12"/>
      <c r="H1679" s="20"/>
      <c r="I1679" s="187"/>
      <c r="J1679" s="187"/>
      <c r="K1679" s="187"/>
      <c r="L1679" s="187"/>
      <c r="M1679" s="187"/>
      <c r="N1679" s="187"/>
      <c r="O1679" s="187"/>
      <c r="P1679" s="187"/>
      <c r="Q1679" s="187"/>
      <c r="R1679" s="187"/>
      <c r="S1679" s="187"/>
      <c r="T1679" s="187"/>
      <c r="U1679" s="187"/>
      <c r="V1679" s="187"/>
      <c r="W1679" s="187"/>
      <c r="X1679" s="187"/>
      <c r="Y1679" s="187"/>
      <c r="Z1679" s="187"/>
      <c r="AA1679" s="187"/>
      <c r="AB1679" s="187"/>
      <c r="AC1679" s="187"/>
      <c r="AD1679" s="187"/>
      <c r="AE1679" s="187"/>
      <c r="AF1679" s="187"/>
      <c r="AG1679" s="187"/>
      <c r="AH1679" s="187"/>
      <c r="AI1679" s="187"/>
      <c r="AJ1679" s="187"/>
      <c r="AK1679" s="187"/>
      <c r="AL1679" s="187"/>
    </row>
    <row r="1680" spans="2:38" ht="12.75" customHeight="1">
      <c r="B1680" s="485"/>
      <c r="C1680" s="20"/>
      <c r="D1680" s="12"/>
      <c r="E1680" s="12"/>
      <c r="F1680" s="12"/>
      <c r="G1680" s="12"/>
      <c r="H1680" s="20"/>
      <c r="I1680" s="187"/>
      <c r="J1680" s="187"/>
      <c r="K1680" s="187"/>
      <c r="L1680" s="187"/>
      <c r="M1680" s="187"/>
      <c r="N1680" s="187"/>
      <c r="O1680" s="187"/>
      <c r="P1680" s="187"/>
      <c r="Q1680" s="187"/>
      <c r="R1680" s="187"/>
      <c r="S1680" s="187"/>
      <c r="T1680" s="187"/>
      <c r="U1680" s="187"/>
      <c r="V1680" s="187"/>
      <c r="W1680" s="187"/>
      <c r="X1680" s="187"/>
      <c r="Y1680" s="187"/>
      <c r="Z1680" s="187"/>
      <c r="AA1680" s="187"/>
      <c r="AB1680" s="187"/>
      <c r="AC1680" s="187"/>
      <c r="AD1680" s="187"/>
      <c r="AE1680" s="187"/>
      <c r="AF1680" s="187"/>
      <c r="AG1680" s="187"/>
      <c r="AH1680" s="187"/>
      <c r="AI1680" s="187"/>
      <c r="AJ1680" s="187"/>
      <c r="AK1680" s="187"/>
      <c r="AL1680" s="187"/>
    </row>
    <row r="1681" spans="2:38" ht="12.75" customHeight="1">
      <c r="B1681" s="485"/>
      <c r="C1681" s="20"/>
      <c r="D1681" s="12"/>
      <c r="E1681" s="12"/>
      <c r="F1681" s="12"/>
      <c r="G1681" s="12"/>
      <c r="H1681" s="20"/>
      <c r="I1681" s="187"/>
      <c r="J1681" s="187"/>
      <c r="K1681" s="187"/>
      <c r="L1681" s="187"/>
      <c r="M1681" s="187"/>
      <c r="N1681" s="187"/>
      <c r="O1681" s="187"/>
      <c r="P1681" s="187"/>
      <c r="Q1681" s="187"/>
      <c r="R1681" s="187"/>
      <c r="S1681" s="187"/>
      <c r="T1681" s="187"/>
      <c r="U1681" s="187"/>
      <c r="V1681" s="187"/>
      <c r="W1681" s="187"/>
      <c r="X1681" s="187"/>
      <c r="Y1681" s="187"/>
      <c r="Z1681" s="187"/>
      <c r="AA1681" s="187"/>
      <c r="AB1681" s="187"/>
      <c r="AC1681" s="187"/>
      <c r="AD1681" s="187"/>
      <c r="AE1681" s="187"/>
      <c r="AF1681" s="187"/>
      <c r="AG1681" s="187"/>
      <c r="AH1681" s="187"/>
      <c r="AI1681" s="187"/>
      <c r="AJ1681" s="187"/>
      <c r="AK1681" s="187"/>
      <c r="AL1681" s="187"/>
    </row>
    <row r="1682" spans="2:38" ht="12.75" customHeight="1">
      <c r="B1682" s="485"/>
      <c r="C1682" s="20"/>
      <c r="D1682" s="12"/>
      <c r="E1682" s="12"/>
      <c r="F1682" s="12"/>
      <c r="G1682" s="12"/>
      <c r="H1682" s="20"/>
      <c r="I1682" s="187"/>
      <c r="J1682" s="187"/>
      <c r="K1682" s="187"/>
      <c r="L1682" s="187"/>
      <c r="M1682" s="187"/>
      <c r="N1682" s="187"/>
      <c r="O1682" s="187"/>
      <c r="P1682" s="187"/>
      <c r="Q1682" s="187"/>
      <c r="R1682" s="187"/>
      <c r="S1682" s="187"/>
      <c r="T1682" s="187"/>
      <c r="U1682" s="187"/>
      <c r="V1682" s="187"/>
      <c r="W1682" s="187"/>
      <c r="X1682" s="187"/>
      <c r="Y1682" s="187"/>
      <c r="Z1682" s="187"/>
      <c r="AA1682" s="187"/>
      <c r="AB1682" s="187"/>
      <c r="AC1682" s="187"/>
      <c r="AD1682" s="187"/>
      <c r="AE1682" s="187"/>
      <c r="AF1682" s="187"/>
      <c r="AG1682" s="187"/>
      <c r="AH1682" s="187"/>
      <c r="AI1682" s="187"/>
      <c r="AJ1682" s="187"/>
      <c r="AK1682" s="187"/>
      <c r="AL1682" s="187"/>
    </row>
    <row r="1683" spans="2:38" ht="12.75" customHeight="1">
      <c r="B1683" s="485"/>
      <c r="C1683" s="20"/>
      <c r="D1683" s="12"/>
      <c r="E1683" s="12"/>
      <c r="F1683" s="12"/>
      <c r="G1683" s="12"/>
      <c r="H1683" s="20"/>
      <c r="I1683" s="187"/>
      <c r="J1683" s="187"/>
      <c r="K1683" s="187"/>
      <c r="L1683" s="187"/>
      <c r="M1683" s="187"/>
      <c r="N1683" s="187"/>
      <c r="O1683" s="187"/>
      <c r="P1683" s="187"/>
      <c r="Q1683" s="187"/>
      <c r="R1683" s="187"/>
      <c r="S1683" s="187"/>
      <c r="T1683" s="187"/>
      <c r="U1683" s="187"/>
      <c r="V1683" s="187"/>
      <c r="W1683" s="187"/>
      <c r="X1683" s="187"/>
      <c r="Y1683" s="187"/>
      <c r="Z1683" s="187"/>
      <c r="AA1683" s="187"/>
      <c r="AB1683" s="187"/>
      <c r="AC1683" s="187"/>
      <c r="AD1683" s="187"/>
      <c r="AE1683" s="187"/>
      <c r="AF1683" s="187"/>
      <c r="AG1683" s="187"/>
      <c r="AH1683" s="187"/>
      <c r="AI1683" s="187"/>
      <c r="AJ1683" s="187"/>
      <c r="AK1683" s="187"/>
      <c r="AL1683" s="187"/>
    </row>
    <row r="1684" spans="2:38" ht="12.75" customHeight="1">
      <c r="B1684" s="485"/>
      <c r="C1684" s="20"/>
      <c r="D1684" s="12"/>
      <c r="E1684" s="12"/>
      <c r="F1684" s="12"/>
      <c r="G1684" s="12"/>
      <c r="H1684" s="20"/>
      <c r="I1684" s="187"/>
      <c r="J1684" s="187"/>
      <c r="K1684" s="187"/>
      <c r="L1684" s="187"/>
      <c r="M1684" s="187"/>
      <c r="N1684" s="187"/>
      <c r="O1684" s="187"/>
      <c r="P1684" s="187"/>
      <c r="Q1684" s="187"/>
      <c r="R1684" s="187"/>
      <c r="S1684" s="187"/>
      <c r="T1684" s="187"/>
      <c r="U1684" s="187"/>
      <c r="V1684" s="187"/>
      <c r="W1684" s="187"/>
      <c r="X1684" s="187"/>
      <c r="Y1684" s="187"/>
      <c r="Z1684" s="187"/>
      <c r="AA1684" s="187"/>
      <c r="AB1684" s="187"/>
      <c r="AC1684" s="187"/>
      <c r="AD1684" s="187"/>
      <c r="AE1684" s="187"/>
      <c r="AF1684" s="187"/>
      <c r="AG1684" s="187"/>
      <c r="AH1684" s="187"/>
      <c r="AI1684" s="187"/>
      <c r="AJ1684" s="187"/>
      <c r="AK1684" s="187"/>
      <c r="AL1684" s="187"/>
    </row>
    <row r="1685" spans="2:38" ht="12.75" customHeight="1">
      <c r="B1685" s="485"/>
      <c r="C1685" s="20"/>
      <c r="D1685" s="12"/>
      <c r="E1685" s="12"/>
      <c r="F1685" s="12"/>
      <c r="G1685" s="12"/>
      <c r="H1685" s="20"/>
      <c r="I1685" s="187"/>
      <c r="J1685" s="187"/>
      <c r="K1685" s="187"/>
      <c r="L1685" s="187"/>
      <c r="M1685" s="187"/>
      <c r="N1685" s="187"/>
      <c r="O1685" s="187"/>
      <c r="P1685" s="187"/>
      <c r="Q1685" s="187"/>
      <c r="R1685" s="187"/>
      <c r="S1685" s="187"/>
      <c r="T1685" s="187"/>
      <c r="U1685" s="187"/>
      <c r="V1685" s="187"/>
      <c r="W1685" s="187"/>
      <c r="X1685" s="187"/>
      <c r="Y1685" s="187"/>
      <c r="Z1685" s="187"/>
      <c r="AA1685" s="187"/>
      <c r="AB1685" s="187"/>
      <c r="AC1685" s="187"/>
      <c r="AD1685" s="187"/>
      <c r="AE1685" s="187"/>
      <c r="AF1685" s="187"/>
      <c r="AG1685" s="187"/>
      <c r="AH1685" s="187"/>
      <c r="AI1685" s="187"/>
      <c r="AJ1685" s="187"/>
      <c r="AK1685" s="187"/>
      <c r="AL1685" s="187"/>
    </row>
    <row r="1686" spans="2:38" ht="12.75" customHeight="1">
      <c r="B1686" s="485"/>
      <c r="C1686" s="20"/>
      <c r="D1686" s="12"/>
      <c r="E1686" s="12"/>
      <c r="F1686" s="12"/>
      <c r="G1686" s="12"/>
      <c r="H1686" s="20"/>
      <c r="I1686" s="187"/>
      <c r="J1686" s="187"/>
      <c r="K1686" s="187"/>
      <c r="L1686" s="187"/>
      <c r="M1686" s="187"/>
      <c r="N1686" s="187"/>
      <c r="O1686" s="187"/>
      <c r="P1686" s="187"/>
      <c r="Q1686" s="187"/>
      <c r="R1686" s="187"/>
      <c r="S1686" s="187"/>
      <c r="T1686" s="187"/>
      <c r="U1686" s="187"/>
      <c r="V1686" s="187"/>
      <c r="W1686" s="187"/>
      <c r="X1686" s="187"/>
      <c r="Y1686" s="187"/>
      <c r="Z1686" s="187"/>
      <c r="AA1686" s="187"/>
      <c r="AB1686" s="187"/>
      <c r="AC1686" s="187"/>
      <c r="AD1686" s="187"/>
      <c r="AE1686" s="187"/>
      <c r="AF1686" s="187"/>
      <c r="AG1686" s="187"/>
      <c r="AH1686" s="187"/>
      <c r="AI1686" s="187"/>
      <c r="AJ1686" s="187"/>
      <c r="AK1686" s="187"/>
      <c r="AL1686" s="187"/>
    </row>
    <row r="1687" spans="2:38" ht="12.75" customHeight="1">
      <c r="B1687" s="485"/>
      <c r="C1687" s="20"/>
      <c r="D1687" s="12"/>
      <c r="E1687" s="12"/>
      <c r="F1687" s="12"/>
      <c r="G1687" s="12"/>
      <c r="H1687" s="20"/>
      <c r="I1687" s="187"/>
      <c r="J1687" s="187"/>
      <c r="K1687" s="187"/>
      <c r="L1687" s="187"/>
      <c r="M1687" s="187"/>
      <c r="N1687" s="187"/>
      <c r="O1687" s="187"/>
      <c r="P1687" s="187"/>
      <c r="Q1687" s="187"/>
      <c r="R1687" s="187"/>
      <c r="S1687" s="187"/>
      <c r="T1687" s="187"/>
      <c r="U1687" s="187"/>
      <c r="V1687" s="187"/>
      <c r="W1687" s="187"/>
      <c r="X1687" s="187"/>
      <c r="Y1687" s="187"/>
      <c r="Z1687" s="187"/>
      <c r="AA1687" s="187"/>
      <c r="AB1687" s="187"/>
      <c r="AC1687" s="187"/>
      <c r="AD1687" s="187"/>
      <c r="AE1687" s="187"/>
      <c r="AF1687" s="187"/>
      <c r="AG1687" s="187"/>
      <c r="AH1687" s="187"/>
      <c r="AI1687" s="187"/>
      <c r="AJ1687" s="187"/>
      <c r="AK1687" s="187"/>
      <c r="AL1687" s="187"/>
    </row>
    <row r="1688" spans="2:38" ht="12.75" customHeight="1">
      <c r="B1688" s="485"/>
      <c r="C1688" s="20"/>
      <c r="D1688" s="12"/>
      <c r="E1688" s="12"/>
      <c r="F1688" s="12"/>
      <c r="G1688" s="12"/>
      <c r="H1688" s="20"/>
      <c r="I1688" s="187"/>
      <c r="J1688" s="187"/>
      <c r="K1688" s="187"/>
      <c r="L1688" s="187"/>
      <c r="M1688" s="187"/>
      <c r="N1688" s="187"/>
      <c r="O1688" s="187"/>
      <c r="P1688" s="187"/>
      <c r="Q1688" s="187"/>
      <c r="R1688" s="187"/>
      <c r="S1688" s="187"/>
      <c r="T1688" s="187"/>
      <c r="U1688" s="187"/>
      <c r="V1688" s="187"/>
      <c r="W1688" s="187"/>
      <c r="X1688" s="187"/>
      <c r="Y1688" s="187"/>
      <c r="Z1688" s="187"/>
      <c r="AA1688" s="187"/>
      <c r="AB1688" s="187"/>
      <c r="AC1688" s="187"/>
      <c r="AD1688" s="187"/>
      <c r="AE1688" s="187"/>
      <c r="AF1688" s="187"/>
      <c r="AG1688" s="187"/>
      <c r="AH1688" s="187"/>
      <c r="AI1688" s="187"/>
      <c r="AJ1688" s="187"/>
      <c r="AK1688" s="187"/>
      <c r="AL1688" s="187"/>
    </row>
    <row r="1689" spans="2:38" ht="12.75" customHeight="1">
      <c r="B1689" s="485"/>
      <c r="C1689" s="20"/>
      <c r="D1689" s="12"/>
      <c r="E1689" s="12"/>
      <c r="F1689" s="12"/>
      <c r="G1689" s="12"/>
      <c r="H1689" s="20"/>
      <c r="I1689" s="187"/>
      <c r="J1689" s="187"/>
      <c r="K1689" s="187"/>
      <c r="L1689" s="187"/>
      <c r="M1689" s="187"/>
      <c r="N1689" s="187"/>
      <c r="O1689" s="187"/>
      <c r="P1689" s="187"/>
      <c r="Q1689" s="187"/>
      <c r="R1689" s="187"/>
      <c r="S1689" s="187"/>
      <c r="T1689" s="187"/>
      <c r="U1689" s="187"/>
      <c r="V1689" s="187"/>
      <c r="W1689" s="187"/>
      <c r="X1689" s="187"/>
      <c r="Y1689" s="187"/>
      <c r="Z1689" s="187"/>
      <c r="AA1689" s="187"/>
      <c r="AB1689" s="187"/>
      <c r="AC1689" s="187"/>
      <c r="AD1689" s="187"/>
      <c r="AE1689" s="187"/>
      <c r="AF1689" s="187"/>
      <c r="AG1689" s="187"/>
      <c r="AH1689" s="187"/>
      <c r="AI1689" s="187"/>
      <c r="AJ1689" s="187"/>
      <c r="AK1689" s="187"/>
      <c r="AL1689" s="187"/>
    </row>
    <row r="1690" spans="2:38" ht="12.75" customHeight="1">
      <c r="B1690" s="485"/>
      <c r="C1690" s="20"/>
      <c r="D1690" s="12"/>
      <c r="E1690" s="12"/>
      <c r="F1690" s="12"/>
      <c r="G1690" s="12"/>
      <c r="H1690" s="20"/>
      <c r="I1690" s="187"/>
      <c r="J1690" s="187"/>
      <c r="K1690" s="187"/>
      <c r="L1690" s="187"/>
      <c r="M1690" s="187"/>
      <c r="N1690" s="187"/>
      <c r="O1690" s="187"/>
      <c r="P1690" s="187"/>
      <c r="Q1690" s="187"/>
      <c r="R1690" s="187"/>
      <c r="S1690" s="187"/>
      <c r="T1690" s="187"/>
      <c r="U1690" s="187"/>
      <c r="V1690" s="187"/>
      <c r="W1690" s="187"/>
      <c r="X1690" s="187"/>
      <c r="Y1690" s="187"/>
      <c r="Z1690" s="187"/>
      <c r="AA1690" s="187"/>
      <c r="AB1690" s="187"/>
      <c r="AC1690" s="187"/>
      <c r="AD1690" s="187"/>
      <c r="AE1690" s="187"/>
      <c r="AF1690" s="187"/>
      <c r="AG1690" s="187"/>
      <c r="AH1690" s="187"/>
      <c r="AI1690" s="187"/>
      <c r="AJ1690" s="187"/>
      <c r="AK1690" s="187"/>
      <c r="AL1690" s="187"/>
    </row>
    <row r="1691" spans="2:38" ht="12.75" customHeight="1">
      <c r="B1691" s="485"/>
      <c r="C1691" s="20"/>
      <c r="D1691" s="12"/>
      <c r="E1691" s="12"/>
      <c r="F1691" s="12"/>
      <c r="G1691" s="12"/>
      <c r="H1691" s="20"/>
      <c r="I1691" s="187"/>
      <c r="J1691" s="187"/>
      <c r="K1691" s="187"/>
      <c r="L1691" s="187"/>
      <c r="M1691" s="187"/>
      <c r="N1691" s="187"/>
      <c r="O1691" s="187"/>
      <c r="P1691" s="187"/>
      <c r="Q1691" s="187"/>
      <c r="R1691" s="187"/>
      <c r="S1691" s="187"/>
      <c r="T1691" s="187"/>
      <c r="U1691" s="187"/>
      <c r="V1691" s="187"/>
      <c r="W1691" s="187"/>
      <c r="X1691" s="187"/>
      <c r="Y1691" s="187"/>
      <c r="Z1691" s="187"/>
      <c r="AA1691" s="187"/>
      <c r="AB1691" s="187"/>
      <c r="AC1691" s="187"/>
      <c r="AD1691" s="187"/>
      <c r="AE1691" s="187"/>
      <c r="AF1691" s="187"/>
      <c r="AG1691" s="187"/>
      <c r="AH1691" s="187"/>
      <c r="AI1691" s="187"/>
      <c r="AJ1691" s="187"/>
      <c r="AK1691" s="187"/>
      <c r="AL1691" s="187"/>
    </row>
    <row r="1692" spans="2:38" ht="12.75" customHeight="1">
      <c r="B1692" s="485"/>
      <c r="C1692" s="20"/>
      <c r="D1692" s="12"/>
      <c r="E1692" s="12"/>
      <c r="F1692" s="12"/>
      <c r="G1692" s="12"/>
      <c r="H1692" s="20"/>
      <c r="I1692" s="187"/>
      <c r="J1692" s="187"/>
      <c r="K1692" s="187"/>
      <c r="L1692" s="187"/>
      <c r="M1692" s="187"/>
      <c r="N1692" s="187"/>
      <c r="O1692" s="187"/>
      <c r="P1692" s="187"/>
      <c r="Q1692" s="187"/>
      <c r="R1692" s="187"/>
      <c r="S1692" s="187"/>
      <c r="T1692" s="187"/>
      <c r="U1692" s="187"/>
      <c r="V1692" s="187"/>
      <c r="W1692" s="187"/>
      <c r="X1692" s="187"/>
      <c r="Y1692" s="187"/>
      <c r="Z1692" s="187"/>
      <c r="AA1692" s="187"/>
      <c r="AB1692" s="187"/>
      <c r="AC1692" s="187"/>
      <c r="AD1692" s="187"/>
      <c r="AE1692" s="187"/>
      <c r="AF1692" s="187"/>
      <c r="AG1692" s="187"/>
      <c r="AH1692" s="187"/>
      <c r="AI1692" s="187"/>
      <c r="AJ1692" s="187"/>
      <c r="AK1692" s="187"/>
      <c r="AL1692" s="187"/>
    </row>
    <row r="1693" spans="2:38" ht="12.75" customHeight="1">
      <c r="B1693" s="485"/>
      <c r="C1693" s="20"/>
      <c r="D1693" s="12"/>
      <c r="E1693" s="12"/>
      <c r="F1693" s="12"/>
      <c r="G1693" s="12"/>
      <c r="H1693" s="20"/>
      <c r="I1693" s="187"/>
      <c r="J1693" s="187"/>
      <c r="K1693" s="187"/>
      <c r="L1693" s="187"/>
      <c r="M1693" s="187"/>
      <c r="N1693" s="187"/>
      <c r="O1693" s="187"/>
      <c r="P1693" s="187"/>
      <c r="Q1693" s="187"/>
      <c r="R1693" s="187"/>
      <c r="S1693" s="187"/>
      <c r="T1693" s="187"/>
      <c r="U1693" s="187"/>
      <c r="V1693" s="187"/>
      <c r="W1693" s="187"/>
      <c r="X1693" s="187"/>
      <c r="Y1693" s="187"/>
      <c r="Z1693" s="187"/>
      <c r="AA1693" s="187"/>
      <c r="AB1693" s="187"/>
      <c r="AC1693" s="187"/>
      <c r="AD1693" s="187"/>
      <c r="AE1693" s="187"/>
      <c r="AF1693" s="187"/>
      <c r="AG1693" s="187"/>
      <c r="AH1693" s="187"/>
      <c r="AI1693" s="187"/>
      <c r="AJ1693" s="187"/>
      <c r="AK1693" s="187"/>
      <c r="AL1693" s="187"/>
    </row>
    <row r="1694" spans="2:38" ht="12.75" customHeight="1">
      <c r="B1694" s="485"/>
      <c r="C1694" s="20"/>
      <c r="D1694" s="12"/>
      <c r="E1694" s="12"/>
      <c r="F1694" s="12"/>
      <c r="G1694" s="12"/>
      <c r="H1694" s="20"/>
      <c r="I1694" s="187"/>
      <c r="J1694" s="187"/>
      <c r="K1694" s="187"/>
      <c r="L1694" s="187"/>
      <c r="M1694" s="187"/>
      <c r="N1694" s="187"/>
      <c r="O1694" s="187"/>
      <c r="P1694" s="187"/>
      <c r="Q1694" s="187"/>
      <c r="R1694" s="187"/>
      <c r="S1694" s="187"/>
      <c r="T1694" s="187"/>
      <c r="U1694" s="187"/>
      <c r="V1694" s="187"/>
      <c r="W1694" s="187"/>
      <c r="X1694" s="187"/>
      <c r="Y1694" s="187"/>
      <c r="Z1694" s="187"/>
      <c r="AA1694" s="187"/>
      <c r="AB1694" s="187"/>
      <c r="AC1694" s="187"/>
      <c r="AD1694" s="187"/>
      <c r="AE1694" s="187"/>
      <c r="AF1694" s="187"/>
      <c r="AG1694" s="187"/>
      <c r="AH1694" s="187"/>
      <c r="AI1694" s="187"/>
      <c r="AJ1694" s="187"/>
      <c r="AK1694" s="187"/>
      <c r="AL1694" s="187"/>
    </row>
    <row r="1695" spans="2:38" ht="12.75" customHeight="1">
      <c r="B1695" s="485"/>
      <c r="C1695" s="20"/>
      <c r="D1695" s="12"/>
      <c r="E1695" s="12"/>
      <c r="F1695" s="12"/>
      <c r="G1695" s="12"/>
      <c r="H1695" s="20"/>
      <c r="I1695" s="187"/>
      <c r="J1695" s="187"/>
      <c r="K1695" s="187"/>
      <c r="L1695" s="187"/>
      <c r="M1695" s="187"/>
      <c r="N1695" s="187"/>
      <c r="O1695" s="187"/>
      <c r="P1695" s="187"/>
      <c r="Q1695" s="187"/>
      <c r="R1695" s="187"/>
      <c r="S1695" s="187"/>
      <c r="T1695" s="187"/>
      <c r="U1695" s="187"/>
      <c r="V1695" s="187"/>
      <c r="W1695" s="187"/>
      <c r="X1695" s="187"/>
      <c r="Y1695" s="187"/>
      <c r="Z1695" s="187"/>
      <c r="AA1695" s="187"/>
      <c r="AB1695" s="187"/>
      <c r="AC1695" s="187"/>
      <c r="AD1695" s="187"/>
      <c r="AE1695" s="187"/>
      <c r="AF1695" s="187"/>
      <c r="AG1695" s="187"/>
      <c r="AH1695" s="187"/>
      <c r="AI1695" s="187"/>
      <c r="AJ1695" s="187"/>
      <c r="AK1695" s="187"/>
      <c r="AL1695" s="187"/>
    </row>
    <row r="1696" spans="2:38" ht="12.75" customHeight="1">
      <c r="B1696" s="485"/>
      <c r="C1696" s="20"/>
      <c r="D1696" s="12"/>
      <c r="E1696" s="12"/>
      <c r="F1696" s="12"/>
      <c r="G1696" s="12"/>
      <c r="H1696" s="20"/>
      <c r="I1696" s="187"/>
      <c r="J1696" s="187"/>
      <c r="K1696" s="187"/>
      <c r="L1696" s="187"/>
      <c r="M1696" s="187"/>
      <c r="N1696" s="187"/>
      <c r="O1696" s="187"/>
      <c r="P1696" s="187"/>
      <c r="Q1696" s="187"/>
      <c r="R1696" s="187"/>
      <c r="S1696" s="187"/>
      <c r="T1696" s="187"/>
      <c r="U1696" s="187"/>
      <c r="V1696" s="187"/>
      <c r="W1696" s="187"/>
      <c r="X1696" s="187"/>
      <c r="Y1696" s="187"/>
      <c r="Z1696" s="187"/>
      <c r="AA1696" s="187"/>
      <c r="AB1696" s="187"/>
      <c r="AC1696" s="187"/>
      <c r="AD1696" s="187"/>
      <c r="AE1696" s="187"/>
      <c r="AF1696" s="187"/>
      <c r="AG1696" s="187"/>
      <c r="AH1696" s="187"/>
      <c r="AI1696" s="187"/>
      <c r="AJ1696" s="187"/>
      <c r="AK1696" s="187"/>
      <c r="AL1696" s="187"/>
    </row>
    <row r="1697" spans="2:38" ht="12.75" customHeight="1">
      <c r="B1697" s="485"/>
      <c r="C1697" s="20"/>
      <c r="D1697" s="12"/>
      <c r="E1697" s="12"/>
      <c r="F1697" s="12"/>
      <c r="G1697" s="12"/>
      <c r="H1697" s="20"/>
      <c r="I1697" s="187"/>
      <c r="J1697" s="187"/>
      <c r="K1697" s="187"/>
      <c r="L1697" s="187"/>
      <c r="M1697" s="187"/>
      <c r="N1697" s="187"/>
      <c r="O1697" s="187"/>
      <c r="P1697" s="187"/>
      <c r="Q1697" s="187"/>
      <c r="R1697" s="187"/>
      <c r="S1697" s="187"/>
      <c r="T1697" s="187"/>
      <c r="U1697" s="187"/>
      <c r="V1697" s="187"/>
      <c r="W1697" s="187"/>
      <c r="X1697" s="187"/>
      <c r="Y1697" s="187"/>
      <c r="Z1697" s="187"/>
      <c r="AA1697" s="187"/>
      <c r="AB1697" s="187"/>
      <c r="AC1697" s="187"/>
      <c r="AD1697" s="187"/>
      <c r="AE1697" s="187"/>
      <c r="AF1697" s="187"/>
      <c r="AG1697" s="187"/>
      <c r="AH1697" s="187"/>
      <c r="AI1697" s="187"/>
      <c r="AJ1697" s="187"/>
      <c r="AK1697" s="187"/>
      <c r="AL1697" s="187"/>
    </row>
    <row r="1698" spans="2:38" ht="12.75" customHeight="1">
      <c r="B1698" s="485"/>
      <c r="C1698" s="20"/>
      <c r="D1698" s="12"/>
      <c r="E1698" s="12"/>
      <c r="F1698" s="12"/>
      <c r="G1698" s="12"/>
      <c r="H1698" s="20"/>
      <c r="I1698" s="187"/>
      <c r="J1698" s="187"/>
      <c r="K1698" s="187"/>
      <c r="L1698" s="187"/>
      <c r="M1698" s="187"/>
      <c r="N1698" s="187"/>
      <c r="O1698" s="187"/>
      <c r="P1698" s="187"/>
      <c r="Q1698" s="187"/>
      <c r="R1698" s="187"/>
      <c r="S1698" s="187"/>
      <c r="T1698" s="187"/>
      <c r="U1698" s="187"/>
      <c r="V1698" s="187"/>
      <c r="W1698" s="187"/>
      <c r="X1698" s="187"/>
      <c r="Y1698" s="187"/>
      <c r="Z1698" s="187"/>
      <c r="AA1698" s="187"/>
      <c r="AB1698" s="187"/>
      <c r="AC1698" s="187"/>
      <c r="AD1698" s="187"/>
      <c r="AE1698" s="187"/>
      <c r="AF1698" s="187"/>
      <c r="AG1698" s="187"/>
      <c r="AH1698" s="187"/>
      <c r="AI1698" s="187"/>
      <c r="AJ1698" s="187"/>
      <c r="AK1698" s="187"/>
      <c r="AL1698" s="187"/>
    </row>
    <row r="1699" spans="2:38" ht="12.75" customHeight="1">
      <c r="B1699" s="485"/>
      <c r="C1699" s="20"/>
      <c r="D1699" s="12"/>
      <c r="E1699" s="12"/>
      <c r="F1699" s="12"/>
      <c r="G1699" s="12"/>
      <c r="H1699" s="20"/>
      <c r="I1699" s="187"/>
      <c r="J1699" s="187"/>
      <c r="K1699" s="187"/>
      <c r="L1699" s="187"/>
      <c r="M1699" s="187"/>
      <c r="N1699" s="187"/>
      <c r="O1699" s="187"/>
      <c r="P1699" s="187"/>
      <c r="Q1699" s="187"/>
      <c r="R1699" s="187"/>
      <c r="S1699" s="187"/>
      <c r="T1699" s="187"/>
      <c r="U1699" s="187"/>
      <c r="V1699" s="187"/>
      <c r="W1699" s="187"/>
      <c r="X1699" s="187"/>
      <c r="Y1699" s="187"/>
      <c r="Z1699" s="187"/>
      <c r="AA1699" s="187"/>
      <c r="AB1699" s="187"/>
      <c r="AC1699" s="187"/>
      <c r="AD1699" s="187"/>
      <c r="AE1699" s="187"/>
      <c r="AF1699" s="187"/>
      <c r="AG1699" s="187"/>
      <c r="AH1699" s="187"/>
      <c r="AI1699" s="187"/>
      <c r="AJ1699" s="187"/>
      <c r="AK1699" s="187"/>
      <c r="AL1699" s="187"/>
    </row>
    <row r="1700" spans="2:38" ht="12.75" customHeight="1">
      <c r="B1700" s="485"/>
      <c r="C1700" s="20"/>
      <c r="D1700" s="12"/>
      <c r="E1700" s="12"/>
      <c r="F1700" s="12"/>
      <c r="G1700" s="12"/>
      <c r="H1700" s="20"/>
      <c r="I1700" s="187"/>
      <c r="J1700" s="187"/>
      <c r="K1700" s="187"/>
      <c r="L1700" s="187"/>
      <c r="M1700" s="187"/>
      <c r="N1700" s="187"/>
      <c r="O1700" s="187"/>
      <c r="P1700" s="187"/>
      <c r="Q1700" s="187"/>
      <c r="R1700" s="187"/>
      <c r="S1700" s="187"/>
      <c r="T1700" s="187"/>
      <c r="U1700" s="187"/>
      <c r="V1700" s="187"/>
      <c r="W1700" s="187"/>
      <c r="X1700" s="187"/>
      <c r="Y1700" s="187"/>
      <c r="Z1700" s="187"/>
      <c r="AA1700" s="187"/>
      <c r="AB1700" s="187"/>
      <c r="AC1700" s="187"/>
      <c r="AD1700" s="187"/>
      <c r="AE1700" s="187"/>
      <c r="AF1700" s="187"/>
      <c r="AG1700" s="187"/>
      <c r="AH1700" s="187"/>
      <c r="AI1700" s="187"/>
      <c r="AJ1700" s="187"/>
      <c r="AK1700" s="187"/>
      <c r="AL1700" s="187"/>
    </row>
    <row r="1701" spans="2:38" ht="12.75" customHeight="1">
      <c r="B1701" s="485"/>
      <c r="C1701" s="20"/>
      <c r="D1701" s="12"/>
      <c r="E1701" s="12"/>
      <c r="F1701" s="12"/>
      <c r="G1701" s="12"/>
      <c r="H1701" s="20"/>
      <c r="I1701" s="187"/>
      <c r="J1701" s="187"/>
      <c r="K1701" s="187"/>
      <c r="L1701" s="187"/>
      <c r="M1701" s="187"/>
      <c r="N1701" s="187"/>
      <c r="O1701" s="187"/>
      <c r="P1701" s="187"/>
      <c r="Q1701" s="187"/>
      <c r="R1701" s="187"/>
      <c r="S1701" s="187"/>
      <c r="T1701" s="187"/>
      <c r="U1701" s="187"/>
      <c r="V1701" s="187"/>
      <c r="W1701" s="187"/>
      <c r="X1701" s="187"/>
      <c r="Y1701" s="187"/>
      <c r="Z1701" s="187"/>
      <c r="AA1701" s="187"/>
      <c r="AB1701" s="187"/>
      <c r="AC1701" s="187"/>
      <c r="AD1701" s="187"/>
      <c r="AE1701" s="187"/>
      <c r="AF1701" s="187"/>
      <c r="AG1701" s="187"/>
      <c r="AH1701" s="187"/>
      <c r="AI1701" s="187"/>
      <c r="AJ1701" s="187"/>
      <c r="AK1701" s="187"/>
      <c r="AL1701" s="187"/>
    </row>
    <row r="1702" spans="2:38" ht="12.75" customHeight="1">
      <c r="B1702" s="485"/>
      <c r="C1702" s="20"/>
      <c r="D1702" s="12"/>
      <c r="E1702" s="12"/>
      <c r="F1702" s="12"/>
      <c r="G1702" s="12"/>
      <c r="H1702" s="20"/>
      <c r="I1702" s="187"/>
      <c r="J1702" s="187"/>
      <c r="K1702" s="187"/>
      <c r="L1702" s="187"/>
      <c r="M1702" s="187"/>
      <c r="N1702" s="187"/>
      <c r="O1702" s="187"/>
      <c r="P1702" s="187"/>
      <c r="Q1702" s="187"/>
      <c r="R1702" s="187"/>
      <c r="S1702" s="187"/>
      <c r="T1702" s="187"/>
      <c r="U1702" s="187"/>
      <c r="V1702" s="187"/>
      <c r="W1702" s="187"/>
      <c r="X1702" s="187"/>
      <c r="Y1702" s="187"/>
      <c r="Z1702" s="187"/>
      <c r="AA1702" s="187"/>
      <c r="AB1702" s="187"/>
      <c r="AC1702" s="187"/>
      <c r="AD1702" s="187"/>
      <c r="AE1702" s="187"/>
      <c r="AF1702" s="187"/>
      <c r="AG1702" s="187"/>
      <c r="AH1702" s="187"/>
      <c r="AI1702" s="187"/>
      <c r="AJ1702" s="187"/>
      <c r="AK1702" s="187"/>
      <c r="AL1702" s="187"/>
    </row>
    <row r="1703" spans="2:38" ht="12.75" customHeight="1">
      <c r="B1703" s="485"/>
      <c r="C1703" s="20"/>
      <c r="D1703" s="12"/>
      <c r="E1703" s="12"/>
      <c r="F1703" s="12"/>
      <c r="G1703" s="12"/>
      <c r="H1703" s="20"/>
      <c r="I1703" s="187"/>
      <c r="J1703" s="187"/>
      <c r="K1703" s="187"/>
      <c r="L1703" s="187"/>
      <c r="M1703" s="187"/>
      <c r="N1703" s="187"/>
      <c r="O1703" s="187"/>
      <c r="P1703" s="187"/>
      <c r="Q1703" s="187"/>
      <c r="R1703" s="187"/>
      <c r="S1703" s="187"/>
      <c r="T1703" s="187"/>
      <c r="U1703" s="187"/>
      <c r="V1703" s="187"/>
      <c r="W1703" s="187"/>
      <c r="X1703" s="187"/>
      <c r="Y1703" s="187"/>
      <c r="Z1703" s="187"/>
      <c r="AA1703" s="187"/>
      <c r="AB1703" s="187"/>
      <c r="AC1703" s="187"/>
      <c r="AD1703" s="187"/>
      <c r="AE1703" s="187"/>
      <c r="AF1703" s="187"/>
      <c r="AG1703" s="187"/>
      <c r="AH1703" s="187"/>
      <c r="AI1703" s="187"/>
      <c r="AJ1703" s="187"/>
      <c r="AK1703" s="187"/>
      <c r="AL1703" s="187"/>
    </row>
    <row r="1704" spans="2:38" ht="12.75" customHeight="1">
      <c r="B1704" s="485"/>
      <c r="C1704" s="20"/>
      <c r="D1704" s="12"/>
      <c r="E1704" s="12"/>
      <c r="F1704" s="12"/>
      <c r="G1704" s="12"/>
      <c r="H1704" s="20"/>
      <c r="I1704" s="187"/>
      <c r="J1704" s="187"/>
      <c r="K1704" s="187"/>
      <c r="L1704" s="187"/>
      <c r="M1704" s="187"/>
      <c r="N1704" s="187"/>
      <c r="O1704" s="187"/>
      <c r="P1704" s="187"/>
      <c r="Q1704" s="187"/>
      <c r="R1704" s="187"/>
      <c r="S1704" s="187"/>
      <c r="T1704" s="187"/>
      <c r="U1704" s="187"/>
      <c r="V1704" s="187"/>
      <c r="W1704" s="187"/>
      <c r="X1704" s="187"/>
      <c r="Y1704" s="187"/>
      <c r="Z1704" s="187"/>
      <c r="AA1704" s="187"/>
      <c r="AB1704" s="187"/>
      <c r="AC1704" s="187"/>
      <c r="AD1704" s="187"/>
      <c r="AE1704" s="187"/>
      <c r="AF1704" s="187"/>
      <c r="AG1704" s="187"/>
      <c r="AH1704" s="187"/>
      <c r="AI1704" s="187"/>
      <c r="AJ1704" s="187"/>
      <c r="AK1704" s="187"/>
      <c r="AL1704" s="187"/>
    </row>
    <row r="1705" spans="2:38" ht="12.75" customHeight="1">
      <c r="B1705" s="485"/>
      <c r="C1705" s="20"/>
      <c r="D1705" s="12"/>
      <c r="E1705" s="12"/>
      <c r="F1705" s="12"/>
      <c r="G1705" s="12"/>
      <c r="H1705" s="20"/>
      <c r="I1705" s="187"/>
      <c r="J1705" s="187"/>
      <c r="K1705" s="187"/>
      <c r="L1705" s="187"/>
      <c r="M1705" s="187"/>
      <c r="N1705" s="187"/>
      <c r="O1705" s="187"/>
      <c r="P1705" s="187"/>
      <c r="Q1705" s="187"/>
      <c r="R1705" s="187"/>
      <c r="S1705" s="187"/>
      <c r="T1705" s="187"/>
      <c r="U1705" s="187"/>
      <c r="V1705" s="187"/>
      <c r="W1705" s="187"/>
      <c r="X1705" s="187"/>
      <c r="Y1705" s="187"/>
      <c r="Z1705" s="187"/>
      <c r="AA1705" s="187"/>
      <c r="AB1705" s="187"/>
      <c r="AC1705" s="187"/>
      <c r="AD1705" s="187"/>
      <c r="AE1705" s="187"/>
      <c r="AF1705" s="187"/>
      <c r="AG1705" s="187"/>
      <c r="AH1705" s="187"/>
      <c r="AI1705" s="187"/>
      <c r="AJ1705" s="187"/>
      <c r="AK1705" s="187"/>
      <c r="AL1705" s="187"/>
    </row>
    <row r="1706" spans="2:38" ht="12.75" customHeight="1">
      <c r="B1706" s="485"/>
      <c r="C1706" s="20"/>
      <c r="D1706" s="12"/>
      <c r="E1706" s="12"/>
      <c r="F1706" s="12"/>
      <c r="G1706" s="12"/>
      <c r="H1706" s="20"/>
      <c r="I1706" s="187"/>
      <c r="J1706" s="187"/>
      <c r="K1706" s="187"/>
      <c r="L1706" s="187"/>
      <c r="M1706" s="187"/>
      <c r="N1706" s="187"/>
      <c r="O1706" s="187"/>
      <c r="P1706" s="187"/>
      <c r="Q1706" s="187"/>
      <c r="R1706" s="187"/>
      <c r="S1706" s="187"/>
      <c r="T1706" s="187"/>
      <c r="U1706" s="187"/>
      <c r="V1706" s="187"/>
      <c r="W1706" s="187"/>
      <c r="X1706" s="187"/>
      <c r="Y1706" s="187"/>
      <c r="Z1706" s="187"/>
      <c r="AA1706" s="187"/>
      <c r="AB1706" s="187"/>
      <c r="AC1706" s="187"/>
      <c r="AD1706" s="187"/>
      <c r="AE1706" s="187"/>
      <c r="AF1706" s="187"/>
      <c r="AG1706" s="187"/>
      <c r="AH1706" s="187"/>
      <c r="AI1706" s="187"/>
      <c r="AJ1706" s="187"/>
      <c r="AK1706" s="187"/>
      <c r="AL1706" s="187"/>
    </row>
    <row r="1707" spans="2:38" ht="12.75" customHeight="1">
      <c r="B1707" s="485"/>
      <c r="C1707" s="20"/>
      <c r="D1707" s="12"/>
      <c r="E1707" s="12"/>
      <c r="F1707" s="12"/>
      <c r="G1707" s="12"/>
      <c r="H1707" s="20"/>
      <c r="I1707" s="187"/>
      <c r="J1707" s="187"/>
      <c r="K1707" s="187"/>
      <c r="L1707" s="187"/>
      <c r="M1707" s="187"/>
      <c r="N1707" s="187"/>
      <c r="O1707" s="187"/>
      <c r="P1707" s="187"/>
      <c r="Q1707" s="187"/>
      <c r="R1707" s="187"/>
      <c r="S1707" s="187"/>
      <c r="T1707" s="187"/>
      <c r="U1707" s="187"/>
      <c r="V1707" s="187"/>
      <c r="W1707" s="187"/>
      <c r="X1707" s="187"/>
      <c r="Y1707" s="187"/>
      <c r="Z1707" s="187"/>
      <c r="AA1707" s="187"/>
      <c r="AB1707" s="187"/>
      <c r="AC1707" s="187"/>
      <c r="AD1707" s="187"/>
      <c r="AE1707" s="187"/>
      <c r="AF1707" s="187"/>
      <c r="AG1707" s="187"/>
      <c r="AH1707" s="187"/>
      <c r="AI1707" s="187"/>
      <c r="AJ1707" s="187"/>
      <c r="AK1707" s="187"/>
      <c r="AL1707" s="187"/>
    </row>
    <row r="1708" spans="2:38" ht="12.75" customHeight="1">
      <c r="B1708" s="485"/>
      <c r="C1708" s="20"/>
      <c r="D1708" s="12"/>
      <c r="E1708" s="12"/>
      <c r="F1708" s="12"/>
      <c r="G1708" s="12"/>
      <c r="H1708" s="20"/>
      <c r="I1708" s="187"/>
      <c r="J1708" s="187"/>
      <c r="K1708" s="187"/>
      <c r="L1708" s="187"/>
      <c r="M1708" s="187"/>
      <c r="N1708" s="187"/>
      <c r="O1708" s="187"/>
      <c r="P1708" s="187"/>
      <c r="Q1708" s="187"/>
      <c r="R1708" s="187"/>
      <c r="S1708" s="187"/>
      <c r="T1708" s="187"/>
      <c r="U1708" s="187"/>
      <c r="V1708" s="187"/>
      <c r="W1708" s="187"/>
      <c r="X1708" s="187"/>
      <c r="Y1708" s="187"/>
      <c r="Z1708" s="187"/>
      <c r="AA1708" s="187"/>
      <c r="AB1708" s="187"/>
      <c r="AC1708" s="187"/>
      <c r="AD1708" s="187"/>
      <c r="AE1708" s="187"/>
      <c r="AF1708" s="187"/>
      <c r="AG1708" s="187"/>
      <c r="AH1708" s="187"/>
      <c r="AI1708" s="187"/>
      <c r="AJ1708" s="187"/>
      <c r="AK1708" s="187"/>
      <c r="AL1708" s="187"/>
    </row>
    <row r="1709" spans="2:38" ht="12.75" customHeight="1">
      <c r="B1709" s="485"/>
      <c r="C1709" s="20"/>
      <c r="D1709" s="12"/>
      <c r="E1709" s="12"/>
      <c r="F1709" s="12"/>
      <c r="G1709" s="12"/>
      <c r="H1709" s="20"/>
      <c r="I1709" s="187"/>
      <c r="J1709" s="187"/>
      <c r="K1709" s="187"/>
      <c r="L1709" s="187"/>
      <c r="M1709" s="187"/>
      <c r="N1709" s="187"/>
      <c r="O1709" s="187"/>
      <c r="P1709" s="187"/>
      <c r="Q1709" s="187"/>
      <c r="R1709" s="187"/>
      <c r="S1709" s="187"/>
      <c r="T1709" s="187"/>
      <c r="U1709" s="187"/>
      <c r="V1709" s="187"/>
      <c r="W1709" s="187"/>
      <c r="X1709" s="187"/>
      <c r="Y1709" s="187"/>
      <c r="Z1709" s="187"/>
      <c r="AA1709" s="187"/>
      <c r="AB1709" s="187"/>
      <c r="AC1709" s="187"/>
      <c r="AD1709" s="187"/>
      <c r="AE1709" s="187"/>
      <c r="AF1709" s="187"/>
      <c r="AG1709" s="187"/>
      <c r="AH1709" s="187"/>
      <c r="AI1709" s="187"/>
      <c r="AJ1709" s="187"/>
      <c r="AK1709" s="187"/>
      <c r="AL1709" s="187"/>
    </row>
    <row r="1710" spans="2:38" ht="12.75" customHeight="1">
      <c r="B1710" s="485"/>
      <c r="C1710" s="20"/>
      <c r="D1710" s="12"/>
      <c r="E1710" s="12"/>
      <c r="F1710" s="12"/>
      <c r="G1710" s="12"/>
      <c r="H1710" s="20"/>
      <c r="I1710" s="187"/>
      <c r="J1710" s="187"/>
      <c r="K1710" s="187"/>
      <c r="L1710" s="187"/>
      <c r="M1710" s="187"/>
      <c r="N1710" s="187"/>
      <c r="O1710" s="187"/>
      <c r="P1710" s="187"/>
      <c r="Q1710" s="187"/>
      <c r="R1710" s="187"/>
      <c r="S1710" s="187"/>
      <c r="T1710" s="187"/>
      <c r="U1710" s="187"/>
      <c r="V1710" s="187"/>
      <c r="W1710" s="187"/>
      <c r="X1710" s="187"/>
      <c r="Y1710" s="187"/>
      <c r="Z1710" s="187"/>
      <c r="AA1710" s="187"/>
      <c r="AB1710" s="187"/>
      <c r="AC1710" s="187"/>
      <c r="AD1710" s="187"/>
      <c r="AE1710" s="187"/>
      <c r="AF1710" s="187"/>
      <c r="AG1710" s="187"/>
      <c r="AH1710" s="187"/>
      <c r="AI1710" s="187"/>
      <c r="AJ1710" s="187"/>
      <c r="AK1710" s="187"/>
      <c r="AL1710" s="187"/>
    </row>
    <row r="1711" spans="2:38" ht="12.75" customHeight="1">
      <c r="B1711" s="485"/>
      <c r="C1711" s="20"/>
      <c r="D1711" s="12"/>
      <c r="E1711" s="12"/>
      <c r="F1711" s="12"/>
      <c r="G1711" s="12"/>
      <c r="H1711" s="20"/>
      <c r="I1711" s="187"/>
      <c r="J1711" s="187"/>
      <c r="K1711" s="187"/>
      <c r="L1711" s="187"/>
      <c r="M1711" s="187"/>
      <c r="N1711" s="187"/>
      <c r="O1711" s="187"/>
      <c r="P1711" s="187"/>
      <c r="Q1711" s="187"/>
      <c r="R1711" s="187"/>
      <c r="S1711" s="187"/>
      <c r="T1711" s="187"/>
      <c r="U1711" s="187"/>
      <c r="V1711" s="187"/>
      <c r="W1711" s="187"/>
      <c r="X1711" s="187"/>
      <c r="Y1711" s="187"/>
      <c r="Z1711" s="187"/>
      <c r="AA1711" s="187"/>
      <c r="AB1711" s="187"/>
      <c r="AC1711" s="187"/>
      <c r="AD1711" s="187"/>
      <c r="AE1711" s="187"/>
      <c r="AF1711" s="187"/>
      <c r="AG1711" s="187"/>
      <c r="AH1711" s="187"/>
      <c r="AI1711" s="187"/>
      <c r="AJ1711" s="187"/>
      <c r="AK1711" s="187"/>
      <c r="AL1711" s="187"/>
    </row>
    <row r="1712" spans="2:38" ht="12.75" customHeight="1">
      <c r="B1712" s="485"/>
      <c r="C1712" s="20"/>
      <c r="D1712" s="12"/>
      <c r="E1712" s="12"/>
      <c r="F1712" s="12"/>
      <c r="G1712" s="12"/>
      <c r="H1712" s="20"/>
      <c r="I1712" s="187"/>
      <c r="J1712" s="187"/>
      <c r="K1712" s="187"/>
      <c r="L1712" s="187"/>
      <c r="M1712" s="187"/>
      <c r="N1712" s="187"/>
      <c r="O1712" s="187"/>
      <c r="P1712" s="187"/>
      <c r="Q1712" s="187"/>
      <c r="R1712" s="187"/>
      <c r="S1712" s="187"/>
      <c r="T1712" s="187"/>
      <c r="U1712" s="187"/>
      <c r="V1712" s="187"/>
      <c r="W1712" s="187"/>
      <c r="X1712" s="187"/>
      <c r="Y1712" s="187"/>
      <c r="Z1712" s="187"/>
      <c r="AA1712" s="187"/>
      <c r="AB1712" s="187"/>
      <c r="AC1712" s="187"/>
      <c r="AD1712" s="187"/>
      <c r="AE1712" s="187"/>
      <c r="AF1712" s="187"/>
      <c r="AG1712" s="187"/>
      <c r="AH1712" s="187"/>
      <c r="AI1712" s="187"/>
      <c r="AJ1712" s="187"/>
      <c r="AK1712" s="187"/>
      <c r="AL1712" s="187"/>
    </row>
    <row r="1713" spans="2:38" ht="12.75" customHeight="1">
      <c r="B1713" s="485"/>
      <c r="C1713" s="20"/>
      <c r="D1713" s="12"/>
      <c r="E1713" s="12"/>
      <c r="F1713" s="12"/>
      <c r="G1713" s="12"/>
      <c r="H1713" s="20"/>
      <c r="I1713" s="187"/>
      <c r="J1713" s="187"/>
      <c r="K1713" s="187"/>
      <c r="L1713" s="187"/>
      <c r="M1713" s="187"/>
      <c r="N1713" s="187"/>
      <c r="O1713" s="187"/>
      <c r="P1713" s="187"/>
      <c r="Q1713" s="187"/>
      <c r="R1713" s="187"/>
      <c r="S1713" s="187"/>
      <c r="T1713" s="187"/>
      <c r="U1713" s="187"/>
      <c r="V1713" s="187"/>
      <c r="W1713" s="187"/>
      <c r="X1713" s="187"/>
      <c r="Y1713" s="187"/>
      <c r="Z1713" s="187"/>
      <c r="AA1713" s="187"/>
      <c r="AB1713" s="187"/>
      <c r="AC1713" s="187"/>
      <c r="AD1713" s="187"/>
      <c r="AE1713" s="187"/>
      <c r="AF1713" s="187"/>
      <c r="AG1713" s="187"/>
      <c r="AH1713" s="187"/>
      <c r="AI1713" s="187"/>
      <c r="AJ1713" s="187"/>
      <c r="AK1713" s="187"/>
      <c r="AL1713" s="187"/>
    </row>
    <row r="1714" spans="2:38" ht="12.75" customHeight="1">
      <c r="B1714" s="485"/>
      <c r="C1714" s="20"/>
      <c r="D1714" s="12"/>
      <c r="E1714" s="12"/>
      <c r="F1714" s="12"/>
      <c r="G1714" s="12"/>
      <c r="H1714" s="20"/>
      <c r="I1714" s="187"/>
      <c r="J1714" s="187"/>
      <c r="K1714" s="187"/>
      <c r="L1714" s="187"/>
      <c r="M1714" s="187"/>
      <c r="N1714" s="187"/>
      <c r="O1714" s="187"/>
      <c r="P1714" s="187"/>
      <c r="Q1714" s="187"/>
      <c r="R1714" s="187"/>
      <c r="S1714" s="187"/>
      <c r="T1714" s="187"/>
      <c r="U1714" s="187"/>
      <c r="V1714" s="187"/>
      <c r="W1714" s="187"/>
      <c r="X1714" s="187"/>
      <c r="Y1714" s="187"/>
      <c r="Z1714" s="187"/>
      <c r="AA1714" s="187"/>
      <c r="AB1714" s="187"/>
      <c r="AC1714" s="187"/>
      <c r="AD1714" s="187"/>
      <c r="AE1714" s="187"/>
      <c r="AF1714" s="187"/>
      <c r="AG1714" s="187"/>
      <c r="AH1714" s="187"/>
      <c r="AI1714" s="187"/>
      <c r="AJ1714" s="187"/>
      <c r="AK1714" s="187"/>
      <c r="AL1714" s="187"/>
    </row>
    <row r="1715" spans="2:38" ht="12.75" customHeight="1">
      <c r="B1715" s="485"/>
      <c r="C1715" s="20"/>
      <c r="D1715" s="12"/>
      <c r="E1715" s="12"/>
      <c r="F1715" s="12"/>
      <c r="G1715" s="12"/>
      <c r="H1715" s="20"/>
      <c r="I1715" s="187"/>
      <c r="J1715" s="187"/>
      <c r="K1715" s="187"/>
      <c r="L1715" s="187"/>
      <c r="M1715" s="187"/>
      <c r="N1715" s="187"/>
      <c r="O1715" s="187"/>
      <c r="P1715" s="187"/>
      <c r="Q1715" s="187"/>
      <c r="R1715" s="187"/>
      <c r="S1715" s="187"/>
      <c r="T1715" s="187"/>
      <c r="U1715" s="187"/>
      <c r="V1715" s="187"/>
      <c r="W1715" s="187"/>
      <c r="X1715" s="187"/>
      <c r="Y1715" s="187"/>
      <c r="Z1715" s="187"/>
      <c r="AA1715" s="187"/>
      <c r="AB1715" s="187"/>
      <c r="AC1715" s="187"/>
      <c r="AD1715" s="187"/>
      <c r="AE1715" s="187"/>
      <c r="AF1715" s="187"/>
      <c r="AG1715" s="187"/>
      <c r="AH1715" s="187"/>
      <c r="AI1715" s="187"/>
      <c r="AJ1715" s="187"/>
      <c r="AK1715" s="187"/>
      <c r="AL1715" s="187"/>
    </row>
    <row r="1716" spans="2:38" ht="12.75" customHeight="1">
      <c r="B1716" s="485"/>
      <c r="C1716" s="20"/>
      <c r="D1716" s="12"/>
      <c r="E1716" s="12"/>
      <c r="F1716" s="12"/>
      <c r="G1716" s="12"/>
      <c r="H1716" s="20"/>
      <c r="I1716" s="187"/>
      <c r="J1716" s="187"/>
      <c r="K1716" s="187"/>
      <c r="L1716" s="187"/>
      <c r="M1716" s="187"/>
      <c r="N1716" s="187"/>
      <c r="O1716" s="187"/>
      <c r="P1716" s="187"/>
      <c r="Q1716" s="187"/>
      <c r="R1716" s="187"/>
      <c r="S1716" s="187"/>
      <c r="T1716" s="187"/>
      <c r="U1716" s="187"/>
      <c r="V1716" s="187"/>
      <c r="W1716" s="187"/>
      <c r="X1716" s="187"/>
      <c r="Y1716" s="187"/>
      <c r="Z1716" s="187"/>
      <c r="AA1716" s="187"/>
      <c r="AB1716" s="187"/>
      <c r="AC1716" s="187"/>
      <c r="AD1716" s="187"/>
      <c r="AE1716" s="187"/>
      <c r="AF1716" s="187"/>
      <c r="AG1716" s="187"/>
      <c r="AH1716" s="187"/>
      <c r="AI1716" s="187"/>
      <c r="AJ1716" s="187"/>
      <c r="AK1716" s="187"/>
      <c r="AL1716" s="187"/>
    </row>
    <row r="1717" spans="2:38" ht="12.75" customHeight="1">
      <c r="B1717" s="485"/>
      <c r="C1717" s="20"/>
      <c r="D1717" s="12"/>
      <c r="E1717" s="12"/>
      <c r="F1717" s="12"/>
      <c r="G1717" s="12"/>
      <c r="H1717" s="20"/>
      <c r="I1717" s="187"/>
      <c r="J1717" s="187"/>
      <c r="K1717" s="187"/>
      <c r="L1717" s="187"/>
      <c r="M1717" s="187"/>
      <c r="N1717" s="187"/>
      <c r="O1717" s="187"/>
      <c r="P1717" s="187"/>
      <c r="Q1717" s="187"/>
      <c r="R1717" s="187"/>
      <c r="S1717" s="187"/>
      <c r="T1717" s="187"/>
      <c r="U1717" s="187"/>
      <c r="V1717" s="187"/>
      <c r="W1717" s="187"/>
      <c r="X1717" s="187"/>
      <c r="Y1717" s="187"/>
      <c r="Z1717" s="187"/>
      <c r="AA1717" s="187"/>
      <c r="AB1717" s="187"/>
      <c r="AC1717" s="187"/>
      <c r="AD1717" s="187"/>
      <c r="AE1717" s="187"/>
      <c r="AF1717" s="187"/>
      <c r="AG1717" s="187"/>
      <c r="AH1717" s="187"/>
      <c r="AI1717" s="187"/>
      <c r="AJ1717" s="187"/>
      <c r="AK1717" s="187"/>
      <c r="AL1717" s="187"/>
    </row>
    <row r="1718" spans="2:38" ht="12.75" customHeight="1">
      <c r="B1718" s="485"/>
      <c r="C1718" s="20"/>
      <c r="D1718" s="12"/>
      <c r="E1718" s="12"/>
      <c r="F1718" s="12"/>
      <c r="G1718" s="12"/>
      <c r="H1718" s="20"/>
      <c r="I1718" s="187"/>
      <c r="J1718" s="187"/>
      <c r="K1718" s="187"/>
      <c r="L1718" s="187"/>
      <c r="M1718" s="187"/>
      <c r="N1718" s="187"/>
      <c r="O1718" s="187"/>
      <c r="P1718" s="187"/>
      <c r="Q1718" s="187"/>
      <c r="R1718" s="187"/>
      <c r="S1718" s="187"/>
      <c r="T1718" s="187"/>
      <c r="U1718" s="187"/>
      <c r="V1718" s="187"/>
      <c r="W1718" s="187"/>
      <c r="X1718" s="187"/>
      <c r="Y1718" s="187"/>
      <c r="Z1718" s="187"/>
      <c r="AA1718" s="187"/>
      <c r="AB1718" s="187"/>
      <c r="AC1718" s="187"/>
      <c r="AD1718" s="187"/>
      <c r="AE1718" s="187"/>
      <c r="AF1718" s="187"/>
      <c r="AG1718" s="187"/>
      <c r="AH1718" s="187"/>
      <c r="AI1718" s="187"/>
      <c r="AJ1718" s="187"/>
      <c r="AK1718" s="187"/>
      <c r="AL1718" s="187"/>
    </row>
    <row r="1719" spans="2:38" ht="12.75" customHeight="1">
      <c r="B1719" s="485"/>
      <c r="C1719" s="20"/>
      <c r="D1719" s="12"/>
      <c r="E1719" s="12"/>
      <c r="F1719" s="12"/>
      <c r="G1719" s="12"/>
      <c r="H1719" s="20"/>
      <c r="I1719" s="187"/>
      <c r="J1719" s="187"/>
      <c r="K1719" s="187"/>
      <c r="L1719" s="187"/>
      <c r="M1719" s="187"/>
      <c r="N1719" s="187"/>
      <c r="O1719" s="187"/>
      <c r="P1719" s="187"/>
      <c r="Q1719" s="187"/>
      <c r="R1719" s="187"/>
      <c r="S1719" s="187"/>
      <c r="T1719" s="187"/>
      <c r="U1719" s="187"/>
      <c r="V1719" s="187"/>
      <c r="W1719" s="187"/>
      <c r="X1719" s="187"/>
      <c r="Y1719" s="187"/>
      <c r="Z1719" s="187"/>
      <c r="AA1719" s="187"/>
      <c r="AB1719" s="187"/>
      <c r="AC1719" s="187"/>
      <c r="AD1719" s="187"/>
      <c r="AE1719" s="187"/>
      <c r="AF1719" s="187"/>
      <c r="AG1719" s="187"/>
      <c r="AH1719" s="187"/>
      <c r="AI1719" s="187"/>
      <c r="AJ1719" s="187"/>
      <c r="AK1719" s="187"/>
      <c r="AL1719" s="187"/>
    </row>
    <row r="1720" spans="2:38" ht="12.75" customHeight="1">
      <c r="B1720" s="485"/>
      <c r="C1720" s="20"/>
      <c r="D1720" s="12"/>
      <c r="E1720" s="12"/>
      <c r="F1720" s="12"/>
      <c r="G1720" s="12"/>
      <c r="H1720" s="20"/>
      <c r="I1720" s="187"/>
      <c r="J1720" s="187"/>
      <c r="K1720" s="187"/>
      <c r="L1720" s="187"/>
      <c r="M1720" s="187"/>
      <c r="N1720" s="187"/>
      <c r="O1720" s="187"/>
      <c r="P1720" s="187"/>
      <c r="Q1720" s="187"/>
      <c r="R1720" s="187"/>
      <c r="S1720" s="187"/>
      <c r="T1720" s="187"/>
      <c r="U1720" s="187"/>
      <c r="V1720" s="187"/>
      <c r="W1720" s="187"/>
      <c r="X1720" s="187"/>
      <c r="Y1720" s="187"/>
      <c r="Z1720" s="187"/>
      <c r="AA1720" s="187"/>
      <c r="AB1720" s="187"/>
      <c r="AC1720" s="187"/>
      <c r="AD1720" s="187"/>
      <c r="AE1720" s="187"/>
      <c r="AF1720" s="187"/>
      <c r="AG1720" s="187"/>
      <c r="AH1720" s="187"/>
      <c r="AI1720" s="187"/>
      <c r="AJ1720" s="187"/>
      <c r="AK1720" s="187"/>
      <c r="AL1720" s="187"/>
    </row>
    <row r="1721" spans="2:38" ht="12.75" customHeight="1">
      <c r="B1721" s="485"/>
      <c r="C1721" s="20"/>
      <c r="D1721" s="12"/>
      <c r="E1721" s="12"/>
      <c r="F1721" s="12"/>
      <c r="G1721" s="12"/>
      <c r="H1721" s="20"/>
      <c r="I1721" s="187"/>
      <c r="J1721" s="187"/>
      <c r="K1721" s="187"/>
      <c r="L1721" s="187"/>
      <c r="M1721" s="187"/>
      <c r="N1721" s="187"/>
      <c r="O1721" s="187"/>
      <c r="P1721" s="187"/>
      <c r="Q1721" s="187"/>
      <c r="R1721" s="187"/>
      <c r="S1721" s="187"/>
      <c r="T1721" s="187"/>
      <c r="U1721" s="187"/>
      <c r="V1721" s="187"/>
      <c r="W1721" s="187"/>
      <c r="X1721" s="187"/>
      <c r="Y1721" s="187"/>
      <c r="Z1721" s="187"/>
      <c r="AA1721" s="187"/>
      <c r="AB1721" s="187"/>
      <c r="AC1721" s="187"/>
      <c r="AD1721" s="187"/>
      <c r="AE1721" s="187"/>
      <c r="AF1721" s="187"/>
      <c r="AG1721" s="187"/>
      <c r="AH1721" s="187"/>
      <c r="AI1721" s="187"/>
      <c r="AJ1721" s="187"/>
      <c r="AK1721" s="187"/>
      <c r="AL1721" s="187"/>
    </row>
    <row r="1722" spans="2:38" ht="12.75" customHeight="1">
      <c r="B1722" s="485"/>
      <c r="C1722" s="20"/>
      <c r="D1722" s="12"/>
      <c r="E1722" s="12"/>
      <c r="F1722" s="12"/>
      <c r="G1722" s="12"/>
      <c r="H1722" s="20"/>
      <c r="I1722" s="187"/>
      <c r="J1722" s="187"/>
      <c r="K1722" s="187"/>
      <c r="L1722" s="187"/>
      <c r="M1722" s="187"/>
      <c r="N1722" s="187"/>
      <c r="O1722" s="187"/>
      <c r="P1722" s="187"/>
      <c r="Q1722" s="187"/>
      <c r="R1722" s="187"/>
      <c r="S1722" s="187"/>
      <c r="T1722" s="187"/>
      <c r="U1722" s="187"/>
      <c r="V1722" s="187"/>
      <c r="W1722" s="187"/>
      <c r="X1722" s="187"/>
      <c r="Y1722" s="187"/>
      <c r="Z1722" s="187"/>
      <c r="AA1722" s="187"/>
      <c r="AB1722" s="187"/>
      <c r="AC1722" s="187"/>
      <c r="AD1722" s="187"/>
      <c r="AE1722" s="187"/>
      <c r="AF1722" s="187"/>
      <c r="AG1722" s="187"/>
      <c r="AH1722" s="187"/>
      <c r="AI1722" s="187"/>
      <c r="AJ1722" s="187"/>
      <c r="AK1722" s="187"/>
      <c r="AL1722" s="187"/>
    </row>
    <row r="1723" spans="2:38" ht="12.75" customHeight="1">
      <c r="B1723" s="485"/>
      <c r="C1723" s="20"/>
      <c r="D1723" s="12"/>
      <c r="E1723" s="12"/>
      <c r="F1723" s="12"/>
      <c r="G1723" s="12"/>
      <c r="H1723" s="20"/>
      <c r="I1723" s="187"/>
      <c r="J1723" s="187"/>
      <c r="K1723" s="187"/>
      <c r="L1723" s="187"/>
      <c r="M1723" s="187"/>
      <c r="N1723" s="187"/>
      <c r="O1723" s="187"/>
      <c r="P1723" s="187"/>
      <c r="Q1723" s="187"/>
      <c r="R1723" s="187"/>
      <c r="S1723" s="187"/>
      <c r="T1723" s="187"/>
      <c r="U1723" s="187"/>
      <c r="V1723" s="187"/>
      <c r="W1723" s="187"/>
      <c r="X1723" s="187"/>
      <c r="Y1723" s="187"/>
      <c r="Z1723" s="187"/>
      <c r="AA1723" s="187"/>
      <c r="AB1723" s="187"/>
      <c r="AC1723" s="187"/>
      <c r="AD1723" s="187"/>
      <c r="AE1723" s="187"/>
      <c r="AF1723" s="187"/>
      <c r="AG1723" s="187"/>
      <c r="AH1723" s="187"/>
      <c r="AI1723" s="187"/>
      <c r="AJ1723" s="187"/>
      <c r="AK1723" s="187"/>
      <c r="AL1723" s="187"/>
    </row>
    <row r="1724" spans="2:38" ht="12.75" customHeight="1">
      <c r="B1724" s="485"/>
      <c r="C1724" s="20"/>
      <c r="D1724" s="12"/>
      <c r="E1724" s="12"/>
      <c r="F1724" s="12"/>
      <c r="G1724" s="12"/>
      <c r="H1724" s="20"/>
      <c r="I1724" s="187"/>
      <c r="J1724" s="187"/>
      <c r="K1724" s="187"/>
      <c r="L1724" s="187"/>
      <c r="M1724" s="187"/>
      <c r="N1724" s="187"/>
      <c r="O1724" s="187"/>
      <c r="P1724" s="187"/>
      <c r="Q1724" s="187"/>
      <c r="R1724" s="187"/>
      <c r="S1724" s="187"/>
      <c r="T1724" s="187"/>
      <c r="U1724" s="187"/>
      <c r="V1724" s="187"/>
      <c r="W1724" s="187"/>
      <c r="X1724" s="187"/>
      <c r="Y1724" s="187"/>
      <c r="Z1724" s="187"/>
      <c r="AA1724" s="187"/>
      <c r="AB1724" s="187"/>
      <c r="AC1724" s="187"/>
      <c r="AD1724" s="187"/>
      <c r="AE1724" s="187"/>
      <c r="AF1724" s="187"/>
      <c r="AG1724" s="187"/>
      <c r="AH1724" s="187"/>
      <c r="AI1724" s="187"/>
      <c r="AJ1724" s="187"/>
      <c r="AK1724" s="187"/>
      <c r="AL1724" s="187"/>
    </row>
    <row r="1725" spans="2:38" ht="12.75" customHeight="1">
      <c r="B1725" s="485"/>
      <c r="C1725" s="20"/>
      <c r="D1725" s="12"/>
      <c r="E1725" s="12"/>
      <c r="F1725" s="12"/>
      <c r="G1725" s="12"/>
      <c r="H1725" s="20"/>
      <c r="I1725" s="187"/>
      <c r="J1725" s="187"/>
      <c r="K1725" s="187"/>
      <c r="L1725" s="187"/>
      <c r="M1725" s="187"/>
      <c r="N1725" s="187"/>
      <c r="O1725" s="187"/>
      <c r="P1725" s="187"/>
      <c r="Q1725" s="187"/>
      <c r="R1725" s="187"/>
      <c r="S1725" s="187"/>
      <c r="T1725" s="187"/>
      <c r="U1725" s="187"/>
      <c r="V1725" s="187"/>
      <c r="W1725" s="187"/>
      <c r="X1725" s="187"/>
      <c r="Y1725" s="187"/>
      <c r="Z1725" s="187"/>
      <c r="AA1725" s="187"/>
      <c r="AB1725" s="187"/>
      <c r="AC1725" s="187"/>
      <c r="AD1725" s="187"/>
      <c r="AE1725" s="187"/>
      <c r="AF1725" s="187"/>
      <c r="AG1725" s="187"/>
      <c r="AH1725" s="187"/>
      <c r="AI1725" s="187"/>
      <c r="AJ1725" s="187"/>
      <c r="AK1725" s="187"/>
      <c r="AL1725" s="187"/>
    </row>
    <row r="1726" spans="2:38" ht="12.75" customHeight="1">
      <c r="B1726" s="485"/>
      <c r="C1726" s="20"/>
      <c r="D1726" s="12"/>
      <c r="E1726" s="12"/>
      <c r="F1726" s="12"/>
      <c r="G1726" s="12"/>
      <c r="H1726" s="20"/>
      <c r="I1726" s="187"/>
      <c r="J1726" s="187"/>
      <c r="K1726" s="187"/>
      <c r="L1726" s="187"/>
      <c r="M1726" s="187"/>
      <c r="N1726" s="187"/>
      <c r="O1726" s="187"/>
      <c r="P1726" s="187"/>
      <c r="Q1726" s="187"/>
      <c r="R1726" s="187"/>
      <c r="S1726" s="187"/>
      <c r="T1726" s="187"/>
      <c r="U1726" s="187"/>
      <c r="V1726" s="187"/>
      <c r="W1726" s="187"/>
      <c r="X1726" s="187"/>
      <c r="Y1726" s="187"/>
      <c r="Z1726" s="187"/>
      <c r="AA1726" s="187"/>
      <c r="AB1726" s="187"/>
      <c r="AC1726" s="187"/>
      <c r="AD1726" s="187"/>
      <c r="AE1726" s="187"/>
      <c r="AF1726" s="187"/>
      <c r="AG1726" s="187"/>
      <c r="AH1726" s="187"/>
      <c r="AI1726" s="187"/>
      <c r="AJ1726" s="187"/>
      <c r="AK1726" s="187"/>
      <c r="AL1726" s="187"/>
    </row>
    <row r="1727" spans="2:38" ht="12.75" customHeight="1">
      <c r="B1727" s="485"/>
      <c r="C1727" s="20"/>
      <c r="D1727" s="12"/>
      <c r="E1727" s="12"/>
      <c r="F1727" s="12"/>
      <c r="G1727" s="12"/>
      <c r="H1727" s="20"/>
      <c r="I1727" s="187"/>
      <c r="J1727" s="187"/>
      <c r="K1727" s="187"/>
      <c r="L1727" s="187"/>
      <c r="M1727" s="187"/>
      <c r="N1727" s="187"/>
      <c r="O1727" s="187"/>
      <c r="P1727" s="187"/>
      <c r="Q1727" s="187"/>
      <c r="R1727" s="187"/>
      <c r="S1727" s="187"/>
      <c r="T1727" s="187"/>
      <c r="U1727" s="187"/>
      <c r="V1727" s="187"/>
      <c r="W1727" s="187"/>
      <c r="X1727" s="187"/>
      <c r="Y1727" s="187"/>
      <c r="Z1727" s="187"/>
      <c r="AA1727" s="187"/>
      <c r="AB1727" s="187"/>
      <c r="AC1727" s="187"/>
      <c r="AD1727" s="187"/>
      <c r="AE1727" s="187"/>
      <c r="AF1727" s="187"/>
      <c r="AG1727" s="187"/>
      <c r="AH1727" s="187"/>
      <c r="AI1727" s="187"/>
      <c r="AJ1727" s="187"/>
      <c r="AK1727" s="187"/>
      <c r="AL1727" s="187"/>
    </row>
    <row r="1728" spans="2:38" ht="12.75" customHeight="1">
      <c r="B1728" s="485"/>
      <c r="C1728" s="20"/>
      <c r="D1728" s="12"/>
      <c r="E1728" s="12"/>
      <c r="F1728" s="12"/>
      <c r="G1728" s="12"/>
      <c r="H1728" s="20"/>
      <c r="I1728" s="187"/>
      <c r="J1728" s="187"/>
      <c r="K1728" s="187"/>
      <c r="L1728" s="187"/>
      <c r="M1728" s="187"/>
      <c r="N1728" s="187"/>
      <c r="O1728" s="187"/>
      <c r="P1728" s="187"/>
      <c r="Q1728" s="187"/>
      <c r="R1728" s="187"/>
      <c r="S1728" s="187"/>
      <c r="T1728" s="187"/>
      <c r="U1728" s="187"/>
      <c r="V1728" s="187"/>
      <c r="W1728" s="187"/>
      <c r="X1728" s="187"/>
      <c r="Y1728" s="187"/>
      <c r="Z1728" s="187"/>
      <c r="AA1728" s="187"/>
      <c r="AB1728" s="187"/>
      <c r="AC1728" s="187"/>
      <c r="AD1728" s="187"/>
      <c r="AE1728" s="187"/>
      <c r="AF1728" s="187"/>
      <c r="AG1728" s="187"/>
      <c r="AH1728" s="187"/>
      <c r="AI1728" s="187"/>
      <c r="AJ1728" s="187"/>
      <c r="AK1728" s="187"/>
      <c r="AL1728" s="187"/>
    </row>
    <row r="1729" spans="2:38" ht="12.75" customHeight="1">
      <c r="B1729" s="485"/>
      <c r="C1729" s="20"/>
      <c r="D1729" s="12"/>
      <c r="E1729" s="12"/>
      <c r="F1729" s="12"/>
      <c r="G1729" s="12"/>
      <c r="H1729" s="20"/>
      <c r="I1729" s="187"/>
      <c r="J1729" s="187"/>
      <c r="K1729" s="187"/>
      <c r="L1729" s="187"/>
      <c r="M1729" s="187"/>
      <c r="N1729" s="187"/>
      <c r="O1729" s="187"/>
      <c r="P1729" s="187"/>
      <c r="Q1729" s="187"/>
      <c r="R1729" s="187"/>
      <c r="S1729" s="187"/>
      <c r="T1729" s="187"/>
      <c r="U1729" s="187"/>
      <c r="V1729" s="187"/>
      <c r="W1729" s="187"/>
      <c r="X1729" s="187"/>
      <c r="Y1729" s="187"/>
      <c r="Z1729" s="187"/>
      <c r="AA1729" s="187"/>
      <c r="AB1729" s="187"/>
      <c r="AC1729" s="187"/>
      <c r="AD1729" s="187"/>
      <c r="AE1729" s="187"/>
      <c r="AF1729" s="187"/>
      <c r="AG1729" s="187"/>
      <c r="AH1729" s="187"/>
      <c r="AI1729" s="187"/>
      <c r="AJ1729" s="187"/>
      <c r="AK1729" s="187"/>
      <c r="AL1729" s="187"/>
    </row>
    <row r="1730" spans="2:38" ht="12.75" customHeight="1">
      <c r="B1730" s="485"/>
      <c r="C1730" s="20"/>
      <c r="D1730" s="12"/>
      <c r="E1730" s="12"/>
      <c r="F1730" s="12"/>
      <c r="G1730" s="12"/>
      <c r="H1730" s="20"/>
      <c r="I1730" s="187"/>
      <c r="J1730" s="187"/>
      <c r="K1730" s="187"/>
      <c r="L1730" s="187"/>
      <c r="M1730" s="187"/>
      <c r="N1730" s="187"/>
      <c r="O1730" s="187"/>
      <c r="P1730" s="187"/>
      <c r="Q1730" s="187"/>
      <c r="R1730" s="187"/>
      <c r="S1730" s="187"/>
      <c r="T1730" s="187"/>
      <c r="U1730" s="187"/>
      <c r="V1730" s="187"/>
      <c r="W1730" s="187"/>
      <c r="X1730" s="187"/>
      <c r="Y1730" s="187"/>
      <c r="Z1730" s="187"/>
      <c r="AA1730" s="187"/>
      <c r="AB1730" s="187"/>
      <c r="AC1730" s="187"/>
      <c r="AD1730" s="187"/>
      <c r="AE1730" s="187"/>
      <c r="AF1730" s="187"/>
      <c r="AG1730" s="187"/>
      <c r="AH1730" s="187"/>
      <c r="AI1730" s="187"/>
      <c r="AJ1730" s="187"/>
      <c r="AK1730" s="187"/>
      <c r="AL1730" s="187"/>
    </row>
    <row r="1731" spans="2:38" ht="12.75" customHeight="1">
      <c r="B1731" s="485"/>
      <c r="C1731" s="20"/>
      <c r="D1731" s="12"/>
      <c r="E1731" s="12"/>
      <c r="F1731" s="12"/>
      <c r="G1731" s="12"/>
      <c r="H1731" s="20"/>
      <c r="I1731" s="187"/>
      <c r="J1731" s="187"/>
      <c r="K1731" s="187"/>
      <c r="L1731" s="187"/>
      <c r="M1731" s="187"/>
      <c r="N1731" s="187"/>
      <c r="O1731" s="187"/>
      <c r="P1731" s="187"/>
      <c r="Q1731" s="187"/>
      <c r="R1731" s="187"/>
      <c r="S1731" s="187"/>
      <c r="T1731" s="187"/>
      <c r="U1731" s="187"/>
      <c r="V1731" s="187"/>
      <c r="W1731" s="187"/>
      <c r="X1731" s="187"/>
      <c r="Y1731" s="187"/>
      <c r="Z1731" s="187"/>
      <c r="AA1731" s="187"/>
      <c r="AB1731" s="187"/>
      <c r="AC1731" s="187"/>
      <c r="AD1731" s="187"/>
      <c r="AE1731" s="187"/>
      <c r="AF1731" s="187"/>
      <c r="AG1731" s="187"/>
      <c r="AH1731" s="187"/>
      <c r="AI1731" s="187"/>
      <c r="AJ1731" s="187"/>
      <c r="AK1731" s="187"/>
      <c r="AL1731" s="187"/>
    </row>
    <row r="1732" spans="2:38" ht="12.75" customHeight="1">
      <c r="B1732" s="485"/>
      <c r="C1732" s="20"/>
      <c r="D1732" s="12"/>
      <c r="E1732" s="12"/>
      <c r="F1732" s="12"/>
      <c r="G1732" s="12"/>
      <c r="H1732" s="20"/>
      <c r="I1732" s="187"/>
      <c r="J1732" s="187"/>
      <c r="K1732" s="187"/>
      <c r="L1732" s="187"/>
      <c r="M1732" s="187"/>
      <c r="N1732" s="187"/>
      <c r="O1732" s="187"/>
      <c r="P1732" s="187"/>
      <c r="Q1732" s="187"/>
      <c r="R1732" s="187"/>
      <c r="S1732" s="187"/>
      <c r="T1732" s="187"/>
      <c r="U1732" s="187"/>
      <c r="V1732" s="187"/>
      <c r="W1732" s="187"/>
      <c r="X1732" s="187"/>
      <c r="Y1732" s="187"/>
      <c r="Z1732" s="187"/>
      <c r="AA1732" s="187"/>
      <c r="AB1732" s="187"/>
      <c r="AC1732" s="187"/>
      <c r="AD1732" s="187"/>
      <c r="AE1732" s="187"/>
      <c r="AF1732" s="187"/>
      <c r="AG1732" s="187"/>
      <c r="AH1732" s="187"/>
      <c r="AI1732" s="187"/>
      <c r="AJ1732" s="187"/>
      <c r="AK1732" s="187"/>
      <c r="AL1732" s="187"/>
    </row>
    <row r="1733" spans="2:38" ht="12.75" customHeight="1">
      <c r="B1733" s="485"/>
      <c r="C1733" s="20"/>
      <c r="D1733" s="12"/>
      <c r="E1733" s="12"/>
      <c r="F1733" s="12"/>
      <c r="G1733" s="12"/>
      <c r="H1733" s="20"/>
      <c r="I1733" s="187"/>
      <c r="J1733" s="187"/>
      <c r="K1733" s="187"/>
      <c r="L1733" s="187"/>
      <c r="M1733" s="187"/>
      <c r="N1733" s="187"/>
      <c r="O1733" s="187"/>
      <c r="P1733" s="187"/>
      <c r="Q1733" s="187"/>
      <c r="R1733" s="187"/>
      <c r="S1733" s="187"/>
      <c r="T1733" s="187"/>
      <c r="U1733" s="187"/>
      <c r="V1733" s="187"/>
      <c r="W1733" s="187"/>
      <c r="X1733" s="187"/>
      <c r="Y1733" s="187"/>
      <c r="Z1733" s="187"/>
      <c r="AA1733" s="187"/>
      <c r="AB1733" s="187"/>
      <c r="AC1733" s="187"/>
      <c r="AD1733" s="187"/>
      <c r="AE1733" s="187"/>
      <c r="AF1733" s="187"/>
      <c r="AG1733" s="187"/>
      <c r="AH1733" s="187"/>
      <c r="AI1733" s="187"/>
      <c r="AJ1733" s="187"/>
      <c r="AK1733" s="187"/>
      <c r="AL1733" s="187"/>
    </row>
    <row r="1734" spans="2:38" ht="12.75" customHeight="1">
      <c r="B1734" s="485"/>
      <c r="C1734" s="20"/>
      <c r="D1734" s="12"/>
      <c r="E1734" s="12"/>
      <c r="F1734" s="12"/>
      <c r="G1734" s="12"/>
      <c r="H1734" s="20"/>
      <c r="I1734" s="187"/>
      <c r="J1734" s="187"/>
      <c r="K1734" s="187"/>
      <c r="L1734" s="187"/>
      <c r="M1734" s="187"/>
      <c r="N1734" s="187"/>
      <c r="O1734" s="187"/>
      <c r="P1734" s="187"/>
      <c r="Q1734" s="187"/>
      <c r="R1734" s="187"/>
      <c r="S1734" s="187"/>
      <c r="T1734" s="187"/>
      <c r="U1734" s="187"/>
      <c r="V1734" s="187"/>
      <c r="W1734" s="187"/>
      <c r="X1734" s="187"/>
      <c r="Y1734" s="187"/>
      <c r="Z1734" s="187"/>
      <c r="AA1734" s="187"/>
      <c r="AB1734" s="187"/>
      <c r="AC1734" s="187"/>
      <c r="AD1734" s="187"/>
      <c r="AE1734" s="187"/>
      <c r="AF1734" s="187"/>
      <c r="AG1734" s="187"/>
      <c r="AH1734" s="187"/>
      <c r="AI1734" s="187"/>
      <c r="AJ1734" s="187"/>
      <c r="AK1734" s="187"/>
      <c r="AL1734" s="187"/>
    </row>
    <row r="1735" spans="2:38" ht="12.75" customHeight="1">
      <c r="B1735" s="485"/>
      <c r="C1735" s="20"/>
      <c r="D1735" s="12"/>
      <c r="E1735" s="12"/>
      <c r="F1735" s="12"/>
      <c r="G1735" s="12"/>
      <c r="H1735" s="20"/>
      <c r="I1735" s="187"/>
      <c r="J1735" s="187"/>
      <c r="K1735" s="187"/>
      <c r="L1735" s="187"/>
      <c r="M1735" s="187"/>
      <c r="N1735" s="187"/>
      <c r="O1735" s="187"/>
      <c r="P1735" s="187"/>
      <c r="Q1735" s="187"/>
      <c r="R1735" s="187"/>
      <c r="S1735" s="187"/>
      <c r="T1735" s="187"/>
      <c r="U1735" s="187"/>
      <c r="V1735" s="187"/>
      <c r="W1735" s="187"/>
      <c r="X1735" s="187"/>
      <c r="Y1735" s="187"/>
      <c r="Z1735" s="187"/>
      <c r="AA1735" s="187"/>
      <c r="AB1735" s="187"/>
      <c r="AC1735" s="187"/>
      <c r="AD1735" s="187"/>
      <c r="AE1735" s="187"/>
      <c r="AF1735" s="187"/>
      <c r="AG1735" s="187"/>
      <c r="AH1735" s="187"/>
      <c r="AI1735" s="187"/>
      <c r="AJ1735" s="187"/>
      <c r="AK1735" s="187"/>
      <c r="AL1735" s="187"/>
    </row>
    <row r="1736" spans="2:38" ht="12.75" customHeight="1">
      <c r="B1736" s="485"/>
      <c r="C1736" s="20"/>
      <c r="D1736" s="12"/>
      <c r="E1736" s="12"/>
      <c r="F1736" s="12"/>
      <c r="G1736" s="12"/>
      <c r="H1736" s="20"/>
      <c r="I1736" s="187"/>
      <c r="J1736" s="187"/>
      <c r="K1736" s="187"/>
      <c r="L1736" s="187"/>
      <c r="M1736" s="187"/>
      <c r="N1736" s="187"/>
      <c r="O1736" s="187"/>
      <c r="P1736" s="187"/>
      <c r="Q1736" s="187"/>
      <c r="R1736" s="187"/>
      <c r="S1736" s="187"/>
      <c r="T1736" s="187"/>
      <c r="U1736" s="187"/>
      <c r="V1736" s="187"/>
      <c r="W1736" s="187"/>
      <c r="X1736" s="187"/>
      <c r="Y1736" s="187"/>
      <c r="Z1736" s="187"/>
      <c r="AA1736" s="187"/>
      <c r="AB1736" s="187"/>
      <c r="AC1736" s="187"/>
      <c r="AD1736" s="187"/>
      <c r="AE1736" s="187"/>
      <c r="AF1736" s="187"/>
      <c r="AG1736" s="187"/>
      <c r="AH1736" s="187"/>
      <c r="AI1736" s="187"/>
      <c r="AJ1736" s="187"/>
      <c r="AK1736" s="187"/>
      <c r="AL1736" s="187"/>
    </row>
    <row r="1737" spans="2:38" ht="12.75" customHeight="1">
      <c r="B1737" s="485"/>
      <c r="C1737" s="20"/>
      <c r="D1737" s="12"/>
      <c r="E1737" s="12"/>
      <c r="F1737" s="12"/>
      <c r="G1737" s="12"/>
      <c r="H1737" s="20"/>
      <c r="I1737" s="187"/>
      <c r="J1737" s="187"/>
      <c r="K1737" s="187"/>
      <c r="L1737" s="187"/>
      <c r="M1737" s="187"/>
      <c r="N1737" s="187"/>
      <c r="O1737" s="187"/>
      <c r="P1737" s="187"/>
      <c r="Q1737" s="187"/>
      <c r="R1737" s="187"/>
      <c r="S1737" s="187"/>
      <c r="T1737" s="187"/>
      <c r="U1737" s="187"/>
      <c r="V1737" s="187"/>
      <c r="W1737" s="187"/>
      <c r="X1737" s="187"/>
      <c r="Y1737" s="187"/>
      <c r="Z1737" s="187"/>
      <c r="AA1737" s="187"/>
      <c r="AB1737" s="187"/>
      <c r="AC1737" s="187"/>
      <c r="AD1737" s="187"/>
      <c r="AE1737" s="187"/>
      <c r="AF1737" s="187"/>
      <c r="AG1737" s="187"/>
      <c r="AH1737" s="187"/>
      <c r="AI1737" s="187"/>
      <c r="AJ1737" s="187"/>
      <c r="AK1737" s="187"/>
      <c r="AL1737" s="187"/>
    </row>
    <row r="1738" spans="2:38" ht="12.75" customHeight="1">
      <c r="B1738" s="485"/>
      <c r="C1738" s="20"/>
      <c r="D1738" s="12"/>
      <c r="E1738" s="12"/>
      <c r="F1738" s="12"/>
      <c r="G1738" s="12"/>
      <c r="H1738" s="20"/>
      <c r="I1738" s="187"/>
      <c r="J1738" s="187"/>
      <c r="K1738" s="187"/>
      <c r="L1738" s="187"/>
      <c r="M1738" s="187"/>
      <c r="N1738" s="187"/>
      <c r="O1738" s="187"/>
      <c r="P1738" s="187"/>
      <c r="Q1738" s="187"/>
      <c r="R1738" s="187"/>
      <c r="S1738" s="187"/>
      <c r="T1738" s="187"/>
      <c r="U1738" s="187"/>
      <c r="V1738" s="187"/>
      <c r="W1738" s="187"/>
      <c r="X1738" s="187"/>
      <c r="Y1738" s="187"/>
      <c r="Z1738" s="187"/>
      <c r="AA1738" s="187"/>
      <c r="AB1738" s="187"/>
      <c r="AC1738" s="187"/>
      <c r="AD1738" s="187"/>
      <c r="AE1738" s="187"/>
      <c r="AF1738" s="187"/>
      <c r="AG1738" s="187"/>
      <c r="AH1738" s="187"/>
      <c r="AI1738" s="187"/>
      <c r="AJ1738" s="187"/>
      <c r="AK1738" s="187"/>
      <c r="AL1738" s="187"/>
    </row>
    <row r="1739" spans="2:38" ht="12.75" customHeight="1">
      <c r="B1739" s="485"/>
      <c r="C1739" s="20"/>
      <c r="D1739" s="12"/>
      <c r="E1739" s="12"/>
      <c r="F1739" s="12"/>
      <c r="G1739" s="12"/>
      <c r="H1739" s="20"/>
      <c r="I1739" s="187"/>
      <c r="J1739" s="187"/>
      <c r="K1739" s="187"/>
      <c r="L1739" s="187"/>
      <c r="M1739" s="187"/>
      <c r="N1739" s="187"/>
      <c r="O1739" s="187"/>
      <c r="P1739" s="187"/>
      <c r="Q1739" s="187"/>
      <c r="R1739" s="187"/>
      <c r="S1739" s="187"/>
      <c r="T1739" s="187"/>
      <c r="U1739" s="187"/>
      <c r="V1739" s="187"/>
      <c r="W1739" s="187"/>
      <c r="X1739" s="187"/>
      <c r="Y1739" s="187"/>
      <c r="Z1739" s="187"/>
      <c r="AA1739" s="187"/>
      <c r="AB1739" s="187"/>
      <c r="AC1739" s="187"/>
      <c r="AD1739" s="187"/>
      <c r="AE1739" s="187"/>
      <c r="AF1739" s="187"/>
      <c r="AG1739" s="187"/>
      <c r="AH1739" s="187"/>
      <c r="AI1739" s="187"/>
      <c r="AJ1739" s="187"/>
      <c r="AK1739" s="187"/>
      <c r="AL1739" s="187"/>
    </row>
    <row r="1740" spans="2:38" ht="12.75" customHeight="1">
      <c r="B1740" s="485"/>
      <c r="C1740" s="20"/>
      <c r="D1740" s="12"/>
      <c r="E1740" s="12"/>
      <c r="F1740" s="12"/>
      <c r="G1740" s="12"/>
      <c r="H1740" s="20"/>
      <c r="I1740" s="187"/>
      <c r="J1740" s="187"/>
      <c r="K1740" s="187"/>
      <c r="L1740" s="187"/>
      <c r="M1740" s="187"/>
      <c r="N1740" s="187"/>
      <c r="O1740" s="187"/>
      <c r="P1740" s="187"/>
      <c r="Q1740" s="187"/>
      <c r="R1740" s="187"/>
      <c r="S1740" s="187"/>
      <c r="T1740" s="187"/>
      <c r="U1740" s="187"/>
      <c r="V1740" s="187"/>
      <c r="W1740" s="187"/>
      <c r="X1740" s="187"/>
      <c r="Y1740" s="187"/>
      <c r="Z1740" s="187"/>
      <c r="AA1740" s="187"/>
      <c r="AB1740" s="187"/>
      <c r="AC1740" s="187"/>
      <c r="AD1740" s="187"/>
      <c r="AE1740" s="187"/>
      <c r="AF1740" s="187"/>
      <c r="AG1740" s="187"/>
      <c r="AH1740" s="187"/>
      <c r="AI1740" s="187"/>
      <c r="AJ1740" s="187"/>
      <c r="AK1740" s="187"/>
      <c r="AL1740" s="187"/>
    </row>
    <row r="1741" spans="2:38" ht="12.75" customHeight="1">
      <c r="B1741" s="485"/>
      <c r="C1741" s="20"/>
      <c r="D1741" s="12"/>
      <c r="E1741" s="12"/>
      <c r="F1741" s="12"/>
      <c r="G1741" s="12"/>
      <c r="H1741" s="20"/>
      <c r="I1741" s="187"/>
      <c r="J1741" s="187"/>
      <c r="K1741" s="187"/>
      <c r="L1741" s="187"/>
      <c r="M1741" s="187"/>
      <c r="N1741" s="187"/>
      <c r="O1741" s="187"/>
      <c r="P1741" s="187"/>
      <c r="Q1741" s="187"/>
      <c r="R1741" s="187"/>
      <c r="S1741" s="187"/>
      <c r="T1741" s="187"/>
      <c r="U1741" s="187"/>
      <c r="V1741" s="187"/>
      <c r="W1741" s="187"/>
      <c r="X1741" s="187"/>
      <c r="Y1741" s="187"/>
      <c r="Z1741" s="187"/>
      <c r="AA1741" s="187"/>
      <c r="AB1741" s="187"/>
      <c r="AC1741" s="187"/>
      <c r="AD1741" s="187"/>
      <c r="AE1741" s="187"/>
      <c r="AF1741" s="187"/>
      <c r="AG1741" s="187"/>
      <c r="AH1741" s="187"/>
      <c r="AI1741" s="187"/>
      <c r="AJ1741" s="187"/>
      <c r="AK1741" s="187"/>
      <c r="AL1741" s="187"/>
    </row>
    <row r="1742" spans="2:38" ht="12.75" customHeight="1">
      <c r="B1742" s="485"/>
      <c r="C1742" s="20"/>
      <c r="D1742" s="12"/>
      <c r="E1742" s="12"/>
      <c r="F1742" s="12"/>
      <c r="G1742" s="12"/>
      <c r="H1742" s="20"/>
      <c r="I1742" s="187"/>
      <c r="J1742" s="187"/>
      <c r="K1742" s="187"/>
      <c r="L1742" s="187"/>
      <c r="M1742" s="187"/>
      <c r="N1742" s="187"/>
      <c r="O1742" s="187"/>
      <c r="P1742" s="187"/>
      <c r="Q1742" s="187"/>
      <c r="R1742" s="187"/>
      <c r="S1742" s="187"/>
      <c r="T1742" s="187"/>
      <c r="U1742" s="187"/>
      <c r="V1742" s="187"/>
      <c r="W1742" s="187"/>
      <c r="X1742" s="187"/>
      <c r="Y1742" s="187"/>
      <c r="Z1742" s="187"/>
      <c r="AA1742" s="187"/>
      <c r="AB1742" s="187"/>
      <c r="AC1742" s="187"/>
      <c r="AD1742" s="187"/>
      <c r="AE1742" s="187"/>
      <c r="AF1742" s="187"/>
      <c r="AG1742" s="187"/>
      <c r="AH1742" s="187"/>
      <c r="AI1742" s="187"/>
      <c r="AJ1742" s="187"/>
      <c r="AK1742" s="187"/>
      <c r="AL1742" s="187"/>
    </row>
    <row r="1743" spans="2:38" ht="12.75" customHeight="1">
      <c r="B1743" s="485"/>
      <c r="C1743" s="20"/>
      <c r="D1743" s="12"/>
      <c r="E1743" s="12"/>
      <c r="F1743" s="12"/>
      <c r="G1743" s="12"/>
      <c r="H1743" s="20"/>
      <c r="I1743" s="187"/>
      <c r="J1743" s="187"/>
      <c r="K1743" s="187"/>
      <c r="L1743" s="187"/>
      <c r="M1743" s="187"/>
      <c r="N1743" s="187"/>
      <c r="O1743" s="187"/>
      <c r="P1743" s="187"/>
      <c r="Q1743" s="187"/>
      <c r="R1743" s="187"/>
      <c r="S1743" s="187"/>
      <c r="T1743" s="187"/>
      <c r="U1743" s="187"/>
      <c r="V1743" s="187"/>
      <c r="W1743" s="187"/>
      <c r="X1743" s="187"/>
      <c r="Y1743" s="187"/>
      <c r="Z1743" s="187"/>
      <c r="AA1743" s="187"/>
      <c r="AB1743" s="187"/>
      <c r="AC1743" s="187"/>
      <c r="AD1743" s="187"/>
      <c r="AE1743" s="187"/>
      <c r="AF1743" s="187"/>
      <c r="AG1743" s="187"/>
      <c r="AH1743" s="187"/>
      <c r="AI1743" s="187"/>
      <c r="AJ1743" s="187"/>
      <c r="AK1743" s="187"/>
      <c r="AL1743" s="187"/>
    </row>
    <row r="1744" spans="2:38" ht="12.75" customHeight="1">
      <c r="B1744" s="485"/>
      <c r="C1744" s="20"/>
      <c r="D1744" s="12"/>
      <c r="E1744" s="12"/>
      <c r="F1744" s="12"/>
      <c r="G1744" s="12"/>
      <c r="H1744" s="20"/>
      <c r="I1744" s="187"/>
      <c r="J1744" s="187"/>
      <c r="K1744" s="187"/>
      <c r="L1744" s="187"/>
      <c r="M1744" s="187"/>
      <c r="N1744" s="187"/>
      <c r="O1744" s="187"/>
      <c r="P1744" s="187"/>
      <c r="Q1744" s="187"/>
      <c r="R1744" s="187"/>
      <c r="S1744" s="187"/>
      <c r="T1744" s="187"/>
      <c r="U1744" s="187"/>
      <c r="V1744" s="187"/>
      <c r="W1744" s="187"/>
      <c r="X1744" s="187"/>
      <c r="Y1744" s="187"/>
      <c r="Z1744" s="187"/>
      <c r="AA1744" s="187"/>
      <c r="AB1744" s="187"/>
      <c r="AC1744" s="187"/>
      <c r="AD1744" s="187"/>
      <c r="AE1744" s="187"/>
      <c r="AF1744" s="187"/>
      <c r="AG1744" s="187"/>
      <c r="AH1744" s="187"/>
      <c r="AI1744" s="187"/>
      <c r="AJ1744" s="187"/>
      <c r="AK1744" s="187"/>
      <c r="AL1744" s="187"/>
    </row>
    <row r="1745" spans="2:38" ht="12.75" customHeight="1">
      <c r="B1745" s="485"/>
      <c r="C1745" s="20"/>
      <c r="D1745" s="12"/>
      <c r="E1745" s="12"/>
      <c r="F1745" s="12"/>
      <c r="G1745" s="12"/>
      <c r="H1745" s="20"/>
      <c r="I1745" s="187"/>
      <c r="J1745" s="187"/>
      <c r="K1745" s="187"/>
      <c r="L1745" s="187"/>
      <c r="M1745" s="187"/>
      <c r="N1745" s="187"/>
      <c r="O1745" s="187"/>
      <c r="P1745" s="187"/>
      <c r="Q1745" s="187"/>
      <c r="R1745" s="187"/>
      <c r="S1745" s="187"/>
      <c r="T1745" s="187"/>
      <c r="U1745" s="187"/>
      <c r="V1745" s="187"/>
      <c r="W1745" s="187"/>
      <c r="X1745" s="187"/>
      <c r="Y1745" s="187"/>
      <c r="Z1745" s="187"/>
      <c r="AA1745" s="187"/>
      <c r="AB1745" s="187"/>
      <c r="AC1745" s="187"/>
      <c r="AD1745" s="187"/>
      <c r="AE1745" s="187"/>
      <c r="AF1745" s="187"/>
      <c r="AG1745" s="187"/>
      <c r="AH1745" s="187"/>
      <c r="AI1745" s="187"/>
      <c r="AJ1745" s="187"/>
      <c r="AK1745" s="187"/>
      <c r="AL1745" s="187"/>
    </row>
    <row r="1746" spans="2:38" ht="12.75" customHeight="1">
      <c r="B1746" s="485"/>
      <c r="C1746" s="20"/>
      <c r="D1746" s="12"/>
      <c r="E1746" s="12"/>
      <c r="F1746" s="12"/>
      <c r="G1746" s="12"/>
      <c r="H1746" s="20"/>
      <c r="I1746" s="187"/>
      <c r="J1746" s="187"/>
      <c r="K1746" s="187"/>
      <c r="L1746" s="187"/>
      <c r="M1746" s="187"/>
      <c r="N1746" s="187"/>
      <c r="O1746" s="187"/>
      <c r="P1746" s="187"/>
      <c r="Q1746" s="187"/>
      <c r="R1746" s="187"/>
      <c r="S1746" s="187"/>
      <c r="T1746" s="187"/>
      <c r="U1746" s="187"/>
      <c r="V1746" s="187"/>
      <c r="W1746" s="187"/>
      <c r="X1746" s="187"/>
      <c r="Y1746" s="187"/>
      <c r="Z1746" s="187"/>
      <c r="AA1746" s="187"/>
      <c r="AB1746" s="187"/>
      <c r="AC1746" s="187"/>
      <c r="AD1746" s="187"/>
      <c r="AE1746" s="187"/>
      <c r="AF1746" s="187"/>
      <c r="AG1746" s="187"/>
      <c r="AH1746" s="187"/>
      <c r="AI1746" s="187"/>
      <c r="AJ1746" s="187"/>
      <c r="AK1746" s="187"/>
      <c r="AL1746" s="187"/>
    </row>
    <row r="1747" spans="2:38" ht="12.75" customHeight="1">
      <c r="B1747" s="485"/>
      <c r="C1747" s="20"/>
      <c r="D1747" s="12"/>
      <c r="E1747" s="12"/>
      <c r="F1747" s="12"/>
      <c r="G1747" s="12"/>
      <c r="H1747" s="20"/>
      <c r="I1747" s="187"/>
      <c r="J1747" s="187"/>
      <c r="K1747" s="187"/>
      <c r="L1747" s="187"/>
      <c r="M1747" s="187"/>
      <c r="N1747" s="187"/>
      <c r="O1747" s="187"/>
      <c r="P1747" s="187"/>
      <c r="Q1747" s="187"/>
      <c r="R1747" s="187"/>
      <c r="S1747" s="187"/>
      <c r="T1747" s="187"/>
      <c r="U1747" s="187"/>
      <c r="V1747" s="187"/>
      <c r="W1747" s="187"/>
      <c r="X1747" s="187"/>
      <c r="Y1747" s="187"/>
      <c r="Z1747" s="187"/>
      <c r="AA1747" s="187"/>
      <c r="AB1747" s="187"/>
      <c r="AC1747" s="187"/>
      <c r="AD1747" s="187"/>
      <c r="AE1747" s="187"/>
      <c r="AF1747" s="187"/>
      <c r="AG1747" s="187"/>
      <c r="AH1747" s="187"/>
      <c r="AI1747" s="187"/>
      <c r="AJ1747" s="187"/>
      <c r="AK1747" s="187"/>
      <c r="AL1747" s="187"/>
    </row>
    <row r="1748" spans="2:38" ht="12.75" customHeight="1">
      <c r="B1748" s="485"/>
      <c r="C1748" s="20"/>
      <c r="D1748" s="12"/>
      <c r="E1748" s="12"/>
      <c r="F1748" s="12"/>
      <c r="G1748" s="12"/>
      <c r="H1748" s="20"/>
      <c r="I1748" s="187"/>
      <c r="J1748" s="187"/>
      <c r="K1748" s="187"/>
      <c r="L1748" s="187"/>
      <c r="M1748" s="187"/>
      <c r="N1748" s="187"/>
      <c r="O1748" s="187"/>
      <c r="P1748" s="187"/>
      <c r="Q1748" s="187"/>
      <c r="R1748" s="187"/>
      <c r="S1748" s="187"/>
      <c r="T1748" s="187"/>
      <c r="U1748" s="187"/>
      <c r="V1748" s="187"/>
      <c r="W1748" s="187"/>
      <c r="X1748" s="187"/>
      <c r="Y1748" s="187"/>
      <c r="Z1748" s="187"/>
      <c r="AA1748" s="187"/>
      <c r="AB1748" s="187"/>
      <c r="AC1748" s="187"/>
      <c r="AD1748" s="187"/>
      <c r="AE1748" s="187"/>
      <c r="AF1748" s="187"/>
      <c r="AG1748" s="187"/>
      <c r="AH1748" s="187"/>
      <c r="AI1748" s="187"/>
      <c r="AJ1748" s="187"/>
      <c r="AK1748" s="187"/>
      <c r="AL1748" s="187"/>
    </row>
    <row r="1749" spans="2:38" ht="12.75" customHeight="1">
      <c r="B1749" s="485"/>
      <c r="C1749" s="20"/>
      <c r="D1749" s="12"/>
      <c r="E1749" s="12"/>
      <c r="F1749" s="12"/>
      <c r="G1749" s="12"/>
      <c r="H1749" s="20"/>
      <c r="I1749" s="187"/>
      <c r="J1749" s="187"/>
      <c r="K1749" s="187"/>
      <c r="L1749" s="187"/>
      <c r="M1749" s="187"/>
      <c r="N1749" s="187"/>
      <c r="O1749" s="187"/>
      <c r="P1749" s="187"/>
      <c r="Q1749" s="187"/>
      <c r="R1749" s="187"/>
      <c r="S1749" s="187"/>
      <c r="T1749" s="187"/>
      <c r="U1749" s="187"/>
      <c r="V1749" s="187"/>
      <c r="W1749" s="187"/>
      <c r="X1749" s="187"/>
      <c r="Y1749" s="187"/>
      <c r="Z1749" s="187"/>
      <c r="AA1749" s="187"/>
      <c r="AB1749" s="187"/>
      <c r="AC1749" s="187"/>
      <c r="AD1749" s="187"/>
      <c r="AE1749" s="187"/>
      <c r="AF1749" s="187"/>
      <c r="AG1749" s="187"/>
      <c r="AH1749" s="187"/>
      <c r="AI1749" s="187"/>
      <c r="AJ1749" s="187"/>
      <c r="AK1749" s="187"/>
      <c r="AL1749" s="187"/>
    </row>
    <row r="1750" spans="2:38" ht="12.75" customHeight="1">
      <c r="B1750" s="485"/>
      <c r="C1750" s="20"/>
      <c r="D1750" s="12"/>
      <c r="E1750" s="12"/>
      <c r="F1750" s="12"/>
      <c r="G1750" s="12"/>
      <c r="H1750" s="20"/>
      <c r="I1750" s="187"/>
      <c r="J1750" s="187"/>
      <c r="K1750" s="187"/>
      <c r="L1750" s="187"/>
      <c r="M1750" s="187"/>
      <c r="N1750" s="187"/>
      <c r="O1750" s="187"/>
      <c r="P1750" s="187"/>
      <c r="Q1750" s="187"/>
      <c r="R1750" s="187"/>
      <c r="S1750" s="187"/>
      <c r="T1750" s="187"/>
      <c r="U1750" s="187"/>
      <c r="V1750" s="187"/>
      <c r="W1750" s="187"/>
      <c r="X1750" s="187"/>
      <c r="Y1750" s="187"/>
      <c r="Z1750" s="187"/>
      <c r="AA1750" s="187"/>
      <c r="AB1750" s="187"/>
      <c r="AC1750" s="187"/>
      <c r="AD1750" s="187"/>
      <c r="AE1750" s="187"/>
      <c r="AF1750" s="187"/>
      <c r="AG1750" s="187"/>
      <c r="AH1750" s="187"/>
      <c r="AI1750" s="187"/>
      <c r="AJ1750" s="187"/>
      <c r="AK1750" s="187"/>
      <c r="AL1750" s="187"/>
    </row>
    <row r="1751" spans="2:38" ht="12.75" customHeight="1">
      <c r="B1751" s="485"/>
      <c r="C1751" s="20"/>
      <c r="D1751" s="12"/>
      <c r="E1751" s="12"/>
      <c r="F1751" s="12"/>
      <c r="G1751" s="12"/>
      <c r="H1751" s="20"/>
      <c r="I1751" s="187"/>
      <c r="J1751" s="187"/>
      <c r="K1751" s="187"/>
      <c r="L1751" s="187"/>
      <c r="M1751" s="187"/>
      <c r="N1751" s="187"/>
      <c r="O1751" s="187"/>
      <c r="P1751" s="187"/>
      <c r="Q1751" s="187"/>
      <c r="R1751" s="187"/>
      <c r="S1751" s="187"/>
      <c r="T1751" s="187"/>
      <c r="U1751" s="187"/>
      <c r="V1751" s="187"/>
      <c r="W1751" s="187"/>
      <c r="X1751" s="187"/>
      <c r="Y1751" s="187"/>
      <c r="Z1751" s="187"/>
      <c r="AA1751" s="187"/>
      <c r="AB1751" s="187"/>
      <c r="AC1751" s="187"/>
      <c r="AD1751" s="187"/>
      <c r="AE1751" s="187"/>
      <c r="AF1751" s="187"/>
      <c r="AG1751" s="187"/>
      <c r="AH1751" s="187"/>
      <c r="AI1751" s="187"/>
      <c r="AJ1751" s="187"/>
      <c r="AK1751" s="187"/>
      <c r="AL1751" s="187"/>
    </row>
    <row r="1752" spans="2:38" ht="12.75" customHeight="1">
      <c r="B1752" s="485"/>
      <c r="C1752" s="20"/>
      <c r="D1752" s="12"/>
      <c r="E1752" s="12"/>
      <c r="F1752" s="12"/>
      <c r="G1752" s="12"/>
      <c r="H1752" s="20"/>
      <c r="I1752" s="187"/>
      <c r="J1752" s="187"/>
      <c r="K1752" s="187"/>
      <c r="L1752" s="187"/>
      <c r="M1752" s="187"/>
      <c r="N1752" s="187"/>
      <c r="O1752" s="187"/>
      <c r="P1752" s="187"/>
      <c r="Q1752" s="187"/>
      <c r="R1752" s="187"/>
      <c r="S1752" s="187"/>
      <c r="T1752" s="187"/>
      <c r="U1752" s="187"/>
      <c r="V1752" s="187"/>
      <c r="W1752" s="187"/>
      <c r="X1752" s="187"/>
      <c r="Y1752" s="187"/>
      <c r="Z1752" s="187"/>
      <c r="AA1752" s="187"/>
      <c r="AB1752" s="187"/>
      <c r="AC1752" s="187"/>
      <c r="AD1752" s="187"/>
      <c r="AE1752" s="187"/>
      <c r="AF1752" s="187"/>
      <c r="AG1752" s="187"/>
      <c r="AH1752" s="187"/>
      <c r="AI1752" s="187"/>
      <c r="AJ1752" s="187"/>
      <c r="AK1752" s="187"/>
      <c r="AL1752" s="187"/>
    </row>
    <row r="1753" spans="2:38" ht="12.75" customHeight="1">
      <c r="B1753" s="485"/>
      <c r="C1753" s="20"/>
      <c r="D1753" s="12"/>
      <c r="E1753" s="12"/>
      <c r="F1753" s="12"/>
      <c r="G1753" s="12"/>
      <c r="H1753" s="20"/>
      <c r="I1753" s="187"/>
      <c r="J1753" s="187"/>
      <c r="K1753" s="187"/>
      <c r="L1753" s="187"/>
      <c r="M1753" s="187"/>
      <c r="N1753" s="187"/>
      <c r="O1753" s="187"/>
      <c r="P1753" s="187"/>
      <c r="Q1753" s="187"/>
      <c r="R1753" s="187"/>
      <c r="S1753" s="187"/>
      <c r="T1753" s="187"/>
      <c r="U1753" s="187"/>
      <c r="V1753" s="187"/>
      <c r="W1753" s="187"/>
      <c r="X1753" s="187"/>
      <c r="Y1753" s="187"/>
      <c r="Z1753" s="187"/>
      <c r="AA1753" s="187"/>
      <c r="AB1753" s="187"/>
      <c r="AC1753" s="187"/>
      <c r="AD1753" s="187"/>
      <c r="AE1753" s="187"/>
      <c r="AF1753" s="187"/>
      <c r="AG1753" s="187"/>
      <c r="AH1753" s="187"/>
      <c r="AI1753" s="187"/>
      <c r="AJ1753" s="187"/>
      <c r="AK1753" s="187"/>
      <c r="AL1753" s="187"/>
    </row>
    <row r="1754" spans="2:38" ht="12.75" customHeight="1">
      <c r="B1754" s="485"/>
      <c r="C1754" s="20"/>
      <c r="D1754" s="12"/>
      <c r="E1754" s="12"/>
      <c r="F1754" s="12"/>
      <c r="G1754" s="12"/>
      <c r="H1754" s="20"/>
      <c r="I1754" s="187"/>
      <c r="J1754" s="187"/>
      <c r="K1754" s="187"/>
      <c r="L1754" s="187"/>
      <c r="M1754" s="187"/>
      <c r="N1754" s="187"/>
      <c r="O1754" s="187"/>
      <c r="P1754" s="187"/>
      <c r="Q1754" s="187"/>
      <c r="R1754" s="187"/>
      <c r="S1754" s="187"/>
      <c r="T1754" s="187"/>
      <c r="U1754" s="187"/>
      <c r="V1754" s="187"/>
      <c r="W1754" s="187"/>
      <c r="X1754" s="187"/>
      <c r="Y1754" s="187"/>
      <c r="Z1754" s="187"/>
      <c r="AA1754" s="187"/>
      <c r="AB1754" s="187"/>
      <c r="AC1754" s="187"/>
      <c r="AD1754" s="187"/>
      <c r="AE1754" s="187"/>
      <c r="AF1754" s="187"/>
      <c r="AG1754" s="187"/>
      <c r="AH1754" s="187"/>
      <c r="AI1754" s="187"/>
      <c r="AJ1754" s="187"/>
      <c r="AK1754" s="187"/>
      <c r="AL1754" s="187"/>
    </row>
    <row r="1755" spans="2:38" ht="12.75" customHeight="1">
      <c r="B1755" s="485"/>
      <c r="C1755" s="20"/>
      <c r="D1755" s="12"/>
      <c r="E1755" s="12"/>
      <c r="F1755" s="12"/>
      <c r="G1755" s="12"/>
      <c r="H1755" s="20"/>
      <c r="I1755" s="187"/>
      <c r="J1755" s="187"/>
      <c r="K1755" s="187"/>
      <c r="L1755" s="187"/>
      <c r="M1755" s="187"/>
      <c r="N1755" s="187"/>
      <c r="O1755" s="187"/>
      <c r="P1755" s="187"/>
      <c r="Q1755" s="187"/>
      <c r="R1755" s="187"/>
      <c r="S1755" s="187"/>
      <c r="T1755" s="187"/>
      <c r="U1755" s="187"/>
      <c r="V1755" s="187"/>
      <c r="W1755" s="187"/>
      <c r="X1755" s="187"/>
      <c r="Y1755" s="187"/>
      <c r="Z1755" s="187"/>
      <c r="AA1755" s="187"/>
      <c r="AB1755" s="187"/>
      <c r="AC1755" s="187"/>
      <c r="AD1755" s="187"/>
      <c r="AE1755" s="187"/>
      <c r="AF1755" s="187"/>
      <c r="AG1755" s="187"/>
      <c r="AH1755" s="187"/>
      <c r="AI1755" s="187"/>
      <c r="AJ1755" s="187"/>
      <c r="AK1755" s="187"/>
      <c r="AL1755" s="187"/>
    </row>
    <row r="1756" spans="2:38" ht="12.75" customHeight="1">
      <c r="B1756" s="485"/>
      <c r="C1756" s="20"/>
      <c r="D1756" s="12"/>
      <c r="E1756" s="12"/>
      <c r="F1756" s="12"/>
      <c r="G1756" s="12"/>
      <c r="H1756" s="20"/>
      <c r="I1756" s="187"/>
      <c r="J1756" s="187"/>
      <c r="K1756" s="187"/>
      <c r="L1756" s="187"/>
      <c r="M1756" s="187"/>
      <c r="N1756" s="187"/>
      <c r="O1756" s="187"/>
      <c r="P1756" s="187"/>
      <c r="Q1756" s="187"/>
      <c r="R1756" s="187"/>
      <c r="S1756" s="187"/>
      <c r="T1756" s="187"/>
      <c r="U1756" s="187"/>
      <c r="V1756" s="187"/>
      <c r="W1756" s="187"/>
      <c r="X1756" s="187"/>
      <c r="Y1756" s="187"/>
      <c r="Z1756" s="187"/>
      <c r="AA1756" s="187"/>
      <c r="AB1756" s="187"/>
      <c r="AC1756" s="187"/>
      <c r="AD1756" s="187"/>
      <c r="AE1756" s="187"/>
      <c r="AF1756" s="187"/>
      <c r="AG1756" s="187"/>
      <c r="AH1756" s="187"/>
      <c r="AI1756" s="187"/>
      <c r="AJ1756" s="187"/>
      <c r="AK1756" s="187"/>
      <c r="AL1756" s="187"/>
    </row>
    <row r="1757" spans="2:38" ht="12.75" customHeight="1">
      <c r="B1757" s="485"/>
      <c r="C1757" s="20"/>
      <c r="D1757" s="12"/>
      <c r="E1757" s="12"/>
      <c r="F1757" s="12"/>
      <c r="G1757" s="12"/>
      <c r="H1757" s="20"/>
      <c r="I1757" s="187"/>
      <c r="J1757" s="187"/>
      <c r="K1757" s="187"/>
      <c r="L1757" s="187"/>
      <c r="M1757" s="187"/>
      <c r="N1757" s="187"/>
      <c r="O1757" s="187"/>
      <c r="P1757" s="187"/>
      <c r="Q1757" s="187"/>
      <c r="R1757" s="187"/>
      <c r="S1757" s="187"/>
      <c r="T1757" s="187"/>
      <c r="U1757" s="187"/>
      <c r="V1757" s="187"/>
      <c r="W1757" s="187"/>
      <c r="X1757" s="187"/>
      <c r="Y1757" s="187"/>
      <c r="Z1757" s="187"/>
      <c r="AA1757" s="187"/>
      <c r="AB1757" s="187"/>
      <c r="AC1757" s="187"/>
      <c r="AD1757" s="187"/>
      <c r="AE1757" s="187"/>
      <c r="AF1757" s="187"/>
      <c r="AG1757" s="187"/>
      <c r="AH1757" s="187"/>
      <c r="AI1757" s="187"/>
      <c r="AJ1757" s="187"/>
      <c r="AK1757" s="187"/>
      <c r="AL1757" s="187"/>
    </row>
    <row r="1758" spans="2:38" ht="12.75" customHeight="1">
      <c r="B1758" s="485"/>
      <c r="C1758" s="20"/>
      <c r="D1758" s="12"/>
      <c r="E1758" s="12"/>
      <c r="F1758" s="12"/>
      <c r="G1758" s="12"/>
      <c r="H1758" s="20"/>
      <c r="I1758" s="187"/>
      <c r="J1758" s="187"/>
      <c r="K1758" s="187"/>
      <c r="L1758" s="187"/>
      <c r="M1758" s="187"/>
      <c r="N1758" s="187"/>
      <c r="O1758" s="187"/>
      <c r="P1758" s="187"/>
      <c r="Q1758" s="187"/>
      <c r="R1758" s="187"/>
      <c r="S1758" s="187"/>
      <c r="T1758" s="187"/>
      <c r="U1758" s="187"/>
      <c r="V1758" s="187"/>
      <c r="W1758" s="187"/>
      <c r="X1758" s="187"/>
      <c r="Y1758" s="187"/>
      <c r="Z1758" s="187"/>
      <c r="AA1758" s="187"/>
      <c r="AB1758" s="187"/>
      <c r="AC1758" s="187"/>
      <c r="AD1758" s="187"/>
      <c r="AE1758" s="187"/>
      <c r="AF1758" s="187"/>
      <c r="AG1758" s="187"/>
      <c r="AH1758" s="187"/>
      <c r="AI1758" s="187"/>
      <c r="AJ1758" s="187"/>
      <c r="AK1758" s="187"/>
      <c r="AL1758" s="187"/>
    </row>
    <row r="1759" spans="2:38" ht="12.75" customHeight="1">
      <c r="B1759" s="485"/>
      <c r="C1759" s="20"/>
      <c r="D1759" s="12"/>
      <c r="E1759" s="12"/>
      <c r="F1759" s="12"/>
      <c r="G1759" s="12"/>
      <c r="H1759" s="20"/>
      <c r="I1759" s="187"/>
      <c r="J1759" s="187"/>
      <c r="K1759" s="187"/>
      <c r="L1759" s="187"/>
      <c r="M1759" s="187"/>
      <c r="N1759" s="187"/>
      <c r="O1759" s="187"/>
      <c r="P1759" s="187"/>
      <c r="Q1759" s="187"/>
      <c r="R1759" s="187"/>
      <c r="S1759" s="187"/>
      <c r="T1759" s="187"/>
      <c r="U1759" s="187"/>
      <c r="V1759" s="187"/>
      <c r="W1759" s="187"/>
      <c r="X1759" s="187"/>
      <c r="Y1759" s="187"/>
      <c r="Z1759" s="187"/>
      <c r="AA1759" s="187"/>
      <c r="AB1759" s="187"/>
      <c r="AC1759" s="187"/>
      <c r="AD1759" s="187"/>
      <c r="AE1759" s="187"/>
      <c r="AF1759" s="187"/>
      <c r="AG1759" s="187"/>
      <c r="AH1759" s="187"/>
      <c r="AI1759" s="187"/>
      <c r="AJ1759" s="187"/>
      <c r="AK1759" s="187"/>
      <c r="AL1759" s="187"/>
    </row>
    <row r="1760" spans="2:38" ht="12.75" customHeight="1">
      <c r="B1760" s="485"/>
      <c r="C1760" s="20"/>
      <c r="D1760" s="12"/>
      <c r="E1760" s="12"/>
      <c r="F1760" s="12"/>
      <c r="G1760" s="12"/>
      <c r="H1760" s="20"/>
      <c r="I1760" s="187"/>
      <c r="J1760" s="187"/>
      <c r="K1760" s="187"/>
      <c r="L1760" s="187"/>
      <c r="M1760" s="187"/>
      <c r="N1760" s="187"/>
      <c r="O1760" s="187"/>
      <c r="P1760" s="187"/>
      <c r="Q1760" s="187"/>
      <c r="R1760" s="187"/>
      <c r="S1760" s="187"/>
      <c r="T1760" s="187"/>
      <c r="U1760" s="187"/>
      <c r="V1760" s="187"/>
      <c r="W1760" s="187"/>
      <c r="X1760" s="187"/>
      <c r="Y1760" s="187"/>
      <c r="Z1760" s="187"/>
      <c r="AA1760" s="187"/>
      <c r="AB1760" s="187"/>
      <c r="AC1760" s="187"/>
      <c r="AD1760" s="187"/>
      <c r="AE1760" s="187"/>
      <c r="AF1760" s="187"/>
      <c r="AG1760" s="187"/>
      <c r="AH1760" s="187"/>
      <c r="AI1760" s="187"/>
      <c r="AJ1760" s="187"/>
      <c r="AK1760" s="187"/>
      <c r="AL1760" s="187"/>
    </row>
    <row r="1761" spans="2:38" ht="12.75" customHeight="1">
      <c r="B1761" s="485"/>
      <c r="C1761" s="20"/>
      <c r="D1761" s="12"/>
      <c r="E1761" s="12"/>
      <c r="F1761" s="12"/>
      <c r="G1761" s="12"/>
      <c r="H1761" s="20"/>
      <c r="I1761" s="187"/>
      <c r="J1761" s="187"/>
      <c r="K1761" s="187"/>
      <c r="L1761" s="187"/>
      <c r="M1761" s="187"/>
      <c r="N1761" s="187"/>
      <c r="O1761" s="187"/>
      <c r="P1761" s="187"/>
      <c r="Q1761" s="187"/>
      <c r="R1761" s="187"/>
      <c r="S1761" s="187"/>
      <c r="T1761" s="187"/>
      <c r="U1761" s="187"/>
      <c r="V1761" s="187"/>
      <c r="W1761" s="187"/>
      <c r="X1761" s="187"/>
      <c r="Y1761" s="187"/>
      <c r="Z1761" s="187"/>
      <c r="AA1761" s="187"/>
      <c r="AB1761" s="187"/>
      <c r="AC1761" s="187"/>
      <c r="AD1761" s="187"/>
      <c r="AE1761" s="187"/>
      <c r="AF1761" s="187"/>
      <c r="AG1761" s="187"/>
      <c r="AH1761" s="187"/>
      <c r="AI1761" s="187"/>
      <c r="AJ1761" s="187"/>
      <c r="AK1761" s="187"/>
      <c r="AL1761" s="187"/>
    </row>
    <row r="1762" spans="2:38" ht="12.75" customHeight="1">
      <c r="B1762" s="485"/>
      <c r="C1762" s="20"/>
      <c r="D1762" s="12"/>
      <c r="E1762" s="12"/>
      <c r="F1762" s="12"/>
      <c r="G1762" s="12"/>
      <c r="H1762" s="20"/>
      <c r="I1762" s="187"/>
      <c r="J1762" s="187"/>
      <c r="K1762" s="187"/>
      <c r="L1762" s="187"/>
      <c r="M1762" s="187"/>
      <c r="N1762" s="187"/>
      <c r="O1762" s="187"/>
      <c r="P1762" s="187"/>
      <c r="Q1762" s="187"/>
      <c r="R1762" s="187"/>
      <c r="S1762" s="187"/>
      <c r="T1762" s="187"/>
      <c r="U1762" s="187"/>
      <c r="V1762" s="187"/>
      <c r="W1762" s="187"/>
      <c r="X1762" s="187"/>
      <c r="Y1762" s="187"/>
      <c r="Z1762" s="187"/>
      <c r="AA1762" s="187"/>
      <c r="AB1762" s="187"/>
      <c r="AC1762" s="187"/>
      <c r="AD1762" s="187"/>
      <c r="AE1762" s="187"/>
      <c r="AF1762" s="187"/>
      <c r="AG1762" s="187"/>
      <c r="AH1762" s="187"/>
      <c r="AI1762" s="187"/>
      <c r="AJ1762" s="187"/>
      <c r="AK1762" s="187"/>
      <c r="AL1762" s="187"/>
    </row>
    <row r="1763" spans="2:38" ht="12.75" customHeight="1">
      <c r="B1763" s="485"/>
      <c r="C1763" s="20"/>
      <c r="D1763" s="12"/>
      <c r="E1763" s="12"/>
      <c r="F1763" s="12"/>
      <c r="G1763" s="12"/>
      <c r="H1763" s="20"/>
      <c r="I1763" s="187"/>
      <c r="J1763" s="187"/>
      <c r="K1763" s="187"/>
      <c r="L1763" s="187"/>
      <c r="M1763" s="187"/>
      <c r="N1763" s="187"/>
      <c r="O1763" s="187"/>
      <c r="P1763" s="187"/>
      <c r="Q1763" s="187"/>
      <c r="R1763" s="187"/>
      <c r="S1763" s="187"/>
      <c r="T1763" s="187"/>
      <c r="U1763" s="187"/>
      <c r="V1763" s="187"/>
      <c r="W1763" s="187"/>
      <c r="X1763" s="187"/>
      <c r="Y1763" s="187"/>
      <c r="Z1763" s="187"/>
      <c r="AA1763" s="187"/>
      <c r="AB1763" s="187"/>
      <c r="AC1763" s="187"/>
      <c r="AD1763" s="187"/>
      <c r="AE1763" s="187"/>
      <c r="AF1763" s="187"/>
      <c r="AG1763" s="187"/>
      <c r="AH1763" s="187"/>
      <c r="AI1763" s="187"/>
      <c r="AJ1763" s="187"/>
      <c r="AK1763" s="187"/>
      <c r="AL1763" s="187"/>
    </row>
    <row r="1764" spans="2:38" ht="12.75" customHeight="1">
      <c r="B1764" s="485"/>
      <c r="C1764" s="20"/>
      <c r="D1764" s="12"/>
      <c r="E1764" s="12"/>
      <c r="F1764" s="12"/>
      <c r="G1764" s="12"/>
      <c r="H1764" s="20"/>
      <c r="I1764" s="187"/>
      <c r="J1764" s="187"/>
      <c r="K1764" s="187"/>
      <c r="L1764" s="187"/>
      <c r="M1764" s="187"/>
      <c r="N1764" s="187"/>
      <c r="O1764" s="187"/>
      <c r="P1764" s="187"/>
      <c r="Q1764" s="187"/>
      <c r="R1764" s="187"/>
      <c r="S1764" s="187"/>
      <c r="T1764" s="187"/>
      <c r="U1764" s="187"/>
      <c r="V1764" s="187"/>
      <c r="W1764" s="187"/>
      <c r="X1764" s="187"/>
      <c r="Y1764" s="187"/>
      <c r="Z1764" s="187"/>
      <c r="AA1764" s="187"/>
      <c r="AB1764" s="187"/>
      <c r="AC1764" s="187"/>
      <c r="AD1764" s="187"/>
      <c r="AE1764" s="187"/>
      <c r="AF1764" s="187"/>
      <c r="AG1764" s="187"/>
      <c r="AH1764" s="187"/>
      <c r="AI1764" s="187"/>
      <c r="AJ1764" s="187"/>
      <c r="AK1764" s="187"/>
      <c r="AL1764" s="187"/>
    </row>
    <row r="1765" spans="2:38" ht="12.75" customHeight="1">
      <c r="B1765" s="485"/>
      <c r="C1765" s="20"/>
      <c r="D1765" s="12"/>
      <c r="E1765" s="12"/>
      <c r="F1765" s="12"/>
      <c r="G1765" s="12"/>
      <c r="H1765" s="20"/>
      <c r="I1765" s="187"/>
      <c r="J1765" s="187"/>
      <c r="K1765" s="187"/>
      <c r="L1765" s="187"/>
      <c r="M1765" s="187"/>
      <c r="N1765" s="187"/>
      <c r="O1765" s="187"/>
      <c r="P1765" s="187"/>
      <c r="Q1765" s="187"/>
      <c r="R1765" s="187"/>
      <c r="S1765" s="187"/>
      <c r="T1765" s="187"/>
      <c r="U1765" s="187"/>
      <c r="V1765" s="187"/>
      <c r="W1765" s="187"/>
      <c r="X1765" s="187"/>
      <c r="Y1765" s="187"/>
      <c r="Z1765" s="187"/>
      <c r="AA1765" s="187"/>
      <c r="AB1765" s="187"/>
      <c r="AC1765" s="187"/>
      <c r="AD1765" s="187"/>
      <c r="AE1765" s="187"/>
      <c r="AF1765" s="187"/>
      <c r="AG1765" s="187"/>
      <c r="AH1765" s="187"/>
      <c r="AI1765" s="187"/>
      <c r="AJ1765" s="187"/>
      <c r="AK1765" s="187"/>
      <c r="AL1765" s="187"/>
    </row>
    <row r="1766" spans="2:38" ht="12.75" customHeight="1">
      <c r="B1766" s="485"/>
      <c r="C1766" s="20"/>
      <c r="D1766" s="12"/>
      <c r="E1766" s="12"/>
      <c r="F1766" s="12"/>
      <c r="G1766" s="12"/>
      <c r="H1766" s="20"/>
      <c r="I1766" s="187"/>
      <c r="J1766" s="187"/>
      <c r="K1766" s="187"/>
      <c r="L1766" s="187"/>
      <c r="M1766" s="187"/>
      <c r="N1766" s="187"/>
      <c r="O1766" s="187"/>
      <c r="P1766" s="187"/>
      <c r="Q1766" s="187"/>
      <c r="R1766" s="187"/>
      <c r="S1766" s="187"/>
      <c r="T1766" s="187"/>
      <c r="U1766" s="187"/>
      <c r="V1766" s="187"/>
      <c r="W1766" s="187"/>
      <c r="X1766" s="187"/>
      <c r="Y1766" s="187"/>
      <c r="Z1766" s="187"/>
      <c r="AA1766" s="187"/>
      <c r="AB1766" s="187"/>
      <c r="AC1766" s="187"/>
      <c r="AD1766" s="187"/>
      <c r="AE1766" s="187"/>
      <c r="AF1766" s="187"/>
      <c r="AG1766" s="187"/>
      <c r="AH1766" s="187"/>
      <c r="AI1766" s="187"/>
      <c r="AJ1766" s="187"/>
      <c r="AK1766" s="187"/>
      <c r="AL1766" s="187"/>
    </row>
    <row r="1767" spans="2:38" ht="12.75" customHeight="1">
      <c r="B1767" s="485"/>
      <c r="C1767" s="20"/>
      <c r="D1767" s="12"/>
      <c r="E1767" s="12"/>
      <c r="F1767" s="12"/>
      <c r="G1767" s="12"/>
      <c r="H1767" s="20"/>
      <c r="I1767" s="187"/>
      <c r="J1767" s="187"/>
      <c r="K1767" s="187"/>
      <c r="L1767" s="187"/>
      <c r="M1767" s="187"/>
      <c r="N1767" s="187"/>
      <c r="O1767" s="187"/>
      <c r="P1767" s="187"/>
      <c r="Q1767" s="187"/>
      <c r="R1767" s="187"/>
      <c r="S1767" s="187"/>
      <c r="T1767" s="187"/>
      <c r="U1767" s="187"/>
      <c r="V1767" s="187"/>
      <c r="W1767" s="187"/>
      <c r="X1767" s="187"/>
      <c r="Y1767" s="187"/>
      <c r="Z1767" s="187"/>
      <c r="AA1767" s="187"/>
      <c r="AB1767" s="187"/>
      <c r="AC1767" s="187"/>
      <c r="AD1767" s="187"/>
      <c r="AE1767" s="187"/>
      <c r="AF1767" s="187"/>
      <c r="AG1767" s="187"/>
      <c r="AH1767" s="187"/>
      <c r="AI1767" s="187"/>
      <c r="AJ1767" s="187"/>
      <c r="AK1767" s="187"/>
      <c r="AL1767" s="187"/>
    </row>
    <row r="1768" spans="2:38" ht="12.75" customHeight="1">
      <c r="B1768" s="485"/>
      <c r="C1768" s="20"/>
      <c r="D1768" s="12"/>
      <c r="E1768" s="12"/>
      <c r="F1768" s="12"/>
      <c r="G1768" s="12"/>
      <c r="H1768" s="20"/>
      <c r="I1768" s="187"/>
      <c r="J1768" s="187"/>
      <c r="K1768" s="187"/>
      <c r="L1768" s="187"/>
      <c r="M1768" s="187"/>
      <c r="N1768" s="187"/>
      <c r="O1768" s="187"/>
      <c r="P1768" s="187"/>
      <c r="Q1768" s="187"/>
      <c r="R1768" s="187"/>
      <c r="S1768" s="187"/>
      <c r="T1768" s="187"/>
      <c r="U1768" s="187"/>
      <c r="V1768" s="187"/>
      <c r="W1768" s="187"/>
      <c r="X1768" s="187"/>
      <c r="Y1768" s="187"/>
      <c r="Z1768" s="187"/>
      <c r="AA1768" s="187"/>
      <c r="AB1768" s="187"/>
      <c r="AC1768" s="187"/>
      <c r="AD1768" s="187"/>
      <c r="AE1768" s="187"/>
      <c r="AF1768" s="187"/>
      <c r="AG1768" s="187"/>
      <c r="AH1768" s="187"/>
      <c r="AI1768" s="187"/>
      <c r="AJ1768" s="187"/>
      <c r="AK1768" s="187"/>
      <c r="AL1768" s="187"/>
    </row>
    <row r="1769" spans="2:38" ht="12.75" customHeight="1">
      <c r="B1769" s="485"/>
      <c r="C1769" s="20"/>
      <c r="D1769" s="12"/>
      <c r="E1769" s="12"/>
      <c r="F1769" s="12"/>
      <c r="G1769" s="12"/>
      <c r="H1769" s="20"/>
      <c r="I1769" s="187"/>
      <c r="J1769" s="187"/>
      <c r="K1769" s="187"/>
      <c r="L1769" s="187"/>
      <c r="M1769" s="187"/>
      <c r="N1769" s="187"/>
      <c r="O1769" s="187"/>
      <c r="P1769" s="187"/>
      <c r="Q1769" s="187"/>
      <c r="R1769" s="187"/>
      <c r="S1769" s="187"/>
      <c r="T1769" s="187"/>
      <c r="U1769" s="187"/>
      <c r="V1769" s="187"/>
      <c r="W1769" s="187"/>
      <c r="X1769" s="187"/>
      <c r="Y1769" s="187"/>
      <c r="Z1769" s="187"/>
      <c r="AA1769" s="187"/>
      <c r="AB1769" s="187"/>
      <c r="AC1769" s="187"/>
      <c r="AD1769" s="187"/>
      <c r="AE1769" s="187"/>
      <c r="AF1769" s="187"/>
      <c r="AG1769" s="187"/>
      <c r="AH1769" s="187"/>
      <c r="AI1769" s="187"/>
      <c r="AJ1769" s="187"/>
      <c r="AK1769" s="187"/>
      <c r="AL1769" s="187"/>
    </row>
    <row r="1770" spans="2:38" ht="12.75" customHeight="1">
      <c r="B1770" s="485"/>
      <c r="C1770" s="20"/>
      <c r="D1770" s="12"/>
      <c r="E1770" s="12"/>
      <c r="F1770" s="12"/>
      <c r="G1770" s="12"/>
      <c r="H1770" s="20"/>
      <c r="I1770" s="187"/>
      <c r="J1770" s="187"/>
      <c r="K1770" s="187"/>
      <c r="L1770" s="187"/>
      <c r="M1770" s="187"/>
      <c r="N1770" s="187"/>
      <c r="O1770" s="187"/>
      <c r="P1770" s="187"/>
      <c r="Q1770" s="187"/>
      <c r="R1770" s="187"/>
      <c r="S1770" s="187"/>
      <c r="T1770" s="187"/>
      <c r="U1770" s="187"/>
      <c r="V1770" s="187"/>
      <c r="W1770" s="187"/>
      <c r="X1770" s="187"/>
      <c r="Y1770" s="187"/>
      <c r="Z1770" s="187"/>
      <c r="AA1770" s="187"/>
      <c r="AB1770" s="187"/>
      <c r="AC1770" s="187"/>
      <c r="AD1770" s="187"/>
      <c r="AE1770" s="187"/>
      <c r="AF1770" s="187"/>
      <c r="AG1770" s="187"/>
      <c r="AH1770" s="187"/>
      <c r="AI1770" s="187"/>
      <c r="AJ1770" s="187"/>
      <c r="AK1770" s="187"/>
      <c r="AL1770" s="187"/>
    </row>
    <row r="1771" spans="2:38" ht="12.75" customHeight="1">
      <c r="B1771" s="485"/>
      <c r="C1771" s="20"/>
      <c r="D1771" s="12"/>
      <c r="E1771" s="12"/>
      <c r="F1771" s="12"/>
      <c r="G1771" s="12"/>
      <c r="H1771" s="20"/>
      <c r="I1771" s="187"/>
      <c r="J1771" s="187"/>
      <c r="K1771" s="187"/>
      <c r="L1771" s="187"/>
      <c r="M1771" s="187"/>
      <c r="N1771" s="187"/>
      <c r="O1771" s="187"/>
      <c r="P1771" s="187"/>
      <c r="Q1771" s="187"/>
      <c r="R1771" s="187"/>
      <c r="S1771" s="187"/>
      <c r="T1771" s="187"/>
      <c r="U1771" s="187"/>
      <c r="V1771" s="187"/>
      <c r="W1771" s="187"/>
      <c r="X1771" s="187"/>
      <c r="Y1771" s="187"/>
      <c r="Z1771" s="187"/>
      <c r="AA1771" s="187"/>
      <c r="AB1771" s="187"/>
      <c r="AC1771" s="187"/>
      <c r="AD1771" s="187"/>
      <c r="AE1771" s="187"/>
      <c r="AF1771" s="187"/>
      <c r="AG1771" s="187"/>
      <c r="AH1771" s="187"/>
      <c r="AI1771" s="187"/>
      <c r="AJ1771" s="187"/>
      <c r="AK1771" s="187"/>
      <c r="AL1771" s="187"/>
    </row>
    <row r="1772" spans="2:38" ht="12.75" customHeight="1">
      <c r="B1772" s="485"/>
      <c r="C1772" s="20"/>
      <c r="D1772" s="12"/>
      <c r="E1772" s="12"/>
      <c r="F1772" s="12"/>
      <c r="G1772" s="12"/>
      <c r="H1772" s="20"/>
      <c r="I1772" s="187"/>
      <c r="J1772" s="187"/>
      <c r="K1772" s="187"/>
      <c r="L1772" s="187"/>
      <c r="M1772" s="187"/>
      <c r="N1772" s="187"/>
      <c r="O1772" s="187"/>
      <c r="P1772" s="187"/>
      <c r="Q1772" s="187"/>
      <c r="R1772" s="187"/>
      <c r="S1772" s="187"/>
      <c r="T1772" s="187"/>
      <c r="U1772" s="187"/>
      <c r="V1772" s="187"/>
      <c r="W1772" s="187"/>
      <c r="X1772" s="187"/>
      <c r="Y1772" s="187"/>
      <c r="Z1772" s="187"/>
      <c r="AA1772" s="187"/>
      <c r="AB1772" s="187"/>
      <c r="AC1772" s="187"/>
      <c r="AD1772" s="187"/>
      <c r="AE1772" s="187"/>
      <c r="AF1772" s="187"/>
      <c r="AG1772" s="187"/>
      <c r="AH1772" s="187"/>
      <c r="AI1772" s="187"/>
      <c r="AJ1772" s="187"/>
      <c r="AK1772" s="187"/>
      <c r="AL1772" s="187"/>
    </row>
    <row r="1773" spans="2:38" ht="12.75" customHeight="1">
      <c r="B1773" s="485"/>
      <c r="C1773" s="20"/>
      <c r="D1773" s="12"/>
      <c r="E1773" s="12"/>
      <c r="F1773" s="12"/>
      <c r="G1773" s="12"/>
      <c r="H1773" s="20"/>
      <c r="I1773" s="187"/>
      <c r="J1773" s="187"/>
      <c r="K1773" s="187"/>
      <c r="L1773" s="187"/>
      <c r="M1773" s="187"/>
      <c r="N1773" s="187"/>
      <c r="O1773" s="187"/>
      <c r="P1773" s="187"/>
      <c r="Q1773" s="187"/>
      <c r="R1773" s="187"/>
      <c r="S1773" s="187"/>
      <c r="T1773" s="187"/>
      <c r="U1773" s="187"/>
      <c r="V1773" s="187"/>
      <c r="W1773" s="187"/>
      <c r="X1773" s="187"/>
      <c r="Y1773" s="187"/>
      <c r="Z1773" s="187"/>
      <c r="AA1773" s="187"/>
      <c r="AB1773" s="187"/>
      <c r="AC1773" s="187"/>
      <c r="AD1773" s="187"/>
      <c r="AE1773" s="187"/>
      <c r="AF1773" s="187"/>
      <c r="AG1773" s="187"/>
      <c r="AH1773" s="187"/>
      <c r="AI1773" s="187"/>
      <c r="AJ1773" s="187"/>
      <c r="AK1773" s="187"/>
      <c r="AL1773" s="187"/>
    </row>
    <row r="1774" spans="2:38" ht="12.75" customHeight="1">
      <c r="B1774" s="485"/>
      <c r="C1774" s="20"/>
      <c r="D1774" s="12"/>
      <c r="E1774" s="12"/>
      <c r="F1774" s="12"/>
      <c r="G1774" s="12"/>
      <c r="H1774" s="20"/>
      <c r="I1774" s="187"/>
      <c r="J1774" s="187"/>
      <c r="K1774" s="187"/>
      <c r="L1774" s="187"/>
      <c r="M1774" s="187"/>
      <c r="N1774" s="187"/>
      <c r="O1774" s="187"/>
      <c r="P1774" s="187"/>
      <c r="Q1774" s="187"/>
      <c r="R1774" s="187"/>
      <c r="S1774" s="187"/>
      <c r="T1774" s="187"/>
      <c r="U1774" s="187"/>
      <c r="V1774" s="187"/>
      <c r="W1774" s="187"/>
      <c r="X1774" s="187"/>
      <c r="Y1774" s="187"/>
      <c r="Z1774" s="187"/>
      <c r="AA1774" s="187"/>
      <c r="AB1774" s="187"/>
      <c r="AC1774" s="187"/>
      <c r="AD1774" s="187"/>
      <c r="AE1774" s="187"/>
      <c r="AF1774" s="187"/>
      <c r="AG1774" s="187"/>
      <c r="AH1774" s="187"/>
      <c r="AI1774" s="187"/>
      <c r="AJ1774" s="187"/>
      <c r="AK1774" s="187"/>
      <c r="AL1774" s="187"/>
    </row>
    <row r="1775" spans="2:38" ht="12.75" customHeight="1">
      <c r="B1775" s="485"/>
      <c r="C1775" s="20"/>
      <c r="D1775" s="12"/>
      <c r="E1775" s="12"/>
      <c r="F1775" s="12"/>
      <c r="G1775" s="12"/>
      <c r="H1775" s="20"/>
      <c r="I1775" s="187"/>
      <c r="J1775" s="187"/>
      <c r="K1775" s="187"/>
      <c r="L1775" s="187"/>
      <c r="M1775" s="187"/>
      <c r="N1775" s="187"/>
      <c r="O1775" s="187"/>
      <c r="P1775" s="187"/>
      <c r="Q1775" s="187"/>
      <c r="R1775" s="187"/>
      <c r="S1775" s="187"/>
      <c r="T1775" s="187"/>
      <c r="U1775" s="187"/>
      <c r="V1775" s="187"/>
      <c r="W1775" s="187"/>
      <c r="X1775" s="187"/>
      <c r="Y1775" s="187"/>
      <c r="Z1775" s="187"/>
      <c r="AA1775" s="187"/>
      <c r="AB1775" s="187"/>
      <c r="AC1775" s="187"/>
      <c r="AD1775" s="187"/>
      <c r="AE1775" s="187"/>
      <c r="AF1775" s="187"/>
      <c r="AG1775" s="187"/>
      <c r="AH1775" s="187"/>
      <c r="AI1775" s="187"/>
      <c r="AJ1775" s="187"/>
      <c r="AK1775" s="187"/>
      <c r="AL1775" s="187"/>
    </row>
    <row r="1776" spans="2:38" ht="12.75" customHeight="1">
      <c r="B1776" s="485"/>
      <c r="C1776" s="20"/>
      <c r="D1776" s="12"/>
      <c r="E1776" s="12"/>
      <c r="F1776" s="12"/>
      <c r="G1776" s="12"/>
      <c r="H1776" s="20"/>
      <c r="I1776" s="187"/>
      <c r="J1776" s="187"/>
      <c r="K1776" s="187"/>
      <c r="L1776" s="187"/>
      <c r="M1776" s="187"/>
      <c r="N1776" s="187"/>
      <c r="O1776" s="187"/>
      <c r="P1776" s="187"/>
      <c r="Q1776" s="187"/>
      <c r="R1776" s="187"/>
      <c r="S1776" s="187"/>
      <c r="T1776" s="187"/>
      <c r="U1776" s="187"/>
      <c r="V1776" s="187"/>
      <c r="W1776" s="187"/>
      <c r="X1776" s="187"/>
      <c r="Y1776" s="187"/>
      <c r="Z1776" s="187"/>
      <c r="AA1776" s="187"/>
      <c r="AB1776" s="187"/>
      <c r="AC1776" s="187"/>
      <c r="AD1776" s="187"/>
      <c r="AE1776" s="187"/>
      <c r="AF1776" s="187"/>
      <c r="AG1776" s="187"/>
      <c r="AH1776" s="187"/>
      <c r="AI1776" s="187"/>
      <c r="AJ1776" s="187"/>
      <c r="AK1776" s="187"/>
      <c r="AL1776" s="187"/>
    </row>
    <row r="1777" spans="2:38" ht="12.75" customHeight="1">
      <c r="B1777" s="485"/>
      <c r="C1777" s="20"/>
      <c r="D1777" s="12"/>
      <c r="E1777" s="12"/>
      <c r="F1777" s="12"/>
      <c r="G1777" s="12"/>
      <c r="H1777" s="20"/>
      <c r="I1777" s="187"/>
      <c r="J1777" s="187"/>
      <c r="K1777" s="187"/>
      <c r="L1777" s="187"/>
      <c r="M1777" s="187"/>
      <c r="N1777" s="187"/>
      <c r="O1777" s="187"/>
      <c r="P1777" s="187"/>
      <c r="Q1777" s="187"/>
      <c r="R1777" s="187"/>
      <c r="S1777" s="187"/>
      <c r="T1777" s="187"/>
      <c r="U1777" s="187"/>
      <c r="V1777" s="187"/>
      <c r="W1777" s="187"/>
      <c r="X1777" s="187"/>
      <c r="Y1777" s="187"/>
      <c r="Z1777" s="187"/>
      <c r="AA1777" s="187"/>
      <c r="AB1777" s="187"/>
      <c r="AC1777" s="187"/>
      <c r="AD1777" s="187"/>
      <c r="AE1777" s="187"/>
      <c r="AF1777" s="187"/>
      <c r="AG1777" s="187"/>
      <c r="AH1777" s="187"/>
      <c r="AI1777" s="187"/>
      <c r="AJ1777" s="187"/>
      <c r="AK1777" s="187"/>
      <c r="AL1777" s="187"/>
    </row>
    <row r="1778" spans="2:38" ht="12.75" customHeight="1">
      <c r="B1778" s="485"/>
      <c r="C1778" s="20"/>
      <c r="D1778" s="12"/>
      <c r="E1778" s="12"/>
      <c r="F1778" s="12"/>
      <c r="G1778" s="12"/>
      <c r="H1778" s="20"/>
      <c r="I1778" s="187"/>
      <c r="J1778" s="187"/>
      <c r="K1778" s="187"/>
      <c r="L1778" s="187"/>
      <c r="M1778" s="187"/>
      <c r="N1778" s="187"/>
      <c r="O1778" s="187"/>
      <c r="P1778" s="187"/>
      <c r="Q1778" s="187"/>
      <c r="R1778" s="187"/>
      <c r="S1778" s="187"/>
      <c r="T1778" s="187"/>
      <c r="U1778" s="187"/>
      <c r="V1778" s="187"/>
      <c r="W1778" s="187"/>
      <c r="X1778" s="187"/>
      <c r="Y1778" s="187"/>
      <c r="Z1778" s="187"/>
      <c r="AA1778" s="187"/>
      <c r="AB1778" s="187"/>
      <c r="AC1778" s="187"/>
      <c r="AD1778" s="187"/>
      <c r="AE1778" s="187"/>
      <c r="AF1778" s="187"/>
      <c r="AG1778" s="187"/>
      <c r="AH1778" s="187"/>
      <c r="AI1778" s="187"/>
      <c r="AJ1778" s="187"/>
      <c r="AK1778" s="187"/>
      <c r="AL1778" s="187"/>
    </row>
    <row r="1779" spans="2:38" ht="12.75" customHeight="1">
      <c r="B1779" s="485"/>
      <c r="C1779" s="20"/>
      <c r="D1779" s="12"/>
      <c r="E1779" s="12"/>
      <c r="F1779" s="12"/>
      <c r="G1779" s="12"/>
      <c r="H1779" s="20"/>
      <c r="I1779" s="187"/>
      <c r="J1779" s="187"/>
      <c r="K1779" s="187"/>
      <c r="L1779" s="187"/>
      <c r="M1779" s="187"/>
      <c r="N1779" s="187"/>
      <c r="O1779" s="187"/>
      <c r="P1779" s="187"/>
      <c r="Q1779" s="187"/>
      <c r="R1779" s="187"/>
      <c r="S1779" s="187"/>
      <c r="T1779" s="187"/>
      <c r="U1779" s="187"/>
      <c r="V1779" s="187"/>
      <c r="W1779" s="187"/>
      <c r="X1779" s="187"/>
      <c r="Y1779" s="187"/>
      <c r="Z1779" s="187"/>
      <c r="AA1779" s="187"/>
      <c r="AB1779" s="187"/>
      <c r="AC1779" s="187"/>
      <c r="AD1779" s="187"/>
      <c r="AE1779" s="187"/>
      <c r="AF1779" s="187"/>
      <c r="AG1779" s="187"/>
      <c r="AH1779" s="187"/>
      <c r="AI1779" s="187"/>
      <c r="AJ1779" s="187"/>
      <c r="AK1779" s="187"/>
      <c r="AL1779" s="187"/>
    </row>
    <row r="1780" spans="2:38" ht="12.75" customHeight="1">
      <c r="B1780" s="485"/>
      <c r="C1780" s="20"/>
      <c r="D1780" s="12"/>
      <c r="E1780" s="12"/>
      <c r="F1780" s="12"/>
      <c r="G1780" s="12"/>
      <c r="H1780" s="20"/>
      <c r="I1780" s="187"/>
      <c r="J1780" s="187"/>
      <c r="K1780" s="187"/>
      <c r="L1780" s="187"/>
      <c r="M1780" s="187"/>
      <c r="N1780" s="187"/>
      <c r="O1780" s="187"/>
      <c r="P1780" s="187"/>
      <c r="Q1780" s="187"/>
      <c r="R1780" s="187"/>
      <c r="S1780" s="187"/>
      <c r="T1780" s="187"/>
      <c r="U1780" s="187"/>
      <c r="V1780" s="187"/>
      <c r="W1780" s="187"/>
      <c r="X1780" s="187"/>
      <c r="Y1780" s="187"/>
      <c r="Z1780" s="187"/>
      <c r="AA1780" s="187"/>
      <c r="AB1780" s="187"/>
      <c r="AC1780" s="187"/>
      <c r="AD1780" s="187"/>
      <c r="AE1780" s="187"/>
      <c r="AF1780" s="187"/>
      <c r="AG1780" s="187"/>
      <c r="AH1780" s="187"/>
      <c r="AI1780" s="187"/>
      <c r="AJ1780" s="187"/>
      <c r="AK1780" s="187"/>
      <c r="AL1780" s="187"/>
    </row>
    <row r="1781" spans="2:38" ht="12.75" customHeight="1">
      <c r="B1781" s="485"/>
      <c r="C1781" s="20"/>
      <c r="D1781" s="12"/>
      <c r="E1781" s="12"/>
      <c r="F1781" s="12"/>
      <c r="G1781" s="12"/>
      <c r="H1781" s="20"/>
      <c r="I1781" s="187"/>
      <c r="J1781" s="187"/>
      <c r="K1781" s="187"/>
      <c r="L1781" s="187"/>
      <c r="M1781" s="187"/>
      <c r="N1781" s="187"/>
      <c r="O1781" s="187"/>
      <c r="P1781" s="187"/>
      <c r="Q1781" s="187"/>
      <c r="R1781" s="187"/>
      <c r="S1781" s="187"/>
      <c r="T1781" s="187"/>
      <c r="U1781" s="187"/>
      <c r="V1781" s="187"/>
      <c r="W1781" s="187"/>
      <c r="X1781" s="187"/>
      <c r="Y1781" s="187"/>
      <c r="Z1781" s="187"/>
      <c r="AA1781" s="187"/>
      <c r="AB1781" s="187"/>
      <c r="AC1781" s="187"/>
      <c r="AD1781" s="187"/>
      <c r="AE1781" s="187"/>
      <c r="AF1781" s="187"/>
      <c r="AG1781" s="187"/>
      <c r="AH1781" s="187"/>
      <c r="AI1781" s="187"/>
      <c r="AJ1781" s="187"/>
      <c r="AK1781" s="187"/>
      <c r="AL1781" s="187"/>
    </row>
    <row r="1782" spans="2:38" ht="12.75" customHeight="1">
      <c r="B1782" s="485"/>
      <c r="C1782" s="20"/>
      <c r="D1782" s="12"/>
      <c r="E1782" s="12"/>
      <c r="F1782" s="12"/>
      <c r="G1782" s="12"/>
      <c r="H1782" s="20"/>
      <c r="I1782" s="187"/>
      <c r="J1782" s="187"/>
      <c r="K1782" s="187"/>
      <c r="L1782" s="187"/>
      <c r="M1782" s="187"/>
      <c r="N1782" s="187"/>
      <c r="O1782" s="187"/>
      <c r="P1782" s="187"/>
      <c r="Q1782" s="187"/>
      <c r="R1782" s="187"/>
      <c r="S1782" s="187"/>
      <c r="T1782" s="187"/>
      <c r="U1782" s="187"/>
      <c r="V1782" s="187"/>
      <c r="W1782" s="187"/>
      <c r="X1782" s="187"/>
      <c r="Y1782" s="187"/>
      <c r="Z1782" s="187"/>
      <c r="AA1782" s="187"/>
      <c r="AB1782" s="187"/>
      <c r="AC1782" s="187"/>
      <c r="AD1782" s="187"/>
      <c r="AE1782" s="187"/>
      <c r="AF1782" s="187"/>
      <c r="AG1782" s="187"/>
      <c r="AH1782" s="187"/>
      <c r="AI1782" s="187"/>
      <c r="AJ1782" s="187"/>
      <c r="AK1782" s="187"/>
      <c r="AL1782" s="187"/>
    </row>
    <row r="1783" spans="2:38" ht="12.75" customHeight="1">
      <c r="B1783" s="485"/>
      <c r="C1783" s="20"/>
      <c r="D1783" s="12"/>
      <c r="E1783" s="12"/>
      <c r="F1783" s="12"/>
      <c r="G1783" s="12"/>
      <c r="H1783" s="20"/>
      <c r="I1783" s="187"/>
      <c r="J1783" s="187"/>
      <c r="K1783" s="187"/>
      <c r="L1783" s="187"/>
      <c r="M1783" s="187"/>
      <c r="N1783" s="187"/>
      <c r="O1783" s="187"/>
      <c r="P1783" s="187"/>
      <c r="Q1783" s="187"/>
      <c r="R1783" s="187"/>
      <c r="S1783" s="187"/>
      <c r="T1783" s="187"/>
      <c r="U1783" s="187"/>
      <c r="V1783" s="187"/>
      <c r="W1783" s="187"/>
      <c r="X1783" s="187"/>
      <c r="Y1783" s="187"/>
      <c r="Z1783" s="187"/>
      <c r="AA1783" s="187"/>
      <c r="AB1783" s="187"/>
      <c r="AC1783" s="187"/>
      <c r="AD1783" s="187"/>
      <c r="AE1783" s="187"/>
      <c r="AF1783" s="187"/>
      <c r="AG1783" s="187"/>
      <c r="AH1783" s="187"/>
      <c r="AI1783" s="187"/>
      <c r="AJ1783" s="187"/>
      <c r="AK1783" s="187"/>
      <c r="AL1783" s="187"/>
    </row>
    <row r="1784" spans="2:38" ht="12.75" customHeight="1">
      <c r="B1784" s="485"/>
      <c r="C1784" s="20"/>
      <c r="D1784" s="12"/>
      <c r="E1784" s="12"/>
      <c r="F1784" s="12"/>
      <c r="G1784" s="12"/>
      <c r="H1784" s="20"/>
      <c r="I1784" s="187"/>
      <c r="J1784" s="187"/>
      <c r="K1784" s="187"/>
      <c r="L1784" s="187"/>
      <c r="M1784" s="187"/>
      <c r="N1784" s="187"/>
      <c r="O1784" s="187"/>
      <c r="P1784" s="187"/>
      <c r="Q1784" s="187"/>
      <c r="R1784" s="187"/>
      <c r="S1784" s="187"/>
      <c r="T1784" s="187"/>
      <c r="U1784" s="187"/>
      <c r="V1784" s="187"/>
      <c r="W1784" s="187"/>
      <c r="X1784" s="187"/>
      <c r="Y1784" s="187"/>
      <c r="Z1784" s="187"/>
      <c r="AA1784" s="187"/>
      <c r="AB1784" s="187"/>
      <c r="AC1784" s="187"/>
      <c r="AD1784" s="187"/>
      <c r="AE1784" s="187"/>
      <c r="AF1784" s="187"/>
      <c r="AG1784" s="187"/>
      <c r="AH1784" s="187"/>
      <c r="AI1784" s="187"/>
      <c r="AJ1784" s="187"/>
      <c r="AK1784" s="187"/>
      <c r="AL1784" s="187"/>
    </row>
    <row r="1785" spans="2:38" ht="12.75" customHeight="1">
      <c r="B1785" s="485"/>
      <c r="C1785" s="20"/>
      <c r="D1785" s="12"/>
      <c r="E1785" s="12"/>
      <c r="F1785" s="12"/>
      <c r="G1785" s="12"/>
      <c r="H1785" s="20"/>
      <c r="I1785" s="187"/>
      <c r="J1785" s="187"/>
      <c r="K1785" s="187"/>
      <c r="L1785" s="187"/>
      <c r="M1785" s="187"/>
      <c r="N1785" s="187"/>
      <c r="O1785" s="187"/>
      <c r="P1785" s="187"/>
      <c r="Q1785" s="187"/>
      <c r="R1785" s="187"/>
      <c r="S1785" s="187"/>
      <c r="T1785" s="187"/>
      <c r="U1785" s="187"/>
      <c r="V1785" s="187"/>
      <c r="W1785" s="187"/>
      <c r="X1785" s="187"/>
      <c r="Y1785" s="187"/>
      <c r="Z1785" s="187"/>
      <c r="AA1785" s="187"/>
      <c r="AB1785" s="187"/>
      <c r="AC1785" s="187"/>
      <c r="AD1785" s="187"/>
      <c r="AE1785" s="187"/>
      <c r="AF1785" s="187"/>
      <c r="AG1785" s="187"/>
      <c r="AH1785" s="187"/>
      <c r="AI1785" s="187"/>
      <c r="AJ1785" s="187"/>
      <c r="AK1785" s="187"/>
      <c r="AL1785" s="187"/>
    </row>
    <row r="1786" spans="2:38" ht="12.75" customHeight="1">
      <c r="B1786" s="485"/>
      <c r="C1786" s="20"/>
      <c r="D1786" s="12"/>
      <c r="E1786" s="12"/>
      <c r="F1786" s="12"/>
      <c r="G1786" s="12"/>
      <c r="H1786" s="20"/>
      <c r="I1786" s="187"/>
      <c r="J1786" s="187"/>
      <c r="K1786" s="187"/>
      <c r="L1786" s="187"/>
      <c r="M1786" s="187"/>
      <c r="N1786" s="187"/>
      <c r="O1786" s="187"/>
      <c r="P1786" s="187"/>
      <c r="Q1786" s="187"/>
      <c r="R1786" s="187"/>
      <c r="S1786" s="187"/>
      <c r="T1786" s="187"/>
      <c r="U1786" s="187"/>
      <c r="V1786" s="187"/>
      <c r="W1786" s="187"/>
      <c r="X1786" s="187"/>
      <c r="Y1786" s="187"/>
      <c r="Z1786" s="187"/>
      <c r="AA1786" s="187"/>
      <c r="AB1786" s="187"/>
      <c r="AC1786" s="187"/>
      <c r="AD1786" s="187"/>
      <c r="AE1786" s="187"/>
      <c r="AF1786" s="187"/>
      <c r="AG1786" s="187"/>
      <c r="AH1786" s="187"/>
      <c r="AI1786" s="187"/>
      <c r="AJ1786" s="187"/>
      <c r="AK1786" s="187"/>
      <c r="AL1786" s="187"/>
    </row>
    <row r="1787" spans="2:38" ht="12.75" customHeight="1">
      <c r="B1787" s="485"/>
      <c r="C1787" s="20"/>
      <c r="D1787" s="12"/>
      <c r="E1787" s="12"/>
      <c r="F1787" s="12"/>
      <c r="G1787" s="12"/>
      <c r="H1787" s="20"/>
      <c r="I1787" s="187"/>
      <c r="J1787" s="187"/>
      <c r="K1787" s="187"/>
      <c r="L1787" s="187"/>
      <c r="M1787" s="187"/>
      <c r="N1787" s="187"/>
      <c r="O1787" s="187"/>
      <c r="P1787" s="187"/>
      <c r="Q1787" s="187"/>
      <c r="R1787" s="187"/>
      <c r="S1787" s="187"/>
      <c r="T1787" s="187"/>
      <c r="U1787" s="187"/>
      <c r="V1787" s="187"/>
      <c r="W1787" s="187"/>
      <c r="X1787" s="187"/>
      <c r="Y1787" s="187"/>
      <c r="Z1787" s="187"/>
      <c r="AA1787" s="187"/>
      <c r="AB1787" s="187"/>
      <c r="AC1787" s="187"/>
      <c r="AD1787" s="187"/>
      <c r="AE1787" s="187"/>
      <c r="AF1787" s="187"/>
      <c r="AG1787" s="187"/>
      <c r="AH1787" s="187"/>
      <c r="AI1787" s="187"/>
      <c r="AJ1787" s="187"/>
      <c r="AK1787" s="187"/>
      <c r="AL1787" s="187"/>
    </row>
    <row r="1788" spans="2:38" ht="12.75" customHeight="1">
      <c r="B1788" s="485"/>
      <c r="C1788" s="20"/>
      <c r="D1788" s="12"/>
      <c r="E1788" s="12"/>
      <c r="F1788" s="12"/>
      <c r="G1788" s="12"/>
      <c r="H1788" s="20"/>
      <c r="I1788" s="187"/>
      <c r="J1788" s="187"/>
      <c r="K1788" s="187"/>
      <c r="L1788" s="187"/>
      <c r="M1788" s="187"/>
      <c r="N1788" s="187"/>
      <c r="O1788" s="187"/>
      <c r="P1788" s="187"/>
      <c r="Q1788" s="187"/>
      <c r="R1788" s="187"/>
      <c r="S1788" s="187"/>
      <c r="T1788" s="187"/>
      <c r="U1788" s="187"/>
      <c r="V1788" s="187"/>
      <c r="W1788" s="187"/>
      <c r="X1788" s="187"/>
      <c r="Y1788" s="187"/>
      <c r="Z1788" s="187"/>
      <c r="AA1788" s="187"/>
      <c r="AB1788" s="187"/>
      <c r="AC1788" s="187"/>
      <c r="AD1788" s="187"/>
      <c r="AE1788" s="187"/>
      <c r="AF1788" s="187"/>
      <c r="AG1788" s="187"/>
      <c r="AH1788" s="187"/>
      <c r="AI1788" s="187"/>
      <c r="AJ1788" s="187"/>
      <c r="AK1788" s="187"/>
      <c r="AL1788" s="187"/>
    </row>
    <row r="1789" spans="2:38" ht="12.75" customHeight="1">
      <c r="B1789" s="485"/>
      <c r="C1789" s="20"/>
      <c r="D1789" s="12"/>
      <c r="E1789" s="12"/>
      <c r="F1789" s="12"/>
      <c r="G1789" s="12"/>
      <c r="H1789" s="20"/>
      <c r="I1789" s="187"/>
      <c r="J1789" s="187"/>
      <c r="K1789" s="187"/>
      <c r="L1789" s="187"/>
      <c r="M1789" s="187"/>
      <c r="N1789" s="187"/>
      <c r="O1789" s="187"/>
      <c r="P1789" s="187"/>
      <c r="Q1789" s="187"/>
      <c r="R1789" s="187"/>
      <c r="S1789" s="187"/>
      <c r="T1789" s="187"/>
      <c r="U1789" s="187"/>
      <c r="V1789" s="187"/>
      <c r="W1789" s="187"/>
      <c r="X1789" s="187"/>
      <c r="Y1789" s="187"/>
      <c r="Z1789" s="187"/>
      <c r="AA1789" s="187"/>
      <c r="AB1789" s="187"/>
      <c r="AC1789" s="187"/>
      <c r="AD1789" s="187"/>
      <c r="AE1789" s="187"/>
      <c r="AF1789" s="187"/>
      <c r="AG1789" s="187"/>
      <c r="AH1789" s="187"/>
      <c r="AI1789" s="187"/>
      <c r="AJ1789" s="187"/>
      <c r="AK1789" s="187"/>
      <c r="AL1789" s="187"/>
    </row>
    <row r="1790" spans="2:38" ht="12.75" customHeight="1">
      <c r="B1790" s="485"/>
      <c r="C1790" s="20"/>
      <c r="D1790" s="12"/>
      <c r="E1790" s="12"/>
      <c r="F1790" s="12"/>
      <c r="G1790" s="12"/>
      <c r="H1790" s="20"/>
      <c r="I1790" s="187"/>
      <c r="J1790" s="187"/>
      <c r="K1790" s="187"/>
      <c r="L1790" s="187"/>
      <c r="M1790" s="187"/>
      <c r="N1790" s="187"/>
      <c r="O1790" s="187"/>
      <c r="P1790" s="187"/>
      <c r="Q1790" s="187"/>
      <c r="R1790" s="187"/>
      <c r="S1790" s="187"/>
      <c r="T1790" s="187"/>
      <c r="U1790" s="187"/>
      <c r="V1790" s="187"/>
      <c r="W1790" s="187"/>
      <c r="X1790" s="187"/>
      <c r="Y1790" s="187"/>
      <c r="Z1790" s="187"/>
      <c r="AA1790" s="187"/>
      <c r="AB1790" s="187"/>
      <c r="AC1790" s="187"/>
      <c r="AD1790" s="187"/>
      <c r="AE1790" s="187"/>
      <c r="AF1790" s="187"/>
      <c r="AG1790" s="187"/>
      <c r="AH1790" s="187"/>
      <c r="AI1790" s="187"/>
      <c r="AJ1790" s="187"/>
      <c r="AK1790" s="187"/>
      <c r="AL1790" s="187"/>
    </row>
    <row r="1791" spans="2:38" ht="12.75" customHeight="1">
      <c r="B1791" s="485"/>
      <c r="C1791" s="20"/>
      <c r="D1791" s="12"/>
      <c r="E1791" s="12"/>
      <c r="F1791" s="12"/>
      <c r="G1791" s="12"/>
      <c r="H1791" s="20"/>
      <c r="I1791" s="187"/>
      <c r="J1791" s="187"/>
      <c r="K1791" s="187"/>
      <c r="L1791" s="187"/>
      <c r="M1791" s="187"/>
      <c r="N1791" s="187"/>
      <c r="O1791" s="187"/>
      <c r="P1791" s="187"/>
      <c r="Q1791" s="187"/>
      <c r="R1791" s="187"/>
      <c r="S1791" s="187"/>
      <c r="T1791" s="187"/>
      <c r="U1791" s="187"/>
      <c r="V1791" s="187"/>
      <c r="W1791" s="187"/>
      <c r="X1791" s="187"/>
      <c r="Y1791" s="187"/>
      <c r="Z1791" s="187"/>
      <c r="AA1791" s="187"/>
      <c r="AB1791" s="187"/>
      <c r="AC1791" s="187"/>
      <c r="AD1791" s="187"/>
      <c r="AE1791" s="187"/>
      <c r="AF1791" s="187"/>
      <c r="AG1791" s="187"/>
      <c r="AH1791" s="187"/>
      <c r="AI1791" s="187"/>
      <c r="AJ1791" s="187"/>
      <c r="AK1791" s="187"/>
      <c r="AL1791" s="187"/>
    </row>
    <row r="1792" spans="2:38" ht="12.75" customHeight="1">
      <c r="B1792" s="485"/>
      <c r="C1792" s="20"/>
      <c r="D1792" s="12"/>
      <c r="E1792" s="12"/>
      <c r="F1792" s="12"/>
      <c r="G1792" s="12"/>
      <c r="H1792" s="20"/>
      <c r="I1792" s="187"/>
      <c r="J1792" s="187"/>
      <c r="K1792" s="187"/>
      <c r="L1792" s="187"/>
      <c r="M1792" s="187"/>
      <c r="N1792" s="187"/>
      <c r="O1792" s="187"/>
      <c r="P1792" s="187"/>
      <c r="Q1792" s="187"/>
      <c r="R1792" s="187"/>
      <c r="S1792" s="187"/>
      <c r="T1792" s="187"/>
      <c r="U1792" s="187"/>
      <c r="V1792" s="187"/>
      <c r="W1792" s="187"/>
      <c r="X1792" s="187"/>
      <c r="Y1792" s="187"/>
      <c r="Z1792" s="187"/>
      <c r="AA1792" s="187"/>
      <c r="AB1792" s="187"/>
      <c r="AC1792" s="187"/>
      <c r="AD1792" s="187"/>
      <c r="AE1792" s="187"/>
      <c r="AF1792" s="187"/>
      <c r="AG1792" s="187"/>
      <c r="AH1792" s="187"/>
      <c r="AI1792" s="187"/>
      <c r="AJ1792" s="187"/>
      <c r="AK1792" s="187"/>
      <c r="AL1792" s="187"/>
    </row>
    <row r="1793" spans="2:38" ht="12.75" customHeight="1">
      <c r="B1793" s="485"/>
      <c r="C1793" s="20"/>
      <c r="D1793" s="12"/>
      <c r="E1793" s="12"/>
      <c r="F1793" s="12"/>
      <c r="G1793" s="12"/>
      <c r="H1793" s="20"/>
      <c r="I1793" s="187"/>
      <c r="J1793" s="187"/>
      <c r="K1793" s="187"/>
      <c r="L1793" s="187"/>
      <c r="M1793" s="187"/>
      <c r="N1793" s="187"/>
      <c r="O1793" s="187"/>
      <c r="P1793" s="187"/>
      <c r="Q1793" s="187"/>
      <c r="R1793" s="187"/>
      <c r="S1793" s="187"/>
      <c r="T1793" s="187"/>
      <c r="U1793" s="187"/>
      <c r="V1793" s="187"/>
      <c r="W1793" s="187"/>
      <c r="X1793" s="187"/>
      <c r="Y1793" s="187"/>
      <c r="Z1793" s="187"/>
      <c r="AA1793" s="187"/>
      <c r="AB1793" s="187"/>
      <c r="AC1793" s="187"/>
      <c r="AD1793" s="187"/>
      <c r="AE1793" s="187"/>
      <c r="AF1793" s="187"/>
      <c r="AG1793" s="187"/>
      <c r="AH1793" s="187"/>
      <c r="AI1793" s="187"/>
      <c r="AJ1793" s="187"/>
      <c r="AK1793" s="187"/>
      <c r="AL1793" s="187"/>
    </row>
    <row r="1794" spans="2:38" ht="12.75" customHeight="1">
      <c r="B1794" s="485"/>
      <c r="C1794" s="20"/>
      <c r="D1794" s="12"/>
      <c r="E1794" s="12"/>
      <c r="F1794" s="12"/>
      <c r="G1794" s="12"/>
      <c r="H1794" s="20"/>
      <c r="I1794" s="187"/>
      <c r="J1794" s="187"/>
      <c r="K1794" s="187"/>
      <c r="L1794" s="187"/>
      <c r="M1794" s="187"/>
      <c r="N1794" s="187"/>
      <c r="O1794" s="187"/>
      <c r="P1794" s="187"/>
      <c r="Q1794" s="187"/>
      <c r="R1794" s="187"/>
      <c r="S1794" s="187"/>
      <c r="T1794" s="187"/>
      <c r="U1794" s="187"/>
      <c r="V1794" s="187"/>
      <c r="W1794" s="187"/>
      <c r="X1794" s="187"/>
      <c r="Y1794" s="187"/>
      <c r="Z1794" s="187"/>
      <c r="AA1794" s="187"/>
      <c r="AB1794" s="187"/>
      <c r="AC1794" s="187"/>
      <c r="AD1794" s="187"/>
      <c r="AE1794" s="187"/>
      <c r="AF1794" s="187"/>
      <c r="AG1794" s="187"/>
      <c r="AH1794" s="187"/>
      <c r="AI1794" s="187"/>
      <c r="AJ1794" s="187"/>
      <c r="AK1794" s="187"/>
      <c r="AL1794" s="187"/>
    </row>
    <row r="1795" spans="2:38" ht="12.75" customHeight="1">
      <c r="B1795" s="485"/>
      <c r="C1795" s="20"/>
      <c r="D1795" s="12"/>
      <c r="E1795" s="12"/>
      <c r="F1795" s="12"/>
      <c r="G1795" s="12"/>
      <c r="H1795" s="20"/>
      <c r="I1795" s="187"/>
      <c r="J1795" s="187"/>
      <c r="K1795" s="187"/>
      <c r="L1795" s="187"/>
      <c r="M1795" s="187"/>
      <c r="N1795" s="187"/>
      <c r="O1795" s="187"/>
      <c r="P1795" s="187"/>
      <c r="Q1795" s="187"/>
      <c r="R1795" s="187"/>
      <c r="S1795" s="187"/>
      <c r="T1795" s="187"/>
      <c r="U1795" s="187"/>
      <c r="V1795" s="187"/>
      <c r="W1795" s="187"/>
      <c r="X1795" s="187"/>
      <c r="Y1795" s="187"/>
      <c r="Z1795" s="187"/>
      <c r="AA1795" s="187"/>
      <c r="AB1795" s="187"/>
      <c r="AC1795" s="187"/>
      <c r="AD1795" s="187"/>
      <c r="AE1795" s="187"/>
      <c r="AF1795" s="187"/>
      <c r="AG1795" s="187"/>
      <c r="AH1795" s="187"/>
      <c r="AI1795" s="187"/>
      <c r="AJ1795" s="187"/>
      <c r="AK1795" s="187"/>
      <c r="AL1795" s="187"/>
    </row>
    <row r="1796" spans="2:38" ht="12.75" customHeight="1">
      <c r="B1796" s="485"/>
      <c r="C1796" s="20"/>
      <c r="D1796" s="12"/>
      <c r="E1796" s="12"/>
      <c r="F1796" s="12"/>
      <c r="G1796" s="12"/>
      <c r="H1796" s="20"/>
      <c r="I1796" s="187"/>
      <c r="J1796" s="187"/>
      <c r="K1796" s="187"/>
      <c r="L1796" s="187"/>
      <c r="M1796" s="187"/>
      <c r="N1796" s="187"/>
      <c r="O1796" s="187"/>
      <c r="P1796" s="187"/>
      <c r="Q1796" s="187"/>
      <c r="R1796" s="187"/>
      <c r="S1796" s="187"/>
      <c r="T1796" s="187"/>
      <c r="U1796" s="187"/>
      <c r="V1796" s="187"/>
      <c r="W1796" s="187"/>
      <c r="X1796" s="187"/>
      <c r="Y1796" s="187"/>
      <c r="Z1796" s="187"/>
      <c r="AA1796" s="187"/>
      <c r="AB1796" s="187"/>
      <c r="AC1796" s="187"/>
      <c r="AD1796" s="187"/>
      <c r="AE1796" s="187"/>
      <c r="AF1796" s="187"/>
      <c r="AG1796" s="187"/>
      <c r="AH1796" s="187"/>
      <c r="AI1796" s="187"/>
      <c r="AJ1796" s="187"/>
      <c r="AK1796" s="187"/>
      <c r="AL1796" s="187"/>
    </row>
    <row r="1797" spans="2:38" ht="12.75" customHeight="1">
      <c r="B1797" s="485"/>
      <c r="C1797" s="20"/>
      <c r="D1797" s="12"/>
      <c r="E1797" s="12"/>
      <c r="F1797" s="12"/>
      <c r="G1797" s="12"/>
      <c r="H1797" s="20"/>
      <c r="I1797" s="187"/>
      <c r="J1797" s="187"/>
      <c r="K1797" s="187"/>
      <c r="L1797" s="187"/>
      <c r="M1797" s="187"/>
      <c r="N1797" s="187"/>
      <c r="O1797" s="187"/>
      <c r="P1797" s="187"/>
      <c r="Q1797" s="187"/>
      <c r="R1797" s="187"/>
      <c r="S1797" s="187"/>
      <c r="T1797" s="187"/>
      <c r="U1797" s="187"/>
      <c r="V1797" s="187"/>
      <c r="W1797" s="187"/>
      <c r="X1797" s="187"/>
      <c r="Y1797" s="187"/>
      <c r="Z1797" s="187"/>
      <c r="AA1797" s="187"/>
      <c r="AB1797" s="187"/>
      <c r="AC1797" s="187"/>
      <c r="AD1797" s="187"/>
      <c r="AE1797" s="187"/>
      <c r="AF1797" s="187"/>
      <c r="AG1797" s="187"/>
      <c r="AH1797" s="187"/>
      <c r="AI1797" s="187"/>
      <c r="AJ1797" s="187"/>
      <c r="AK1797" s="187"/>
      <c r="AL1797" s="187"/>
    </row>
    <row r="1798" spans="2:38" ht="12.75" customHeight="1">
      <c r="B1798" s="485"/>
      <c r="C1798" s="20"/>
      <c r="D1798" s="12"/>
      <c r="E1798" s="12"/>
      <c r="F1798" s="12"/>
      <c r="G1798" s="12"/>
      <c r="H1798" s="20"/>
      <c r="I1798" s="187"/>
      <c r="J1798" s="187"/>
      <c r="K1798" s="187"/>
      <c r="L1798" s="187"/>
      <c r="M1798" s="187"/>
      <c r="N1798" s="187"/>
      <c r="O1798" s="187"/>
      <c r="P1798" s="187"/>
      <c r="Q1798" s="187"/>
      <c r="R1798" s="187"/>
      <c r="S1798" s="187"/>
      <c r="T1798" s="187"/>
      <c r="U1798" s="187"/>
      <c r="V1798" s="187"/>
      <c r="W1798" s="187"/>
      <c r="X1798" s="187"/>
      <c r="Y1798" s="187"/>
      <c r="Z1798" s="187"/>
      <c r="AA1798" s="187"/>
      <c r="AB1798" s="187"/>
      <c r="AC1798" s="187"/>
      <c r="AD1798" s="187"/>
      <c r="AE1798" s="187"/>
      <c r="AF1798" s="187"/>
      <c r="AG1798" s="187"/>
      <c r="AH1798" s="187"/>
      <c r="AI1798" s="187"/>
      <c r="AJ1798" s="187"/>
      <c r="AK1798" s="187"/>
      <c r="AL1798" s="187"/>
    </row>
    <row r="1799" spans="2:38" ht="12.75" customHeight="1">
      <c r="B1799" s="485"/>
      <c r="C1799" s="20"/>
      <c r="D1799" s="12"/>
      <c r="E1799" s="12"/>
      <c r="F1799" s="12"/>
      <c r="G1799" s="12"/>
      <c r="H1799" s="20"/>
      <c r="I1799" s="187"/>
      <c r="J1799" s="187"/>
      <c r="K1799" s="187"/>
      <c r="L1799" s="187"/>
      <c r="M1799" s="187"/>
      <c r="N1799" s="187"/>
      <c r="O1799" s="187"/>
      <c r="P1799" s="187"/>
      <c r="Q1799" s="187"/>
      <c r="R1799" s="187"/>
      <c r="S1799" s="187"/>
      <c r="T1799" s="187"/>
      <c r="U1799" s="187"/>
      <c r="V1799" s="187"/>
      <c r="W1799" s="187"/>
      <c r="X1799" s="187"/>
      <c r="Y1799" s="187"/>
      <c r="Z1799" s="187"/>
      <c r="AA1799" s="187"/>
      <c r="AB1799" s="187"/>
      <c r="AC1799" s="187"/>
      <c r="AD1799" s="187"/>
      <c r="AE1799" s="187"/>
      <c r="AF1799" s="187"/>
      <c r="AG1799" s="187"/>
      <c r="AH1799" s="187"/>
      <c r="AI1799" s="187"/>
      <c r="AJ1799" s="187"/>
      <c r="AK1799" s="187"/>
      <c r="AL1799" s="187"/>
    </row>
    <row r="1800" spans="2:38" ht="12.75" customHeight="1">
      <c r="B1800" s="485"/>
      <c r="C1800" s="20"/>
      <c r="D1800" s="12"/>
      <c r="E1800" s="12"/>
      <c r="F1800" s="12"/>
      <c r="G1800" s="12"/>
      <c r="H1800" s="20"/>
      <c r="I1800" s="187"/>
      <c r="J1800" s="187"/>
      <c r="K1800" s="187"/>
      <c r="L1800" s="187"/>
      <c r="M1800" s="187"/>
      <c r="N1800" s="187"/>
      <c r="O1800" s="187"/>
      <c r="P1800" s="187"/>
      <c r="Q1800" s="187"/>
      <c r="R1800" s="187"/>
      <c r="S1800" s="187"/>
      <c r="T1800" s="187"/>
      <c r="U1800" s="187"/>
      <c r="V1800" s="187"/>
      <c r="W1800" s="187"/>
      <c r="X1800" s="187"/>
      <c r="Y1800" s="187"/>
      <c r="Z1800" s="187"/>
      <c r="AA1800" s="187"/>
      <c r="AB1800" s="187"/>
      <c r="AC1800" s="187"/>
      <c r="AD1800" s="187"/>
      <c r="AE1800" s="187"/>
      <c r="AF1800" s="187"/>
      <c r="AG1800" s="187"/>
      <c r="AH1800" s="187"/>
      <c r="AI1800" s="187"/>
      <c r="AJ1800" s="187"/>
      <c r="AK1800" s="187"/>
      <c r="AL1800" s="187"/>
    </row>
    <row r="1801" spans="2:38" ht="12.75" customHeight="1">
      <c r="B1801" s="485"/>
      <c r="C1801" s="20"/>
      <c r="D1801" s="12"/>
      <c r="E1801" s="12"/>
      <c r="F1801" s="12"/>
      <c r="G1801" s="12"/>
      <c r="H1801" s="20"/>
      <c r="I1801" s="187"/>
      <c r="J1801" s="187"/>
      <c r="K1801" s="187"/>
      <c r="L1801" s="187"/>
      <c r="M1801" s="187"/>
      <c r="N1801" s="187"/>
      <c r="O1801" s="187"/>
      <c r="P1801" s="187"/>
      <c r="Q1801" s="187"/>
      <c r="R1801" s="187"/>
      <c r="S1801" s="187"/>
      <c r="T1801" s="187"/>
      <c r="U1801" s="187"/>
      <c r="V1801" s="187"/>
      <c r="W1801" s="187"/>
      <c r="X1801" s="187"/>
      <c r="Y1801" s="187"/>
      <c r="Z1801" s="187"/>
      <c r="AA1801" s="187"/>
      <c r="AB1801" s="187"/>
      <c r="AC1801" s="187"/>
      <c r="AD1801" s="187"/>
      <c r="AE1801" s="187"/>
      <c r="AF1801" s="187"/>
      <c r="AG1801" s="187"/>
      <c r="AH1801" s="187"/>
      <c r="AI1801" s="187"/>
      <c r="AJ1801" s="187"/>
      <c r="AK1801" s="187"/>
      <c r="AL1801" s="187"/>
    </row>
    <row r="1802" spans="2:38" ht="12.75" customHeight="1">
      <c r="B1802" s="485"/>
      <c r="C1802" s="20"/>
      <c r="D1802" s="12"/>
      <c r="E1802" s="12"/>
      <c r="F1802" s="12"/>
      <c r="G1802" s="12"/>
      <c r="H1802" s="20"/>
      <c r="I1802" s="187"/>
      <c r="J1802" s="187"/>
      <c r="K1802" s="187"/>
      <c r="L1802" s="187"/>
      <c r="M1802" s="187"/>
      <c r="N1802" s="187"/>
      <c r="O1802" s="187"/>
      <c r="P1802" s="187"/>
      <c r="Q1802" s="187"/>
      <c r="R1802" s="187"/>
      <c r="S1802" s="187"/>
      <c r="T1802" s="187"/>
      <c r="U1802" s="187"/>
      <c r="V1802" s="187"/>
      <c r="W1802" s="187"/>
      <c r="X1802" s="187"/>
      <c r="Y1802" s="187"/>
      <c r="Z1802" s="187"/>
      <c r="AA1802" s="187"/>
      <c r="AB1802" s="187"/>
      <c r="AC1802" s="187"/>
      <c r="AD1802" s="187"/>
      <c r="AE1802" s="187"/>
      <c r="AF1802" s="187"/>
      <c r="AG1802" s="187"/>
      <c r="AH1802" s="187"/>
      <c r="AI1802" s="187"/>
      <c r="AJ1802" s="187"/>
      <c r="AK1802" s="187"/>
      <c r="AL1802" s="187"/>
    </row>
    <row r="1803" spans="2:38" ht="12.75" customHeight="1">
      <c r="B1803" s="485"/>
      <c r="C1803" s="20"/>
      <c r="D1803" s="12"/>
      <c r="E1803" s="12"/>
      <c r="F1803" s="12"/>
      <c r="G1803" s="12"/>
      <c r="H1803" s="20"/>
      <c r="I1803" s="187"/>
      <c r="J1803" s="187"/>
      <c r="K1803" s="187"/>
      <c r="L1803" s="187"/>
      <c r="M1803" s="187"/>
      <c r="N1803" s="187"/>
      <c r="O1803" s="187"/>
      <c r="P1803" s="187"/>
      <c r="Q1803" s="187"/>
      <c r="R1803" s="187"/>
      <c r="S1803" s="187"/>
      <c r="T1803" s="187"/>
      <c r="U1803" s="187"/>
      <c r="V1803" s="187"/>
      <c r="W1803" s="187"/>
      <c r="X1803" s="187"/>
      <c r="Y1803" s="187"/>
      <c r="Z1803" s="187"/>
      <c r="AA1803" s="187"/>
      <c r="AB1803" s="187"/>
      <c r="AC1803" s="187"/>
      <c r="AD1803" s="187"/>
      <c r="AE1803" s="187"/>
      <c r="AF1803" s="187"/>
      <c r="AG1803" s="187"/>
      <c r="AH1803" s="187"/>
      <c r="AI1803" s="187"/>
      <c r="AJ1803" s="187"/>
      <c r="AK1803" s="187"/>
      <c r="AL1803" s="187"/>
    </row>
    <row r="1804" spans="2:38" ht="12.75" customHeight="1">
      <c r="B1804" s="485"/>
      <c r="C1804" s="20"/>
      <c r="D1804" s="12"/>
      <c r="E1804" s="12"/>
      <c r="F1804" s="12"/>
      <c r="G1804" s="12"/>
      <c r="H1804" s="20"/>
      <c r="I1804" s="187"/>
      <c r="J1804" s="187"/>
      <c r="K1804" s="187"/>
      <c r="L1804" s="187"/>
      <c r="M1804" s="187"/>
      <c r="N1804" s="187"/>
      <c r="O1804" s="187"/>
      <c r="P1804" s="187"/>
      <c r="Q1804" s="187"/>
      <c r="R1804" s="187"/>
      <c r="S1804" s="187"/>
      <c r="T1804" s="187"/>
      <c r="U1804" s="187"/>
      <c r="V1804" s="187"/>
      <c r="W1804" s="187"/>
      <c r="X1804" s="187"/>
      <c r="Y1804" s="187"/>
      <c r="Z1804" s="187"/>
      <c r="AA1804" s="187"/>
      <c r="AB1804" s="187"/>
      <c r="AC1804" s="187"/>
      <c r="AD1804" s="187"/>
      <c r="AE1804" s="187"/>
      <c r="AF1804" s="187"/>
      <c r="AG1804" s="187"/>
      <c r="AH1804" s="187"/>
      <c r="AI1804" s="187"/>
      <c r="AJ1804" s="187"/>
      <c r="AK1804" s="187"/>
      <c r="AL1804" s="187"/>
    </row>
    <row r="1805" spans="2:38" ht="12.75" customHeight="1">
      <c r="B1805" s="485"/>
      <c r="C1805" s="20"/>
      <c r="D1805" s="12"/>
      <c r="E1805" s="12"/>
      <c r="F1805" s="12"/>
      <c r="G1805" s="12"/>
      <c r="H1805" s="20"/>
      <c r="I1805" s="187"/>
      <c r="J1805" s="187"/>
      <c r="K1805" s="187"/>
      <c r="L1805" s="187"/>
      <c r="M1805" s="187"/>
      <c r="N1805" s="187"/>
      <c r="O1805" s="187"/>
      <c r="P1805" s="187"/>
      <c r="Q1805" s="187"/>
      <c r="R1805" s="187"/>
      <c r="S1805" s="187"/>
      <c r="T1805" s="187"/>
      <c r="U1805" s="187"/>
      <c r="V1805" s="187"/>
      <c r="W1805" s="187"/>
      <c r="X1805" s="187"/>
      <c r="Y1805" s="187"/>
      <c r="Z1805" s="187"/>
      <c r="AA1805" s="187"/>
      <c r="AB1805" s="187"/>
      <c r="AC1805" s="187"/>
      <c r="AD1805" s="187"/>
      <c r="AE1805" s="187"/>
      <c r="AF1805" s="187"/>
      <c r="AG1805" s="187"/>
      <c r="AH1805" s="187"/>
      <c r="AI1805" s="187"/>
      <c r="AJ1805" s="187"/>
      <c r="AK1805" s="187"/>
      <c r="AL1805" s="187"/>
    </row>
    <row r="1806" spans="2:38" ht="12.75" customHeight="1">
      <c r="B1806" s="485"/>
      <c r="C1806" s="20"/>
      <c r="D1806" s="12"/>
      <c r="E1806" s="12"/>
      <c r="F1806" s="12"/>
      <c r="G1806" s="12"/>
      <c r="H1806" s="20"/>
      <c r="I1806" s="187"/>
      <c r="J1806" s="187"/>
      <c r="K1806" s="187"/>
      <c r="L1806" s="187"/>
      <c r="M1806" s="187"/>
      <c r="N1806" s="187"/>
      <c r="O1806" s="187"/>
      <c r="P1806" s="187"/>
      <c r="Q1806" s="187"/>
      <c r="R1806" s="187"/>
      <c r="S1806" s="187"/>
      <c r="T1806" s="187"/>
      <c r="U1806" s="187"/>
      <c r="V1806" s="187"/>
      <c r="W1806" s="187"/>
      <c r="X1806" s="187"/>
      <c r="Y1806" s="187"/>
      <c r="Z1806" s="187"/>
      <c r="AA1806" s="187"/>
      <c r="AB1806" s="187"/>
      <c r="AC1806" s="187"/>
      <c r="AD1806" s="187"/>
      <c r="AE1806" s="187"/>
      <c r="AF1806" s="187"/>
      <c r="AG1806" s="187"/>
      <c r="AH1806" s="187"/>
      <c r="AI1806" s="187"/>
      <c r="AJ1806" s="187"/>
      <c r="AK1806" s="187"/>
      <c r="AL1806" s="187"/>
    </row>
    <row r="1807" spans="2:38" ht="12.75" customHeight="1">
      <c r="B1807" s="485"/>
      <c r="C1807" s="20"/>
      <c r="D1807" s="12"/>
      <c r="E1807" s="12"/>
      <c r="F1807" s="12"/>
      <c r="G1807" s="12"/>
      <c r="H1807" s="20"/>
      <c r="I1807" s="187"/>
      <c r="J1807" s="187"/>
      <c r="K1807" s="187"/>
      <c r="L1807" s="187"/>
      <c r="M1807" s="187"/>
      <c r="N1807" s="187"/>
      <c r="O1807" s="187"/>
      <c r="P1807" s="187"/>
      <c r="Q1807" s="187"/>
      <c r="R1807" s="187"/>
      <c r="S1807" s="187"/>
      <c r="T1807" s="187"/>
      <c r="U1807" s="187"/>
      <c r="V1807" s="187"/>
      <c r="W1807" s="187"/>
      <c r="X1807" s="187"/>
      <c r="Y1807" s="187"/>
      <c r="Z1807" s="187"/>
      <c r="AA1807" s="187"/>
      <c r="AB1807" s="187"/>
      <c r="AC1807" s="187"/>
      <c r="AD1807" s="187"/>
      <c r="AE1807" s="187"/>
      <c r="AF1807" s="187"/>
      <c r="AG1807" s="187"/>
      <c r="AH1807" s="187"/>
      <c r="AI1807" s="187"/>
      <c r="AJ1807" s="187"/>
      <c r="AK1807" s="187"/>
      <c r="AL1807" s="187"/>
    </row>
    <row r="1808" spans="2:38" ht="12.75" customHeight="1">
      <c r="B1808" s="485"/>
      <c r="C1808" s="20"/>
      <c r="D1808" s="12"/>
      <c r="E1808" s="12"/>
      <c r="F1808" s="12"/>
      <c r="G1808" s="12"/>
      <c r="H1808" s="20"/>
      <c r="I1808" s="187"/>
      <c r="J1808" s="187"/>
      <c r="K1808" s="187"/>
      <c r="L1808" s="187"/>
      <c r="M1808" s="187"/>
      <c r="N1808" s="187"/>
      <c r="O1808" s="187"/>
      <c r="P1808" s="187"/>
      <c r="Q1808" s="187"/>
      <c r="R1808" s="187"/>
      <c r="S1808" s="187"/>
      <c r="T1808" s="187"/>
      <c r="U1808" s="187"/>
      <c r="V1808" s="187"/>
      <c r="W1808" s="187"/>
      <c r="X1808" s="187"/>
      <c r="Y1808" s="187"/>
      <c r="Z1808" s="187"/>
      <c r="AA1808" s="187"/>
      <c r="AB1808" s="187"/>
      <c r="AC1808" s="187"/>
      <c r="AD1808" s="187"/>
      <c r="AE1808" s="187"/>
      <c r="AF1808" s="187"/>
      <c r="AG1808" s="187"/>
      <c r="AH1808" s="187"/>
      <c r="AI1808" s="187"/>
      <c r="AJ1808" s="187"/>
      <c r="AK1808" s="187"/>
      <c r="AL1808" s="187"/>
    </row>
    <row r="1809" spans="2:38" ht="12.75" customHeight="1">
      <c r="B1809" s="485"/>
      <c r="C1809" s="20"/>
      <c r="D1809" s="12"/>
      <c r="E1809" s="12"/>
      <c r="F1809" s="12"/>
      <c r="G1809" s="12"/>
      <c r="H1809" s="20"/>
      <c r="I1809" s="187"/>
      <c r="J1809" s="187"/>
      <c r="K1809" s="187"/>
      <c r="L1809" s="187"/>
      <c r="M1809" s="187"/>
      <c r="N1809" s="187"/>
      <c r="O1809" s="187"/>
      <c r="P1809" s="187"/>
      <c r="Q1809" s="187"/>
      <c r="R1809" s="187"/>
      <c r="S1809" s="187"/>
      <c r="T1809" s="187"/>
      <c r="U1809" s="187"/>
      <c r="V1809" s="187"/>
      <c r="W1809" s="187"/>
      <c r="X1809" s="187"/>
      <c r="Y1809" s="187"/>
      <c r="Z1809" s="187"/>
      <c r="AA1809" s="187"/>
      <c r="AB1809" s="187"/>
      <c r="AC1809" s="187"/>
      <c r="AD1809" s="187"/>
      <c r="AE1809" s="187"/>
      <c r="AF1809" s="187"/>
      <c r="AG1809" s="187"/>
      <c r="AH1809" s="187"/>
      <c r="AI1809" s="187"/>
      <c r="AJ1809" s="187"/>
      <c r="AK1809" s="187"/>
      <c r="AL1809" s="187"/>
    </row>
    <row r="1810" spans="2:38" ht="12.75" customHeight="1">
      <c r="B1810" s="485"/>
      <c r="C1810" s="20"/>
      <c r="D1810" s="12"/>
      <c r="E1810" s="12"/>
      <c r="F1810" s="12"/>
      <c r="G1810" s="12"/>
      <c r="H1810" s="20"/>
      <c r="I1810" s="187"/>
      <c r="J1810" s="187"/>
      <c r="K1810" s="187"/>
      <c r="L1810" s="187"/>
      <c r="M1810" s="187"/>
      <c r="N1810" s="187"/>
      <c r="O1810" s="187"/>
      <c r="P1810" s="187"/>
      <c r="Q1810" s="187"/>
      <c r="R1810" s="187"/>
      <c r="S1810" s="187"/>
      <c r="T1810" s="187"/>
      <c r="U1810" s="187"/>
      <c r="V1810" s="187"/>
      <c r="W1810" s="187"/>
      <c r="X1810" s="187"/>
      <c r="Y1810" s="187"/>
      <c r="Z1810" s="187"/>
      <c r="AA1810" s="187"/>
      <c r="AB1810" s="187"/>
      <c r="AC1810" s="187"/>
      <c r="AD1810" s="187"/>
      <c r="AE1810" s="187"/>
      <c r="AF1810" s="187"/>
      <c r="AG1810" s="187"/>
      <c r="AH1810" s="187"/>
      <c r="AI1810" s="187"/>
      <c r="AJ1810" s="187"/>
      <c r="AK1810" s="187"/>
      <c r="AL1810" s="187"/>
    </row>
    <row r="1811" spans="2:38" ht="12.75" customHeight="1">
      <c r="B1811" s="485"/>
      <c r="C1811" s="20"/>
      <c r="D1811" s="12"/>
      <c r="E1811" s="12"/>
      <c r="F1811" s="12"/>
      <c r="G1811" s="12"/>
      <c r="H1811" s="20"/>
      <c r="I1811" s="187"/>
      <c r="J1811" s="187"/>
      <c r="K1811" s="187"/>
      <c r="L1811" s="187"/>
      <c r="M1811" s="187"/>
      <c r="N1811" s="187"/>
      <c r="O1811" s="187"/>
      <c r="P1811" s="187"/>
      <c r="Q1811" s="187"/>
      <c r="R1811" s="187"/>
      <c r="S1811" s="187"/>
      <c r="T1811" s="187"/>
      <c r="U1811" s="187"/>
      <c r="V1811" s="187"/>
      <c r="W1811" s="187"/>
      <c r="X1811" s="187"/>
      <c r="Y1811" s="187"/>
      <c r="Z1811" s="187"/>
      <c r="AA1811" s="187"/>
      <c r="AB1811" s="187"/>
      <c r="AC1811" s="187"/>
      <c r="AD1811" s="187"/>
      <c r="AE1811" s="187"/>
      <c r="AF1811" s="187"/>
      <c r="AG1811" s="187"/>
      <c r="AH1811" s="187"/>
      <c r="AI1811" s="187"/>
      <c r="AJ1811" s="187"/>
      <c r="AK1811" s="187"/>
      <c r="AL1811" s="187"/>
    </row>
    <row r="1812" spans="2:38" ht="12.75" customHeight="1">
      <c r="B1812" s="485"/>
      <c r="C1812" s="20"/>
      <c r="D1812" s="12"/>
      <c r="E1812" s="12"/>
      <c r="F1812" s="12"/>
      <c r="G1812" s="12"/>
      <c r="H1812" s="20"/>
      <c r="I1812" s="187"/>
      <c r="J1812" s="187"/>
      <c r="K1812" s="187"/>
      <c r="L1812" s="187"/>
      <c r="M1812" s="187"/>
      <c r="N1812" s="187"/>
      <c r="O1812" s="187"/>
      <c r="P1812" s="187"/>
      <c r="Q1812" s="187"/>
      <c r="R1812" s="187"/>
      <c r="S1812" s="187"/>
      <c r="T1812" s="187"/>
      <c r="U1812" s="187"/>
      <c r="V1812" s="187"/>
      <c r="W1812" s="187"/>
      <c r="X1812" s="187"/>
      <c r="Y1812" s="187"/>
      <c r="Z1812" s="187"/>
      <c r="AA1812" s="187"/>
      <c r="AB1812" s="187"/>
      <c r="AC1812" s="187"/>
      <c r="AD1812" s="187"/>
      <c r="AE1812" s="187"/>
      <c r="AF1812" s="187"/>
      <c r="AG1812" s="187"/>
      <c r="AH1812" s="187"/>
      <c r="AI1812" s="187"/>
      <c r="AJ1812" s="187"/>
      <c r="AK1812" s="187"/>
      <c r="AL1812" s="187"/>
    </row>
    <row r="1813" spans="2:38" ht="12.75" customHeight="1">
      <c r="B1813" s="485"/>
      <c r="C1813" s="20"/>
      <c r="D1813" s="12"/>
      <c r="E1813" s="12"/>
      <c r="F1813" s="12"/>
      <c r="G1813" s="12"/>
      <c r="H1813" s="20"/>
      <c r="I1813" s="187"/>
      <c r="J1813" s="187"/>
      <c r="K1813" s="187"/>
      <c r="L1813" s="187"/>
      <c r="M1813" s="187"/>
      <c r="N1813" s="187"/>
      <c r="O1813" s="187"/>
      <c r="P1813" s="187"/>
      <c r="Q1813" s="187"/>
      <c r="R1813" s="187"/>
      <c r="S1813" s="187"/>
      <c r="T1813" s="187"/>
      <c r="U1813" s="187"/>
      <c r="V1813" s="187"/>
      <c r="W1813" s="187"/>
      <c r="X1813" s="187"/>
      <c r="Y1813" s="187"/>
      <c r="Z1813" s="187"/>
      <c r="AA1813" s="187"/>
      <c r="AB1813" s="187"/>
      <c r="AC1813" s="187"/>
      <c r="AD1813" s="187"/>
      <c r="AE1813" s="187"/>
      <c r="AF1813" s="187"/>
      <c r="AG1813" s="187"/>
      <c r="AH1813" s="187"/>
      <c r="AI1813" s="187"/>
      <c r="AJ1813" s="187"/>
      <c r="AK1813" s="187"/>
      <c r="AL1813" s="187"/>
    </row>
    <row r="1814" spans="2:38" ht="12.75" customHeight="1">
      <c r="B1814" s="485"/>
      <c r="C1814" s="20"/>
      <c r="D1814" s="12"/>
      <c r="E1814" s="12"/>
      <c r="F1814" s="12"/>
      <c r="G1814" s="12"/>
      <c r="H1814" s="20"/>
      <c r="I1814" s="187"/>
      <c r="J1814" s="187"/>
      <c r="K1814" s="187"/>
      <c r="L1814" s="187"/>
      <c r="M1814" s="187"/>
      <c r="N1814" s="187"/>
      <c r="O1814" s="187"/>
      <c r="P1814" s="187"/>
      <c r="Q1814" s="187"/>
      <c r="R1814" s="187"/>
      <c r="S1814" s="187"/>
      <c r="T1814" s="187"/>
      <c r="U1814" s="187"/>
      <c r="V1814" s="187"/>
      <c r="W1814" s="187"/>
      <c r="X1814" s="187"/>
      <c r="Y1814" s="187"/>
      <c r="Z1814" s="187"/>
      <c r="AA1814" s="187"/>
      <c r="AB1814" s="187"/>
      <c r="AC1814" s="187"/>
      <c r="AD1814" s="187"/>
      <c r="AE1814" s="187"/>
      <c r="AF1814" s="187"/>
      <c r="AG1814" s="187"/>
      <c r="AH1814" s="187"/>
      <c r="AI1814" s="187"/>
      <c r="AJ1814" s="187"/>
      <c r="AK1814" s="187"/>
      <c r="AL1814" s="187"/>
    </row>
    <row r="1815" spans="2:38" ht="12.75" customHeight="1">
      <c r="B1815" s="485"/>
      <c r="C1815" s="20"/>
      <c r="D1815" s="12"/>
      <c r="E1815" s="12"/>
      <c r="F1815" s="12"/>
      <c r="G1815" s="12"/>
      <c r="H1815" s="20"/>
      <c r="I1815" s="187"/>
      <c r="J1815" s="187"/>
      <c r="K1815" s="187"/>
      <c r="L1815" s="187"/>
      <c r="M1815" s="187"/>
      <c r="N1815" s="187"/>
      <c r="O1815" s="187"/>
      <c r="P1815" s="187"/>
      <c r="Q1815" s="187"/>
      <c r="R1815" s="187"/>
      <c r="S1815" s="187"/>
      <c r="T1815" s="187"/>
      <c r="U1815" s="187"/>
      <c r="V1815" s="187"/>
      <c r="W1815" s="187"/>
      <c r="X1815" s="187"/>
      <c r="Y1815" s="187"/>
      <c r="Z1815" s="187"/>
      <c r="AA1815" s="187"/>
      <c r="AB1815" s="187"/>
      <c r="AC1815" s="187"/>
      <c r="AD1815" s="187"/>
      <c r="AE1815" s="187"/>
      <c r="AF1815" s="187"/>
      <c r="AG1815" s="187"/>
      <c r="AH1815" s="187"/>
      <c r="AI1815" s="187"/>
      <c r="AJ1815" s="187"/>
      <c r="AK1815" s="187"/>
      <c r="AL1815" s="187"/>
    </row>
    <row r="1816" spans="2:38" ht="12.75" customHeight="1">
      <c r="B1816" s="485"/>
      <c r="C1816" s="20"/>
      <c r="D1816" s="12"/>
      <c r="E1816" s="12"/>
      <c r="F1816" s="12"/>
      <c r="G1816" s="12"/>
      <c r="H1816" s="20"/>
      <c r="I1816" s="187"/>
      <c r="J1816" s="187"/>
      <c r="K1816" s="187"/>
      <c r="L1816" s="187"/>
      <c r="M1816" s="187"/>
      <c r="N1816" s="187"/>
      <c r="O1816" s="187"/>
      <c r="P1816" s="187"/>
      <c r="Q1816" s="187"/>
      <c r="R1816" s="187"/>
      <c r="S1816" s="187"/>
      <c r="T1816" s="187"/>
      <c r="U1816" s="187"/>
      <c r="V1816" s="187"/>
      <c r="W1816" s="187"/>
      <c r="X1816" s="187"/>
      <c r="Y1816" s="187"/>
      <c r="Z1816" s="187"/>
      <c r="AA1816" s="187"/>
      <c r="AB1816" s="187"/>
      <c r="AC1816" s="187"/>
      <c r="AD1816" s="187"/>
      <c r="AE1816" s="187"/>
      <c r="AF1816" s="187"/>
      <c r="AG1816" s="187"/>
      <c r="AH1816" s="187"/>
      <c r="AI1816" s="187"/>
      <c r="AJ1816" s="187"/>
      <c r="AK1816" s="187"/>
      <c r="AL1816" s="187"/>
    </row>
    <row r="1817" spans="2:38" ht="12.75" customHeight="1">
      <c r="B1817" s="485"/>
      <c r="C1817" s="20"/>
      <c r="D1817" s="12"/>
      <c r="E1817" s="12"/>
      <c r="F1817" s="12"/>
      <c r="G1817" s="12"/>
      <c r="H1817" s="20"/>
      <c r="I1817" s="187"/>
      <c r="J1817" s="187"/>
      <c r="K1817" s="187"/>
      <c r="L1817" s="187"/>
      <c r="M1817" s="187"/>
      <c r="N1817" s="187"/>
      <c r="O1817" s="187"/>
      <c r="P1817" s="187"/>
      <c r="Q1817" s="187"/>
      <c r="R1817" s="187"/>
      <c r="S1817" s="187"/>
      <c r="T1817" s="187"/>
      <c r="U1817" s="187"/>
      <c r="V1817" s="187"/>
      <c r="W1817" s="187"/>
      <c r="X1817" s="187"/>
      <c r="Y1817" s="187"/>
      <c r="Z1817" s="187"/>
      <c r="AA1817" s="187"/>
      <c r="AB1817" s="187"/>
      <c r="AC1817" s="187"/>
      <c r="AD1817" s="187"/>
      <c r="AE1817" s="187"/>
      <c r="AF1817" s="187"/>
      <c r="AG1817" s="187"/>
      <c r="AH1817" s="187"/>
      <c r="AI1817" s="187"/>
      <c r="AJ1817" s="187"/>
      <c r="AK1817" s="187"/>
      <c r="AL1817" s="187"/>
    </row>
    <row r="1818" spans="2:38" ht="12.75" customHeight="1">
      <c r="B1818" s="485"/>
      <c r="C1818" s="20"/>
      <c r="D1818" s="12"/>
      <c r="E1818" s="12"/>
      <c r="F1818" s="12"/>
      <c r="G1818" s="12"/>
      <c r="H1818" s="20"/>
      <c r="I1818" s="187"/>
      <c r="J1818" s="187"/>
      <c r="K1818" s="187"/>
      <c r="L1818" s="187"/>
      <c r="M1818" s="187"/>
      <c r="N1818" s="187"/>
      <c r="O1818" s="187"/>
      <c r="P1818" s="187"/>
      <c r="Q1818" s="187"/>
      <c r="R1818" s="187"/>
      <c r="S1818" s="187"/>
      <c r="T1818" s="187"/>
      <c r="U1818" s="187"/>
      <c r="V1818" s="187"/>
      <c r="W1818" s="187"/>
      <c r="X1818" s="187"/>
      <c r="Y1818" s="187"/>
      <c r="Z1818" s="187"/>
      <c r="AA1818" s="187"/>
      <c r="AB1818" s="187"/>
      <c r="AC1818" s="187"/>
      <c r="AD1818" s="187"/>
      <c r="AE1818" s="187"/>
      <c r="AF1818" s="187"/>
      <c r="AG1818" s="187"/>
      <c r="AH1818" s="187"/>
      <c r="AI1818" s="187"/>
      <c r="AJ1818" s="187"/>
      <c r="AK1818" s="187"/>
      <c r="AL1818" s="187"/>
    </row>
    <row r="1819" spans="2:38" ht="12.75" customHeight="1">
      <c r="B1819" s="485"/>
      <c r="C1819" s="20"/>
      <c r="D1819" s="12"/>
      <c r="E1819" s="12"/>
      <c r="F1819" s="12"/>
      <c r="G1819" s="12"/>
      <c r="H1819" s="20"/>
      <c r="I1819" s="187"/>
      <c r="J1819" s="187"/>
      <c r="K1819" s="187"/>
      <c r="L1819" s="187"/>
      <c r="M1819" s="187"/>
      <c r="N1819" s="187"/>
      <c r="O1819" s="187"/>
      <c r="P1819" s="187"/>
      <c r="Q1819" s="187"/>
      <c r="R1819" s="187"/>
      <c r="S1819" s="187"/>
      <c r="T1819" s="187"/>
      <c r="U1819" s="187"/>
      <c r="V1819" s="187"/>
      <c r="W1819" s="187"/>
      <c r="X1819" s="187"/>
      <c r="Y1819" s="187"/>
      <c r="Z1819" s="187"/>
      <c r="AA1819" s="187"/>
      <c r="AB1819" s="187"/>
      <c r="AC1819" s="187"/>
      <c r="AD1819" s="187"/>
      <c r="AE1819" s="187"/>
      <c r="AF1819" s="187"/>
      <c r="AG1819" s="187"/>
      <c r="AH1819" s="187"/>
      <c r="AI1819" s="187"/>
      <c r="AJ1819" s="187"/>
      <c r="AK1819" s="187"/>
      <c r="AL1819" s="187"/>
    </row>
    <row r="1820" spans="2:38" ht="12.75" customHeight="1">
      <c r="B1820" s="485"/>
      <c r="C1820" s="20"/>
      <c r="D1820" s="12"/>
      <c r="E1820" s="12"/>
      <c r="F1820" s="12"/>
      <c r="G1820" s="12"/>
      <c r="H1820" s="20"/>
      <c r="I1820" s="187"/>
      <c r="J1820" s="187"/>
      <c r="K1820" s="187"/>
      <c r="L1820" s="187"/>
      <c r="M1820" s="187"/>
      <c r="N1820" s="187"/>
      <c r="O1820" s="187"/>
      <c r="P1820" s="187"/>
      <c r="Q1820" s="187"/>
      <c r="R1820" s="187"/>
      <c r="S1820" s="187"/>
      <c r="T1820" s="187"/>
      <c r="U1820" s="187"/>
      <c r="V1820" s="187"/>
      <c r="W1820" s="187"/>
      <c r="X1820" s="187"/>
      <c r="Y1820" s="187"/>
      <c r="Z1820" s="187"/>
      <c r="AA1820" s="187"/>
      <c r="AB1820" s="187"/>
      <c r="AC1820" s="187"/>
      <c r="AD1820" s="187"/>
      <c r="AE1820" s="187"/>
      <c r="AF1820" s="187"/>
      <c r="AG1820" s="187"/>
      <c r="AH1820" s="187"/>
      <c r="AI1820" s="187"/>
      <c r="AJ1820" s="187"/>
      <c r="AK1820" s="187"/>
      <c r="AL1820" s="187"/>
    </row>
    <row r="1821" spans="2:38" ht="12.75" customHeight="1">
      <c r="B1821" s="485"/>
      <c r="C1821" s="20"/>
      <c r="D1821" s="12"/>
      <c r="E1821" s="12"/>
      <c r="F1821" s="12"/>
      <c r="G1821" s="12"/>
      <c r="H1821" s="20"/>
      <c r="I1821" s="187"/>
      <c r="J1821" s="187"/>
      <c r="K1821" s="187"/>
      <c r="L1821" s="187"/>
      <c r="M1821" s="187"/>
      <c r="N1821" s="187"/>
      <c r="O1821" s="187"/>
      <c r="P1821" s="187"/>
      <c r="Q1821" s="187"/>
      <c r="R1821" s="187"/>
      <c r="S1821" s="187"/>
      <c r="T1821" s="187"/>
      <c r="U1821" s="187"/>
      <c r="V1821" s="187"/>
      <c r="W1821" s="187"/>
      <c r="X1821" s="187"/>
      <c r="Y1821" s="187"/>
      <c r="Z1821" s="187"/>
      <c r="AA1821" s="187"/>
      <c r="AB1821" s="187"/>
      <c r="AC1821" s="187"/>
      <c r="AD1821" s="187"/>
      <c r="AE1821" s="187"/>
      <c r="AF1821" s="187"/>
      <c r="AG1821" s="187"/>
      <c r="AH1821" s="187"/>
      <c r="AI1821" s="187"/>
      <c r="AJ1821" s="187"/>
      <c r="AK1821" s="187"/>
      <c r="AL1821" s="187"/>
    </row>
    <row r="1822" spans="2:38" ht="12.75" customHeight="1">
      <c r="B1822" s="485"/>
      <c r="C1822" s="20"/>
      <c r="D1822" s="12"/>
      <c r="E1822" s="12"/>
      <c r="F1822" s="12"/>
      <c r="G1822" s="12"/>
      <c r="H1822" s="20"/>
      <c r="I1822" s="187"/>
      <c r="J1822" s="187"/>
      <c r="K1822" s="187"/>
      <c r="L1822" s="187"/>
      <c r="M1822" s="187"/>
      <c r="N1822" s="187"/>
      <c r="O1822" s="187"/>
      <c r="P1822" s="187"/>
      <c r="Q1822" s="187"/>
      <c r="R1822" s="187"/>
      <c r="S1822" s="187"/>
      <c r="T1822" s="187"/>
      <c r="U1822" s="187"/>
      <c r="V1822" s="187"/>
      <c r="W1822" s="187"/>
      <c r="X1822" s="187"/>
      <c r="Y1822" s="187"/>
      <c r="Z1822" s="187"/>
      <c r="AA1822" s="187"/>
      <c r="AB1822" s="187"/>
      <c r="AC1822" s="187"/>
      <c r="AD1822" s="187"/>
      <c r="AE1822" s="187"/>
      <c r="AF1822" s="187"/>
      <c r="AG1822" s="187"/>
      <c r="AH1822" s="187"/>
      <c r="AI1822" s="187"/>
      <c r="AJ1822" s="187"/>
      <c r="AK1822" s="187"/>
      <c r="AL1822" s="187"/>
    </row>
    <row r="1823" spans="2:38" ht="12.75" customHeight="1">
      <c r="B1823" s="485"/>
      <c r="C1823" s="20"/>
      <c r="D1823" s="12"/>
      <c r="E1823" s="12"/>
      <c r="F1823" s="12"/>
      <c r="G1823" s="12"/>
      <c r="H1823" s="20"/>
      <c r="I1823" s="187"/>
      <c r="J1823" s="187"/>
      <c r="K1823" s="187"/>
      <c r="L1823" s="187"/>
      <c r="M1823" s="187"/>
      <c r="N1823" s="187"/>
      <c r="O1823" s="187"/>
      <c r="P1823" s="187"/>
      <c r="Q1823" s="187"/>
      <c r="R1823" s="187"/>
      <c r="S1823" s="187"/>
      <c r="T1823" s="187"/>
      <c r="U1823" s="187"/>
      <c r="V1823" s="187"/>
      <c r="W1823" s="187"/>
      <c r="X1823" s="187"/>
      <c r="Y1823" s="187"/>
      <c r="Z1823" s="187"/>
      <c r="AA1823" s="187"/>
      <c r="AB1823" s="187"/>
      <c r="AC1823" s="187"/>
      <c r="AD1823" s="187"/>
      <c r="AE1823" s="187"/>
      <c r="AF1823" s="187"/>
      <c r="AG1823" s="187"/>
      <c r="AH1823" s="187"/>
      <c r="AI1823" s="187"/>
      <c r="AJ1823" s="187"/>
      <c r="AK1823" s="187"/>
      <c r="AL1823" s="187"/>
    </row>
    <row r="1824" spans="2:38" ht="12.75" customHeight="1">
      <c r="B1824" s="485"/>
      <c r="C1824" s="20"/>
      <c r="D1824" s="12"/>
      <c r="E1824" s="12"/>
      <c r="F1824" s="12"/>
      <c r="G1824" s="12"/>
      <c r="H1824" s="20"/>
      <c r="I1824" s="187"/>
      <c r="J1824" s="187"/>
      <c r="K1824" s="187"/>
      <c r="L1824" s="187"/>
      <c r="M1824" s="187"/>
      <c r="N1824" s="187"/>
      <c r="O1824" s="187"/>
      <c r="P1824" s="187"/>
      <c r="Q1824" s="187"/>
      <c r="R1824" s="187"/>
      <c r="S1824" s="187"/>
      <c r="T1824" s="187"/>
      <c r="U1824" s="187"/>
      <c r="V1824" s="187"/>
      <c r="W1824" s="187"/>
      <c r="X1824" s="187"/>
      <c r="Y1824" s="187"/>
      <c r="Z1824" s="187"/>
      <c r="AA1824" s="187"/>
      <c r="AB1824" s="187"/>
      <c r="AC1824" s="187"/>
      <c r="AD1824" s="187"/>
      <c r="AE1824" s="187"/>
      <c r="AF1824" s="187"/>
      <c r="AG1824" s="187"/>
      <c r="AH1824" s="187"/>
      <c r="AI1824" s="187"/>
      <c r="AJ1824" s="187"/>
      <c r="AK1824" s="187"/>
      <c r="AL1824" s="187"/>
    </row>
    <row r="1825" spans="2:38" ht="12.75" customHeight="1">
      <c r="B1825" s="485"/>
      <c r="C1825" s="20"/>
      <c r="D1825" s="12"/>
      <c r="E1825" s="12"/>
      <c r="F1825" s="12"/>
      <c r="G1825" s="12"/>
      <c r="H1825" s="20"/>
      <c r="I1825" s="187"/>
      <c r="J1825" s="187"/>
      <c r="K1825" s="187"/>
      <c r="L1825" s="187"/>
      <c r="M1825" s="187"/>
      <c r="N1825" s="187"/>
      <c r="O1825" s="187"/>
      <c r="P1825" s="187"/>
      <c r="Q1825" s="187"/>
      <c r="R1825" s="187"/>
      <c r="S1825" s="187"/>
      <c r="T1825" s="187"/>
      <c r="U1825" s="187"/>
      <c r="V1825" s="187"/>
      <c r="W1825" s="187"/>
      <c r="X1825" s="187"/>
      <c r="Y1825" s="187"/>
      <c r="Z1825" s="187"/>
      <c r="AA1825" s="187"/>
      <c r="AB1825" s="187"/>
      <c r="AC1825" s="187"/>
      <c r="AD1825" s="187"/>
      <c r="AE1825" s="187"/>
      <c r="AF1825" s="187"/>
      <c r="AG1825" s="187"/>
      <c r="AH1825" s="187"/>
      <c r="AI1825" s="187"/>
      <c r="AJ1825" s="187"/>
      <c r="AK1825" s="187"/>
      <c r="AL1825" s="187"/>
    </row>
    <row r="1826" spans="2:38" ht="12.75" customHeight="1">
      <c r="B1826" s="485"/>
      <c r="C1826" s="20"/>
      <c r="D1826" s="12"/>
      <c r="E1826" s="12"/>
      <c r="F1826" s="12"/>
      <c r="G1826" s="12"/>
      <c r="H1826" s="20"/>
      <c r="I1826" s="187"/>
      <c r="J1826" s="187"/>
      <c r="K1826" s="187"/>
      <c r="L1826" s="187"/>
      <c r="M1826" s="187"/>
      <c r="N1826" s="187"/>
      <c r="O1826" s="187"/>
      <c r="P1826" s="187"/>
      <c r="Q1826" s="187"/>
      <c r="R1826" s="187"/>
      <c r="S1826" s="187"/>
      <c r="T1826" s="187"/>
      <c r="U1826" s="187"/>
      <c r="V1826" s="187"/>
      <c r="W1826" s="187"/>
      <c r="X1826" s="187"/>
      <c r="Y1826" s="187"/>
      <c r="Z1826" s="187"/>
      <c r="AA1826" s="187"/>
      <c r="AB1826" s="187"/>
      <c r="AC1826" s="187"/>
      <c r="AD1826" s="187"/>
      <c r="AE1826" s="187"/>
      <c r="AF1826" s="187"/>
      <c r="AG1826" s="187"/>
      <c r="AH1826" s="187"/>
      <c r="AI1826" s="187"/>
      <c r="AJ1826" s="187"/>
      <c r="AK1826" s="187"/>
      <c r="AL1826" s="187"/>
    </row>
    <row r="1827" spans="2:38" ht="12.75" customHeight="1">
      <c r="B1827" s="485"/>
      <c r="C1827" s="20"/>
      <c r="D1827" s="12"/>
      <c r="E1827" s="12"/>
      <c r="F1827" s="12"/>
      <c r="G1827" s="12"/>
      <c r="H1827" s="20"/>
      <c r="I1827" s="187"/>
      <c r="J1827" s="187"/>
      <c r="K1827" s="187"/>
      <c r="L1827" s="187"/>
      <c r="M1827" s="187"/>
      <c r="N1827" s="187"/>
      <c r="O1827" s="187"/>
      <c r="P1827" s="187"/>
      <c r="Q1827" s="187"/>
      <c r="R1827" s="187"/>
      <c r="S1827" s="187"/>
      <c r="T1827" s="187"/>
      <c r="U1827" s="187"/>
      <c r="V1827" s="187"/>
      <c r="W1827" s="187"/>
      <c r="X1827" s="187"/>
      <c r="Y1827" s="187"/>
      <c r="Z1827" s="187"/>
      <c r="AA1827" s="187"/>
      <c r="AB1827" s="187"/>
      <c r="AC1827" s="187"/>
      <c r="AD1827" s="187"/>
      <c r="AE1827" s="187"/>
      <c r="AF1827" s="187"/>
      <c r="AG1827" s="187"/>
      <c r="AH1827" s="187"/>
      <c r="AI1827" s="187"/>
      <c r="AJ1827" s="187"/>
      <c r="AK1827" s="187"/>
      <c r="AL1827" s="187"/>
    </row>
    <row r="1828" spans="2:38" ht="12.75" customHeight="1">
      <c r="B1828" s="485"/>
      <c r="C1828" s="20"/>
      <c r="D1828" s="12"/>
      <c r="E1828" s="12"/>
      <c r="F1828" s="12"/>
      <c r="G1828" s="12"/>
      <c r="H1828" s="20"/>
      <c r="I1828" s="187"/>
      <c r="J1828" s="187"/>
      <c r="K1828" s="187"/>
      <c r="L1828" s="187"/>
      <c r="M1828" s="187"/>
      <c r="N1828" s="187"/>
      <c r="O1828" s="187"/>
      <c r="P1828" s="187"/>
      <c r="Q1828" s="187"/>
      <c r="R1828" s="187"/>
      <c r="S1828" s="187"/>
      <c r="T1828" s="187"/>
      <c r="U1828" s="187"/>
      <c r="V1828" s="187"/>
      <c r="W1828" s="187"/>
      <c r="X1828" s="187"/>
      <c r="Y1828" s="187"/>
      <c r="Z1828" s="187"/>
      <c r="AA1828" s="187"/>
      <c r="AB1828" s="187"/>
      <c r="AC1828" s="187"/>
      <c r="AD1828" s="187"/>
      <c r="AE1828" s="187"/>
      <c r="AF1828" s="187"/>
      <c r="AG1828" s="187"/>
      <c r="AH1828" s="187"/>
      <c r="AI1828" s="187"/>
      <c r="AJ1828" s="187"/>
      <c r="AK1828" s="187"/>
      <c r="AL1828" s="187"/>
    </row>
    <row r="1829" spans="2:38" ht="12.75" customHeight="1">
      <c r="B1829" s="485"/>
      <c r="C1829" s="20"/>
      <c r="D1829" s="12"/>
      <c r="E1829" s="12"/>
      <c r="F1829" s="12"/>
      <c r="G1829" s="12"/>
      <c r="H1829" s="20"/>
      <c r="I1829" s="187"/>
      <c r="J1829" s="187"/>
      <c r="K1829" s="187"/>
      <c r="L1829" s="187"/>
      <c r="M1829" s="187"/>
      <c r="N1829" s="187"/>
      <c r="O1829" s="187"/>
      <c r="P1829" s="187"/>
      <c r="Q1829" s="187"/>
      <c r="R1829" s="187"/>
      <c r="S1829" s="187"/>
      <c r="T1829" s="187"/>
      <c r="U1829" s="187"/>
      <c r="V1829" s="187"/>
      <c r="W1829" s="187"/>
      <c r="X1829" s="187"/>
      <c r="Y1829" s="187"/>
      <c r="Z1829" s="187"/>
      <c r="AA1829" s="187"/>
      <c r="AB1829" s="187"/>
      <c r="AC1829" s="187"/>
      <c r="AD1829" s="187"/>
      <c r="AE1829" s="187"/>
      <c r="AF1829" s="187"/>
      <c r="AG1829" s="187"/>
      <c r="AH1829" s="187"/>
      <c r="AI1829" s="187"/>
      <c r="AJ1829" s="187"/>
      <c r="AK1829" s="187"/>
      <c r="AL1829" s="187"/>
    </row>
    <row r="1830" spans="2:38" ht="12.75" customHeight="1">
      <c r="B1830" s="485"/>
      <c r="C1830" s="20"/>
      <c r="D1830" s="12"/>
      <c r="E1830" s="12"/>
      <c r="F1830" s="12"/>
      <c r="G1830" s="12"/>
      <c r="H1830" s="20"/>
      <c r="I1830" s="187"/>
      <c r="J1830" s="187"/>
      <c r="K1830" s="187"/>
      <c r="L1830" s="187"/>
      <c r="M1830" s="187"/>
      <c r="N1830" s="187"/>
      <c r="O1830" s="187"/>
      <c r="P1830" s="187"/>
      <c r="Q1830" s="187"/>
      <c r="R1830" s="187"/>
      <c r="S1830" s="187"/>
      <c r="T1830" s="187"/>
      <c r="U1830" s="187"/>
      <c r="V1830" s="187"/>
      <c r="W1830" s="187"/>
      <c r="X1830" s="187"/>
      <c r="Y1830" s="187"/>
      <c r="Z1830" s="187"/>
      <c r="AA1830" s="187"/>
      <c r="AB1830" s="187"/>
      <c r="AC1830" s="187"/>
      <c r="AD1830" s="187"/>
      <c r="AE1830" s="187"/>
      <c r="AF1830" s="187"/>
      <c r="AG1830" s="187"/>
      <c r="AH1830" s="187"/>
      <c r="AI1830" s="187"/>
      <c r="AJ1830" s="187"/>
      <c r="AK1830" s="187"/>
      <c r="AL1830" s="187"/>
    </row>
    <row r="1831" spans="2:38" ht="12.75" customHeight="1">
      <c r="B1831" s="485"/>
      <c r="C1831" s="20"/>
      <c r="D1831" s="12"/>
      <c r="E1831" s="12"/>
      <c r="F1831" s="12"/>
      <c r="G1831" s="12"/>
      <c r="H1831" s="20"/>
      <c r="I1831" s="187"/>
      <c r="J1831" s="187"/>
      <c r="K1831" s="187"/>
      <c r="L1831" s="187"/>
      <c r="M1831" s="187"/>
      <c r="N1831" s="187"/>
      <c r="O1831" s="187"/>
      <c r="P1831" s="187"/>
      <c r="Q1831" s="187"/>
      <c r="R1831" s="187"/>
      <c r="S1831" s="187"/>
      <c r="T1831" s="187"/>
      <c r="U1831" s="187"/>
      <c r="V1831" s="187"/>
      <c r="W1831" s="187"/>
      <c r="X1831" s="187"/>
      <c r="Y1831" s="187"/>
      <c r="Z1831" s="187"/>
      <c r="AA1831" s="187"/>
      <c r="AB1831" s="187"/>
      <c r="AC1831" s="187"/>
      <c r="AD1831" s="187"/>
      <c r="AE1831" s="187"/>
      <c r="AF1831" s="187"/>
      <c r="AG1831" s="187"/>
      <c r="AH1831" s="187"/>
      <c r="AI1831" s="187"/>
      <c r="AJ1831" s="187"/>
      <c r="AK1831" s="187"/>
      <c r="AL1831" s="187"/>
    </row>
    <row r="1832" spans="2:38" ht="12.75" customHeight="1">
      <c r="B1832" s="485"/>
      <c r="C1832" s="20"/>
      <c r="D1832" s="12"/>
      <c r="E1832" s="12"/>
      <c r="F1832" s="12"/>
      <c r="G1832" s="12"/>
      <c r="H1832" s="20"/>
      <c r="I1832" s="187"/>
      <c r="J1832" s="187"/>
      <c r="K1832" s="187"/>
      <c r="L1832" s="187"/>
      <c r="M1832" s="187"/>
      <c r="N1832" s="187"/>
      <c r="O1832" s="187"/>
      <c r="P1832" s="187"/>
      <c r="Q1832" s="187"/>
      <c r="R1832" s="187"/>
      <c r="S1832" s="187"/>
      <c r="T1832" s="187"/>
      <c r="U1832" s="187"/>
      <c r="V1832" s="187"/>
      <c r="W1832" s="187"/>
      <c r="X1832" s="187"/>
      <c r="Y1832" s="187"/>
      <c r="Z1832" s="187"/>
      <c r="AA1832" s="187"/>
      <c r="AB1832" s="187"/>
      <c r="AC1832" s="187"/>
      <c r="AD1832" s="187"/>
      <c r="AE1832" s="187"/>
      <c r="AF1832" s="187"/>
      <c r="AG1832" s="187"/>
      <c r="AH1832" s="187"/>
      <c r="AI1832" s="187"/>
      <c r="AJ1832" s="187"/>
      <c r="AK1832" s="187"/>
      <c r="AL1832" s="187"/>
    </row>
    <row r="1833" spans="2:38" ht="12.75" customHeight="1">
      <c r="B1833" s="485"/>
      <c r="C1833" s="20"/>
      <c r="D1833" s="12"/>
      <c r="E1833" s="12"/>
      <c r="F1833" s="12"/>
      <c r="G1833" s="12"/>
      <c r="H1833" s="20"/>
      <c r="I1833" s="187"/>
      <c r="J1833" s="187"/>
      <c r="K1833" s="187"/>
      <c r="L1833" s="187"/>
      <c r="M1833" s="187"/>
      <c r="N1833" s="187"/>
      <c r="O1833" s="187"/>
      <c r="P1833" s="187"/>
      <c r="Q1833" s="187"/>
      <c r="R1833" s="187"/>
      <c r="S1833" s="187"/>
      <c r="T1833" s="187"/>
      <c r="U1833" s="187"/>
      <c r="V1833" s="187"/>
      <c r="W1833" s="187"/>
      <c r="X1833" s="187"/>
      <c r="Y1833" s="187"/>
      <c r="Z1833" s="187"/>
      <c r="AA1833" s="187"/>
      <c r="AB1833" s="187"/>
      <c r="AC1833" s="187"/>
      <c r="AD1833" s="187"/>
      <c r="AE1833" s="187"/>
      <c r="AF1833" s="187"/>
      <c r="AG1833" s="187"/>
      <c r="AH1833" s="187"/>
      <c r="AI1833" s="187"/>
      <c r="AJ1833" s="187"/>
      <c r="AK1833" s="187"/>
      <c r="AL1833" s="187"/>
    </row>
    <row r="1834" spans="2:38" ht="12.75" customHeight="1">
      <c r="B1834" s="485"/>
      <c r="C1834" s="20"/>
      <c r="D1834" s="12"/>
      <c r="E1834" s="12"/>
      <c r="F1834" s="12"/>
      <c r="G1834" s="12"/>
      <c r="H1834" s="20"/>
      <c r="I1834" s="187"/>
      <c r="J1834" s="187"/>
      <c r="K1834" s="187"/>
      <c r="L1834" s="187"/>
      <c r="M1834" s="187"/>
      <c r="N1834" s="187"/>
      <c r="O1834" s="187"/>
      <c r="P1834" s="187"/>
      <c r="Q1834" s="187"/>
      <c r="R1834" s="187"/>
      <c r="S1834" s="187"/>
      <c r="T1834" s="187"/>
      <c r="U1834" s="187"/>
      <c r="V1834" s="187"/>
      <c r="W1834" s="187"/>
      <c r="X1834" s="187"/>
      <c r="Y1834" s="187"/>
      <c r="Z1834" s="187"/>
      <c r="AA1834" s="187"/>
      <c r="AB1834" s="187"/>
      <c r="AC1834" s="187"/>
      <c r="AD1834" s="187"/>
      <c r="AE1834" s="187"/>
      <c r="AF1834" s="187"/>
      <c r="AG1834" s="187"/>
      <c r="AH1834" s="187"/>
      <c r="AI1834" s="187"/>
      <c r="AJ1834" s="187"/>
      <c r="AK1834" s="187"/>
      <c r="AL1834" s="187"/>
    </row>
    <row r="1835" spans="2:38" ht="12.75" customHeight="1">
      <c r="B1835" s="485"/>
      <c r="C1835" s="20"/>
      <c r="D1835" s="12"/>
      <c r="E1835" s="12"/>
      <c r="F1835" s="12"/>
      <c r="G1835" s="12"/>
      <c r="H1835" s="20"/>
      <c r="I1835" s="187"/>
      <c r="J1835" s="187"/>
      <c r="K1835" s="187"/>
      <c r="L1835" s="187"/>
      <c r="M1835" s="187"/>
      <c r="N1835" s="187"/>
      <c r="O1835" s="187"/>
      <c r="P1835" s="187"/>
      <c r="Q1835" s="187"/>
      <c r="R1835" s="187"/>
      <c r="S1835" s="187"/>
      <c r="T1835" s="187"/>
      <c r="U1835" s="187"/>
      <c r="V1835" s="187"/>
      <c r="W1835" s="187"/>
      <c r="X1835" s="187"/>
      <c r="Y1835" s="187"/>
      <c r="Z1835" s="187"/>
      <c r="AA1835" s="187"/>
      <c r="AB1835" s="187"/>
      <c r="AC1835" s="187"/>
      <c r="AD1835" s="187"/>
      <c r="AE1835" s="187"/>
      <c r="AF1835" s="187"/>
      <c r="AG1835" s="187"/>
      <c r="AH1835" s="187"/>
      <c r="AI1835" s="187"/>
      <c r="AJ1835" s="187"/>
      <c r="AK1835" s="187"/>
      <c r="AL1835" s="187"/>
    </row>
    <row r="1836" spans="2:38" ht="12.75" customHeight="1">
      <c r="B1836" s="485"/>
      <c r="C1836" s="20"/>
      <c r="D1836" s="12"/>
      <c r="E1836" s="12"/>
      <c r="F1836" s="12"/>
      <c r="G1836" s="12"/>
      <c r="H1836" s="20"/>
      <c r="I1836" s="187"/>
      <c r="J1836" s="187"/>
      <c r="K1836" s="187"/>
      <c r="L1836" s="187"/>
      <c r="M1836" s="187"/>
      <c r="N1836" s="187"/>
      <c r="O1836" s="187"/>
      <c r="P1836" s="187"/>
      <c r="Q1836" s="187"/>
      <c r="R1836" s="187"/>
      <c r="S1836" s="187"/>
      <c r="T1836" s="187"/>
      <c r="U1836" s="187"/>
      <c r="V1836" s="187"/>
      <c r="W1836" s="187"/>
      <c r="X1836" s="187"/>
      <c r="Y1836" s="187"/>
      <c r="Z1836" s="187"/>
      <c r="AA1836" s="187"/>
      <c r="AB1836" s="187"/>
      <c r="AC1836" s="187"/>
      <c r="AD1836" s="187"/>
      <c r="AE1836" s="187"/>
      <c r="AF1836" s="187"/>
      <c r="AG1836" s="187"/>
      <c r="AH1836" s="187"/>
      <c r="AI1836" s="187"/>
      <c r="AJ1836" s="187"/>
      <c r="AK1836" s="187"/>
      <c r="AL1836" s="187"/>
    </row>
    <row r="1837" spans="2:38" ht="12.75" customHeight="1">
      <c r="B1837" s="485"/>
      <c r="C1837" s="20"/>
      <c r="D1837" s="12"/>
      <c r="E1837" s="12"/>
      <c r="F1837" s="12"/>
      <c r="G1837" s="12"/>
      <c r="H1837" s="20"/>
      <c r="I1837" s="187"/>
      <c r="J1837" s="187"/>
      <c r="K1837" s="187"/>
      <c r="L1837" s="187"/>
      <c r="M1837" s="187"/>
      <c r="N1837" s="187"/>
      <c r="O1837" s="187"/>
      <c r="P1837" s="187"/>
      <c r="Q1837" s="187"/>
      <c r="R1837" s="187"/>
      <c r="S1837" s="187"/>
      <c r="T1837" s="187"/>
      <c r="U1837" s="187"/>
      <c r="V1837" s="187"/>
      <c r="W1837" s="187"/>
      <c r="X1837" s="187"/>
      <c r="Y1837" s="187"/>
      <c r="Z1837" s="187"/>
      <c r="AA1837" s="187"/>
      <c r="AB1837" s="187"/>
      <c r="AC1837" s="187"/>
      <c r="AD1837" s="187"/>
      <c r="AE1837" s="187"/>
      <c r="AF1837" s="187"/>
      <c r="AG1837" s="187"/>
      <c r="AH1837" s="187"/>
      <c r="AI1837" s="187"/>
      <c r="AJ1837" s="187"/>
      <c r="AK1837" s="187"/>
      <c r="AL1837" s="187"/>
    </row>
    <row r="1838" spans="2:38" ht="12.75" customHeight="1">
      <c r="B1838" s="485"/>
      <c r="C1838" s="20"/>
      <c r="D1838" s="12"/>
      <c r="E1838" s="12"/>
      <c r="F1838" s="12"/>
      <c r="G1838" s="12"/>
      <c r="H1838" s="20"/>
      <c r="I1838" s="187"/>
      <c r="J1838" s="187"/>
      <c r="K1838" s="187"/>
      <c r="L1838" s="187"/>
      <c r="M1838" s="187"/>
      <c r="N1838" s="187"/>
      <c r="O1838" s="187"/>
      <c r="P1838" s="187"/>
      <c r="Q1838" s="187"/>
      <c r="R1838" s="187"/>
      <c r="S1838" s="187"/>
      <c r="T1838" s="187"/>
      <c r="U1838" s="187"/>
      <c r="V1838" s="187"/>
      <c r="W1838" s="187"/>
      <c r="X1838" s="187"/>
      <c r="Y1838" s="187"/>
      <c r="Z1838" s="187"/>
      <c r="AA1838" s="187"/>
      <c r="AB1838" s="187"/>
      <c r="AC1838" s="187"/>
      <c r="AD1838" s="187"/>
      <c r="AE1838" s="187"/>
      <c r="AF1838" s="187"/>
      <c r="AG1838" s="187"/>
      <c r="AH1838" s="187"/>
      <c r="AI1838" s="187"/>
      <c r="AJ1838" s="187"/>
      <c r="AK1838" s="187"/>
      <c r="AL1838" s="187"/>
    </row>
    <row r="1839" spans="2:38" ht="12.75" customHeight="1">
      <c r="B1839" s="485"/>
      <c r="C1839" s="20"/>
      <c r="D1839" s="12"/>
      <c r="E1839" s="12"/>
      <c r="F1839" s="12"/>
      <c r="G1839" s="12"/>
      <c r="H1839" s="20"/>
      <c r="I1839" s="187"/>
      <c r="J1839" s="187"/>
      <c r="K1839" s="187"/>
      <c r="L1839" s="187"/>
      <c r="M1839" s="187"/>
      <c r="N1839" s="187"/>
      <c r="O1839" s="187"/>
      <c r="P1839" s="187"/>
      <c r="Q1839" s="187"/>
      <c r="R1839" s="187"/>
      <c r="S1839" s="187"/>
      <c r="T1839" s="187"/>
      <c r="U1839" s="187"/>
      <c r="V1839" s="187"/>
      <c r="W1839" s="187"/>
      <c r="X1839" s="187"/>
      <c r="Y1839" s="187"/>
      <c r="Z1839" s="187"/>
      <c r="AA1839" s="187"/>
      <c r="AB1839" s="187"/>
      <c r="AC1839" s="187"/>
      <c r="AD1839" s="187"/>
      <c r="AE1839" s="187"/>
      <c r="AF1839" s="187"/>
      <c r="AG1839" s="187"/>
      <c r="AH1839" s="187"/>
      <c r="AI1839" s="187"/>
      <c r="AJ1839" s="187"/>
      <c r="AK1839" s="187"/>
      <c r="AL1839" s="187"/>
    </row>
    <row r="1840" spans="2:38" ht="12.75" customHeight="1">
      <c r="B1840" s="485"/>
      <c r="C1840" s="20"/>
      <c r="D1840" s="12"/>
      <c r="E1840" s="12"/>
      <c r="F1840" s="12"/>
      <c r="G1840" s="12"/>
      <c r="H1840" s="20"/>
      <c r="I1840" s="187"/>
      <c r="J1840" s="187"/>
      <c r="K1840" s="187"/>
      <c r="L1840" s="187"/>
      <c r="M1840" s="187"/>
      <c r="N1840" s="187"/>
      <c r="O1840" s="187"/>
      <c r="P1840" s="187"/>
      <c r="Q1840" s="187"/>
      <c r="R1840" s="187"/>
      <c r="S1840" s="187"/>
      <c r="T1840" s="187"/>
      <c r="U1840" s="187"/>
      <c r="V1840" s="187"/>
      <c r="W1840" s="187"/>
      <c r="X1840" s="187"/>
      <c r="Y1840" s="187"/>
      <c r="Z1840" s="187"/>
      <c r="AA1840" s="187"/>
      <c r="AB1840" s="187"/>
      <c r="AC1840" s="187"/>
      <c r="AD1840" s="187"/>
      <c r="AE1840" s="187"/>
      <c r="AF1840" s="187"/>
      <c r="AG1840" s="187"/>
      <c r="AH1840" s="187"/>
      <c r="AI1840" s="187"/>
      <c r="AJ1840" s="187"/>
      <c r="AK1840" s="187"/>
      <c r="AL1840" s="187"/>
    </row>
    <row r="1841" spans="2:38" ht="12.75" customHeight="1">
      <c r="B1841" s="485"/>
      <c r="C1841" s="20"/>
      <c r="D1841" s="12"/>
      <c r="E1841" s="12"/>
      <c r="F1841" s="12"/>
      <c r="G1841" s="12"/>
      <c r="H1841" s="20"/>
      <c r="I1841" s="187"/>
      <c r="J1841" s="187"/>
      <c r="K1841" s="187"/>
      <c r="L1841" s="187"/>
      <c r="M1841" s="187"/>
      <c r="N1841" s="187"/>
      <c r="O1841" s="187"/>
      <c r="P1841" s="187"/>
      <c r="Q1841" s="187"/>
      <c r="R1841" s="187"/>
      <c r="S1841" s="187"/>
      <c r="T1841" s="187"/>
      <c r="U1841" s="187"/>
      <c r="V1841" s="187"/>
      <c r="W1841" s="187"/>
      <c r="X1841" s="187"/>
      <c r="Y1841" s="187"/>
      <c r="Z1841" s="187"/>
      <c r="AA1841" s="187"/>
      <c r="AB1841" s="187"/>
      <c r="AC1841" s="187"/>
      <c r="AD1841" s="187"/>
      <c r="AE1841" s="187"/>
      <c r="AF1841" s="187"/>
      <c r="AG1841" s="187"/>
      <c r="AH1841" s="187"/>
      <c r="AI1841" s="187"/>
      <c r="AJ1841" s="187"/>
      <c r="AK1841" s="187"/>
      <c r="AL1841" s="187"/>
    </row>
    <row r="1842" spans="2:38" ht="12.75" customHeight="1">
      <c r="B1842" s="485"/>
      <c r="C1842" s="20"/>
      <c r="D1842" s="12"/>
      <c r="E1842" s="12"/>
      <c r="F1842" s="12"/>
      <c r="G1842" s="12"/>
      <c r="H1842" s="20"/>
      <c r="I1842" s="187"/>
      <c r="J1842" s="187"/>
      <c r="K1842" s="187"/>
      <c r="L1842" s="187"/>
      <c r="M1842" s="187"/>
      <c r="N1842" s="187"/>
      <c r="O1842" s="187"/>
      <c r="P1842" s="187"/>
      <c r="Q1842" s="187"/>
      <c r="R1842" s="187"/>
      <c r="S1842" s="187"/>
      <c r="T1842" s="187"/>
      <c r="U1842" s="187"/>
      <c r="V1842" s="187"/>
      <c r="W1842" s="187"/>
      <c r="X1842" s="187"/>
      <c r="Y1842" s="187"/>
      <c r="Z1842" s="187"/>
      <c r="AA1842" s="187"/>
      <c r="AB1842" s="187"/>
      <c r="AC1842" s="187"/>
      <c r="AD1842" s="187"/>
      <c r="AE1842" s="187"/>
      <c r="AF1842" s="187"/>
      <c r="AG1842" s="187"/>
      <c r="AH1842" s="187"/>
      <c r="AI1842" s="187"/>
      <c r="AJ1842" s="187"/>
      <c r="AK1842" s="187"/>
      <c r="AL1842" s="187"/>
    </row>
    <row r="1843" spans="2:38" ht="12.75" customHeight="1">
      <c r="B1843" s="485"/>
      <c r="C1843" s="20"/>
      <c r="D1843" s="12"/>
      <c r="E1843" s="12"/>
      <c r="F1843" s="12"/>
      <c r="G1843" s="12"/>
      <c r="H1843" s="20"/>
      <c r="I1843" s="187"/>
      <c r="J1843" s="187"/>
      <c r="K1843" s="187"/>
      <c r="L1843" s="187"/>
      <c r="M1843" s="187"/>
      <c r="N1843" s="187"/>
      <c r="O1843" s="187"/>
      <c r="P1843" s="187"/>
      <c r="Q1843" s="187"/>
      <c r="R1843" s="187"/>
      <c r="S1843" s="187"/>
      <c r="T1843" s="187"/>
      <c r="U1843" s="187"/>
      <c r="V1843" s="187"/>
      <c r="W1843" s="187"/>
      <c r="X1843" s="187"/>
      <c r="Y1843" s="187"/>
      <c r="Z1843" s="187"/>
      <c r="AA1843" s="187"/>
      <c r="AB1843" s="187"/>
      <c r="AC1843" s="187"/>
      <c r="AD1843" s="187"/>
      <c r="AE1843" s="187"/>
      <c r="AF1843" s="187"/>
      <c r="AG1843" s="187"/>
      <c r="AH1843" s="187"/>
      <c r="AI1843" s="187"/>
      <c r="AJ1843" s="187"/>
      <c r="AK1843" s="187"/>
      <c r="AL1843" s="187"/>
    </row>
    <row r="1844" spans="2:38" ht="12.75" customHeight="1">
      <c r="B1844" s="485"/>
      <c r="C1844" s="20"/>
      <c r="D1844" s="12"/>
      <c r="E1844" s="12"/>
      <c r="F1844" s="12"/>
      <c r="G1844" s="12"/>
      <c r="H1844" s="20"/>
      <c r="I1844" s="187"/>
      <c r="J1844" s="187"/>
      <c r="K1844" s="187"/>
      <c r="L1844" s="187"/>
      <c r="M1844" s="187"/>
      <c r="N1844" s="187"/>
      <c r="O1844" s="187"/>
      <c r="P1844" s="187"/>
      <c r="Q1844" s="187"/>
      <c r="R1844" s="187"/>
      <c r="S1844" s="187"/>
      <c r="T1844" s="187"/>
      <c r="U1844" s="187"/>
      <c r="V1844" s="187"/>
      <c r="W1844" s="187"/>
      <c r="X1844" s="187"/>
      <c r="Y1844" s="187"/>
      <c r="Z1844" s="187"/>
      <c r="AA1844" s="187"/>
      <c r="AB1844" s="187"/>
      <c r="AC1844" s="187"/>
      <c r="AD1844" s="187"/>
      <c r="AE1844" s="187"/>
      <c r="AF1844" s="187"/>
      <c r="AG1844" s="187"/>
      <c r="AH1844" s="187"/>
      <c r="AI1844" s="187"/>
      <c r="AJ1844" s="187"/>
      <c r="AK1844" s="187"/>
      <c r="AL1844" s="187"/>
    </row>
    <row r="1845" spans="2:38" ht="12.75" customHeight="1">
      <c r="B1845" s="485"/>
      <c r="C1845" s="20"/>
      <c r="D1845" s="12"/>
      <c r="E1845" s="12"/>
      <c r="F1845" s="12"/>
      <c r="G1845" s="12"/>
      <c r="H1845" s="20"/>
      <c r="I1845" s="187"/>
      <c r="J1845" s="187"/>
      <c r="K1845" s="187"/>
      <c r="L1845" s="187"/>
      <c r="M1845" s="187"/>
      <c r="N1845" s="187"/>
      <c r="O1845" s="187"/>
      <c r="P1845" s="187"/>
      <c r="Q1845" s="187"/>
      <c r="R1845" s="187"/>
      <c r="S1845" s="187"/>
      <c r="T1845" s="187"/>
      <c r="U1845" s="187"/>
      <c r="V1845" s="187"/>
      <c r="W1845" s="187"/>
      <c r="X1845" s="187"/>
      <c r="Y1845" s="187"/>
      <c r="Z1845" s="187"/>
      <c r="AA1845" s="187"/>
      <c r="AB1845" s="187"/>
      <c r="AC1845" s="187"/>
      <c r="AD1845" s="187"/>
      <c r="AE1845" s="187"/>
      <c r="AF1845" s="187"/>
      <c r="AG1845" s="187"/>
      <c r="AH1845" s="187"/>
      <c r="AI1845" s="187"/>
      <c r="AJ1845" s="187"/>
      <c r="AK1845" s="187"/>
      <c r="AL1845" s="187"/>
    </row>
    <row r="1846" spans="2:38" ht="12.75" customHeight="1">
      <c r="B1846" s="485"/>
      <c r="C1846" s="20"/>
      <c r="D1846" s="12"/>
      <c r="E1846" s="12"/>
      <c r="F1846" s="12"/>
      <c r="G1846" s="12"/>
      <c r="H1846" s="20"/>
      <c r="I1846" s="187"/>
      <c r="J1846" s="187"/>
      <c r="K1846" s="187"/>
      <c r="L1846" s="187"/>
      <c r="M1846" s="187"/>
      <c r="N1846" s="187"/>
      <c r="O1846" s="187"/>
      <c r="P1846" s="187"/>
      <c r="Q1846" s="187"/>
      <c r="R1846" s="187"/>
      <c r="S1846" s="187"/>
      <c r="T1846" s="187"/>
      <c r="U1846" s="187"/>
      <c r="V1846" s="187"/>
      <c r="W1846" s="187"/>
      <c r="X1846" s="187"/>
      <c r="Y1846" s="187"/>
      <c r="Z1846" s="187"/>
      <c r="AA1846" s="187"/>
      <c r="AB1846" s="187"/>
      <c r="AC1846" s="187"/>
      <c r="AD1846" s="187"/>
      <c r="AE1846" s="187"/>
      <c r="AF1846" s="187"/>
      <c r="AG1846" s="187"/>
      <c r="AH1846" s="187"/>
      <c r="AI1846" s="187"/>
      <c r="AJ1846" s="187"/>
      <c r="AK1846" s="187"/>
      <c r="AL1846" s="187"/>
    </row>
    <row r="1847" spans="2:38" ht="12.75" customHeight="1">
      <c r="B1847" s="485"/>
      <c r="C1847" s="20"/>
      <c r="D1847" s="12"/>
      <c r="E1847" s="12"/>
      <c r="F1847" s="12"/>
      <c r="G1847" s="12"/>
      <c r="H1847" s="20"/>
      <c r="I1847" s="187"/>
      <c r="J1847" s="187"/>
      <c r="K1847" s="187"/>
      <c r="L1847" s="187"/>
      <c r="M1847" s="187"/>
      <c r="N1847" s="187"/>
      <c r="O1847" s="187"/>
      <c r="P1847" s="187"/>
      <c r="Q1847" s="187"/>
      <c r="R1847" s="187"/>
      <c r="S1847" s="187"/>
      <c r="T1847" s="187"/>
      <c r="U1847" s="187"/>
      <c r="V1847" s="187"/>
      <c r="W1847" s="187"/>
      <c r="X1847" s="187"/>
      <c r="Y1847" s="187"/>
      <c r="Z1847" s="187"/>
      <c r="AA1847" s="187"/>
      <c r="AB1847" s="187"/>
      <c r="AC1847" s="187"/>
      <c r="AD1847" s="187"/>
      <c r="AE1847" s="187"/>
      <c r="AF1847" s="187"/>
      <c r="AG1847" s="187"/>
      <c r="AH1847" s="187"/>
      <c r="AI1847" s="187"/>
      <c r="AJ1847" s="187"/>
      <c r="AK1847" s="187"/>
      <c r="AL1847" s="187"/>
    </row>
    <row r="1848" spans="2:38" ht="12.75" customHeight="1">
      <c r="B1848" s="485"/>
      <c r="C1848" s="20"/>
      <c r="D1848" s="12"/>
      <c r="E1848" s="12"/>
      <c r="F1848" s="12"/>
      <c r="G1848" s="12"/>
      <c r="H1848" s="20"/>
      <c r="I1848" s="187"/>
      <c r="J1848" s="187"/>
      <c r="K1848" s="187"/>
      <c r="L1848" s="187"/>
      <c r="M1848" s="187"/>
      <c r="N1848" s="187"/>
      <c r="O1848" s="187"/>
      <c r="P1848" s="187"/>
      <c r="Q1848" s="187"/>
      <c r="R1848" s="187"/>
      <c r="S1848" s="187"/>
      <c r="T1848" s="187"/>
      <c r="U1848" s="187"/>
      <c r="V1848" s="187"/>
      <c r="W1848" s="187"/>
      <c r="X1848" s="187"/>
      <c r="Y1848" s="187"/>
      <c r="Z1848" s="187"/>
      <c r="AA1848" s="187"/>
      <c r="AB1848" s="187"/>
      <c r="AC1848" s="187"/>
      <c r="AD1848" s="187"/>
      <c r="AE1848" s="187"/>
      <c r="AF1848" s="187"/>
      <c r="AG1848" s="187"/>
      <c r="AH1848" s="187"/>
      <c r="AI1848" s="187"/>
      <c r="AJ1848" s="187"/>
      <c r="AK1848" s="187"/>
      <c r="AL1848" s="187"/>
    </row>
    <row r="1849" spans="2:38" ht="12.75" customHeight="1">
      <c r="B1849" s="485"/>
      <c r="C1849" s="20"/>
      <c r="D1849" s="12"/>
      <c r="E1849" s="12"/>
      <c r="F1849" s="12"/>
      <c r="G1849" s="12"/>
      <c r="H1849" s="20"/>
      <c r="I1849" s="187"/>
      <c r="J1849" s="187"/>
      <c r="K1849" s="187"/>
      <c r="L1849" s="187"/>
      <c r="M1849" s="187"/>
      <c r="N1849" s="187"/>
      <c r="O1849" s="187"/>
      <c r="P1849" s="187"/>
      <c r="Q1849" s="187"/>
      <c r="R1849" s="187"/>
      <c r="S1849" s="187"/>
      <c r="T1849" s="187"/>
      <c r="U1849" s="187"/>
      <c r="V1849" s="187"/>
      <c r="W1849" s="187"/>
      <c r="X1849" s="187"/>
      <c r="Y1849" s="187"/>
      <c r="Z1849" s="187"/>
      <c r="AA1849" s="187"/>
      <c r="AB1849" s="187"/>
      <c r="AC1849" s="187"/>
      <c r="AD1849" s="187"/>
      <c r="AE1849" s="187"/>
      <c r="AF1849" s="187"/>
      <c r="AG1849" s="187"/>
      <c r="AH1849" s="187"/>
      <c r="AI1849" s="187"/>
      <c r="AJ1849" s="187"/>
      <c r="AK1849" s="187"/>
      <c r="AL1849" s="187"/>
    </row>
    <row r="1850" spans="2:38" ht="12.75" customHeight="1">
      <c r="B1850" s="485"/>
      <c r="C1850" s="20"/>
      <c r="D1850" s="12"/>
      <c r="E1850" s="12"/>
      <c r="F1850" s="12"/>
      <c r="G1850" s="12"/>
      <c r="H1850" s="20"/>
      <c r="I1850" s="187"/>
      <c r="J1850" s="187"/>
      <c r="K1850" s="187"/>
      <c r="L1850" s="187"/>
      <c r="M1850" s="187"/>
      <c r="N1850" s="187"/>
      <c r="O1850" s="187"/>
      <c r="P1850" s="187"/>
      <c r="Q1850" s="187"/>
      <c r="R1850" s="187"/>
      <c r="S1850" s="187"/>
      <c r="T1850" s="187"/>
      <c r="U1850" s="187"/>
      <c r="V1850" s="187"/>
      <c r="W1850" s="187"/>
      <c r="X1850" s="187"/>
      <c r="Y1850" s="187"/>
      <c r="Z1850" s="187"/>
      <c r="AA1850" s="187"/>
      <c r="AB1850" s="187"/>
      <c r="AC1850" s="187"/>
      <c r="AD1850" s="187"/>
      <c r="AE1850" s="187"/>
      <c r="AF1850" s="187"/>
      <c r="AG1850" s="187"/>
      <c r="AH1850" s="187"/>
      <c r="AI1850" s="187"/>
      <c r="AJ1850" s="187"/>
      <c r="AK1850" s="187"/>
      <c r="AL1850" s="187"/>
    </row>
    <row r="1851" spans="2:38" ht="12.75" customHeight="1">
      <c r="B1851" s="485"/>
      <c r="C1851" s="20"/>
      <c r="D1851" s="12"/>
      <c r="E1851" s="12"/>
      <c r="F1851" s="12"/>
      <c r="G1851" s="12"/>
      <c r="H1851" s="20"/>
      <c r="I1851" s="187"/>
      <c r="J1851" s="187"/>
      <c r="K1851" s="187"/>
      <c r="L1851" s="187"/>
      <c r="M1851" s="187"/>
      <c r="N1851" s="187"/>
      <c r="O1851" s="187"/>
      <c r="P1851" s="187"/>
      <c r="Q1851" s="187"/>
      <c r="R1851" s="187"/>
      <c r="S1851" s="187"/>
      <c r="T1851" s="187"/>
      <c r="U1851" s="187"/>
      <c r="V1851" s="187"/>
      <c r="W1851" s="187"/>
      <c r="X1851" s="187"/>
      <c r="Y1851" s="187"/>
      <c r="Z1851" s="187"/>
      <c r="AA1851" s="187"/>
      <c r="AB1851" s="187"/>
      <c r="AC1851" s="187"/>
      <c r="AD1851" s="187"/>
      <c r="AE1851" s="187"/>
      <c r="AF1851" s="187"/>
      <c r="AG1851" s="187"/>
      <c r="AH1851" s="187"/>
      <c r="AI1851" s="187"/>
      <c r="AJ1851" s="187"/>
      <c r="AK1851" s="187"/>
      <c r="AL1851" s="187"/>
    </row>
    <row r="1852" spans="2:38" ht="12.75" customHeight="1">
      <c r="B1852" s="485"/>
      <c r="C1852" s="20"/>
      <c r="D1852" s="12"/>
      <c r="E1852" s="12"/>
      <c r="F1852" s="12"/>
      <c r="G1852" s="12"/>
      <c r="H1852" s="20"/>
      <c r="I1852" s="187"/>
      <c r="J1852" s="187"/>
      <c r="K1852" s="187"/>
      <c r="L1852" s="187"/>
      <c r="M1852" s="187"/>
      <c r="N1852" s="187"/>
      <c r="O1852" s="187"/>
      <c r="P1852" s="187"/>
      <c r="Q1852" s="187"/>
      <c r="R1852" s="187"/>
      <c r="S1852" s="187"/>
      <c r="T1852" s="187"/>
      <c r="U1852" s="187"/>
      <c r="V1852" s="187"/>
      <c r="W1852" s="187"/>
      <c r="X1852" s="187"/>
      <c r="Y1852" s="187"/>
      <c r="Z1852" s="187"/>
      <c r="AA1852" s="187"/>
      <c r="AB1852" s="187"/>
      <c r="AC1852" s="187"/>
      <c r="AD1852" s="187"/>
      <c r="AE1852" s="187"/>
      <c r="AF1852" s="187"/>
      <c r="AG1852" s="187"/>
      <c r="AH1852" s="187"/>
      <c r="AI1852" s="187"/>
      <c r="AJ1852" s="187"/>
      <c r="AK1852" s="187"/>
      <c r="AL1852" s="187"/>
    </row>
    <row r="1853" spans="2:38" ht="12.75" customHeight="1">
      <c r="B1853" s="485"/>
      <c r="C1853" s="20"/>
      <c r="D1853" s="12"/>
      <c r="E1853" s="12"/>
      <c r="F1853" s="12"/>
      <c r="G1853" s="12"/>
      <c r="H1853" s="20"/>
      <c r="I1853" s="187"/>
      <c r="J1853" s="187"/>
      <c r="K1853" s="187"/>
      <c r="L1853" s="187"/>
      <c r="M1853" s="187"/>
      <c r="N1853" s="187"/>
      <c r="O1853" s="187"/>
      <c r="P1853" s="187"/>
      <c r="Q1853" s="187"/>
      <c r="R1853" s="187"/>
      <c r="S1853" s="187"/>
      <c r="T1853" s="187"/>
      <c r="U1853" s="187"/>
      <c r="V1853" s="187"/>
      <c r="W1853" s="187"/>
      <c r="X1853" s="187"/>
      <c r="Y1853" s="187"/>
      <c r="Z1853" s="187"/>
      <c r="AA1853" s="187"/>
      <c r="AB1853" s="187"/>
      <c r="AC1853" s="187"/>
      <c r="AD1853" s="187"/>
      <c r="AE1853" s="187"/>
      <c r="AF1853" s="187"/>
      <c r="AG1853" s="187"/>
      <c r="AH1853" s="187"/>
      <c r="AI1853" s="187"/>
      <c r="AJ1853" s="187"/>
      <c r="AK1853" s="187"/>
      <c r="AL1853" s="187"/>
    </row>
    <row r="1854" spans="2:38" ht="12.75" customHeight="1">
      <c r="B1854" s="485"/>
      <c r="C1854" s="20"/>
      <c r="D1854" s="12"/>
      <c r="E1854" s="12"/>
      <c r="F1854" s="12"/>
      <c r="G1854" s="12"/>
      <c r="H1854" s="20"/>
      <c r="I1854" s="187"/>
      <c r="J1854" s="187"/>
      <c r="K1854" s="187"/>
      <c r="L1854" s="187"/>
      <c r="M1854" s="187"/>
      <c r="N1854" s="187"/>
      <c r="O1854" s="187"/>
      <c r="P1854" s="187"/>
      <c r="Q1854" s="187"/>
      <c r="R1854" s="187"/>
      <c r="S1854" s="187"/>
      <c r="T1854" s="187"/>
      <c r="U1854" s="187"/>
      <c r="V1854" s="187"/>
      <c r="W1854" s="187"/>
      <c r="X1854" s="187"/>
      <c r="Y1854" s="187"/>
      <c r="Z1854" s="187"/>
      <c r="AA1854" s="187"/>
      <c r="AB1854" s="187"/>
      <c r="AC1854" s="187"/>
      <c r="AD1854" s="187"/>
      <c r="AE1854" s="187"/>
      <c r="AF1854" s="187"/>
      <c r="AG1854" s="187"/>
      <c r="AH1854" s="187"/>
      <c r="AI1854" s="187"/>
      <c r="AJ1854" s="187"/>
      <c r="AK1854" s="187"/>
      <c r="AL1854" s="187"/>
    </row>
    <row r="1855" spans="2:38" ht="12.75" customHeight="1">
      <c r="B1855" s="485"/>
      <c r="C1855" s="20"/>
      <c r="D1855" s="12"/>
      <c r="E1855" s="12"/>
      <c r="F1855" s="12"/>
      <c r="G1855" s="12"/>
      <c r="H1855" s="20"/>
      <c r="I1855" s="187"/>
      <c r="J1855" s="187"/>
      <c r="K1855" s="187"/>
      <c r="L1855" s="187"/>
      <c r="M1855" s="187"/>
      <c r="N1855" s="187"/>
      <c r="O1855" s="187"/>
      <c r="P1855" s="187"/>
      <c r="Q1855" s="187"/>
      <c r="R1855" s="187"/>
      <c r="S1855" s="187"/>
      <c r="T1855" s="187"/>
      <c r="U1855" s="187"/>
      <c r="V1855" s="187"/>
      <c r="W1855" s="187"/>
      <c r="X1855" s="187"/>
      <c r="Y1855" s="187"/>
      <c r="Z1855" s="187"/>
      <c r="AA1855" s="187"/>
      <c r="AB1855" s="187"/>
      <c r="AC1855" s="187"/>
      <c r="AD1855" s="187"/>
      <c r="AE1855" s="187"/>
      <c r="AF1855" s="187"/>
      <c r="AG1855" s="187"/>
      <c r="AH1855" s="187"/>
      <c r="AI1855" s="187"/>
      <c r="AJ1855" s="187"/>
      <c r="AK1855" s="187"/>
      <c r="AL1855" s="187"/>
    </row>
    <row r="1856" spans="2:38" ht="12.75" customHeight="1">
      <c r="B1856" s="485"/>
      <c r="C1856" s="20"/>
      <c r="D1856" s="12"/>
      <c r="E1856" s="12"/>
      <c r="F1856" s="12"/>
      <c r="G1856" s="12"/>
      <c r="H1856" s="20"/>
      <c r="I1856" s="187"/>
      <c r="J1856" s="187"/>
      <c r="K1856" s="187"/>
      <c r="L1856" s="187"/>
      <c r="M1856" s="187"/>
      <c r="N1856" s="187"/>
      <c r="O1856" s="187"/>
      <c r="P1856" s="187"/>
      <c r="Q1856" s="187"/>
      <c r="R1856" s="187"/>
      <c r="S1856" s="187"/>
      <c r="T1856" s="187"/>
      <c r="U1856" s="187"/>
      <c r="V1856" s="187"/>
      <c r="W1856" s="187"/>
      <c r="X1856" s="187"/>
      <c r="Y1856" s="187"/>
      <c r="Z1856" s="187"/>
      <c r="AA1856" s="187"/>
      <c r="AB1856" s="187"/>
      <c r="AC1856" s="187"/>
      <c r="AD1856" s="187"/>
      <c r="AE1856" s="187"/>
      <c r="AF1856" s="187"/>
      <c r="AG1856" s="187"/>
      <c r="AH1856" s="187"/>
      <c r="AI1856" s="187"/>
      <c r="AJ1856" s="187"/>
      <c r="AK1856" s="187"/>
      <c r="AL1856" s="187"/>
    </row>
    <row r="1857" spans="2:38" ht="12.75" customHeight="1">
      <c r="B1857" s="485"/>
      <c r="C1857" s="20"/>
      <c r="D1857" s="12"/>
      <c r="E1857" s="12"/>
      <c r="F1857" s="12"/>
      <c r="G1857" s="12"/>
      <c r="H1857" s="20"/>
      <c r="I1857" s="187"/>
      <c r="J1857" s="187"/>
      <c r="K1857" s="187"/>
      <c r="L1857" s="187"/>
      <c r="M1857" s="187"/>
      <c r="N1857" s="187"/>
      <c r="O1857" s="187"/>
      <c r="P1857" s="187"/>
      <c r="Q1857" s="187"/>
      <c r="R1857" s="187"/>
      <c r="S1857" s="187"/>
      <c r="T1857" s="187"/>
      <c r="U1857" s="187"/>
      <c r="V1857" s="187"/>
      <c r="W1857" s="187"/>
      <c r="X1857" s="187"/>
      <c r="Y1857" s="187"/>
      <c r="Z1857" s="187"/>
      <c r="AA1857" s="187"/>
      <c r="AB1857" s="187"/>
      <c r="AC1857" s="187"/>
      <c r="AD1857" s="187"/>
      <c r="AE1857" s="187"/>
      <c r="AF1857" s="187"/>
      <c r="AG1857" s="187"/>
      <c r="AH1857" s="187"/>
      <c r="AI1857" s="187"/>
      <c r="AJ1857" s="187"/>
      <c r="AK1857" s="187"/>
      <c r="AL1857" s="187"/>
    </row>
    <row r="1858" spans="2:38" ht="12.75" customHeight="1">
      <c r="B1858" s="485"/>
      <c r="C1858" s="20"/>
      <c r="D1858" s="12"/>
      <c r="E1858" s="12"/>
      <c r="F1858" s="12"/>
      <c r="G1858" s="12"/>
      <c r="H1858" s="20"/>
      <c r="I1858" s="187"/>
      <c r="J1858" s="187"/>
      <c r="K1858" s="187"/>
      <c r="L1858" s="187"/>
      <c r="M1858" s="187"/>
      <c r="N1858" s="187"/>
      <c r="O1858" s="187"/>
      <c r="P1858" s="187"/>
      <c r="Q1858" s="187"/>
      <c r="R1858" s="187"/>
      <c r="S1858" s="187"/>
      <c r="T1858" s="187"/>
      <c r="U1858" s="187"/>
      <c r="V1858" s="187"/>
      <c r="W1858" s="187"/>
      <c r="X1858" s="187"/>
      <c r="Y1858" s="187"/>
      <c r="Z1858" s="187"/>
      <c r="AA1858" s="187"/>
      <c r="AB1858" s="187"/>
      <c r="AC1858" s="187"/>
      <c r="AD1858" s="187"/>
      <c r="AE1858" s="187"/>
      <c r="AF1858" s="187"/>
      <c r="AG1858" s="187"/>
      <c r="AH1858" s="187"/>
      <c r="AI1858" s="187"/>
      <c r="AJ1858" s="187"/>
      <c r="AK1858" s="187"/>
      <c r="AL1858" s="187"/>
    </row>
    <row r="1859" spans="2:38" ht="12.75" customHeight="1">
      <c r="B1859" s="485"/>
      <c r="C1859" s="20"/>
      <c r="D1859" s="12"/>
      <c r="E1859" s="12"/>
      <c r="F1859" s="12"/>
      <c r="G1859" s="12"/>
      <c r="H1859" s="20"/>
      <c r="I1859" s="187"/>
      <c r="J1859" s="187"/>
      <c r="K1859" s="187"/>
      <c r="L1859" s="187"/>
      <c r="M1859" s="187"/>
      <c r="N1859" s="187"/>
      <c r="O1859" s="187"/>
      <c r="P1859" s="187"/>
      <c r="Q1859" s="187"/>
      <c r="R1859" s="187"/>
      <c r="S1859" s="187"/>
      <c r="T1859" s="187"/>
      <c r="U1859" s="187"/>
      <c r="V1859" s="187"/>
      <c r="W1859" s="187"/>
      <c r="X1859" s="187"/>
      <c r="Y1859" s="187"/>
      <c r="Z1859" s="187"/>
      <c r="AA1859" s="187"/>
      <c r="AB1859" s="187"/>
      <c r="AC1859" s="187"/>
      <c r="AD1859" s="187"/>
      <c r="AE1859" s="187"/>
      <c r="AF1859" s="187"/>
      <c r="AG1859" s="187"/>
      <c r="AH1859" s="187"/>
      <c r="AI1859" s="187"/>
      <c r="AJ1859" s="187"/>
      <c r="AK1859" s="187"/>
      <c r="AL1859" s="187"/>
    </row>
    <row r="1860" spans="2:38" ht="12.75" customHeight="1">
      <c r="B1860" s="485"/>
      <c r="C1860" s="20"/>
      <c r="D1860" s="12"/>
      <c r="E1860" s="12"/>
      <c r="F1860" s="12"/>
      <c r="G1860" s="12"/>
      <c r="H1860" s="20"/>
      <c r="I1860" s="187"/>
      <c r="J1860" s="187"/>
      <c r="K1860" s="187"/>
      <c r="L1860" s="187"/>
      <c r="M1860" s="187"/>
      <c r="N1860" s="187"/>
      <c r="O1860" s="187"/>
      <c r="P1860" s="187"/>
      <c r="Q1860" s="187"/>
      <c r="R1860" s="187"/>
      <c r="S1860" s="187"/>
      <c r="T1860" s="187"/>
      <c r="U1860" s="187"/>
      <c r="V1860" s="187"/>
      <c r="W1860" s="187"/>
      <c r="X1860" s="187"/>
      <c r="Y1860" s="187"/>
      <c r="Z1860" s="187"/>
      <c r="AA1860" s="187"/>
      <c r="AB1860" s="187"/>
      <c r="AC1860" s="187"/>
      <c r="AD1860" s="187"/>
      <c r="AE1860" s="187"/>
      <c r="AF1860" s="187"/>
      <c r="AG1860" s="187"/>
      <c r="AH1860" s="187"/>
      <c r="AI1860" s="187"/>
      <c r="AJ1860" s="187"/>
      <c r="AK1860" s="187"/>
      <c r="AL1860" s="187"/>
    </row>
    <row r="1861" spans="2:38" ht="12.75" customHeight="1">
      <c r="B1861" s="485"/>
      <c r="C1861" s="20"/>
      <c r="D1861" s="12"/>
      <c r="E1861" s="12"/>
      <c r="F1861" s="12"/>
      <c r="G1861" s="12"/>
      <c r="H1861" s="20"/>
      <c r="I1861" s="187"/>
      <c r="J1861" s="187"/>
      <c r="K1861" s="187"/>
      <c r="L1861" s="187"/>
      <c r="M1861" s="187"/>
      <c r="N1861" s="187"/>
      <c r="O1861" s="187"/>
      <c r="P1861" s="187"/>
      <c r="Q1861" s="187"/>
      <c r="R1861" s="187"/>
      <c r="S1861" s="187"/>
      <c r="T1861" s="187"/>
      <c r="U1861" s="187"/>
      <c r="V1861" s="187"/>
      <c r="W1861" s="187"/>
      <c r="X1861" s="187"/>
      <c r="Y1861" s="187"/>
      <c r="Z1861" s="187"/>
      <c r="AA1861" s="187"/>
      <c r="AB1861" s="187"/>
      <c r="AC1861" s="187"/>
      <c r="AD1861" s="187"/>
      <c r="AE1861" s="187"/>
      <c r="AF1861" s="187"/>
      <c r="AG1861" s="187"/>
      <c r="AH1861" s="187"/>
      <c r="AI1861" s="187"/>
      <c r="AJ1861" s="187"/>
      <c r="AK1861" s="187"/>
      <c r="AL1861" s="187"/>
    </row>
    <row r="1862" spans="2:38" ht="12.75" customHeight="1">
      <c r="B1862" s="485"/>
      <c r="C1862" s="20"/>
      <c r="D1862" s="12"/>
      <c r="E1862" s="12"/>
      <c r="F1862" s="12"/>
      <c r="G1862" s="12"/>
      <c r="H1862" s="20"/>
      <c r="I1862" s="187"/>
      <c r="J1862" s="187"/>
      <c r="K1862" s="187"/>
      <c r="L1862" s="187"/>
      <c r="M1862" s="187"/>
      <c r="N1862" s="187"/>
      <c r="O1862" s="187"/>
      <c r="P1862" s="187"/>
      <c r="Q1862" s="187"/>
      <c r="R1862" s="187"/>
      <c r="S1862" s="187"/>
      <c r="T1862" s="187"/>
      <c r="U1862" s="187"/>
      <c r="V1862" s="187"/>
      <c r="W1862" s="187"/>
      <c r="X1862" s="187"/>
      <c r="Y1862" s="187"/>
      <c r="Z1862" s="187"/>
      <c r="AA1862" s="187"/>
      <c r="AB1862" s="187"/>
      <c r="AC1862" s="187"/>
      <c r="AD1862" s="187"/>
      <c r="AE1862" s="187"/>
      <c r="AF1862" s="187"/>
      <c r="AG1862" s="187"/>
      <c r="AH1862" s="187"/>
      <c r="AI1862" s="187"/>
      <c r="AJ1862" s="187"/>
      <c r="AK1862" s="187"/>
      <c r="AL1862" s="187"/>
    </row>
    <row r="1863" spans="2:38" ht="12.75" customHeight="1">
      <c r="B1863" s="485"/>
      <c r="C1863" s="20"/>
      <c r="D1863" s="12"/>
      <c r="E1863" s="12"/>
      <c r="F1863" s="12"/>
      <c r="G1863" s="12"/>
      <c r="H1863" s="20"/>
      <c r="I1863" s="187"/>
      <c r="J1863" s="187"/>
      <c r="K1863" s="187"/>
      <c r="L1863" s="187"/>
      <c r="M1863" s="187"/>
      <c r="N1863" s="187"/>
      <c r="O1863" s="187"/>
      <c r="P1863" s="187"/>
      <c r="Q1863" s="187"/>
      <c r="R1863" s="187"/>
      <c r="S1863" s="187"/>
      <c r="T1863" s="187"/>
      <c r="U1863" s="187"/>
      <c r="V1863" s="187"/>
      <c r="W1863" s="187"/>
      <c r="X1863" s="187"/>
      <c r="Y1863" s="187"/>
      <c r="Z1863" s="187"/>
      <c r="AA1863" s="187"/>
      <c r="AB1863" s="187"/>
      <c r="AC1863" s="187"/>
      <c r="AD1863" s="187"/>
      <c r="AE1863" s="187"/>
      <c r="AF1863" s="187"/>
      <c r="AG1863" s="187"/>
      <c r="AH1863" s="187"/>
      <c r="AI1863" s="187"/>
      <c r="AJ1863" s="187"/>
      <c r="AK1863" s="187"/>
      <c r="AL1863" s="187"/>
    </row>
    <row r="1864" spans="2:38" ht="12.75" customHeight="1">
      <c r="B1864" s="485"/>
      <c r="C1864" s="20"/>
      <c r="D1864" s="12"/>
      <c r="E1864" s="12"/>
      <c r="F1864" s="12"/>
      <c r="G1864" s="12"/>
      <c r="H1864" s="20"/>
      <c r="I1864" s="187"/>
      <c r="J1864" s="187"/>
      <c r="K1864" s="187"/>
      <c r="L1864" s="187"/>
      <c r="M1864" s="187"/>
      <c r="N1864" s="187"/>
      <c r="O1864" s="187"/>
      <c r="P1864" s="187"/>
      <c r="Q1864" s="187"/>
      <c r="R1864" s="187"/>
      <c r="S1864" s="187"/>
      <c r="T1864" s="187"/>
      <c r="U1864" s="187"/>
      <c r="V1864" s="187"/>
      <c r="W1864" s="187"/>
      <c r="X1864" s="187"/>
      <c r="Y1864" s="187"/>
      <c r="Z1864" s="187"/>
      <c r="AA1864" s="187"/>
      <c r="AB1864" s="187"/>
      <c r="AC1864" s="187"/>
      <c r="AD1864" s="187"/>
      <c r="AE1864" s="187"/>
      <c r="AF1864" s="187"/>
      <c r="AG1864" s="187"/>
      <c r="AH1864" s="187"/>
      <c r="AI1864" s="187"/>
      <c r="AJ1864" s="187"/>
      <c r="AK1864" s="187"/>
      <c r="AL1864" s="187"/>
    </row>
    <row r="1865" spans="2:38" ht="12.75" customHeight="1">
      <c r="B1865" s="485"/>
      <c r="C1865" s="20"/>
      <c r="D1865" s="12"/>
      <c r="E1865" s="12"/>
      <c r="F1865" s="12"/>
      <c r="G1865" s="12"/>
      <c r="H1865" s="20"/>
      <c r="I1865" s="187"/>
      <c r="J1865" s="187"/>
      <c r="K1865" s="187"/>
      <c r="L1865" s="187"/>
      <c r="M1865" s="187"/>
      <c r="N1865" s="187"/>
      <c r="O1865" s="187"/>
      <c r="P1865" s="187"/>
      <c r="Q1865" s="187"/>
      <c r="R1865" s="187"/>
      <c r="S1865" s="187"/>
      <c r="T1865" s="187"/>
      <c r="U1865" s="187"/>
      <c r="V1865" s="187"/>
      <c r="W1865" s="187"/>
      <c r="X1865" s="187"/>
      <c r="Y1865" s="187"/>
      <c r="Z1865" s="187"/>
      <c r="AA1865" s="187"/>
      <c r="AB1865" s="187"/>
      <c r="AC1865" s="187"/>
      <c r="AD1865" s="187"/>
      <c r="AE1865" s="187"/>
      <c r="AF1865" s="187"/>
      <c r="AG1865" s="187"/>
      <c r="AH1865" s="187"/>
      <c r="AI1865" s="187"/>
      <c r="AJ1865" s="187"/>
      <c r="AK1865" s="187"/>
      <c r="AL1865" s="187"/>
    </row>
    <row r="1866" spans="2:38" ht="12.75" customHeight="1">
      <c r="B1866" s="485"/>
      <c r="C1866" s="20"/>
      <c r="D1866" s="12"/>
      <c r="E1866" s="12"/>
      <c r="F1866" s="12"/>
      <c r="G1866" s="12"/>
      <c r="H1866" s="20"/>
      <c r="I1866" s="187"/>
      <c r="J1866" s="187"/>
      <c r="K1866" s="187"/>
      <c r="L1866" s="187"/>
      <c r="M1866" s="187"/>
      <c r="N1866" s="187"/>
      <c r="O1866" s="187"/>
      <c r="P1866" s="187"/>
      <c r="Q1866" s="187"/>
      <c r="R1866" s="187"/>
      <c r="S1866" s="187"/>
      <c r="T1866" s="187"/>
      <c r="U1866" s="187"/>
      <c r="V1866" s="187"/>
      <c r="W1866" s="187"/>
      <c r="X1866" s="187"/>
      <c r="Y1866" s="187"/>
      <c r="Z1866" s="187"/>
      <c r="AA1866" s="187"/>
      <c r="AB1866" s="187"/>
      <c r="AC1866" s="187"/>
      <c r="AD1866" s="187"/>
      <c r="AE1866" s="187"/>
      <c r="AF1866" s="187"/>
      <c r="AG1866" s="187"/>
      <c r="AH1866" s="187"/>
      <c r="AI1866" s="187"/>
      <c r="AJ1866" s="187"/>
      <c r="AK1866" s="187"/>
      <c r="AL1866" s="187"/>
    </row>
    <row r="1867" spans="2:38" ht="12.75" customHeight="1">
      <c r="B1867" s="485"/>
      <c r="C1867" s="20"/>
      <c r="D1867" s="12"/>
      <c r="E1867" s="12"/>
      <c r="F1867" s="12"/>
      <c r="G1867" s="12"/>
      <c r="H1867" s="20"/>
      <c r="I1867" s="187"/>
      <c r="J1867" s="187"/>
      <c r="K1867" s="187"/>
      <c r="L1867" s="187"/>
      <c r="M1867" s="187"/>
      <c r="N1867" s="187"/>
      <c r="O1867" s="187"/>
      <c r="P1867" s="187"/>
      <c r="Q1867" s="187"/>
      <c r="R1867" s="187"/>
      <c r="S1867" s="187"/>
      <c r="T1867" s="187"/>
      <c r="U1867" s="187"/>
      <c r="V1867" s="187"/>
      <c r="W1867" s="187"/>
      <c r="X1867" s="187"/>
      <c r="Y1867" s="187"/>
      <c r="Z1867" s="187"/>
      <c r="AA1867" s="187"/>
      <c r="AB1867" s="187"/>
      <c r="AC1867" s="187"/>
      <c r="AD1867" s="187"/>
      <c r="AE1867" s="187"/>
      <c r="AF1867" s="187"/>
      <c r="AG1867" s="187"/>
      <c r="AH1867" s="187"/>
      <c r="AI1867" s="187"/>
      <c r="AJ1867" s="187"/>
      <c r="AK1867" s="187"/>
      <c r="AL1867" s="187"/>
    </row>
    <row r="1868" spans="2:38" ht="12.75" customHeight="1">
      <c r="B1868" s="485"/>
      <c r="C1868" s="20"/>
      <c r="D1868" s="12"/>
      <c r="E1868" s="12"/>
      <c r="F1868" s="12"/>
      <c r="G1868" s="12"/>
      <c r="H1868" s="20"/>
      <c r="I1868" s="187"/>
      <c r="J1868" s="187"/>
      <c r="K1868" s="187"/>
      <c r="L1868" s="187"/>
      <c r="M1868" s="187"/>
      <c r="N1868" s="187"/>
      <c r="O1868" s="187"/>
      <c r="P1868" s="187"/>
      <c r="Q1868" s="187"/>
      <c r="R1868" s="187"/>
      <c r="S1868" s="187"/>
      <c r="T1868" s="187"/>
      <c r="U1868" s="187"/>
      <c r="V1868" s="187"/>
      <c r="W1868" s="187"/>
      <c r="X1868" s="187"/>
      <c r="Y1868" s="187"/>
      <c r="Z1868" s="187"/>
      <c r="AA1868" s="187"/>
      <c r="AB1868" s="187"/>
      <c r="AC1868" s="187"/>
      <c r="AD1868" s="187"/>
      <c r="AE1868" s="187"/>
      <c r="AF1868" s="187"/>
      <c r="AG1868" s="187"/>
      <c r="AH1868" s="187"/>
      <c r="AI1868" s="187"/>
      <c r="AJ1868" s="187"/>
      <c r="AK1868" s="187"/>
      <c r="AL1868" s="187"/>
    </row>
    <row r="1869" spans="2:38" ht="12.75" customHeight="1">
      <c r="B1869" s="485"/>
      <c r="C1869" s="20"/>
      <c r="D1869" s="12"/>
      <c r="E1869" s="12"/>
      <c r="F1869" s="12"/>
      <c r="G1869" s="12"/>
      <c r="H1869" s="20"/>
      <c r="I1869" s="187"/>
      <c r="J1869" s="187"/>
      <c r="K1869" s="187"/>
      <c r="L1869" s="187"/>
      <c r="M1869" s="187"/>
      <c r="N1869" s="187"/>
      <c r="O1869" s="187"/>
      <c r="P1869" s="187"/>
      <c r="Q1869" s="187"/>
      <c r="R1869" s="187"/>
      <c r="S1869" s="187"/>
      <c r="T1869" s="187"/>
      <c r="U1869" s="187"/>
      <c r="V1869" s="187"/>
      <c r="W1869" s="187"/>
      <c r="X1869" s="187"/>
      <c r="Y1869" s="187"/>
      <c r="Z1869" s="187"/>
      <c r="AA1869" s="187"/>
      <c r="AB1869" s="187"/>
      <c r="AC1869" s="187"/>
      <c r="AD1869" s="187"/>
      <c r="AE1869" s="187"/>
      <c r="AF1869" s="187"/>
      <c r="AG1869" s="187"/>
      <c r="AH1869" s="187"/>
      <c r="AI1869" s="187"/>
      <c r="AJ1869" s="187"/>
      <c r="AK1869" s="187"/>
      <c r="AL1869" s="187"/>
    </row>
    <row r="1870" spans="2:38" ht="12.75" customHeight="1">
      <c r="B1870" s="485"/>
      <c r="C1870" s="20"/>
      <c r="D1870" s="12"/>
      <c r="E1870" s="12"/>
      <c r="F1870" s="12"/>
      <c r="G1870" s="12"/>
      <c r="H1870" s="20"/>
      <c r="I1870" s="187"/>
      <c r="J1870" s="187"/>
      <c r="K1870" s="187"/>
      <c r="L1870" s="187"/>
      <c r="M1870" s="187"/>
      <c r="N1870" s="187"/>
      <c r="O1870" s="187"/>
      <c r="P1870" s="187"/>
      <c r="Q1870" s="187"/>
      <c r="R1870" s="187"/>
      <c r="S1870" s="187"/>
      <c r="T1870" s="187"/>
      <c r="U1870" s="187"/>
      <c r="V1870" s="187"/>
      <c r="W1870" s="187"/>
      <c r="X1870" s="187"/>
      <c r="Y1870" s="187"/>
      <c r="Z1870" s="187"/>
      <c r="AA1870" s="187"/>
      <c r="AB1870" s="187"/>
      <c r="AC1870" s="187"/>
      <c r="AD1870" s="187"/>
      <c r="AE1870" s="187"/>
      <c r="AF1870" s="187"/>
      <c r="AG1870" s="187"/>
      <c r="AH1870" s="187"/>
      <c r="AI1870" s="187"/>
      <c r="AJ1870" s="187"/>
      <c r="AK1870" s="187"/>
      <c r="AL1870" s="187"/>
    </row>
    <row r="1871" spans="2:38" ht="12.75" customHeight="1">
      <c r="B1871" s="485"/>
      <c r="C1871" s="20"/>
      <c r="D1871" s="12"/>
      <c r="E1871" s="12"/>
      <c r="F1871" s="12"/>
      <c r="G1871" s="12"/>
      <c r="H1871" s="20"/>
      <c r="I1871" s="187"/>
      <c r="J1871" s="187"/>
      <c r="K1871" s="187"/>
      <c r="L1871" s="187"/>
      <c r="M1871" s="187"/>
      <c r="N1871" s="187"/>
      <c r="O1871" s="187"/>
      <c r="P1871" s="187"/>
      <c r="Q1871" s="187"/>
      <c r="R1871" s="187"/>
      <c r="S1871" s="187"/>
      <c r="T1871" s="187"/>
      <c r="U1871" s="187"/>
      <c r="V1871" s="187"/>
      <c r="W1871" s="187"/>
      <c r="X1871" s="187"/>
      <c r="Y1871" s="187"/>
      <c r="Z1871" s="187"/>
      <c r="AA1871" s="187"/>
      <c r="AB1871" s="187"/>
      <c r="AC1871" s="187"/>
      <c r="AD1871" s="187"/>
      <c r="AE1871" s="187"/>
      <c r="AF1871" s="187"/>
      <c r="AG1871" s="187"/>
      <c r="AH1871" s="187"/>
      <c r="AI1871" s="187"/>
      <c r="AJ1871" s="187"/>
      <c r="AK1871" s="187"/>
      <c r="AL1871" s="187"/>
    </row>
    <row r="1872" spans="2:38" ht="12.75" customHeight="1">
      <c r="B1872" s="485"/>
      <c r="C1872" s="20"/>
      <c r="D1872" s="12"/>
      <c r="E1872" s="12"/>
      <c r="F1872" s="12"/>
      <c r="G1872" s="12"/>
      <c r="H1872" s="20"/>
      <c r="I1872" s="187"/>
      <c r="J1872" s="187"/>
      <c r="K1872" s="187"/>
      <c r="L1872" s="187"/>
      <c r="M1872" s="187"/>
      <c r="N1872" s="187"/>
      <c r="O1872" s="187"/>
      <c r="P1872" s="187"/>
      <c r="Q1872" s="187"/>
      <c r="R1872" s="187"/>
      <c r="S1872" s="187"/>
      <c r="T1872" s="187"/>
      <c r="U1872" s="187"/>
      <c r="V1872" s="187"/>
      <c r="W1872" s="187"/>
      <c r="X1872" s="187"/>
      <c r="Y1872" s="187"/>
      <c r="Z1872" s="187"/>
      <c r="AA1872" s="187"/>
      <c r="AB1872" s="187"/>
      <c r="AC1872" s="187"/>
      <c r="AD1872" s="187"/>
      <c r="AE1872" s="187"/>
      <c r="AF1872" s="187"/>
      <c r="AG1872" s="187"/>
      <c r="AH1872" s="187"/>
      <c r="AI1872" s="187"/>
      <c r="AJ1872" s="187"/>
      <c r="AK1872" s="187"/>
      <c r="AL1872" s="187"/>
    </row>
    <row r="1873" spans="2:38" ht="12.75" customHeight="1">
      <c r="B1873" s="485"/>
      <c r="C1873" s="20"/>
      <c r="D1873" s="12"/>
      <c r="E1873" s="12"/>
      <c r="F1873" s="12"/>
      <c r="G1873" s="12"/>
      <c r="H1873" s="20"/>
      <c r="I1873" s="187"/>
      <c r="J1873" s="187"/>
      <c r="K1873" s="187"/>
      <c r="L1873" s="187"/>
      <c r="M1873" s="187"/>
      <c r="N1873" s="187"/>
      <c r="O1873" s="187"/>
      <c r="P1873" s="187"/>
      <c r="Q1873" s="187"/>
      <c r="R1873" s="187"/>
      <c r="S1873" s="187"/>
      <c r="T1873" s="187"/>
      <c r="U1873" s="187"/>
      <c r="V1873" s="187"/>
      <c r="W1873" s="187"/>
      <c r="X1873" s="187"/>
      <c r="Y1873" s="187"/>
      <c r="Z1873" s="187"/>
      <c r="AA1873" s="187"/>
      <c r="AB1873" s="187"/>
      <c r="AC1873" s="187"/>
      <c r="AD1873" s="187"/>
      <c r="AE1873" s="187"/>
      <c r="AF1873" s="187"/>
      <c r="AG1873" s="187"/>
      <c r="AH1873" s="187"/>
      <c r="AI1873" s="187"/>
      <c r="AJ1873" s="187"/>
      <c r="AK1873" s="187"/>
      <c r="AL1873" s="187"/>
    </row>
    <row r="1874" spans="2:38" ht="12.75" customHeight="1">
      <c r="B1874" s="485"/>
      <c r="C1874" s="20"/>
      <c r="D1874" s="12"/>
      <c r="E1874" s="12"/>
      <c r="F1874" s="12"/>
      <c r="G1874" s="12"/>
      <c r="H1874" s="20"/>
      <c r="I1874" s="187"/>
      <c r="J1874" s="187"/>
      <c r="K1874" s="187"/>
      <c r="L1874" s="187"/>
      <c r="M1874" s="187"/>
      <c r="N1874" s="187"/>
      <c r="O1874" s="187"/>
      <c r="P1874" s="187"/>
      <c r="Q1874" s="187"/>
      <c r="R1874" s="187"/>
      <c r="S1874" s="187"/>
      <c r="T1874" s="187"/>
      <c r="U1874" s="187"/>
      <c r="V1874" s="187"/>
      <c r="W1874" s="187"/>
      <c r="X1874" s="187"/>
      <c r="Y1874" s="187"/>
      <c r="Z1874" s="187"/>
      <c r="AA1874" s="187"/>
      <c r="AB1874" s="187"/>
      <c r="AC1874" s="187"/>
      <c r="AD1874" s="187"/>
      <c r="AE1874" s="187"/>
      <c r="AF1874" s="187"/>
      <c r="AG1874" s="187"/>
      <c r="AH1874" s="187"/>
      <c r="AI1874" s="187"/>
      <c r="AJ1874" s="187"/>
      <c r="AK1874" s="187"/>
      <c r="AL1874" s="187"/>
    </row>
    <row r="1875" spans="2:38" ht="12.75" customHeight="1">
      <c r="B1875" s="485"/>
      <c r="C1875" s="20"/>
      <c r="D1875" s="12"/>
      <c r="E1875" s="12"/>
      <c r="F1875" s="12"/>
      <c r="G1875" s="12"/>
      <c r="H1875" s="20"/>
      <c r="I1875" s="187"/>
      <c r="J1875" s="187"/>
      <c r="K1875" s="187"/>
      <c r="L1875" s="187"/>
      <c r="M1875" s="187"/>
      <c r="N1875" s="187"/>
      <c r="O1875" s="187"/>
      <c r="P1875" s="187"/>
      <c r="Q1875" s="187"/>
      <c r="R1875" s="187"/>
      <c r="S1875" s="187"/>
      <c r="T1875" s="187"/>
      <c r="U1875" s="187"/>
      <c r="V1875" s="187"/>
      <c r="W1875" s="187"/>
      <c r="X1875" s="187"/>
      <c r="Y1875" s="187"/>
      <c r="Z1875" s="187"/>
      <c r="AA1875" s="187"/>
      <c r="AB1875" s="187"/>
      <c r="AC1875" s="187"/>
      <c r="AD1875" s="187"/>
      <c r="AE1875" s="187"/>
      <c r="AF1875" s="187"/>
      <c r="AG1875" s="187"/>
      <c r="AH1875" s="187"/>
      <c r="AI1875" s="187"/>
      <c r="AJ1875" s="187"/>
      <c r="AK1875" s="187"/>
      <c r="AL1875" s="187"/>
    </row>
    <row r="1876" spans="2:38" ht="12.75" customHeight="1">
      <c r="B1876" s="485"/>
      <c r="C1876" s="20"/>
      <c r="D1876" s="12"/>
      <c r="E1876" s="12"/>
      <c r="F1876" s="12"/>
      <c r="G1876" s="12"/>
      <c r="H1876" s="20"/>
      <c r="I1876" s="187"/>
      <c r="J1876" s="187"/>
      <c r="K1876" s="187"/>
      <c r="L1876" s="187"/>
      <c r="M1876" s="187"/>
      <c r="N1876" s="187"/>
      <c r="O1876" s="187"/>
      <c r="P1876" s="187"/>
      <c r="Q1876" s="187"/>
      <c r="R1876" s="187"/>
      <c r="S1876" s="187"/>
      <c r="T1876" s="187"/>
      <c r="U1876" s="187"/>
      <c r="V1876" s="187"/>
      <c r="W1876" s="187"/>
      <c r="X1876" s="187"/>
      <c r="Y1876" s="187"/>
      <c r="Z1876" s="187"/>
      <c r="AA1876" s="187"/>
      <c r="AB1876" s="187"/>
      <c r="AC1876" s="187"/>
      <c r="AD1876" s="187"/>
      <c r="AE1876" s="187"/>
      <c r="AF1876" s="187"/>
      <c r="AG1876" s="187"/>
      <c r="AH1876" s="187"/>
      <c r="AI1876" s="187"/>
      <c r="AJ1876" s="187"/>
      <c r="AK1876" s="187"/>
      <c r="AL1876" s="187"/>
    </row>
    <row r="1877" spans="2:38" ht="12.75" customHeight="1">
      <c r="B1877" s="485"/>
      <c r="C1877" s="20"/>
      <c r="D1877" s="12"/>
      <c r="E1877" s="12"/>
      <c r="F1877" s="12"/>
      <c r="G1877" s="12"/>
      <c r="H1877" s="20"/>
      <c r="I1877" s="187"/>
      <c r="J1877" s="187"/>
      <c r="K1877" s="187"/>
      <c r="L1877" s="187"/>
      <c r="M1877" s="187"/>
      <c r="N1877" s="187"/>
      <c r="O1877" s="187"/>
      <c r="P1877" s="187"/>
      <c r="Q1877" s="187"/>
      <c r="R1877" s="187"/>
      <c r="S1877" s="187"/>
      <c r="T1877" s="187"/>
      <c r="U1877" s="187"/>
      <c r="V1877" s="187"/>
      <c r="W1877" s="187"/>
      <c r="X1877" s="187"/>
      <c r="Y1877" s="187"/>
      <c r="Z1877" s="187"/>
      <c r="AA1877" s="187"/>
      <c r="AB1877" s="187"/>
      <c r="AC1877" s="187"/>
      <c r="AD1877" s="187"/>
      <c r="AE1877" s="187"/>
      <c r="AF1877" s="187"/>
      <c r="AG1877" s="187"/>
      <c r="AH1877" s="187"/>
      <c r="AI1877" s="187"/>
      <c r="AJ1877" s="187"/>
      <c r="AK1877" s="187"/>
      <c r="AL1877" s="187"/>
    </row>
    <row r="1878" spans="2:38" ht="12.75" customHeight="1">
      <c r="B1878" s="485"/>
      <c r="C1878" s="20"/>
      <c r="D1878" s="12"/>
      <c r="E1878" s="12"/>
      <c r="F1878" s="12"/>
      <c r="G1878" s="12"/>
      <c r="H1878" s="20"/>
      <c r="I1878" s="187"/>
      <c r="J1878" s="187"/>
      <c r="K1878" s="187"/>
      <c r="L1878" s="187"/>
      <c r="M1878" s="187"/>
      <c r="N1878" s="187"/>
      <c r="O1878" s="187"/>
      <c r="P1878" s="187"/>
      <c r="Q1878" s="187"/>
      <c r="R1878" s="187"/>
      <c r="S1878" s="187"/>
      <c r="T1878" s="187"/>
      <c r="U1878" s="187"/>
      <c r="V1878" s="187"/>
      <c r="W1878" s="187"/>
      <c r="X1878" s="187"/>
      <c r="Y1878" s="187"/>
      <c r="Z1878" s="187"/>
      <c r="AA1878" s="187"/>
      <c r="AB1878" s="187"/>
      <c r="AC1878" s="187"/>
      <c r="AD1878" s="187"/>
      <c r="AE1878" s="187"/>
      <c r="AF1878" s="187"/>
      <c r="AG1878" s="187"/>
      <c r="AH1878" s="187"/>
      <c r="AI1878" s="187"/>
      <c r="AJ1878" s="187"/>
      <c r="AK1878" s="187"/>
      <c r="AL1878" s="187"/>
    </row>
    <row r="1879" spans="2:38" ht="12.75" customHeight="1">
      <c r="B1879" s="485"/>
      <c r="C1879" s="20"/>
      <c r="D1879" s="12"/>
      <c r="E1879" s="12"/>
      <c r="F1879" s="12"/>
      <c r="G1879" s="12"/>
      <c r="H1879" s="20"/>
      <c r="I1879" s="187"/>
      <c r="J1879" s="187"/>
      <c r="K1879" s="187"/>
      <c r="L1879" s="187"/>
      <c r="M1879" s="187"/>
      <c r="N1879" s="187"/>
      <c r="O1879" s="187"/>
      <c r="P1879" s="187"/>
      <c r="Q1879" s="187"/>
      <c r="R1879" s="187"/>
      <c r="S1879" s="187"/>
      <c r="T1879" s="187"/>
      <c r="U1879" s="187"/>
      <c r="V1879" s="187"/>
      <c r="W1879" s="187"/>
      <c r="X1879" s="187"/>
      <c r="Y1879" s="187"/>
      <c r="Z1879" s="187"/>
      <c r="AA1879" s="187"/>
      <c r="AB1879" s="187"/>
      <c r="AC1879" s="187"/>
      <c r="AD1879" s="187"/>
      <c r="AE1879" s="187"/>
      <c r="AF1879" s="187"/>
      <c r="AG1879" s="187"/>
      <c r="AH1879" s="187"/>
      <c r="AI1879" s="187"/>
      <c r="AJ1879" s="187"/>
      <c r="AK1879" s="187"/>
      <c r="AL1879" s="187"/>
    </row>
    <row r="1880" spans="2:38" ht="12.75" customHeight="1">
      <c r="B1880" s="485"/>
      <c r="C1880" s="20"/>
      <c r="D1880" s="12"/>
      <c r="E1880" s="12"/>
      <c r="F1880" s="12"/>
      <c r="G1880" s="12"/>
      <c r="H1880" s="20"/>
      <c r="I1880" s="187"/>
      <c r="J1880" s="187"/>
      <c r="K1880" s="187"/>
      <c r="L1880" s="187"/>
      <c r="M1880" s="187"/>
      <c r="N1880" s="187"/>
      <c r="O1880" s="187"/>
      <c r="P1880" s="187"/>
      <c r="Q1880" s="187"/>
      <c r="R1880" s="187"/>
      <c r="S1880" s="187"/>
      <c r="T1880" s="187"/>
      <c r="U1880" s="187"/>
      <c r="V1880" s="187"/>
      <c r="W1880" s="187"/>
      <c r="X1880" s="187"/>
      <c r="Y1880" s="187"/>
      <c r="Z1880" s="187"/>
      <c r="AA1880" s="187"/>
      <c r="AB1880" s="187"/>
      <c r="AC1880" s="187"/>
      <c r="AD1880" s="187"/>
      <c r="AE1880" s="187"/>
      <c r="AF1880" s="187"/>
      <c r="AG1880" s="187"/>
      <c r="AH1880" s="187"/>
      <c r="AI1880" s="187"/>
      <c r="AJ1880" s="187"/>
      <c r="AK1880" s="187"/>
      <c r="AL1880" s="187"/>
    </row>
    <row r="1881" spans="2:38" ht="12.75" customHeight="1">
      <c r="B1881" s="485"/>
      <c r="C1881" s="20"/>
      <c r="D1881" s="12"/>
      <c r="E1881" s="12"/>
      <c r="F1881" s="12"/>
      <c r="G1881" s="12"/>
      <c r="H1881" s="20"/>
      <c r="I1881" s="187"/>
      <c r="J1881" s="187"/>
      <c r="K1881" s="187"/>
      <c r="L1881" s="187"/>
      <c r="M1881" s="187"/>
      <c r="N1881" s="187"/>
      <c r="O1881" s="187"/>
      <c r="P1881" s="187"/>
      <c r="Q1881" s="187"/>
      <c r="R1881" s="187"/>
      <c r="S1881" s="187"/>
      <c r="T1881" s="187"/>
      <c r="U1881" s="187"/>
      <c r="V1881" s="187"/>
      <c r="W1881" s="187"/>
      <c r="X1881" s="187"/>
      <c r="Y1881" s="187"/>
      <c r="Z1881" s="187"/>
      <c r="AA1881" s="187"/>
      <c r="AB1881" s="187"/>
      <c r="AC1881" s="187"/>
      <c r="AD1881" s="187"/>
      <c r="AE1881" s="187"/>
      <c r="AF1881" s="187"/>
      <c r="AG1881" s="187"/>
      <c r="AH1881" s="187"/>
      <c r="AI1881" s="187"/>
      <c r="AJ1881" s="187"/>
      <c r="AK1881" s="187"/>
      <c r="AL1881" s="187"/>
    </row>
    <row r="1882" spans="2:38" ht="12.75" customHeight="1">
      <c r="B1882" s="485"/>
      <c r="C1882" s="20"/>
      <c r="D1882" s="12"/>
      <c r="E1882" s="12"/>
      <c r="F1882" s="12"/>
      <c r="G1882" s="12"/>
      <c r="H1882" s="20"/>
      <c r="I1882" s="187"/>
      <c r="J1882" s="187"/>
      <c r="K1882" s="187"/>
      <c r="L1882" s="187"/>
      <c r="M1882" s="187"/>
      <c r="N1882" s="187"/>
      <c r="O1882" s="187"/>
      <c r="P1882" s="187"/>
      <c r="Q1882" s="187"/>
      <c r="R1882" s="187"/>
      <c r="S1882" s="187"/>
      <c r="T1882" s="187"/>
      <c r="U1882" s="187"/>
      <c r="V1882" s="187"/>
      <c r="W1882" s="187"/>
      <c r="X1882" s="187"/>
      <c r="Y1882" s="187"/>
      <c r="Z1882" s="187"/>
      <c r="AA1882" s="187"/>
      <c r="AB1882" s="187"/>
      <c r="AC1882" s="187"/>
      <c r="AD1882" s="187"/>
      <c r="AE1882" s="187"/>
      <c r="AF1882" s="187"/>
      <c r="AG1882" s="187"/>
      <c r="AH1882" s="187"/>
      <c r="AI1882" s="187"/>
      <c r="AJ1882" s="187"/>
      <c r="AK1882" s="187"/>
      <c r="AL1882" s="187"/>
    </row>
    <row r="1883" spans="2:38" ht="12.75" customHeight="1">
      <c r="B1883" s="485"/>
      <c r="C1883" s="20"/>
      <c r="D1883" s="12"/>
      <c r="E1883" s="12"/>
      <c r="F1883" s="12"/>
      <c r="G1883" s="12"/>
      <c r="H1883" s="20"/>
      <c r="I1883" s="187"/>
      <c r="J1883" s="187"/>
      <c r="K1883" s="187"/>
      <c r="L1883" s="187"/>
      <c r="M1883" s="187"/>
      <c r="N1883" s="187"/>
      <c r="O1883" s="187"/>
      <c r="P1883" s="187"/>
      <c r="Q1883" s="187"/>
      <c r="R1883" s="187"/>
      <c r="S1883" s="187"/>
      <c r="T1883" s="187"/>
      <c r="U1883" s="187"/>
      <c r="V1883" s="187"/>
      <c r="W1883" s="187"/>
      <c r="X1883" s="187"/>
      <c r="Y1883" s="187"/>
      <c r="Z1883" s="187"/>
      <c r="AA1883" s="187"/>
      <c r="AB1883" s="187"/>
      <c r="AC1883" s="187"/>
      <c r="AD1883" s="187"/>
      <c r="AE1883" s="187"/>
      <c r="AF1883" s="187"/>
      <c r="AG1883" s="187"/>
      <c r="AH1883" s="187"/>
      <c r="AI1883" s="187"/>
      <c r="AJ1883" s="187"/>
      <c r="AK1883" s="187"/>
      <c r="AL1883" s="187"/>
    </row>
    <row r="1884" spans="2:38" ht="12.75" customHeight="1">
      <c r="B1884" s="485"/>
      <c r="C1884" s="20"/>
      <c r="D1884" s="12"/>
      <c r="E1884" s="12"/>
      <c r="F1884" s="12"/>
      <c r="G1884" s="12"/>
      <c r="H1884" s="20"/>
      <c r="I1884" s="187"/>
      <c r="J1884" s="187"/>
      <c r="K1884" s="187"/>
      <c r="L1884" s="187"/>
      <c r="M1884" s="187"/>
      <c r="N1884" s="187"/>
      <c r="O1884" s="187"/>
      <c r="P1884" s="187"/>
      <c r="Q1884" s="187"/>
      <c r="R1884" s="187"/>
      <c r="S1884" s="187"/>
      <c r="T1884" s="187"/>
      <c r="U1884" s="187"/>
      <c r="V1884" s="187"/>
      <c r="W1884" s="187"/>
      <c r="X1884" s="187"/>
      <c r="Y1884" s="187"/>
      <c r="Z1884" s="187"/>
      <c r="AA1884" s="187"/>
      <c r="AB1884" s="187"/>
      <c r="AC1884" s="187"/>
      <c r="AD1884" s="187"/>
      <c r="AE1884" s="187"/>
      <c r="AF1884" s="187"/>
      <c r="AG1884" s="187"/>
      <c r="AH1884" s="187"/>
      <c r="AI1884" s="187"/>
      <c r="AJ1884" s="187"/>
      <c r="AK1884" s="187"/>
      <c r="AL1884" s="187"/>
    </row>
    <row r="1885" spans="2:38" ht="12.75" customHeight="1">
      <c r="B1885" s="485"/>
      <c r="C1885" s="20"/>
      <c r="D1885" s="12"/>
      <c r="E1885" s="12"/>
      <c r="F1885" s="12"/>
      <c r="G1885" s="12"/>
      <c r="H1885" s="20"/>
      <c r="I1885" s="187"/>
      <c r="J1885" s="187"/>
      <c r="K1885" s="187"/>
      <c r="L1885" s="187"/>
      <c r="M1885" s="187"/>
      <c r="N1885" s="187"/>
      <c r="O1885" s="187"/>
      <c r="P1885" s="187"/>
      <c r="Q1885" s="187"/>
      <c r="R1885" s="187"/>
      <c r="S1885" s="187"/>
      <c r="T1885" s="187"/>
      <c r="U1885" s="187"/>
      <c r="V1885" s="187"/>
      <c r="W1885" s="187"/>
      <c r="X1885" s="187"/>
      <c r="Y1885" s="187"/>
      <c r="Z1885" s="187"/>
      <c r="AA1885" s="187"/>
      <c r="AB1885" s="187"/>
      <c r="AC1885" s="187"/>
      <c r="AD1885" s="187"/>
      <c r="AE1885" s="187"/>
      <c r="AF1885" s="187"/>
      <c r="AG1885" s="187"/>
      <c r="AH1885" s="187"/>
      <c r="AI1885" s="187"/>
      <c r="AJ1885" s="187"/>
      <c r="AK1885" s="187"/>
      <c r="AL1885" s="187"/>
    </row>
    <row r="1886" spans="2:38" ht="12.75" customHeight="1">
      <c r="B1886" s="485"/>
      <c r="C1886" s="20"/>
      <c r="D1886" s="12"/>
      <c r="E1886" s="12"/>
      <c r="F1886" s="12"/>
      <c r="G1886" s="12"/>
      <c r="H1886" s="20"/>
      <c r="I1886" s="187"/>
      <c r="J1886" s="187"/>
      <c r="K1886" s="187"/>
      <c r="L1886" s="187"/>
      <c r="M1886" s="187"/>
      <c r="N1886" s="187"/>
      <c r="O1886" s="187"/>
      <c r="P1886" s="187"/>
      <c r="Q1886" s="187"/>
      <c r="R1886" s="187"/>
      <c r="S1886" s="187"/>
      <c r="T1886" s="187"/>
      <c r="U1886" s="187"/>
      <c r="V1886" s="187"/>
      <c r="W1886" s="187"/>
      <c r="X1886" s="187"/>
      <c r="Y1886" s="187"/>
      <c r="Z1886" s="187"/>
      <c r="AA1886" s="187"/>
      <c r="AB1886" s="187"/>
      <c r="AC1886" s="187"/>
      <c r="AD1886" s="187"/>
      <c r="AE1886" s="187"/>
      <c r="AF1886" s="187"/>
      <c r="AG1886" s="187"/>
      <c r="AH1886" s="187"/>
      <c r="AI1886" s="187"/>
      <c r="AJ1886" s="187"/>
      <c r="AK1886" s="187"/>
      <c r="AL1886" s="187"/>
    </row>
    <row r="1887" spans="2:38" ht="12.75" customHeight="1">
      <c r="B1887" s="485"/>
      <c r="C1887" s="20"/>
      <c r="D1887" s="12"/>
      <c r="E1887" s="12"/>
      <c r="F1887" s="12"/>
      <c r="G1887" s="12"/>
      <c r="H1887" s="20"/>
      <c r="I1887" s="187"/>
      <c r="J1887" s="187"/>
      <c r="K1887" s="187"/>
      <c r="L1887" s="187"/>
      <c r="M1887" s="187"/>
      <c r="N1887" s="187"/>
      <c r="O1887" s="187"/>
      <c r="P1887" s="187"/>
      <c r="Q1887" s="187"/>
      <c r="R1887" s="187"/>
      <c r="S1887" s="187"/>
      <c r="T1887" s="187"/>
      <c r="U1887" s="187"/>
      <c r="V1887" s="187"/>
      <c r="W1887" s="187"/>
      <c r="X1887" s="187"/>
      <c r="Y1887" s="187"/>
      <c r="Z1887" s="187"/>
      <c r="AA1887" s="187"/>
      <c r="AB1887" s="187"/>
      <c r="AC1887" s="187"/>
      <c r="AD1887" s="187"/>
      <c r="AE1887" s="187"/>
      <c r="AF1887" s="187"/>
      <c r="AG1887" s="187"/>
      <c r="AH1887" s="187"/>
      <c r="AI1887" s="187"/>
      <c r="AJ1887" s="187"/>
      <c r="AK1887" s="187"/>
      <c r="AL1887" s="187"/>
    </row>
    <row r="1888" spans="2:38" ht="12.75" customHeight="1">
      <c r="B1888" s="485"/>
      <c r="C1888" s="20"/>
      <c r="D1888" s="12"/>
      <c r="E1888" s="12"/>
      <c r="F1888" s="12"/>
      <c r="G1888" s="12"/>
      <c r="H1888" s="20"/>
      <c r="I1888" s="187"/>
      <c r="J1888" s="187"/>
      <c r="K1888" s="187"/>
      <c r="L1888" s="187"/>
      <c r="M1888" s="187"/>
      <c r="N1888" s="187"/>
      <c r="O1888" s="187"/>
      <c r="P1888" s="187"/>
      <c r="Q1888" s="187"/>
      <c r="R1888" s="187"/>
      <c r="S1888" s="187"/>
      <c r="T1888" s="187"/>
      <c r="U1888" s="187"/>
      <c r="V1888" s="187"/>
      <c r="W1888" s="187"/>
      <c r="X1888" s="187"/>
      <c r="Y1888" s="187"/>
      <c r="Z1888" s="187"/>
      <c r="AA1888" s="187"/>
      <c r="AB1888" s="187"/>
      <c r="AC1888" s="187"/>
      <c r="AD1888" s="187"/>
      <c r="AE1888" s="187"/>
      <c r="AF1888" s="187"/>
      <c r="AG1888" s="187"/>
      <c r="AH1888" s="187"/>
      <c r="AI1888" s="187"/>
      <c r="AJ1888" s="187"/>
      <c r="AK1888" s="187"/>
      <c r="AL1888" s="187"/>
    </row>
    <row r="1889" spans="2:38" ht="12.75" customHeight="1">
      <c r="B1889" s="485"/>
      <c r="C1889" s="20"/>
      <c r="D1889" s="12"/>
      <c r="E1889" s="12"/>
      <c r="F1889" s="12"/>
      <c r="G1889" s="12"/>
      <c r="H1889" s="20"/>
      <c r="I1889" s="187"/>
      <c r="J1889" s="187"/>
      <c r="K1889" s="187"/>
      <c r="L1889" s="187"/>
      <c r="M1889" s="187"/>
      <c r="N1889" s="187"/>
      <c r="O1889" s="187"/>
      <c r="P1889" s="187"/>
      <c r="Q1889" s="187"/>
      <c r="R1889" s="187"/>
      <c r="S1889" s="187"/>
      <c r="T1889" s="187"/>
      <c r="U1889" s="187"/>
      <c r="V1889" s="187"/>
      <c r="W1889" s="187"/>
      <c r="X1889" s="187"/>
      <c r="Y1889" s="187"/>
      <c r="Z1889" s="187"/>
      <c r="AA1889" s="187"/>
      <c r="AB1889" s="187"/>
      <c r="AC1889" s="187"/>
      <c r="AD1889" s="187"/>
      <c r="AE1889" s="187"/>
      <c r="AF1889" s="187"/>
      <c r="AG1889" s="187"/>
      <c r="AH1889" s="187"/>
      <c r="AI1889" s="187"/>
      <c r="AJ1889" s="187"/>
      <c r="AK1889" s="187"/>
      <c r="AL1889" s="187"/>
    </row>
    <row r="1890" spans="2:38" ht="12.75" customHeight="1">
      <c r="B1890" s="485"/>
      <c r="C1890" s="20"/>
      <c r="D1890" s="12"/>
      <c r="E1890" s="12"/>
      <c r="F1890" s="12"/>
      <c r="G1890" s="12"/>
      <c r="H1890" s="20"/>
      <c r="I1890" s="187"/>
      <c r="J1890" s="187"/>
      <c r="K1890" s="187"/>
      <c r="L1890" s="187"/>
      <c r="M1890" s="187"/>
      <c r="N1890" s="187"/>
      <c r="O1890" s="187"/>
      <c r="P1890" s="187"/>
      <c r="Q1890" s="187"/>
      <c r="R1890" s="187"/>
      <c r="S1890" s="187"/>
      <c r="T1890" s="187"/>
      <c r="U1890" s="187"/>
      <c r="V1890" s="187"/>
      <c r="W1890" s="187"/>
      <c r="X1890" s="187"/>
      <c r="Y1890" s="187"/>
      <c r="Z1890" s="187"/>
      <c r="AA1890" s="187"/>
      <c r="AB1890" s="187"/>
      <c r="AC1890" s="187"/>
      <c r="AD1890" s="187"/>
      <c r="AE1890" s="187"/>
      <c r="AF1890" s="187"/>
      <c r="AG1890" s="187"/>
      <c r="AH1890" s="187"/>
      <c r="AI1890" s="187"/>
      <c r="AJ1890" s="187"/>
      <c r="AK1890" s="187"/>
      <c r="AL1890" s="187"/>
    </row>
    <row r="1891" spans="2:38" ht="12.75" customHeight="1">
      <c r="B1891" s="485"/>
      <c r="C1891" s="20"/>
      <c r="D1891" s="12"/>
      <c r="E1891" s="12"/>
      <c r="F1891" s="12"/>
      <c r="G1891" s="12"/>
      <c r="H1891" s="20"/>
      <c r="I1891" s="187"/>
      <c r="J1891" s="187"/>
      <c r="K1891" s="187"/>
      <c r="L1891" s="187"/>
      <c r="M1891" s="187"/>
      <c r="N1891" s="187"/>
      <c r="O1891" s="187"/>
      <c r="P1891" s="187"/>
      <c r="Q1891" s="187"/>
      <c r="R1891" s="187"/>
      <c r="S1891" s="187"/>
      <c r="T1891" s="187"/>
      <c r="U1891" s="187"/>
      <c r="V1891" s="187"/>
      <c r="W1891" s="187"/>
      <c r="X1891" s="187"/>
      <c r="Y1891" s="187"/>
      <c r="Z1891" s="187"/>
      <c r="AA1891" s="187"/>
      <c r="AB1891" s="187"/>
      <c r="AC1891" s="187"/>
      <c r="AD1891" s="187"/>
      <c r="AE1891" s="187"/>
      <c r="AF1891" s="187"/>
      <c r="AG1891" s="187"/>
      <c r="AH1891" s="187"/>
      <c r="AI1891" s="187"/>
      <c r="AJ1891" s="187"/>
      <c r="AK1891" s="187"/>
      <c r="AL1891" s="187"/>
    </row>
    <row r="1892" spans="2:38" ht="12.75" customHeight="1">
      <c r="B1892" s="485"/>
      <c r="C1892" s="20"/>
      <c r="D1892" s="12"/>
      <c r="E1892" s="12"/>
      <c r="F1892" s="12"/>
      <c r="G1892" s="12"/>
      <c r="H1892" s="20"/>
      <c r="I1892" s="187"/>
      <c r="J1892" s="187"/>
      <c r="K1892" s="187"/>
      <c r="L1892" s="187"/>
      <c r="M1892" s="187"/>
      <c r="N1892" s="187"/>
      <c r="O1892" s="187"/>
      <c r="P1892" s="187"/>
      <c r="Q1892" s="187"/>
      <c r="R1892" s="187"/>
      <c r="S1892" s="187"/>
      <c r="T1892" s="187"/>
      <c r="U1892" s="187"/>
      <c r="V1892" s="187"/>
      <c r="W1892" s="187"/>
      <c r="X1892" s="187"/>
      <c r="Y1892" s="187"/>
      <c r="Z1892" s="187"/>
      <c r="AA1892" s="187"/>
      <c r="AB1892" s="187"/>
      <c r="AC1892" s="187"/>
      <c r="AD1892" s="187"/>
      <c r="AE1892" s="187"/>
      <c r="AF1892" s="187"/>
      <c r="AG1892" s="187"/>
      <c r="AH1892" s="187"/>
      <c r="AI1892" s="187"/>
      <c r="AJ1892" s="187"/>
      <c r="AK1892" s="187"/>
      <c r="AL1892" s="187"/>
    </row>
    <row r="1893" spans="2:38" ht="12.75" customHeight="1">
      <c r="B1893" s="485"/>
      <c r="C1893" s="20"/>
      <c r="D1893" s="12"/>
      <c r="E1893" s="12"/>
      <c r="F1893" s="12"/>
      <c r="G1893" s="12"/>
      <c r="H1893" s="20"/>
      <c r="I1893" s="187"/>
      <c r="J1893" s="187"/>
      <c r="K1893" s="187"/>
      <c r="L1893" s="187"/>
      <c r="M1893" s="187"/>
      <c r="N1893" s="187"/>
      <c r="O1893" s="187"/>
      <c r="P1893" s="187"/>
      <c r="Q1893" s="187"/>
      <c r="R1893" s="187"/>
      <c r="S1893" s="187"/>
      <c r="T1893" s="187"/>
      <c r="U1893" s="187"/>
      <c r="V1893" s="187"/>
      <c r="W1893" s="187"/>
      <c r="X1893" s="187"/>
      <c r="Y1893" s="187"/>
      <c r="Z1893" s="187"/>
      <c r="AA1893" s="187"/>
      <c r="AB1893" s="187"/>
      <c r="AC1893" s="187"/>
      <c r="AD1893" s="187"/>
      <c r="AE1893" s="187"/>
      <c r="AF1893" s="187"/>
      <c r="AG1893" s="187"/>
      <c r="AH1893" s="187"/>
      <c r="AI1893" s="187"/>
      <c r="AJ1893" s="187"/>
      <c r="AK1893" s="187"/>
      <c r="AL1893" s="187"/>
    </row>
    <row r="1894" spans="2:38" ht="12.75" customHeight="1">
      <c r="B1894" s="485"/>
      <c r="C1894" s="20"/>
      <c r="D1894" s="12"/>
      <c r="E1894" s="12"/>
      <c r="F1894" s="12"/>
      <c r="G1894" s="12"/>
      <c r="H1894" s="20"/>
      <c r="I1894" s="187"/>
      <c r="J1894" s="187"/>
      <c r="K1894" s="187"/>
      <c r="L1894" s="187"/>
      <c r="M1894" s="187"/>
      <c r="N1894" s="187"/>
      <c r="O1894" s="187"/>
      <c r="P1894" s="187"/>
      <c r="Q1894" s="187"/>
      <c r="R1894" s="187"/>
      <c r="S1894" s="187"/>
      <c r="T1894" s="187"/>
      <c r="U1894" s="187"/>
      <c r="V1894" s="187"/>
      <c r="W1894" s="187"/>
      <c r="X1894" s="187"/>
      <c r="Y1894" s="187"/>
      <c r="Z1894" s="187"/>
      <c r="AA1894" s="187"/>
      <c r="AB1894" s="187"/>
      <c r="AC1894" s="187"/>
      <c r="AD1894" s="187"/>
      <c r="AE1894" s="187"/>
      <c r="AF1894" s="187"/>
      <c r="AG1894" s="187"/>
      <c r="AH1894" s="187"/>
      <c r="AI1894" s="187"/>
      <c r="AJ1894" s="187"/>
      <c r="AK1894" s="187"/>
      <c r="AL1894" s="187"/>
    </row>
    <row r="1895" spans="2:38" ht="12.75" customHeight="1">
      <c r="B1895" s="485"/>
      <c r="C1895" s="20"/>
      <c r="D1895" s="12"/>
      <c r="E1895" s="12"/>
      <c r="F1895" s="12"/>
      <c r="G1895" s="12"/>
      <c r="H1895" s="20"/>
      <c r="I1895" s="187"/>
      <c r="J1895" s="187"/>
      <c r="K1895" s="187"/>
      <c r="L1895" s="187"/>
      <c r="M1895" s="187"/>
      <c r="N1895" s="187"/>
      <c r="O1895" s="187"/>
      <c r="P1895" s="187"/>
      <c r="Q1895" s="187"/>
      <c r="R1895" s="187"/>
      <c r="S1895" s="187"/>
      <c r="T1895" s="187"/>
      <c r="U1895" s="187"/>
      <c r="V1895" s="187"/>
      <c r="W1895" s="187"/>
      <c r="X1895" s="187"/>
      <c r="Y1895" s="187"/>
      <c r="Z1895" s="187"/>
      <c r="AA1895" s="187"/>
      <c r="AB1895" s="187"/>
      <c r="AC1895" s="187"/>
      <c r="AD1895" s="187"/>
      <c r="AE1895" s="187"/>
      <c r="AF1895" s="187"/>
      <c r="AG1895" s="187"/>
      <c r="AH1895" s="187"/>
      <c r="AI1895" s="187"/>
      <c r="AJ1895" s="187"/>
      <c r="AK1895" s="187"/>
      <c r="AL1895" s="187"/>
    </row>
    <row r="1896" spans="2:38" ht="12.75" customHeight="1">
      <c r="B1896" s="485"/>
      <c r="C1896" s="20"/>
      <c r="D1896" s="12"/>
      <c r="E1896" s="12"/>
      <c r="F1896" s="12"/>
      <c r="G1896" s="12"/>
      <c r="H1896" s="20"/>
      <c r="I1896" s="187"/>
      <c r="J1896" s="187"/>
      <c r="K1896" s="187"/>
      <c r="L1896" s="187"/>
      <c r="M1896" s="187"/>
      <c r="N1896" s="187"/>
      <c r="O1896" s="187"/>
      <c r="P1896" s="187"/>
      <c r="Q1896" s="187"/>
      <c r="R1896" s="187"/>
      <c r="S1896" s="187"/>
      <c r="T1896" s="187"/>
      <c r="U1896" s="187"/>
      <c r="V1896" s="187"/>
      <c r="W1896" s="187"/>
      <c r="X1896" s="187"/>
      <c r="Y1896" s="187"/>
      <c r="Z1896" s="187"/>
      <c r="AA1896" s="187"/>
      <c r="AB1896" s="187"/>
      <c r="AC1896" s="187"/>
      <c r="AD1896" s="187"/>
      <c r="AE1896" s="187"/>
      <c r="AF1896" s="187"/>
      <c r="AG1896" s="187"/>
      <c r="AH1896" s="187"/>
      <c r="AI1896" s="187"/>
      <c r="AJ1896" s="187"/>
      <c r="AK1896" s="187"/>
      <c r="AL1896" s="187"/>
    </row>
    <row r="1897" spans="2:38" ht="12.75" customHeight="1">
      <c r="B1897" s="485"/>
      <c r="C1897" s="20"/>
      <c r="D1897" s="12"/>
      <c r="E1897" s="12"/>
      <c r="F1897" s="12"/>
      <c r="G1897" s="12"/>
      <c r="H1897" s="20"/>
      <c r="I1897" s="187"/>
      <c r="J1897" s="187"/>
      <c r="K1897" s="187"/>
      <c r="L1897" s="187"/>
      <c r="M1897" s="187"/>
      <c r="N1897" s="187"/>
      <c r="O1897" s="187"/>
      <c r="P1897" s="187"/>
      <c r="Q1897" s="187"/>
      <c r="R1897" s="187"/>
      <c r="S1897" s="187"/>
      <c r="T1897" s="187"/>
      <c r="U1897" s="187"/>
      <c r="V1897" s="187"/>
      <c r="W1897" s="187"/>
      <c r="X1897" s="187"/>
      <c r="Y1897" s="187"/>
      <c r="Z1897" s="187"/>
      <c r="AA1897" s="187"/>
      <c r="AB1897" s="187"/>
      <c r="AC1897" s="187"/>
      <c r="AD1897" s="187"/>
      <c r="AE1897" s="187"/>
      <c r="AF1897" s="187"/>
      <c r="AG1897" s="187"/>
      <c r="AH1897" s="187"/>
      <c r="AI1897" s="187"/>
      <c r="AJ1897" s="187"/>
      <c r="AK1897" s="187"/>
      <c r="AL1897" s="187"/>
    </row>
    <row r="1898" spans="2:38" ht="12.75" customHeight="1">
      <c r="B1898" s="485"/>
      <c r="C1898" s="20"/>
      <c r="D1898" s="12"/>
      <c r="E1898" s="12"/>
      <c r="F1898" s="12"/>
      <c r="G1898" s="12"/>
      <c r="H1898" s="20"/>
      <c r="I1898" s="187"/>
      <c r="J1898" s="187"/>
      <c r="K1898" s="187"/>
      <c r="L1898" s="187"/>
      <c r="M1898" s="187"/>
      <c r="N1898" s="187"/>
      <c r="O1898" s="187"/>
      <c r="P1898" s="187"/>
      <c r="Q1898" s="187"/>
      <c r="R1898" s="187"/>
      <c r="S1898" s="187"/>
      <c r="T1898" s="187"/>
      <c r="U1898" s="187"/>
      <c r="V1898" s="187"/>
      <c r="W1898" s="187"/>
      <c r="X1898" s="187"/>
      <c r="Y1898" s="187"/>
      <c r="Z1898" s="187"/>
      <c r="AA1898" s="187"/>
      <c r="AB1898" s="187"/>
      <c r="AC1898" s="187"/>
      <c r="AD1898" s="187"/>
      <c r="AE1898" s="187"/>
      <c r="AF1898" s="187"/>
      <c r="AG1898" s="187"/>
      <c r="AH1898" s="187"/>
      <c r="AI1898" s="187"/>
      <c r="AJ1898" s="187"/>
      <c r="AK1898" s="187"/>
      <c r="AL1898" s="187"/>
    </row>
    <row r="1899" spans="2:38" ht="12.75" customHeight="1">
      <c r="B1899" s="485"/>
      <c r="C1899" s="20"/>
      <c r="D1899" s="12"/>
      <c r="E1899" s="12"/>
      <c r="F1899" s="12"/>
      <c r="G1899" s="12"/>
      <c r="H1899" s="20"/>
      <c r="I1899" s="187"/>
      <c r="J1899" s="187"/>
      <c r="K1899" s="187"/>
      <c r="L1899" s="187"/>
      <c r="M1899" s="187"/>
      <c r="N1899" s="187"/>
      <c r="O1899" s="187"/>
      <c r="P1899" s="187"/>
      <c r="Q1899" s="187"/>
      <c r="R1899" s="187"/>
      <c r="S1899" s="187"/>
      <c r="T1899" s="187"/>
      <c r="U1899" s="187"/>
      <c r="V1899" s="187"/>
      <c r="W1899" s="187"/>
      <c r="X1899" s="187"/>
      <c r="Y1899" s="187"/>
      <c r="Z1899" s="187"/>
      <c r="AA1899" s="187"/>
      <c r="AB1899" s="187"/>
      <c r="AC1899" s="187"/>
      <c r="AD1899" s="187"/>
      <c r="AE1899" s="187"/>
      <c r="AF1899" s="187"/>
      <c r="AG1899" s="187"/>
      <c r="AH1899" s="187"/>
      <c r="AI1899" s="187"/>
      <c r="AJ1899" s="187"/>
      <c r="AK1899" s="187"/>
      <c r="AL1899" s="187"/>
    </row>
    <row r="1900" spans="2:38" ht="12.75" customHeight="1">
      <c r="B1900" s="485"/>
      <c r="C1900" s="20"/>
      <c r="D1900" s="12"/>
      <c r="E1900" s="12"/>
      <c r="F1900" s="12"/>
      <c r="G1900" s="12"/>
      <c r="H1900" s="20"/>
      <c r="I1900" s="187"/>
      <c r="J1900" s="187"/>
      <c r="K1900" s="187"/>
      <c r="L1900" s="187"/>
      <c r="M1900" s="187"/>
      <c r="N1900" s="187"/>
      <c r="O1900" s="187"/>
      <c r="P1900" s="187"/>
      <c r="Q1900" s="187"/>
      <c r="R1900" s="187"/>
      <c r="S1900" s="187"/>
      <c r="T1900" s="187"/>
      <c r="U1900" s="187"/>
      <c r="V1900" s="187"/>
      <c r="W1900" s="187"/>
      <c r="X1900" s="187"/>
      <c r="Y1900" s="187"/>
      <c r="Z1900" s="187"/>
      <c r="AA1900" s="187"/>
      <c r="AB1900" s="187"/>
      <c r="AC1900" s="187"/>
      <c r="AD1900" s="187"/>
      <c r="AE1900" s="187"/>
      <c r="AF1900" s="187"/>
      <c r="AG1900" s="187"/>
      <c r="AH1900" s="187"/>
      <c r="AI1900" s="187"/>
      <c r="AJ1900" s="187"/>
      <c r="AK1900" s="187"/>
      <c r="AL1900" s="187"/>
    </row>
    <row r="1901" spans="2:38" ht="12.75" customHeight="1">
      <c r="B1901" s="485"/>
      <c r="C1901" s="20"/>
      <c r="D1901" s="12"/>
      <c r="E1901" s="12"/>
      <c r="F1901" s="12"/>
      <c r="G1901" s="12"/>
      <c r="H1901" s="20"/>
      <c r="I1901" s="187"/>
      <c r="J1901" s="187"/>
      <c r="K1901" s="187"/>
      <c r="L1901" s="187"/>
      <c r="M1901" s="187"/>
      <c r="N1901" s="187"/>
      <c r="O1901" s="187"/>
      <c r="P1901" s="187"/>
      <c r="Q1901" s="187"/>
      <c r="R1901" s="187"/>
      <c r="S1901" s="187"/>
      <c r="T1901" s="187"/>
      <c r="U1901" s="187"/>
      <c r="V1901" s="187"/>
      <c r="W1901" s="187"/>
      <c r="X1901" s="187"/>
      <c r="Y1901" s="187"/>
      <c r="Z1901" s="187"/>
      <c r="AA1901" s="187"/>
      <c r="AB1901" s="187"/>
      <c r="AC1901" s="187"/>
      <c r="AD1901" s="187"/>
      <c r="AE1901" s="187"/>
      <c r="AF1901" s="187"/>
      <c r="AG1901" s="187"/>
      <c r="AH1901" s="187"/>
      <c r="AI1901" s="187"/>
      <c r="AJ1901" s="187"/>
      <c r="AK1901" s="187"/>
      <c r="AL1901" s="187"/>
    </row>
    <row r="1902" spans="2:38" ht="12.75" customHeight="1">
      <c r="B1902" s="485"/>
      <c r="C1902" s="20"/>
      <c r="D1902" s="12"/>
      <c r="E1902" s="12"/>
      <c r="F1902" s="12"/>
      <c r="G1902" s="12"/>
      <c r="H1902" s="20"/>
      <c r="I1902" s="187"/>
      <c r="J1902" s="187"/>
      <c r="K1902" s="187"/>
      <c r="L1902" s="187"/>
      <c r="M1902" s="187"/>
      <c r="N1902" s="187"/>
      <c r="O1902" s="187"/>
      <c r="P1902" s="187"/>
      <c r="Q1902" s="187"/>
      <c r="R1902" s="187"/>
      <c r="S1902" s="187"/>
      <c r="T1902" s="187"/>
      <c r="U1902" s="187"/>
      <c r="V1902" s="187"/>
      <c r="W1902" s="187"/>
      <c r="X1902" s="187"/>
      <c r="Y1902" s="187"/>
      <c r="Z1902" s="187"/>
      <c r="AA1902" s="187"/>
      <c r="AB1902" s="187"/>
      <c r="AC1902" s="187"/>
      <c r="AD1902" s="187"/>
      <c r="AE1902" s="187"/>
      <c r="AF1902" s="187"/>
      <c r="AG1902" s="187"/>
      <c r="AH1902" s="187"/>
      <c r="AI1902" s="187"/>
      <c r="AJ1902" s="187"/>
      <c r="AK1902" s="187"/>
      <c r="AL1902" s="187"/>
    </row>
    <row r="1903" spans="2:38" ht="12.75" customHeight="1">
      <c r="B1903" s="485"/>
      <c r="C1903" s="20"/>
      <c r="D1903" s="12"/>
      <c r="E1903" s="12"/>
      <c r="F1903" s="12"/>
      <c r="G1903" s="12"/>
      <c r="H1903" s="20"/>
      <c r="I1903" s="187"/>
      <c r="J1903" s="187"/>
      <c r="K1903" s="187"/>
      <c r="L1903" s="187"/>
      <c r="M1903" s="187"/>
      <c r="N1903" s="187"/>
      <c r="O1903" s="187"/>
      <c r="P1903" s="187"/>
      <c r="Q1903" s="187"/>
      <c r="R1903" s="187"/>
      <c r="S1903" s="187"/>
      <c r="T1903" s="187"/>
      <c r="U1903" s="187"/>
      <c r="V1903" s="187"/>
      <c r="W1903" s="187"/>
      <c r="X1903" s="187"/>
      <c r="Y1903" s="187"/>
      <c r="Z1903" s="187"/>
      <c r="AA1903" s="187"/>
      <c r="AB1903" s="187"/>
      <c r="AC1903" s="187"/>
      <c r="AD1903" s="187"/>
      <c r="AE1903" s="187"/>
      <c r="AF1903" s="187"/>
      <c r="AG1903" s="187"/>
      <c r="AH1903" s="187"/>
      <c r="AI1903" s="187"/>
      <c r="AJ1903" s="187"/>
      <c r="AK1903" s="187"/>
      <c r="AL1903" s="187"/>
    </row>
    <row r="1904" spans="2:38" ht="12.75" customHeight="1">
      <c r="B1904" s="485"/>
      <c r="C1904" s="20"/>
      <c r="D1904" s="12"/>
      <c r="E1904" s="12"/>
      <c r="F1904" s="12"/>
      <c r="G1904" s="12"/>
      <c r="H1904" s="20"/>
      <c r="I1904" s="187"/>
      <c r="J1904" s="187"/>
      <c r="K1904" s="187"/>
      <c r="L1904" s="187"/>
      <c r="M1904" s="187"/>
      <c r="N1904" s="187"/>
      <c r="O1904" s="187"/>
      <c r="P1904" s="187"/>
      <c r="Q1904" s="187"/>
      <c r="R1904" s="187"/>
      <c r="S1904" s="187"/>
      <c r="T1904" s="187"/>
      <c r="U1904" s="187"/>
      <c r="V1904" s="187"/>
      <c r="W1904" s="187"/>
      <c r="X1904" s="187"/>
      <c r="Y1904" s="187"/>
      <c r="Z1904" s="187"/>
      <c r="AA1904" s="187"/>
      <c r="AB1904" s="187"/>
      <c r="AC1904" s="187"/>
      <c r="AD1904" s="187"/>
      <c r="AE1904" s="187"/>
      <c r="AF1904" s="187"/>
      <c r="AG1904" s="187"/>
      <c r="AH1904" s="187"/>
      <c r="AI1904" s="187"/>
      <c r="AJ1904" s="187"/>
      <c r="AK1904" s="187"/>
      <c r="AL1904" s="187"/>
    </row>
    <row r="1905" spans="2:38" ht="12.75" customHeight="1">
      <c r="B1905" s="485"/>
      <c r="C1905" s="20"/>
      <c r="D1905" s="12"/>
      <c r="E1905" s="12"/>
      <c r="F1905" s="12"/>
      <c r="G1905" s="12"/>
      <c r="H1905" s="20"/>
      <c r="I1905" s="187"/>
      <c r="J1905" s="187"/>
      <c r="K1905" s="187"/>
      <c r="L1905" s="187"/>
      <c r="M1905" s="187"/>
      <c r="N1905" s="187"/>
      <c r="O1905" s="187"/>
      <c r="P1905" s="187"/>
      <c r="Q1905" s="187"/>
      <c r="R1905" s="187"/>
      <c r="S1905" s="187"/>
      <c r="T1905" s="187"/>
      <c r="U1905" s="187"/>
      <c r="V1905" s="187"/>
      <c r="W1905" s="187"/>
      <c r="X1905" s="187"/>
      <c r="Y1905" s="187"/>
      <c r="Z1905" s="187"/>
      <c r="AA1905" s="187"/>
      <c r="AB1905" s="187"/>
      <c r="AC1905" s="187"/>
      <c r="AD1905" s="187"/>
      <c r="AE1905" s="187"/>
      <c r="AF1905" s="187"/>
      <c r="AG1905" s="187"/>
      <c r="AH1905" s="187"/>
      <c r="AI1905" s="187"/>
      <c r="AJ1905" s="187"/>
      <c r="AK1905" s="187"/>
      <c r="AL1905" s="187"/>
    </row>
    <row r="1906" spans="2:38" ht="12.75" customHeight="1">
      <c r="B1906" s="485"/>
      <c r="C1906" s="20"/>
      <c r="D1906" s="12"/>
      <c r="E1906" s="12"/>
      <c r="F1906" s="12"/>
      <c r="G1906" s="12"/>
      <c r="H1906" s="20"/>
      <c r="I1906" s="187"/>
      <c r="J1906" s="187"/>
      <c r="K1906" s="187"/>
      <c r="L1906" s="187"/>
      <c r="M1906" s="187"/>
      <c r="N1906" s="187"/>
      <c r="O1906" s="187"/>
      <c r="P1906" s="187"/>
      <c r="Q1906" s="187"/>
      <c r="R1906" s="187"/>
      <c r="S1906" s="187"/>
      <c r="T1906" s="187"/>
      <c r="U1906" s="187"/>
      <c r="V1906" s="187"/>
      <c r="W1906" s="187"/>
      <c r="X1906" s="187"/>
      <c r="Y1906" s="187"/>
      <c r="Z1906" s="187"/>
      <c r="AA1906" s="187"/>
      <c r="AB1906" s="187"/>
      <c r="AC1906" s="187"/>
      <c r="AD1906" s="187"/>
      <c r="AE1906" s="187"/>
      <c r="AF1906" s="187"/>
      <c r="AG1906" s="187"/>
      <c r="AH1906" s="187"/>
      <c r="AI1906" s="187"/>
      <c r="AJ1906" s="187"/>
      <c r="AK1906" s="187"/>
      <c r="AL1906" s="187"/>
    </row>
    <row r="1907" spans="2:38" ht="12.75" customHeight="1">
      <c r="B1907" s="485"/>
      <c r="C1907" s="20"/>
      <c r="D1907" s="12"/>
      <c r="E1907" s="12"/>
      <c r="F1907" s="12"/>
      <c r="G1907" s="12"/>
      <c r="H1907" s="20"/>
      <c r="I1907" s="187"/>
      <c r="J1907" s="187"/>
      <c r="K1907" s="187"/>
      <c r="L1907" s="187"/>
      <c r="M1907" s="187"/>
      <c r="N1907" s="187"/>
      <c r="O1907" s="187"/>
      <c r="P1907" s="187"/>
      <c r="Q1907" s="187"/>
      <c r="R1907" s="187"/>
      <c r="S1907" s="187"/>
      <c r="T1907" s="187"/>
      <c r="U1907" s="187"/>
      <c r="V1907" s="187"/>
      <c r="W1907" s="187"/>
      <c r="X1907" s="187"/>
      <c r="Y1907" s="187"/>
      <c r="Z1907" s="187"/>
      <c r="AA1907" s="187"/>
      <c r="AB1907" s="187"/>
      <c r="AC1907" s="187"/>
      <c r="AD1907" s="187"/>
      <c r="AE1907" s="187"/>
      <c r="AF1907" s="187"/>
      <c r="AG1907" s="187"/>
      <c r="AH1907" s="187"/>
      <c r="AI1907" s="187"/>
      <c r="AJ1907" s="187"/>
      <c r="AK1907" s="187"/>
      <c r="AL1907" s="187"/>
    </row>
    <row r="1908" spans="2:38" ht="12.75" customHeight="1">
      <c r="B1908" s="485"/>
      <c r="C1908" s="20"/>
      <c r="D1908" s="12"/>
      <c r="E1908" s="12"/>
      <c r="F1908" s="12"/>
      <c r="G1908" s="12"/>
      <c r="H1908" s="20"/>
      <c r="I1908" s="187"/>
      <c r="J1908" s="187"/>
      <c r="K1908" s="187"/>
      <c r="L1908" s="187"/>
      <c r="M1908" s="187"/>
      <c r="N1908" s="187"/>
      <c r="O1908" s="187"/>
      <c r="P1908" s="187"/>
      <c r="Q1908" s="187"/>
      <c r="R1908" s="187"/>
      <c r="S1908" s="187"/>
      <c r="T1908" s="187"/>
      <c r="U1908" s="187"/>
      <c r="V1908" s="187"/>
      <c r="W1908" s="187"/>
      <c r="X1908" s="187"/>
      <c r="Y1908" s="187"/>
      <c r="Z1908" s="187"/>
      <c r="AA1908" s="187"/>
      <c r="AB1908" s="187"/>
      <c r="AC1908" s="187"/>
      <c r="AD1908" s="187"/>
      <c r="AE1908" s="187"/>
      <c r="AF1908" s="187"/>
      <c r="AG1908" s="187"/>
      <c r="AH1908" s="187"/>
      <c r="AI1908" s="187"/>
      <c r="AJ1908" s="187"/>
      <c r="AK1908" s="187"/>
      <c r="AL1908" s="187"/>
    </row>
    <row r="1909" spans="2:38" ht="12.75" customHeight="1">
      <c r="B1909" s="485"/>
      <c r="C1909" s="20"/>
      <c r="D1909" s="12"/>
      <c r="E1909" s="12"/>
      <c r="F1909" s="12"/>
      <c r="G1909" s="12"/>
      <c r="H1909" s="20"/>
      <c r="I1909" s="187"/>
      <c r="J1909" s="187"/>
      <c r="K1909" s="187"/>
      <c r="L1909" s="187"/>
      <c r="M1909" s="187"/>
      <c r="N1909" s="187"/>
      <c r="O1909" s="187"/>
      <c r="P1909" s="187"/>
      <c r="Q1909" s="187"/>
      <c r="R1909" s="187"/>
      <c r="S1909" s="187"/>
      <c r="T1909" s="187"/>
      <c r="U1909" s="187"/>
      <c r="V1909" s="187"/>
      <c r="W1909" s="187"/>
      <c r="X1909" s="187"/>
      <c r="Y1909" s="187"/>
      <c r="Z1909" s="187"/>
      <c r="AA1909" s="187"/>
      <c r="AB1909" s="187"/>
      <c r="AC1909" s="187"/>
      <c r="AD1909" s="187"/>
      <c r="AE1909" s="187"/>
      <c r="AF1909" s="187"/>
      <c r="AG1909" s="187"/>
      <c r="AH1909" s="187"/>
      <c r="AI1909" s="187"/>
      <c r="AJ1909" s="187"/>
      <c r="AK1909" s="187"/>
      <c r="AL1909" s="187"/>
    </row>
    <row r="1910" spans="2:38" ht="12.75" customHeight="1">
      <c r="B1910" s="485"/>
      <c r="C1910" s="20"/>
      <c r="D1910" s="12"/>
      <c r="E1910" s="12"/>
      <c r="F1910" s="12"/>
      <c r="G1910" s="12"/>
      <c r="H1910" s="20"/>
      <c r="I1910" s="187"/>
      <c r="J1910" s="187"/>
      <c r="K1910" s="187"/>
      <c r="L1910" s="187"/>
      <c r="M1910" s="187"/>
      <c r="N1910" s="187"/>
      <c r="O1910" s="187"/>
      <c r="P1910" s="187"/>
      <c r="Q1910" s="187"/>
      <c r="R1910" s="187"/>
      <c r="S1910" s="187"/>
      <c r="T1910" s="187"/>
      <c r="U1910" s="187"/>
      <c r="V1910" s="187"/>
      <c r="W1910" s="187"/>
      <c r="X1910" s="187"/>
      <c r="Y1910" s="187"/>
      <c r="Z1910" s="187"/>
      <c r="AA1910" s="187"/>
      <c r="AB1910" s="187"/>
      <c r="AC1910" s="187"/>
      <c r="AD1910" s="187"/>
      <c r="AE1910" s="187"/>
      <c r="AF1910" s="187"/>
      <c r="AG1910" s="187"/>
      <c r="AH1910" s="187"/>
      <c r="AI1910" s="187"/>
      <c r="AJ1910" s="187"/>
      <c r="AK1910" s="187"/>
      <c r="AL1910" s="187"/>
    </row>
    <row r="1911" spans="2:38" ht="12.75" customHeight="1">
      <c r="B1911" s="485"/>
      <c r="C1911" s="20"/>
      <c r="D1911" s="12"/>
      <c r="E1911" s="12"/>
      <c r="F1911" s="12"/>
      <c r="G1911" s="12"/>
      <c r="H1911" s="20"/>
      <c r="I1911" s="187"/>
      <c r="J1911" s="187"/>
      <c r="K1911" s="187"/>
      <c r="L1911" s="187"/>
      <c r="M1911" s="187"/>
      <c r="N1911" s="187"/>
      <c r="O1911" s="187"/>
      <c r="P1911" s="187"/>
      <c r="Q1911" s="187"/>
      <c r="R1911" s="187"/>
      <c r="S1911" s="187"/>
      <c r="T1911" s="187"/>
      <c r="U1911" s="187"/>
      <c r="V1911" s="187"/>
      <c r="W1911" s="187"/>
      <c r="X1911" s="187"/>
      <c r="Y1911" s="187"/>
      <c r="Z1911" s="187"/>
      <c r="AA1911" s="187"/>
      <c r="AB1911" s="187"/>
      <c r="AC1911" s="187"/>
      <c r="AD1911" s="187"/>
      <c r="AE1911" s="187"/>
      <c r="AF1911" s="187"/>
      <c r="AG1911" s="187"/>
      <c r="AH1911" s="187"/>
      <c r="AI1911" s="187"/>
      <c r="AJ1911" s="187"/>
      <c r="AK1911" s="187"/>
      <c r="AL1911" s="187"/>
    </row>
    <row r="1912" spans="2:38" ht="12.75" customHeight="1">
      <c r="B1912" s="485"/>
      <c r="C1912" s="20"/>
      <c r="D1912" s="12"/>
      <c r="E1912" s="12"/>
      <c r="F1912" s="12"/>
      <c r="G1912" s="12"/>
      <c r="H1912" s="20"/>
      <c r="I1912" s="187"/>
      <c r="J1912" s="187"/>
      <c r="K1912" s="187"/>
      <c r="L1912" s="187"/>
      <c r="M1912" s="187"/>
      <c r="N1912" s="187"/>
      <c r="O1912" s="187"/>
      <c r="P1912" s="187"/>
      <c r="Q1912" s="187"/>
      <c r="R1912" s="187"/>
      <c r="S1912" s="187"/>
      <c r="T1912" s="187"/>
      <c r="U1912" s="187"/>
      <c r="V1912" s="187"/>
      <c r="W1912" s="187"/>
      <c r="X1912" s="187"/>
      <c r="Y1912" s="187"/>
      <c r="Z1912" s="187"/>
      <c r="AA1912" s="187"/>
      <c r="AB1912" s="187"/>
      <c r="AC1912" s="187"/>
      <c r="AD1912" s="187"/>
      <c r="AE1912" s="187"/>
      <c r="AF1912" s="187"/>
      <c r="AG1912" s="187"/>
      <c r="AH1912" s="187"/>
      <c r="AI1912" s="187"/>
      <c r="AJ1912" s="187"/>
      <c r="AK1912" s="187"/>
      <c r="AL1912" s="187"/>
    </row>
    <row r="1913" spans="2:38" ht="12.75" customHeight="1">
      <c r="B1913" s="485"/>
      <c r="C1913" s="20"/>
      <c r="D1913" s="12"/>
      <c r="E1913" s="12"/>
      <c r="F1913" s="12"/>
      <c r="G1913" s="12"/>
      <c r="H1913" s="20"/>
      <c r="I1913" s="187"/>
      <c r="J1913" s="187"/>
      <c r="K1913" s="187"/>
      <c r="L1913" s="187"/>
      <c r="M1913" s="187"/>
      <c r="N1913" s="187"/>
      <c r="O1913" s="187"/>
      <c r="P1913" s="187"/>
      <c r="Q1913" s="187"/>
      <c r="R1913" s="187"/>
      <c r="S1913" s="187"/>
      <c r="T1913" s="187"/>
      <c r="U1913" s="187"/>
      <c r="V1913" s="187"/>
      <c r="W1913" s="187"/>
      <c r="X1913" s="187"/>
      <c r="Y1913" s="187"/>
      <c r="Z1913" s="187"/>
      <c r="AA1913" s="187"/>
      <c r="AB1913" s="187"/>
      <c r="AC1913" s="187"/>
      <c r="AD1913" s="187"/>
      <c r="AE1913" s="187"/>
      <c r="AF1913" s="187"/>
      <c r="AG1913" s="187"/>
      <c r="AH1913" s="187"/>
      <c r="AI1913" s="187"/>
      <c r="AJ1913" s="187"/>
      <c r="AK1913" s="187"/>
      <c r="AL1913" s="187"/>
    </row>
    <row r="1914" spans="2:38" ht="12.75" customHeight="1">
      <c r="B1914" s="485"/>
      <c r="C1914" s="20"/>
      <c r="D1914" s="12"/>
      <c r="E1914" s="12"/>
      <c r="F1914" s="12"/>
      <c r="G1914" s="12"/>
      <c r="H1914" s="20"/>
      <c r="I1914" s="187"/>
      <c r="J1914" s="187"/>
      <c r="K1914" s="187"/>
      <c r="L1914" s="187"/>
      <c r="M1914" s="187"/>
      <c r="N1914" s="187"/>
      <c r="O1914" s="187"/>
      <c r="P1914" s="187"/>
      <c r="Q1914" s="187"/>
      <c r="R1914" s="187"/>
      <c r="S1914" s="187"/>
      <c r="T1914" s="187"/>
      <c r="U1914" s="187"/>
      <c r="V1914" s="187"/>
      <c r="W1914" s="187"/>
      <c r="X1914" s="187"/>
      <c r="Y1914" s="187"/>
      <c r="Z1914" s="187"/>
      <c r="AA1914" s="187"/>
      <c r="AB1914" s="187"/>
      <c r="AC1914" s="187"/>
      <c r="AD1914" s="187"/>
      <c r="AE1914" s="187"/>
      <c r="AF1914" s="187"/>
      <c r="AG1914" s="187"/>
      <c r="AH1914" s="187"/>
      <c r="AI1914" s="187"/>
      <c r="AJ1914" s="187"/>
      <c r="AK1914" s="187"/>
      <c r="AL1914" s="187"/>
    </row>
    <row r="1915" spans="2:38" ht="12.75" customHeight="1">
      <c r="B1915" s="485"/>
      <c r="C1915" s="20"/>
      <c r="D1915" s="12"/>
      <c r="E1915" s="12"/>
      <c r="F1915" s="12"/>
      <c r="G1915" s="12"/>
      <c r="H1915" s="20"/>
      <c r="I1915" s="187"/>
      <c r="J1915" s="187"/>
      <c r="K1915" s="187"/>
      <c r="L1915" s="187"/>
      <c r="M1915" s="187"/>
      <c r="N1915" s="187"/>
      <c r="O1915" s="187"/>
      <c r="P1915" s="187"/>
      <c r="Q1915" s="187"/>
      <c r="R1915" s="187"/>
      <c r="S1915" s="187"/>
      <c r="T1915" s="187"/>
      <c r="U1915" s="187"/>
      <c r="V1915" s="187"/>
      <c r="W1915" s="187"/>
      <c r="X1915" s="187"/>
      <c r="Y1915" s="187"/>
      <c r="Z1915" s="187"/>
      <c r="AA1915" s="187"/>
      <c r="AB1915" s="187"/>
      <c r="AC1915" s="187"/>
      <c r="AD1915" s="187"/>
      <c r="AE1915" s="187"/>
      <c r="AF1915" s="187"/>
      <c r="AG1915" s="187"/>
      <c r="AH1915" s="187"/>
      <c r="AI1915" s="187"/>
      <c r="AJ1915" s="187"/>
      <c r="AK1915" s="187"/>
      <c r="AL1915" s="187"/>
    </row>
    <row r="1916" spans="2:38" ht="12.75" customHeight="1">
      <c r="B1916" s="485"/>
      <c r="C1916" s="20"/>
      <c r="D1916" s="12"/>
      <c r="E1916" s="12"/>
      <c r="F1916" s="12"/>
      <c r="G1916" s="12"/>
      <c r="H1916" s="20"/>
      <c r="I1916" s="187"/>
      <c r="J1916" s="187"/>
      <c r="K1916" s="187"/>
      <c r="L1916" s="187"/>
      <c r="M1916" s="187"/>
      <c r="N1916" s="187"/>
      <c r="O1916" s="187"/>
      <c r="P1916" s="187"/>
      <c r="Q1916" s="187"/>
      <c r="R1916" s="187"/>
      <c r="S1916" s="187"/>
      <c r="T1916" s="187"/>
      <c r="U1916" s="187"/>
      <c r="V1916" s="187"/>
      <c r="W1916" s="187"/>
      <c r="X1916" s="187"/>
      <c r="Y1916" s="187"/>
      <c r="Z1916" s="187"/>
      <c r="AA1916" s="187"/>
      <c r="AB1916" s="187"/>
      <c r="AC1916" s="187"/>
      <c r="AD1916" s="187"/>
      <c r="AE1916" s="187"/>
      <c r="AF1916" s="187"/>
      <c r="AG1916" s="187"/>
      <c r="AH1916" s="187"/>
      <c r="AI1916" s="187"/>
      <c r="AJ1916" s="187"/>
      <c r="AK1916" s="187"/>
      <c r="AL1916" s="187"/>
    </row>
    <row r="1917" spans="2:38" ht="12.75" customHeight="1">
      <c r="B1917" s="485"/>
      <c r="C1917" s="20"/>
      <c r="D1917" s="12"/>
      <c r="E1917" s="12"/>
      <c r="F1917" s="12"/>
      <c r="G1917" s="12"/>
      <c r="H1917" s="20"/>
      <c r="I1917" s="187"/>
      <c r="J1917" s="187"/>
      <c r="K1917" s="187"/>
      <c r="L1917" s="187"/>
      <c r="M1917" s="187"/>
      <c r="N1917" s="187"/>
      <c r="O1917" s="187"/>
      <c r="P1917" s="187"/>
      <c r="Q1917" s="187"/>
      <c r="R1917" s="187"/>
      <c r="S1917" s="187"/>
      <c r="T1917" s="187"/>
      <c r="U1917" s="187"/>
      <c r="V1917" s="187"/>
      <c r="W1917" s="187"/>
      <c r="X1917" s="187"/>
      <c r="Y1917" s="187"/>
      <c r="Z1917" s="187"/>
      <c r="AA1917" s="187"/>
      <c r="AB1917" s="187"/>
      <c r="AC1917" s="187"/>
      <c r="AD1917" s="187"/>
      <c r="AE1917" s="187"/>
      <c r="AF1917" s="187"/>
      <c r="AG1917" s="187"/>
      <c r="AH1917" s="187"/>
      <c r="AI1917" s="187"/>
      <c r="AJ1917" s="187"/>
      <c r="AK1917" s="187"/>
      <c r="AL1917" s="187"/>
    </row>
    <row r="1918" spans="2:38" ht="12.75" customHeight="1">
      <c r="B1918" s="485"/>
      <c r="C1918" s="20"/>
      <c r="D1918" s="12"/>
      <c r="E1918" s="12"/>
      <c r="F1918" s="12"/>
      <c r="G1918" s="12"/>
      <c r="H1918" s="20"/>
      <c r="I1918" s="187"/>
      <c r="J1918" s="187"/>
      <c r="K1918" s="187"/>
      <c r="L1918" s="187"/>
      <c r="M1918" s="187"/>
      <c r="N1918" s="187"/>
      <c r="O1918" s="187"/>
      <c r="P1918" s="187"/>
      <c r="Q1918" s="187"/>
      <c r="R1918" s="187"/>
      <c r="S1918" s="187"/>
      <c r="T1918" s="187"/>
      <c r="U1918" s="187"/>
      <c r="V1918" s="187"/>
      <c r="W1918" s="187"/>
      <c r="X1918" s="187"/>
      <c r="Y1918" s="187"/>
      <c r="Z1918" s="187"/>
      <c r="AA1918" s="187"/>
      <c r="AB1918" s="187"/>
      <c r="AC1918" s="187"/>
      <c r="AD1918" s="187"/>
      <c r="AE1918" s="187"/>
      <c r="AF1918" s="187"/>
      <c r="AG1918" s="187"/>
      <c r="AH1918" s="187"/>
      <c r="AI1918" s="187"/>
      <c r="AJ1918" s="187"/>
      <c r="AK1918" s="187"/>
      <c r="AL1918" s="187"/>
    </row>
    <row r="1919" spans="2:38" ht="12.75" customHeight="1">
      <c r="B1919" s="485"/>
      <c r="C1919" s="20"/>
      <c r="D1919" s="12"/>
      <c r="E1919" s="12"/>
      <c r="F1919" s="12"/>
      <c r="G1919" s="12"/>
      <c r="H1919" s="20"/>
      <c r="I1919" s="187"/>
      <c r="J1919" s="187"/>
      <c r="K1919" s="187"/>
      <c r="L1919" s="187"/>
      <c r="M1919" s="187"/>
      <c r="N1919" s="187"/>
      <c r="O1919" s="187"/>
      <c r="P1919" s="187"/>
      <c r="Q1919" s="187"/>
      <c r="R1919" s="187"/>
      <c r="S1919" s="187"/>
      <c r="T1919" s="187"/>
      <c r="U1919" s="187"/>
      <c r="V1919" s="187"/>
      <c r="W1919" s="187"/>
      <c r="X1919" s="187"/>
      <c r="Y1919" s="187"/>
      <c r="Z1919" s="187"/>
      <c r="AA1919" s="187"/>
      <c r="AB1919" s="187"/>
      <c r="AC1919" s="187"/>
      <c r="AD1919" s="187"/>
      <c r="AE1919" s="187"/>
      <c r="AF1919" s="187"/>
      <c r="AG1919" s="187"/>
      <c r="AH1919" s="187"/>
      <c r="AI1919" s="187"/>
      <c r="AJ1919" s="187"/>
      <c r="AK1919" s="187"/>
      <c r="AL1919" s="187"/>
    </row>
    <row r="1920" spans="2:38" ht="12.75" customHeight="1">
      <c r="B1920" s="485"/>
      <c r="C1920" s="20"/>
      <c r="D1920" s="12"/>
      <c r="E1920" s="12"/>
      <c r="F1920" s="12"/>
      <c r="G1920" s="12"/>
      <c r="H1920" s="20"/>
      <c r="I1920" s="187"/>
      <c r="J1920" s="187"/>
      <c r="K1920" s="187"/>
      <c r="L1920" s="187"/>
      <c r="M1920" s="187"/>
      <c r="N1920" s="187"/>
      <c r="O1920" s="187"/>
      <c r="P1920" s="187"/>
      <c r="Q1920" s="187"/>
      <c r="R1920" s="187"/>
      <c r="S1920" s="187"/>
      <c r="T1920" s="187"/>
      <c r="U1920" s="187"/>
      <c r="V1920" s="187"/>
      <c r="W1920" s="187"/>
      <c r="X1920" s="187"/>
      <c r="Y1920" s="187"/>
      <c r="Z1920" s="187"/>
      <c r="AA1920" s="187"/>
      <c r="AB1920" s="187"/>
      <c r="AC1920" s="187"/>
      <c r="AD1920" s="187"/>
      <c r="AE1920" s="187"/>
      <c r="AF1920" s="187"/>
      <c r="AG1920" s="187"/>
      <c r="AH1920" s="187"/>
      <c r="AI1920" s="187"/>
      <c r="AJ1920" s="187"/>
      <c r="AK1920" s="187"/>
      <c r="AL1920" s="187"/>
    </row>
    <row r="1921" spans="2:38" ht="12.75" customHeight="1">
      <c r="B1921" s="485"/>
      <c r="C1921" s="20"/>
      <c r="D1921" s="12"/>
      <c r="E1921" s="12"/>
      <c r="F1921" s="12"/>
      <c r="G1921" s="12"/>
      <c r="H1921" s="20"/>
      <c r="I1921" s="187"/>
      <c r="J1921" s="187"/>
      <c r="K1921" s="187"/>
      <c r="L1921" s="187"/>
      <c r="M1921" s="187"/>
      <c r="N1921" s="187"/>
      <c r="O1921" s="187"/>
      <c r="P1921" s="187"/>
      <c r="Q1921" s="187"/>
      <c r="R1921" s="187"/>
      <c r="S1921" s="187"/>
      <c r="T1921" s="187"/>
      <c r="U1921" s="187"/>
      <c r="V1921" s="187"/>
      <c r="W1921" s="187"/>
      <c r="X1921" s="187"/>
      <c r="Y1921" s="187"/>
      <c r="Z1921" s="187"/>
      <c r="AA1921" s="187"/>
      <c r="AB1921" s="187"/>
      <c r="AC1921" s="187"/>
      <c r="AD1921" s="187"/>
      <c r="AE1921" s="187"/>
      <c r="AF1921" s="187"/>
      <c r="AG1921" s="187"/>
      <c r="AH1921" s="187"/>
      <c r="AI1921" s="187"/>
      <c r="AJ1921" s="187"/>
      <c r="AK1921" s="187"/>
      <c r="AL1921" s="187"/>
    </row>
    <row r="1922" spans="2:38" ht="12.75" customHeight="1">
      <c r="B1922" s="485"/>
      <c r="C1922" s="20"/>
      <c r="D1922" s="12"/>
      <c r="E1922" s="12"/>
      <c r="F1922" s="12"/>
      <c r="G1922" s="12"/>
      <c r="H1922" s="20"/>
      <c r="I1922" s="187"/>
      <c r="J1922" s="187"/>
      <c r="K1922" s="187"/>
      <c r="L1922" s="187"/>
      <c r="M1922" s="187"/>
      <c r="N1922" s="187"/>
      <c r="O1922" s="187"/>
      <c r="P1922" s="187"/>
      <c r="Q1922" s="187"/>
      <c r="R1922" s="187"/>
      <c r="S1922" s="187"/>
      <c r="T1922" s="187"/>
      <c r="U1922" s="187"/>
      <c r="V1922" s="187"/>
      <c r="W1922" s="187"/>
      <c r="X1922" s="187"/>
      <c r="Y1922" s="187"/>
      <c r="Z1922" s="187"/>
      <c r="AA1922" s="187"/>
      <c r="AB1922" s="187"/>
      <c r="AC1922" s="187"/>
      <c r="AD1922" s="187"/>
      <c r="AE1922" s="187"/>
      <c r="AF1922" s="187"/>
      <c r="AG1922" s="187"/>
      <c r="AH1922" s="187"/>
      <c r="AI1922" s="187"/>
      <c r="AJ1922" s="187"/>
      <c r="AK1922" s="187"/>
      <c r="AL1922" s="187"/>
    </row>
    <row r="1923" spans="2:38" ht="12.75" customHeight="1">
      <c r="B1923" s="485"/>
      <c r="C1923" s="20"/>
      <c r="D1923" s="12"/>
      <c r="E1923" s="12"/>
      <c r="F1923" s="12"/>
      <c r="G1923" s="12"/>
      <c r="H1923" s="20"/>
      <c r="I1923" s="187"/>
      <c r="J1923" s="187"/>
      <c r="K1923" s="187"/>
      <c r="L1923" s="187"/>
      <c r="M1923" s="187"/>
      <c r="N1923" s="187"/>
      <c r="O1923" s="187"/>
      <c r="P1923" s="187"/>
      <c r="Q1923" s="187"/>
      <c r="R1923" s="187"/>
      <c r="S1923" s="187"/>
      <c r="T1923" s="187"/>
      <c r="U1923" s="187"/>
      <c r="V1923" s="187"/>
      <c r="W1923" s="187"/>
      <c r="X1923" s="187"/>
      <c r="Y1923" s="187"/>
      <c r="Z1923" s="187"/>
      <c r="AA1923" s="187"/>
      <c r="AB1923" s="187"/>
      <c r="AC1923" s="187"/>
      <c r="AD1923" s="187"/>
      <c r="AE1923" s="187"/>
      <c r="AF1923" s="187"/>
      <c r="AG1923" s="187"/>
      <c r="AH1923" s="187"/>
      <c r="AI1923" s="187"/>
      <c r="AJ1923" s="187"/>
      <c r="AK1923" s="187"/>
      <c r="AL1923" s="187"/>
    </row>
    <row r="1924" spans="2:38" ht="12.75" customHeight="1">
      <c r="B1924" s="485"/>
      <c r="C1924" s="20"/>
      <c r="D1924" s="12"/>
      <c r="E1924" s="12"/>
      <c r="F1924" s="12"/>
      <c r="G1924" s="12"/>
      <c r="H1924" s="20"/>
      <c r="I1924" s="187"/>
      <c r="J1924" s="187"/>
      <c r="K1924" s="187"/>
      <c r="L1924" s="187"/>
      <c r="M1924" s="187"/>
      <c r="N1924" s="187"/>
      <c r="O1924" s="187"/>
      <c r="P1924" s="187"/>
      <c r="Q1924" s="187"/>
      <c r="R1924" s="187"/>
      <c r="S1924" s="187"/>
      <c r="T1924" s="187"/>
      <c r="U1924" s="187"/>
      <c r="V1924" s="187"/>
      <c r="W1924" s="187"/>
      <c r="X1924" s="187"/>
      <c r="Y1924" s="187"/>
      <c r="Z1924" s="187"/>
      <c r="AA1924" s="187"/>
      <c r="AB1924" s="187"/>
      <c r="AC1924" s="187"/>
      <c r="AD1924" s="187"/>
      <c r="AE1924" s="187"/>
      <c r="AF1924" s="187"/>
      <c r="AG1924" s="187"/>
      <c r="AH1924" s="187"/>
      <c r="AI1924" s="187"/>
      <c r="AJ1924" s="187"/>
      <c r="AK1924" s="187"/>
      <c r="AL1924" s="187"/>
    </row>
    <row r="1925" spans="2:38" ht="12.75" customHeight="1">
      <c r="B1925" s="485"/>
      <c r="C1925" s="20"/>
      <c r="D1925" s="12"/>
      <c r="E1925" s="12"/>
      <c r="F1925" s="12"/>
      <c r="G1925" s="12"/>
      <c r="H1925" s="20"/>
      <c r="I1925" s="187"/>
      <c r="J1925" s="187"/>
      <c r="K1925" s="187"/>
      <c r="L1925" s="187"/>
      <c r="M1925" s="187"/>
      <c r="N1925" s="187"/>
      <c r="O1925" s="187"/>
      <c r="P1925" s="187"/>
      <c r="Q1925" s="187"/>
      <c r="R1925" s="187"/>
      <c r="S1925" s="187"/>
      <c r="T1925" s="187"/>
      <c r="U1925" s="187"/>
      <c r="V1925" s="187"/>
      <c r="W1925" s="187"/>
      <c r="X1925" s="187"/>
      <c r="Y1925" s="187"/>
      <c r="Z1925" s="187"/>
      <c r="AA1925" s="187"/>
      <c r="AB1925" s="187"/>
      <c r="AC1925" s="187"/>
      <c r="AD1925" s="187"/>
      <c r="AE1925" s="187"/>
      <c r="AF1925" s="187"/>
      <c r="AG1925" s="187"/>
      <c r="AH1925" s="187"/>
      <c r="AI1925" s="187"/>
      <c r="AJ1925" s="187"/>
      <c r="AK1925" s="187"/>
      <c r="AL1925" s="187"/>
    </row>
    <row r="1926" spans="2:38" ht="12.75" customHeight="1">
      <c r="B1926" s="485"/>
      <c r="C1926" s="20"/>
      <c r="D1926" s="12"/>
      <c r="E1926" s="12"/>
      <c r="F1926" s="12"/>
      <c r="G1926" s="12"/>
      <c r="H1926" s="20"/>
      <c r="I1926" s="187"/>
      <c r="J1926" s="187"/>
      <c r="K1926" s="187"/>
      <c r="L1926" s="187"/>
      <c r="M1926" s="187"/>
      <c r="N1926" s="187"/>
      <c r="O1926" s="187"/>
      <c r="P1926" s="187"/>
      <c r="Q1926" s="187"/>
      <c r="R1926" s="187"/>
      <c r="S1926" s="187"/>
      <c r="T1926" s="187"/>
      <c r="U1926" s="187"/>
      <c r="V1926" s="187"/>
      <c r="W1926" s="187"/>
      <c r="X1926" s="187"/>
      <c r="Y1926" s="187"/>
      <c r="Z1926" s="187"/>
      <c r="AA1926" s="187"/>
      <c r="AB1926" s="187"/>
      <c r="AC1926" s="187"/>
      <c r="AD1926" s="187"/>
      <c r="AE1926" s="187"/>
      <c r="AF1926" s="187"/>
      <c r="AG1926" s="187"/>
      <c r="AH1926" s="187"/>
      <c r="AI1926" s="187"/>
      <c r="AJ1926" s="187"/>
      <c r="AK1926" s="187"/>
      <c r="AL1926" s="187"/>
    </row>
    <row r="1927" spans="2:38" ht="12.75" customHeight="1">
      <c r="B1927" s="485"/>
      <c r="C1927" s="20"/>
      <c r="D1927" s="12"/>
      <c r="E1927" s="12"/>
      <c r="F1927" s="12"/>
      <c r="G1927" s="12"/>
      <c r="H1927" s="20"/>
      <c r="I1927" s="187"/>
      <c r="J1927" s="187"/>
      <c r="K1927" s="187"/>
      <c r="L1927" s="187"/>
      <c r="M1927" s="187"/>
      <c r="N1927" s="187"/>
      <c r="O1927" s="187"/>
      <c r="P1927" s="187"/>
      <c r="Q1927" s="187"/>
      <c r="R1927" s="187"/>
      <c r="S1927" s="187"/>
      <c r="T1927" s="187"/>
      <c r="U1927" s="187"/>
      <c r="V1927" s="187"/>
      <c r="W1927" s="187"/>
      <c r="X1927" s="187"/>
      <c r="Y1927" s="187"/>
      <c r="Z1927" s="187"/>
      <c r="AA1927" s="187"/>
      <c r="AB1927" s="187"/>
      <c r="AC1927" s="187"/>
      <c r="AD1927" s="187"/>
      <c r="AE1927" s="187"/>
      <c r="AF1927" s="187"/>
      <c r="AG1927" s="187"/>
      <c r="AH1927" s="187"/>
      <c r="AI1927" s="187"/>
      <c r="AJ1927" s="187"/>
      <c r="AK1927" s="187"/>
      <c r="AL1927" s="187"/>
    </row>
    <row r="1928" spans="2:38" ht="12.75" customHeight="1">
      <c r="B1928" s="485"/>
      <c r="C1928" s="20"/>
      <c r="D1928" s="12"/>
      <c r="E1928" s="12"/>
      <c r="F1928" s="12"/>
      <c r="G1928" s="12"/>
      <c r="H1928" s="20"/>
      <c r="I1928" s="187"/>
      <c r="J1928" s="187"/>
      <c r="K1928" s="187"/>
      <c r="L1928" s="187"/>
      <c r="M1928" s="187"/>
      <c r="N1928" s="187"/>
      <c r="O1928" s="187"/>
      <c r="P1928" s="187"/>
      <c r="Q1928" s="187"/>
      <c r="R1928" s="187"/>
      <c r="S1928" s="187"/>
      <c r="T1928" s="187"/>
      <c r="U1928" s="187"/>
      <c r="V1928" s="187"/>
      <c r="W1928" s="187"/>
      <c r="X1928" s="187"/>
      <c r="Y1928" s="187"/>
      <c r="Z1928" s="187"/>
      <c r="AA1928" s="187"/>
      <c r="AB1928" s="187"/>
      <c r="AC1928" s="187"/>
      <c r="AD1928" s="187"/>
      <c r="AE1928" s="187"/>
      <c r="AF1928" s="187"/>
      <c r="AG1928" s="187"/>
      <c r="AH1928" s="187"/>
      <c r="AI1928" s="187"/>
      <c r="AJ1928" s="187"/>
      <c r="AK1928" s="187"/>
      <c r="AL1928" s="187"/>
    </row>
    <row r="1929" spans="2:38" ht="12.75" customHeight="1">
      <c r="B1929" s="485"/>
      <c r="C1929" s="20"/>
      <c r="D1929" s="12"/>
      <c r="E1929" s="12"/>
      <c r="F1929" s="12"/>
      <c r="G1929" s="12"/>
      <c r="H1929" s="20"/>
      <c r="I1929" s="187"/>
      <c r="J1929" s="187"/>
      <c r="K1929" s="187"/>
      <c r="L1929" s="187"/>
      <c r="M1929" s="187"/>
      <c r="N1929" s="187"/>
      <c r="O1929" s="187"/>
      <c r="P1929" s="187"/>
      <c r="Q1929" s="187"/>
      <c r="R1929" s="187"/>
      <c r="S1929" s="187"/>
      <c r="T1929" s="187"/>
      <c r="U1929" s="187"/>
      <c r="V1929" s="187"/>
      <c r="W1929" s="187"/>
      <c r="X1929" s="187"/>
      <c r="Y1929" s="187"/>
      <c r="Z1929" s="187"/>
      <c r="AA1929" s="187"/>
      <c r="AB1929" s="187"/>
      <c r="AC1929" s="187"/>
      <c r="AD1929" s="187"/>
      <c r="AE1929" s="187"/>
      <c r="AF1929" s="187"/>
      <c r="AG1929" s="187"/>
      <c r="AH1929" s="187"/>
      <c r="AI1929" s="187"/>
      <c r="AJ1929" s="187"/>
      <c r="AK1929" s="187"/>
      <c r="AL1929" s="187"/>
    </row>
    <row r="1930" spans="2:38" ht="12.75" customHeight="1">
      <c r="B1930" s="485"/>
      <c r="C1930" s="20"/>
      <c r="D1930" s="12"/>
      <c r="E1930" s="12"/>
      <c r="F1930" s="12"/>
      <c r="G1930" s="12"/>
      <c r="H1930" s="20"/>
      <c r="I1930" s="187"/>
      <c r="J1930" s="187"/>
      <c r="K1930" s="187"/>
      <c r="L1930" s="187"/>
      <c r="M1930" s="187"/>
      <c r="N1930" s="187"/>
      <c r="O1930" s="187"/>
      <c r="P1930" s="187"/>
      <c r="Q1930" s="187"/>
      <c r="R1930" s="187"/>
      <c r="S1930" s="187"/>
      <c r="T1930" s="187"/>
      <c r="U1930" s="187"/>
      <c r="V1930" s="187"/>
      <c r="W1930" s="187"/>
      <c r="X1930" s="187"/>
      <c r="Y1930" s="187"/>
      <c r="Z1930" s="187"/>
      <c r="AA1930" s="187"/>
      <c r="AB1930" s="187"/>
      <c r="AC1930" s="187"/>
      <c r="AD1930" s="187"/>
      <c r="AE1930" s="187"/>
      <c r="AF1930" s="187"/>
      <c r="AG1930" s="187"/>
      <c r="AH1930" s="187"/>
      <c r="AI1930" s="187"/>
      <c r="AJ1930" s="187"/>
      <c r="AK1930" s="187"/>
      <c r="AL1930" s="187"/>
    </row>
    <row r="1931" spans="2:38" ht="12.75" customHeight="1">
      <c r="B1931" s="485"/>
      <c r="C1931" s="20"/>
      <c r="D1931" s="12"/>
      <c r="E1931" s="12"/>
      <c r="F1931" s="12"/>
      <c r="G1931" s="12"/>
      <c r="H1931" s="20"/>
      <c r="I1931" s="187"/>
      <c r="J1931" s="187"/>
      <c r="K1931" s="187"/>
      <c r="L1931" s="187"/>
      <c r="M1931" s="187"/>
      <c r="N1931" s="187"/>
      <c r="O1931" s="187"/>
      <c r="P1931" s="187"/>
      <c r="Q1931" s="187"/>
      <c r="R1931" s="187"/>
      <c r="S1931" s="187"/>
      <c r="T1931" s="187"/>
      <c r="U1931" s="187"/>
      <c r="V1931" s="187"/>
      <c r="W1931" s="187"/>
      <c r="X1931" s="187"/>
      <c r="Y1931" s="187"/>
      <c r="Z1931" s="187"/>
      <c r="AA1931" s="187"/>
      <c r="AB1931" s="187"/>
      <c r="AC1931" s="187"/>
      <c r="AD1931" s="187"/>
      <c r="AE1931" s="187"/>
      <c r="AF1931" s="187"/>
      <c r="AG1931" s="187"/>
      <c r="AH1931" s="187"/>
      <c r="AI1931" s="187"/>
      <c r="AJ1931" s="187"/>
      <c r="AK1931" s="187"/>
      <c r="AL1931" s="187"/>
    </row>
    <row r="1932" spans="2:38" ht="12.75" customHeight="1">
      <c r="B1932" s="485"/>
      <c r="C1932" s="20"/>
      <c r="D1932" s="12"/>
      <c r="E1932" s="12"/>
      <c r="F1932" s="12"/>
      <c r="G1932" s="12"/>
      <c r="H1932" s="20"/>
      <c r="I1932" s="187"/>
      <c r="J1932" s="187"/>
      <c r="K1932" s="187"/>
      <c r="L1932" s="187"/>
      <c r="M1932" s="187"/>
      <c r="N1932" s="187"/>
      <c r="O1932" s="187"/>
      <c r="P1932" s="187"/>
      <c r="Q1932" s="187"/>
      <c r="R1932" s="187"/>
      <c r="S1932" s="187"/>
      <c r="T1932" s="187"/>
      <c r="U1932" s="187"/>
      <c r="V1932" s="187"/>
      <c r="W1932" s="187"/>
      <c r="X1932" s="187"/>
      <c r="Y1932" s="187"/>
      <c r="Z1932" s="187"/>
      <c r="AA1932" s="187"/>
      <c r="AB1932" s="187"/>
      <c r="AC1932" s="187"/>
      <c r="AD1932" s="187"/>
      <c r="AE1932" s="187"/>
      <c r="AF1932" s="187"/>
      <c r="AG1932" s="187"/>
      <c r="AH1932" s="187"/>
      <c r="AI1932" s="187"/>
      <c r="AJ1932" s="187"/>
      <c r="AK1932" s="187"/>
      <c r="AL1932" s="187"/>
    </row>
    <row r="1933" spans="2:38" ht="12.75" customHeight="1">
      <c r="B1933" s="485"/>
      <c r="C1933" s="20"/>
      <c r="D1933" s="12"/>
      <c r="E1933" s="12"/>
      <c r="F1933" s="12"/>
      <c r="G1933" s="12"/>
      <c r="H1933" s="20"/>
      <c r="I1933" s="187"/>
      <c r="J1933" s="187"/>
      <c r="K1933" s="187"/>
      <c r="L1933" s="187"/>
      <c r="M1933" s="187"/>
      <c r="N1933" s="187"/>
      <c r="O1933" s="187"/>
      <c r="P1933" s="187"/>
      <c r="Q1933" s="187"/>
      <c r="R1933" s="187"/>
      <c r="S1933" s="187"/>
      <c r="T1933" s="187"/>
      <c r="U1933" s="187"/>
      <c r="V1933" s="187"/>
      <c r="W1933" s="187"/>
      <c r="X1933" s="187"/>
      <c r="Y1933" s="187"/>
      <c r="Z1933" s="187"/>
      <c r="AA1933" s="187"/>
      <c r="AB1933" s="187"/>
      <c r="AC1933" s="187"/>
      <c r="AD1933" s="187"/>
      <c r="AE1933" s="187"/>
      <c r="AF1933" s="187"/>
      <c r="AG1933" s="187"/>
      <c r="AH1933" s="187"/>
      <c r="AI1933" s="187"/>
      <c r="AJ1933" s="187"/>
      <c r="AK1933" s="187"/>
      <c r="AL1933" s="187"/>
    </row>
    <row r="1934" spans="2:38" ht="12.75" customHeight="1">
      <c r="B1934" s="485"/>
      <c r="C1934" s="20"/>
      <c r="D1934" s="12"/>
      <c r="E1934" s="12"/>
      <c r="F1934" s="12"/>
      <c r="G1934" s="12"/>
      <c r="H1934" s="20"/>
      <c r="I1934" s="187"/>
      <c r="J1934" s="187"/>
      <c r="K1934" s="187"/>
      <c r="L1934" s="187"/>
      <c r="M1934" s="187"/>
      <c r="N1934" s="187"/>
      <c r="O1934" s="187"/>
      <c r="P1934" s="187"/>
      <c r="Q1934" s="187"/>
      <c r="R1934" s="187"/>
      <c r="S1934" s="187"/>
      <c r="T1934" s="187"/>
      <c r="U1934" s="187"/>
      <c r="V1934" s="187"/>
      <c r="W1934" s="187"/>
      <c r="X1934" s="187"/>
      <c r="Y1934" s="187"/>
      <c r="Z1934" s="187"/>
      <c r="AA1934" s="187"/>
      <c r="AB1934" s="187"/>
      <c r="AC1934" s="187"/>
      <c r="AD1934" s="187"/>
      <c r="AE1934" s="187"/>
      <c r="AF1934" s="187"/>
      <c r="AG1934" s="187"/>
      <c r="AH1934" s="187"/>
      <c r="AI1934" s="187"/>
      <c r="AJ1934" s="187"/>
      <c r="AK1934" s="187"/>
      <c r="AL1934" s="187"/>
    </row>
    <row r="1935" spans="2:38" ht="12.75" customHeight="1">
      <c r="B1935" s="485"/>
      <c r="C1935" s="20"/>
      <c r="D1935" s="12"/>
      <c r="E1935" s="12"/>
      <c r="F1935" s="12"/>
      <c r="G1935" s="12"/>
      <c r="H1935" s="20"/>
      <c r="I1935" s="187"/>
      <c r="J1935" s="187"/>
      <c r="K1935" s="187"/>
      <c r="L1935" s="187"/>
      <c r="M1935" s="187"/>
      <c r="N1935" s="187"/>
      <c r="O1935" s="187"/>
      <c r="P1935" s="187"/>
      <c r="Q1935" s="187"/>
      <c r="R1935" s="187"/>
      <c r="S1935" s="187"/>
      <c r="T1935" s="187"/>
      <c r="U1935" s="187"/>
      <c r="V1935" s="187"/>
      <c r="W1935" s="187"/>
      <c r="X1935" s="187"/>
      <c r="Y1935" s="187"/>
      <c r="Z1935" s="187"/>
      <c r="AA1935" s="187"/>
      <c r="AB1935" s="187"/>
      <c r="AC1935" s="187"/>
      <c r="AD1935" s="187"/>
      <c r="AE1935" s="187"/>
      <c r="AF1935" s="187"/>
      <c r="AG1935" s="187"/>
      <c r="AH1935" s="187"/>
      <c r="AI1935" s="187"/>
      <c r="AJ1935" s="187"/>
      <c r="AK1935" s="187"/>
      <c r="AL1935" s="187"/>
    </row>
    <row r="1936" spans="2:38" ht="12.75" customHeight="1">
      <c r="B1936" s="485"/>
      <c r="C1936" s="20"/>
      <c r="D1936" s="12"/>
      <c r="E1936" s="12"/>
      <c r="F1936" s="12"/>
      <c r="G1936" s="12"/>
      <c r="H1936" s="20"/>
      <c r="I1936" s="187"/>
      <c r="J1936" s="187"/>
      <c r="K1936" s="187"/>
      <c r="L1936" s="187"/>
      <c r="M1936" s="187"/>
      <c r="N1936" s="187"/>
      <c r="O1936" s="187"/>
      <c r="P1936" s="187"/>
      <c r="Q1936" s="187"/>
      <c r="R1936" s="187"/>
      <c r="S1936" s="187"/>
      <c r="T1936" s="187"/>
      <c r="U1936" s="187"/>
      <c r="V1936" s="187"/>
      <c r="W1936" s="187"/>
      <c r="X1936" s="187"/>
      <c r="Y1936" s="187"/>
      <c r="Z1936" s="187"/>
      <c r="AA1936" s="187"/>
      <c r="AB1936" s="187"/>
      <c r="AC1936" s="187"/>
      <c r="AD1936" s="187"/>
      <c r="AE1936" s="187"/>
      <c r="AF1936" s="187"/>
      <c r="AG1936" s="187"/>
      <c r="AH1936" s="187"/>
      <c r="AI1936" s="187"/>
      <c r="AJ1936" s="187"/>
      <c r="AK1936" s="187"/>
      <c r="AL1936" s="187"/>
    </row>
    <row r="1937" spans="2:38" ht="12.75" customHeight="1">
      <c r="B1937" s="485"/>
      <c r="C1937" s="20"/>
      <c r="D1937" s="12"/>
      <c r="E1937" s="12"/>
      <c r="F1937" s="12"/>
      <c r="G1937" s="12"/>
      <c r="H1937" s="20"/>
      <c r="I1937" s="187"/>
      <c r="J1937" s="187"/>
      <c r="K1937" s="187"/>
      <c r="L1937" s="187"/>
      <c r="M1937" s="187"/>
      <c r="N1937" s="187"/>
      <c r="O1937" s="187"/>
      <c r="P1937" s="187"/>
      <c r="Q1937" s="187"/>
      <c r="R1937" s="187"/>
      <c r="S1937" s="187"/>
      <c r="T1937" s="187"/>
      <c r="U1937" s="187"/>
      <c r="V1937" s="187"/>
      <c r="W1937" s="187"/>
      <c r="X1937" s="187"/>
      <c r="Y1937" s="187"/>
      <c r="Z1937" s="187"/>
      <c r="AA1937" s="187"/>
      <c r="AB1937" s="187"/>
      <c r="AC1937" s="187"/>
      <c r="AD1937" s="187"/>
      <c r="AE1937" s="187"/>
      <c r="AF1937" s="187"/>
      <c r="AG1937" s="187"/>
      <c r="AH1937" s="187"/>
      <c r="AI1937" s="187"/>
      <c r="AJ1937" s="187"/>
      <c r="AK1937" s="187"/>
      <c r="AL1937" s="187"/>
    </row>
    <row r="1938" spans="2:38" ht="12.75" customHeight="1">
      <c r="B1938" s="485"/>
      <c r="C1938" s="20"/>
      <c r="D1938" s="12"/>
      <c r="E1938" s="12"/>
      <c r="F1938" s="12"/>
      <c r="G1938" s="12"/>
      <c r="H1938" s="20"/>
      <c r="I1938" s="187"/>
      <c r="J1938" s="187"/>
      <c r="K1938" s="187"/>
      <c r="L1938" s="187"/>
      <c r="M1938" s="187"/>
      <c r="N1938" s="187"/>
      <c r="O1938" s="187"/>
      <c r="P1938" s="187"/>
      <c r="Q1938" s="187"/>
      <c r="R1938" s="187"/>
      <c r="S1938" s="187"/>
      <c r="T1938" s="187"/>
      <c r="U1938" s="187"/>
      <c r="V1938" s="187"/>
      <c r="W1938" s="187"/>
      <c r="X1938" s="187"/>
      <c r="Y1938" s="187"/>
      <c r="Z1938" s="187"/>
      <c r="AA1938" s="187"/>
      <c r="AB1938" s="187"/>
      <c r="AC1938" s="187"/>
      <c r="AD1938" s="187"/>
      <c r="AE1938" s="187"/>
      <c r="AF1938" s="187"/>
      <c r="AG1938" s="187"/>
      <c r="AH1938" s="187"/>
      <c r="AI1938" s="187"/>
      <c r="AJ1938" s="187"/>
      <c r="AK1938" s="187"/>
      <c r="AL1938" s="187"/>
    </row>
    <row r="1939" spans="2:38" ht="12.75" customHeight="1">
      <c r="B1939" s="485"/>
      <c r="C1939" s="20"/>
      <c r="D1939" s="12"/>
      <c r="E1939" s="12"/>
      <c r="F1939" s="12"/>
      <c r="G1939" s="12"/>
      <c r="H1939" s="20"/>
      <c r="I1939" s="187"/>
      <c r="J1939" s="187"/>
      <c r="K1939" s="187"/>
      <c r="L1939" s="187"/>
      <c r="M1939" s="187"/>
      <c r="N1939" s="187"/>
      <c r="O1939" s="187"/>
      <c r="P1939" s="187"/>
      <c r="Q1939" s="187"/>
      <c r="R1939" s="187"/>
      <c r="S1939" s="187"/>
      <c r="T1939" s="187"/>
      <c r="U1939" s="187"/>
      <c r="V1939" s="187"/>
      <c r="W1939" s="187"/>
      <c r="X1939" s="187"/>
      <c r="Y1939" s="187"/>
      <c r="Z1939" s="187"/>
      <c r="AA1939" s="187"/>
      <c r="AB1939" s="187"/>
      <c r="AC1939" s="187"/>
      <c r="AD1939" s="187"/>
      <c r="AE1939" s="187"/>
      <c r="AF1939" s="187"/>
      <c r="AG1939" s="187"/>
      <c r="AH1939" s="187"/>
      <c r="AI1939" s="187"/>
      <c r="AJ1939" s="187"/>
      <c r="AK1939" s="187"/>
      <c r="AL1939" s="187"/>
    </row>
    <row r="1940" spans="2:38" ht="12.75" customHeight="1">
      <c r="B1940" s="485"/>
      <c r="C1940" s="20"/>
      <c r="D1940" s="12"/>
      <c r="E1940" s="12"/>
      <c r="F1940" s="12"/>
      <c r="G1940" s="12"/>
      <c r="H1940" s="20"/>
      <c r="I1940" s="187"/>
      <c r="J1940" s="187"/>
      <c r="K1940" s="187"/>
      <c r="L1940" s="187"/>
      <c r="M1940" s="187"/>
      <c r="N1940" s="187"/>
      <c r="O1940" s="187"/>
      <c r="P1940" s="187"/>
      <c r="Q1940" s="187"/>
      <c r="R1940" s="187"/>
      <c r="S1940" s="187"/>
      <c r="T1940" s="187"/>
      <c r="U1940" s="187"/>
      <c r="V1940" s="187"/>
      <c r="W1940" s="187"/>
      <c r="X1940" s="187"/>
      <c r="Y1940" s="187"/>
      <c r="Z1940" s="187"/>
      <c r="AA1940" s="187"/>
      <c r="AB1940" s="187"/>
      <c r="AC1940" s="187"/>
      <c r="AD1940" s="187"/>
      <c r="AE1940" s="187"/>
      <c r="AF1940" s="187"/>
      <c r="AG1940" s="187"/>
      <c r="AH1940" s="187"/>
      <c r="AI1940" s="187"/>
      <c r="AJ1940" s="187"/>
      <c r="AK1940" s="187"/>
      <c r="AL1940" s="187"/>
    </row>
    <row r="1941" spans="2:38" ht="12.75" customHeight="1">
      <c r="B1941" s="485"/>
      <c r="C1941" s="20"/>
      <c r="D1941" s="12"/>
      <c r="E1941" s="12"/>
      <c r="F1941" s="12"/>
      <c r="G1941" s="12"/>
      <c r="H1941" s="20"/>
      <c r="I1941" s="187"/>
      <c r="J1941" s="187"/>
      <c r="K1941" s="187"/>
      <c r="L1941" s="187"/>
      <c r="M1941" s="187"/>
      <c r="N1941" s="187"/>
      <c r="O1941" s="187"/>
      <c r="P1941" s="187"/>
      <c r="Q1941" s="187"/>
      <c r="R1941" s="187"/>
      <c r="S1941" s="187"/>
      <c r="T1941" s="187"/>
      <c r="U1941" s="187"/>
      <c r="V1941" s="187"/>
      <c r="W1941" s="187"/>
      <c r="X1941" s="187"/>
      <c r="Y1941" s="187"/>
      <c r="Z1941" s="187"/>
      <c r="AA1941" s="187"/>
      <c r="AB1941" s="187"/>
      <c r="AC1941" s="187"/>
      <c r="AD1941" s="187"/>
      <c r="AE1941" s="187"/>
      <c r="AF1941" s="187"/>
      <c r="AG1941" s="187"/>
      <c r="AH1941" s="187"/>
      <c r="AI1941" s="187"/>
      <c r="AJ1941" s="187"/>
      <c r="AK1941" s="187"/>
      <c r="AL1941" s="187"/>
    </row>
    <row r="1942" spans="2:38" ht="12.75" customHeight="1">
      <c r="B1942" s="485"/>
      <c r="C1942" s="20"/>
      <c r="D1942" s="12"/>
      <c r="E1942" s="12"/>
      <c r="F1942" s="12"/>
      <c r="G1942" s="12"/>
      <c r="H1942" s="20"/>
      <c r="I1942" s="187"/>
      <c r="J1942" s="187"/>
      <c r="K1942" s="187"/>
      <c r="L1942" s="187"/>
      <c r="M1942" s="187"/>
      <c r="N1942" s="187"/>
      <c r="O1942" s="187"/>
      <c r="P1942" s="187"/>
      <c r="Q1942" s="187"/>
      <c r="R1942" s="187"/>
      <c r="S1942" s="187"/>
      <c r="T1942" s="187"/>
      <c r="U1942" s="187"/>
      <c r="V1942" s="187"/>
      <c r="W1942" s="187"/>
      <c r="X1942" s="187"/>
      <c r="Y1942" s="187"/>
      <c r="Z1942" s="187"/>
      <c r="AA1942" s="187"/>
      <c r="AB1942" s="187"/>
      <c r="AC1942" s="187"/>
      <c r="AD1942" s="187"/>
      <c r="AE1942" s="187"/>
      <c r="AF1942" s="187"/>
      <c r="AG1942" s="187"/>
      <c r="AH1942" s="187"/>
      <c r="AI1942" s="187"/>
      <c r="AJ1942" s="187"/>
      <c r="AK1942" s="187"/>
      <c r="AL1942" s="187"/>
    </row>
    <row r="1943" spans="2:38" ht="12.75" customHeight="1">
      <c r="B1943" s="485"/>
      <c r="C1943" s="20"/>
      <c r="D1943" s="12"/>
      <c r="E1943" s="12"/>
      <c r="F1943" s="12"/>
      <c r="G1943" s="12"/>
      <c r="H1943" s="20"/>
      <c r="I1943" s="187"/>
      <c r="J1943" s="187"/>
      <c r="K1943" s="187"/>
      <c r="L1943" s="187"/>
      <c r="M1943" s="187"/>
      <c r="N1943" s="187"/>
      <c r="O1943" s="187"/>
      <c r="P1943" s="187"/>
      <c r="Q1943" s="187"/>
      <c r="R1943" s="187"/>
      <c r="S1943" s="187"/>
      <c r="T1943" s="187"/>
      <c r="U1943" s="187"/>
      <c r="V1943" s="187"/>
      <c r="W1943" s="187"/>
      <c r="X1943" s="187"/>
      <c r="Y1943" s="187"/>
      <c r="Z1943" s="187"/>
      <c r="AA1943" s="187"/>
      <c r="AB1943" s="187"/>
      <c r="AC1943" s="187"/>
      <c r="AD1943" s="187"/>
      <c r="AE1943" s="187"/>
      <c r="AF1943" s="187"/>
      <c r="AG1943" s="187"/>
      <c r="AH1943" s="187"/>
      <c r="AI1943" s="187"/>
      <c r="AJ1943" s="187"/>
      <c r="AK1943" s="187"/>
      <c r="AL1943" s="187"/>
    </row>
    <row r="1944" spans="2:38" ht="12.75" customHeight="1">
      <c r="B1944" s="485"/>
      <c r="C1944" s="20"/>
      <c r="D1944" s="12"/>
      <c r="E1944" s="12"/>
      <c r="F1944" s="12"/>
      <c r="G1944" s="12"/>
      <c r="H1944" s="20"/>
      <c r="I1944" s="187"/>
      <c r="J1944" s="187"/>
      <c r="K1944" s="187"/>
      <c r="L1944" s="187"/>
      <c r="M1944" s="187"/>
      <c r="N1944" s="187"/>
      <c r="O1944" s="187"/>
      <c r="P1944" s="187"/>
      <c r="Q1944" s="187"/>
      <c r="R1944" s="187"/>
      <c r="S1944" s="187"/>
      <c r="T1944" s="187"/>
      <c r="U1944" s="187"/>
      <c r="V1944" s="187"/>
      <c r="W1944" s="187"/>
      <c r="X1944" s="187"/>
      <c r="Y1944" s="187"/>
      <c r="Z1944" s="187"/>
      <c r="AA1944" s="187"/>
      <c r="AB1944" s="187"/>
      <c r="AC1944" s="187"/>
      <c r="AD1944" s="187"/>
      <c r="AE1944" s="187"/>
      <c r="AF1944" s="187"/>
      <c r="AG1944" s="187"/>
      <c r="AH1944" s="187"/>
      <c r="AI1944" s="187"/>
      <c r="AJ1944" s="187"/>
      <c r="AK1944" s="187"/>
      <c r="AL1944" s="187"/>
    </row>
    <row r="1945" spans="2:38" ht="12.75" customHeight="1">
      <c r="B1945" s="485"/>
      <c r="C1945" s="20"/>
      <c r="D1945" s="12"/>
      <c r="E1945" s="12"/>
      <c r="F1945" s="12"/>
      <c r="G1945" s="12"/>
      <c r="H1945" s="20"/>
      <c r="I1945" s="187"/>
      <c r="J1945" s="187"/>
      <c r="K1945" s="187"/>
      <c r="L1945" s="187"/>
      <c r="M1945" s="187"/>
      <c r="N1945" s="187"/>
      <c r="O1945" s="187"/>
      <c r="P1945" s="187"/>
      <c r="Q1945" s="187"/>
      <c r="R1945" s="187"/>
      <c r="S1945" s="187"/>
      <c r="T1945" s="187"/>
      <c r="U1945" s="187"/>
      <c r="V1945" s="187"/>
      <c r="W1945" s="187"/>
      <c r="X1945" s="187"/>
      <c r="Y1945" s="187"/>
      <c r="Z1945" s="187"/>
      <c r="AA1945" s="187"/>
      <c r="AB1945" s="187"/>
      <c r="AC1945" s="187"/>
      <c r="AD1945" s="187"/>
      <c r="AE1945" s="187"/>
      <c r="AF1945" s="187"/>
      <c r="AG1945" s="187"/>
      <c r="AH1945" s="187"/>
      <c r="AI1945" s="187"/>
      <c r="AJ1945" s="187"/>
      <c r="AK1945" s="187"/>
      <c r="AL1945" s="187"/>
    </row>
    <row r="1946" spans="2:38" ht="12.75" customHeight="1">
      <c r="B1946" s="485"/>
      <c r="C1946" s="20"/>
      <c r="D1946" s="12"/>
      <c r="E1946" s="12"/>
      <c r="F1946" s="12"/>
      <c r="G1946" s="12"/>
      <c r="H1946" s="20"/>
      <c r="I1946" s="187"/>
      <c r="J1946" s="187"/>
      <c r="K1946" s="187"/>
      <c r="L1946" s="187"/>
      <c r="M1946" s="187"/>
      <c r="N1946" s="187"/>
      <c r="O1946" s="187"/>
      <c r="P1946" s="187"/>
      <c r="Q1946" s="187"/>
      <c r="R1946" s="187"/>
      <c r="S1946" s="187"/>
      <c r="T1946" s="187"/>
      <c r="U1946" s="187"/>
      <c r="V1946" s="187"/>
      <c r="W1946" s="187"/>
      <c r="X1946" s="187"/>
      <c r="Y1946" s="187"/>
      <c r="Z1946" s="187"/>
      <c r="AA1946" s="187"/>
      <c r="AB1946" s="187"/>
      <c r="AC1946" s="187"/>
      <c r="AD1946" s="187"/>
      <c r="AE1946" s="187"/>
      <c r="AF1946" s="187"/>
      <c r="AG1946" s="187"/>
      <c r="AH1946" s="187"/>
      <c r="AI1946" s="187"/>
      <c r="AJ1946" s="187"/>
      <c r="AK1946" s="187"/>
      <c r="AL1946" s="187"/>
    </row>
    <row r="1947" spans="2:38" ht="12.75" customHeight="1">
      <c r="B1947" s="485"/>
      <c r="C1947" s="20"/>
      <c r="D1947" s="12"/>
      <c r="E1947" s="12"/>
      <c r="F1947" s="12"/>
      <c r="G1947" s="12"/>
      <c r="H1947" s="20"/>
      <c r="I1947" s="187"/>
      <c r="J1947" s="187"/>
      <c r="K1947" s="187"/>
      <c r="L1947" s="187"/>
      <c r="M1947" s="187"/>
      <c r="N1947" s="187"/>
      <c r="O1947" s="187"/>
      <c r="P1947" s="187"/>
      <c r="Q1947" s="187"/>
      <c r="R1947" s="187"/>
      <c r="S1947" s="187"/>
      <c r="T1947" s="187"/>
      <c r="U1947" s="187"/>
      <c r="V1947" s="187"/>
      <c r="W1947" s="187"/>
      <c r="X1947" s="187"/>
      <c r="Y1947" s="187"/>
      <c r="Z1947" s="187"/>
      <c r="AA1947" s="187"/>
      <c r="AB1947" s="187"/>
      <c r="AC1947" s="187"/>
      <c r="AD1947" s="187"/>
      <c r="AE1947" s="187"/>
      <c r="AF1947" s="187"/>
      <c r="AG1947" s="187"/>
      <c r="AH1947" s="187"/>
      <c r="AI1947" s="187"/>
      <c r="AJ1947" s="187"/>
      <c r="AK1947" s="187"/>
      <c r="AL1947" s="187"/>
    </row>
    <row r="1948" spans="2:38" ht="12.75" customHeight="1">
      <c r="B1948" s="485"/>
      <c r="C1948" s="20"/>
      <c r="D1948" s="12"/>
      <c r="E1948" s="12"/>
      <c r="F1948" s="12"/>
      <c r="G1948" s="12"/>
      <c r="H1948" s="20"/>
      <c r="I1948" s="187"/>
      <c r="J1948" s="187"/>
      <c r="K1948" s="187"/>
      <c r="L1948" s="187"/>
      <c r="M1948" s="187"/>
      <c r="N1948" s="187"/>
      <c r="O1948" s="187"/>
      <c r="P1948" s="187"/>
      <c r="Q1948" s="187"/>
      <c r="R1948" s="187"/>
      <c r="S1948" s="187"/>
      <c r="T1948" s="187"/>
      <c r="U1948" s="187"/>
      <c r="V1948" s="187"/>
      <c r="W1948" s="187"/>
      <c r="X1948" s="187"/>
      <c r="Y1948" s="187"/>
      <c r="Z1948" s="187"/>
      <c r="AA1948" s="187"/>
      <c r="AB1948" s="187"/>
      <c r="AC1948" s="187"/>
      <c r="AD1948" s="187"/>
      <c r="AE1948" s="187"/>
      <c r="AF1948" s="187"/>
      <c r="AG1948" s="187"/>
      <c r="AH1948" s="187"/>
      <c r="AI1948" s="187"/>
      <c r="AJ1948" s="187"/>
      <c r="AK1948" s="187"/>
      <c r="AL1948" s="187"/>
    </row>
    <row r="1949" spans="2:38" ht="12.75" customHeight="1">
      <c r="B1949" s="485"/>
      <c r="C1949" s="20"/>
      <c r="D1949" s="12"/>
      <c r="E1949" s="12"/>
      <c r="F1949" s="12"/>
      <c r="G1949" s="12"/>
      <c r="H1949" s="20"/>
      <c r="I1949" s="187"/>
      <c r="J1949" s="187"/>
      <c r="K1949" s="187"/>
      <c r="L1949" s="187"/>
      <c r="M1949" s="187"/>
      <c r="N1949" s="187"/>
      <c r="O1949" s="187"/>
      <c r="P1949" s="187"/>
      <c r="Q1949" s="187"/>
      <c r="R1949" s="187"/>
      <c r="S1949" s="187"/>
      <c r="T1949" s="187"/>
      <c r="U1949" s="187"/>
      <c r="V1949" s="187"/>
      <c r="W1949" s="187"/>
      <c r="X1949" s="187"/>
      <c r="Y1949" s="187"/>
      <c r="Z1949" s="187"/>
      <c r="AA1949" s="187"/>
      <c r="AB1949" s="187"/>
      <c r="AC1949" s="187"/>
      <c r="AD1949" s="187"/>
      <c r="AE1949" s="187"/>
      <c r="AF1949" s="187"/>
      <c r="AG1949" s="187"/>
      <c r="AH1949" s="187"/>
      <c r="AI1949" s="187"/>
      <c r="AJ1949" s="187"/>
      <c r="AK1949" s="187"/>
      <c r="AL1949" s="187"/>
    </row>
    <row r="1950" spans="2:38" ht="12.75" customHeight="1">
      <c r="B1950" s="485"/>
      <c r="C1950" s="20"/>
      <c r="D1950" s="12"/>
      <c r="E1950" s="12"/>
      <c r="F1950" s="12"/>
      <c r="G1950" s="12"/>
      <c r="H1950" s="20"/>
      <c r="I1950" s="187"/>
      <c r="J1950" s="187"/>
      <c r="K1950" s="187"/>
      <c r="L1950" s="187"/>
      <c r="M1950" s="187"/>
      <c r="N1950" s="187"/>
      <c r="O1950" s="187"/>
      <c r="P1950" s="187"/>
      <c r="Q1950" s="187"/>
      <c r="R1950" s="187"/>
      <c r="S1950" s="187"/>
      <c r="T1950" s="187"/>
      <c r="U1950" s="187"/>
      <c r="V1950" s="187"/>
      <c r="W1950" s="187"/>
      <c r="X1950" s="187"/>
      <c r="Y1950" s="187"/>
      <c r="Z1950" s="187"/>
      <c r="AA1950" s="187"/>
      <c r="AB1950" s="187"/>
      <c r="AC1950" s="187"/>
      <c r="AD1950" s="187"/>
      <c r="AE1950" s="187"/>
      <c r="AF1950" s="187"/>
      <c r="AG1950" s="187"/>
      <c r="AH1950" s="187"/>
      <c r="AI1950" s="187"/>
      <c r="AJ1950" s="187"/>
      <c r="AK1950" s="187"/>
      <c r="AL1950" s="187"/>
    </row>
    <row r="1951" spans="2:38" ht="12.75" customHeight="1">
      <c r="B1951" s="485"/>
      <c r="C1951" s="20"/>
      <c r="D1951" s="12"/>
      <c r="E1951" s="12"/>
      <c r="F1951" s="12"/>
      <c r="G1951" s="12"/>
      <c r="H1951" s="20"/>
      <c r="I1951" s="187"/>
      <c r="J1951" s="187"/>
      <c r="K1951" s="187"/>
      <c r="L1951" s="187"/>
      <c r="M1951" s="187"/>
      <c r="N1951" s="187"/>
      <c r="O1951" s="187"/>
      <c r="P1951" s="187"/>
      <c r="Q1951" s="187"/>
      <c r="R1951" s="187"/>
      <c r="S1951" s="187"/>
      <c r="T1951" s="187"/>
      <c r="U1951" s="187"/>
      <c r="V1951" s="187"/>
      <c r="W1951" s="187"/>
      <c r="X1951" s="187"/>
      <c r="Y1951" s="187"/>
      <c r="Z1951" s="187"/>
      <c r="AA1951" s="187"/>
      <c r="AB1951" s="187"/>
      <c r="AC1951" s="187"/>
      <c r="AD1951" s="187"/>
      <c r="AE1951" s="187"/>
      <c r="AF1951" s="187"/>
      <c r="AG1951" s="187"/>
      <c r="AH1951" s="187"/>
      <c r="AI1951" s="187"/>
      <c r="AJ1951" s="187"/>
      <c r="AK1951" s="187"/>
      <c r="AL1951" s="187"/>
    </row>
    <row r="1952" spans="2:38" ht="12.75" customHeight="1">
      <c r="B1952" s="485"/>
      <c r="C1952" s="20"/>
      <c r="D1952" s="12"/>
      <c r="E1952" s="12"/>
      <c r="F1952" s="12"/>
      <c r="G1952" s="12"/>
      <c r="H1952" s="20"/>
      <c r="I1952" s="187"/>
      <c r="J1952" s="187"/>
      <c r="K1952" s="187"/>
      <c r="L1952" s="187"/>
      <c r="M1952" s="187"/>
      <c r="N1952" s="187"/>
      <c r="O1952" s="187"/>
      <c r="P1952" s="187"/>
      <c r="Q1952" s="187"/>
      <c r="R1952" s="187"/>
      <c r="S1952" s="187"/>
      <c r="T1952" s="187"/>
      <c r="U1952" s="187"/>
      <c r="V1952" s="187"/>
      <c r="W1952" s="187"/>
      <c r="X1952" s="187"/>
      <c r="Y1952" s="187"/>
      <c r="Z1952" s="187"/>
      <c r="AA1952" s="187"/>
      <c r="AB1952" s="187"/>
      <c r="AC1952" s="187"/>
      <c r="AD1952" s="187"/>
      <c r="AE1952" s="187"/>
      <c r="AF1952" s="187"/>
      <c r="AG1952" s="187"/>
      <c r="AH1952" s="187"/>
      <c r="AI1952" s="187"/>
      <c r="AJ1952" s="187"/>
      <c r="AK1952" s="187"/>
      <c r="AL1952" s="187"/>
    </row>
    <row r="1953" spans="2:38" ht="12.75" customHeight="1">
      <c r="B1953" s="485"/>
      <c r="C1953" s="20"/>
      <c r="D1953" s="12"/>
      <c r="E1953" s="12"/>
      <c r="F1953" s="12"/>
      <c r="G1953" s="12"/>
      <c r="H1953" s="20"/>
      <c r="I1953" s="187"/>
      <c r="J1953" s="187"/>
      <c r="K1953" s="187"/>
      <c r="L1953" s="187"/>
      <c r="M1953" s="187"/>
      <c r="N1953" s="187"/>
      <c r="O1953" s="187"/>
      <c r="P1953" s="187"/>
      <c r="Q1953" s="187"/>
      <c r="R1953" s="187"/>
      <c r="S1953" s="187"/>
      <c r="T1953" s="187"/>
      <c r="U1953" s="187"/>
      <c r="V1953" s="187"/>
      <c r="W1953" s="187"/>
      <c r="X1953" s="187"/>
      <c r="Y1953" s="187"/>
      <c r="Z1953" s="187"/>
      <c r="AA1953" s="187"/>
      <c r="AB1953" s="187"/>
      <c r="AC1953" s="187"/>
      <c r="AD1953" s="187"/>
      <c r="AE1953" s="187"/>
      <c r="AF1953" s="187"/>
      <c r="AG1953" s="187"/>
      <c r="AH1953" s="187"/>
      <c r="AI1953" s="187"/>
      <c r="AJ1953" s="187"/>
      <c r="AK1953" s="187"/>
      <c r="AL1953" s="187"/>
    </row>
    <row r="1954" spans="2:38" ht="12.75" customHeight="1">
      <c r="B1954" s="485"/>
      <c r="C1954" s="20"/>
      <c r="D1954" s="12"/>
      <c r="E1954" s="12"/>
      <c r="F1954" s="12"/>
      <c r="G1954" s="12"/>
      <c r="H1954" s="20"/>
      <c r="I1954" s="187"/>
      <c r="J1954" s="187"/>
      <c r="K1954" s="187"/>
      <c r="L1954" s="187"/>
      <c r="M1954" s="187"/>
      <c r="N1954" s="187"/>
      <c r="O1954" s="187"/>
      <c r="P1954" s="187"/>
      <c r="Q1954" s="187"/>
      <c r="R1954" s="187"/>
      <c r="S1954" s="187"/>
      <c r="T1954" s="187"/>
      <c r="U1954" s="187"/>
      <c r="V1954" s="187"/>
      <c r="W1954" s="187"/>
      <c r="X1954" s="187"/>
      <c r="Y1954" s="187"/>
      <c r="Z1954" s="187"/>
      <c r="AA1954" s="187"/>
      <c r="AB1954" s="187"/>
      <c r="AC1954" s="187"/>
      <c r="AD1954" s="187"/>
      <c r="AE1954" s="187"/>
      <c r="AF1954" s="187"/>
      <c r="AG1954" s="187"/>
      <c r="AH1954" s="187"/>
      <c r="AI1954" s="187"/>
      <c r="AJ1954" s="187"/>
      <c r="AK1954" s="187"/>
      <c r="AL1954" s="187"/>
    </row>
    <row r="1955" spans="2:38" ht="12.75" customHeight="1">
      <c r="B1955" s="485"/>
      <c r="C1955" s="20"/>
      <c r="D1955" s="12"/>
      <c r="E1955" s="12"/>
      <c r="F1955" s="12"/>
      <c r="G1955" s="12"/>
      <c r="H1955" s="20"/>
      <c r="I1955" s="187"/>
      <c r="J1955" s="187"/>
      <c r="K1955" s="187"/>
      <c r="L1955" s="187"/>
      <c r="M1955" s="187"/>
      <c r="N1955" s="187"/>
      <c r="O1955" s="187"/>
      <c r="P1955" s="187"/>
      <c r="Q1955" s="187"/>
      <c r="R1955" s="187"/>
      <c r="S1955" s="187"/>
      <c r="T1955" s="187"/>
      <c r="U1955" s="187"/>
      <c r="V1955" s="187"/>
      <c r="W1955" s="187"/>
      <c r="X1955" s="187"/>
      <c r="Y1955" s="187"/>
      <c r="Z1955" s="187"/>
      <c r="AA1955" s="187"/>
      <c r="AB1955" s="187"/>
      <c r="AC1955" s="187"/>
      <c r="AD1955" s="187"/>
      <c r="AE1955" s="187"/>
      <c r="AF1955" s="187"/>
      <c r="AG1955" s="187"/>
      <c r="AH1955" s="187"/>
      <c r="AI1955" s="187"/>
      <c r="AJ1955" s="187"/>
      <c r="AK1955" s="187"/>
      <c r="AL1955" s="187"/>
    </row>
    <row r="1956" spans="2:38" ht="12.75" customHeight="1">
      <c r="B1956" s="485"/>
      <c r="C1956" s="20"/>
      <c r="D1956" s="12"/>
      <c r="E1956" s="12"/>
      <c r="F1956" s="12"/>
      <c r="G1956" s="12"/>
      <c r="H1956" s="20"/>
      <c r="I1956" s="187"/>
      <c r="J1956" s="187"/>
      <c r="K1956" s="187"/>
      <c r="L1956" s="187"/>
      <c r="M1956" s="187"/>
      <c r="N1956" s="187"/>
      <c r="O1956" s="187"/>
      <c r="P1956" s="187"/>
      <c r="Q1956" s="187"/>
      <c r="R1956" s="187"/>
      <c r="S1956" s="187"/>
      <c r="T1956" s="187"/>
      <c r="U1956" s="187"/>
      <c r="V1956" s="187"/>
      <c r="W1956" s="187"/>
      <c r="X1956" s="187"/>
      <c r="Y1956" s="187"/>
      <c r="Z1956" s="187"/>
      <c r="AA1956" s="187"/>
      <c r="AB1956" s="187"/>
      <c r="AC1956" s="187"/>
      <c r="AD1956" s="187"/>
      <c r="AE1956" s="187"/>
      <c r="AF1956" s="187"/>
      <c r="AG1956" s="187"/>
      <c r="AH1956" s="187"/>
      <c r="AI1956" s="187"/>
      <c r="AJ1956" s="187"/>
      <c r="AK1956" s="187"/>
      <c r="AL1956" s="187"/>
    </row>
    <row r="1957" spans="2:38" ht="12.75" customHeight="1">
      <c r="B1957" s="485"/>
      <c r="C1957" s="20"/>
      <c r="D1957" s="12"/>
      <c r="E1957" s="12"/>
      <c r="F1957" s="12"/>
      <c r="G1957" s="12"/>
      <c r="H1957" s="20"/>
      <c r="I1957" s="187"/>
      <c r="J1957" s="187"/>
      <c r="K1957" s="187"/>
      <c r="L1957" s="187"/>
      <c r="M1957" s="187"/>
      <c r="N1957" s="187"/>
      <c r="O1957" s="187"/>
      <c r="P1957" s="187"/>
      <c r="Q1957" s="187"/>
      <c r="R1957" s="187"/>
      <c r="S1957" s="187"/>
      <c r="T1957" s="187"/>
      <c r="U1957" s="187"/>
      <c r="V1957" s="187"/>
      <c r="W1957" s="187"/>
      <c r="X1957" s="187"/>
      <c r="Y1957" s="187"/>
      <c r="Z1957" s="187"/>
      <c r="AA1957" s="187"/>
      <c r="AB1957" s="187"/>
      <c r="AC1957" s="187"/>
      <c r="AD1957" s="187"/>
      <c r="AE1957" s="187"/>
      <c r="AF1957" s="187"/>
      <c r="AG1957" s="187"/>
      <c r="AH1957" s="187"/>
      <c r="AI1957" s="187"/>
      <c r="AJ1957" s="187"/>
      <c r="AK1957" s="187"/>
      <c r="AL1957" s="187"/>
    </row>
    <row r="1958" spans="2:38" ht="12.75" customHeight="1">
      <c r="B1958" s="485"/>
      <c r="C1958" s="20"/>
      <c r="D1958" s="12"/>
      <c r="E1958" s="12"/>
      <c r="F1958" s="12"/>
      <c r="G1958" s="12"/>
      <c r="H1958" s="20"/>
      <c r="I1958" s="187"/>
      <c r="J1958" s="187"/>
      <c r="K1958" s="187"/>
      <c r="L1958" s="187"/>
      <c r="M1958" s="187"/>
      <c r="N1958" s="187"/>
      <c r="O1958" s="187"/>
      <c r="P1958" s="187"/>
      <c r="Q1958" s="187"/>
      <c r="R1958" s="187"/>
      <c r="S1958" s="187"/>
      <c r="T1958" s="187"/>
      <c r="U1958" s="187"/>
      <c r="V1958" s="187"/>
      <c r="W1958" s="187"/>
      <c r="X1958" s="187"/>
      <c r="Y1958" s="187"/>
      <c r="Z1958" s="187"/>
      <c r="AA1958" s="187"/>
      <c r="AB1958" s="187"/>
      <c r="AC1958" s="187"/>
      <c r="AD1958" s="187"/>
      <c r="AE1958" s="187"/>
      <c r="AF1958" s="187"/>
      <c r="AG1958" s="187"/>
      <c r="AH1958" s="187"/>
      <c r="AI1958" s="187"/>
      <c r="AJ1958" s="187"/>
      <c r="AK1958" s="187"/>
      <c r="AL1958" s="187"/>
    </row>
    <row r="1959" spans="2:38" ht="12.75" customHeight="1">
      <c r="B1959" s="485"/>
      <c r="C1959" s="20"/>
      <c r="D1959" s="12"/>
      <c r="E1959" s="12"/>
      <c r="F1959" s="12"/>
      <c r="G1959" s="12"/>
      <c r="H1959" s="20"/>
      <c r="I1959" s="187"/>
      <c r="J1959" s="187"/>
      <c r="K1959" s="187"/>
      <c r="L1959" s="187"/>
      <c r="M1959" s="187"/>
      <c r="N1959" s="187"/>
      <c r="O1959" s="187"/>
      <c r="P1959" s="187"/>
      <c r="Q1959" s="187"/>
      <c r="R1959" s="187"/>
      <c r="S1959" s="187"/>
      <c r="T1959" s="187"/>
      <c r="U1959" s="187"/>
      <c r="V1959" s="187"/>
      <c r="W1959" s="187"/>
      <c r="X1959" s="187"/>
      <c r="Y1959" s="187"/>
      <c r="Z1959" s="187"/>
      <c r="AA1959" s="187"/>
      <c r="AB1959" s="187"/>
      <c r="AC1959" s="187"/>
      <c r="AD1959" s="187"/>
      <c r="AE1959" s="187"/>
      <c r="AF1959" s="187"/>
      <c r="AG1959" s="187"/>
      <c r="AH1959" s="187"/>
      <c r="AI1959" s="187"/>
      <c r="AJ1959" s="187"/>
      <c r="AK1959" s="187"/>
      <c r="AL1959" s="187"/>
    </row>
    <row r="1960" spans="2:38" ht="12.75" customHeight="1">
      <c r="B1960" s="485"/>
      <c r="C1960" s="20"/>
      <c r="D1960" s="12"/>
      <c r="E1960" s="12"/>
      <c r="F1960" s="12"/>
      <c r="G1960" s="12"/>
      <c r="H1960" s="20"/>
      <c r="I1960" s="187"/>
      <c r="J1960" s="187"/>
      <c r="K1960" s="187"/>
      <c r="L1960" s="187"/>
      <c r="M1960" s="187"/>
      <c r="N1960" s="187"/>
      <c r="O1960" s="187"/>
      <c r="P1960" s="187"/>
      <c r="Q1960" s="187"/>
      <c r="R1960" s="187"/>
      <c r="S1960" s="187"/>
      <c r="T1960" s="187"/>
      <c r="U1960" s="187"/>
      <c r="V1960" s="187"/>
      <c r="W1960" s="187"/>
      <c r="X1960" s="187"/>
      <c r="Y1960" s="187"/>
      <c r="Z1960" s="187"/>
      <c r="AA1960" s="187"/>
      <c r="AB1960" s="187"/>
      <c r="AC1960" s="187"/>
      <c r="AD1960" s="187"/>
      <c r="AE1960" s="187"/>
      <c r="AF1960" s="187"/>
      <c r="AG1960" s="187"/>
      <c r="AH1960" s="187"/>
      <c r="AI1960" s="187"/>
      <c r="AJ1960" s="187"/>
      <c r="AK1960" s="187"/>
      <c r="AL1960" s="187"/>
    </row>
    <row r="1961" spans="2:38" ht="12.75" customHeight="1">
      <c r="B1961" s="485"/>
      <c r="C1961" s="20"/>
      <c r="D1961" s="12"/>
      <c r="E1961" s="12"/>
      <c r="F1961" s="12"/>
      <c r="G1961" s="12"/>
      <c r="H1961" s="20"/>
      <c r="I1961" s="187"/>
      <c r="J1961" s="187"/>
      <c r="K1961" s="187"/>
      <c r="L1961" s="187"/>
      <c r="M1961" s="187"/>
      <c r="N1961" s="187"/>
      <c r="O1961" s="187"/>
      <c r="P1961" s="187"/>
      <c r="Q1961" s="187"/>
      <c r="R1961" s="187"/>
      <c r="S1961" s="187"/>
      <c r="T1961" s="187"/>
      <c r="U1961" s="187"/>
      <c r="V1961" s="187"/>
      <c r="W1961" s="187"/>
      <c r="X1961" s="187"/>
      <c r="Y1961" s="187"/>
      <c r="Z1961" s="187"/>
      <c r="AA1961" s="187"/>
      <c r="AB1961" s="187"/>
      <c r="AC1961" s="187"/>
      <c r="AD1961" s="187"/>
      <c r="AE1961" s="187"/>
      <c r="AF1961" s="187"/>
      <c r="AG1961" s="187"/>
      <c r="AH1961" s="187"/>
      <c r="AI1961" s="187"/>
      <c r="AJ1961" s="187"/>
      <c r="AK1961" s="187"/>
      <c r="AL1961" s="187"/>
    </row>
    <row r="1962" spans="2:38" ht="12.75" customHeight="1">
      <c r="B1962" s="485"/>
      <c r="C1962" s="20"/>
      <c r="D1962" s="12"/>
      <c r="E1962" s="12"/>
      <c r="F1962" s="12"/>
      <c r="G1962" s="12"/>
      <c r="H1962" s="20"/>
      <c r="I1962" s="187"/>
      <c r="J1962" s="187"/>
      <c r="K1962" s="187"/>
      <c r="L1962" s="187"/>
      <c r="M1962" s="187"/>
      <c r="N1962" s="187"/>
      <c r="O1962" s="187"/>
      <c r="P1962" s="187"/>
      <c r="Q1962" s="187"/>
      <c r="R1962" s="187"/>
      <c r="S1962" s="187"/>
      <c r="T1962" s="187"/>
      <c r="U1962" s="187"/>
      <c r="V1962" s="187"/>
      <c r="W1962" s="187"/>
      <c r="X1962" s="187"/>
      <c r="Y1962" s="187"/>
      <c r="Z1962" s="187"/>
      <c r="AA1962" s="187"/>
      <c r="AB1962" s="187"/>
      <c r="AC1962" s="187"/>
      <c r="AD1962" s="187"/>
      <c r="AE1962" s="187"/>
      <c r="AF1962" s="187"/>
      <c r="AG1962" s="187"/>
      <c r="AH1962" s="187"/>
      <c r="AI1962" s="187"/>
      <c r="AJ1962" s="187"/>
      <c r="AK1962" s="187"/>
      <c r="AL1962" s="187"/>
    </row>
    <row r="1963" spans="2:38" ht="12.75" customHeight="1">
      <c r="B1963" s="485"/>
      <c r="C1963" s="20"/>
      <c r="D1963" s="12"/>
      <c r="E1963" s="12"/>
      <c r="F1963" s="12"/>
      <c r="G1963" s="12"/>
      <c r="H1963" s="20"/>
      <c r="I1963" s="187"/>
      <c r="J1963" s="187"/>
      <c r="K1963" s="187"/>
      <c r="L1963" s="187"/>
      <c r="M1963" s="187"/>
      <c r="N1963" s="187"/>
      <c r="O1963" s="187"/>
      <c r="P1963" s="187"/>
      <c r="Q1963" s="187"/>
      <c r="R1963" s="187"/>
      <c r="S1963" s="187"/>
      <c r="T1963" s="187"/>
      <c r="U1963" s="187"/>
      <c r="V1963" s="187"/>
      <c r="W1963" s="187"/>
      <c r="X1963" s="187"/>
      <c r="Y1963" s="187"/>
      <c r="Z1963" s="187"/>
      <c r="AA1963" s="187"/>
      <c r="AB1963" s="187"/>
      <c r="AC1963" s="187"/>
      <c r="AD1963" s="187"/>
      <c r="AE1963" s="187"/>
      <c r="AF1963" s="187"/>
      <c r="AG1963" s="187"/>
      <c r="AH1963" s="187"/>
      <c r="AI1963" s="187"/>
      <c r="AJ1963" s="187"/>
      <c r="AK1963" s="187"/>
      <c r="AL1963" s="187"/>
    </row>
    <row r="1964" spans="2:38" ht="12.75" customHeight="1">
      <c r="B1964" s="485"/>
      <c r="C1964" s="20"/>
      <c r="D1964" s="12"/>
      <c r="E1964" s="12"/>
      <c r="F1964" s="12"/>
      <c r="G1964" s="12"/>
      <c r="H1964" s="20"/>
      <c r="I1964" s="187"/>
      <c r="J1964" s="187"/>
      <c r="K1964" s="187"/>
      <c r="L1964" s="187"/>
      <c r="M1964" s="187"/>
      <c r="N1964" s="187"/>
      <c r="O1964" s="187"/>
      <c r="P1964" s="187"/>
      <c r="Q1964" s="187"/>
      <c r="R1964" s="187"/>
      <c r="S1964" s="187"/>
      <c r="T1964" s="187"/>
      <c r="U1964" s="187"/>
      <c r="V1964" s="187"/>
      <c r="W1964" s="187"/>
      <c r="X1964" s="187"/>
      <c r="Y1964" s="187"/>
      <c r="Z1964" s="187"/>
      <c r="AA1964" s="187"/>
      <c r="AB1964" s="187"/>
      <c r="AC1964" s="187"/>
      <c r="AD1964" s="187"/>
      <c r="AE1964" s="187"/>
      <c r="AF1964" s="187"/>
      <c r="AG1964" s="187"/>
      <c r="AH1964" s="187"/>
      <c r="AI1964" s="187"/>
      <c r="AJ1964" s="187"/>
      <c r="AK1964" s="187"/>
      <c r="AL1964" s="187"/>
    </row>
    <row r="1965" spans="2:38" ht="12.75" customHeight="1">
      <c r="B1965" s="485"/>
      <c r="C1965" s="20"/>
      <c r="D1965" s="12"/>
      <c r="E1965" s="12"/>
      <c r="F1965" s="12"/>
      <c r="G1965" s="12"/>
      <c r="H1965" s="20"/>
      <c r="I1965" s="187"/>
      <c r="J1965" s="187"/>
      <c r="K1965" s="187"/>
      <c r="L1965" s="187"/>
      <c r="M1965" s="187"/>
      <c r="N1965" s="187"/>
      <c r="O1965" s="187"/>
      <c r="P1965" s="187"/>
      <c r="Q1965" s="187"/>
      <c r="R1965" s="187"/>
      <c r="S1965" s="187"/>
      <c r="T1965" s="187"/>
      <c r="U1965" s="187"/>
      <c r="V1965" s="187"/>
      <c r="W1965" s="187"/>
      <c r="X1965" s="187"/>
      <c r="Y1965" s="187"/>
      <c r="Z1965" s="187"/>
      <c r="AA1965" s="187"/>
      <c r="AB1965" s="187"/>
      <c r="AC1965" s="187"/>
      <c r="AD1965" s="187"/>
      <c r="AE1965" s="187"/>
      <c r="AF1965" s="187"/>
      <c r="AG1965" s="187"/>
      <c r="AH1965" s="187"/>
      <c r="AI1965" s="187"/>
      <c r="AJ1965" s="187"/>
      <c r="AK1965" s="187"/>
      <c r="AL1965" s="187"/>
    </row>
    <row r="1966" spans="2:38" ht="12.75" customHeight="1">
      <c r="B1966" s="485"/>
      <c r="C1966" s="20"/>
      <c r="D1966" s="12"/>
      <c r="E1966" s="12"/>
      <c r="F1966" s="12"/>
      <c r="G1966" s="12"/>
      <c r="H1966" s="20"/>
      <c r="I1966" s="187"/>
      <c r="J1966" s="187"/>
      <c r="K1966" s="187"/>
      <c r="L1966" s="187"/>
      <c r="M1966" s="187"/>
      <c r="N1966" s="187"/>
      <c r="O1966" s="187"/>
      <c r="P1966" s="187"/>
      <c r="Q1966" s="187"/>
      <c r="R1966" s="187"/>
      <c r="S1966" s="187"/>
      <c r="T1966" s="187"/>
      <c r="U1966" s="187"/>
      <c r="V1966" s="187"/>
      <c r="W1966" s="187"/>
      <c r="X1966" s="187"/>
      <c r="Y1966" s="187"/>
      <c r="Z1966" s="187"/>
      <c r="AA1966" s="187"/>
      <c r="AB1966" s="187"/>
      <c r="AC1966" s="187"/>
      <c r="AD1966" s="187"/>
      <c r="AE1966" s="187"/>
      <c r="AF1966" s="187"/>
      <c r="AG1966" s="187"/>
      <c r="AH1966" s="187"/>
      <c r="AI1966" s="187"/>
      <c r="AJ1966" s="187"/>
      <c r="AK1966" s="187"/>
      <c r="AL1966" s="187"/>
    </row>
    <row r="1967" spans="2:38" ht="12.75" customHeight="1">
      <c r="B1967" s="485"/>
      <c r="C1967" s="20"/>
      <c r="D1967" s="12"/>
      <c r="E1967" s="12"/>
      <c r="F1967" s="12"/>
      <c r="G1967" s="12"/>
      <c r="H1967" s="20"/>
      <c r="I1967" s="187"/>
      <c r="J1967" s="187"/>
      <c r="K1967" s="187"/>
      <c r="L1967" s="187"/>
      <c r="M1967" s="187"/>
      <c r="N1967" s="187"/>
      <c r="O1967" s="187"/>
      <c r="P1967" s="187"/>
      <c r="Q1967" s="187"/>
      <c r="R1967" s="187"/>
      <c r="S1967" s="187"/>
      <c r="T1967" s="187"/>
      <c r="U1967" s="187"/>
      <c r="V1967" s="187"/>
      <c r="W1967" s="187"/>
      <c r="X1967" s="187"/>
      <c r="Y1967" s="187"/>
      <c r="Z1967" s="187"/>
      <c r="AA1967" s="187"/>
      <c r="AB1967" s="187"/>
      <c r="AC1967" s="187"/>
      <c r="AD1967" s="187"/>
      <c r="AE1967" s="187"/>
      <c r="AF1967" s="187"/>
      <c r="AG1967" s="187"/>
      <c r="AH1967" s="187"/>
      <c r="AI1967" s="187"/>
      <c r="AJ1967" s="187"/>
      <c r="AK1967" s="187"/>
      <c r="AL1967" s="187"/>
    </row>
    <row r="1968" spans="2:38" ht="12.75" customHeight="1">
      <c r="B1968" s="485"/>
      <c r="C1968" s="20"/>
      <c r="D1968" s="12"/>
      <c r="E1968" s="12"/>
      <c r="F1968" s="12"/>
      <c r="G1968" s="12"/>
      <c r="H1968" s="20"/>
      <c r="I1968" s="187"/>
      <c r="J1968" s="187"/>
      <c r="K1968" s="187"/>
      <c r="L1968" s="187"/>
      <c r="M1968" s="187"/>
      <c r="N1968" s="187"/>
      <c r="O1968" s="187"/>
      <c r="P1968" s="187"/>
      <c r="Q1968" s="187"/>
      <c r="R1968" s="187"/>
      <c r="S1968" s="187"/>
      <c r="T1968" s="187"/>
      <c r="U1968" s="187"/>
      <c r="V1968" s="187"/>
      <c r="W1968" s="187"/>
      <c r="X1968" s="187"/>
      <c r="Y1968" s="187"/>
      <c r="Z1968" s="187"/>
      <c r="AA1968" s="187"/>
      <c r="AB1968" s="187"/>
      <c r="AC1968" s="187"/>
      <c r="AD1968" s="187"/>
      <c r="AE1968" s="187"/>
      <c r="AF1968" s="187"/>
      <c r="AG1968" s="187"/>
      <c r="AH1968" s="187"/>
      <c r="AI1968" s="187"/>
      <c r="AJ1968" s="187"/>
      <c r="AK1968" s="187"/>
      <c r="AL1968" s="187"/>
    </row>
    <row r="1969" spans="2:38" ht="12.75" customHeight="1">
      <c r="B1969" s="485"/>
      <c r="C1969" s="20"/>
      <c r="D1969" s="12"/>
      <c r="E1969" s="12"/>
      <c r="F1969" s="12"/>
      <c r="G1969" s="12"/>
      <c r="H1969" s="20"/>
      <c r="I1969" s="187"/>
      <c r="J1969" s="187"/>
      <c r="K1969" s="187"/>
      <c r="L1969" s="187"/>
      <c r="M1969" s="187"/>
      <c r="N1969" s="187"/>
      <c r="O1969" s="187"/>
      <c r="P1969" s="187"/>
      <c r="Q1969" s="187"/>
      <c r="R1969" s="187"/>
      <c r="S1969" s="187"/>
      <c r="T1969" s="187"/>
      <c r="U1969" s="187"/>
      <c r="V1969" s="187"/>
      <c r="W1969" s="187"/>
      <c r="X1969" s="187"/>
      <c r="Y1969" s="187"/>
      <c r="Z1969" s="187"/>
      <c r="AA1969" s="187"/>
      <c r="AB1969" s="187"/>
      <c r="AC1969" s="187"/>
      <c r="AD1969" s="187"/>
      <c r="AE1969" s="187"/>
      <c r="AF1969" s="187"/>
      <c r="AG1969" s="187"/>
      <c r="AH1969" s="187"/>
      <c r="AI1969" s="187"/>
      <c r="AJ1969" s="187"/>
      <c r="AK1969" s="187"/>
      <c r="AL1969" s="187"/>
    </row>
    <row r="1970" spans="2:38" ht="12.75" customHeight="1">
      <c r="B1970" s="485"/>
      <c r="C1970" s="20"/>
      <c r="D1970" s="12"/>
      <c r="E1970" s="12"/>
      <c r="F1970" s="12"/>
      <c r="G1970" s="12"/>
      <c r="H1970" s="20"/>
      <c r="I1970" s="187"/>
      <c r="J1970" s="187"/>
      <c r="K1970" s="187"/>
      <c r="L1970" s="187"/>
      <c r="M1970" s="187"/>
      <c r="N1970" s="187"/>
      <c r="O1970" s="187"/>
      <c r="P1970" s="187"/>
      <c r="Q1970" s="187"/>
      <c r="R1970" s="187"/>
      <c r="S1970" s="187"/>
      <c r="T1970" s="187"/>
      <c r="U1970" s="187"/>
      <c r="V1970" s="187"/>
      <c r="W1970" s="187"/>
      <c r="X1970" s="187"/>
      <c r="Y1970" s="187"/>
      <c r="Z1970" s="187"/>
      <c r="AA1970" s="187"/>
      <c r="AB1970" s="187"/>
      <c r="AC1970" s="187"/>
      <c r="AD1970" s="187"/>
      <c r="AE1970" s="187"/>
      <c r="AF1970" s="187"/>
      <c r="AG1970" s="187"/>
      <c r="AH1970" s="187"/>
      <c r="AI1970" s="187"/>
      <c r="AJ1970" s="187"/>
      <c r="AK1970" s="187"/>
      <c r="AL1970" s="187"/>
    </row>
    <row r="1971" spans="2:38" ht="12.75" customHeight="1">
      <c r="B1971" s="485"/>
      <c r="C1971" s="20"/>
      <c r="D1971" s="12"/>
      <c r="E1971" s="12"/>
      <c r="F1971" s="12"/>
      <c r="G1971" s="12"/>
      <c r="H1971" s="20"/>
      <c r="I1971" s="187"/>
      <c r="J1971" s="187"/>
      <c r="K1971" s="187"/>
      <c r="L1971" s="187"/>
      <c r="M1971" s="187"/>
      <c r="N1971" s="187"/>
      <c r="O1971" s="187"/>
      <c r="P1971" s="187"/>
      <c r="Q1971" s="187"/>
      <c r="R1971" s="187"/>
      <c r="S1971" s="187"/>
      <c r="T1971" s="187"/>
      <c r="U1971" s="187"/>
      <c r="V1971" s="187"/>
      <c r="W1971" s="187"/>
      <c r="X1971" s="187"/>
      <c r="Y1971" s="187"/>
      <c r="Z1971" s="187"/>
      <c r="AA1971" s="187"/>
      <c r="AB1971" s="187"/>
      <c r="AC1971" s="187"/>
      <c r="AD1971" s="187"/>
      <c r="AE1971" s="187"/>
      <c r="AF1971" s="187"/>
      <c r="AG1971" s="187"/>
      <c r="AH1971" s="187"/>
      <c r="AI1971" s="187"/>
      <c r="AJ1971" s="187"/>
      <c r="AK1971" s="187"/>
      <c r="AL1971" s="187"/>
    </row>
    <row r="1972" spans="2:38" ht="12.75" customHeight="1">
      <c r="B1972" s="485"/>
      <c r="C1972" s="20"/>
      <c r="D1972" s="12"/>
      <c r="E1972" s="12"/>
      <c r="F1972" s="12"/>
      <c r="G1972" s="12"/>
      <c r="H1972" s="20"/>
      <c r="I1972" s="187"/>
      <c r="J1972" s="187"/>
      <c r="K1972" s="187"/>
      <c r="L1972" s="187"/>
      <c r="M1972" s="187"/>
      <c r="N1972" s="187"/>
      <c r="O1972" s="187"/>
      <c r="P1972" s="187"/>
      <c r="Q1972" s="187"/>
      <c r="R1972" s="187"/>
      <c r="S1972" s="187"/>
      <c r="T1972" s="187"/>
      <c r="U1972" s="187"/>
      <c r="V1972" s="187"/>
      <c r="W1972" s="187"/>
      <c r="X1972" s="187"/>
      <c r="Y1972" s="187"/>
      <c r="Z1972" s="187"/>
      <c r="AA1972" s="187"/>
      <c r="AB1972" s="187"/>
      <c r="AC1972" s="187"/>
      <c r="AD1972" s="187"/>
      <c r="AE1972" s="187"/>
      <c r="AF1972" s="187"/>
      <c r="AG1972" s="187"/>
      <c r="AH1972" s="187"/>
      <c r="AI1972" s="187"/>
      <c r="AJ1972" s="187"/>
      <c r="AK1972" s="187"/>
      <c r="AL1972" s="187"/>
    </row>
    <row r="1973" spans="2:38" ht="12.75" customHeight="1">
      <c r="B1973" s="485"/>
      <c r="C1973" s="20"/>
      <c r="D1973" s="12"/>
      <c r="E1973" s="12"/>
      <c r="F1973" s="12"/>
      <c r="G1973" s="12"/>
      <c r="H1973" s="20"/>
      <c r="I1973" s="187"/>
      <c r="J1973" s="187"/>
      <c r="K1973" s="187"/>
      <c r="L1973" s="187"/>
      <c r="M1973" s="187"/>
      <c r="N1973" s="187"/>
      <c r="O1973" s="187"/>
      <c r="P1973" s="187"/>
      <c r="Q1973" s="187"/>
      <c r="R1973" s="187"/>
      <c r="S1973" s="187"/>
      <c r="T1973" s="187"/>
      <c r="U1973" s="187"/>
      <c r="V1973" s="187"/>
      <c r="W1973" s="187"/>
      <c r="X1973" s="187"/>
      <c r="Y1973" s="187"/>
      <c r="Z1973" s="187"/>
      <c r="AA1973" s="187"/>
      <c r="AB1973" s="187"/>
      <c r="AC1973" s="187"/>
      <c r="AD1973" s="187"/>
      <c r="AE1973" s="187"/>
      <c r="AF1973" s="187"/>
      <c r="AG1973" s="187"/>
      <c r="AH1973" s="187"/>
      <c r="AI1973" s="187"/>
      <c r="AJ1973" s="187"/>
      <c r="AK1973" s="187"/>
      <c r="AL1973" s="187"/>
    </row>
    <row r="1974" spans="2:38" ht="12.75" customHeight="1">
      <c r="B1974" s="485"/>
      <c r="C1974" s="20"/>
      <c r="D1974" s="12"/>
      <c r="E1974" s="12"/>
      <c r="F1974" s="12"/>
      <c r="G1974" s="12"/>
      <c r="H1974" s="20"/>
      <c r="I1974" s="187"/>
      <c r="J1974" s="187"/>
      <c r="K1974" s="187"/>
      <c r="L1974" s="187"/>
      <c r="M1974" s="187"/>
      <c r="N1974" s="187"/>
      <c r="O1974" s="187"/>
      <c r="P1974" s="187"/>
      <c r="Q1974" s="187"/>
      <c r="R1974" s="187"/>
      <c r="S1974" s="187"/>
      <c r="T1974" s="187"/>
      <c r="U1974" s="187"/>
      <c r="V1974" s="187"/>
      <c r="W1974" s="187"/>
      <c r="X1974" s="187"/>
      <c r="Y1974" s="187"/>
      <c r="Z1974" s="187"/>
      <c r="AA1974" s="187"/>
      <c r="AB1974" s="187"/>
      <c r="AC1974" s="187"/>
      <c r="AD1974" s="187"/>
      <c r="AE1974" s="187"/>
      <c r="AF1974" s="187"/>
      <c r="AG1974" s="187"/>
      <c r="AH1974" s="187"/>
      <c r="AI1974" s="187"/>
      <c r="AJ1974" s="187"/>
      <c r="AK1974" s="187"/>
      <c r="AL1974" s="187"/>
    </row>
    <row r="1975" spans="2:38" ht="12.75" customHeight="1">
      <c r="B1975" s="485"/>
      <c r="C1975" s="20"/>
      <c r="D1975" s="12"/>
      <c r="E1975" s="12"/>
      <c r="F1975" s="12"/>
      <c r="G1975" s="12"/>
      <c r="H1975" s="20"/>
      <c r="I1975" s="187"/>
      <c r="J1975" s="187"/>
      <c r="K1975" s="187"/>
      <c r="L1975" s="187"/>
      <c r="M1975" s="187"/>
      <c r="N1975" s="187"/>
      <c r="O1975" s="187"/>
      <c r="P1975" s="187"/>
      <c r="Q1975" s="187"/>
      <c r="R1975" s="187"/>
      <c r="S1975" s="187"/>
      <c r="T1975" s="187"/>
      <c r="U1975" s="187"/>
      <c r="V1975" s="187"/>
      <c r="W1975" s="187"/>
      <c r="X1975" s="187"/>
      <c r="Y1975" s="187"/>
      <c r="Z1975" s="187"/>
      <c r="AA1975" s="187"/>
      <c r="AB1975" s="187"/>
      <c r="AC1975" s="187"/>
      <c r="AD1975" s="187"/>
      <c r="AE1975" s="187"/>
      <c r="AF1975" s="187"/>
      <c r="AG1975" s="187"/>
      <c r="AH1975" s="187"/>
      <c r="AI1975" s="187"/>
      <c r="AJ1975" s="187"/>
      <c r="AK1975" s="187"/>
      <c r="AL1975" s="187"/>
    </row>
    <row r="1976" spans="2:38" ht="12.75" customHeight="1">
      <c r="B1976" s="485"/>
      <c r="C1976" s="20"/>
      <c r="D1976" s="12"/>
      <c r="E1976" s="12"/>
      <c r="F1976" s="12"/>
      <c r="G1976" s="12"/>
      <c r="H1976" s="20"/>
      <c r="I1976" s="187"/>
      <c r="J1976" s="187"/>
      <c r="K1976" s="187"/>
      <c r="L1976" s="187"/>
      <c r="M1976" s="187"/>
      <c r="N1976" s="187"/>
      <c r="O1976" s="187"/>
      <c r="P1976" s="187"/>
      <c r="Q1976" s="187"/>
      <c r="R1976" s="187"/>
      <c r="S1976" s="187"/>
      <c r="T1976" s="187"/>
      <c r="U1976" s="187"/>
      <c r="V1976" s="187"/>
      <c r="W1976" s="187"/>
      <c r="X1976" s="187"/>
      <c r="Y1976" s="187"/>
      <c r="Z1976" s="187"/>
      <c r="AA1976" s="187"/>
      <c r="AB1976" s="187"/>
      <c r="AC1976" s="187"/>
      <c r="AD1976" s="187"/>
      <c r="AE1976" s="187"/>
      <c r="AF1976" s="187"/>
      <c r="AG1976" s="187"/>
      <c r="AH1976" s="187"/>
      <c r="AI1976" s="187"/>
      <c r="AJ1976" s="187"/>
      <c r="AK1976" s="187"/>
      <c r="AL1976" s="187"/>
    </row>
    <row r="1977" spans="2:38" ht="12.75" customHeight="1">
      <c r="B1977" s="485"/>
      <c r="C1977" s="20"/>
      <c r="D1977" s="12"/>
      <c r="E1977" s="12"/>
      <c r="F1977" s="12"/>
      <c r="G1977" s="12"/>
      <c r="H1977" s="20"/>
      <c r="I1977" s="187"/>
      <c r="J1977" s="187"/>
      <c r="K1977" s="187"/>
      <c r="L1977" s="187"/>
      <c r="M1977" s="187"/>
      <c r="N1977" s="187"/>
      <c r="O1977" s="187"/>
      <c r="P1977" s="187"/>
      <c r="Q1977" s="187"/>
      <c r="R1977" s="187"/>
      <c r="S1977" s="187"/>
      <c r="T1977" s="187"/>
      <c r="U1977" s="187"/>
      <c r="V1977" s="187"/>
      <c r="W1977" s="187"/>
      <c r="X1977" s="187"/>
      <c r="Y1977" s="187"/>
      <c r="Z1977" s="187"/>
      <c r="AA1977" s="187"/>
      <c r="AB1977" s="187"/>
      <c r="AC1977" s="187"/>
      <c r="AD1977" s="187"/>
      <c r="AE1977" s="187"/>
      <c r="AF1977" s="187"/>
      <c r="AG1977" s="187"/>
      <c r="AH1977" s="187"/>
      <c r="AI1977" s="187"/>
      <c r="AJ1977" s="187"/>
      <c r="AK1977" s="187"/>
      <c r="AL1977" s="187"/>
    </row>
    <row r="1978" spans="2:38" ht="12.75" customHeight="1">
      <c r="B1978" s="485"/>
      <c r="C1978" s="20"/>
      <c r="D1978" s="12"/>
      <c r="E1978" s="12"/>
      <c r="F1978" s="12"/>
      <c r="G1978" s="12"/>
      <c r="H1978" s="20"/>
      <c r="I1978" s="187"/>
      <c r="J1978" s="187"/>
      <c r="K1978" s="187"/>
      <c r="L1978" s="187"/>
      <c r="M1978" s="187"/>
      <c r="N1978" s="187"/>
      <c r="O1978" s="187"/>
      <c r="P1978" s="187"/>
      <c r="Q1978" s="187"/>
      <c r="R1978" s="187"/>
      <c r="S1978" s="187"/>
      <c r="T1978" s="187"/>
      <c r="U1978" s="187"/>
      <c r="V1978" s="187"/>
      <c r="W1978" s="187"/>
      <c r="X1978" s="187"/>
      <c r="Y1978" s="187"/>
      <c r="Z1978" s="187"/>
      <c r="AA1978" s="187"/>
      <c r="AB1978" s="187"/>
      <c r="AC1978" s="187"/>
      <c r="AD1978" s="187"/>
      <c r="AE1978" s="187"/>
      <c r="AF1978" s="187"/>
      <c r="AG1978" s="187"/>
      <c r="AH1978" s="187"/>
      <c r="AI1978" s="187"/>
      <c r="AJ1978" s="187"/>
      <c r="AK1978" s="187"/>
      <c r="AL1978" s="187"/>
    </row>
    <row r="1979" spans="2:38" ht="12.75" customHeight="1">
      <c r="B1979" s="485"/>
      <c r="C1979" s="20"/>
      <c r="D1979" s="12"/>
      <c r="E1979" s="12"/>
      <c r="F1979" s="12"/>
      <c r="G1979" s="12"/>
      <c r="H1979" s="20"/>
      <c r="I1979" s="187"/>
      <c r="J1979" s="187"/>
      <c r="K1979" s="187"/>
      <c r="L1979" s="187"/>
      <c r="M1979" s="187"/>
      <c r="N1979" s="187"/>
      <c r="O1979" s="187"/>
      <c r="P1979" s="187"/>
      <c r="Q1979" s="187"/>
      <c r="R1979" s="187"/>
      <c r="S1979" s="187"/>
      <c r="T1979" s="187"/>
      <c r="U1979" s="187"/>
      <c r="V1979" s="187"/>
      <c r="W1979" s="187"/>
      <c r="X1979" s="187"/>
      <c r="Y1979" s="187"/>
      <c r="Z1979" s="187"/>
      <c r="AA1979" s="187"/>
      <c r="AB1979" s="187"/>
      <c r="AC1979" s="187"/>
      <c r="AD1979" s="187"/>
      <c r="AE1979" s="187"/>
      <c r="AF1979" s="187"/>
      <c r="AG1979" s="187"/>
      <c r="AH1979" s="187"/>
      <c r="AI1979" s="187"/>
      <c r="AJ1979" s="187"/>
      <c r="AK1979" s="187"/>
      <c r="AL1979" s="187"/>
    </row>
    <row r="1980" spans="2:38" ht="12.75" customHeight="1">
      <c r="B1980" s="485"/>
      <c r="C1980" s="20"/>
      <c r="D1980" s="12"/>
      <c r="E1980" s="12"/>
      <c r="F1980" s="12"/>
      <c r="G1980" s="12"/>
      <c r="H1980" s="20"/>
      <c r="I1980" s="187"/>
      <c r="J1980" s="187"/>
      <c r="K1980" s="187"/>
      <c r="L1980" s="187"/>
      <c r="M1980" s="187"/>
      <c r="N1980" s="187"/>
      <c r="O1980" s="187"/>
      <c r="P1980" s="187"/>
      <c r="Q1980" s="187"/>
      <c r="R1980" s="187"/>
      <c r="S1980" s="187"/>
      <c r="T1980" s="187"/>
      <c r="U1980" s="187"/>
      <c r="V1980" s="187"/>
      <c r="W1980" s="187"/>
      <c r="X1980" s="187"/>
      <c r="Y1980" s="187"/>
      <c r="Z1980" s="187"/>
      <c r="AA1980" s="187"/>
      <c r="AB1980" s="187"/>
      <c r="AC1980" s="187"/>
      <c r="AD1980" s="187"/>
      <c r="AE1980" s="187"/>
      <c r="AF1980" s="187"/>
      <c r="AG1980" s="187"/>
      <c r="AH1980" s="187"/>
      <c r="AI1980" s="187"/>
      <c r="AJ1980" s="187"/>
      <c r="AK1980" s="187"/>
      <c r="AL1980" s="187"/>
    </row>
    <row r="1981" spans="2:38" ht="12.75" customHeight="1">
      <c r="B1981" s="485"/>
      <c r="C1981" s="20"/>
      <c r="D1981" s="12"/>
      <c r="E1981" s="12"/>
      <c r="F1981" s="12"/>
      <c r="G1981" s="12"/>
      <c r="H1981" s="20"/>
      <c r="I1981" s="187"/>
      <c r="J1981" s="187"/>
      <c r="K1981" s="187"/>
      <c r="L1981" s="187"/>
      <c r="M1981" s="187"/>
      <c r="N1981" s="187"/>
      <c r="O1981" s="187"/>
      <c r="P1981" s="187"/>
      <c r="Q1981" s="187"/>
      <c r="R1981" s="187"/>
      <c r="S1981" s="187"/>
      <c r="T1981" s="187"/>
      <c r="U1981" s="187"/>
      <c r="V1981" s="187"/>
      <c r="W1981" s="187"/>
      <c r="X1981" s="187"/>
      <c r="Y1981" s="187"/>
      <c r="Z1981" s="187"/>
      <c r="AA1981" s="187"/>
      <c r="AB1981" s="187"/>
      <c r="AC1981" s="187"/>
      <c r="AD1981" s="187"/>
      <c r="AE1981" s="187"/>
      <c r="AF1981" s="187"/>
      <c r="AG1981" s="187"/>
      <c r="AH1981" s="187"/>
      <c r="AI1981" s="187"/>
      <c r="AJ1981" s="187"/>
      <c r="AK1981" s="187"/>
      <c r="AL1981" s="187"/>
    </row>
    <row r="1982" spans="2:38" ht="12.75" customHeight="1">
      <c r="B1982" s="485"/>
      <c r="C1982" s="20"/>
      <c r="D1982" s="12"/>
      <c r="E1982" s="12"/>
      <c r="F1982" s="12"/>
      <c r="G1982" s="12"/>
      <c r="H1982" s="20"/>
      <c r="I1982" s="187"/>
      <c r="J1982" s="187"/>
      <c r="K1982" s="187"/>
      <c r="L1982" s="187"/>
      <c r="M1982" s="187"/>
      <c r="N1982" s="187"/>
      <c r="O1982" s="187"/>
      <c r="P1982" s="187"/>
      <c r="Q1982" s="187"/>
      <c r="R1982" s="187"/>
      <c r="S1982" s="187"/>
      <c r="T1982" s="187"/>
      <c r="U1982" s="187"/>
      <c r="V1982" s="187"/>
      <c r="W1982" s="187"/>
      <c r="X1982" s="187"/>
      <c r="Y1982" s="187"/>
      <c r="Z1982" s="187"/>
      <c r="AA1982" s="187"/>
      <c r="AB1982" s="187"/>
      <c r="AC1982" s="187"/>
      <c r="AD1982" s="187"/>
      <c r="AE1982" s="187"/>
      <c r="AF1982" s="187"/>
      <c r="AG1982" s="187"/>
      <c r="AH1982" s="187"/>
      <c r="AI1982" s="187"/>
      <c r="AJ1982" s="187"/>
      <c r="AK1982" s="187"/>
      <c r="AL1982" s="187"/>
    </row>
    <row r="1983" spans="2:38" ht="12.75" customHeight="1">
      <c r="B1983" s="485"/>
      <c r="C1983" s="20"/>
      <c r="D1983" s="12"/>
      <c r="E1983" s="12"/>
      <c r="F1983" s="12"/>
      <c r="G1983" s="12"/>
      <c r="H1983" s="20"/>
      <c r="I1983" s="187"/>
      <c r="J1983" s="187"/>
      <c r="K1983" s="187"/>
      <c r="L1983" s="187"/>
      <c r="M1983" s="187"/>
      <c r="N1983" s="187"/>
      <c r="O1983" s="187"/>
      <c r="P1983" s="187"/>
      <c r="Q1983" s="187"/>
      <c r="R1983" s="187"/>
      <c r="S1983" s="187"/>
      <c r="T1983" s="187"/>
      <c r="U1983" s="187"/>
      <c r="V1983" s="187"/>
      <c r="W1983" s="187"/>
      <c r="X1983" s="187"/>
      <c r="Y1983" s="187"/>
      <c r="Z1983" s="187"/>
      <c r="AA1983" s="187"/>
      <c r="AB1983" s="187"/>
      <c r="AC1983" s="187"/>
      <c r="AD1983" s="187"/>
      <c r="AE1983" s="187"/>
      <c r="AF1983" s="187"/>
      <c r="AG1983" s="187"/>
      <c r="AH1983" s="187"/>
      <c r="AI1983" s="187"/>
      <c r="AJ1983" s="187"/>
      <c r="AK1983" s="187"/>
      <c r="AL1983" s="187"/>
    </row>
    <row r="1984" spans="2:38" ht="12.75" customHeight="1">
      <c r="B1984" s="485"/>
      <c r="C1984" s="20"/>
      <c r="D1984" s="12"/>
      <c r="E1984" s="12"/>
      <c r="F1984" s="12"/>
      <c r="G1984" s="12"/>
      <c r="H1984" s="20"/>
      <c r="I1984" s="187"/>
      <c r="J1984" s="187"/>
      <c r="K1984" s="187"/>
      <c r="L1984" s="187"/>
      <c r="M1984" s="187"/>
      <c r="N1984" s="187"/>
      <c r="O1984" s="187"/>
      <c r="P1984" s="187"/>
      <c r="Q1984" s="187"/>
      <c r="R1984" s="187"/>
      <c r="S1984" s="187"/>
      <c r="T1984" s="187"/>
      <c r="U1984" s="187"/>
      <c r="V1984" s="187"/>
      <c r="W1984" s="187"/>
      <c r="X1984" s="187"/>
      <c r="Y1984" s="187"/>
      <c r="Z1984" s="187"/>
      <c r="AA1984" s="187"/>
      <c r="AB1984" s="187"/>
      <c r="AC1984" s="187"/>
      <c r="AD1984" s="187"/>
      <c r="AE1984" s="187"/>
      <c r="AF1984" s="187"/>
      <c r="AG1984" s="187"/>
      <c r="AH1984" s="187"/>
      <c r="AI1984" s="187"/>
      <c r="AJ1984" s="187"/>
      <c r="AK1984" s="187"/>
      <c r="AL1984" s="187"/>
    </row>
    <row r="1985" spans="2:38" ht="12.75" customHeight="1">
      <c r="B1985" s="485"/>
      <c r="C1985" s="20"/>
      <c r="D1985" s="12"/>
      <c r="E1985" s="12"/>
      <c r="F1985" s="12"/>
      <c r="G1985" s="12"/>
      <c r="H1985" s="20"/>
      <c r="I1985" s="187"/>
      <c r="J1985" s="187"/>
      <c r="K1985" s="187"/>
      <c r="L1985" s="187"/>
      <c r="M1985" s="187"/>
      <c r="N1985" s="187"/>
      <c r="O1985" s="187"/>
      <c r="P1985" s="187"/>
      <c r="Q1985" s="187"/>
      <c r="R1985" s="187"/>
      <c r="S1985" s="187"/>
      <c r="T1985" s="187"/>
      <c r="U1985" s="187"/>
      <c r="V1985" s="187"/>
      <c r="W1985" s="187"/>
      <c r="X1985" s="187"/>
      <c r="Y1985" s="187"/>
      <c r="Z1985" s="187"/>
      <c r="AA1985" s="187"/>
      <c r="AB1985" s="187"/>
      <c r="AC1985" s="187"/>
      <c r="AD1985" s="187"/>
      <c r="AE1985" s="187"/>
      <c r="AF1985" s="187"/>
      <c r="AG1985" s="187"/>
      <c r="AH1985" s="187"/>
      <c r="AI1985" s="187"/>
      <c r="AJ1985" s="187"/>
      <c r="AK1985" s="187"/>
      <c r="AL1985" s="187"/>
    </row>
    <row r="1986" spans="2:38" ht="12.75" customHeight="1">
      <c r="B1986" s="485"/>
      <c r="C1986" s="20"/>
      <c r="D1986" s="12"/>
      <c r="E1986" s="12"/>
      <c r="F1986" s="12"/>
      <c r="G1986" s="12"/>
      <c r="H1986" s="20"/>
      <c r="I1986" s="187"/>
      <c r="J1986" s="187"/>
      <c r="K1986" s="187"/>
      <c r="L1986" s="187"/>
      <c r="M1986" s="187"/>
      <c r="N1986" s="187"/>
      <c r="O1986" s="187"/>
      <c r="P1986" s="187"/>
      <c r="Q1986" s="187"/>
      <c r="R1986" s="187"/>
      <c r="S1986" s="187"/>
      <c r="T1986" s="187"/>
      <c r="U1986" s="187"/>
      <c r="V1986" s="187"/>
      <c r="W1986" s="187"/>
      <c r="X1986" s="187"/>
      <c r="Y1986" s="187"/>
      <c r="Z1986" s="187"/>
      <c r="AA1986" s="187"/>
      <c r="AB1986" s="187"/>
      <c r="AC1986" s="187"/>
      <c r="AD1986" s="187"/>
      <c r="AE1986" s="187"/>
      <c r="AF1986" s="187"/>
      <c r="AG1986" s="187"/>
      <c r="AH1986" s="187"/>
      <c r="AI1986" s="187"/>
      <c r="AJ1986" s="187"/>
      <c r="AK1986" s="187"/>
      <c r="AL1986" s="187"/>
    </row>
    <row r="1987" spans="2:38" ht="12.75" customHeight="1">
      <c r="B1987" s="485"/>
      <c r="C1987" s="20"/>
      <c r="D1987" s="12"/>
      <c r="E1987" s="12"/>
      <c r="F1987" s="12"/>
      <c r="G1987" s="12"/>
      <c r="H1987" s="20"/>
      <c r="I1987" s="187"/>
      <c r="J1987" s="187"/>
      <c r="K1987" s="187"/>
      <c r="L1987" s="187"/>
      <c r="M1987" s="187"/>
      <c r="N1987" s="187"/>
      <c r="O1987" s="187"/>
      <c r="P1987" s="187"/>
      <c r="Q1987" s="187"/>
      <c r="R1987" s="187"/>
      <c r="S1987" s="187"/>
      <c r="T1987" s="187"/>
      <c r="U1987" s="187"/>
      <c r="V1987" s="187"/>
      <c r="W1987" s="187"/>
      <c r="X1987" s="187"/>
      <c r="Y1987" s="187"/>
      <c r="Z1987" s="187"/>
      <c r="AA1987" s="187"/>
      <c r="AB1987" s="187"/>
      <c r="AC1987" s="187"/>
      <c r="AD1987" s="187"/>
      <c r="AE1987" s="187"/>
      <c r="AF1987" s="187"/>
      <c r="AG1987" s="187"/>
      <c r="AH1987" s="187"/>
      <c r="AI1987" s="187"/>
      <c r="AJ1987" s="187"/>
      <c r="AK1987" s="187"/>
      <c r="AL1987" s="187"/>
    </row>
    <row r="1988" spans="2:38" ht="12.75" customHeight="1">
      <c r="B1988" s="485"/>
      <c r="C1988" s="20"/>
      <c r="D1988" s="12"/>
      <c r="E1988" s="12"/>
      <c r="F1988" s="12"/>
      <c r="G1988" s="12"/>
      <c r="H1988" s="20"/>
      <c r="I1988" s="187"/>
      <c r="J1988" s="187"/>
      <c r="K1988" s="187"/>
      <c r="L1988" s="187"/>
      <c r="M1988" s="187"/>
      <c r="N1988" s="187"/>
      <c r="O1988" s="187"/>
      <c r="P1988" s="187"/>
      <c r="Q1988" s="187"/>
      <c r="R1988" s="187"/>
      <c r="S1988" s="187"/>
      <c r="T1988" s="187"/>
      <c r="U1988" s="187"/>
      <c r="V1988" s="187"/>
      <c r="W1988" s="187"/>
      <c r="X1988" s="187"/>
      <c r="Y1988" s="187"/>
      <c r="Z1988" s="187"/>
      <c r="AA1988" s="187"/>
      <c r="AB1988" s="187"/>
      <c r="AC1988" s="187"/>
      <c r="AD1988" s="187"/>
      <c r="AE1988" s="187"/>
      <c r="AF1988" s="187"/>
      <c r="AG1988" s="187"/>
      <c r="AH1988" s="187"/>
      <c r="AI1988" s="187"/>
      <c r="AJ1988" s="187"/>
      <c r="AK1988" s="187"/>
      <c r="AL1988" s="187"/>
    </row>
    <row r="1989" spans="2:38" ht="12.75" customHeight="1">
      <c r="B1989" s="485"/>
      <c r="C1989" s="20"/>
      <c r="D1989" s="12"/>
      <c r="E1989" s="12"/>
      <c r="F1989" s="12"/>
      <c r="G1989" s="12"/>
      <c r="H1989" s="20"/>
      <c r="I1989" s="187"/>
      <c r="J1989" s="187"/>
      <c r="K1989" s="187"/>
      <c r="L1989" s="187"/>
      <c r="M1989" s="187"/>
      <c r="N1989" s="187"/>
      <c r="O1989" s="187"/>
      <c r="P1989" s="187"/>
      <c r="Q1989" s="187"/>
      <c r="R1989" s="187"/>
      <c r="S1989" s="187"/>
      <c r="T1989" s="187"/>
      <c r="U1989" s="187"/>
      <c r="V1989" s="187"/>
      <c r="W1989" s="187"/>
      <c r="X1989" s="187"/>
      <c r="Y1989" s="187"/>
      <c r="Z1989" s="187"/>
      <c r="AA1989" s="187"/>
      <c r="AB1989" s="187"/>
      <c r="AC1989" s="187"/>
      <c r="AD1989" s="187"/>
      <c r="AE1989" s="187"/>
      <c r="AF1989" s="187"/>
      <c r="AG1989" s="187"/>
      <c r="AH1989" s="187"/>
      <c r="AI1989" s="187"/>
      <c r="AJ1989" s="187"/>
      <c r="AK1989" s="187"/>
      <c r="AL1989" s="187"/>
    </row>
    <row r="1990" spans="2:38" ht="12.75" customHeight="1">
      <c r="B1990" s="485"/>
      <c r="C1990" s="20"/>
      <c r="D1990" s="12"/>
      <c r="E1990" s="12"/>
      <c r="F1990" s="12"/>
      <c r="G1990" s="12"/>
      <c r="H1990" s="20"/>
      <c r="I1990" s="187"/>
      <c r="J1990" s="187"/>
      <c r="K1990" s="187"/>
      <c r="L1990" s="187"/>
      <c r="M1990" s="187"/>
      <c r="N1990" s="187"/>
      <c r="O1990" s="187"/>
      <c r="P1990" s="187"/>
      <c r="Q1990" s="187"/>
      <c r="R1990" s="187"/>
      <c r="S1990" s="187"/>
      <c r="T1990" s="187"/>
      <c r="U1990" s="187"/>
      <c r="V1990" s="187"/>
      <c r="W1990" s="187"/>
      <c r="X1990" s="187"/>
      <c r="Y1990" s="187"/>
      <c r="Z1990" s="187"/>
      <c r="AA1990" s="187"/>
      <c r="AB1990" s="187"/>
      <c r="AC1990" s="187"/>
      <c r="AD1990" s="187"/>
      <c r="AE1990" s="187"/>
      <c r="AF1990" s="187"/>
      <c r="AG1990" s="187"/>
      <c r="AH1990" s="187"/>
      <c r="AI1990" s="187"/>
      <c r="AJ1990" s="187"/>
      <c r="AK1990" s="187"/>
      <c r="AL1990" s="187"/>
    </row>
    <row r="1991" spans="2:38" ht="12.75" customHeight="1">
      <c r="B1991" s="485"/>
      <c r="C1991" s="20"/>
      <c r="D1991" s="12"/>
      <c r="E1991" s="12"/>
      <c r="F1991" s="12"/>
      <c r="G1991" s="12"/>
      <c r="H1991" s="20"/>
      <c r="I1991" s="187"/>
      <c r="J1991" s="187"/>
      <c r="K1991" s="187"/>
      <c r="L1991" s="187"/>
      <c r="M1991" s="187"/>
      <c r="N1991" s="187"/>
      <c r="O1991" s="187"/>
      <c r="P1991" s="187"/>
      <c r="Q1991" s="187"/>
      <c r="R1991" s="187"/>
      <c r="S1991" s="187"/>
      <c r="T1991" s="187"/>
      <c r="U1991" s="187"/>
      <c r="V1991" s="187"/>
      <c r="W1991" s="187"/>
      <c r="X1991" s="187"/>
      <c r="Y1991" s="187"/>
      <c r="Z1991" s="187"/>
      <c r="AA1991" s="187"/>
      <c r="AB1991" s="187"/>
      <c r="AC1991" s="187"/>
      <c r="AD1991" s="187"/>
      <c r="AE1991" s="187"/>
      <c r="AF1991" s="187"/>
      <c r="AG1991" s="187"/>
      <c r="AH1991" s="187"/>
      <c r="AI1991" s="187"/>
      <c r="AJ1991" s="187"/>
      <c r="AK1991" s="187"/>
      <c r="AL1991" s="187"/>
    </row>
    <row r="1992" spans="2:38" ht="12.75" customHeight="1">
      <c r="B1992" s="485"/>
      <c r="C1992" s="20"/>
      <c r="D1992" s="12"/>
      <c r="E1992" s="12"/>
      <c r="F1992" s="12"/>
      <c r="G1992" s="12"/>
      <c r="H1992" s="20"/>
      <c r="I1992" s="187"/>
      <c r="J1992" s="187"/>
      <c r="K1992" s="187"/>
      <c r="L1992" s="187"/>
      <c r="M1992" s="187"/>
      <c r="N1992" s="187"/>
      <c r="O1992" s="187"/>
      <c r="P1992" s="187"/>
      <c r="Q1992" s="187"/>
      <c r="R1992" s="187"/>
      <c r="S1992" s="187"/>
      <c r="T1992" s="187"/>
      <c r="U1992" s="187"/>
      <c r="V1992" s="187"/>
      <c r="W1992" s="187"/>
      <c r="X1992" s="187"/>
      <c r="Y1992" s="187"/>
      <c r="Z1992" s="187"/>
      <c r="AA1992" s="187"/>
      <c r="AB1992" s="187"/>
      <c r="AC1992" s="187"/>
      <c r="AD1992" s="187"/>
      <c r="AE1992" s="187"/>
      <c r="AF1992" s="187"/>
      <c r="AG1992" s="187"/>
      <c r="AH1992" s="187"/>
      <c r="AI1992" s="187"/>
      <c r="AJ1992" s="187"/>
      <c r="AK1992" s="187"/>
      <c r="AL1992" s="187"/>
    </row>
    <row r="1993" spans="2:38" ht="12.75" customHeight="1">
      <c r="B1993" s="485"/>
      <c r="C1993" s="20"/>
      <c r="D1993" s="12"/>
      <c r="E1993" s="12"/>
      <c r="F1993" s="12"/>
      <c r="G1993" s="12"/>
      <c r="H1993" s="20"/>
      <c r="I1993" s="187"/>
      <c r="J1993" s="187"/>
      <c r="K1993" s="187"/>
      <c r="L1993" s="187"/>
      <c r="M1993" s="187"/>
      <c r="N1993" s="187"/>
      <c r="O1993" s="187"/>
      <c r="P1993" s="187"/>
      <c r="Q1993" s="187"/>
      <c r="R1993" s="187"/>
      <c r="S1993" s="187"/>
      <c r="T1993" s="187"/>
      <c r="U1993" s="187"/>
      <c r="V1993" s="187"/>
      <c r="W1993" s="187"/>
      <c r="X1993" s="187"/>
      <c r="Y1993" s="187"/>
      <c r="Z1993" s="187"/>
      <c r="AA1993" s="187"/>
      <c r="AB1993" s="187"/>
      <c r="AC1993" s="187"/>
      <c r="AD1993" s="187"/>
      <c r="AE1993" s="187"/>
      <c r="AF1993" s="187"/>
      <c r="AG1993" s="187"/>
      <c r="AH1993" s="187"/>
      <c r="AI1993" s="187"/>
      <c r="AJ1993" s="187"/>
      <c r="AK1993" s="187"/>
      <c r="AL1993" s="187"/>
    </row>
    <row r="1994" spans="2:38" ht="12.75" customHeight="1">
      <c r="B1994" s="485"/>
      <c r="C1994" s="20"/>
      <c r="D1994" s="12"/>
      <c r="E1994" s="12"/>
      <c r="F1994" s="12"/>
      <c r="G1994" s="12"/>
      <c r="H1994" s="20"/>
      <c r="I1994" s="187"/>
      <c r="J1994" s="187"/>
      <c r="K1994" s="187"/>
      <c r="L1994" s="187"/>
      <c r="M1994" s="187"/>
      <c r="N1994" s="187"/>
      <c r="O1994" s="187"/>
      <c r="P1994" s="187"/>
      <c r="Q1994" s="187"/>
      <c r="R1994" s="187"/>
      <c r="S1994" s="187"/>
      <c r="T1994" s="187"/>
      <c r="U1994" s="187"/>
      <c r="V1994" s="187"/>
      <c r="W1994" s="187"/>
      <c r="X1994" s="187"/>
      <c r="Y1994" s="187"/>
      <c r="Z1994" s="187"/>
      <c r="AA1994" s="187"/>
      <c r="AB1994" s="187"/>
      <c r="AC1994" s="187"/>
      <c r="AD1994" s="187"/>
      <c r="AE1994" s="187"/>
      <c r="AF1994" s="187"/>
      <c r="AG1994" s="187"/>
      <c r="AH1994" s="187"/>
      <c r="AI1994" s="187"/>
      <c r="AJ1994" s="187"/>
      <c r="AK1994" s="187"/>
      <c r="AL1994" s="187"/>
    </row>
    <row r="1995" spans="2:38" ht="12.75" customHeight="1">
      <c r="B1995" s="485"/>
      <c r="C1995" s="20"/>
      <c r="D1995" s="12"/>
      <c r="E1995" s="12"/>
      <c r="F1995" s="12"/>
      <c r="G1995" s="12"/>
      <c r="H1995" s="20"/>
      <c r="I1995" s="187"/>
      <c r="J1995" s="187"/>
      <c r="K1995" s="187"/>
      <c r="L1995" s="187"/>
      <c r="M1995" s="187"/>
      <c r="N1995" s="187"/>
      <c r="O1995" s="187"/>
      <c r="P1995" s="187"/>
      <c r="Q1995" s="187"/>
      <c r="R1995" s="187"/>
      <c r="S1995" s="187"/>
      <c r="T1995" s="187"/>
      <c r="U1995" s="187"/>
      <c r="V1995" s="187"/>
      <c r="W1995" s="187"/>
      <c r="X1995" s="187"/>
      <c r="Y1995" s="187"/>
      <c r="Z1995" s="187"/>
      <c r="AA1995" s="187"/>
      <c r="AB1995" s="187"/>
      <c r="AC1995" s="187"/>
      <c r="AD1995" s="187"/>
      <c r="AE1995" s="187"/>
      <c r="AF1995" s="187"/>
      <c r="AG1995" s="187"/>
      <c r="AH1995" s="187"/>
      <c r="AI1995" s="187"/>
      <c r="AJ1995" s="187"/>
      <c r="AK1995" s="187"/>
      <c r="AL1995" s="187"/>
    </row>
    <row r="1996" spans="2:38" ht="12.75" customHeight="1">
      <c r="B1996" s="485"/>
      <c r="C1996" s="20"/>
      <c r="D1996" s="12"/>
      <c r="E1996" s="12"/>
      <c r="F1996" s="12"/>
      <c r="G1996" s="12"/>
      <c r="H1996" s="20"/>
      <c r="I1996" s="187"/>
      <c r="J1996" s="187"/>
      <c r="K1996" s="187"/>
      <c r="L1996" s="187"/>
      <c r="M1996" s="187"/>
      <c r="N1996" s="187"/>
      <c r="O1996" s="187"/>
      <c r="P1996" s="187"/>
      <c r="Q1996" s="187"/>
      <c r="R1996" s="187"/>
      <c r="S1996" s="187"/>
      <c r="T1996" s="187"/>
      <c r="U1996" s="187"/>
      <c r="V1996" s="187"/>
      <c r="W1996" s="187"/>
      <c r="X1996" s="187"/>
      <c r="Y1996" s="187"/>
      <c r="Z1996" s="187"/>
      <c r="AA1996" s="187"/>
      <c r="AB1996" s="187"/>
      <c r="AC1996" s="187"/>
      <c r="AD1996" s="187"/>
      <c r="AE1996" s="187"/>
      <c r="AF1996" s="187"/>
      <c r="AG1996" s="187"/>
      <c r="AH1996" s="187"/>
      <c r="AI1996" s="187"/>
      <c r="AJ1996" s="187"/>
      <c r="AK1996" s="187"/>
      <c r="AL1996" s="187"/>
    </row>
    <row r="1997" spans="2:38" ht="12.75" customHeight="1">
      <c r="B1997" s="485"/>
      <c r="C1997" s="20"/>
      <c r="D1997" s="12"/>
      <c r="E1997" s="12"/>
      <c r="F1997" s="12"/>
      <c r="G1997" s="12"/>
      <c r="H1997" s="20"/>
      <c r="I1997" s="187"/>
      <c r="J1997" s="187"/>
      <c r="K1997" s="187"/>
      <c r="L1997" s="187"/>
      <c r="M1997" s="187"/>
      <c r="N1997" s="187"/>
      <c r="O1997" s="187"/>
      <c r="P1997" s="187"/>
      <c r="Q1997" s="187"/>
      <c r="R1997" s="187"/>
      <c r="S1997" s="187"/>
      <c r="T1997" s="187"/>
      <c r="U1997" s="187"/>
      <c r="V1997" s="187"/>
      <c r="W1997" s="187"/>
      <c r="X1997" s="187"/>
      <c r="Y1997" s="187"/>
      <c r="Z1997" s="187"/>
      <c r="AA1997" s="187"/>
      <c r="AB1997" s="187"/>
      <c r="AC1997" s="187"/>
      <c r="AD1997" s="187"/>
      <c r="AE1997" s="187"/>
      <c r="AF1997" s="187"/>
      <c r="AG1997" s="187"/>
      <c r="AH1997" s="187"/>
      <c r="AI1997" s="187"/>
      <c r="AJ1997" s="187"/>
      <c r="AK1997" s="187"/>
      <c r="AL1997" s="187"/>
    </row>
    <row r="1998" spans="2:38" ht="12.75" customHeight="1">
      <c r="B1998" s="485"/>
      <c r="C1998" s="20"/>
      <c r="D1998" s="12"/>
      <c r="E1998" s="12"/>
      <c r="F1998" s="12"/>
      <c r="G1998" s="12"/>
      <c r="H1998" s="20"/>
      <c r="I1998" s="187"/>
      <c r="J1998" s="187"/>
      <c r="K1998" s="187"/>
      <c r="L1998" s="187"/>
      <c r="M1998" s="187"/>
      <c r="N1998" s="187"/>
      <c r="O1998" s="187"/>
      <c r="P1998" s="187"/>
      <c r="Q1998" s="187"/>
      <c r="R1998" s="187"/>
      <c r="S1998" s="187"/>
      <c r="T1998" s="187"/>
      <c r="U1998" s="187"/>
      <c r="V1998" s="187"/>
      <c r="W1998" s="187"/>
      <c r="X1998" s="187"/>
      <c r="Y1998" s="187"/>
      <c r="Z1998" s="187"/>
      <c r="AA1998" s="187"/>
      <c r="AB1998" s="187"/>
      <c r="AC1998" s="187"/>
      <c r="AD1998" s="187"/>
      <c r="AE1998" s="187"/>
      <c r="AF1998" s="187"/>
      <c r="AG1998" s="187"/>
      <c r="AH1998" s="187"/>
      <c r="AI1998" s="187"/>
      <c r="AJ1998" s="187"/>
      <c r="AK1998" s="187"/>
      <c r="AL1998" s="187"/>
    </row>
    <row r="1999" spans="2:38" ht="12.75" customHeight="1">
      <c r="B1999" s="485"/>
      <c r="C1999" s="20"/>
      <c r="D1999" s="12"/>
      <c r="E1999" s="12"/>
      <c r="F1999" s="12"/>
      <c r="G1999" s="12"/>
      <c r="H1999" s="20"/>
      <c r="I1999" s="187"/>
      <c r="J1999" s="187"/>
      <c r="K1999" s="187"/>
      <c r="L1999" s="187"/>
      <c r="M1999" s="187"/>
      <c r="N1999" s="187"/>
      <c r="O1999" s="187"/>
      <c r="P1999" s="187"/>
      <c r="Q1999" s="187"/>
      <c r="R1999" s="187"/>
      <c r="S1999" s="187"/>
      <c r="T1999" s="187"/>
      <c r="U1999" s="187"/>
      <c r="V1999" s="187"/>
      <c r="W1999" s="187"/>
      <c r="X1999" s="187"/>
      <c r="Y1999" s="187"/>
      <c r="Z1999" s="187"/>
      <c r="AA1999" s="187"/>
      <c r="AB1999" s="187"/>
      <c r="AC1999" s="187"/>
      <c r="AD1999" s="187"/>
      <c r="AE1999" s="187"/>
      <c r="AF1999" s="187"/>
      <c r="AG1999" s="187"/>
      <c r="AH1999" s="187"/>
      <c r="AI1999" s="187"/>
      <c r="AJ1999" s="187"/>
      <c r="AK1999" s="187"/>
      <c r="AL1999" s="187"/>
    </row>
    <row r="2000" spans="2:38" ht="12.75" customHeight="1">
      <c r="B2000" s="485"/>
      <c r="C2000" s="20"/>
      <c r="D2000" s="12"/>
      <c r="E2000" s="12"/>
      <c r="F2000" s="12"/>
      <c r="G2000" s="12"/>
      <c r="H2000" s="20"/>
      <c r="I2000" s="187"/>
      <c r="J2000" s="187"/>
      <c r="K2000" s="187"/>
      <c r="L2000" s="187"/>
      <c r="M2000" s="187"/>
      <c r="N2000" s="187"/>
      <c r="O2000" s="187"/>
      <c r="P2000" s="187"/>
      <c r="Q2000" s="187"/>
      <c r="R2000" s="187"/>
      <c r="S2000" s="187"/>
      <c r="T2000" s="187"/>
      <c r="U2000" s="187"/>
      <c r="V2000" s="187"/>
      <c r="W2000" s="187"/>
      <c r="X2000" s="187"/>
      <c r="Y2000" s="187"/>
      <c r="Z2000" s="187"/>
      <c r="AA2000" s="187"/>
      <c r="AB2000" s="187"/>
      <c r="AC2000" s="187"/>
      <c r="AD2000" s="187"/>
      <c r="AE2000" s="187"/>
      <c r="AF2000" s="187"/>
      <c r="AG2000" s="187"/>
      <c r="AH2000" s="187"/>
      <c r="AI2000" s="187"/>
      <c r="AJ2000" s="187"/>
      <c r="AK2000" s="187"/>
      <c r="AL2000" s="187"/>
    </row>
    <row r="2001" spans="2:38" ht="12.75" customHeight="1">
      <c r="B2001" s="485"/>
      <c r="C2001" s="20"/>
      <c r="D2001" s="12"/>
      <c r="E2001" s="12"/>
      <c r="F2001" s="12"/>
      <c r="G2001" s="12"/>
      <c r="H2001" s="20"/>
      <c r="I2001" s="187"/>
      <c r="J2001" s="187"/>
      <c r="K2001" s="187"/>
      <c r="L2001" s="187"/>
      <c r="M2001" s="187"/>
      <c r="N2001" s="187"/>
      <c r="O2001" s="187"/>
      <c r="P2001" s="187"/>
      <c r="Q2001" s="187"/>
      <c r="R2001" s="187"/>
      <c r="S2001" s="187"/>
      <c r="T2001" s="187"/>
      <c r="U2001" s="187"/>
      <c r="V2001" s="187"/>
      <c r="W2001" s="187"/>
      <c r="X2001" s="187"/>
      <c r="Y2001" s="187"/>
      <c r="Z2001" s="187"/>
      <c r="AA2001" s="187"/>
      <c r="AB2001" s="187"/>
      <c r="AC2001" s="187"/>
      <c r="AD2001" s="187"/>
      <c r="AE2001" s="187"/>
      <c r="AF2001" s="187"/>
      <c r="AG2001" s="187"/>
      <c r="AH2001" s="187"/>
      <c r="AI2001" s="187"/>
      <c r="AJ2001" s="187"/>
      <c r="AK2001" s="187"/>
      <c r="AL2001" s="187"/>
    </row>
    <row r="2002" spans="2:38" ht="12.75" customHeight="1">
      <c r="B2002" s="485"/>
      <c r="C2002" s="20"/>
      <c r="D2002" s="12"/>
      <c r="E2002" s="12"/>
      <c r="F2002" s="12"/>
      <c r="G2002" s="12"/>
      <c r="H2002" s="20"/>
      <c r="I2002" s="187"/>
      <c r="J2002" s="187"/>
      <c r="K2002" s="187"/>
      <c r="L2002" s="187"/>
      <c r="M2002" s="187"/>
      <c r="N2002" s="187"/>
      <c r="O2002" s="187"/>
      <c r="P2002" s="187"/>
      <c r="Q2002" s="187"/>
      <c r="R2002" s="187"/>
      <c r="S2002" s="187"/>
      <c r="T2002" s="187"/>
      <c r="U2002" s="187"/>
      <c r="V2002" s="187"/>
      <c r="W2002" s="187"/>
      <c r="X2002" s="187"/>
      <c r="Y2002" s="187"/>
      <c r="Z2002" s="187"/>
      <c r="AA2002" s="187"/>
      <c r="AB2002" s="187"/>
      <c r="AC2002" s="187"/>
      <c r="AD2002" s="187"/>
      <c r="AE2002" s="187"/>
      <c r="AF2002" s="187"/>
      <c r="AG2002" s="187"/>
      <c r="AH2002" s="187"/>
      <c r="AI2002" s="187"/>
      <c r="AJ2002" s="187"/>
      <c r="AK2002" s="187"/>
      <c r="AL2002" s="187"/>
    </row>
    <row r="2003" spans="2:38" ht="12.75" customHeight="1">
      <c r="B2003" s="485"/>
      <c r="C2003" s="20"/>
      <c r="D2003" s="12"/>
      <c r="E2003" s="12"/>
      <c r="F2003" s="12"/>
      <c r="G2003" s="12"/>
      <c r="H2003" s="20"/>
      <c r="I2003" s="187"/>
      <c r="J2003" s="187"/>
      <c r="K2003" s="187"/>
      <c r="L2003" s="187"/>
      <c r="M2003" s="187"/>
      <c r="N2003" s="187"/>
      <c r="O2003" s="187"/>
      <c r="P2003" s="187"/>
      <c r="Q2003" s="187"/>
      <c r="R2003" s="187"/>
      <c r="S2003" s="187"/>
      <c r="T2003" s="187"/>
      <c r="U2003" s="187"/>
      <c r="V2003" s="187"/>
      <c r="W2003" s="187"/>
      <c r="X2003" s="187"/>
      <c r="Y2003" s="187"/>
      <c r="Z2003" s="187"/>
      <c r="AA2003" s="187"/>
      <c r="AB2003" s="187"/>
      <c r="AC2003" s="187"/>
      <c r="AD2003" s="187"/>
      <c r="AE2003" s="187"/>
      <c r="AF2003" s="187"/>
      <c r="AG2003" s="187"/>
      <c r="AH2003" s="187"/>
      <c r="AI2003" s="187"/>
      <c r="AJ2003" s="187"/>
      <c r="AK2003" s="187"/>
      <c r="AL2003" s="187"/>
    </row>
    <row r="2004" spans="2:38" ht="12.75" customHeight="1">
      <c r="B2004" s="485"/>
      <c r="C2004" s="20"/>
      <c r="D2004" s="12"/>
      <c r="E2004" s="12"/>
      <c r="F2004" s="12"/>
      <c r="G2004" s="12"/>
      <c r="H2004" s="20"/>
      <c r="I2004" s="187"/>
      <c r="J2004" s="187"/>
      <c r="K2004" s="187"/>
      <c r="L2004" s="187"/>
      <c r="M2004" s="187"/>
      <c r="N2004" s="187"/>
      <c r="O2004" s="187"/>
      <c r="P2004" s="187"/>
      <c r="Q2004" s="187"/>
      <c r="R2004" s="187"/>
      <c r="S2004" s="187"/>
      <c r="T2004" s="187"/>
      <c r="U2004" s="187"/>
      <c r="V2004" s="187"/>
      <c r="W2004" s="187"/>
      <c r="X2004" s="187"/>
      <c r="Y2004" s="187"/>
      <c r="Z2004" s="187"/>
      <c r="AA2004" s="187"/>
      <c r="AB2004" s="187"/>
      <c r="AC2004" s="187"/>
      <c r="AD2004" s="187"/>
      <c r="AE2004" s="187"/>
      <c r="AF2004" s="187"/>
      <c r="AG2004" s="187"/>
      <c r="AH2004" s="187"/>
      <c r="AI2004" s="187"/>
      <c r="AJ2004" s="187"/>
      <c r="AK2004" s="187"/>
      <c r="AL2004" s="187"/>
    </row>
    <row r="2005" spans="2:38" ht="12.75" customHeight="1">
      <c r="B2005" s="485"/>
      <c r="C2005" s="20"/>
      <c r="D2005" s="12"/>
      <c r="E2005" s="12"/>
      <c r="F2005" s="12"/>
      <c r="G2005" s="12"/>
      <c r="H2005" s="20"/>
      <c r="I2005" s="187"/>
      <c r="J2005" s="187"/>
      <c r="K2005" s="187"/>
      <c r="L2005" s="187"/>
      <c r="M2005" s="187"/>
      <c r="N2005" s="187"/>
      <c r="O2005" s="187"/>
      <c r="P2005" s="187"/>
      <c r="Q2005" s="187"/>
      <c r="R2005" s="187"/>
      <c r="S2005" s="187"/>
      <c r="T2005" s="187"/>
      <c r="U2005" s="187"/>
      <c r="V2005" s="187"/>
      <c r="W2005" s="187"/>
      <c r="X2005" s="187"/>
      <c r="Y2005" s="187"/>
      <c r="Z2005" s="187"/>
      <c r="AA2005" s="187"/>
      <c r="AB2005" s="187"/>
      <c r="AC2005" s="187"/>
      <c r="AD2005" s="187"/>
      <c r="AE2005" s="187"/>
      <c r="AF2005" s="187"/>
      <c r="AG2005" s="187"/>
      <c r="AH2005" s="187"/>
      <c r="AI2005" s="187"/>
      <c r="AJ2005" s="187"/>
      <c r="AK2005" s="187"/>
      <c r="AL2005" s="187"/>
    </row>
    <row r="2006" spans="2:38" ht="12.75" customHeight="1">
      <c r="B2006" s="485"/>
      <c r="C2006" s="20"/>
      <c r="D2006" s="12"/>
      <c r="E2006" s="12"/>
      <c r="F2006" s="12"/>
      <c r="G2006" s="12"/>
      <c r="H2006" s="20"/>
      <c r="I2006" s="187"/>
      <c r="J2006" s="187"/>
      <c r="K2006" s="187"/>
      <c r="L2006" s="187"/>
      <c r="M2006" s="187"/>
      <c r="N2006" s="187"/>
      <c r="O2006" s="187"/>
      <c r="P2006" s="187"/>
      <c r="Q2006" s="187"/>
      <c r="R2006" s="187"/>
      <c r="S2006" s="187"/>
      <c r="T2006" s="187"/>
      <c r="U2006" s="187"/>
      <c r="V2006" s="187"/>
      <c r="W2006" s="187"/>
      <c r="X2006" s="187"/>
      <c r="Y2006" s="187"/>
      <c r="Z2006" s="187"/>
      <c r="AA2006" s="187"/>
      <c r="AB2006" s="187"/>
      <c r="AC2006" s="187"/>
      <c r="AD2006" s="187"/>
      <c r="AE2006" s="187"/>
      <c r="AF2006" s="187"/>
      <c r="AG2006" s="187"/>
      <c r="AH2006" s="187"/>
      <c r="AI2006" s="187"/>
      <c r="AJ2006" s="187"/>
      <c r="AK2006" s="187"/>
      <c r="AL2006" s="187"/>
    </row>
    <row r="2007" spans="2:38" ht="12.75" customHeight="1">
      <c r="B2007" s="485"/>
      <c r="C2007" s="20"/>
      <c r="D2007" s="12"/>
      <c r="E2007" s="12"/>
      <c r="F2007" s="12"/>
      <c r="G2007" s="12"/>
      <c r="H2007" s="20"/>
      <c r="I2007" s="187"/>
      <c r="J2007" s="187"/>
      <c r="K2007" s="187"/>
      <c r="L2007" s="187"/>
      <c r="M2007" s="187"/>
      <c r="N2007" s="187"/>
      <c r="O2007" s="187"/>
      <c r="P2007" s="187"/>
      <c r="Q2007" s="187"/>
      <c r="R2007" s="187"/>
      <c r="S2007" s="187"/>
      <c r="T2007" s="187"/>
      <c r="U2007" s="187"/>
      <c r="V2007" s="187"/>
      <c r="W2007" s="187"/>
      <c r="X2007" s="187"/>
      <c r="Y2007" s="187"/>
      <c r="Z2007" s="187"/>
      <c r="AA2007" s="187"/>
      <c r="AB2007" s="187"/>
      <c r="AC2007" s="187"/>
      <c r="AD2007" s="187"/>
      <c r="AE2007" s="187"/>
      <c r="AF2007" s="187"/>
      <c r="AG2007" s="187"/>
      <c r="AH2007" s="187"/>
      <c r="AI2007" s="187"/>
      <c r="AJ2007" s="187"/>
      <c r="AK2007" s="187"/>
      <c r="AL2007" s="187"/>
    </row>
    <row r="2008" spans="2:38" ht="12.75" customHeight="1">
      <c r="B2008" s="485"/>
      <c r="C2008" s="20"/>
      <c r="D2008" s="12"/>
      <c r="E2008" s="12"/>
      <c r="F2008" s="12"/>
      <c r="G2008" s="12"/>
      <c r="H2008" s="20"/>
      <c r="I2008" s="187"/>
      <c r="J2008" s="187"/>
      <c r="K2008" s="187"/>
      <c r="L2008" s="187"/>
      <c r="M2008" s="187"/>
      <c r="N2008" s="187"/>
      <c r="O2008" s="187"/>
      <c r="P2008" s="187"/>
      <c r="Q2008" s="187"/>
      <c r="R2008" s="187"/>
      <c r="S2008" s="187"/>
      <c r="T2008" s="187"/>
      <c r="U2008" s="187"/>
      <c r="V2008" s="187"/>
      <c r="W2008" s="187"/>
      <c r="X2008" s="187"/>
      <c r="Y2008" s="187"/>
      <c r="Z2008" s="187"/>
      <c r="AA2008" s="187"/>
      <c r="AB2008" s="187"/>
      <c r="AC2008" s="187"/>
      <c r="AD2008" s="187"/>
      <c r="AE2008" s="187"/>
      <c r="AF2008" s="187"/>
      <c r="AG2008" s="187"/>
      <c r="AH2008" s="187"/>
      <c r="AI2008" s="187"/>
      <c r="AJ2008" s="187"/>
      <c r="AK2008" s="187"/>
      <c r="AL2008" s="187"/>
    </row>
    <row r="2009" spans="2:38" ht="12.75" customHeight="1">
      <c r="B2009" s="485"/>
      <c r="C2009" s="20"/>
      <c r="D2009" s="12"/>
      <c r="E2009" s="12"/>
      <c r="F2009" s="12"/>
      <c r="G2009" s="12"/>
      <c r="H2009" s="20"/>
      <c r="I2009" s="187"/>
      <c r="J2009" s="187"/>
      <c r="K2009" s="187"/>
      <c r="L2009" s="187"/>
      <c r="M2009" s="187"/>
      <c r="N2009" s="187"/>
      <c r="O2009" s="187"/>
      <c r="P2009" s="187"/>
      <c r="Q2009" s="187"/>
      <c r="R2009" s="187"/>
      <c r="S2009" s="187"/>
      <c r="T2009" s="187"/>
      <c r="U2009" s="187"/>
      <c r="V2009" s="187"/>
      <c r="W2009" s="187"/>
      <c r="X2009" s="187"/>
      <c r="Y2009" s="187"/>
      <c r="Z2009" s="187"/>
      <c r="AA2009" s="187"/>
      <c r="AB2009" s="187"/>
      <c r="AC2009" s="187"/>
      <c r="AD2009" s="187"/>
      <c r="AE2009" s="187"/>
      <c r="AF2009" s="187"/>
      <c r="AG2009" s="187"/>
      <c r="AH2009" s="187"/>
      <c r="AI2009" s="187"/>
      <c r="AJ2009" s="187"/>
      <c r="AK2009" s="187"/>
      <c r="AL2009" s="187"/>
    </row>
    <row r="2010" spans="2:38" ht="12.75" customHeight="1">
      <c r="B2010" s="485"/>
      <c r="C2010" s="20"/>
      <c r="D2010" s="12"/>
      <c r="E2010" s="12"/>
      <c r="F2010" s="12"/>
      <c r="G2010" s="12"/>
      <c r="H2010" s="20"/>
      <c r="I2010" s="187"/>
      <c r="J2010" s="187"/>
      <c r="K2010" s="187"/>
      <c r="L2010" s="187"/>
      <c r="M2010" s="187"/>
      <c r="N2010" s="187"/>
      <c r="O2010" s="187"/>
      <c r="P2010" s="187"/>
      <c r="Q2010" s="187"/>
      <c r="R2010" s="187"/>
      <c r="S2010" s="187"/>
      <c r="T2010" s="187"/>
      <c r="U2010" s="187"/>
      <c r="V2010" s="187"/>
      <c r="W2010" s="187"/>
      <c r="X2010" s="187"/>
      <c r="Y2010" s="187"/>
      <c r="Z2010" s="187"/>
      <c r="AA2010" s="187"/>
      <c r="AB2010" s="187"/>
      <c r="AC2010" s="187"/>
      <c r="AD2010" s="187"/>
      <c r="AE2010" s="187"/>
      <c r="AF2010" s="187"/>
      <c r="AG2010" s="187"/>
      <c r="AH2010" s="187"/>
      <c r="AI2010" s="187"/>
      <c r="AJ2010" s="187"/>
      <c r="AK2010" s="187"/>
      <c r="AL2010" s="187"/>
    </row>
    <row r="2011" spans="2:38" ht="12.75" customHeight="1">
      <c r="B2011" s="485"/>
      <c r="C2011" s="20"/>
      <c r="D2011" s="12"/>
      <c r="E2011" s="12"/>
      <c r="F2011" s="12"/>
      <c r="G2011" s="12"/>
      <c r="H2011" s="20"/>
      <c r="I2011" s="187"/>
      <c r="J2011" s="187"/>
      <c r="K2011" s="187"/>
      <c r="L2011" s="187"/>
      <c r="M2011" s="187"/>
      <c r="N2011" s="187"/>
      <c r="O2011" s="187"/>
      <c r="P2011" s="187"/>
      <c r="Q2011" s="187"/>
      <c r="R2011" s="187"/>
      <c r="S2011" s="187"/>
      <c r="T2011" s="187"/>
      <c r="U2011" s="187"/>
      <c r="V2011" s="187"/>
      <c r="W2011" s="187"/>
      <c r="X2011" s="187"/>
      <c r="Y2011" s="187"/>
      <c r="Z2011" s="187"/>
      <c r="AA2011" s="187"/>
      <c r="AB2011" s="187"/>
      <c r="AC2011" s="187"/>
      <c r="AD2011" s="187"/>
      <c r="AE2011" s="187"/>
      <c r="AF2011" s="187"/>
      <c r="AG2011" s="187"/>
      <c r="AH2011" s="187"/>
      <c r="AI2011" s="187"/>
      <c r="AJ2011" s="187"/>
      <c r="AK2011" s="187"/>
      <c r="AL2011" s="187"/>
    </row>
    <row r="2012" spans="2:38" ht="12.75" customHeight="1">
      <c r="B2012" s="485"/>
      <c r="C2012" s="20"/>
      <c r="D2012" s="12"/>
      <c r="E2012" s="12"/>
      <c r="F2012" s="12"/>
      <c r="G2012" s="12"/>
      <c r="H2012" s="20"/>
      <c r="I2012" s="187"/>
      <c r="J2012" s="187"/>
      <c r="K2012" s="187"/>
      <c r="L2012" s="187"/>
      <c r="M2012" s="187"/>
      <c r="N2012" s="187"/>
      <c r="O2012" s="187"/>
      <c r="P2012" s="187"/>
      <c r="Q2012" s="187"/>
      <c r="R2012" s="187"/>
      <c r="S2012" s="187"/>
      <c r="T2012" s="187"/>
      <c r="U2012" s="187"/>
      <c r="V2012" s="187"/>
      <c r="W2012" s="187"/>
      <c r="X2012" s="187"/>
      <c r="Y2012" s="187"/>
      <c r="Z2012" s="187"/>
      <c r="AA2012" s="187"/>
      <c r="AB2012" s="187"/>
      <c r="AC2012" s="187"/>
      <c r="AD2012" s="187"/>
      <c r="AE2012" s="187"/>
      <c r="AF2012" s="187"/>
      <c r="AG2012" s="187"/>
      <c r="AH2012" s="187"/>
      <c r="AI2012" s="187"/>
      <c r="AJ2012" s="187"/>
      <c r="AK2012" s="187"/>
      <c r="AL2012" s="187"/>
    </row>
    <row r="2013" spans="2:38" ht="12.75" customHeight="1">
      <c r="B2013" s="485"/>
      <c r="C2013" s="20"/>
      <c r="D2013" s="12"/>
      <c r="E2013" s="12"/>
      <c r="F2013" s="12"/>
      <c r="G2013" s="12"/>
      <c r="H2013" s="20"/>
      <c r="I2013" s="187"/>
      <c r="J2013" s="187"/>
      <c r="K2013" s="187"/>
      <c r="L2013" s="187"/>
      <c r="M2013" s="187"/>
      <c r="N2013" s="187"/>
      <c r="O2013" s="187"/>
      <c r="P2013" s="187"/>
      <c r="Q2013" s="187"/>
      <c r="R2013" s="187"/>
      <c r="S2013" s="187"/>
      <c r="T2013" s="187"/>
      <c r="U2013" s="187"/>
      <c r="V2013" s="187"/>
      <c r="W2013" s="187"/>
      <c r="X2013" s="187"/>
      <c r="Y2013" s="187"/>
      <c r="Z2013" s="187"/>
      <c r="AA2013" s="187"/>
      <c r="AB2013" s="187"/>
      <c r="AC2013" s="187"/>
      <c r="AD2013" s="187"/>
      <c r="AE2013" s="187"/>
      <c r="AF2013" s="187"/>
      <c r="AG2013" s="187"/>
      <c r="AH2013" s="187"/>
      <c r="AI2013" s="187"/>
      <c r="AJ2013" s="187"/>
      <c r="AK2013" s="187"/>
      <c r="AL2013" s="187"/>
    </row>
    <row r="2014" spans="2:38" ht="12.75" customHeight="1">
      <c r="B2014" s="485"/>
      <c r="C2014" s="20"/>
      <c r="D2014" s="12"/>
      <c r="E2014" s="12"/>
      <c r="F2014" s="12"/>
      <c r="G2014" s="12"/>
      <c r="H2014" s="20"/>
      <c r="I2014" s="187"/>
      <c r="J2014" s="187"/>
      <c r="K2014" s="187"/>
      <c r="L2014" s="187"/>
      <c r="M2014" s="187"/>
      <c r="N2014" s="187"/>
      <c r="O2014" s="187"/>
      <c r="P2014" s="187"/>
      <c r="Q2014" s="187"/>
      <c r="R2014" s="187"/>
      <c r="S2014" s="187"/>
      <c r="T2014" s="187"/>
      <c r="U2014" s="187"/>
      <c r="V2014" s="187"/>
      <c r="W2014" s="187"/>
      <c r="X2014" s="187"/>
      <c r="Y2014" s="187"/>
      <c r="Z2014" s="187"/>
      <c r="AA2014" s="187"/>
      <c r="AB2014" s="187"/>
      <c r="AC2014" s="187"/>
      <c r="AD2014" s="187"/>
      <c r="AE2014" s="187"/>
      <c r="AF2014" s="187"/>
      <c r="AG2014" s="187"/>
      <c r="AH2014" s="187"/>
      <c r="AI2014" s="187"/>
      <c r="AJ2014" s="187"/>
      <c r="AK2014" s="187"/>
      <c r="AL2014" s="187"/>
    </row>
    <row r="2015" spans="2:38" ht="12.75" customHeight="1">
      <c r="B2015" s="485"/>
      <c r="C2015" s="20"/>
      <c r="D2015" s="12"/>
      <c r="E2015" s="12"/>
      <c r="F2015" s="12"/>
      <c r="G2015" s="12"/>
      <c r="H2015" s="20"/>
      <c r="I2015" s="187"/>
      <c r="J2015" s="187"/>
      <c r="K2015" s="187"/>
      <c r="L2015" s="187"/>
      <c r="M2015" s="187"/>
      <c r="N2015" s="187"/>
      <c r="O2015" s="187"/>
      <c r="P2015" s="187"/>
      <c r="Q2015" s="187"/>
      <c r="R2015" s="187"/>
      <c r="S2015" s="187"/>
      <c r="T2015" s="187"/>
      <c r="U2015" s="187"/>
      <c r="V2015" s="187"/>
      <c r="W2015" s="187"/>
      <c r="X2015" s="187"/>
      <c r="Y2015" s="187"/>
      <c r="Z2015" s="187"/>
      <c r="AA2015" s="187"/>
      <c r="AB2015" s="187"/>
      <c r="AC2015" s="187"/>
      <c r="AD2015" s="187"/>
      <c r="AE2015" s="187"/>
      <c r="AF2015" s="187"/>
      <c r="AG2015" s="187"/>
      <c r="AH2015" s="187"/>
      <c r="AI2015" s="187"/>
      <c r="AJ2015" s="187"/>
      <c r="AK2015" s="187"/>
      <c r="AL2015" s="187"/>
    </row>
    <row r="2016" spans="2:38" ht="12.75" customHeight="1">
      <c r="B2016" s="485"/>
      <c r="C2016" s="20"/>
      <c r="D2016" s="12"/>
      <c r="E2016" s="12"/>
      <c r="F2016" s="12"/>
      <c r="G2016" s="12"/>
      <c r="H2016" s="20"/>
      <c r="I2016" s="187"/>
      <c r="J2016" s="187"/>
      <c r="K2016" s="187"/>
      <c r="L2016" s="187"/>
      <c r="M2016" s="187"/>
      <c r="N2016" s="187"/>
      <c r="O2016" s="187"/>
      <c r="P2016" s="187"/>
      <c r="Q2016" s="187"/>
      <c r="R2016" s="187"/>
      <c r="S2016" s="187"/>
      <c r="T2016" s="187"/>
      <c r="U2016" s="187"/>
      <c r="V2016" s="187"/>
      <c r="W2016" s="187"/>
      <c r="X2016" s="187"/>
      <c r="Y2016" s="187"/>
      <c r="Z2016" s="187"/>
      <c r="AA2016" s="187"/>
      <c r="AB2016" s="187"/>
      <c r="AC2016" s="187"/>
      <c r="AD2016" s="187"/>
      <c r="AE2016" s="187"/>
      <c r="AF2016" s="187"/>
      <c r="AG2016" s="187"/>
      <c r="AH2016" s="187"/>
      <c r="AI2016" s="187"/>
      <c r="AJ2016" s="187"/>
      <c r="AK2016" s="187"/>
      <c r="AL2016" s="187"/>
    </row>
    <row r="2017" spans="2:38" ht="12.75" customHeight="1">
      <c r="B2017" s="485"/>
      <c r="C2017" s="20"/>
      <c r="D2017" s="12"/>
      <c r="E2017" s="12"/>
      <c r="F2017" s="12"/>
      <c r="G2017" s="12"/>
      <c r="H2017" s="20"/>
      <c r="I2017" s="187"/>
      <c r="J2017" s="187"/>
      <c r="K2017" s="187"/>
      <c r="L2017" s="187"/>
      <c r="M2017" s="187"/>
      <c r="N2017" s="187"/>
      <c r="O2017" s="187"/>
      <c r="P2017" s="187"/>
      <c r="Q2017" s="187"/>
      <c r="R2017" s="187"/>
      <c r="S2017" s="187"/>
      <c r="T2017" s="187"/>
      <c r="U2017" s="187"/>
      <c r="V2017" s="187"/>
      <c r="W2017" s="187"/>
      <c r="X2017" s="187"/>
      <c r="Y2017" s="187"/>
      <c r="Z2017" s="187"/>
      <c r="AA2017" s="187"/>
      <c r="AB2017" s="187"/>
      <c r="AC2017" s="187"/>
      <c r="AD2017" s="187"/>
      <c r="AE2017" s="187"/>
      <c r="AF2017" s="187"/>
      <c r="AG2017" s="187"/>
      <c r="AH2017" s="187"/>
      <c r="AI2017" s="187"/>
      <c r="AJ2017" s="187"/>
      <c r="AK2017" s="187"/>
      <c r="AL2017" s="187"/>
    </row>
    <row r="2018" spans="2:38" ht="12.75" customHeight="1">
      <c r="B2018" s="485"/>
      <c r="C2018" s="20"/>
      <c r="D2018" s="12"/>
      <c r="E2018" s="12"/>
      <c r="F2018" s="12"/>
      <c r="G2018" s="12"/>
      <c r="H2018" s="20"/>
      <c r="I2018" s="187"/>
      <c r="J2018" s="187"/>
      <c r="K2018" s="187"/>
      <c r="L2018" s="187"/>
      <c r="M2018" s="187"/>
      <c r="N2018" s="187"/>
      <c r="O2018" s="187"/>
      <c r="P2018" s="187"/>
      <c r="Q2018" s="187"/>
      <c r="R2018" s="187"/>
      <c r="S2018" s="187"/>
      <c r="T2018" s="187"/>
      <c r="U2018" s="187"/>
      <c r="V2018" s="187"/>
      <c r="W2018" s="187"/>
      <c r="X2018" s="187"/>
      <c r="Y2018" s="187"/>
      <c r="Z2018" s="187"/>
      <c r="AA2018" s="187"/>
      <c r="AB2018" s="187"/>
      <c r="AC2018" s="187"/>
      <c r="AD2018" s="187"/>
      <c r="AE2018" s="187"/>
      <c r="AF2018" s="187"/>
      <c r="AG2018" s="187"/>
      <c r="AH2018" s="187"/>
      <c r="AI2018" s="187"/>
      <c r="AJ2018" s="187"/>
      <c r="AK2018" s="187"/>
      <c r="AL2018" s="187"/>
    </row>
    <row r="2019" spans="2:38" ht="12.75" customHeight="1">
      <c r="B2019" s="485"/>
      <c r="C2019" s="20"/>
      <c r="D2019" s="12"/>
      <c r="E2019" s="12"/>
      <c r="F2019" s="12"/>
      <c r="G2019" s="12"/>
      <c r="H2019" s="20"/>
      <c r="I2019" s="187"/>
      <c r="J2019" s="187"/>
      <c r="K2019" s="187"/>
      <c r="L2019" s="187"/>
      <c r="M2019" s="187"/>
      <c r="N2019" s="187"/>
      <c r="O2019" s="187"/>
      <c r="P2019" s="187"/>
      <c r="Q2019" s="187"/>
      <c r="R2019" s="187"/>
      <c r="S2019" s="187"/>
      <c r="T2019" s="187"/>
      <c r="U2019" s="187"/>
      <c r="V2019" s="187"/>
      <c r="W2019" s="187"/>
      <c r="X2019" s="187"/>
      <c r="Y2019" s="187"/>
      <c r="Z2019" s="187"/>
      <c r="AA2019" s="187"/>
      <c r="AB2019" s="187"/>
      <c r="AC2019" s="187"/>
      <c r="AD2019" s="187"/>
      <c r="AE2019" s="187"/>
      <c r="AF2019" s="187"/>
      <c r="AG2019" s="187"/>
      <c r="AH2019" s="187"/>
      <c r="AI2019" s="187"/>
      <c r="AJ2019" s="187"/>
      <c r="AK2019" s="187"/>
      <c r="AL2019" s="187"/>
    </row>
    <row r="2020" spans="2:38" ht="12.75" customHeight="1">
      <c r="B2020" s="485"/>
      <c r="C2020" s="20"/>
      <c r="D2020" s="12"/>
      <c r="E2020" s="12"/>
      <c r="F2020" s="12"/>
      <c r="G2020" s="12"/>
      <c r="H2020" s="20"/>
      <c r="I2020" s="187"/>
      <c r="J2020" s="187"/>
      <c r="K2020" s="187"/>
      <c r="L2020" s="187"/>
      <c r="M2020" s="187"/>
      <c r="N2020" s="187"/>
      <c r="O2020" s="187"/>
      <c r="P2020" s="187"/>
      <c r="Q2020" s="187"/>
      <c r="R2020" s="187"/>
      <c r="S2020" s="187"/>
      <c r="T2020" s="187"/>
      <c r="U2020" s="187"/>
      <c r="V2020" s="187"/>
      <c r="W2020" s="187"/>
      <c r="X2020" s="187"/>
      <c r="Y2020" s="187"/>
      <c r="Z2020" s="187"/>
      <c r="AA2020" s="187"/>
      <c r="AB2020" s="187"/>
      <c r="AC2020" s="187"/>
      <c r="AD2020" s="187"/>
      <c r="AE2020" s="187"/>
      <c r="AF2020" s="187"/>
      <c r="AG2020" s="187"/>
      <c r="AH2020" s="187"/>
      <c r="AI2020" s="187"/>
      <c r="AJ2020" s="187"/>
      <c r="AK2020" s="187"/>
      <c r="AL2020" s="187"/>
    </row>
    <row r="2021" spans="2:38" ht="12.75" customHeight="1">
      <c r="B2021" s="485"/>
      <c r="C2021" s="20"/>
      <c r="D2021" s="12"/>
      <c r="E2021" s="12"/>
      <c r="F2021" s="12"/>
      <c r="G2021" s="12"/>
      <c r="H2021" s="20"/>
      <c r="I2021" s="187"/>
      <c r="J2021" s="187"/>
      <c r="K2021" s="187"/>
      <c r="L2021" s="187"/>
      <c r="M2021" s="187"/>
      <c r="N2021" s="187"/>
      <c r="O2021" s="187"/>
      <c r="P2021" s="187"/>
      <c r="Q2021" s="187"/>
      <c r="R2021" s="187"/>
      <c r="S2021" s="187"/>
      <c r="T2021" s="187"/>
      <c r="U2021" s="187"/>
      <c r="V2021" s="187"/>
      <c r="W2021" s="187"/>
      <c r="X2021" s="187"/>
      <c r="Y2021" s="187"/>
      <c r="Z2021" s="187"/>
      <c r="AA2021" s="187"/>
      <c r="AB2021" s="187"/>
      <c r="AC2021" s="187"/>
      <c r="AD2021" s="187"/>
      <c r="AE2021" s="187"/>
      <c r="AF2021" s="187"/>
      <c r="AG2021" s="187"/>
      <c r="AH2021" s="187"/>
      <c r="AI2021" s="187"/>
      <c r="AJ2021" s="187"/>
      <c r="AK2021" s="187"/>
      <c r="AL2021" s="187"/>
    </row>
    <row r="2022" spans="2:38" ht="12.75" customHeight="1">
      <c r="B2022" s="485"/>
      <c r="C2022" s="20"/>
      <c r="D2022" s="12"/>
      <c r="E2022" s="12"/>
      <c r="F2022" s="12"/>
      <c r="G2022" s="12"/>
      <c r="H2022" s="20"/>
      <c r="I2022" s="187"/>
      <c r="J2022" s="187"/>
      <c r="K2022" s="187"/>
      <c r="L2022" s="187"/>
      <c r="M2022" s="187"/>
      <c r="N2022" s="187"/>
      <c r="O2022" s="187"/>
      <c r="P2022" s="187"/>
      <c r="Q2022" s="187"/>
      <c r="R2022" s="187"/>
      <c r="S2022" s="187"/>
      <c r="T2022" s="187"/>
      <c r="U2022" s="187"/>
      <c r="V2022" s="187"/>
      <c r="W2022" s="187"/>
      <c r="X2022" s="187"/>
      <c r="Y2022" s="187"/>
      <c r="Z2022" s="187"/>
      <c r="AA2022" s="187"/>
      <c r="AB2022" s="187"/>
      <c r="AC2022" s="187"/>
      <c r="AD2022" s="187"/>
      <c r="AE2022" s="187"/>
      <c r="AF2022" s="187"/>
      <c r="AG2022" s="187"/>
      <c r="AH2022" s="187"/>
      <c r="AI2022" s="187"/>
      <c r="AJ2022" s="187"/>
      <c r="AK2022" s="187"/>
      <c r="AL2022" s="187"/>
    </row>
    <row r="2023" spans="2:38" ht="12.75" customHeight="1">
      <c r="B2023" s="485"/>
      <c r="C2023" s="20"/>
      <c r="D2023" s="12"/>
      <c r="E2023" s="12"/>
      <c r="F2023" s="12"/>
      <c r="G2023" s="12"/>
      <c r="H2023" s="20"/>
      <c r="I2023" s="187"/>
      <c r="J2023" s="187"/>
      <c r="K2023" s="187"/>
      <c r="L2023" s="187"/>
      <c r="M2023" s="187"/>
      <c r="N2023" s="187"/>
      <c r="O2023" s="187"/>
      <c r="P2023" s="187"/>
      <c r="Q2023" s="187"/>
      <c r="R2023" s="187"/>
      <c r="S2023" s="187"/>
      <c r="T2023" s="187"/>
      <c r="U2023" s="187"/>
      <c r="V2023" s="187"/>
      <c r="W2023" s="187"/>
      <c r="X2023" s="187"/>
      <c r="Y2023" s="187"/>
      <c r="Z2023" s="187"/>
      <c r="AA2023" s="187"/>
      <c r="AB2023" s="187"/>
      <c r="AC2023" s="187"/>
      <c r="AD2023" s="187"/>
      <c r="AE2023" s="187"/>
      <c r="AF2023" s="187"/>
      <c r="AG2023" s="187"/>
      <c r="AH2023" s="187"/>
      <c r="AI2023" s="187"/>
      <c r="AJ2023" s="187"/>
      <c r="AK2023" s="187"/>
      <c r="AL2023" s="187"/>
    </row>
    <row r="2024" spans="2:38" ht="12.75" customHeight="1">
      <c r="B2024" s="485"/>
      <c r="C2024" s="20"/>
      <c r="D2024" s="12"/>
      <c r="E2024" s="12"/>
      <c r="F2024" s="12"/>
      <c r="G2024" s="12"/>
      <c r="H2024" s="20"/>
      <c r="I2024" s="187"/>
      <c r="J2024" s="187"/>
      <c r="K2024" s="187"/>
      <c r="L2024" s="187"/>
      <c r="M2024" s="187"/>
      <c r="N2024" s="187"/>
      <c r="O2024" s="187"/>
      <c r="P2024" s="187"/>
      <c r="Q2024" s="187"/>
      <c r="R2024" s="187"/>
      <c r="S2024" s="187"/>
      <c r="T2024" s="187"/>
      <c r="U2024" s="187"/>
      <c r="V2024" s="187"/>
      <c r="W2024" s="187"/>
      <c r="X2024" s="187"/>
      <c r="Y2024" s="187"/>
      <c r="Z2024" s="187"/>
      <c r="AA2024" s="187"/>
      <c r="AB2024" s="187"/>
      <c r="AC2024" s="187"/>
      <c r="AD2024" s="187"/>
      <c r="AE2024" s="187"/>
      <c r="AF2024" s="187"/>
      <c r="AG2024" s="187"/>
      <c r="AH2024" s="187"/>
      <c r="AI2024" s="187"/>
      <c r="AJ2024" s="187"/>
      <c r="AK2024" s="187"/>
      <c r="AL2024" s="187"/>
    </row>
    <row r="2025" spans="2:38" ht="12.75" customHeight="1">
      <c r="B2025" s="485"/>
      <c r="C2025" s="20"/>
      <c r="D2025" s="12"/>
      <c r="E2025" s="12"/>
      <c r="F2025" s="12"/>
      <c r="G2025" s="12"/>
      <c r="H2025" s="20"/>
      <c r="I2025" s="187"/>
      <c r="J2025" s="187"/>
      <c r="K2025" s="187"/>
      <c r="L2025" s="187"/>
      <c r="M2025" s="187"/>
      <c r="N2025" s="187"/>
      <c r="O2025" s="187"/>
      <c r="P2025" s="187"/>
      <c r="Q2025" s="187"/>
      <c r="R2025" s="187"/>
      <c r="S2025" s="187"/>
      <c r="T2025" s="187"/>
      <c r="U2025" s="187"/>
      <c r="V2025" s="187"/>
      <c r="W2025" s="187"/>
      <c r="X2025" s="187"/>
      <c r="Y2025" s="187"/>
      <c r="Z2025" s="187"/>
      <c r="AA2025" s="187"/>
      <c r="AB2025" s="187"/>
      <c r="AC2025" s="187"/>
      <c r="AD2025" s="187"/>
      <c r="AE2025" s="187"/>
      <c r="AF2025" s="187"/>
      <c r="AG2025" s="187"/>
      <c r="AH2025" s="187"/>
      <c r="AI2025" s="187"/>
      <c r="AJ2025" s="187"/>
      <c r="AK2025" s="187"/>
      <c r="AL2025" s="187"/>
    </row>
    <row r="2026" spans="2:38" ht="12.75" customHeight="1">
      <c r="B2026" s="485"/>
      <c r="C2026" s="20"/>
      <c r="D2026" s="12"/>
      <c r="E2026" s="12"/>
      <c r="F2026" s="12"/>
      <c r="G2026" s="12"/>
      <c r="H2026" s="20"/>
      <c r="I2026" s="187"/>
      <c r="J2026" s="187"/>
      <c r="K2026" s="187"/>
      <c r="L2026" s="187"/>
      <c r="M2026" s="187"/>
      <c r="N2026" s="187"/>
      <c r="O2026" s="187"/>
      <c r="P2026" s="187"/>
      <c r="Q2026" s="187"/>
      <c r="R2026" s="187"/>
      <c r="S2026" s="187"/>
      <c r="T2026" s="187"/>
      <c r="U2026" s="187"/>
      <c r="V2026" s="187"/>
      <c r="W2026" s="187"/>
      <c r="X2026" s="187"/>
      <c r="Y2026" s="187"/>
      <c r="Z2026" s="187"/>
      <c r="AA2026" s="187"/>
      <c r="AB2026" s="187"/>
      <c r="AC2026" s="187"/>
      <c r="AD2026" s="187"/>
      <c r="AE2026" s="187"/>
      <c r="AF2026" s="187"/>
      <c r="AG2026" s="187"/>
      <c r="AH2026" s="187"/>
      <c r="AI2026" s="187"/>
      <c r="AJ2026" s="187"/>
      <c r="AK2026" s="187"/>
      <c r="AL2026" s="187"/>
    </row>
    <row r="2027" spans="2:38" ht="12.75" customHeight="1">
      <c r="B2027" s="485"/>
      <c r="C2027" s="20"/>
      <c r="D2027" s="12"/>
      <c r="E2027" s="12"/>
      <c r="F2027" s="12"/>
      <c r="G2027" s="12"/>
      <c r="H2027" s="20"/>
      <c r="I2027" s="187"/>
      <c r="J2027" s="187"/>
      <c r="K2027" s="187"/>
      <c r="L2027" s="187"/>
      <c r="M2027" s="187"/>
      <c r="N2027" s="187"/>
      <c r="O2027" s="187"/>
      <c r="P2027" s="187"/>
      <c r="Q2027" s="187"/>
      <c r="R2027" s="187"/>
      <c r="S2027" s="187"/>
      <c r="T2027" s="187"/>
      <c r="U2027" s="187"/>
      <c r="V2027" s="187"/>
      <c r="W2027" s="187"/>
      <c r="X2027" s="187"/>
      <c r="Y2027" s="187"/>
      <c r="Z2027" s="187"/>
      <c r="AA2027" s="187"/>
      <c r="AB2027" s="187"/>
      <c r="AC2027" s="187"/>
      <c r="AD2027" s="187"/>
      <c r="AE2027" s="187"/>
      <c r="AF2027" s="187"/>
      <c r="AG2027" s="187"/>
      <c r="AH2027" s="187"/>
      <c r="AI2027" s="187"/>
      <c r="AJ2027" s="187"/>
      <c r="AK2027" s="187"/>
      <c r="AL2027" s="187"/>
    </row>
    <row r="2028" spans="2:38" ht="12.75" customHeight="1">
      <c r="B2028" s="485"/>
      <c r="C2028" s="20"/>
      <c r="D2028" s="12"/>
      <c r="E2028" s="12"/>
      <c r="F2028" s="12"/>
      <c r="G2028" s="12"/>
      <c r="H2028" s="20"/>
      <c r="I2028" s="187"/>
      <c r="J2028" s="187"/>
      <c r="K2028" s="187"/>
      <c r="L2028" s="187"/>
      <c r="M2028" s="187"/>
      <c r="N2028" s="187"/>
      <c r="O2028" s="187"/>
      <c r="P2028" s="187"/>
      <c r="Q2028" s="187"/>
      <c r="R2028" s="187"/>
      <c r="S2028" s="187"/>
      <c r="T2028" s="187"/>
      <c r="U2028" s="187"/>
      <c r="V2028" s="187"/>
      <c r="W2028" s="187"/>
      <c r="X2028" s="187"/>
      <c r="Y2028" s="187"/>
      <c r="Z2028" s="187"/>
      <c r="AA2028" s="187"/>
      <c r="AB2028" s="187"/>
      <c r="AC2028" s="187"/>
      <c r="AD2028" s="187"/>
      <c r="AE2028" s="187"/>
      <c r="AF2028" s="187"/>
      <c r="AG2028" s="187"/>
      <c r="AH2028" s="187"/>
      <c r="AI2028" s="187"/>
      <c r="AJ2028" s="187"/>
      <c r="AK2028" s="187"/>
      <c r="AL2028" s="187"/>
    </row>
    <row r="2029" spans="2:38" ht="12.75" customHeight="1">
      <c r="B2029" s="485"/>
      <c r="C2029" s="20"/>
      <c r="D2029" s="12"/>
      <c r="E2029" s="12"/>
      <c r="F2029" s="12"/>
      <c r="G2029" s="12"/>
      <c r="H2029" s="20"/>
      <c r="I2029" s="187"/>
      <c r="J2029" s="187"/>
      <c r="K2029" s="187"/>
      <c r="L2029" s="187"/>
      <c r="M2029" s="187"/>
      <c r="N2029" s="187"/>
      <c r="O2029" s="187"/>
      <c r="P2029" s="187"/>
      <c r="Q2029" s="187"/>
      <c r="R2029" s="187"/>
      <c r="S2029" s="187"/>
      <c r="T2029" s="187"/>
      <c r="U2029" s="187"/>
      <c r="V2029" s="187"/>
      <c r="W2029" s="187"/>
      <c r="X2029" s="187"/>
      <c r="Y2029" s="187"/>
      <c r="Z2029" s="187"/>
      <c r="AA2029" s="187"/>
      <c r="AB2029" s="187"/>
      <c r="AC2029" s="187"/>
      <c r="AD2029" s="187"/>
      <c r="AE2029" s="187"/>
      <c r="AF2029" s="187"/>
      <c r="AG2029" s="187"/>
      <c r="AH2029" s="187"/>
      <c r="AI2029" s="187"/>
      <c r="AJ2029" s="187"/>
      <c r="AK2029" s="187"/>
      <c r="AL2029" s="187"/>
    </row>
    <row r="2030" spans="2:38" ht="12.75" customHeight="1">
      <c r="B2030" s="485"/>
      <c r="C2030" s="20"/>
      <c r="D2030" s="12"/>
      <c r="E2030" s="12"/>
      <c r="F2030" s="12"/>
      <c r="G2030" s="12"/>
      <c r="H2030" s="20"/>
      <c r="I2030" s="187"/>
      <c r="J2030" s="187"/>
      <c r="K2030" s="187"/>
      <c r="L2030" s="187"/>
      <c r="M2030" s="187"/>
      <c r="N2030" s="187"/>
      <c r="O2030" s="187"/>
      <c r="P2030" s="187"/>
      <c r="Q2030" s="187"/>
      <c r="R2030" s="187"/>
      <c r="S2030" s="187"/>
      <c r="T2030" s="187"/>
      <c r="U2030" s="187"/>
      <c r="V2030" s="187"/>
      <c r="W2030" s="187"/>
      <c r="X2030" s="187"/>
      <c r="Y2030" s="187"/>
      <c r="Z2030" s="187"/>
      <c r="AA2030" s="187"/>
      <c r="AB2030" s="187"/>
      <c r="AC2030" s="187"/>
      <c r="AD2030" s="187"/>
      <c r="AE2030" s="187"/>
      <c r="AF2030" s="187"/>
      <c r="AG2030" s="187"/>
      <c r="AH2030" s="187"/>
      <c r="AI2030" s="187"/>
      <c r="AJ2030" s="187"/>
      <c r="AK2030" s="187"/>
      <c r="AL2030" s="187"/>
    </row>
    <row r="2031" spans="2:38" ht="12.75" customHeight="1">
      <c r="B2031" s="485"/>
      <c r="C2031" s="20"/>
      <c r="D2031" s="12"/>
      <c r="E2031" s="12"/>
      <c r="F2031" s="12"/>
      <c r="G2031" s="12"/>
      <c r="H2031" s="20"/>
      <c r="I2031" s="187"/>
      <c r="J2031" s="187"/>
      <c r="K2031" s="187"/>
      <c r="L2031" s="187"/>
      <c r="M2031" s="187"/>
      <c r="N2031" s="187"/>
      <c r="O2031" s="187"/>
      <c r="P2031" s="187"/>
      <c r="Q2031" s="187"/>
      <c r="R2031" s="187"/>
      <c r="S2031" s="187"/>
      <c r="T2031" s="187"/>
      <c r="U2031" s="187"/>
      <c r="V2031" s="187"/>
      <c r="W2031" s="187"/>
      <c r="X2031" s="187"/>
      <c r="Y2031" s="187"/>
      <c r="Z2031" s="187"/>
      <c r="AA2031" s="187"/>
      <c r="AB2031" s="187"/>
      <c r="AC2031" s="187"/>
      <c r="AD2031" s="187"/>
      <c r="AE2031" s="187"/>
      <c r="AF2031" s="187"/>
      <c r="AG2031" s="187"/>
      <c r="AH2031" s="187"/>
      <c r="AI2031" s="187"/>
      <c r="AJ2031" s="187"/>
      <c r="AK2031" s="187"/>
      <c r="AL2031" s="187"/>
    </row>
    <row r="2032" spans="2:38" ht="12.75" customHeight="1">
      <c r="B2032" s="485"/>
      <c r="C2032" s="20"/>
      <c r="D2032" s="12"/>
      <c r="E2032" s="12"/>
      <c r="F2032" s="12"/>
      <c r="G2032" s="12"/>
      <c r="H2032" s="20"/>
      <c r="I2032" s="187"/>
      <c r="J2032" s="187"/>
      <c r="K2032" s="187"/>
      <c r="L2032" s="187"/>
      <c r="M2032" s="187"/>
      <c r="N2032" s="187"/>
      <c r="O2032" s="187"/>
      <c r="P2032" s="187"/>
      <c r="Q2032" s="187"/>
      <c r="R2032" s="187"/>
      <c r="S2032" s="187"/>
      <c r="T2032" s="187"/>
      <c r="U2032" s="187"/>
      <c r="V2032" s="187"/>
      <c r="W2032" s="187"/>
      <c r="X2032" s="187"/>
      <c r="Y2032" s="187"/>
      <c r="Z2032" s="187"/>
      <c r="AA2032" s="187"/>
      <c r="AB2032" s="187"/>
      <c r="AC2032" s="187"/>
      <c r="AD2032" s="187"/>
      <c r="AE2032" s="187"/>
      <c r="AF2032" s="187"/>
      <c r="AG2032" s="187"/>
      <c r="AH2032" s="187"/>
      <c r="AI2032" s="187"/>
      <c r="AJ2032" s="187"/>
      <c r="AK2032" s="187"/>
      <c r="AL2032" s="187"/>
    </row>
    <row r="2033" spans="2:38" ht="12.75" customHeight="1">
      <c r="B2033" s="485"/>
      <c r="C2033" s="20"/>
      <c r="D2033" s="12"/>
      <c r="E2033" s="12"/>
      <c r="F2033" s="12"/>
      <c r="G2033" s="12"/>
      <c r="H2033" s="20"/>
      <c r="I2033" s="187"/>
      <c r="J2033" s="187"/>
      <c r="K2033" s="187"/>
      <c r="L2033" s="187"/>
      <c r="M2033" s="187"/>
      <c r="N2033" s="187"/>
      <c r="O2033" s="187"/>
      <c r="P2033" s="187"/>
      <c r="Q2033" s="187"/>
      <c r="R2033" s="187"/>
      <c r="S2033" s="187"/>
      <c r="T2033" s="187"/>
      <c r="U2033" s="187"/>
      <c r="V2033" s="187"/>
      <c r="W2033" s="187"/>
      <c r="X2033" s="187"/>
      <c r="Y2033" s="187"/>
      <c r="Z2033" s="187"/>
      <c r="AA2033" s="187"/>
      <c r="AB2033" s="187"/>
      <c r="AC2033" s="187"/>
      <c r="AD2033" s="187"/>
      <c r="AE2033" s="187"/>
      <c r="AF2033" s="187"/>
      <c r="AG2033" s="187"/>
      <c r="AH2033" s="187"/>
      <c r="AI2033" s="187"/>
      <c r="AJ2033" s="187"/>
      <c r="AK2033" s="187"/>
      <c r="AL2033" s="187"/>
    </row>
    <row r="2034" spans="2:38" ht="12.75" customHeight="1">
      <c r="B2034" s="485"/>
      <c r="C2034" s="20"/>
      <c r="D2034" s="12"/>
      <c r="E2034" s="12"/>
      <c r="F2034" s="12"/>
      <c r="G2034" s="12"/>
      <c r="H2034" s="20"/>
      <c r="I2034" s="187"/>
      <c r="J2034" s="187"/>
      <c r="K2034" s="187"/>
      <c r="L2034" s="187"/>
      <c r="M2034" s="187"/>
      <c r="N2034" s="187"/>
      <c r="O2034" s="187"/>
      <c r="P2034" s="187"/>
      <c r="Q2034" s="187"/>
      <c r="R2034" s="187"/>
      <c r="S2034" s="187"/>
      <c r="T2034" s="187"/>
      <c r="U2034" s="187"/>
      <c r="V2034" s="187"/>
      <c r="W2034" s="187"/>
      <c r="X2034" s="187"/>
      <c r="Y2034" s="187"/>
      <c r="Z2034" s="187"/>
      <c r="AA2034" s="187"/>
      <c r="AB2034" s="187"/>
      <c r="AC2034" s="187"/>
      <c r="AD2034" s="187"/>
      <c r="AE2034" s="187"/>
      <c r="AF2034" s="187"/>
      <c r="AG2034" s="187"/>
      <c r="AH2034" s="187"/>
      <c r="AI2034" s="187"/>
      <c r="AJ2034" s="187"/>
      <c r="AK2034" s="187"/>
      <c r="AL2034" s="187"/>
    </row>
    <row r="2035" spans="2:38" ht="12.75" customHeight="1">
      <c r="B2035" s="485"/>
      <c r="C2035" s="20"/>
      <c r="D2035" s="12"/>
      <c r="E2035" s="12"/>
      <c r="F2035" s="12"/>
      <c r="G2035" s="12"/>
      <c r="H2035" s="20"/>
      <c r="I2035" s="187"/>
      <c r="J2035" s="187"/>
      <c r="K2035" s="187"/>
      <c r="L2035" s="187"/>
      <c r="M2035" s="187"/>
      <c r="N2035" s="187"/>
      <c r="O2035" s="187"/>
      <c r="P2035" s="187"/>
      <c r="Q2035" s="187"/>
      <c r="R2035" s="187"/>
      <c r="S2035" s="187"/>
      <c r="T2035" s="187"/>
      <c r="U2035" s="187"/>
      <c r="V2035" s="187"/>
      <c r="W2035" s="187"/>
      <c r="X2035" s="187"/>
      <c r="Y2035" s="187"/>
      <c r="Z2035" s="187"/>
      <c r="AA2035" s="187"/>
      <c r="AB2035" s="187"/>
      <c r="AC2035" s="187"/>
      <c r="AD2035" s="187"/>
      <c r="AE2035" s="187"/>
      <c r="AF2035" s="187"/>
      <c r="AG2035" s="187"/>
      <c r="AH2035" s="187"/>
      <c r="AI2035" s="187"/>
      <c r="AJ2035" s="187"/>
      <c r="AK2035" s="187"/>
      <c r="AL2035" s="187"/>
    </row>
    <row r="2036" spans="2:38" ht="12.75" customHeight="1">
      <c r="B2036" s="485"/>
      <c r="C2036" s="20"/>
      <c r="D2036" s="12"/>
      <c r="E2036" s="12"/>
      <c r="F2036" s="12"/>
      <c r="G2036" s="12"/>
      <c r="H2036" s="20"/>
      <c r="I2036" s="187"/>
      <c r="J2036" s="187"/>
      <c r="K2036" s="187"/>
      <c r="L2036" s="187"/>
      <c r="M2036" s="187"/>
      <c r="N2036" s="187"/>
      <c r="O2036" s="187"/>
      <c r="P2036" s="187"/>
      <c r="Q2036" s="187"/>
      <c r="R2036" s="187"/>
      <c r="S2036" s="187"/>
      <c r="T2036" s="187"/>
      <c r="U2036" s="187"/>
      <c r="V2036" s="187"/>
      <c r="W2036" s="187"/>
      <c r="X2036" s="187"/>
      <c r="Y2036" s="187"/>
      <c r="Z2036" s="187"/>
      <c r="AA2036" s="187"/>
      <c r="AB2036" s="187"/>
      <c r="AC2036" s="187"/>
      <c r="AD2036" s="187"/>
      <c r="AE2036" s="187"/>
      <c r="AF2036" s="187"/>
      <c r="AG2036" s="187"/>
      <c r="AH2036" s="187"/>
      <c r="AI2036" s="187"/>
      <c r="AJ2036" s="187"/>
      <c r="AK2036" s="187"/>
      <c r="AL2036" s="187"/>
    </row>
    <row r="2037" spans="2:38" ht="12.75" customHeight="1">
      <c r="B2037" s="485"/>
      <c r="C2037" s="20"/>
      <c r="D2037" s="12"/>
      <c r="E2037" s="12"/>
      <c r="F2037" s="12"/>
      <c r="G2037" s="12"/>
      <c r="H2037" s="20"/>
      <c r="I2037" s="187"/>
      <c r="J2037" s="187"/>
      <c r="K2037" s="187"/>
      <c r="L2037" s="187"/>
      <c r="M2037" s="187"/>
      <c r="N2037" s="187"/>
      <c r="O2037" s="187"/>
      <c r="P2037" s="187"/>
      <c r="Q2037" s="187"/>
      <c r="R2037" s="187"/>
      <c r="S2037" s="187"/>
      <c r="T2037" s="187"/>
      <c r="U2037" s="187"/>
      <c r="V2037" s="187"/>
      <c r="W2037" s="187"/>
      <c r="X2037" s="187"/>
      <c r="Y2037" s="187"/>
      <c r="Z2037" s="187"/>
      <c r="AA2037" s="187"/>
      <c r="AB2037" s="187"/>
      <c r="AC2037" s="187"/>
      <c r="AD2037" s="187"/>
      <c r="AE2037" s="187"/>
      <c r="AF2037" s="187"/>
      <c r="AG2037" s="187"/>
      <c r="AH2037" s="187"/>
      <c r="AI2037" s="187"/>
      <c r="AJ2037" s="187"/>
      <c r="AK2037" s="187"/>
      <c r="AL2037" s="187"/>
    </row>
    <row r="2038" spans="2:38" ht="12.75" customHeight="1">
      <c r="B2038" s="485"/>
      <c r="C2038" s="20"/>
      <c r="D2038" s="12"/>
      <c r="E2038" s="12"/>
      <c r="F2038" s="12"/>
      <c r="G2038" s="12"/>
      <c r="H2038" s="20"/>
      <c r="I2038" s="187"/>
      <c r="J2038" s="187"/>
      <c r="K2038" s="187"/>
      <c r="L2038" s="187"/>
      <c r="M2038" s="187"/>
      <c r="N2038" s="187"/>
      <c r="O2038" s="187"/>
      <c r="P2038" s="187"/>
      <c r="Q2038" s="187"/>
      <c r="R2038" s="187"/>
      <c r="S2038" s="187"/>
      <c r="T2038" s="187"/>
      <c r="U2038" s="187"/>
      <c r="V2038" s="187"/>
      <c r="W2038" s="187"/>
      <c r="X2038" s="187"/>
      <c r="Y2038" s="187"/>
      <c r="Z2038" s="187"/>
      <c r="AA2038" s="187"/>
      <c r="AB2038" s="187"/>
      <c r="AC2038" s="187"/>
      <c r="AD2038" s="187"/>
      <c r="AE2038" s="187"/>
      <c r="AF2038" s="187"/>
      <c r="AG2038" s="187"/>
      <c r="AH2038" s="187"/>
      <c r="AI2038" s="187"/>
      <c r="AJ2038" s="187"/>
      <c r="AK2038" s="187"/>
      <c r="AL2038" s="187"/>
    </row>
    <row r="2039" spans="2:38" ht="12.75" customHeight="1">
      <c r="B2039" s="485"/>
      <c r="C2039" s="20"/>
      <c r="D2039" s="12"/>
      <c r="E2039" s="12"/>
      <c r="F2039" s="12"/>
      <c r="G2039" s="12"/>
      <c r="H2039" s="20"/>
      <c r="I2039" s="187"/>
      <c r="J2039" s="187"/>
      <c r="K2039" s="187"/>
      <c r="L2039" s="187"/>
      <c r="M2039" s="187"/>
      <c r="N2039" s="187"/>
      <c r="O2039" s="187"/>
      <c r="P2039" s="187"/>
      <c r="Q2039" s="187"/>
      <c r="R2039" s="187"/>
      <c r="S2039" s="187"/>
      <c r="T2039" s="187"/>
      <c r="U2039" s="187"/>
      <c r="V2039" s="187"/>
      <c r="W2039" s="187"/>
      <c r="X2039" s="187"/>
      <c r="Y2039" s="187"/>
      <c r="Z2039" s="187"/>
      <c r="AA2039" s="187"/>
      <c r="AB2039" s="187"/>
      <c r="AC2039" s="187"/>
      <c r="AD2039" s="187"/>
      <c r="AE2039" s="187"/>
      <c r="AF2039" s="187"/>
      <c r="AG2039" s="187"/>
      <c r="AH2039" s="187"/>
      <c r="AI2039" s="187"/>
      <c r="AJ2039" s="187"/>
      <c r="AK2039" s="187"/>
      <c r="AL2039" s="187"/>
    </row>
    <row r="2040" spans="2:38" ht="12.75" customHeight="1">
      <c r="B2040" s="485"/>
      <c r="C2040" s="20"/>
      <c r="D2040" s="12"/>
      <c r="E2040" s="12"/>
      <c r="F2040" s="12"/>
      <c r="G2040" s="12"/>
      <c r="H2040" s="20"/>
      <c r="I2040" s="187"/>
      <c r="J2040" s="187"/>
      <c r="K2040" s="187"/>
      <c r="L2040" s="187"/>
      <c r="M2040" s="187"/>
      <c r="N2040" s="187"/>
      <c r="O2040" s="187"/>
      <c r="P2040" s="187"/>
      <c r="Q2040" s="187"/>
      <c r="R2040" s="187"/>
      <c r="S2040" s="187"/>
      <c r="T2040" s="187"/>
      <c r="U2040" s="187"/>
      <c r="V2040" s="187"/>
      <c r="W2040" s="187"/>
      <c r="X2040" s="187"/>
      <c r="Y2040" s="187"/>
      <c r="Z2040" s="187"/>
      <c r="AA2040" s="187"/>
      <c r="AB2040" s="187"/>
      <c r="AC2040" s="187"/>
      <c r="AD2040" s="187"/>
      <c r="AE2040" s="187"/>
      <c r="AF2040" s="187"/>
      <c r="AG2040" s="187"/>
      <c r="AH2040" s="187"/>
      <c r="AI2040" s="187"/>
      <c r="AJ2040" s="187"/>
      <c r="AK2040" s="187"/>
      <c r="AL2040" s="187"/>
    </row>
    <row r="2041" spans="2:38" ht="12.75" customHeight="1">
      <c r="B2041" s="485"/>
      <c r="C2041" s="20"/>
      <c r="D2041" s="12"/>
      <c r="E2041" s="12"/>
      <c r="F2041" s="12"/>
      <c r="G2041" s="12"/>
      <c r="H2041" s="20"/>
      <c r="I2041" s="187"/>
      <c r="J2041" s="187"/>
      <c r="K2041" s="187"/>
      <c r="L2041" s="187"/>
      <c r="M2041" s="187"/>
      <c r="N2041" s="187"/>
      <c r="O2041" s="187"/>
      <c r="P2041" s="187"/>
      <c r="Q2041" s="187"/>
      <c r="R2041" s="187"/>
      <c r="S2041" s="187"/>
      <c r="T2041" s="187"/>
      <c r="U2041" s="187"/>
      <c r="V2041" s="187"/>
      <c r="W2041" s="187"/>
      <c r="X2041" s="187"/>
      <c r="Y2041" s="187"/>
      <c r="Z2041" s="187"/>
      <c r="AA2041" s="187"/>
      <c r="AB2041" s="187"/>
      <c r="AC2041" s="187"/>
      <c r="AD2041" s="187"/>
      <c r="AE2041" s="187"/>
      <c r="AF2041" s="187"/>
      <c r="AG2041" s="187"/>
      <c r="AH2041" s="187"/>
      <c r="AI2041" s="187"/>
      <c r="AJ2041" s="187"/>
      <c r="AK2041" s="187"/>
      <c r="AL2041" s="187"/>
    </row>
    <row r="2042" spans="2:38" ht="12.75" customHeight="1">
      <c r="B2042" s="485"/>
      <c r="C2042" s="20"/>
      <c r="D2042" s="12"/>
      <c r="E2042" s="12"/>
      <c r="F2042" s="12"/>
      <c r="G2042" s="12"/>
      <c r="H2042" s="20"/>
      <c r="I2042" s="187"/>
      <c r="J2042" s="187"/>
      <c r="K2042" s="187"/>
      <c r="L2042" s="187"/>
      <c r="M2042" s="187"/>
      <c r="N2042" s="187"/>
      <c r="O2042" s="187"/>
      <c r="P2042" s="187"/>
      <c r="Q2042" s="187"/>
      <c r="R2042" s="187"/>
      <c r="S2042" s="187"/>
      <c r="T2042" s="187"/>
      <c r="U2042" s="187"/>
      <c r="V2042" s="187"/>
      <c r="W2042" s="187"/>
      <c r="X2042" s="187"/>
      <c r="Y2042" s="187"/>
      <c r="Z2042" s="187"/>
      <c r="AA2042" s="187"/>
      <c r="AB2042" s="187"/>
      <c r="AC2042" s="187"/>
      <c r="AD2042" s="187"/>
      <c r="AE2042" s="187"/>
      <c r="AF2042" s="187"/>
      <c r="AG2042" s="187"/>
      <c r="AH2042" s="187"/>
      <c r="AI2042" s="187"/>
      <c r="AJ2042" s="187"/>
      <c r="AK2042" s="187"/>
      <c r="AL2042" s="187"/>
    </row>
    <row r="2043" spans="2:38" ht="12.75" customHeight="1">
      <c r="B2043" s="485"/>
      <c r="C2043" s="20"/>
      <c r="D2043" s="12"/>
      <c r="E2043" s="12"/>
      <c r="F2043" s="12"/>
      <c r="G2043" s="12"/>
      <c r="H2043" s="20"/>
      <c r="I2043" s="187"/>
      <c r="J2043" s="187"/>
      <c r="K2043" s="187"/>
      <c r="L2043" s="187"/>
      <c r="M2043" s="187"/>
      <c r="N2043" s="187"/>
      <c r="O2043" s="187"/>
      <c r="P2043" s="187"/>
      <c r="Q2043" s="187"/>
      <c r="R2043" s="187"/>
      <c r="S2043" s="187"/>
      <c r="T2043" s="187"/>
      <c r="U2043" s="187"/>
      <c r="V2043" s="187"/>
      <c r="W2043" s="187"/>
      <c r="X2043" s="187"/>
      <c r="Y2043" s="187"/>
      <c r="Z2043" s="187"/>
      <c r="AA2043" s="187"/>
      <c r="AB2043" s="187"/>
      <c r="AC2043" s="187"/>
      <c r="AD2043" s="187"/>
      <c r="AE2043" s="187"/>
      <c r="AF2043" s="187"/>
      <c r="AG2043" s="187"/>
      <c r="AH2043" s="187"/>
      <c r="AI2043" s="187"/>
      <c r="AJ2043" s="187"/>
      <c r="AK2043" s="187"/>
      <c r="AL2043" s="187"/>
    </row>
    <row r="2044" spans="2:38" ht="12.75" customHeight="1">
      <c r="B2044" s="485"/>
      <c r="C2044" s="20"/>
      <c r="D2044" s="12"/>
      <c r="E2044" s="12"/>
      <c r="F2044" s="12"/>
      <c r="G2044" s="12"/>
      <c r="H2044" s="20"/>
      <c r="I2044" s="187"/>
      <c r="J2044" s="187"/>
      <c r="K2044" s="187"/>
      <c r="L2044" s="187"/>
      <c r="M2044" s="187"/>
      <c r="N2044" s="187"/>
      <c r="O2044" s="187"/>
      <c r="P2044" s="187"/>
      <c r="Q2044" s="187"/>
      <c r="R2044" s="187"/>
      <c r="S2044" s="187"/>
      <c r="T2044" s="187"/>
      <c r="U2044" s="187"/>
      <c r="V2044" s="187"/>
      <c r="W2044" s="187"/>
      <c r="X2044" s="187"/>
      <c r="Y2044" s="187"/>
      <c r="Z2044" s="187"/>
      <c r="AA2044" s="187"/>
      <c r="AB2044" s="187"/>
      <c r="AC2044" s="187"/>
      <c r="AD2044" s="187"/>
      <c r="AE2044" s="187"/>
      <c r="AF2044" s="187"/>
      <c r="AG2044" s="187"/>
      <c r="AH2044" s="187"/>
      <c r="AI2044" s="187"/>
      <c r="AJ2044" s="187"/>
      <c r="AK2044" s="187"/>
      <c r="AL2044" s="187"/>
    </row>
    <row r="2045" spans="2:38" ht="12.75" customHeight="1">
      <c r="B2045" s="485"/>
      <c r="C2045" s="20"/>
      <c r="D2045" s="12"/>
      <c r="E2045" s="12"/>
      <c r="F2045" s="12"/>
      <c r="G2045" s="12"/>
      <c r="H2045" s="20"/>
      <c r="I2045" s="187"/>
      <c r="J2045" s="187"/>
      <c r="K2045" s="187"/>
      <c r="L2045" s="187"/>
      <c r="M2045" s="187"/>
      <c r="N2045" s="187"/>
      <c r="O2045" s="187"/>
      <c r="P2045" s="187"/>
      <c r="Q2045" s="187"/>
      <c r="R2045" s="187"/>
      <c r="S2045" s="187"/>
      <c r="T2045" s="187"/>
      <c r="U2045" s="187"/>
      <c r="V2045" s="187"/>
      <c r="W2045" s="187"/>
      <c r="X2045" s="187"/>
      <c r="Y2045" s="187"/>
      <c r="Z2045" s="187"/>
      <c r="AA2045" s="187"/>
      <c r="AB2045" s="187"/>
      <c r="AC2045" s="187"/>
      <c r="AD2045" s="187"/>
      <c r="AE2045" s="187"/>
      <c r="AF2045" s="187"/>
      <c r="AG2045" s="187"/>
      <c r="AH2045" s="187"/>
      <c r="AI2045" s="187"/>
      <c r="AJ2045" s="187"/>
      <c r="AK2045" s="187"/>
      <c r="AL2045" s="187"/>
    </row>
    <row r="2046" spans="2:38" ht="12.75" customHeight="1">
      <c r="B2046" s="485"/>
      <c r="C2046" s="20"/>
      <c r="D2046" s="12"/>
      <c r="E2046" s="12"/>
      <c r="F2046" s="12"/>
      <c r="G2046" s="12"/>
      <c r="H2046" s="20"/>
      <c r="I2046" s="187"/>
      <c r="J2046" s="187"/>
      <c r="K2046" s="187"/>
      <c r="L2046" s="187"/>
      <c r="M2046" s="187"/>
      <c r="N2046" s="187"/>
      <c r="O2046" s="187"/>
      <c r="P2046" s="187"/>
      <c r="Q2046" s="187"/>
      <c r="R2046" s="187"/>
      <c r="S2046" s="187"/>
      <c r="T2046" s="187"/>
      <c r="U2046" s="187"/>
      <c r="V2046" s="187"/>
      <c r="W2046" s="187"/>
      <c r="X2046" s="187"/>
      <c r="Y2046" s="187"/>
      <c r="Z2046" s="187"/>
      <c r="AA2046" s="187"/>
      <c r="AB2046" s="187"/>
      <c r="AC2046" s="187"/>
      <c r="AD2046" s="187"/>
      <c r="AE2046" s="187"/>
      <c r="AF2046" s="187"/>
      <c r="AG2046" s="187"/>
      <c r="AH2046" s="187"/>
      <c r="AI2046" s="187"/>
      <c r="AJ2046" s="187"/>
      <c r="AK2046" s="187"/>
      <c r="AL2046" s="187"/>
    </row>
    <row r="2047" spans="2:38" ht="12.75" customHeight="1">
      <c r="B2047" s="485"/>
      <c r="C2047" s="20"/>
      <c r="D2047" s="12"/>
      <c r="E2047" s="12"/>
      <c r="F2047" s="12"/>
      <c r="G2047" s="12"/>
      <c r="H2047" s="20"/>
      <c r="I2047" s="187"/>
      <c r="J2047" s="187"/>
      <c r="K2047" s="187"/>
      <c r="L2047" s="187"/>
      <c r="M2047" s="187"/>
      <c r="N2047" s="187"/>
      <c r="O2047" s="187"/>
      <c r="P2047" s="187"/>
      <c r="Q2047" s="187"/>
      <c r="R2047" s="187"/>
      <c r="S2047" s="187"/>
      <c r="T2047" s="187"/>
      <c r="U2047" s="187"/>
      <c r="V2047" s="187"/>
      <c r="W2047" s="187"/>
      <c r="X2047" s="187"/>
      <c r="Y2047" s="187"/>
      <c r="Z2047" s="187"/>
      <c r="AA2047" s="187"/>
      <c r="AB2047" s="187"/>
      <c r="AC2047" s="187"/>
      <c r="AD2047" s="187"/>
      <c r="AE2047" s="187"/>
      <c r="AF2047" s="187"/>
      <c r="AG2047" s="187"/>
      <c r="AH2047" s="187"/>
      <c r="AI2047" s="187"/>
      <c r="AJ2047" s="187"/>
      <c r="AK2047" s="187"/>
      <c r="AL2047" s="187"/>
    </row>
    <row r="2048" spans="2:38" ht="12.75" customHeight="1">
      <c r="B2048" s="485"/>
      <c r="C2048" s="20"/>
      <c r="D2048" s="12"/>
      <c r="E2048" s="12"/>
      <c r="F2048" s="12"/>
      <c r="G2048" s="12"/>
      <c r="H2048" s="20"/>
      <c r="I2048" s="187"/>
      <c r="J2048" s="187"/>
      <c r="K2048" s="187"/>
      <c r="L2048" s="187"/>
      <c r="M2048" s="187"/>
      <c r="N2048" s="187"/>
      <c r="O2048" s="187"/>
      <c r="P2048" s="187"/>
      <c r="Q2048" s="187"/>
      <c r="R2048" s="187"/>
      <c r="S2048" s="187"/>
      <c r="T2048" s="187"/>
      <c r="U2048" s="187"/>
      <c r="V2048" s="187"/>
      <c r="W2048" s="187"/>
      <c r="X2048" s="187"/>
      <c r="Y2048" s="187"/>
      <c r="Z2048" s="187"/>
      <c r="AA2048" s="187"/>
      <c r="AB2048" s="187"/>
      <c r="AC2048" s="187"/>
      <c r="AD2048" s="187"/>
      <c r="AE2048" s="187"/>
      <c r="AF2048" s="187"/>
      <c r="AG2048" s="187"/>
      <c r="AH2048" s="187"/>
      <c r="AI2048" s="187"/>
      <c r="AJ2048" s="187"/>
      <c r="AK2048" s="187"/>
      <c r="AL2048" s="187"/>
    </row>
    <row r="2049" spans="2:38" ht="12.75" customHeight="1">
      <c r="B2049" s="485"/>
      <c r="C2049" s="20"/>
      <c r="D2049" s="12"/>
      <c r="E2049" s="12"/>
      <c r="F2049" s="12"/>
      <c r="G2049" s="12"/>
      <c r="H2049" s="20"/>
      <c r="I2049" s="187"/>
      <c r="J2049" s="187"/>
      <c r="K2049" s="187"/>
      <c r="L2049" s="187"/>
      <c r="M2049" s="187"/>
      <c r="N2049" s="187"/>
      <c r="O2049" s="187"/>
      <c r="P2049" s="187"/>
      <c r="Q2049" s="187"/>
      <c r="R2049" s="187"/>
      <c r="S2049" s="187"/>
      <c r="T2049" s="187"/>
      <c r="U2049" s="187"/>
      <c r="V2049" s="187"/>
      <c r="W2049" s="187"/>
      <c r="X2049" s="187"/>
      <c r="Y2049" s="187"/>
      <c r="Z2049" s="187"/>
      <c r="AA2049" s="187"/>
      <c r="AB2049" s="187"/>
      <c r="AC2049" s="187"/>
      <c r="AD2049" s="187"/>
      <c r="AE2049" s="187"/>
      <c r="AF2049" s="187"/>
      <c r="AG2049" s="187"/>
      <c r="AH2049" s="187"/>
      <c r="AI2049" s="187"/>
      <c r="AJ2049" s="187"/>
      <c r="AK2049" s="187"/>
      <c r="AL2049" s="187"/>
    </row>
    <row r="2050" spans="2:38" ht="12.75" customHeight="1">
      <c r="B2050" s="485"/>
      <c r="C2050" s="20"/>
      <c r="D2050" s="12"/>
      <c r="E2050" s="12"/>
      <c r="F2050" s="12"/>
      <c r="G2050" s="12"/>
      <c r="H2050" s="20"/>
      <c r="I2050" s="187"/>
      <c r="J2050" s="187"/>
      <c r="K2050" s="187"/>
      <c r="L2050" s="187"/>
      <c r="M2050" s="187"/>
      <c r="N2050" s="187"/>
      <c r="O2050" s="187"/>
      <c r="P2050" s="187"/>
      <c r="Q2050" s="187"/>
      <c r="R2050" s="187"/>
      <c r="S2050" s="187"/>
      <c r="T2050" s="187"/>
      <c r="U2050" s="187"/>
      <c r="V2050" s="187"/>
      <c r="W2050" s="187"/>
      <c r="X2050" s="187"/>
      <c r="Y2050" s="187"/>
      <c r="Z2050" s="187"/>
      <c r="AA2050" s="187"/>
      <c r="AB2050" s="187"/>
      <c r="AC2050" s="187"/>
      <c r="AD2050" s="187"/>
      <c r="AE2050" s="187"/>
      <c r="AF2050" s="187"/>
      <c r="AG2050" s="187"/>
      <c r="AH2050" s="187"/>
      <c r="AI2050" s="187"/>
      <c r="AJ2050" s="187"/>
      <c r="AK2050" s="187"/>
      <c r="AL2050" s="187"/>
    </row>
    <row r="2051" spans="2:38" ht="12.75" customHeight="1">
      <c r="B2051" s="485"/>
      <c r="C2051" s="20"/>
      <c r="D2051" s="12"/>
      <c r="E2051" s="12"/>
      <c r="F2051" s="12"/>
      <c r="G2051" s="12"/>
      <c r="H2051" s="20"/>
      <c r="I2051" s="187"/>
      <c r="J2051" s="187"/>
      <c r="K2051" s="187"/>
      <c r="L2051" s="187"/>
      <c r="M2051" s="187"/>
      <c r="N2051" s="187"/>
      <c r="O2051" s="187"/>
      <c r="P2051" s="187"/>
      <c r="Q2051" s="187"/>
      <c r="R2051" s="187"/>
      <c r="S2051" s="187"/>
      <c r="T2051" s="187"/>
      <c r="U2051" s="187"/>
      <c r="V2051" s="187"/>
      <c r="W2051" s="187"/>
      <c r="X2051" s="187"/>
      <c r="Y2051" s="187"/>
      <c r="Z2051" s="187"/>
      <c r="AA2051" s="187"/>
      <c r="AB2051" s="187"/>
      <c r="AC2051" s="187"/>
      <c r="AD2051" s="187"/>
      <c r="AE2051" s="187"/>
      <c r="AF2051" s="187"/>
      <c r="AG2051" s="187"/>
      <c r="AH2051" s="187"/>
      <c r="AI2051" s="187"/>
      <c r="AJ2051" s="187"/>
      <c r="AK2051" s="187"/>
      <c r="AL2051" s="187"/>
    </row>
    <row r="2052" spans="2:38" ht="12.75" customHeight="1">
      <c r="B2052" s="485"/>
      <c r="C2052" s="20"/>
      <c r="D2052" s="12"/>
      <c r="E2052" s="12"/>
      <c r="F2052" s="12"/>
      <c r="G2052" s="12"/>
      <c r="H2052" s="20"/>
      <c r="I2052" s="187"/>
      <c r="J2052" s="187"/>
      <c r="K2052" s="187"/>
      <c r="L2052" s="187"/>
      <c r="M2052" s="187"/>
      <c r="N2052" s="187"/>
      <c r="O2052" s="187"/>
      <c r="P2052" s="187"/>
      <c r="Q2052" s="187"/>
      <c r="R2052" s="187"/>
      <c r="S2052" s="187"/>
      <c r="T2052" s="187"/>
      <c r="U2052" s="187"/>
      <c r="V2052" s="187"/>
      <c r="W2052" s="187"/>
      <c r="X2052" s="187"/>
      <c r="Y2052" s="187"/>
      <c r="Z2052" s="187"/>
      <c r="AA2052" s="187"/>
      <c r="AB2052" s="187"/>
      <c r="AC2052" s="187"/>
      <c r="AD2052" s="187"/>
      <c r="AE2052" s="187"/>
      <c r="AF2052" s="187"/>
      <c r="AG2052" s="187"/>
      <c r="AH2052" s="187"/>
      <c r="AI2052" s="187"/>
      <c r="AJ2052" s="187"/>
      <c r="AK2052" s="187"/>
      <c r="AL2052" s="187"/>
    </row>
    <row r="2053" spans="2:38" ht="12.75" customHeight="1">
      <c r="B2053" s="485"/>
      <c r="C2053" s="20"/>
      <c r="D2053" s="12"/>
      <c r="E2053" s="12"/>
      <c r="F2053" s="12"/>
      <c r="G2053" s="12"/>
      <c r="H2053" s="20"/>
      <c r="I2053" s="187"/>
      <c r="J2053" s="187"/>
      <c r="K2053" s="187"/>
      <c r="L2053" s="187"/>
      <c r="M2053" s="187"/>
      <c r="N2053" s="187"/>
      <c r="O2053" s="187"/>
      <c r="P2053" s="187"/>
      <c r="Q2053" s="187"/>
      <c r="R2053" s="187"/>
      <c r="S2053" s="187"/>
      <c r="T2053" s="187"/>
      <c r="U2053" s="187"/>
      <c r="V2053" s="187"/>
      <c r="W2053" s="187"/>
      <c r="X2053" s="187"/>
      <c r="Y2053" s="187"/>
      <c r="Z2053" s="187"/>
      <c r="AA2053" s="187"/>
      <c r="AB2053" s="187"/>
      <c r="AC2053" s="187"/>
      <c r="AD2053" s="187"/>
      <c r="AE2053" s="187"/>
      <c r="AF2053" s="187"/>
      <c r="AG2053" s="187"/>
      <c r="AH2053" s="187"/>
      <c r="AI2053" s="187"/>
      <c r="AJ2053" s="187"/>
      <c r="AK2053" s="187"/>
      <c r="AL2053" s="187"/>
    </row>
    <row r="2054" spans="2:38" ht="12.75" customHeight="1">
      <c r="B2054" s="485"/>
      <c r="C2054" s="20"/>
      <c r="D2054" s="12"/>
      <c r="E2054" s="12"/>
      <c r="F2054" s="12"/>
      <c r="G2054" s="12"/>
      <c r="H2054" s="20"/>
      <c r="I2054" s="187"/>
      <c r="J2054" s="187"/>
      <c r="K2054" s="187"/>
      <c r="L2054" s="187"/>
      <c r="M2054" s="187"/>
      <c r="N2054" s="187"/>
      <c r="O2054" s="187"/>
      <c r="P2054" s="187"/>
      <c r="Q2054" s="187"/>
      <c r="R2054" s="187"/>
      <c r="S2054" s="187"/>
      <c r="T2054" s="187"/>
      <c r="U2054" s="187"/>
      <c r="V2054" s="187"/>
      <c r="W2054" s="187"/>
      <c r="X2054" s="187"/>
      <c r="Y2054" s="187"/>
      <c r="Z2054" s="187"/>
      <c r="AA2054" s="187"/>
      <c r="AB2054" s="187"/>
      <c r="AC2054" s="187"/>
      <c r="AD2054" s="187"/>
      <c r="AE2054" s="187"/>
      <c r="AF2054" s="187"/>
      <c r="AG2054" s="187"/>
      <c r="AH2054" s="187"/>
      <c r="AI2054" s="187"/>
      <c r="AJ2054" s="187"/>
      <c r="AK2054" s="187"/>
      <c r="AL2054" s="187"/>
    </row>
    <row r="2055" spans="2:38" ht="12.75" customHeight="1">
      <c r="B2055" s="485"/>
      <c r="C2055" s="20"/>
      <c r="D2055" s="12"/>
      <c r="E2055" s="12"/>
      <c r="F2055" s="12"/>
      <c r="G2055" s="12"/>
      <c r="H2055" s="20"/>
      <c r="I2055" s="187"/>
      <c r="J2055" s="187"/>
      <c r="K2055" s="187"/>
      <c r="L2055" s="187"/>
      <c r="M2055" s="187"/>
      <c r="N2055" s="187"/>
      <c r="O2055" s="187"/>
      <c r="P2055" s="187"/>
      <c r="Q2055" s="187"/>
      <c r="R2055" s="187"/>
      <c r="S2055" s="187"/>
      <c r="T2055" s="187"/>
      <c r="U2055" s="187"/>
      <c r="V2055" s="187"/>
      <c r="W2055" s="187"/>
      <c r="X2055" s="187"/>
      <c r="Y2055" s="187"/>
      <c r="Z2055" s="187"/>
      <c r="AA2055" s="187"/>
      <c r="AB2055" s="187"/>
      <c r="AC2055" s="187"/>
      <c r="AD2055" s="187"/>
      <c r="AE2055" s="187"/>
      <c r="AF2055" s="187"/>
      <c r="AG2055" s="187"/>
      <c r="AH2055" s="187"/>
      <c r="AI2055" s="187"/>
      <c r="AJ2055" s="187"/>
      <c r="AK2055" s="187"/>
      <c r="AL2055" s="187"/>
    </row>
    <row r="2056" spans="2:38" ht="12.75" customHeight="1">
      <c r="B2056" s="485"/>
      <c r="C2056" s="20"/>
      <c r="D2056" s="12"/>
      <c r="E2056" s="12"/>
      <c r="F2056" s="12"/>
      <c r="G2056" s="12"/>
      <c r="H2056" s="20"/>
      <c r="I2056" s="187"/>
      <c r="J2056" s="187"/>
      <c r="K2056" s="187"/>
      <c r="L2056" s="187"/>
      <c r="M2056" s="187"/>
      <c r="N2056" s="187"/>
      <c r="O2056" s="187"/>
      <c r="P2056" s="187"/>
      <c r="Q2056" s="187"/>
      <c r="R2056" s="187"/>
      <c r="S2056" s="187"/>
      <c r="T2056" s="187"/>
      <c r="U2056" s="187"/>
      <c r="V2056" s="187"/>
      <c r="W2056" s="187"/>
      <c r="X2056" s="187"/>
      <c r="Y2056" s="187"/>
      <c r="Z2056" s="187"/>
      <c r="AA2056" s="187"/>
      <c r="AB2056" s="187"/>
      <c r="AC2056" s="187"/>
      <c r="AD2056" s="187"/>
      <c r="AE2056" s="187"/>
      <c r="AF2056" s="187"/>
      <c r="AG2056" s="187"/>
      <c r="AH2056" s="187"/>
      <c r="AI2056" s="187"/>
      <c r="AJ2056" s="187"/>
      <c r="AK2056" s="187"/>
      <c r="AL2056" s="187"/>
    </row>
    <row r="2057" spans="2:38" ht="12.75" customHeight="1">
      <c r="B2057" s="485"/>
      <c r="C2057" s="20"/>
      <c r="D2057" s="12"/>
      <c r="E2057" s="12"/>
      <c r="F2057" s="12"/>
      <c r="G2057" s="12"/>
      <c r="H2057" s="20"/>
      <c r="I2057" s="187"/>
      <c r="J2057" s="187"/>
      <c r="K2057" s="187"/>
      <c r="L2057" s="187"/>
      <c r="M2057" s="187"/>
      <c r="N2057" s="187"/>
      <c r="O2057" s="187"/>
      <c r="P2057" s="187"/>
      <c r="Q2057" s="187"/>
      <c r="R2057" s="187"/>
      <c r="S2057" s="187"/>
      <c r="T2057" s="187"/>
      <c r="U2057" s="187"/>
      <c r="V2057" s="187"/>
      <c r="W2057" s="187"/>
      <c r="X2057" s="187"/>
      <c r="Y2057" s="187"/>
      <c r="Z2057" s="187"/>
      <c r="AA2057" s="187"/>
      <c r="AB2057" s="187"/>
      <c r="AC2057" s="187"/>
      <c r="AD2057" s="187"/>
      <c r="AE2057" s="187"/>
      <c r="AF2057" s="187"/>
      <c r="AG2057" s="187"/>
      <c r="AH2057" s="187"/>
      <c r="AI2057" s="187"/>
      <c r="AJ2057" s="187"/>
      <c r="AK2057" s="187"/>
      <c r="AL2057" s="187"/>
    </row>
    <row r="2058" spans="2:38" ht="12.75" customHeight="1">
      <c r="B2058" s="485"/>
      <c r="C2058" s="20"/>
      <c r="D2058" s="12"/>
      <c r="E2058" s="12"/>
      <c r="F2058" s="12"/>
      <c r="G2058" s="12"/>
      <c r="H2058" s="20"/>
      <c r="I2058" s="187"/>
      <c r="J2058" s="187"/>
      <c r="K2058" s="187"/>
      <c r="L2058" s="187"/>
      <c r="M2058" s="187"/>
      <c r="N2058" s="187"/>
      <c r="O2058" s="187"/>
      <c r="P2058" s="187"/>
      <c r="Q2058" s="187"/>
      <c r="R2058" s="187"/>
      <c r="S2058" s="187"/>
      <c r="T2058" s="187"/>
      <c r="U2058" s="187"/>
      <c r="V2058" s="187"/>
      <c r="W2058" s="187"/>
      <c r="X2058" s="187"/>
      <c r="Y2058" s="187"/>
      <c r="Z2058" s="187"/>
      <c r="AA2058" s="187"/>
      <c r="AB2058" s="187"/>
      <c r="AC2058" s="187"/>
      <c r="AD2058" s="187"/>
      <c r="AE2058" s="187"/>
      <c r="AF2058" s="187"/>
      <c r="AG2058" s="187"/>
      <c r="AH2058" s="187"/>
      <c r="AI2058" s="187"/>
      <c r="AJ2058" s="187"/>
      <c r="AK2058" s="187"/>
      <c r="AL2058" s="187"/>
    </row>
    <row r="2059" spans="2:38" ht="12.75" customHeight="1">
      <c r="B2059" s="485"/>
      <c r="C2059" s="20"/>
      <c r="D2059" s="12"/>
      <c r="E2059" s="12"/>
      <c r="F2059" s="12"/>
      <c r="G2059" s="12"/>
      <c r="H2059" s="20"/>
      <c r="I2059" s="187"/>
      <c r="J2059" s="187"/>
      <c r="K2059" s="187"/>
      <c r="L2059" s="187"/>
      <c r="M2059" s="187"/>
      <c r="N2059" s="187"/>
      <c r="O2059" s="187"/>
      <c r="P2059" s="187"/>
      <c r="Q2059" s="187"/>
      <c r="R2059" s="187"/>
      <c r="S2059" s="187"/>
      <c r="T2059" s="187"/>
      <c r="U2059" s="187"/>
      <c r="V2059" s="187"/>
      <c r="W2059" s="187"/>
      <c r="X2059" s="187"/>
      <c r="Y2059" s="187"/>
      <c r="Z2059" s="187"/>
      <c r="AA2059" s="187"/>
      <c r="AB2059" s="187"/>
      <c r="AC2059" s="187"/>
      <c r="AD2059" s="187"/>
      <c r="AE2059" s="187"/>
      <c r="AF2059" s="187"/>
      <c r="AG2059" s="187"/>
      <c r="AH2059" s="187"/>
      <c r="AI2059" s="187"/>
      <c r="AJ2059" s="187"/>
      <c r="AK2059" s="187"/>
      <c r="AL2059" s="187"/>
    </row>
    <row r="2060" spans="2:38" ht="12.75" customHeight="1">
      <c r="B2060" s="485"/>
      <c r="C2060" s="20"/>
      <c r="D2060" s="12"/>
      <c r="E2060" s="12"/>
      <c r="F2060" s="12"/>
      <c r="G2060" s="12"/>
      <c r="H2060" s="20"/>
      <c r="I2060" s="187"/>
      <c r="J2060" s="187"/>
      <c r="K2060" s="187"/>
      <c r="L2060" s="187"/>
      <c r="M2060" s="187"/>
      <c r="N2060" s="187"/>
      <c r="O2060" s="187"/>
      <c r="P2060" s="187"/>
      <c r="Q2060" s="187"/>
      <c r="R2060" s="187"/>
      <c r="S2060" s="187"/>
      <c r="T2060" s="187"/>
      <c r="U2060" s="187"/>
      <c r="V2060" s="187"/>
      <c r="W2060" s="187"/>
      <c r="X2060" s="187"/>
      <c r="Y2060" s="187"/>
      <c r="Z2060" s="187"/>
      <c r="AA2060" s="187"/>
      <c r="AB2060" s="187"/>
      <c r="AC2060" s="187"/>
      <c r="AD2060" s="187"/>
      <c r="AE2060" s="187"/>
      <c r="AF2060" s="187"/>
      <c r="AG2060" s="187"/>
      <c r="AH2060" s="187"/>
      <c r="AI2060" s="187"/>
      <c r="AJ2060" s="187"/>
      <c r="AK2060" s="187"/>
      <c r="AL2060" s="187"/>
    </row>
    <row r="2061" spans="2:38" ht="12.75" customHeight="1">
      <c r="B2061" s="485"/>
      <c r="C2061" s="20"/>
      <c r="D2061" s="12"/>
      <c r="E2061" s="12"/>
      <c r="F2061" s="12"/>
      <c r="G2061" s="12"/>
      <c r="H2061" s="20"/>
      <c r="I2061" s="187"/>
      <c r="J2061" s="187"/>
      <c r="K2061" s="187"/>
      <c r="L2061" s="187"/>
      <c r="M2061" s="187"/>
      <c r="N2061" s="187"/>
      <c r="O2061" s="187"/>
      <c r="P2061" s="187"/>
      <c r="Q2061" s="187"/>
      <c r="R2061" s="187"/>
      <c r="S2061" s="187"/>
      <c r="T2061" s="187"/>
      <c r="U2061" s="187"/>
      <c r="V2061" s="187"/>
      <c r="W2061" s="187"/>
      <c r="X2061" s="187"/>
      <c r="Y2061" s="187"/>
      <c r="Z2061" s="187"/>
      <c r="AA2061" s="187"/>
      <c r="AB2061" s="187"/>
      <c r="AC2061" s="187"/>
      <c r="AD2061" s="187"/>
      <c r="AE2061" s="187"/>
      <c r="AF2061" s="187"/>
      <c r="AG2061" s="187"/>
      <c r="AH2061" s="187"/>
      <c r="AI2061" s="187"/>
      <c r="AJ2061" s="187"/>
      <c r="AK2061" s="187"/>
      <c r="AL2061" s="187"/>
    </row>
    <row r="2062" spans="2:38" ht="12.75" customHeight="1">
      <c r="B2062" s="485"/>
      <c r="C2062" s="20"/>
      <c r="D2062" s="12"/>
      <c r="E2062" s="12"/>
      <c r="F2062" s="12"/>
      <c r="G2062" s="12"/>
      <c r="H2062" s="20"/>
      <c r="I2062" s="187"/>
      <c r="J2062" s="187"/>
      <c r="K2062" s="187"/>
      <c r="L2062" s="187"/>
      <c r="M2062" s="187"/>
      <c r="N2062" s="187"/>
      <c r="O2062" s="187"/>
      <c r="P2062" s="187"/>
      <c r="Q2062" s="187"/>
      <c r="R2062" s="187"/>
      <c r="S2062" s="187"/>
      <c r="T2062" s="187"/>
      <c r="U2062" s="187"/>
      <c r="V2062" s="187"/>
      <c r="W2062" s="187"/>
      <c r="X2062" s="187"/>
      <c r="Y2062" s="187"/>
      <c r="Z2062" s="187"/>
      <c r="AA2062" s="187"/>
      <c r="AB2062" s="187"/>
      <c r="AC2062" s="187"/>
      <c r="AD2062" s="187"/>
      <c r="AE2062" s="187"/>
      <c r="AF2062" s="187"/>
      <c r="AG2062" s="187"/>
      <c r="AH2062" s="187"/>
      <c r="AI2062" s="187"/>
      <c r="AJ2062" s="187"/>
      <c r="AK2062" s="187"/>
      <c r="AL2062" s="187"/>
    </row>
    <row r="2063" spans="2:38" ht="12.75" customHeight="1">
      <c r="B2063" s="485"/>
      <c r="C2063" s="20"/>
      <c r="D2063" s="12"/>
      <c r="E2063" s="12"/>
      <c r="F2063" s="12"/>
      <c r="G2063" s="12"/>
      <c r="H2063" s="20"/>
      <c r="I2063" s="187"/>
      <c r="J2063" s="187"/>
      <c r="K2063" s="187"/>
      <c r="L2063" s="187"/>
      <c r="M2063" s="187"/>
      <c r="N2063" s="187"/>
      <c r="O2063" s="187"/>
      <c r="P2063" s="187"/>
      <c r="Q2063" s="187"/>
      <c r="R2063" s="187"/>
      <c r="S2063" s="187"/>
      <c r="T2063" s="187"/>
      <c r="U2063" s="187"/>
      <c r="V2063" s="187"/>
      <c r="W2063" s="187"/>
      <c r="X2063" s="187"/>
      <c r="Y2063" s="187"/>
      <c r="Z2063" s="187"/>
      <c r="AA2063" s="187"/>
      <c r="AB2063" s="187"/>
      <c r="AC2063" s="187"/>
      <c r="AD2063" s="187"/>
      <c r="AE2063" s="187"/>
      <c r="AF2063" s="187"/>
      <c r="AG2063" s="187"/>
      <c r="AH2063" s="187"/>
      <c r="AI2063" s="187"/>
      <c r="AJ2063" s="187"/>
      <c r="AK2063" s="187"/>
      <c r="AL2063" s="187"/>
    </row>
    <row r="2064" spans="2:38" ht="12.75" customHeight="1">
      <c r="B2064" s="485"/>
      <c r="C2064" s="20"/>
      <c r="D2064" s="12"/>
      <c r="E2064" s="12"/>
      <c r="F2064" s="12"/>
      <c r="G2064" s="12"/>
      <c r="H2064" s="20"/>
      <c r="I2064" s="187"/>
      <c r="J2064" s="187"/>
      <c r="K2064" s="187"/>
      <c r="L2064" s="187"/>
      <c r="M2064" s="187"/>
      <c r="N2064" s="187"/>
      <c r="O2064" s="187"/>
      <c r="P2064" s="187"/>
      <c r="Q2064" s="187"/>
      <c r="R2064" s="187"/>
      <c r="S2064" s="187"/>
      <c r="T2064" s="187"/>
      <c r="U2064" s="187"/>
      <c r="V2064" s="187"/>
      <c r="W2064" s="187"/>
      <c r="X2064" s="187"/>
      <c r="Y2064" s="187"/>
      <c r="Z2064" s="187"/>
      <c r="AA2064" s="187"/>
      <c r="AB2064" s="187"/>
      <c r="AC2064" s="187"/>
      <c r="AD2064" s="187"/>
      <c r="AE2064" s="187"/>
      <c r="AF2064" s="187"/>
      <c r="AG2064" s="187"/>
      <c r="AH2064" s="187"/>
      <c r="AI2064" s="187"/>
      <c r="AJ2064" s="187"/>
      <c r="AK2064" s="187"/>
      <c r="AL2064" s="187"/>
    </row>
    <row r="2065" spans="2:38" ht="12.75" customHeight="1">
      <c r="B2065" s="485"/>
      <c r="C2065" s="20"/>
      <c r="D2065" s="12"/>
      <c r="E2065" s="12"/>
      <c r="F2065" s="12"/>
      <c r="G2065" s="12"/>
      <c r="H2065" s="20"/>
      <c r="I2065" s="187"/>
      <c r="J2065" s="187"/>
      <c r="K2065" s="187"/>
      <c r="L2065" s="187"/>
      <c r="M2065" s="187"/>
      <c r="N2065" s="187"/>
      <c r="O2065" s="187"/>
      <c r="P2065" s="187"/>
      <c r="Q2065" s="187"/>
      <c r="R2065" s="187"/>
      <c r="S2065" s="187"/>
      <c r="T2065" s="187"/>
      <c r="U2065" s="187"/>
      <c r="V2065" s="187"/>
      <c r="W2065" s="187"/>
      <c r="X2065" s="187"/>
      <c r="Y2065" s="187"/>
      <c r="Z2065" s="187"/>
      <c r="AA2065" s="187"/>
      <c r="AB2065" s="187"/>
      <c r="AC2065" s="187"/>
      <c r="AD2065" s="187"/>
      <c r="AE2065" s="187"/>
      <c r="AF2065" s="187"/>
      <c r="AG2065" s="187"/>
      <c r="AH2065" s="187"/>
      <c r="AI2065" s="187"/>
      <c r="AJ2065" s="187"/>
      <c r="AK2065" s="187"/>
      <c r="AL2065" s="187"/>
    </row>
    <row r="2066" spans="2:38" ht="12.75" customHeight="1">
      <c r="B2066" s="485"/>
      <c r="C2066" s="20"/>
      <c r="D2066" s="12"/>
      <c r="E2066" s="12"/>
      <c r="F2066" s="12"/>
      <c r="G2066" s="12"/>
      <c r="H2066" s="20"/>
      <c r="I2066" s="187"/>
      <c r="J2066" s="187"/>
      <c r="K2066" s="187"/>
      <c r="L2066" s="187"/>
      <c r="M2066" s="187"/>
      <c r="N2066" s="187"/>
      <c r="O2066" s="187"/>
      <c r="P2066" s="187"/>
      <c r="Q2066" s="187"/>
      <c r="R2066" s="187"/>
      <c r="S2066" s="187"/>
      <c r="T2066" s="187"/>
      <c r="U2066" s="187"/>
      <c r="V2066" s="187"/>
      <c r="W2066" s="187"/>
      <c r="X2066" s="187"/>
      <c r="Y2066" s="187"/>
      <c r="Z2066" s="187"/>
      <c r="AA2066" s="187"/>
      <c r="AB2066" s="187"/>
      <c r="AC2066" s="187"/>
      <c r="AD2066" s="187"/>
      <c r="AE2066" s="187"/>
      <c r="AF2066" s="187"/>
      <c r="AG2066" s="187"/>
      <c r="AH2066" s="187"/>
      <c r="AI2066" s="187"/>
      <c r="AJ2066" s="187"/>
      <c r="AK2066" s="187"/>
      <c r="AL2066" s="187"/>
    </row>
    <row r="2067" spans="2:38" ht="12.75" customHeight="1">
      <c r="B2067" s="485"/>
      <c r="C2067" s="20"/>
      <c r="D2067" s="12"/>
      <c r="E2067" s="12"/>
      <c r="F2067" s="12"/>
      <c r="G2067" s="12"/>
      <c r="H2067" s="20"/>
      <c r="I2067" s="187"/>
      <c r="J2067" s="187"/>
      <c r="K2067" s="187"/>
      <c r="L2067" s="187"/>
      <c r="M2067" s="187"/>
      <c r="N2067" s="187"/>
      <c r="O2067" s="187"/>
      <c r="P2067" s="187"/>
      <c r="Q2067" s="187"/>
      <c r="R2067" s="187"/>
      <c r="S2067" s="187"/>
      <c r="T2067" s="187"/>
      <c r="U2067" s="187"/>
      <c r="V2067" s="187"/>
      <c r="W2067" s="187"/>
      <c r="X2067" s="187"/>
      <c r="Y2067" s="187"/>
      <c r="Z2067" s="187"/>
      <c r="AA2067" s="187"/>
      <c r="AB2067" s="187"/>
      <c r="AC2067" s="187"/>
      <c r="AD2067" s="187"/>
      <c r="AE2067" s="187"/>
      <c r="AF2067" s="187"/>
      <c r="AG2067" s="187"/>
      <c r="AH2067" s="187"/>
      <c r="AI2067" s="187"/>
      <c r="AJ2067" s="187"/>
      <c r="AK2067" s="187"/>
      <c r="AL2067" s="187"/>
    </row>
    <row r="2068" spans="2:38" ht="12.75" customHeight="1">
      <c r="B2068" s="485"/>
      <c r="C2068" s="20"/>
      <c r="D2068" s="12"/>
      <c r="E2068" s="12"/>
      <c r="F2068" s="12"/>
      <c r="G2068" s="12"/>
      <c r="H2068" s="20"/>
      <c r="I2068" s="187"/>
      <c r="J2068" s="187"/>
      <c r="K2068" s="187"/>
      <c r="L2068" s="187"/>
      <c r="M2068" s="187"/>
      <c r="N2068" s="187"/>
      <c r="O2068" s="187"/>
      <c r="P2068" s="187"/>
      <c r="Q2068" s="187"/>
      <c r="R2068" s="187"/>
      <c r="S2068" s="187"/>
      <c r="T2068" s="187"/>
      <c r="U2068" s="187"/>
      <c r="V2068" s="187"/>
      <c r="W2068" s="187"/>
      <c r="X2068" s="187"/>
      <c r="Y2068" s="187"/>
      <c r="Z2068" s="187"/>
      <c r="AA2068" s="187"/>
      <c r="AB2068" s="187"/>
      <c r="AC2068" s="187"/>
      <c r="AD2068" s="187"/>
      <c r="AE2068" s="187"/>
      <c r="AF2068" s="187"/>
      <c r="AG2068" s="187"/>
      <c r="AH2068" s="187"/>
      <c r="AI2068" s="187"/>
      <c r="AJ2068" s="187"/>
      <c r="AK2068" s="187"/>
      <c r="AL2068" s="187"/>
    </row>
    <row r="2069" spans="2:38" ht="12.75" customHeight="1">
      <c r="B2069" s="485"/>
      <c r="C2069" s="20"/>
      <c r="D2069" s="12"/>
      <c r="E2069" s="12"/>
      <c r="F2069" s="12"/>
      <c r="G2069" s="12"/>
      <c r="H2069" s="20"/>
      <c r="I2069" s="187"/>
      <c r="J2069" s="187"/>
      <c r="K2069" s="187"/>
      <c r="L2069" s="187"/>
      <c r="M2069" s="187"/>
      <c r="N2069" s="187"/>
      <c r="O2069" s="187"/>
      <c r="P2069" s="187"/>
      <c r="Q2069" s="187"/>
      <c r="R2069" s="187"/>
      <c r="S2069" s="187"/>
      <c r="T2069" s="187"/>
      <c r="U2069" s="187"/>
      <c r="V2069" s="187"/>
      <c r="W2069" s="187"/>
      <c r="X2069" s="187"/>
      <c r="Y2069" s="187"/>
      <c r="Z2069" s="187"/>
      <c r="AA2069" s="187"/>
      <c r="AB2069" s="187"/>
      <c r="AC2069" s="187"/>
      <c r="AD2069" s="187"/>
      <c r="AE2069" s="187"/>
      <c r="AF2069" s="187"/>
      <c r="AG2069" s="187"/>
      <c r="AH2069" s="187"/>
      <c r="AI2069" s="187"/>
      <c r="AJ2069" s="187"/>
      <c r="AK2069" s="187"/>
      <c r="AL2069" s="187"/>
    </row>
    <row r="2070" spans="2:38" ht="12.75" customHeight="1">
      <c r="B2070" s="485"/>
      <c r="C2070" s="20"/>
      <c r="D2070" s="12"/>
      <c r="E2070" s="12"/>
      <c r="F2070" s="12"/>
      <c r="G2070" s="12"/>
      <c r="H2070" s="20"/>
      <c r="I2070" s="187"/>
      <c r="J2070" s="187"/>
      <c r="K2070" s="187"/>
      <c r="L2070" s="187"/>
      <c r="M2070" s="187"/>
      <c r="N2070" s="187"/>
      <c r="O2070" s="187"/>
      <c r="P2070" s="187"/>
      <c r="Q2070" s="187"/>
      <c r="R2070" s="187"/>
      <c r="S2070" s="187"/>
      <c r="T2070" s="187"/>
      <c r="U2070" s="187"/>
      <c r="V2070" s="187"/>
      <c r="W2070" s="187"/>
      <c r="X2070" s="187"/>
      <c r="Y2070" s="187"/>
      <c r="Z2070" s="187"/>
      <c r="AA2070" s="187"/>
      <c r="AB2070" s="187"/>
      <c r="AC2070" s="187"/>
      <c r="AD2070" s="187"/>
      <c r="AE2070" s="187"/>
      <c r="AF2070" s="187"/>
      <c r="AG2070" s="187"/>
      <c r="AH2070" s="187"/>
      <c r="AI2070" s="187"/>
      <c r="AJ2070" s="187"/>
      <c r="AK2070" s="187"/>
      <c r="AL2070" s="187"/>
    </row>
    <row r="2071" spans="2:38" ht="12.75" customHeight="1">
      <c r="B2071" s="485"/>
      <c r="C2071" s="20"/>
      <c r="D2071" s="12"/>
      <c r="E2071" s="12"/>
      <c r="F2071" s="12"/>
      <c r="G2071" s="12"/>
      <c r="H2071" s="20"/>
      <c r="I2071" s="187"/>
      <c r="J2071" s="187"/>
      <c r="K2071" s="187"/>
      <c r="L2071" s="187"/>
      <c r="M2071" s="187"/>
      <c r="N2071" s="187"/>
      <c r="O2071" s="187"/>
      <c r="P2071" s="187"/>
      <c r="Q2071" s="187"/>
      <c r="R2071" s="187"/>
      <c r="S2071" s="187"/>
      <c r="T2071" s="187"/>
      <c r="U2071" s="187"/>
      <c r="V2071" s="187"/>
      <c r="W2071" s="187"/>
      <c r="X2071" s="187"/>
      <c r="Y2071" s="187"/>
      <c r="Z2071" s="187"/>
      <c r="AA2071" s="187"/>
      <c r="AB2071" s="187"/>
      <c r="AC2071" s="187"/>
      <c r="AD2071" s="187"/>
      <c r="AE2071" s="187"/>
      <c r="AF2071" s="187"/>
      <c r="AG2071" s="187"/>
      <c r="AH2071" s="187"/>
      <c r="AI2071" s="187"/>
      <c r="AJ2071" s="187"/>
      <c r="AK2071" s="187"/>
      <c r="AL2071" s="187"/>
    </row>
    <row r="2072" spans="2:38" ht="12.75" customHeight="1">
      <c r="B2072" s="485"/>
      <c r="C2072" s="20"/>
      <c r="D2072" s="12"/>
      <c r="E2072" s="12"/>
      <c r="F2072" s="12"/>
      <c r="G2072" s="12"/>
      <c r="H2072" s="20"/>
      <c r="I2072" s="187"/>
      <c r="J2072" s="187"/>
      <c r="K2072" s="187"/>
      <c r="L2072" s="187"/>
      <c r="M2072" s="187"/>
      <c r="N2072" s="187"/>
      <c r="O2072" s="187"/>
      <c r="P2072" s="187"/>
      <c r="Q2072" s="187"/>
      <c r="R2072" s="187"/>
      <c r="S2072" s="187"/>
      <c r="T2072" s="187"/>
      <c r="U2072" s="187"/>
      <c r="V2072" s="187"/>
      <c r="W2072" s="187"/>
      <c r="X2072" s="187"/>
      <c r="Y2072" s="187"/>
      <c r="Z2072" s="187"/>
      <c r="AA2072" s="187"/>
      <c r="AB2072" s="187"/>
      <c r="AC2072" s="187"/>
      <c r="AD2072" s="187"/>
      <c r="AE2072" s="187"/>
      <c r="AF2072" s="187"/>
      <c r="AG2072" s="187"/>
      <c r="AH2072" s="187"/>
      <c r="AI2072" s="187"/>
      <c r="AJ2072" s="187"/>
      <c r="AK2072" s="187"/>
      <c r="AL2072" s="187"/>
    </row>
    <row r="2073" spans="2:38" ht="12.75" customHeight="1">
      <c r="B2073" s="485"/>
      <c r="C2073" s="20"/>
      <c r="D2073" s="12"/>
      <c r="E2073" s="12"/>
      <c r="F2073" s="12"/>
      <c r="G2073" s="12"/>
      <c r="H2073" s="20"/>
      <c r="I2073" s="187"/>
      <c r="J2073" s="187"/>
      <c r="K2073" s="187"/>
      <c r="L2073" s="187"/>
      <c r="M2073" s="187"/>
      <c r="N2073" s="187"/>
      <c r="O2073" s="187"/>
      <c r="P2073" s="187"/>
      <c r="Q2073" s="187"/>
      <c r="R2073" s="187"/>
      <c r="S2073" s="187"/>
      <c r="T2073" s="187"/>
      <c r="U2073" s="187"/>
      <c r="V2073" s="187"/>
      <c r="W2073" s="187"/>
      <c r="X2073" s="187"/>
      <c r="Y2073" s="187"/>
      <c r="Z2073" s="187"/>
      <c r="AA2073" s="187"/>
      <c r="AB2073" s="187"/>
      <c r="AC2073" s="187"/>
      <c r="AD2073" s="187"/>
      <c r="AE2073" s="187"/>
      <c r="AF2073" s="187"/>
      <c r="AG2073" s="187"/>
      <c r="AH2073" s="187"/>
      <c r="AI2073" s="187"/>
      <c r="AJ2073" s="187"/>
      <c r="AK2073" s="187"/>
      <c r="AL2073" s="187"/>
    </row>
    <row r="2074" spans="2:38" ht="12.75" customHeight="1">
      <c r="B2074" s="485"/>
      <c r="C2074" s="20"/>
      <c r="D2074" s="12"/>
      <c r="E2074" s="12"/>
      <c r="F2074" s="12"/>
      <c r="G2074" s="12"/>
      <c r="H2074" s="20"/>
      <c r="I2074" s="187"/>
      <c r="J2074" s="187"/>
      <c r="K2074" s="187"/>
      <c r="L2074" s="187"/>
      <c r="M2074" s="187"/>
      <c r="N2074" s="187"/>
      <c r="O2074" s="187"/>
      <c r="P2074" s="187"/>
      <c r="Q2074" s="187"/>
      <c r="R2074" s="187"/>
      <c r="S2074" s="187"/>
      <c r="T2074" s="187"/>
      <c r="U2074" s="187"/>
      <c r="V2074" s="187"/>
      <c r="W2074" s="187"/>
      <c r="X2074" s="187"/>
      <c r="Y2074" s="187"/>
      <c r="Z2074" s="187"/>
      <c r="AA2074" s="187"/>
      <c r="AB2074" s="187"/>
      <c r="AC2074" s="187"/>
      <c r="AD2074" s="187"/>
      <c r="AE2074" s="187"/>
      <c r="AF2074" s="187"/>
      <c r="AG2074" s="187"/>
      <c r="AH2074" s="187"/>
      <c r="AI2074" s="187"/>
      <c r="AJ2074" s="187"/>
      <c r="AK2074" s="187"/>
      <c r="AL2074" s="187"/>
    </row>
    <row r="2075" spans="2:38" ht="12.75" customHeight="1">
      <c r="B2075" s="485"/>
      <c r="C2075" s="20"/>
      <c r="D2075" s="12"/>
      <c r="E2075" s="12"/>
      <c r="F2075" s="12"/>
      <c r="G2075" s="12"/>
      <c r="H2075" s="20"/>
      <c r="I2075" s="187"/>
      <c r="J2075" s="187"/>
      <c r="K2075" s="187"/>
      <c r="L2075" s="187"/>
      <c r="M2075" s="187"/>
      <c r="N2075" s="187"/>
      <c r="O2075" s="187"/>
      <c r="P2075" s="187"/>
      <c r="Q2075" s="187"/>
      <c r="R2075" s="187"/>
      <c r="S2075" s="187"/>
      <c r="T2075" s="187"/>
      <c r="U2075" s="187"/>
      <c r="V2075" s="187"/>
      <c r="W2075" s="187"/>
      <c r="X2075" s="187"/>
      <c r="Y2075" s="187"/>
      <c r="Z2075" s="187"/>
      <c r="AA2075" s="187"/>
      <c r="AB2075" s="187"/>
      <c r="AC2075" s="187"/>
      <c r="AD2075" s="187"/>
      <c r="AE2075" s="187"/>
      <c r="AF2075" s="187"/>
      <c r="AG2075" s="187"/>
      <c r="AH2075" s="187"/>
      <c r="AI2075" s="187"/>
      <c r="AJ2075" s="187"/>
      <c r="AK2075" s="187"/>
      <c r="AL2075" s="187"/>
    </row>
    <row r="2076" spans="2:38" ht="12.75" customHeight="1">
      <c r="B2076" s="485"/>
      <c r="C2076" s="20"/>
      <c r="D2076" s="12"/>
      <c r="E2076" s="12"/>
      <c r="F2076" s="12"/>
      <c r="G2076" s="12"/>
      <c r="H2076" s="20"/>
      <c r="I2076" s="187"/>
      <c r="J2076" s="187"/>
      <c r="K2076" s="187"/>
      <c r="L2076" s="187"/>
      <c r="M2076" s="187"/>
      <c r="N2076" s="187"/>
      <c r="O2076" s="187"/>
      <c r="P2076" s="187"/>
      <c r="Q2076" s="187"/>
      <c r="R2076" s="187"/>
      <c r="S2076" s="187"/>
      <c r="T2076" s="187"/>
      <c r="U2076" s="187"/>
      <c r="V2076" s="187"/>
      <c r="W2076" s="187"/>
      <c r="X2076" s="187"/>
      <c r="Y2076" s="187"/>
      <c r="Z2076" s="187"/>
      <c r="AA2076" s="187"/>
      <c r="AB2076" s="187"/>
      <c r="AC2076" s="187"/>
      <c r="AD2076" s="187"/>
      <c r="AE2076" s="187"/>
      <c r="AF2076" s="187"/>
      <c r="AG2076" s="187"/>
      <c r="AH2076" s="187"/>
      <c r="AI2076" s="187"/>
      <c r="AJ2076" s="187"/>
      <c r="AK2076" s="187"/>
      <c r="AL2076" s="187"/>
    </row>
    <row r="2077" spans="2:38" ht="12.75" customHeight="1">
      <c r="B2077" s="485"/>
      <c r="C2077" s="20"/>
      <c r="D2077" s="12"/>
      <c r="E2077" s="12"/>
      <c r="F2077" s="12"/>
      <c r="G2077" s="12"/>
      <c r="H2077" s="20"/>
      <c r="I2077" s="187"/>
      <c r="J2077" s="187"/>
      <c r="K2077" s="187"/>
      <c r="L2077" s="187"/>
      <c r="M2077" s="187"/>
      <c r="N2077" s="187"/>
      <c r="O2077" s="187"/>
      <c r="P2077" s="187"/>
      <c r="Q2077" s="187"/>
      <c r="R2077" s="187"/>
      <c r="S2077" s="187"/>
      <c r="T2077" s="187"/>
      <c r="U2077" s="187"/>
      <c r="V2077" s="187"/>
      <c r="W2077" s="187"/>
      <c r="X2077" s="187"/>
      <c r="Y2077" s="187"/>
      <c r="Z2077" s="187"/>
      <c r="AA2077" s="187"/>
      <c r="AB2077" s="187"/>
      <c r="AC2077" s="187"/>
      <c r="AD2077" s="187"/>
      <c r="AE2077" s="187"/>
      <c r="AF2077" s="187"/>
      <c r="AG2077" s="187"/>
      <c r="AH2077" s="187"/>
      <c r="AI2077" s="187"/>
      <c r="AJ2077" s="187"/>
      <c r="AK2077" s="187"/>
      <c r="AL2077" s="187"/>
    </row>
    <row r="2078" spans="2:38" ht="12.75" customHeight="1">
      <c r="B2078" s="485"/>
      <c r="C2078" s="20"/>
      <c r="D2078" s="12"/>
      <c r="E2078" s="12"/>
      <c r="F2078" s="12"/>
      <c r="G2078" s="12"/>
      <c r="H2078" s="20"/>
      <c r="I2078" s="187"/>
      <c r="J2078" s="187"/>
      <c r="K2078" s="187"/>
      <c r="L2078" s="187"/>
      <c r="M2078" s="187"/>
      <c r="N2078" s="187"/>
      <c r="O2078" s="187"/>
      <c r="P2078" s="187"/>
      <c r="Q2078" s="187"/>
      <c r="R2078" s="187"/>
      <c r="S2078" s="187"/>
      <c r="T2078" s="187"/>
      <c r="U2078" s="187"/>
      <c r="V2078" s="187"/>
      <c r="W2078" s="187"/>
      <c r="X2078" s="187"/>
      <c r="Y2078" s="187"/>
      <c r="Z2078" s="187"/>
      <c r="AA2078" s="187"/>
      <c r="AB2078" s="187"/>
      <c r="AC2078" s="187"/>
      <c r="AD2078" s="187"/>
      <c r="AE2078" s="187"/>
      <c r="AF2078" s="187"/>
      <c r="AG2078" s="187"/>
      <c r="AH2078" s="187"/>
      <c r="AI2078" s="187"/>
      <c r="AJ2078" s="187"/>
      <c r="AK2078" s="187"/>
      <c r="AL2078" s="187"/>
    </row>
    <row r="2079" spans="2:38" ht="12.75" customHeight="1">
      <c r="B2079" s="485"/>
      <c r="C2079" s="20"/>
      <c r="D2079" s="12"/>
      <c r="E2079" s="12"/>
      <c r="F2079" s="12"/>
      <c r="G2079" s="12"/>
      <c r="H2079" s="20"/>
      <c r="I2079" s="187"/>
      <c r="J2079" s="187"/>
      <c r="K2079" s="187"/>
      <c r="L2079" s="187"/>
      <c r="M2079" s="187"/>
      <c r="N2079" s="187"/>
      <c r="O2079" s="187"/>
      <c r="P2079" s="187"/>
      <c r="Q2079" s="187"/>
      <c r="R2079" s="187"/>
      <c r="S2079" s="187"/>
      <c r="T2079" s="187"/>
      <c r="U2079" s="187"/>
      <c r="V2079" s="187"/>
      <c r="W2079" s="187"/>
      <c r="X2079" s="187"/>
      <c r="Y2079" s="187"/>
      <c r="Z2079" s="187"/>
      <c r="AA2079" s="187"/>
      <c r="AB2079" s="187"/>
      <c r="AC2079" s="187"/>
      <c r="AD2079" s="187"/>
      <c r="AE2079" s="187"/>
      <c r="AF2079" s="187"/>
      <c r="AG2079" s="187"/>
      <c r="AH2079" s="187"/>
      <c r="AI2079" s="187"/>
      <c r="AJ2079" s="187"/>
      <c r="AK2079" s="187"/>
      <c r="AL2079" s="187"/>
    </row>
    <row r="2080" spans="2:38" ht="12.75" customHeight="1">
      <c r="B2080" s="485"/>
      <c r="C2080" s="20"/>
      <c r="D2080" s="12"/>
      <c r="E2080" s="12"/>
      <c r="F2080" s="12"/>
      <c r="G2080" s="12"/>
      <c r="H2080" s="20"/>
      <c r="I2080" s="187"/>
      <c r="J2080" s="187"/>
      <c r="K2080" s="187"/>
      <c r="L2080" s="187"/>
      <c r="M2080" s="187"/>
      <c r="N2080" s="187"/>
      <c r="O2080" s="187"/>
      <c r="P2080" s="187"/>
      <c r="Q2080" s="187"/>
      <c r="R2080" s="187"/>
      <c r="S2080" s="187"/>
      <c r="T2080" s="187"/>
      <c r="U2080" s="187"/>
      <c r="V2080" s="187"/>
      <c r="W2080" s="187"/>
      <c r="X2080" s="187"/>
      <c r="Y2080" s="187"/>
      <c r="Z2080" s="187"/>
      <c r="AA2080" s="187"/>
      <c r="AB2080" s="187"/>
      <c r="AC2080" s="187"/>
      <c r="AD2080" s="187"/>
      <c r="AE2080" s="187"/>
      <c r="AF2080" s="187"/>
      <c r="AG2080" s="187"/>
      <c r="AH2080" s="187"/>
      <c r="AI2080" s="187"/>
      <c r="AJ2080" s="187"/>
      <c r="AK2080" s="187"/>
      <c r="AL2080" s="187"/>
    </row>
    <row r="2081" spans="2:38" ht="12.75" customHeight="1">
      <c r="B2081" s="485"/>
      <c r="C2081" s="20"/>
      <c r="D2081" s="12"/>
      <c r="E2081" s="12"/>
      <c r="F2081" s="12"/>
      <c r="G2081" s="12"/>
      <c r="H2081" s="20"/>
      <c r="I2081" s="187"/>
      <c r="J2081" s="187"/>
      <c r="K2081" s="187"/>
      <c r="L2081" s="187"/>
      <c r="M2081" s="187"/>
      <c r="N2081" s="187"/>
      <c r="O2081" s="187"/>
      <c r="P2081" s="187"/>
      <c r="Q2081" s="187"/>
      <c r="R2081" s="187"/>
      <c r="S2081" s="187"/>
      <c r="T2081" s="187"/>
      <c r="U2081" s="187"/>
      <c r="V2081" s="187"/>
      <c r="W2081" s="187"/>
      <c r="X2081" s="187"/>
      <c r="Y2081" s="187"/>
      <c r="Z2081" s="187"/>
      <c r="AA2081" s="187"/>
      <c r="AB2081" s="187"/>
      <c r="AC2081" s="187"/>
      <c r="AD2081" s="187"/>
      <c r="AE2081" s="187"/>
      <c r="AF2081" s="187"/>
      <c r="AG2081" s="187"/>
      <c r="AH2081" s="187"/>
      <c r="AI2081" s="187"/>
      <c r="AJ2081" s="187"/>
      <c r="AK2081" s="187"/>
      <c r="AL2081" s="187"/>
    </row>
    <row r="2082" spans="2:38" ht="12.75" customHeight="1">
      <c r="B2082" s="485"/>
      <c r="C2082" s="20"/>
      <c r="D2082" s="12"/>
      <c r="E2082" s="12"/>
      <c r="F2082" s="12"/>
      <c r="G2082" s="12"/>
      <c r="H2082" s="20"/>
      <c r="I2082" s="187"/>
      <c r="J2082" s="187"/>
      <c r="K2082" s="187"/>
      <c r="L2082" s="187"/>
      <c r="M2082" s="187"/>
      <c r="N2082" s="187"/>
      <c r="O2082" s="187"/>
      <c r="P2082" s="187"/>
      <c r="Q2082" s="187"/>
      <c r="R2082" s="187"/>
      <c r="S2082" s="187"/>
      <c r="T2082" s="187"/>
      <c r="U2082" s="187"/>
      <c r="V2082" s="187"/>
      <c r="W2082" s="187"/>
      <c r="X2082" s="187"/>
      <c r="Y2082" s="187"/>
      <c r="Z2082" s="187"/>
      <c r="AA2082" s="187"/>
      <c r="AB2082" s="187"/>
      <c r="AC2082" s="187"/>
      <c r="AD2082" s="187"/>
      <c r="AE2082" s="187"/>
      <c r="AF2082" s="187"/>
      <c r="AG2082" s="187"/>
      <c r="AH2082" s="187"/>
      <c r="AI2082" s="187"/>
      <c r="AJ2082" s="187"/>
      <c r="AK2082" s="187"/>
      <c r="AL2082" s="187"/>
    </row>
    <row r="2083" spans="2:38" ht="12.75" customHeight="1">
      <c r="B2083" s="485"/>
      <c r="C2083" s="20"/>
      <c r="D2083" s="12"/>
      <c r="E2083" s="12"/>
      <c r="F2083" s="12"/>
      <c r="G2083" s="12"/>
      <c r="H2083" s="20"/>
      <c r="I2083" s="187"/>
      <c r="J2083" s="187"/>
      <c r="K2083" s="187"/>
      <c r="L2083" s="187"/>
      <c r="M2083" s="187"/>
      <c r="N2083" s="187"/>
      <c r="O2083" s="187"/>
      <c r="P2083" s="187"/>
      <c r="Q2083" s="187"/>
      <c r="R2083" s="187"/>
      <c r="S2083" s="187"/>
      <c r="T2083" s="187"/>
      <c r="U2083" s="187"/>
      <c r="V2083" s="187"/>
      <c r="W2083" s="187"/>
      <c r="X2083" s="187"/>
      <c r="Y2083" s="187"/>
      <c r="Z2083" s="187"/>
      <c r="AA2083" s="187"/>
      <c r="AB2083" s="187"/>
      <c r="AC2083" s="187"/>
      <c r="AD2083" s="187"/>
      <c r="AE2083" s="187"/>
      <c r="AF2083" s="187"/>
      <c r="AG2083" s="187"/>
      <c r="AH2083" s="187"/>
      <c r="AI2083" s="187"/>
      <c r="AJ2083" s="187"/>
      <c r="AK2083" s="187"/>
      <c r="AL2083" s="187"/>
    </row>
    <row r="2084" spans="2:38" ht="12.75" customHeight="1">
      <c r="B2084" s="485"/>
      <c r="C2084" s="20"/>
      <c r="D2084" s="12"/>
      <c r="E2084" s="12"/>
      <c r="F2084" s="12"/>
      <c r="G2084" s="12"/>
      <c r="H2084" s="20"/>
      <c r="I2084" s="187"/>
      <c r="J2084" s="187"/>
      <c r="K2084" s="187"/>
      <c r="L2084" s="187"/>
      <c r="M2084" s="187"/>
      <c r="N2084" s="187"/>
      <c r="O2084" s="187"/>
      <c r="P2084" s="187"/>
      <c r="Q2084" s="187"/>
      <c r="R2084" s="187"/>
      <c r="S2084" s="187"/>
      <c r="T2084" s="187"/>
      <c r="U2084" s="187"/>
      <c r="V2084" s="187"/>
      <c r="W2084" s="187"/>
      <c r="X2084" s="187"/>
      <c r="Y2084" s="187"/>
      <c r="Z2084" s="187"/>
      <c r="AA2084" s="187"/>
      <c r="AB2084" s="187"/>
      <c r="AC2084" s="187"/>
      <c r="AD2084" s="187"/>
      <c r="AE2084" s="187"/>
      <c r="AF2084" s="187"/>
      <c r="AG2084" s="187"/>
      <c r="AH2084" s="187"/>
      <c r="AI2084" s="187"/>
      <c r="AJ2084" s="187"/>
      <c r="AK2084" s="187"/>
      <c r="AL2084" s="187"/>
    </row>
    <row r="2085" spans="2:38" ht="12.75" customHeight="1">
      <c r="B2085" s="485"/>
      <c r="C2085" s="20"/>
      <c r="D2085" s="12"/>
      <c r="E2085" s="12"/>
      <c r="F2085" s="12"/>
      <c r="G2085" s="12"/>
      <c r="H2085" s="20"/>
      <c r="I2085" s="187"/>
      <c r="J2085" s="187"/>
      <c r="K2085" s="187"/>
      <c r="L2085" s="187"/>
      <c r="M2085" s="187"/>
      <c r="N2085" s="187"/>
      <c r="O2085" s="187"/>
      <c r="P2085" s="187"/>
      <c r="Q2085" s="187"/>
      <c r="R2085" s="187"/>
      <c r="S2085" s="187"/>
      <c r="T2085" s="187"/>
      <c r="U2085" s="187"/>
      <c r="V2085" s="187"/>
      <c r="W2085" s="187"/>
      <c r="X2085" s="187"/>
      <c r="Y2085" s="187"/>
      <c r="Z2085" s="187"/>
      <c r="AA2085" s="187"/>
      <c r="AB2085" s="187"/>
      <c r="AC2085" s="187"/>
      <c r="AD2085" s="187"/>
      <c r="AE2085" s="187"/>
      <c r="AF2085" s="187"/>
      <c r="AG2085" s="187"/>
      <c r="AH2085" s="187"/>
      <c r="AI2085" s="187"/>
      <c r="AJ2085" s="187"/>
      <c r="AK2085" s="187"/>
      <c r="AL2085" s="187"/>
    </row>
    <row r="2086" spans="2:38" ht="12.75" customHeight="1">
      <c r="B2086" s="485"/>
      <c r="C2086" s="6"/>
      <c r="D2086" s="12"/>
      <c r="E2086" s="12"/>
      <c r="F2086" s="12"/>
      <c r="G2086" s="6"/>
      <c r="H2086" s="6"/>
      <c r="I2086" s="190"/>
      <c r="J2086" s="190"/>
      <c r="K2086" s="190"/>
      <c r="L2086" s="190"/>
      <c r="M2086" s="190"/>
      <c r="N2086" s="190"/>
      <c r="O2086" s="190"/>
      <c r="P2086" s="190"/>
      <c r="Q2086" s="190"/>
      <c r="R2086" s="190"/>
      <c r="S2086" s="190"/>
      <c r="T2086" s="190"/>
      <c r="U2086" s="190"/>
      <c r="V2086" s="190"/>
      <c r="W2086" s="190"/>
      <c r="X2086" s="190"/>
      <c r="Y2086" s="190"/>
      <c r="Z2086" s="190"/>
      <c r="AA2086" s="190"/>
      <c r="AB2086" s="190"/>
      <c r="AC2086" s="190"/>
      <c r="AD2086" s="190"/>
      <c r="AE2086" s="190"/>
      <c r="AF2086" s="190"/>
      <c r="AG2086" s="190"/>
      <c r="AH2086" s="190"/>
      <c r="AI2086" s="190"/>
      <c r="AJ2086" s="190"/>
      <c r="AK2086" s="190"/>
      <c r="AL2086" s="190"/>
    </row>
    <row r="2087" spans="2:38" ht="12.75" customHeight="1">
      <c r="B2087" s="485"/>
      <c r="C2087" s="6"/>
      <c r="D2087" s="12"/>
      <c r="E2087" s="12"/>
      <c r="F2087" s="12"/>
      <c r="G2087" s="12"/>
      <c r="H2087" s="6"/>
      <c r="I2087" s="7"/>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c r="AJ2087" s="6"/>
      <c r="AK2087" s="6"/>
      <c r="AL2087" s="6"/>
    </row>
    <row r="2088" spans="2:38" ht="12.75" customHeight="1">
      <c r="B2088" s="485"/>
      <c r="C2088" s="6"/>
      <c r="D2088" s="12"/>
      <c r="E2088" s="12"/>
      <c r="F2088" s="12"/>
      <c r="G2088" s="12"/>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c r="AK2088" s="6"/>
      <c r="AL2088" s="6"/>
    </row>
    <row r="2089" spans="2:38" ht="12.75" customHeight="1">
      <c r="B2089" s="485"/>
      <c r="C2089" s="6"/>
      <c r="D2089" s="12"/>
      <c r="E2089" s="12"/>
      <c r="F2089" s="12"/>
      <c r="G2089" s="12"/>
      <c r="H2089" s="6"/>
      <c r="I2089" s="7"/>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c r="AJ2089" s="6"/>
      <c r="AK2089" s="6"/>
      <c r="AL2089" s="6"/>
    </row>
    <row r="2090" spans="2:38" ht="12.75" customHeight="1">
      <c r="B2090" s="485"/>
      <c r="C2090" s="6"/>
      <c r="D2090" s="12"/>
      <c r="E2090" s="12"/>
      <c r="F2090" s="12"/>
      <c r="G2090" s="12"/>
      <c r="H2090" s="6"/>
      <c r="I2090" s="190"/>
      <c r="J2090" s="190"/>
      <c r="K2090" s="190"/>
      <c r="L2090" s="190"/>
      <c r="M2090" s="190"/>
      <c r="N2090" s="190"/>
      <c r="O2090" s="190"/>
      <c r="P2090" s="190"/>
      <c r="Q2090" s="190"/>
      <c r="R2090" s="190"/>
      <c r="S2090" s="190"/>
      <c r="T2090" s="190"/>
      <c r="U2090" s="190"/>
      <c r="V2090" s="190"/>
      <c r="W2090" s="190"/>
      <c r="X2090" s="190"/>
      <c r="Y2090" s="190"/>
      <c r="Z2090" s="190"/>
      <c r="AA2090" s="190"/>
      <c r="AB2090" s="190"/>
      <c r="AC2090" s="190"/>
      <c r="AD2090" s="190"/>
      <c r="AE2090" s="190"/>
      <c r="AF2090" s="190"/>
      <c r="AG2090" s="190"/>
      <c r="AH2090" s="190"/>
      <c r="AI2090" s="190"/>
      <c r="AJ2090" s="190"/>
      <c r="AK2090" s="190"/>
      <c r="AL2090" s="190"/>
    </row>
    <row r="2091" spans="2:38" ht="12.75" customHeight="1">
      <c r="B2091" s="485"/>
      <c r="C2091" s="6"/>
      <c r="D2091" s="12"/>
      <c r="E2091" s="12"/>
      <c r="F2091" s="12"/>
      <c r="G2091" s="12"/>
      <c r="H2091" s="6"/>
      <c r="I2091" s="190"/>
      <c r="J2091" s="190"/>
      <c r="K2091" s="190"/>
      <c r="L2091" s="190"/>
      <c r="M2091" s="190"/>
      <c r="N2091" s="190"/>
      <c r="O2091" s="190"/>
      <c r="P2091" s="190"/>
      <c r="Q2091" s="190"/>
      <c r="R2091" s="190"/>
      <c r="S2091" s="190"/>
      <c r="T2091" s="190"/>
      <c r="U2091" s="190"/>
      <c r="V2091" s="190"/>
      <c r="W2091" s="190"/>
      <c r="X2091" s="190"/>
      <c r="Y2091" s="190"/>
      <c r="Z2091" s="190"/>
      <c r="AA2091" s="190"/>
      <c r="AB2091" s="190"/>
      <c r="AC2091" s="190"/>
      <c r="AD2091" s="190"/>
      <c r="AE2091" s="190"/>
      <c r="AF2091" s="190"/>
      <c r="AG2091" s="190"/>
      <c r="AH2091" s="190"/>
      <c r="AI2091" s="190"/>
      <c r="AJ2091" s="190"/>
      <c r="AK2091" s="190"/>
      <c r="AL2091" s="190"/>
    </row>
    <row r="2092" spans="2:38" ht="12.75" customHeight="1">
      <c r="B2092" s="485"/>
      <c r="C2092" s="6"/>
      <c r="D2092" s="12"/>
      <c r="E2092" s="12"/>
      <c r="F2092" s="12"/>
      <c r="G2092" s="12"/>
      <c r="H2092" s="6"/>
      <c r="I2092" s="190"/>
      <c r="J2092" s="190"/>
      <c r="K2092" s="190"/>
      <c r="L2092" s="190"/>
      <c r="M2092" s="190"/>
      <c r="N2092" s="190"/>
      <c r="O2092" s="190"/>
      <c r="P2092" s="190"/>
      <c r="Q2092" s="190"/>
      <c r="R2092" s="190"/>
      <c r="S2092" s="190"/>
      <c r="T2092" s="190"/>
      <c r="U2092" s="190"/>
      <c r="V2092" s="190"/>
      <c r="W2092" s="190"/>
      <c r="X2092" s="190"/>
      <c r="Y2092" s="190"/>
      <c r="Z2092" s="190"/>
      <c r="AA2092" s="190"/>
      <c r="AB2092" s="190"/>
      <c r="AC2092" s="190"/>
      <c r="AD2092" s="190"/>
      <c r="AE2092" s="190"/>
      <c r="AF2092" s="190"/>
      <c r="AG2092" s="190"/>
      <c r="AH2092" s="190"/>
      <c r="AI2092" s="190"/>
      <c r="AJ2092" s="190"/>
      <c r="AK2092" s="190"/>
      <c r="AL2092" s="190"/>
    </row>
    <row r="2093" spans="2:38" ht="12.75" customHeight="1">
      <c r="B2093" s="485"/>
      <c r="C2093" s="6"/>
      <c r="D2093" s="12"/>
      <c r="E2093" s="12"/>
      <c r="F2093" s="12"/>
      <c r="G2093" s="12"/>
      <c r="H2093" s="6"/>
      <c r="I2093" s="190"/>
      <c r="J2093" s="190"/>
      <c r="K2093" s="190"/>
      <c r="L2093" s="190"/>
      <c r="M2093" s="190"/>
      <c r="N2093" s="190"/>
      <c r="O2093" s="190"/>
      <c r="P2093" s="190"/>
      <c r="Q2093" s="190"/>
      <c r="R2093" s="190"/>
      <c r="S2093" s="190"/>
      <c r="T2093" s="190"/>
      <c r="U2093" s="190"/>
      <c r="V2093" s="190"/>
      <c r="W2093" s="190"/>
      <c r="X2093" s="190"/>
      <c r="Y2093" s="190"/>
      <c r="Z2093" s="190"/>
      <c r="AA2093" s="190"/>
      <c r="AB2093" s="190"/>
      <c r="AC2093" s="190"/>
      <c r="AD2093" s="190"/>
      <c r="AE2093" s="190"/>
      <c r="AF2093" s="190"/>
      <c r="AG2093" s="190"/>
      <c r="AH2093" s="190"/>
      <c r="AI2093" s="190"/>
      <c r="AJ2093" s="190"/>
      <c r="AK2093" s="190"/>
      <c r="AL2093" s="190"/>
    </row>
    <row r="2094" spans="2:38" ht="12.75" customHeight="1">
      <c r="B2094" s="485"/>
      <c r="C2094" s="6"/>
      <c r="D2094" s="12"/>
      <c r="E2094" s="12"/>
      <c r="F2094" s="12"/>
      <c r="G2094" s="12"/>
      <c r="H2094" s="6"/>
      <c r="I2094" s="190"/>
      <c r="J2094" s="190"/>
      <c r="K2094" s="190"/>
      <c r="L2094" s="190"/>
      <c r="M2094" s="190"/>
      <c r="N2094" s="190"/>
      <c r="O2094" s="190"/>
      <c r="P2094" s="190"/>
      <c r="Q2094" s="190"/>
      <c r="R2094" s="190"/>
      <c r="S2094" s="190"/>
      <c r="T2094" s="190"/>
      <c r="U2094" s="190"/>
      <c r="V2094" s="190"/>
      <c r="W2094" s="190"/>
      <c r="X2094" s="190"/>
      <c r="Y2094" s="190"/>
      <c r="Z2094" s="190"/>
      <c r="AA2094" s="190"/>
      <c r="AB2094" s="190"/>
      <c r="AC2094" s="190"/>
      <c r="AD2094" s="190"/>
      <c r="AE2094" s="190"/>
      <c r="AF2094" s="190"/>
      <c r="AG2094" s="190"/>
      <c r="AH2094" s="190"/>
      <c r="AI2094" s="190"/>
      <c r="AJ2094" s="190"/>
      <c r="AK2094" s="190"/>
      <c r="AL2094" s="190"/>
    </row>
    <row r="2095" spans="2:38" ht="12.75" customHeight="1">
      <c r="B2095" s="485"/>
      <c r="C2095" s="6"/>
      <c r="D2095" s="12"/>
      <c r="E2095" s="12"/>
      <c r="F2095" s="12"/>
      <c r="G2095" s="12"/>
      <c r="H2095" s="6"/>
      <c r="I2095" s="190"/>
      <c r="J2095" s="190"/>
      <c r="K2095" s="190"/>
      <c r="L2095" s="190"/>
      <c r="M2095" s="190"/>
      <c r="N2095" s="190"/>
      <c r="O2095" s="190"/>
      <c r="P2095" s="190"/>
      <c r="Q2095" s="190"/>
      <c r="R2095" s="190"/>
      <c r="S2095" s="190"/>
      <c r="T2095" s="190"/>
      <c r="U2095" s="190"/>
      <c r="V2095" s="190"/>
      <c r="W2095" s="190"/>
      <c r="X2095" s="190"/>
      <c r="Y2095" s="190"/>
      <c r="Z2095" s="190"/>
      <c r="AA2095" s="190"/>
      <c r="AB2095" s="190"/>
      <c r="AC2095" s="190"/>
      <c r="AD2095" s="190"/>
      <c r="AE2095" s="190"/>
      <c r="AF2095" s="190"/>
      <c r="AG2095" s="190"/>
      <c r="AH2095" s="190"/>
      <c r="AI2095" s="190"/>
      <c r="AJ2095" s="190"/>
      <c r="AK2095" s="190"/>
      <c r="AL2095" s="190"/>
    </row>
    <row r="2096" spans="2:38" ht="12.75" customHeight="1">
      <c r="B2096" s="485"/>
      <c r="C2096" s="6"/>
      <c r="D2096" s="12"/>
      <c r="E2096" s="12"/>
      <c r="F2096" s="12"/>
      <c r="G2096" s="12"/>
      <c r="H2096" s="6"/>
      <c r="I2096" s="190"/>
      <c r="J2096" s="190"/>
      <c r="K2096" s="190"/>
      <c r="L2096" s="190"/>
      <c r="M2096" s="190"/>
      <c r="N2096" s="190"/>
      <c r="O2096" s="190"/>
      <c r="P2096" s="190"/>
      <c r="Q2096" s="190"/>
      <c r="R2096" s="190"/>
      <c r="S2096" s="190"/>
      <c r="T2096" s="190"/>
      <c r="U2096" s="190"/>
      <c r="V2096" s="190"/>
      <c r="W2096" s="190"/>
      <c r="X2096" s="190"/>
      <c r="Y2096" s="190"/>
      <c r="Z2096" s="190"/>
      <c r="AA2096" s="190"/>
      <c r="AB2096" s="190"/>
      <c r="AC2096" s="190"/>
      <c r="AD2096" s="190"/>
      <c r="AE2096" s="190"/>
      <c r="AF2096" s="190"/>
      <c r="AG2096" s="190"/>
      <c r="AH2096" s="190"/>
      <c r="AI2096" s="190"/>
      <c r="AJ2096" s="190"/>
      <c r="AK2096" s="190"/>
      <c r="AL2096" s="190"/>
    </row>
    <row r="2097" spans="2:38" ht="12.75" customHeight="1">
      <c r="B2097" s="485"/>
      <c r="C2097" s="6"/>
      <c r="D2097" s="12"/>
      <c r="E2097" s="12"/>
      <c r="F2097" s="12"/>
      <c r="G2097" s="12"/>
      <c r="H2097" s="6"/>
      <c r="I2097" s="190"/>
      <c r="J2097" s="190"/>
      <c r="K2097" s="190"/>
      <c r="L2097" s="190"/>
      <c r="M2097" s="190"/>
      <c r="N2097" s="190"/>
      <c r="O2097" s="190"/>
      <c r="P2097" s="190"/>
      <c r="Q2097" s="190"/>
      <c r="R2097" s="190"/>
      <c r="S2097" s="190"/>
      <c r="T2097" s="190"/>
      <c r="U2097" s="190"/>
      <c r="V2097" s="190"/>
      <c r="W2097" s="190"/>
      <c r="X2097" s="190"/>
      <c r="Y2097" s="190"/>
      <c r="Z2097" s="190"/>
      <c r="AA2097" s="190"/>
      <c r="AB2097" s="190"/>
      <c r="AC2097" s="190"/>
      <c r="AD2097" s="190"/>
      <c r="AE2097" s="190"/>
      <c r="AF2097" s="190"/>
      <c r="AG2097" s="190"/>
      <c r="AH2097" s="190"/>
      <c r="AI2097" s="190"/>
      <c r="AJ2097" s="190"/>
      <c r="AK2097" s="190"/>
      <c r="AL2097" s="190"/>
    </row>
    <row r="2098" spans="2:38" ht="12.75" customHeight="1">
      <c r="B2098" s="485"/>
      <c r="C2098" s="6"/>
      <c r="D2098" s="12"/>
      <c r="E2098" s="12"/>
      <c r="F2098" s="12"/>
      <c r="G2098" s="12"/>
      <c r="H2098" s="6"/>
      <c r="I2098" s="190"/>
      <c r="J2098" s="190"/>
      <c r="K2098" s="190"/>
      <c r="L2098" s="190"/>
      <c r="M2098" s="190"/>
      <c r="N2098" s="190"/>
      <c r="O2098" s="190"/>
      <c r="P2098" s="190"/>
      <c r="Q2098" s="190"/>
      <c r="R2098" s="190"/>
      <c r="S2098" s="190"/>
      <c r="T2098" s="190"/>
      <c r="U2098" s="190"/>
      <c r="V2098" s="190"/>
      <c r="W2098" s="190"/>
      <c r="X2098" s="190"/>
      <c r="Y2098" s="190"/>
      <c r="Z2098" s="190"/>
      <c r="AA2098" s="190"/>
      <c r="AB2098" s="190"/>
      <c r="AC2098" s="190"/>
      <c r="AD2098" s="190"/>
      <c r="AE2098" s="190"/>
      <c r="AF2098" s="190"/>
      <c r="AG2098" s="190"/>
      <c r="AH2098" s="190"/>
      <c r="AI2098" s="190"/>
      <c r="AJ2098" s="190"/>
      <c r="AK2098" s="190"/>
      <c r="AL2098" s="190"/>
    </row>
    <row r="2099" spans="2:38" ht="12.75" customHeight="1">
      <c r="B2099" s="485"/>
      <c r="C2099" s="6"/>
      <c r="D2099" s="12"/>
      <c r="E2099" s="12"/>
      <c r="F2099" s="12"/>
      <c r="G2099" s="12"/>
      <c r="H2099" s="6"/>
      <c r="I2099" s="190"/>
      <c r="J2099" s="190"/>
      <c r="K2099" s="190"/>
      <c r="L2099" s="190"/>
      <c r="M2099" s="190"/>
      <c r="N2099" s="190"/>
      <c r="O2099" s="190"/>
      <c r="P2099" s="190"/>
      <c r="Q2099" s="190"/>
      <c r="R2099" s="190"/>
      <c r="S2099" s="190"/>
      <c r="T2099" s="190"/>
      <c r="U2099" s="190"/>
      <c r="V2099" s="190"/>
      <c r="W2099" s="190"/>
      <c r="X2099" s="190"/>
      <c r="Y2099" s="190"/>
      <c r="Z2099" s="190"/>
      <c r="AA2099" s="190"/>
      <c r="AB2099" s="190"/>
      <c r="AC2099" s="190"/>
      <c r="AD2099" s="190"/>
      <c r="AE2099" s="190"/>
      <c r="AF2099" s="190"/>
      <c r="AG2099" s="190"/>
      <c r="AH2099" s="190"/>
      <c r="AI2099" s="190"/>
      <c r="AJ2099" s="190"/>
      <c r="AK2099" s="190"/>
      <c r="AL2099" s="190"/>
    </row>
    <row r="2100" spans="2:38" ht="12.75" customHeight="1">
      <c r="B2100" s="485"/>
      <c r="C2100" s="6"/>
      <c r="D2100" s="12"/>
      <c r="E2100" s="12"/>
      <c r="F2100" s="12"/>
      <c r="G2100" s="12"/>
      <c r="H2100" s="6"/>
      <c r="I2100" s="190"/>
      <c r="J2100" s="190"/>
      <c r="K2100" s="190"/>
      <c r="L2100" s="190"/>
      <c r="M2100" s="190"/>
      <c r="N2100" s="190"/>
      <c r="O2100" s="190"/>
      <c r="P2100" s="190"/>
      <c r="Q2100" s="190"/>
      <c r="R2100" s="190"/>
      <c r="S2100" s="190"/>
      <c r="T2100" s="190"/>
      <c r="U2100" s="190"/>
      <c r="V2100" s="190"/>
      <c r="W2100" s="190"/>
      <c r="X2100" s="190"/>
      <c r="Y2100" s="190"/>
      <c r="Z2100" s="190"/>
      <c r="AA2100" s="190"/>
      <c r="AB2100" s="190"/>
      <c r="AC2100" s="190"/>
      <c r="AD2100" s="190"/>
      <c r="AE2100" s="190"/>
      <c r="AF2100" s="190"/>
      <c r="AG2100" s="190"/>
      <c r="AH2100" s="190"/>
      <c r="AI2100" s="190"/>
      <c r="AJ2100" s="190"/>
      <c r="AK2100" s="190"/>
      <c r="AL2100" s="190"/>
    </row>
    <row r="2101" spans="2:38" ht="12.75" customHeight="1">
      <c r="B2101" s="485"/>
      <c r="C2101" s="6"/>
      <c r="D2101" s="12"/>
      <c r="E2101" s="12"/>
      <c r="F2101" s="12"/>
      <c r="G2101" s="12"/>
      <c r="H2101" s="6"/>
      <c r="I2101" s="190"/>
      <c r="J2101" s="190"/>
      <c r="K2101" s="190"/>
      <c r="L2101" s="190"/>
      <c r="M2101" s="190"/>
      <c r="N2101" s="190"/>
      <c r="O2101" s="190"/>
      <c r="P2101" s="190"/>
      <c r="Q2101" s="190"/>
      <c r="R2101" s="190"/>
      <c r="S2101" s="190"/>
      <c r="T2101" s="190"/>
      <c r="U2101" s="190"/>
      <c r="V2101" s="190"/>
      <c r="W2101" s="190"/>
      <c r="X2101" s="190"/>
      <c r="Y2101" s="190"/>
      <c r="Z2101" s="190"/>
      <c r="AA2101" s="190"/>
      <c r="AB2101" s="190"/>
      <c r="AC2101" s="190"/>
      <c r="AD2101" s="190"/>
      <c r="AE2101" s="190"/>
      <c r="AF2101" s="190"/>
      <c r="AG2101" s="190"/>
      <c r="AH2101" s="190"/>
      <c r="AI2101" s="190"/>
      <c r="AJ2101" s="190"/>
      <c r="AK2101" s="190"/>
      <c r="AL2101" s="190"/>
    </row>
    <row r="2102" spans="2:38" ht="12.75" customHeight="1">
      <c r="B2102" s="485"/>
      <c r="C2102" s="6"/>
      <c r="D2102" s="12"/>
      <c r="E2102" s="12"/>
      <c r="F2102" s="12"/>
      <c r="G2102" s="12"/>
      <c r="H2102" s="6"/>
      <c r="I2102" s="190"/>
      <c r="J2102" s="190"/>
      <c r="K2102" s="190"/>
      <c r="L2102" s="190"/>
      <c r="M2102" s="190"/>
      <c r="N2102" s="190"/>
      <c r="O2102" s="190"/>
      <c r="P2102" s="190"/>
      <c r="Q2102" s="190"/>
      <c r="R2102" s="190"/>
      <c r="S2102" s="190"/>
      <c r="T2102" s="190"/>
      <c r="U2102" s="190"/>
      <c r="V2102" s="190"/>
      <c r="W2102" s="190"/>
      <c r="X2102" s="190"/>
      <c r="Y2102" s="190"/>
      <c r="Z2102" s="190"/>
      <c r="AA2102" s="190"/>
      <c r="AB2102" s="190"/>
      <c r="AC2102" s="190"/>
      <c r="AD2102" s="190"/>
      <c r="AE2102" s="190"/>
      <c r="AF2102" s="190"/>
      <c r="AG2102" s="190"/>
      <c r="AH2102" s="190"/>
      <c r="AI2102" s="190"/>
      <c r="AJ2102" s="190"/>
      <c r="AK2102" s="190"/>
      <c r="AL2102" s="190"/>
    </row>
    <row r="2103" spans="2:38" ht="12.75" customHeight="1">
      <c r="B2103" s="485"/>
      <c r="C2103" s="6"/>
      <c r="D2103" s="12"/>
      <c r="E2103" s="12"/>
      <c r="F2103" s="12"/>
      <c r="G2103" s="12"/>
      <c r="H2103" s="6"/>
      <c r="I2103" s="190"/>
      <c r="J2103" s="190"/>
      <c r="K2103" s="190"/>
      <c r="L2103" s="190"/>
      <c r="M2103" s="190"/>
      <c r="N2103" s="190"/>
      <c r="O2103" s="190"/>
      <c r="P2103" s="190"/>
      <c r="Q2103" s="190"/>
      <c r="R2103" s="190"/>
      <c r="S2103" s="190"/>
      <c r="T2103" s="190"/>
      <c r="U2103" s="190"/>
      <c r="V2103" s="190"/>
      <c r="W2103" s="190"/>
      <c r="X2103" s="190"/>
      <c r="Y2103" s="190"/>
      <c r="Z2103" s="190"/>
      <c r="AA2103" s="190"/>
      <c r="AB2103" s="190"/>
      <c r="AC2103" s="190"/>
      <c r="AD2103" s="190"/>
      <c r="AE2103" s="190"/>
      <c r="AF2103" s="190"/>
      <c r="AG2103" s="190"/>
      <c r="AH2103" s="190"/>
      <c r="AI2103" s="190"/>
      <c r="AJ2103" s="190"/>
      <c r="AK2103" s="190"/>
      <c r="AL2103" s="190"/>
    </row>
    <row r="2104" spans="2:38" ht="12.75" customHeight="1">
      <c r="B2104" s="485"/>
      <c r="C2104" s="6"/>
      <c r="D2104" s="12"/>
      <c r="E2104" s="12"/>
      <c r="F2104" s="12"/>
      <c r="G2104" s="12"/>
      <c r="H2104" s="6"/>
      <c r="I2104" s="190"/>
      <c r="J2104" s="190"/>
      <c r="K2104" s="190"/>
      <c r="L2104" s="190"/>
      <c r="M2104" s="190"/>
      <c r="N2104" s="190"/>
      <c r="O2104" s="190"/>
      <c r="P2104" s="190"/>
      <c r="Q2104" s="190"/>
      <c r="R2104" s="190"/>
      <c r="S2104" s="190"/>
      <c r="T2104" s="190"/>
      <c r="U2104" s="190"/>
      <c r="V2104" s="190"/>
      <c r="W2104" s="190"/>
      <c r="X2104" s="190"/>
      <c r="Y2104" s="190"/>
      <c r="Z2104" s="190"/>
      <c r="AA2104" s="190"/>
      <c r="AB2104" s="190"/>
      <c r="AC2104" s="190"/>
      <c r="AD2104" s="190"/>
      <c r="AE2104" s="190"/>
      <c r="AF2104" s="190"/>
      <c r="AG2104" s="190"/>
      <c r="AH2104" s="190"/>
      <c r="AI2104" s="190"/>
      <c r="AJ2104" s="190"/>
      <c r="AK2104" s="190"/>
      <c r="AL2104" s="190"/>
    </row>
    <row r="2105" spans="2:38" ht="12.75" customHeight="1">
      <c r="B2105" s="485"/>
      <c r="C2105" s="6"/>
      <c r="D2105" s="12"/>
      <c r="E2105" s="12"/>
      <c r="F2105" s="12"/>
      <c r="G2105" s="12"/>
      <c r="H2105" s="6"/>
      <c r="I2105" s="190"/>
      <c r="J2105" s="190"/>
      <c r="K2105" s="190"/>
      <c r="L2105" s="190"/>
      <c r="M2105" s="190"/>
      <c r="N2105" s="190"/>
      <c r="O2105" s="190"/>
      <c r="P2105" s="190"/>
      <c r="Q2105" s="190"/>
      <c r="R2105" s="190"/>
      <c r="S2105" s="190"/>
      <c r="T2105" s="190"/>
      <c r="U2105" s="190"/>
      <c r="V2105" s="190"/>
      <c r="W2105" s="190"/>
      <c r="X2105" s="190"/>
      <c r="Y2105" s="190"/>
      <c r="Z2105" s="190"/>
      <c r="AA2105" s="190"/>
      <c r="AB2105" s="190"/>
      <c r="AC2105" s="190"/>
      <c r="AD2105" s="190"/>
      <c r="AE2105" s="190"/>
      <c r="AF2105" s="190"/>
      <c r="AG2105" s="190"/>
      <c r="AH2105" s="190"/>
      <c r="AI2105" s="190"/>
      <c r="AJ2105" s="190"/>
      <c r="AK2105" s="190"/>
      <c r="AL2105" s="190"/>
    </row>
    <row r="2106" spans="2:38" ht="12.75" customHeight="1">
      <c r="B2106" s="485"/>
      <c r="C2106" s="6"/>
      <c r="D2106" s="12"/>
      <c r="E2106" s="12"/>
      <c r="F2106" s="12"/>
      <c r="G2106" s="12"/>
      <c r="H2106" s="6"/>
      <c r="I2106" s="190"/>
      <c r="J2106" s="190"/>
      <c r="K2106" s="190"/>
      <c r="L2106" s="190"/>
      <c r="M2106" s="190"/>
      <c r="N2106" s="190"/>
      <c r="O2106" s="190"/>
      <c r="P2106" s="190"/>
      <c r="Q2106" s="190"/>
      <c r="R2106" s="190"/>
      <c r="S2106" s="190"/>
      <c r="T2106" s="190"/>
      <c r="U2106" s="190"/>
      <c r="V2106" s="190"/>
      <c r="W2106" s="190"/>
      <c r="X2106" s="190"/>
      <c r="Y2106" s="190"/>
      <c r="Z2106" s="190"/>
      <c r="AA2106" s="190"/>
      <c r="AB2106" s="190"/>
      <c r="AC2106" s="190"/>
      <c r="AD2106" s="190"/>
      <c r="AE2106" s="190"/>
      <c r="AF2106" s="190"/>
      <c r="AG2106" s="190"/>
      <c r="AH2106" s="190"/>
      <c r="AI2106" s="190"/>
      <c r="AJ2106" s="190"/>
      <c r="AK2106" s="190"/>
      <c r="AL2106" s="190"/>
    </row>
    <row r="2107" spans="2:38" ht="12.75" customHeight="1">
      <c r="B2107" s="485"/>
      <c r="C2107" s="6"/>
      <c r="D2107" s="12"/>
      <c r="E2107" s="12"/>
      <c r="F2107" s="12"/>
      <c r="G2107" s="12"/>
      <c r="H2107" s="6"/>
      <c r="I2107" s="190"/>
      <c r="J2107" s="190"/>
      <c r="K2107" s="190"/>
      <c r="L2107" s="190"/>
      <c r="M2107" s="190"/>
      <c r="N2107" s="190"/>
      <c r="O2107" s="190"/>
      <c r="P2107" s="190"/>
      <c r="Q2107" s="190"/>
      <c r="R2107" s="190"/>
      <c r="S2107" s="190"/>
      <c r="T2107" s="190"/>
      <c r="U2107" s="190"/>
      <c r="V2107" s="190"/>
      <c r="W2107" s="190"/>
      <c r="X2107" s="190"/>
      <c r="Y2107" s="190"/>
      <c r="Z2107" s="190"/>
      <c r="AA2107" s="190"/>
      <c r="AB2107" s="190"/>
      <c r="AC2107" s="190"/>
      <c r="AD2107" s="190"/>
      <c r="AE2107" s="190"/>
      <c r="AF2107" s="190"/>
      <c r="AG2107" s="190"/>
      <c r="AH2107" s="190"/>
      <c r="AI2107" s="190"/>
      <c r="AJ2107" s="190"/>
      <c r="AK2107" s="190"/>
      <c r="AL2107" s="190"/>
    </row>
    <row r="2108" spans="2:38" ht="12.75" customHeight="1">
      <c r="B2108" s="485"/>
      <c r="C2108" s="6"/>
      <c r="D2108" s="12"/>
      <c r="E2108" s="12"/>
      <c r="F2108" s="12"/>
      <c r="G2108" s="12"/>
      <c r="H2108" s="6"/>
      <c r="I2108" s="190"/>
      <c r="J2108" s="190"/>
      <c r="K2108" s="190"/>
      <c r="L2108" s="190"/>
      <c r="M2108" s="190"/>
      <c r="N2108" s="190"/>
      <c r="O2108" s="190"/>
      <c r="P2108" s="190"/>
      <c r="Q2108" s="190"/>
      <c r="R2108" s="190"/>
      <c r="S2108" s="190"/>
      <c r="T2108" s="190"/>
      <c r="U2108" s="190"/>
      <c r="V2108" s="190"/>
      <c r="W2108" s="190"/>
      <c r="X2108" s="190"/>
      <c r="Y2108" s="190"/>
      <c r="Z2108" s="190"/>
      <c r="AA2108" s="190"/>
      <c r="AB2108" s="190"/>
      <c r="AC2108" s="190"/>
      <c r="AD2108" s="190"/>
      <c r="AE2108" s="190"/>
      <c r="AF2108" s="190"/>
      <c r="AG2108" s="190"/>
      <c r="AH2108" s="190"/>
      <c r="AI2108" s="190"/>
      <c r="AJ2108" s="190"/>
      <c r="AK2108" s="190"/>
      <c r="AL2108" s="190"/>
    </row>
    <row r="2109" spans="2:38" ht="12.75" customHeight="1">
      <c r="B2109" s="485"/>
      <c r="C2109" s="6"/>
      <c r="D2109" s="12"/>
      <c r="E2109" s="12"/>
      <c r="F2109" s="12"/>
      <c r="G2109" s="12"/>
      <c r="H2109" s="6"/>
      <c r="I2109" s="190"/>
      <c r="J2109" s="190"/>
      <c r="K2109" s="190"/>
      <c r="L2109" s="190"/>
      <c r="M2109" s="190"/>
      <c r="N2109" s="190"/>
      <c r="O2109" s="190"/>
      <c r="P2109" s="190"/>
      <c r="Q2109" s="190"/>
      <c r="R2109" s="190"/>
      <c r="S2109" s="190"/>
      <c r="T2109" s="190"/>
      <c r="U2109" s="190"/>
      <c r="V2109" s="190"/>
      <c r="W2109" s="190"/>
      <c r="X2109" s="190"/>
      <c r="Y2109" s="190"/>
      <c r="Z2109" s="190"/>
      <c r="AA2109" s="190"/>
      <c r="AB2109" s="190"/>
      <c r="AC2109" s="190"/>
      <c r="AD2109" s="190"/>
      <c r="AE2109" s="190"/>
      <c r="AF2109" s="190"/>
      <c r="AG2109" s="190"/>
      <c r="AH2109" s="190"/>
      <c r="AI2109" s="190"/>
      <c r="AJ2109" s="190"/>
      <c r="AK2109" s="190"/>
      <c r="AL2109" s="190"/>
    </row>
    <row r="2110" spans="2:38" ht="12.75" customHeight="1">
      <c r="B2110" s="485"/>
      <c r="C2110" s="6"/>
      <c r="D2110" s="12"/>
      <c r="E2110" s="12"/>
      <c r="F2110" s="12"/>
      <c r="G2110" s="12"/>
      <c r="H2110" s="6"/>
      <c r="I2110" s="190"/>
      <c r="J2110" s="190"/>
      <c r="K2110" s="190"/>
      <c r="L2110" s="190"/>
      <c r="M2110" s="190"/>
      <c r="N2110" s="190"/>
      <c r="O2110" s="190"/>
      <c r="P2110" s="190"/>
      <c r="Q2110" s="190"/>
      <c r="R2110" s="190"/>
      <c r="S2110" s="190"/>
      <c r="T2110" s="190"/>
      <c r="U2110" s="190"/>
      <c r="V2110" s="190"/>
      <c r="W2110" s="190"/>
      <c r="X2110" s="190"/>
      <c r="Y2110" s="190"/>
      <c r="Z2110" s="190"/>
      <c r="AA2110" s="190"/>
      <c r="AB2110" s="190"/>
      <c r="AC2110" s="190"/>
      <c r="AD2110" s="190"/>
      <c r="AE2110" s="190"/>
      <c r="AF2110" s="190"/>
      <c r="AG2110" s="190"/>
      <c r="AH2110" s="190"/>
      <c r="AI2110" s="190"/>
      <c r="AJ2110" s="190"/>
      <c r="AK2110" s="190"/>
      <c r="AL2110" s="190"/>
    </row>
    <row r="2111" spans="2:38" ht="12.75" customHeight="1">
      <c r="B2111" s="485"/>
      <c r="C2111" s="6"/>
      <c r="D2111" s="12"/>
      <c r="E2111" s="12"/>
      <c r="F2111" s="12"/>
      <c r="G2111" s="12"/>
      <c r="H2111" s="6"/>
      <c r="I2111" s="190"/>
      <c r="J2111" s="190"/>
      <c r="K2111" s="190"/>
      <c r="L2111" s="190"/>
      <c r="M2111" s="190"/>
      <c r="N2111" s="190"/>
      <c r="O2111" s="190"/>
      <c r="P2111" s="190"/>
      <c r="Q2111" s="190"/>
      <c r="R2111" s="190"/>
      <c r="S2111" s="190"/>
      <c r="T2111" s="190"/>
      <c r="U2111" s="190"/>
      <c r="V2111" s="190"/>
      <c r="W2111" s="190"/>
      <c r="X2111" s="190"/>
      <c r="Y2111" s="190"/>
      <c r="Z2111" s="190"/>
      <c r="AA2111" s="190"/>
      <c r="AB2111" s="190"/>
      <c r="AC2111" s="190"/>
      <c r="AD2111" s="190"/>
      <c r="AE2111" s="190"/>
      <c r="AF2111" s="190"/>
      <c r="AG2111" s="190"/>
      <c r="AH2111" s="190"/>
      <c r="AI2111" s="190"/>
      <c r="AJ2111" s="190"/>
      <c r="AK2111" s="190"/>
      <c r="AL2111" s="190"/>
    </row>
    <row r="2112" spans="2:38" ht="12.75" customHeight="1">
      <c r="B2112" s="485"/>
      <c r="C2112" s="6"/>
      <c r="D2112" s="12"/>
      <c r="E2112" s="12"/>
      <c r="F2112" s="12"/>
      <c r="G2112" s="12"/>
      <c r="H2112" s="6"/>
      <c r="I2112" s="190"/>
      <c r="J2112" s="190"/>
      <c r="K2112" s="190"/>
      <c r="L2112" s="190"/>
      <c r="M2112" s="190"/>
      <c r="N2112" s="190"/>
      <c r="O2112" s="190"/>
      <c r="P2112" s="190"/>
      <c r="Q2112" s="190"/>
      <c r="R2112" s="190"/>
      <c r="S2112" s="190"/>
      <c r="T2112" s="190"/>
      <c r="U2112" s="190"/>
      <c r="V2112" s="190"/>
      <c r="W2112" s="190"/>
      <c r="X2112" s="190"/>
      <c r="Y2112" s="190"/>
      <c r="Z2112" s="190"/>
      <c r="AA2112" s="190"/>
      <c r="AB2112" s="190"/>
      <c r="AC2112" s="190"/>
      <c r="AD2112" s="190"/>
      <c r="AE2112" s="190"/>
      <c r="AF2112" s="190"/>
      <c r="AG2112" s="190"/>
      <c r="AH2112" s="190"/>
      <c r="AI2112" s="190"/>
      <c r="AJ2112" s="190"/>
      <c r="AK2112" s="190"/>
      <c r="AL2112" s="190"/>
    </row>
    <row r="2113" spans="2:38" ht="12.75" customHeight="1">
      <c r="B2113" s="485"/>
      <c r="C2113" s="6"/>
      <c r="D2113" s="12"/>
      <c r="E2113" s="12"/>
      <c r="F2113" s="12"/>
      <c r="G2113" s="12"/>
      <c r="H2113" s="6"/>
      <c r="I2113" s="190"/>
      <c r="J2113" s="190"/>
      <c r="K2113" s="190"/>
      <c r="L2113" s="190"/>
      <c r="M2113" s="190"/>
      <c r="N2113" s="190"/>
      <c r="O2113" s="190"/>
      <c r="P2113" s="190"/>
      <c r="Q2113" s="190"/>
      <c r="R2113" s="190"/>
      <c r="S2113" s="190"/>
      <c r="T2113" s="190"/>
      <c r="U2113" s="190"/>
      <c r="V2113" s="190"/>
      <c r="W2113" s="190"/>
      <c r="X2113" s="190"/>
      <c r="Y2113" s="190"/>
      <c r="Z2113" s="190"/>
      <c r="AA2113" s="190"/>
      <c r="AB2113" s="190"/>
      <c r="AC2113" s="190"/>
      <c r="AD2113" s="190"/>
      <c r="AE2113" s="190"/>
      <c r="AF2113" s="190"/>
      <c r="AG2113" s="190"/>
      <c r="AH2113" s="190"/>
      <c r="AI2113" s="190"/>
      <c r="AJ2113" s="190"/>
      <c r="AK2113" s="190"/>
      <c r="AL2113" s="190"/>
    </row>
    <row r="2114" spans="2:38" ht="12.75" customHeight="1">
      <c r="B2114" s="485"/>
      <c r="C2114" s="6"/>
      <c r="D2114" s="12"/>
      <c r="E2114" s="12"/>
      <c r="F2114" s="12"/>
      <c r="G2114" s="12"/>
      <c r="H2114" s="6"/>
      <c r="I2114" s="190"/>
      <c r="J2114" s="190"/>
      <c r="K2114" s="190"/>
      <c r="L2114" s="190"/>
      <c r="M2114" s="190"/>
      <c r="N2114" s="190"/>
      <c r="O2114" s="190"/>
      <c r="P2114" s="190"/>
      <c r="Q2114" s="190"/>
      <c r="R2114" s="190"/>
      <c r="S2114" s="190"/>
      <c r="T2114" s="190"/>
      <c r="U2114" s="190"/>
      <c r="V2114" s="190"/>
      <c r="W2114" s="190"/>
      <c r="X2114" s="190"/>
      <c r="Y2114" s="190"/>
      <c r="Z2114" s="190"/>
      <c r="AA2114" s="190"/>
      <c r="AB2114" s="190"/>
      <c r="AC2114" s="190"/>
      <c r="AD2114" s="190"/>
      <c r="AE2114" s="190"/>
      <c r="AF2114" s="190"/>
      <c r="AG2114" s="190"/>
      <c r="AH2114" s="190"/>
      <c r="AI2114" s="190"/>
      <c r="AJ2114" s="190"/>
      <c r="AK2114" s="190"/>
      <c r="AL2114" s="190"/>
    </row>
    <row r="2115" spans="2:38" ht="12.75" customHeight="1">
      <c r="B2115" s="485"/>
      <c r="C2115" s="6"/>
      <c r="D2115" s="12"/>
      <c r="E2115" s="12"/>
      <c r="F2115" s="12"/>
      <c r="G2115" s="12"/>
      <c r="H2115" s="6"/>
      <c r="I2115" s="190"/>
      <c r="J2115" s="190"/>
      <c r="K2115" s="190"/>
      <c r="L2115" s="190"/>
      <c r="M2115" s="190"/>
      <c r="N2115" s="190"/>
      <c r="O2115" s="190"/>
      <c r="P2115" s="190"/>
      <c r="Q2115" s="190"/>
      <c r="R2115" s="190"/>
      <c r="S2115" s="190"/>
      <c r="T2115" s="190"/>
      <c r="U2115" s="190"/>
      <c r="V2115" s="190"/>
      <c r="W2115" s="190"/>
      <c r="X2115" s="190"/>
      <c r="Y2115" s="190"/>
      <c r="Z2115" s="190"/>
      <c r="AA2115" s="190"/>
      <c r="AB2115" s="190"/>
      <c r="AC2115" s="190"/>
      <c r="AD2115" s="190"/>
      <c r="AE2115" s="190"/>
      <c r="AF2115" s="190"/>
      <c r="AG2115" s="190"/>
      <c r="AH2115" s="190"/>
      <c r="AI2115" s="190"/>
      <c r="AJ2115" s="190"/>
      <c r="AK2115" s="190"/>
      <c r="AL2115" s="190"/>
    </row>
    <row r="2116" spans="2:38" ht="12.75" customHeight="1">
      <c r="B2116" s="485"/>
      <c r="C2116" s="6"/>
      <c r="D2116" s="12"/>
      <c r="E2116" s="12"/>
      <c r="F2116" s="12"/>
      <c r="G2116" s="12"/>
      <c r="H2116" s="6"/>
      <c r="I2116" s="190"/>
      <c r="J2116" s="190"/>
      <c r="K2116" s="190"/>
      <c r="L2116" s="190"/>
      <c r="M2116" s="190"/>
      <c r="N2116" s="190"/>
      <c r="O2116" s="190"/>
      <c r="P2116" s="190"/>
      <c r="Q2116" s="190"/>
      <c r="R2116" s="190"/>
      <c r="S2116" s="190"/>
      <c r="T2116" s="190"/>
      <c r="U2116" s="190"/>
      <c r="V2116" s="190"/>
      <c r="W2116" s="190"/>
      <c r="X2116" s="190"/>
      <c r="Y2116" s="190"/>
      <c r="Z2116" s="190"/>
      <c r="AA2116" s="190"/>
      <c r="AB2116" s="190"/>
      <c r="AC2116" s="190"/>
      <c r="AD2116" s="190"/>
      <c r="AE2116" s="190"/>
      <c r="AF2116" s="190"/>
      <c r="AG2116" s="190"/>
      <c r="AH2116" s="190"/>
      <c r="AI2116" s="190"/>
      <c r="AJ2116" s="190"/>
      <c r="AK2116" s="190"/>
      <c r="AL2116" s="190"/>
    </row>
    <row r="2117" spans="2:38" ht="12.75" customHeight="1">
      <c r="B2117" s="485"/>
      <c r="C2117" s="6"/>
      <c r="D2117" s="12"/>
      <c r="E2117" s="12"/>
      <c r="F2117" s="12"/>
      <c r="G2117" s="12"/>
      <c r="H2117" s="6"/>
      <c r="I2117" s="190"/>
      <c r="J2117" s="190"/>
      <c r="K2117" s="190"/>
      <c r="L2117" s="190"/>
      <c r="M2117" s="190"/>
      <c r="N2117" s="190"/>
      <c r="O2117" s="190"/>
      <c r="P2117" s="190"/>
      <c r="Q2117" s="190"/>
      <c r="R2117" s="190"/>
      <c r="S2117" s="190"/>
      <c r="T2117" s="190"/>
      <c r="U2117" s="190"/>
      <c r="V2117" s="190"/>
      <c r="W2117" s="190"/>
      <c r="X2117" s="190"/>
      <c r="Y2117" s="190"/>
      <c r="Z2117" s="190"/>
      <c r="AA2117" s="190"/>
      <c r="AB2117" s="190"/>
      <c r="AC2117" s="190"/>
      <c r="AD2117" s="190"/>
      <c r="AE2117" s="190"/>
      <c r="AF2117" s="190"/>
      <c r="AG2117" s="190"/>
      <c r="AH2117" s="190"/>
      <c r="AI2117" s="190"/>
      <c r="AJ2117" s="190"/>
      <c r="AK2117" s="190"/>
      <c r="AL2117" s="190"/>
    </row>
    <row r="2118" spans="2:38" ht="12.75" customHeight="1">
      <c r="B2118" s="485"/>
      <c r="C2118" s="6"/>
      <c r="D2118" s="12"/>
      <c r="E2118" s="12"/>
      <c r="F2118" s="12"/>
      <c r="G2118" s="12"/>
      <c r="H2118" s="6"/>
      <c r="I2118" s="190"/>
      <c r="J2118" s="190"/>
      <c r="K2118" s="190"/>
      <c r="L2118" s="190"/>
      <c r="M2118" s="190"/>
      <c r="N2118" s="190"/>
      <c r="O2118" s="190"/>
      <c r="P2118" s="190"/>
      <c r="Q2118" s="190"/>
      <c r="R2118" s="190"/>
      <c r="S2118" s="190"/>
      <c r="T2118" s="190"/>
      <c r="U2118" s="190"/>
      <c r="V2118" s="190"/>
      <c r="W2118" s="190"/>
      <c r="X2118" s="190"/>
      <c r="Y2118" s="190"/>
      <c r="Z2118" s="190"/>
      <c r="AA2118" s="190"/>
      <c r="AB2118" s="190"/>
      <c r="AC2118" s="190"/>
      <c r="AD2118" s="190"/>
      <c r="AE2118" s="190"/>
      <c r="AF2118" s="190"/>
      <c r="AG2118" s="190"/>
      <c r="AH2118" s="190"/>
      <c r="AI2118" s="190"/>
      <c r="AJ2118" s="190"/>
      <c r="AK2118" s="190"/>
      <c r="AL2118" s="190"/>
    </row>
    <row r="2119" spans="2:38" ht="12.75" customHeight="1">
      <c r="B2119" s="485"/>
      <c r="C2119" s="6"/>
      <c r="D2119" s="12"/>
      <c r="E2119" s="12"/>
      <c r="F2119" s="12"/>
      <c r="G2119" s="12"/>
      <c r="H2119" s="6"/>
      <c r="I2119" s="190"/>
      <c r="J2119" s="190"/>
      <c r="K2119" s="190"/>
      <c r="L2119" s="190"/>
      <c r="M2119" s="190"/>
      <c r="N2119" s="190"/>
      <c r="O2119" s="190"/>
      <c r="P2119" s="190"/>
      <c r="Q2119" s="190"/>
      <c r="R2119" s="190"/>
      <c r="S2119" s="190"/>
      <c r="T2119" s="190"/>
      <c r="U2119" s="190"/>
      <c r="V2119" s="190"/>
      <c r="W2119" s="190"/>
      <c r="X2119" s="190"/>
      <c r="Y2119" s="190"/>
      <c r="Z2119" s="190"/>
      <c r="AA2119" s="190"/>
      <c r="AB2119" s="190"/>
      <c r="AC2119" s="190"/>
      <c r="AD2119" s="190"/>
      <c r="AE2119" s="190"/>
      <c r="AF2119" s="190"/>
      <c r="AG2119" s="190"/>
      <c r="AH2119" s="190"/>
      <c r="AI2119" s="190"/>
      <c r="AJ2119" s="190"/>
      <c r="AK2119" s="190"/>
      <c r="AL2119" s="190"/>
    </row>
    <row r="2120" spans="2:38" ht="12.75" customHeight="1">
      <c r="B2120" s="485"/>
      <c r="C2120" s="6"/>
      <c r="D2120" s="12"/>
      <c r="E2120" s="12"/>
      <c r="F2120" s="12"/>
      <c r="G2120" s="12"/>
      <c r="H2120" s="6"/>
      <c r="I2120" s="190"/>
      <c r="J2120" s="190"/>
      <c r="K2120" s="190"/>
      <c r="L2120" s="190"/>
      <c r="M2120" s="190"/>
      <c r="N2120" s="190"/>
      <c r="O2120" s="190"/>
      <c r="P2120" s="190"/>
      <c r="Q2120" s="190"/>
      <c r="R2120" s="190"/>
      <c r="S2120" s="190"/>
      <c r="T2120" s="190"/>
      <c r="U2120" s="190"/>
      <c r="V2120" s="190"/>
      <c r="W2120" s="190"/>
      <c r="X2120" s="190"/>
      <c r="Y2120" s="190"/>
      <c r="Z2120" s="190"/>
      <c r="AA2120" s="190"/>
      <c r="AB2120" s="190"/>
      <c r="AC2120" s="190"/>
      <c r="AD2120" s="190"/>
      <c r="AE2120" s="190"/>
      <c r="AF2120" s="190"/>
      <c r="AG2120" s="190"/>
      <c r="AH2120" s="190"/>
      <c r="AI2120" s="190"/>
      <c r="AJ2120" s="190"/>
      <c r="AK2120" s="190"/>
      <c r="AL2120" s="190"/>
    </row>
    <row r="2121" spans="2:38" ht="12.75" customHeight="1">
      <c r="B2121" s="485"/>
      <c r="C2121" s="6"/>
      <c r="D2121" s="12"/>
      <c r="E2121" s="12"/>
      <c r="F2121" s="12"/>
      <c r="G2121" s="12"/>
      <c r="H2121" s="6"/>
      <c r="I2121" s="190"/>
      <c r="J2121" s="190"/>
      <c r="K2121" s="190"/>
      <c r="L2121" s="190"/>
      <c r="M2121" s="190"/>
      <c r="N2121" s="190"/>
      <c r="O2121" s="190"/>
      <c r="P2121" s="190"/>
      <c r="Q2121" s="190"/>
      <c r="R2121" s="190"/>
      <c r="S2121" s="190"/>
      <c r="T2121" s="190"/>
      <c r="U2121" s="190"/>
      <c r="V2121" s="190"/>
      <c r="W2121" s="190"/>
      <c r="X2121" s="190"/>
      <c r="Y2121" s="190"/>
      <c r="Z2121" s="190"/>
      <c r="AA2121" s="190"/>
      <c r="AB2121" s="190"/>
      <c r="AC2121" s="190"/>
      <c r="AD2121" s="190"/>
      <c r="AE2121" s="190"/>
      <c r="AF2121" s="190"/>
      <c r="AG2121" s="190"/>
      <c r="AH2121" s="190"/>
      <c r="AI2121" s="190"/>
      <c r="AJ2121" s="190"/>
      <c r="AK2121" s="190"/>
      <c r="AL2121" s="190"/>
    </row>
    <row r="2122" spans="2:38" ht="12.75" customHeight="1">
      <c r="B2122" s="485"/>
      <c r="C2122" s="6"/>
      <c r="D2122" s="12"/>
      <c r="E2122" s="12"/>
      <c r="F2122" s="12"/>
      <c r="G2122" s="12"/>
      <c r="H2122" s="6"/>
      <c r="I2122" s="190"/>
      <c r="J2122" s="190"/>
      <c r="K2122" s="190"/>
      <c r="L2122" s="190"/>
      <c r="M2122" s="190"/>
      <c r="N2122" s="190"/>
      <c r="O2122" s="190"/>
      <c r="P2122" s="190"/>
      <c r="Q2122" s="190"/>
      <c r="R2122" s="190"/>
      <c r="S2122" s="190"/>
      <c r="T2122" s="190"/>
      <c r="U2122" s="190"/>
      <c r="V2122" s="190"/>
      <c r="W2122" s="190"/>
      <c r="X2122" s="190"/>
      <c r="Y2122" s="190"/>
      <c r="Z2122" s="190"/>
      <c r="AA2122" s="190"/>
      <c r="AB2122" s="190"/>
      <c r="AC2122" s="190"/>
      <c r="AD2122" s="190"/>
      <c r="AE2122" s="190"/>
      <c r="AF2122" s="190"/>
      <c r="AG2122" s="190"/>
      <c r="AH2122" s="190"/>
      <c r="AI2122" s="190"/>
      <c r="AJ2122" s="190"/>
      <c r="AK2122" s="190"/>
      <c r="AL2122" s="190"/>
    </row>
    <row r="2123" spans="2:38" ht="12.75" customHeight="1">
      <c r="B2123" s="485"/>
      <c r="C2123" s="6"/>
      <c r="D2123" s="12"/>
      <c r="E2123" s="12"/>
      <c r="F2123" s="12"/>
      <c r="G2123" s="12"/>
      <c r="H2123" s="6"/>
      <c r="I2123" s="190"/>
      <c r="J2123" s="190"/>
      <c r="K2123" s="190"/>
      <c r="L2123" s="190"/>
      <c r="M2123" s="190"/>
      <c r="N2123" s="190"/>
      <c r="O2123" s="190"/>
      <c r="P2123" s="190"/>
      <c r="Q2123" s="190"/>
      <c r="R2123" s="190"/>
      <c r="S2123" s="190"/>
      <c r="T2123" s="190"/>
      <c r="U2123" s="190"/>
      <c r="V2123" s="190"/>
      <c r="W2123" s="190"/>
      <c r="X2123" s="190"/>
      <c r="Y2123" s="190"/>
      <c r="Z2123" s="190"/>
      <c r="AA2123" s="190"/>
      <c r="AB2123" s="190"/>
      <c r="AC2123" s="190"/>
      <c r="AD2123" s="190"/>
      <c r="AE2123" s="190"/>
      <c r="AF2123" s="190"/>
      <c r="AG2123" s="190"/>
      <c r="AH2123" s="190"/>
      <c r="AI2123" s="190"/>
      <c r="AJ2123" s="190"/>
      <c r="AK2123" s="190"/>
      <c r="AL2123" s="190"/>
    </row>
    <row r="2124" spans="2:38" ht="12.75" customHeight="1">
      <c r="B2124" s="485"/>
      <c r="C2124" s="6"/>
      <c r="D2124" s="12"/>
      <c r="E2124" s="12"/>
      <c r="F2124" s="12"/>
      <c r="G2124" s="12"/>
      <c r="H2124" s="6"/>
      <c r="I2124" s="190"/>
      <c r="J2124" s="190"/>
      <c r="K2124" s="190"/>
      <c r="L2124" s="190"/>
      <c r="M2124" s="190"/>
      <c r="N2124" s="190"/>
      <c r="O2124" s="190"/>
      <c r="P2124" s="190"/>
      <c r="Q2124" s="190"/>
      <c r="R2124" s="190"/>
      <c r="S2124" s="190"/>
      <c r="T2124" s="190"/>
      <c r="U2124" s="190"/>
      <c r="V2124" s="190"/>
      <c r="W2124" s="190"/>
      <c r="X2124" s="190"/>
      <c r="Y2124" s="190"/>
      <c r="Z2124" s="190"/>
      <c r="AA2124" s="190"/>
      <c r="AB2124" s="190"/>
      <c r="AC2124" s="190"/>
      <c r="AD2124" s="190"/>
      <c r="AE2124" s="190"/>
      <c r="AF2124" s="190"/>
      <c r="AG2124" s="190"/>
      <c r="AH2124" s="190"/>
      <c r="AI2124" s="190"/>
      <c r="AJ2124" s="190"/>
      <c r="AK2124" s="190"/>
      <c r="AL2124" s="190"/>
    </row>
    <row r="2125" spans="2:38" ht="12.75" customHeight="1">
      <c r="B2125" s="485"/>
      <c r="C2125" s="6"/>
      <c r="D2125" s="12"/>
      <c r="E2125" s="12"/>
      <c r="F2125" s="12"/>
      <c r="G2125" s="12"/>
      <c r="H2125" s="6"/>
      <c r="I2125" s="190"/>
      <c r="J2125" s="190"/>
      <c r="K2125" s="190"/>
      <c r="L2125" s="190"/>
      <c r="M2125" s="190"/>
      <c r="N2125" s="190"/>
      <c r="O2125" s="190"/>
      <c r="P2125" s="190"/>
      <c r="Q2125" s="190"/>
      <c r="R2125" s="190"/>
      <c r="S2125" s="190"/>
      <c r="T2125" s="190"/>
      <c r="U2125" s="190"/>
      <c r="V2125" s="190"/>
      <c r="W2125" s="190"/>
      <c r="X2125" s="190"/>
      <c r="Y2125" s="190"/>
      <c r="Z2125" s="190"/>
      <c r="AA2125" s="190"/>
      <c r="AB2125" s="190"/>
      <c r="AC2125" s="190"/>
      <c r="AD2125" s="190"/>
      <c r="AE2125" s="190"/>
      <c r="AF2125" s="190"/>
      <c r="AG2125" s="190"/>
      <c r="AH2125" s="190"/>
      <c r="AI2125" s="190"/>
      <c r="AJ2125" s="190"/>
      <c r="AK2125" s="190"/>
      <c r="AL2125" s="190"/>
    </row>
    <row r="2126" spans="2:38" ht="12.75" customHeight="1">
      <c r="B2126" s="485"/>
      <c r="C2126" s="6"/>
      <c r="D2126" s="12"/>
      <c r="E2126" s="12"/>
      <c r="F2126" s="12"/>
      <c r="G2126" s="12"/>
      <c r="H2126" s="6"/>
      <c r="I2126" s="190"/>
      <c r="J2126" s="190"/>
      <c r="K2126" s="190"/>
      <c r="L2126" s="190"/>
      <c r="M2126" s="190"/>
      <c r="N2126" s="190"/>
      <c r="O2126" s="190"/>
      <c r="P2126" s="190"/>
      <c r="Q2126" s="190"/>
      <c r="R2126" s="190"/>
      <c r="S2126" s="190"/>
      <c r="T2126" s="190"/>
      <c r="U2126" s="190"/>
      <c r="V2126" s="190"/>
      <c r="W2126" s="190"/>
      <c r="X2126" s="190"/>
      <c r="Y2126" s="190"/>
      <c r="Z2126" s="190"/>
      <c r="AA2126" s="190"/>
      <c r="AB2126" s="190"/>
      <c r="AC2126" s="190"/>
      <c r="AD2126" s="190"/>
      <c r="AE2126" s="190"/>
      <c r="AF2126" s="190"/>
      <c r="AG2126" s="190"/>
      <c r="AH2126" s="190"/>
      <c r="AI2126" s="190"/>
      <c r="AJ2126" s="190"/>
      <c r="AK2126" s="190"/>
      <c r="AL2126" s="190"/>
    </row>
    <row r="2127" spans="2:38" ht="12.75" customHeight="1">
      <c r="B2127" s="485"/>
      <c r="C2127" s="6"/>
      <c r="D2127" s="12"/>
      <c r="E2127" s="12"/>
      <c r="F2127" s="12"/>
      <c r="G2127" s="12"/>
      <c r="H2127" s="6"/>
      <c r="I2127" s="190"/>
      <c r="J2127" s="190"/>
      <c r="K2127" s="190"/>
      <c r="L2127" s="190"/>
      <c r="M2127" s="190"/>
      <c r="N2127" s="190"/>
      <c r="O2127" s="190"/>
      <c r="P2127" s="190"/>
      <c r="Q2127" s="190"/>
      <c r="R2127" s="190"/>
      <c r="S2127" s="190"/>
      <c r="T2127" s="190"/>
      <c r="U2127" s="190"/>
      <c r="V2127" s="190"/>
      <c r="W2127" s="190"/>
      <c r="X2127" s="190"/>
      <c r="Y2127" s="190"/>
      <c r="Z2127" s="190"/>
      <c r="AA2127" s="190"/>
      <c r="AB2127" s="190"/>
      <c r="AC2127" s="190"/>
      <c r="AD2127" s="190"/>
      <c r="AE2127" s="190"/>
      <c r="AF2127" s="190"/>
      <c r="AG2127" s="190"/>
      <c r="AH2127" s="190"/>
      <c r="AI2127" s="190"/>
      <c r="AJ2127" s="190"/>
      <c r="AK2127" s="190"/>
      <c r="AL2127" s="190"/>
    </row>
    <row r="2128" spans="2:38" ht="12.75" customHeight="1">
      <c r="B2128" s="485"/>
      <c r="C2128" s="6"/>
      <c r="D2128" s="12"/>
      <c r="E2128" s="12"/>
      <c r="F2128" s="12"/>
      <c r="G2128" s="12"/>
      <c r="H2128" s="6"/>
      <c r="I2128" s="190"/>
      <c r="J2128" s="190"/>
      <c r="K2128" s="190"/>
      <c r="L2128" s="190"/>
      <c r="M2128" s="190"/>
      <c r="N2128" s="190"/>
      <c r="O2128" s="190"/>
      <c r="P2128" s="190"/>
      <c r="Q2128" s="190"/>
      <c r="R2128" s="190"/>
      <c r="S2128" s="190"/>
      <c r="T2128" s="190"/>
      <c r="U2128" s="190"/>
      <c r="V2128" s="190"/>
      <c r="W2128" s="190"/>
      <c r="X2128" s="190"/>
      <c r="Y2128" s="190"/>
      <c r="Z2128" s="190"/>
      <c r="AA2128" s="190"/>
      <c r="AB2128" s="190"/>
      <c r="AC2128" s="190"/>
      <c r="AD2128" s="190"/>
      <c r="AE2128" s="190"/>
      <c r="AF2128" s="190"/>
      <c r="AG2128" s="190"/>
      <c r="AH2128" s="190"/>
      <c r="AI2128" s="190"/>
      <c r="AJ2128" s="190"/>
      <c r="AK2128" s="190"/>
      <c r="AL2128" s="190"/>
    </row>
    <row r="2129" spans="2:38" ht="12.75" customHeight="1">
      <c r="B2129" s="485"/>
      <c r="C2129" s="6"/>
      <c r="D2129" s="12"/>
      <c r="E2129" s="12"/>
      <c r="F2129" s="12"/>
      <c r="G2129" s="12"/>
      <c r="H2129" s="6"/>
      <c r="I2129" s="190"/>
      <c r="J2129" s="190"/>
      <c r="K2129" s="190"/>
      <c r="L2129" s="190"/>
      <c r="M2129" s="190"/>
      <c r="N2129" s="190"/>
      <c r="O2129" s="190"/>
      <c r="P2129" s="190"/>
      <c r="Q2129" s="190"/>
      <c r="R2129" s="190"/>
      <c r="S2129" s="190"/>
      <c r="T2129" s="190"/>
      <c r="U2129" s="190"/>
      <c r="V2129" s="190"/>
      <c r="W2129" s="190"/>
      <c r="X2129" s="190"/>
      <c r="Y2129" s="190"/>
      <c r="Z2129" s="190"/>
      <c r="AA2129" s="190"/>
      <c r="AB2129" s="190"/>
      <c r="AC2129" s="190"/>
      <c r="AD2129" s="190"/>
      <c r="AE2129" s="190"/>
      <c r="AF2129" s="190"/>
      <c r="AG2129" s="190"/>
      <c r="AH2129" s="190"/>
      <c r="AI2129" s="190"/>
      <c r="AJ2129" s="190"/>
      <c r="AK2129" s="190"/>
      <c r="AL2129" s="190"/>
    </row>
    <row r="2130" spans="2:38" ht="12.75" customHeight="1">
      <c r="B2130" s="485"/>
      <c r="C2130" s="6"/>
      <c r="D2130" s="12"/>
      <c r="E2130" s="12"/>
      <c r="F2130" s="12"/>
      <c r="G2130" s="12"/>
      <c r="H2130" s="6"/>
      <c r="I2130" s="190"/>
      <c r="J2130" s="190"/>
      <c r="K2130" s="190"/>
      <c r="L2130" s="190"/>
      <c r="M2130" s="190"/>
      <c r="N2130" s="190"/>
      <c r="O2130" s="190"/>
      <c r="P2130" s="190"/>
      <c r="Q2130" s="190"/>
      <c r="R2130" s="190"/>
      <c r="S2130" s="190"/>
      <c r="T2130" s="190"/>
      <c r="U2130" s="190"/>
      <c r="V2130" s="190"/>
      <c r="W2130" s="190"/>
      <c r="X2130" s="190"/>
      <c r="Y2130" s="190"/>
      <c r="Z2130" s="190"/>
      <c r="AA2130" s="190"/>
      <c r="AB2130" s="190"/>
      <c r="AC2130" s="190"/>
      <c r="AD2130" s="190"/>
      <c r="AE2130" s="190"/>
      <c r="AF2130" s="190"/>
      <c r="AG2130" s="190"/>
      <c r="AH2130" s="190"/>
      <c r="AI2130" s="190"/>
      <c r="AJ2130" s="190"/>
      <c r="AK2130" s="190"/>
      <c r="AL2130" s="190"/>
    </row>
    <row r="2131" spans="2:38" ht="12.75" customHeight="1">
      <c r="B2131" s="485"/>
      <c r="C2131" s="6"/>
      <c r="D2131" s="12"/>
      <c r="E2131" s="12"/>
      <c r="F2131" s="12"/>
      <c r="G2131" s="12"/>
      <c r="H2131" s="6"/>
      <c r="I2131" s="190"/>
      <c r="J2131" s="190"/>
      <c r="K2131" s="190"/>
      <c r="L2131" s="190"/>
      <c r="M2131" s="190"/>
      <c r="N2131" s="190"/>
      <c r="O2131" s="190"/>
      <c r="P2131" s="190"/>
      <c r="Q2131" s="190"/>
      <c r="R2131" s="190"/>
      <c r="S2131" s="190"/>
      <c r="T2131" s="190"/>
      <c r="U2131" s="190"/>
      <c r="V2131" s="190"/>
      <c r="W2131" s="190"/>
      <c r="X2131" s="190"/>
      <c r="Y2131" s="190"/>
      <c r="Z2131" s="190"/>
      <c r="AA2131" s="190"/>
      <c r="AB2131" s="190"/>
      <c r="AC2131" s="190"/>
      <c r="AD2131" s="190"/>
      <c r="AE2131" s="190"/>
      <c r="AF2131" s="190"/>
      <c r="AG2131" s="190"/>
      <c r="AH2131" s="190"/>
      <c r="AI2131" s="190"/>
      <c r="AJ2131" s="190"/>
      <c r="AK2131" s="190"/>
      <c r="AL2131" s="190"/>
    </row>
    <row r="2132" spans="2:38" ht="12.75" customHeight="1">
      <c r="B2132" s="485"/>
      <c r="C2132" s="6"/>
      <c r="D2132" s="12"/>
      <c r="E2132" s="12"/>
      <c r="F2132" s="12"/>
      <c r="G2132" s="12"/>
      <c r="H2132" s="6"/>
      <c r="I2132" s="190"/>
      <c r="J2132" s="190"/>
      <c r="K2132" s="190"/>
      <c r="L2132" s="190"/>
      <c r="M2132" s="190"/>
      <c r="N2132" s="190"/>
      <c r="O2132" s="190"/>
      <c r="P2132" s="190"/>
      <c r="Q2132" s="190"/>
      <c r="R2132" s="190"/>
      <c r="S2132" s="190"/>
      <c r="T2132" s="190"/>
      <c r="U2132" s="190"/>
      <c r="V2132" s="190"/>
      <c r="W2132" s="190"/>
      <c r="X2132" s="190"/>
      <c r="Y2132" s="190"/>
      <c r="Z2132" s="190"/>
      <c r="AA2132" s="190"/>
      <c r="AB2132" s="190"/>
      <c r="AC2132" s="190"/>
      <c r="AD2132" s="190"/>
      <c r="AE2132" s="190"/>
      <c r="AF2132" s="190"/>
      <c r="AG2132" s="190"/>
      <c r="AH2132" s="190"/>
      <c r="AI2132" s="190"/>
      <c r="AJ2132" s="190"/>
      <c r="AK2132" s="190"/>
      <c r="AL2132" s="190"/>
    </row>
    <row r="2133" spans="2:38" ht="12.75" customHeight="1">
      <c r="B2133" s="485"/>
      <c r="C2133" s="6"/>
      <c r="D2133" s="12"/>
      <c r="E2133" s="12"/>
      <c r="F2133" s="12"/>
      <c r="G2133" s="12"/>
      <c r="H2133" s="6"/>
      <c r="I2133" s="190"/>
      <c r="J2133" s="190"/>
      <c r="K2133" s="190"/>
      <c r="L2133" s="190"/>
      <c r="M2133" s="190"/>
      <c r="N2133" s="190"/>
      <c r="O2133" s="190"/>
      <c r="P2133" s="190"/>
      <c r="Q2133" s="190"/>
      <c r="R2133" s="190"/>
      <c r="S2133" s="190"/>
      <c r="T2133" s="190"/>
      <c r="U2133" s="190"/>
      <c r="V2133" s="190"/>
      <c r="W2133" s="190"/>
      <c r="X2133" s="190"/>
      <c r="Y2133" s="190"/>
      <c r="Z2133" s="190"/>
      <c r="AA2133" s="190"/>
      <c r="AB2133" s="190"/>
      <c r="AC2133" s="190"/>
      <c r="AD2133" s="190"/>
      <c r="AE2133" s="190"/>
      <c r="AF2133" s="190"/>
      <c r="AG2133" s="190"/>
      <c r="AH2133" s="190"/>
      <c r="AI2133" s="190"/>
      <c r="AJ2133" s="190"/>
      <c r="AK2133" s="190"/>
      <c r="AL2133" s="190"/>
    </row>
    <row r="2134" spans="2:38" ht="12.75" customHeight="1">
      <c r="B2134" s="485"/>
      <c r="C2134" s="6"/>
      <c r="D2134" s="12"/>
      <c r="E2134" s="12"/>
      <c r="F2134" s="12"/>
      <c r="G2134" s="12"/>
      <c r="H2134" s="6"/>
      <c r="I2134" s="190"/>
      <c r="J2134" s="190"/>
      <c r="K2134" s="190"/>
      <c r="L2134" s="190"/>
      <c r="M2134" s="190"/>
      <c r="N2134" s="190"/>
      <c r="O2134" s="190"/>
      <c r="P2134" s="190"/>
      <c r="Q2134" s="190"/>
      <c r="R2134" s="190"/>
      <c r="S2134" s="190"/>
      <c r="T2134" s="190"/>
      <c r="U2134" s="190"/>
      <c r="V2134" s="190"/>
      <c r="W2134" s="190"/>
      <c r="X2134" s="190"/>
      <c r="Y2134" s="190"/>
      <c r="Z2134" s="190"/>
      <c r="AA2134" s="190"/>
      <c r="AB2134" s="190"/>
      <c r="AC2134" s="190"/>
      <c r="AD2134" s="190"/>
      <c r="AE2134" s="190"/>
      <c r="AF2134" s="190"/>
      <c r="AG2134" s="190"/>
      <c r="AH2134" s="190"/>
      <c r="AI2134" s="190"/>
      <c r="AJ2134" s="190"/>
      <c r="AK2134" s="190"/>
      <c r="AL2134" s="190"/>
    </row>
    <row r="2135" spans="2:38" ht="12.75" customHeight="1">
      <c r="B2135" s="485"/>
      <c r="C2135" s="6"/>
      <c r="D2135" s="12"/>
      <c r="E2135" s="12"/>
      <c r="F2135" s="12"/>
      <c r="G2135" s="12"/>
      <c r="H2135" s="6"/>
      <c r="I2135" s="190"/>
      <c r="J2135" s="190"/>
      <c r="K2135" s="190"/>
      <c r="L2135" s="190"/>
      <c r="M2135" s="190"/>
      <c r="N2135" s="190"/>
      <c r="O2135" s="190"/>
      <c r="P2135" s="190"/>
      <c r="Q2135" s="190"/>
      <c r="R2135" s="190"/>
      <c r="S2135" s="190"/>
      <c r="T2135" s="190"/>
      <c r="U2135" s="190"/>
      <c r="V2135" s="190"/>
      <c r="W2135" s="190"/>
      <c r="X2135" s="190"/>
      <c r="Y2135" s="190"/>
      <c r="Z2135" s="190"/>
      <c r="AA2135" s="190"/>
      <c r="AB2135" s="190"/>
      <c r="AC2135" s="190"/>
      <c r="AD2135" s="190"/>
      <c r="AE2135" s="190"/>
      <c r="AF2135" s="190"/>
      <c r="AG2135" s="190"/>
      <c r="AH2135" s="190"/>
      <c r="AI2135" s="190"/>
      <c r="AJ2135" s="190"/>
      <c r="AK2135" s="190"/>
      <c r="AL2135" s="190"/>
    </row>
    <row r="2136" spans="2:38" ht="12.75" customHeight="1">
      <c r="B2136" s="485"/>
      <c r="C2136" s="6"/>
      <c r="D2136" s="12"/>
      <c r="E2136" s="12"/>
      <c r="F2136" s="12"/>
      <c r="G2136" s="12"/>
      <c r="H2136" s="6"/>
      <c r="I2136" s="190"/>
      <c r="J2136" s="190"/>
      <c r="K2136" s="190"/>
      <c r="L2136" s="190"/>
      <c r="M2136" s="190"/>
      <c r="N2136" s="190"/>
      <c r="O2136" s="190"/>
      <c r="P2136" s="190"/>
      <c r="Q2136" s="190"/>
      <c r="R2136" s="190"/>
      <c r="S2136" s="190"/>
      <c r="T2136" s="190"/>
      <c r="U2136" s="190"/>
      <c r="V2136" s="190"/>
      <c r="W2136" s="190"/>
      <c r="X2136" s="190"/>
      <c r="Y2136" s="190"/>
      <c r="Z2136" s="190"/>
      <c r="AA2136" s="190"/>
      <c r="AB2136" s="190"/>
      <c r="AC2136" s="190"/>
      <c r="AD2136" s="190"/>
      <c r="AE2136" s="190"/>
      <c r="AF2136" s="190"/>
      <c r="AG2136" s="190"/>
      <c r="AH2136" s="190"/>
      <c r="AI2136" s="190"/>
      <c r="AJ2136" s="190"/>
      <c r="AK2136" s="190"/>
      <c r="AL2136" s="190"/>
    </row>
    <row r="2137" spans="2:38" ht="12.75" customHeight="1">
      <c r="B2137" s="485"/>
      <c r="C2137" s="6"/>
      <c r="D2137" s="12"/>
      <c r="E2137" s="12"/>
      <c r="F2137" s="12"/>
      <c r="G2137" s="12"/>
      <c r="H2137" s="6"/>
      <c r="I2137" s="190"/>
      <c r="J2137" s="190"/>
      <c r="K2137" s="190"/>
      <c r="L2137" s="190"/>
      <c r="M2137" s="190"/>
      <c r="N2137" s="190"/>
      <c r="O2137" s="190"/>
      <c r="P2137" s="190"/>
      <c r="Q2137" s="190"/>
      <c r="R2137" s="190"/>
      <c r="S2137" s="190"/>
      <c r="T2137" s="190"/>
      <c r="U2137" s="190"/>
      <c r="V2137" s="190"/>
      <c r="W2137" s="190"/>
      <c r="X2137" s="190"/>
      <c r="Y2137" s="190"/>
      <c r="Z2137" s="190"/>
      <c r="AA2137" s="190"/>
      <c r="AB2137" s="190"/>
      <c r="AC2137" s="190"/>
      <c r="AD2137" s="190"/>
      <c r="AE2137" s="190"/>
      <c r="AF2137" s="190"/>
      <c r="AG2137" s="190"/>
      <c r="AH2137" s="190"/>
      <c r="AI2137" s="190"/>
      <c r="AJ2137" s="190"/>
      <c r="AK2137" s="190"/>
      <c r="AL2137" s="190"/>
    </row>
    <row r="2138" spans="2:38" ht="12.75" customHeight="1">
      <c r="B2138" s="485"/>
      <c r="C2138" s="6"/>
      <c r="D2138" s="12"/>
      <c r="E2138" s="12"/>
      <c r="F2138" s="12"/>
      <c r="G2138" s="12"/>
      <c r="H2138" s="6"/>
      <c r="I2138" s="190"/>
      <c r="J2138" s="190"/>
      <c r="K2138" s="190"/>
      <c r="L2138" s="190"/>
      <c r="M2138" s="190"/>
      <c r="N2138" s="190"/>
      <c r="O2138" s="190"/>
      <c r="P2138" s="190"/>
      <c r="Q2138" s="190"/>
      <c r="R2138" s="190"/>
      <c r="S2138" s="190"/>
      <c r="T2138" s="190"/>
      <c r="U2138" s="190"/>
      <c r="V2138" s="190"/>
      <c r="W2138" s="190"/>
      <c r="X2138" s="190"/>
      <c r="Y2138" s="190"/>
      <c r="Z2138" s="190"/>
      <c r="AA2138" s="190"/>
      <c r="AB2138" s="190"/>
      <c r="AC2138" s="190"/>
      <c r="AD2138" s="190"/>
      <c r="AE2138" s="190"/>
      <c r="AF2138" s="190"/>
      <c r="AG2138" s="190"/>
      <c r="AH2138" s="190"/>
      <c r="AI2138" s="190"/>
      <c r="AJ2138" s="190"/>
      <c r="AK2138" s="190"/>
      <c r="AL2138" s="190"/>
    </row>
    <row r="2139" spans="2:38" ht="12.75" customHeight="1">
      <c r="B2139" s="485"/>
      <c r="C2139" s="6"/>
      <c r="D2139" s="12"/>
      <c r="E2139" s="12"/>
      <c r="F2139" s="12"/>
      <c r="G2139" s="12"/>
      <c r="H2139" s="6"/>
      <c r="I2139" s="190"/>
      <c r="J2139" s="190"/>
      <c r="K2139" s="190"/>
      <c r="L2139" s="190"/>
      <c r="M2139" s="190"/>
      <c r="N2139" s="190"/>
      <c r="O2139" s="190"/>
      <c r="P2139" s="190"/>
      <c r="Q2139" s="190"/>
      <c r="R2139" s="190"/>
      <c r="S2139" s="190"/>
      <c r="T2139" s="190"/>
      <c r="U2139" s="190"/>
      <c r="V2139" s="190"/>
      <c r="W2139" s="190"/>
      <c r="X2139" s="190"/>
      <c r="Y2139" s="190"/>
      <c r="Z2139" s="190"/>
      <c r="AA2139" s="190"/>
      <c r="AB2139" s="190"/>
      <c r="AC2139" s="190"/>
      <c r="AD2139" s="190"/>
      <c r="AE2139" s="190"/>
      <c r="AF2139" s="190"/>
      <c r="AG2139" s="190"/>
      <c r="AH2139" s="190"/>
      <c r="AI2139" s="190"/>
      <c r="AJ2139" s="190"/>
      <c r="AK2139" s="190"/>
      <c r="AL2139" s="190"/>
    </row>
    <row r="2140" spans="2:38" ht="12.75" customHeight="1">
      <c r="B2140" s="485"/>
      <c r="C2140" s="6"/>
      <c r="D2140" s="12"/>
      <c r="E2140" s="12"/>
      <c r="F2140" s="12"/>
      <c r="G2140" s="12"/>
      <c r="H2140" s="6"/>
      <c r="I2140" s="190"/>
      <c r="J2140" s="190"/>
      <c r="K2140" s="190"/>
      <c r="L2140" s="190"/>
      <c r="M2140" s="190"/>
      <c r="N2140" s="190"/>
      <c r="O2140" s="190"/>
      <c r="P2140" s="190"/>
      <c r="Q2140" s="190"/>
      <c r="R2140" s="190"/>
      <c r="S2140" s="190"/>
      <c r="T2140" s="190"/>
      <c r="U2140" s="190"/>
      <c r="V2140" s="190"/>
      <c r="W2140" s="190"/>
      <c r="X2140" s="190"/>
      <c r="Y2140" s="190"/>
      <c r="Z2140" s="190"/>
      <c r="AA2140" s="190"/>
      <c r="AB2140" s="190"/>
      <c r="AC2140" s="190"/>
      <c r="AD2140" s="190"/>
      <c r="AE2140" s="190"/>
      <c r="AF2140" s="190"/>
      <c r="AG2140" s="190"/>
      <c r="AH2140" s="190"/>
      <c r="AI2140" s="190"/>
      <c r="AJ2140" s="190"/>
      <c r="AK2140" s="190"/>
      <c r="AL2140" s="190"/>
    </row>
    <row r="2141" spans="2:38" ht="12.75" customHeight="1">
      <c r="B2141" s="485"/>
      <c r="C2141" s="6"/>
      <c r="D2141" s="12"/>
      <c r="E2141" s="12"/>
      <c r="F2141" s="12"/>
      <c r="G2141" s="12"/>
      <c r="H2141" s="6"/>
      <c r="I2141" s="190"/>
      <c r="J2141" s="190"/>
      <c r="K2141" s="190"/>
      <c r="L2141" s="190"/>
      <c r="M2141" s="190"/>
      <c r="N2141" s="190"/>
      <c r="O2141" s="190"/>
      <c r="P2141" s="190"/>
      <c r="Q2141" s="190"/>
      <c r="R2141" s="190"/>
      <c r="S2141" s="190"/>
      <c r="T2141" s="190"/>
      <c r="U2141" s="190"/>
      <c r="V2141" s="190"/>
      <c r="W2141" s="190"/>
      <c r="X2141" s="190"/>
      <c r="Y2141" s="190"/>
      <c r="Z2141" s="190"/>
      <c r="AA2141" s="190"/>
      <c r="AB2141" s="190"/>
      <c r="AC2141" s="190"/>
      <c r="AD2141" s="190"/>
      <c r="AE2141" s="190"/>
      <c r="AF2141" s="190"/>
      <c r="AG2141" s="190"/>
      <c r="AH2141" s="190"/>
      <c r="AI2141" s="190"/>
      <c r="AJ2141" s="190"/>
      <c r="AK2141" s="190"/>
      <c r="AL2141" s="190"/>
    </row>
    <row r="2142" spans="2:38" ht="12.75" customHeight="1">
      <c r="B2142" s="485"/>
      <c r="C2142" s="6"/>
      <c r="D2142" s="12"/>
      <c r="E2142" s="12"/>
      <c r="F2142" s="12"/>
      <c r="G2142" s="12"/>
      <c r="H2142" s="6"/>
      <c r="I2142" s="190"/>
      <c r="J2142" s="190"/>
      <c r="K2142" s="190"/>
      <c r="L2142" s="190"/>
      <c r="M2142" s="190"/>
      <c r="N2142" s="190"/>
      <c r="O2142" s="190"/>
      <c r="P2142" s="190"/>
      <c r="Q2142" s="190"/>
      <c r="R2142" s="190"/>
      <c r="S2142" s="190"/>
      <c r="T2142" s="190"/>
      <c r="U2142" s="190"/>
      <c r="V2142" s="190"/>
      <c r="W2142" s="190"/>
      <c r="X2142" s="190"/>
      <c r="Y2142" s="190"/>
      <c r="Z2142" s="190"/>
      <c r="AA2142" s="190"/>
      <c r="AB2142" s="190"/>
      <c r="AC2142" s="190"/>
      <c r="AD2142" s="190"/>
      <c r="AE2142" s="190"/>
      <c r="AF2142" s="190"/>
      <c r="AG2142" s="190"/>
      <c r="AH2142" s="190"/>
      <c r="AI2142" s="190"/>
      <c r="AJ2142" s="190"/>
      <c r="AK2142" s="190"/>
      <c r="AL2142" s="190"/>
    </row>
    <row r="2143" spans="2:38" ht="12.75" customHeight="1">
      <c r="B2143" s="485"/>
      <c r="C2143" s="6"/>
      <c r="D2143" s="12"/>
      <c r="E2143" s="12"/>
      <c r="F2143" s="12"/>
      <c r="G2143" s="12"/>
      <c r="H2143" s="6"/>
      <c r="I2143" s="190"/>
      <c r="J2143" s="190"/>
      <c r="K2143" s="190"/>
      <c r="L2143" s="190"/>
      <c r="M2143" s="190"/>
      <c r="N2143" s="190"/>
      <c r="O2143" s="190"/>
      <c r="P2143" s="190"/>
      <c r="Q2143" s="190"/>
      <c r="R2143" s="190"/>
      <c r="S2143" s="190"/>
      <c r="T2143" s="190"/>
      <c r="U2143" s="190"/>
      <c r="V2143" s="190"/>
      <c r="W2143" s="190"/>
      <c r="X2143" s="190"/>
      <c r="Y2143" s="190"/>
      <c r="Z2143" s="190"/>
      <c r="AA2143" s="190"/>
      <c r="AB2143" s="190"/>
      <c r="AC2143" s="190"/>
      <c r="AD2143" s="190"/>
      <c r="AE2143" s="190"/>
      <c r="AF2143" s="190"/>
      <c r="AG2143" s="190"/>
      <c r="AH2143" s="190"/>
      <c r="AI2143" s="190"/>
      <c r="AJ2143" s="190"/>
      <c r="AK2143" s="190"/>
      <c r="AL2143" s="190"/>
    </row>
    <row r="2144" spans="2:38" ht="12.75" customHeight="1">
      <c r="B2144" s="485"/>
      <c r="C2144" s="6"/>
      <c r="D2144" s="12"/>
      <c r="E2144" s="12"/>
      <c r="F2144" s="12"/>
      <c r="G2144" s="12"/>
      <c r="H2144" s="6"/>
      <c r="I2144" s="190"/>
      <c r="J2144" s="190"/>
      <c r="K2144" s="190"/>
      <c r="L2144" s="190"/>
      <c r="M2144" s="190"/>
      <c r="N2144" s="190"/>
      <c r="O2144" s="190"/>
      <c r="P2144" s="190"/>
      <c r="Q2144" s="190"/>
      <c r="R2144" s="190"/>
      <c r="S2144" s="190"/>
      <c r="T2144" s="190"/>
      <c r="U2144" s="190"/>
      <c r="V2144" s="190"/>
      <c r="W2144" s="190"/>
      <c r="X2144" s="190"/>
      <c r="Y2144" s="190"/>
      <c r="Z2144" s="190"/>
      <c r="AA2144" s="190"/>
      <c r="AB2144" s="190"/>
      <c r="AC2144" s="190"/>
      <c r="AD2144" s="190"/>
      <c r="AE2144" s="190"/>
      <c r="AF2144" s="190"/>
      <c r="AG2144" s="190"/>
      <c r="AH2144" s="190"/>
      <c r="AI2144" s="190"/>
      <c r="AJ2144" s="190"/>
      <c r="AK2144" s="190"/>
      <c r="AL2144" s="190"/>
    </row>
    <row r="2145" spans="2:38" ht="12.75" customHeight="1">
      <c r="B2145" s="485"/>
      <c r="C2145" s="6"/>
      <c r="D2145" s="12"/>
      <c r="E2145" s="12"/>
      <c r="F2145" s="12"/>
      <c r="G2145" s="12"/>
      <c r="H2145" s="6"/>
      <c r="I2145" s="190"/>
      <c r="J2145" s="190"/>
      <c r="K2145" s="190"/>
      <c r="L2145" s="190"/>
      <c r="M2145" s="190"/>
      <c r="N2145" s="190"/>
      <c r="O2145" s="190"/>
      <c r="P2145" s="190"/>
      <c r="Q2145" s="190"/>
      <c r="R2145" s="190"/>
      <c r="S2145" s="190"/>
      <c r="T2145" s="190"/>
      <c r="U2145" s="190"/>
      <c r="V2145" s="190"/>
      <c r="W2145" s="190"/>
      <c r="X2145" s="190"/>
      <c r="Y2145" s="190"/>
      <c r="Z2145" s="190"/>
      <c r="AA2145" s="190"/>
      <c r="AB2145" s="190"/>
      <c r="AC2145" s="190"/>
      <c r="AD2145" s="190"/>
      <c r="AE2145" s="190"/>
      <c r="AF2145" s="190"/>
      <c r="AG2145" s="190"/>
      <c r="AH2145" s="190"/>
      <c r="AI2145" s="190"/>
      <c r="AJ2145" s="190"/>
      <c r="AK2145" s="190"/>
      <c r="AL2145" s="190"/>
    </row>
    <row r="2146" spans="2:38" ht="12.75" customHeight="1">
      <c r="B2146" s="485"/>
      <c r="C2146" s="6"/>
      <c r="D2146" s="12"/>
      <c r="E2146" s="12"/>
      <c r="F2146" s="12"/>
      <c r="G2146" s="12"/>
      <c r="H2146" s="6"/>
      <c r="I2146" s="190"/>
      <c r="J2146" s="190"/>
      <c r="K2146" s="190"/>
      <c r="L2146" s="190"/>
      <c r="M2146" s="190"/>
      <c r="N2146" s="190"/>
      <c r="O2146" s="190"/>
      <c r="P2146" s="190"/>
      <c r="Q2146" s="190"/>
      <c r="R2146" s="190"/>
      <c r="S2146" s="190"/>
      <c r="T2146" s="190"/>
      <c r="U2146" s="190"/>
      <c r="V2146" s="190"/>
      <c r="W2146" s="190"/>
      <c r="X2146" s="190"/>
      <c r="Y2146" s="190"/>
      <c r="Z2146" s="190"/>
      <c r="AA2146" s="190"/>
      <c r="AB2146" s="190"/>
      <c r="AC2146" s="190"/>
      <c r="AD2146" s="190"/>
      <c r="AE2146" s="190"/>
      <c r="AF2146" s="190"/>
      <c r="AG2146" s="190"/>
      <c r="AH2146" s="190"/>
      <c r="AI2146" s="190"/>
      <c r="AJ2146" s="190"/>
      <c r="AK2146" s="190"/>
      <c r="AL2146" s="190"/>
    </row>
    <row r="2147" spans="2:38" ht="12.75" customHeight="1">
      <c r="B2147" s="485"/>
      <c r="C2147" s="6"/>
      <c r="D2147" s="12"/>
      <c r="E2147" s="12"/>
      <c r="F2147" s="12"/>
      <c r="G2147" s="12"/>
      <c r="H2147" s="6"/>
      <c r="I2147" s="190"/>
      <c r="J2147" s="190"/>
      <c r="K2147" s="190"/>
      <c r="L2147" s="190"/>
      <c r="M2147" s="190"/>
      <c r="N2147" s="190"/>
      <c r="O2147" s="190"/>
      <c r="P2147" s="190"/>
      <c r="Q2147" s="190"/>
      <c r="R2147" s="190"/>
      <c r="S2147" s="190"/>
      <c r="T2147" s="190"/>
      <c r="U2147" s="190"/>
      <c r="V2147" s="190"/>
      <c r="W2147" s="190"/>
      <c r="X2147" s="190"/>
      <c r="Y2147" s="190"/>
      <c r="Z2147" s="190"/>
      <c r="AA2147" s="190"/>
      <c r="AB2147" s="190"/>
      <c r="AC2147" s="190"/>
      <c r="AD2147" s="190"/>
      <c r="AE2147" s="190"/>
      <c r="AF2147" s="190"/>
      <c r="AG2147" s="190"/>
      <c r="AH2147" s="190"/>
      <c r="AI2147" s="190"/>
      <c r="AJ2147" s="190"/>
      <c r="AK2147" s="190"/>
      <c r="AL2147" s="190"/>
    </row>
    <row r="2148" spans="2:38" ht="12.75" customHeight="1">
      <c r="B2148" s="485"/>
      <c r="C2148" s="6"/>
      <c r="D2148" s="12"/>
      <c r="E2148" s="12"/>
      <c r="F2148" s="12"/>
      <c r="G2148" s="12"/>
      <c r="H2148" s="6"/>
      <c r="I2148" s="190"/>
      <c r="J2148" s="190"/>
      <c r="K2148" s="190"/>
      <c r="L2148" s="190"/>
      <c r="M2148" s="190"/>
      <c r="N2148" s="190"/>
      <c r="O2148" s="190"/>
      <c r="P2148" s="190"/>
      <c r="Q2148" s="190"/>
      <c r="R2148" s="190"/>
      <c r="S2148" s="190"/>
      <c r="T2148" s="190"/>
      <c r="U2148" s="190"/>
      <c r="V2148" s="190"/>
      <c r="W2148" s="190"/>
      <c r="X2148" s="190"/>
      <c r="Y2148" s="190"/>
      <c r="Z2148" s="190"/>
      <c r="AA2148" s="190"/>
      <c r="AB2148" s="190"/>
      <c r="AC2148" s="190"/>
      <c r="AD2148" s="190"/>
      <c r="AE2148" s="190"/>
      <c r="AF2148" s="190"/>
      <c r="AG2148" s="190"/>
      <c r="AH2148" s="190"/>
      <c r="AI2148" s="190"/>
      <c r="AJ2148" s="190"/>
      <c r="AK2148" s="190"/>
      <c r="AL2148" s="190"/>
    </row>
    <row r="2149" spans="2:38" ht="12.75" customHeight="1">
      <c r="B2149" s="485"/>
      <c r="C2149" s="6"/>
      <c r="D2149" s="12"/>
      <c r="E2149" s="12"/>
      <c r="F2149" s="12"/>
      <c r="G2149" s="12"/>
      <c r="H2149" s="6"/>
      <c r="I2149" s="190"/>
      <c r="J2149" s="190"/>
      <c r="K2149" s="190"/>
      <c r="L2149" s="190"/>
      <c r="M2149" s="190"/>
      <c r="N2149" s="190"/>
      <c r="O2149" s="190"/>
      <c r="P2149" s="190"/>
      <c r="Q2149" s="190"/>
      <c r="R2149" s="190"/>
      <c r="S2149" s="190"/>
      <c r="T2149" s="190"/>
      <c r="U2149" s="190"/>
      <c r="V2149" s="190"/>
      <c r="W2149" s="190"/>
      <c r="X2149" s="190"/>
      <c r="Y2149" s="190"/>
      <c r="Z2149" s="190"/>
      <c r="AA2149" s="190"/>
      <c r="AB2149" s="190"/>
      <c r="AC2149" s="190"/>
      <c r="AD2149" s="190"/>
      <c r="AE2149" s="190"/>
      <c r="AF2149" s="190"/>
      <c r="AG2149" s="190"/>
      <c r="AH2149" s="190"/>
      <c r="AI2149" s="190"/>
      <c r="AJ2149" s="190"/>
      <c r="AK2149" s="190"/>
      <c r="AL2149" s="190"/>
    </row>
    <row r="2150" spans="2:38" ht="12.75" customHeight="1">
      <c r="B2150" s="485"/>
      <c r="C2150" s="6"/>
      <c r="D2150" s="12"/>
      <c r="E2150" s="12"/>
      <c r="F2150" s="12"/>
      <c r="G2150" s="12"/>
      <c r="H2150" s="6"/>
      <c r="I2150" s="190"/>
      <c r="J2150" s="190"/>
      <c r="K2150" s="190"/>
      <c r="L2150" s="190"/>
      <c r="M2150" s="190"/>
      <c r="N2150" s="190"/>
      <c r="O2150" s="190"/>
      <c r="P2150" s="190"/>
      <c r="Q2150" s="190"/>
      <c r="R2150" s="190"/>
      <c r="S2150" s="190"/>
      <c r="T2150" s="190"/>
      <c r="U2150" s="190"/>
      <c r="V2150" s="190"/>
      <c r="W2150" s="190"/>
      <c r="X2150" s="190"/>
      <c r="Y2150" s="190"/>
      <c r="Z2150" s="190"/>
      <c r="AA2150" s="190"/>
      <c r="AB2150" s="190"/>
      <c r="AC2150" s="190"/>
      <c r="AD2150" s="190"/>
      <c r="AE2150" s="190"/>
      <c r="AF2150" s="190"/>
      <c r="AG2150" s="190"/>
      <c r="AH2150" s="190"/>
      <c r="AI2150" s="190"/>
      <c r="AJ2150" s="190"/>
      <c r="AK2150" s="190"/>
      <c r="AL2150" s="190"/>
    </row>
    <row r="2151" spans="2:38" ht="12.75" customHeight="1">
      <c r="B2151" s="485"/>
      <c r="C2151" s="6"/>
      <c r="D2151" s="12"/>
      <c r="E2151" s="12"/>
      <c r="F2151" s="12"/>
      <c r="G2151" s="12"/>
      <c r="H2151" s="6"/>
      <c r="I2151" s="190"/>
      <c r="J2151" s="190"/>
      <c r="K2151" s="190"/>
      <c r="L2151" s="190"/>
      <c r="M2151" s="190"/>
      <c r="N2151" s="190"/>
      <c r="O2151" s="190"/>
      <c r="P2151" s="190"/>
      <c r="Q2151" s="190"/>
      <c r="R2151" s="190"/>
      <c r="S2151" s="190"/>
      <c r="T2151" s="190"/>
      <c r="U2151" s="190"/>
      <c r="V2151" s="190"/>
      <c r="W2151" s="190"/>
      <c r="X2151" s="190"/>
      <c r="Y2151" s="190"/>
      <c r="Z2151" s="190"/>
      <c r="AA2151" s="190"/>
      <c r="AB2151" s="190"/>
      <c r="AC2151" s="190"/>
      <c r="AD2151" s="190"/>
      <c r="AE2151" s="190"/>
      <c r="AF2151" s="190"/>
      <c r="AG2151" s="190"/>
      <c r="AH2151" s="190"/>
      <c r="AI2151" s="190"/>
      <c r="AJ2151" s="190"/>
      <c r="AK2151" s="190"/>
      <c r="AL2151" s="190"/>
    </row>
    <row r="2152" spans="2:38" ht="12.75" customHeight="1">
      <c r="B2152" s="485"/>
      <c r="C2152" s="6"/>
      <c r="D2152" s="12"/>
      <c r="E2152" s="12"/>
      <c r="F2152" s="12"/>
      <c r="G2152" s="12"/>
      <c r="H2152" s="6"/>
      <c r="I2152" s="190"/>
      <c r="J2152" s="190"/>
      <c r="K2152" s="190"/>
      <c r="L2152" s="190"/>
      <c r="M2152" s="190"/>
      <c r="N2152" s="190"/>
      <c r="O2152" s="190"/>
      <c r="P2152" s="190"/>
      <c r="Q2152" s="190"/>
      <c r="R2152" s="190"/>
      <c r="S2152" s="190"/>
      <c r="T2152" s="190"/>
      <c r="U2152" s="190"/>
      <c r="V2152" s="190"/>
      <c r="W2152" s="190"/>
      <c r="X2152" s="190"/>
      <c r="Y2152" s="190"/>
      <c r="Z2152" s="190"/>
      <c r="AA2152" s="190"/>
      <c r="AB2152" s="190"/>
      <c r="AC2152" s="190"/>
      <c r="AD2152" s="190"/>
      <c r="AE2152" s="190"/>
      <c r="AF2152" s="190"/>
      <c r="AG2152" s="190"/>
      <c r="AH2152" s="190"/>
      <c r="AI2152" s="190"/>
      <c r="AJ2152" s="190"/>
      <c r="AK2152" s="190"/>
      <c r="AL2152" s="190"/>
    </row>
    <row r="2153" spans="2:38" ht="12.75" customHeight="1">
      <c r="B2153" s="485"/>
      <c r="C2153" s="6"/>
      <c r="D2153" s="12"/>
      <c r="E2153" s="12"/>
      <c r="F2153" s="12"/>
      <c r="G2153" s="12"/>
      <c r="H2153" s="6"/>
      <c r="I2153" s="190"/>
      <c r="J2153" s="190"/>
      <c r="K2153" s="190"/>
      <c r="L2153" s="190"/>
      <c r="M2153" s="190"/>
      <c r="N2153" s="190"/>
      <c r="O2153" s="190"/>
      <c r="P2153" s="190"/>
      <c r="Q2153" s="190"/>
      <c r="R2153" s="190"/>
      <c r="S2153" s="190"/>
      <c r="T2153" s="190"/>
      <c r="U2153" s="190"/>
      <c r="V2153" s="190"/>
      <c r="W2153" s="190"/>
      <c r="X2153" s="190"/>
      <c r="Y2153" s="190"/>
      <c r="Z2153" s="190"/>
      <c r="AA2153" s="190"/>
      <c r="AB2153" s="190"/>
      <c r="AC2153" s="190"/>
      <c r="AD2153" s="190"/>
      <c r="AE2153" s="190"/>
      <c r="AF2153" s="190"/>
      <c r="AG2153" s="190"/>
      <c r="AH2153" s="190"/>
      <c r="AI2153" s="190"/>
      <c r="AJ2153" s="190"/>
      <c r="AK2153" s="190"/>
      <c r="AL2153" s="190"/>
    </row>
    <row r="2154" spans="2:38" ht="12.75" customHeight="1">
      <c r="B2154" s="485"/>
      <c r="C2154" s="6"/>
      <c r="D2154" s="12"/>
      <c r="E2154" s="12"/>
      <c r="F2154" s="12"/>
      <c r="G2154" s="12"/>
      <c r="H2154" s="6"/>
      <c r="I2154" s="190"/>
      <c r="J2154" s="190"/>
      <c r="K2154" s="190"/>
      <c r="L2154" s="190"/>
      <c r="M2154" s="190"/>
      <c r="N2154" s="190"/>
      <c r="O2154" s="190"/>
      <c r="P2154" s="190"/>
      <c r="Q2154" s="190"/>
      <c r="R2154" s="190"/>
      <c r="S2154" s="190"/>
      <c r="T2154" s="190"/>
      <c r="U2154" s="190"/>
      <c r="V2154" s="190"/>
      <c r="W2154" s="190"/>
      <c r="X2154" s="190"/>
      <c r="Y2154" s="190"/>
      <c r="Z2154" s="190"/>
      <c r="AA2154" s="190"/>
      <c r="AB2154" s="190"/>
      <c r="AC2154" s="190"/>
      <c r="AD2154" s="190"/>
      <c r="AE2154" s="190"/>
      <c r="AF2154" s="190"/>
      <c r="AG2154" s="190"/>
      <c r="AH2154" s="190"/>
      <c r="AI2154" s="190"/>
      <c r="AJ2154" s="190"/>
      <c r="AK2154" s="190"/>
      <c r="AL2154" s="190"/>
    </row>
    <row r="2155" spans="2:38" ht="12.75" customHeight="1">
      <c r="B2155" s="485"/>
      <c r="C2155" s="6"/>
      <c r="D2155" s="12"/>
      <c r="E2155" s="12"/>
      <c r="F2155" s="12"/>
      <c r="G2155" s="12"/>
      <c r="H2155" s="6"/>
      <c r="I2155" s="190"/>
      <c r="J2155" s="190"/>
      <c r="K2155" s="190"/>
      <c r="L2155" s="190"/>
      <c r="M2155" s="190"/>
      <c r="N2155" s="190"/>
      <c r="O2155" s="190"/>
      <c r="P2155" s="190"/>
      <c r="Q2155" s="190"/>
      <c r="R2155" s="190"/>
      <c r="S2155" s="190"/>
      <c r="T2155" s="190"/>
      <c r="U2155" s="190"/>
      <c r="V2155" s="190"/>
      <c r="W2155" s="190"/>
      <c r="X2155" s="190"/>
      <c r="Y2155" s="190"/>
      <c r="Z2155" s="190"/>
      <c r="AA2155" s="190"/>
      <c r="AB2155" s="190"/>
      <c r="AC2155" s="190"/>
      <c r="AD2155" s="190"/>
      <c r="AE2155" s="190"/>
      <c r="AF2155" s="190"/>
      <c r="AG2155" s="190"/>
      <c r="AH2155" s="190"/>
      <c r="AI2155" s="190"/>
      <c r="AJ2155" s="190"/>
      <c r="AK2155" s="190"/>
      <c r="AL2155" s="190"/>
    </row>
    <row r="2156" spans="2:38" ht="12.75" customHeight="1">
      <c r="B2156" s="485"/>
      <c r="C2156" s="6"/>
      <c r="D2156" s="12"/>
      <c r="E2156" s="12"/>
      <c r="F2156" s="12"/>
      <c r="G2156" s="12"/>
      <c r="H2156" s="6"/>
      <c r="I2156" s="190"/>
      <c r="J2156" s="190"/>
      <c r="K2156" s="190"/>
      <c r="L2156" s="190"/>
      <c r="M2156" s="190"/>
      <c r="N2156" s="190"/>
      <c r="O2156" s="190"/>
      <c r="P2156" s="190"/>
      <c r="Q2156" s="190"/>
      <c r="R2156" s="190"/>
      <c r="S2156" s="190"/>
      <c r="T2156" s="190"/>
      <c r="U2156" s="190"/>
      <c r="V2156" s="190"/>
      <c r="W2156" s="190"/>
      <c r="X2156" s="190"/>
      <c r="Y2156" s="190"/>
      <c r="Z2156" s="190"/>
      <c r="AA2156" s="190"/>
      <c r="AB2156" s="190"/>
      <c r="AC2156" s="190"/>
      <c r="AD2156" s="190"/>
      <c r="AE2156" s="190"/>
      <c r="AF2156" s="190"/>
      <c r="AG2156" s="190"/>
      <c r="AH2156" s="190"/>
      <c r="AI2156" s="190"/>
      <c r="AJ2156" s="190"/>
      <c r="AK2156" s="190"/>
      <c r="AL2156" s="190"/>
    </row>
    <row r="2157" spans="2:38" ht="12.75" customHeight="1">
      <c r="B2157" s="485"/>
      <c r="C2157" s="6"/>
      <c r="D2157" s="12"/>
      <c r="E2157" s="12"/>
      <c r="F2157" s="12"/>
      <c r="G2157" s="12"/>
      <c r="H2157" s="6"/>
      <c r="I2157" s="190"/>
      <c r="J2157" s="190"/>
      <c r="K2157" s="190"/>
      <c r="L2157" s="190"/>
      <c r="M2157" s="190"/>
      <c r="N2157" s="190"/>
      <c r="O2157" s="190"/>
      <c r="P2157" s="190"/>
      <c r="Q2157" s="190"/>
      <c r="R2157" s="190"/>
      <c r="S2157" s="190"/>
      <c r="T2157" s="190"/>
      <c r="U2157" s="190"/>
      <c r="V2157" s="190"/>
      <c r="W2157" s="190"/>
      <c r="X2157" s="190"/>
      <c r="Y2157" s="190"/>
      <c r="Z2157" s="190"/>
      <c r="AA2157" s="190"/>
      <c r="AB2157" s="190"/>
      <c r="AC2157" s="190"/>
      <c r="AD2157" s="190"/>
      <c r="AE2157" s="190"/>
      <c r="AF2157" s="190"/>
      <c r="AG2157" s="190"/>
      <c r="AH2157" s="190"/>
      <c r="AI2157" s="190"/>
      <c r="AJ2157" s="190"/>
      <c r="AK2157" s="190"/>
      <c r="AL2157" s="190"/>
    </row>
    <row r="2158" spans="2:38" ht="12.75" customHeight="1">
      <c r="B2158" s="485"/>
      <c r="C2158" s="6"/>
      <c r="D2158" s="12"/>
      <c r="E2158" s="12"/>
      <c r="F2158" s="12"/>
      <c r="G2158" s="12"/>
      <c r="H2158" s="6"/>
      <c r="I2158" s="190"/>
      <c r="J2158" s="190"/>
      <c r="K2158" s="190"/>
      <c r="L2158" s="190"/>
      <c r="M2158" s="190"/>
      <c r="N2158" s="190"/>
      <c r="O2158" s="190"/>
      <c r="P2158" s="190"/>
      <c r="Q2158" s="190"/>
      <c r="R2158" s="190"/>
      <c r="S2158" s="190"/>
      <c r="T2158" s="190"/>
      <c r="U2158" s="190"/>
      <c r="V2158" s="190"/>
      <c r="W2158" s="190"/>
      <c r="X2158" s="190"/>
      <c r="Y2158" s="190"/>
      <c r="Z2158" s="190"/>
      <c r="AA2158" s="190"/>
      <c r="AB2158" s="190"/>
      <c r="AC2158" s="190"/>
      <c r="AD2158" s="190"/>
      <c r="AE2158" s="190"/>
      <c r="AF2158" s="190"/>
      <c r="AG2158" s="190"/>
      <c r="AH2158" s="190"/>
      <c r="AI2158" s="190"/>
      <c r="AJ2158" s="190"/>
      <c r="AK2158" s="190"/>
      <c r="AL2158" s="190"/>
    </row>
    <row r="2159" spans="2:38" ht="12.75" customHeight="1">
      <c r="B2159" s="485"/>
      <c r="C2159" s="6"/>
      <c r="D2159" s="12"/>
      <c r="E2159" s="12"/>
      <c r="F2159" s="12"/>
      <c r="G2159" s="12"/>
      <c r="H2159" s="6"/>
      <c r="I2159" s="190"/>
      <c r="J2159" s="190"/>
      <c r="K2159" s="190"/>
      <c r="L2159" s="190"/>
      <c r="M2159" s="190"/>
      <c r="N2159" s="190"/>
      <c r="O2159" s="190"/>
      <c r="P2159" s="190"/>
      <c r="Q2159" s="190"/>
      <c r="R2159" s="190"/>
      <c r="S2159" s="190"/>
      <c r="T2159" s="190"/>
      <c r="U2159" s="190"/>
      <c r="V2159" s="190"/>
      <c r="W2159" s="190"/>
      <c r="X2159" s="190"/>
      <c r="Y2159" s="190"/>
      <c r="Z2159" s="190"/>
      <c r="AA2159" s="190"/>
      <c r="AB2159" s="190"/>
      <c r="AC2159" s="190"/>
      <c r="AD2159" s="190"/>
      <c r="AE2159" s="190"/>
      <c r="AF2159" s="190"/>
      <c r="AG2159" s="190"/>
      <c r="AH2159" s="190"/>
      <c r="AI2159" s="190"/>
      <c r="AJ2159" s="190"/>
      <c r="AK2159" s="190"/>
      <c r="AL2159" s="190"/>
    </row>
    <row r="2160" spans="2:38" ht="12.75" customHeight="1">
      <c r="B2160" s="485"/>
      <c r="C2160" s="6"/>
      <c r="D2160" s="12"/>
      <c r="E2160" s="12"/>
      <c r="F2160" s="12"/>
      <c r="G2160" s="12"/>
      <c r="H2160" s="6"/>
      <c r="I2160" s="190"/>
      <c r="J2160" s="190"/>
      <c r="K2160" s="190"/>
      <c r="L2160" s="190"/>
      <c r="M2160" s="190"/>
      <c r="N2160" s="190"/>
      <c r="O2160" s="190"/>
      <c r="P2160" s="190"/>
      <c r="Q2160" s="190"/>
      <c r="R2160" s="190"/>
      <c r="S2160" s="190"/>
      <c r="T2160" s="190"/>
      <c r="U2160" s="190"/>
      <c r="V2160" s="190"/>
      <c r="W2160" s="190"/>
      <c r="X2160" s="190"/>
      <c r="Y2160" s="190"/>
      <c r="Z2160" s="190"/>
      <c r="AA2160" s="190"/>
      <c r="AB2160" s="190"/>
      <c r="AC2160" s="190"/>
      <c r="AD2160" s="190"/>
      <c r="AE2160" s="190"/>
      <c r="AF2160" s="190"/>
      <c r="AG2160" s="190"/>
      <c r="AH2160" s="190"/>
      <c r="AI2160" s="190"/>
      <c r="AJ2160" s="190"/>
      <c r="AK2160" s="190"/>
      <c r="AL2160" s="190"/>
    </row>
    <row r="2161" spans="2:38" ht="12.75" customHeight="1">
      <c r="B2161" s="485"/>
      <c r="C2161" s="6"/>
      <c r="D2161" s="12"/>
      <c r="E2161" s="12"/>
      <c r="F2161" s="12"/>
      <c r="G2161" s="12"/>
      <c r="H2161" s="6"/>
      <c r="I2161" s="190"/>
      <c r="J2161" s="190"/>
      <c r="K2161" s="190"/>
      <c r="L2161" s="190"/>
      <c r="M2161" s="190"/>
      <c r="N2161" s="190"/>
      <c r="O2161" s="190"/>
      <c r="P2161" s="190"/>
      <c r="Q2161" s="190"/>
      <c r="R2161" s="190"/>
      <c r="S2161" s="190"/>
      <c r="T2161" s="190"/>
      <c r="U2161" s="190"/>
      <c r="V2161" s="190"/>
      <c r="W2161" s="190"/>
      <c r="X2161" s="190"/>
      <c r="Y2161" s="190"/>
      <c r="Z2161" s="190"/>
      <c r="AA2161" s="190"/>
      <c r="AB2161" s="190"/>
      <c r="AC2161" s="190"/>
      <c r="AD2161" s="190"/>
      <c r="AE2161" s="190"/>
      <c r="AF2161" s="190"/>
      <c r="AG2161" s="190"/>
      <c r="AH2161" s="190"/>
      <c r="AI2161" s="190"/>
      <c r="AJ2161" s="190"/>
      <c r="AK2161" s="190"/>
      <c r="AL2161" s="190"/>
    </row>
    <row r="2162" spans="2:38" ht="12.75" customHeight="1">
      <c r="B2162" s="485"/>
      <c r="C2162" s="6"/>
      <c r="D2162" s="12"/>
      <c r="E2162" s="12"/>
      <c r="F2162" s="12"/>
      <c r="G2162" s="12"/>
      <c r="H2162" s="6"/>
      <c r="I2162" s="190"/>
      <c r="J2162" s="190"/>
      <c r="K2162" s="190"/>
      <c r="L2162" s="190"/>
      <c r="M2162" s="190"/>
      <c r="N2162" s="190"/>
      <c r="O2162" s="190"/>
      <c r="P2162" s="190"/>
      <c r="Q2162" s="190"/>
      <c r="R2162" s="190"/>
      <c r="S2162" s="190"/>
      <c r="T2162" s="190"/>
      <c r="U2162" s="190"/>
      <c r="V2162" s="190"/>
      <c r="W2162" s="190"/>
      <c r="X2162" s="190"/>
      <c r="Y2162" s="190"/>
      <c r="Z2162" s="190"/>
      <c r="AA2162" s="190"/>
      <c r="AB2162" s="190"/>
      <c r="AC2162" s="190"/>
      <c r="AD2162" s="190"/>
      <c r="AE2162" s="190"/>
      <c r="AF2162" s="190"/>
      <c r="AG2162" s="190"/>
      <c r="AH2162" s="190"/>
      <c r="AI2162" s="190"/>
      <c r="AJ2162" s="190"/>
      <c r="AK2162" s="190"/>
      <c r="AL2162" s="190"/>
    </row>
    <row r="2163" spans="2:38" ht="12.75" customHeight="1">
      <c r="B2163" s="485"/>
      <c r="C2163" s="6"/>
      <c r="D2163" s="12"/>
      <c r="E2163" s="12"/>
      <c r="F2163" s="12"/>
      <c r="G2163" s="12"/>
      <c r="H2163" s="6"/>
      <c r="I2163" s="190"/>
      <c r="J2163" s="190"/>
      <c r="K2163" s="190"/>
      <c r="L2163" s="190"/>
      <c r="M2163" s="190"/>
      <c r="N2163" s="190"/>
      <c r="O2163" s="190"/>
      <c r="P2163" s="190"/>
      <c r="Q2163" s="190"/>
      <c r="R2163" s="190"/>
      <c r="S2163" s="190"/>
      <c r="T2163" s="190"/>
      <c r="U2163" s="190"/>
      <c r="V2163" s="190"/>
      <c r="W2163" s="190"/>
      <c r="X2163" s="190"/>
      <c r="Y2163" s="190"/>
      <c r="Z2163" s="190"/>
      <c r="AA2163" s="190"/>
      <c r="AB2163" s="190"/>
      <c r="AC2163" s="190"/>
      <c r="AD2163" s="190"/>
      <c r="AE2163" s="190"/>
      <c r="AF2163" s="190"/>
      <c r="AG2163" s="190"/>
      <c r="AH2163" s="190"/>
      <c r="AI2163" s="190"/>
      <c r="AJ2163" s="190"/>
      <c r="AK2163" s="190"/>
      <c r="AL2163" s="190"/>
    </row>
    <row r="2164" spans="2:38" ht="12.75" customHeight="1">
      <c r="B2164" s="485"/>
      <c r="C2164" s="6"/>
      <c r="D2164" s="12"/>
      <c r="E2164" s="12"/>
      <c r="F2164" s="12"/>
      <c r="G2164" s="12"/>
      <c r="H2164" s="6"/>
      <c r="I2164" s="190"/>
      <c r="J2164" s="190"/>
      <c r="K2164" s="190"/>
      <c r="L2164" s="190"/>
      <c r="M2164" s="190"/>
      <c r="N2164" s="190"/>
      <c r="O2164" s="190"/>
      <c r="P2164" s="190"/>
      <c r="Q2164" s="190"/>
      <c r="R2164" s="190"/>
      <c r="S2164" s="190"/>
      <c r="T2164" s="190"/>
      <c r="U2164" s="190"/>
      <c r="V2164" s="190"/>
      <c r="W2164" s="190"/>
      <c r="X2164" s="190"/>
      <c r="Y2164" s="190"/>
      <c r="Z2164" s="190"/>
      <c r="AA2164" s="190"/>
      <c r="AB2164" s="190"/>
      <c r="AC2164" s="190"/>
      <c r="AD2164" s="190"/>
      <c r="AE2164" s="190"/>
      <c r="AF2164" s="190"/>
      <c r="AG2164" s="190"/>
      <c r="AH2164" s="190"/>
      <c r="AI2164" s="190"/>
      <c r="AJ2164" s="190"/>
      <c r="AK2164" s="190"/>
      <c r="AL2164" s="190"/>
    </row>
    <row r="2165" spans="2:38" ht="12.75" customHeight="1">
      <c r="B2165" s="485"/>
      <c r="C2165" s="6"/>
      <c r="D2165" s="12"/>
      <c r="E2165" s="12"/>
      <c r="F2165" s="12"/>
      <c r="G2165" s="12"/>
      <c r="H2165" s="6"/>
      <c r="I2165" s="190"/>
      <c r="J2165" s="190"/>
      <c r="K2165" s="190"/>
      <c r="L2165" s="190"/>
      <c r="M2165" s="190"/>
      <c r="N2165" s="190"/>
      <c r="O2165" s="190"/>
      <c r="P2165" s="190"/>
      <c r="Q2165" s="190"/>
      <c r="R2165" s="190"/>
      <c r="S2165" s="190"/>
      <c r="T2165" s="190"/>
      <c r="U2165" s="190"/>
      <c r="V2165" s="190"/>
      <c r="W2165" s="190"/>
      <c r="X2165" s="190"/>
      <c r="Y2165" s="190"/>
      <c r="Z2165" s="190"/>
      <c r="AA2165" s="190"/>
      <c r="AB2165" s="190"/>
      <c r="AC2165" s="190"/>
      <c r="AD2165" s="190"/>
      <c r="AE2165" s="190"/>
      <c r="AF2165" s="190"/>
      <c r="AG2165" s="190"/>
      <c r="AH2165" s="190"/>
      <c r="AI2165" s="190"/>
      <c r="AJ2165" s="190"/>
      <c r="AK2165" s="190"/>
      <c r="AL2165" s="190"/>
    </row>
    <row r="2166" spans="2:38" ht="12.75" customHeight="1">
      <c r="B2166" s="485"/>
      <c r="C2166" s="6"/>
      <c r="D2166" s="12"/>
      <c r="E2166" s="12"/>
      <c r="F2166" s="12"/>
      <c r="G2166" s="12"/>
      <c r="H2166" s="6"/>
      <c r="I2166" s="190"/>
      <c r="J2166" s="190"/>
      <c r="K2166" s="190"/>
      <c r="L2166" s="190"/>
      <c r="M2166" s="190"/>
      <c r="N2166" s="190"/>
      <c r="O2166" s="190"/>
      <c r="P2166" s="190"/>
      <c r="Q2166" s="190"/>
      <c r="R2166" s="190"/>
      <c r="S2166" s="190"/>
      <c r="T2166" s="190"/>
      <c r="U2166" s="190"/>
      <c r="V2166" s="190"/>
      <c r="W2166" s="190"/>
      <c r="X2166" s="190"/>
      <c r="Y2166" s="190"/>
      <c r="Z2166" s="190"/>
      <c r="AA2166" s="190"/>
      <c r="AB2166" s="190"/>
      <c r="AC2166" s="190"/>
      <c r="AD2166" s="190"/>
      <c r="AE2166" s="190"/>
      <c r="AF2166" s="190"/>
      <c r="AG2166" s="190"/>
      <c r="AH2166" s="190"/>
      <c r="AI2166" s="190"/>
      <c r="AJ2166" s="190"/>
      <c r="AK2166" s="190"/>
      <c r="AL2166" s="190"/>
    </row>
    <row r="2167" spans="2:38" ht="12.75" customHeight="1">
      <c r="B2167" s="485"/>
      <c r="C2167" s="6"/>
      <c r="D2167" s="12"/>
      <c r="E2167" s="12"/>
      <c r="F2167" s="12"/>
      <c r="G2167" s="12"/>
      <c r="H2167" s="6"/>
      <c r="I2167" s="190"/>
      <c r="J2167" s="190"/>
      <c r="K2167" s="190"/>
      <c r="L2167" s="190"/>
      <c r="M2167" s="190"/>
      <c r="N2167" s="190"/>
      <c r="O2167" s="190"/>
      <c r="P2167" s="190"/>
      <c r="Q2167" s="190"/>
      <c r="R2167" s="190"/>
      <c r="S2167" s="190"/>
      <c r="T2167" s="190"/>
      <c r="U2167" s="190"/>
      <c r="V2167" s="190"/>
      <c r="W2167" s="190"/>
      <c r="X2167" s="190"/>
      <c r="Y2167" s="190"/>
      <c r="Z2167" s="190"/>
      <c r="AA2167" s="190"/>
      <c r="AB2167" s="190"/>
      <c r="AC2167" s="190"/>
      <c r="AD2167" s="190"/>
      <c r="AE2167" s="190"/>
      <c r="AF2167" s="190"/>
      <c r="AG2167" s="190"/>
      <c r="AH2167" s="190"/>
      <c r="AI2167" s="190"/>
      <c r="AJ2167" s="190"/>
      <c r="AK2167" s="190"/>
      <c r="AL2167" s="190"/>
    </row>
    <row r="2168" spans="2:38" ht="12.75" customHeight="1">
      <c r="B2168" s="485"/>
      <c r="C2168" s="6"/>
      <c r="D2168" s="12"/>
      <c r="E2168" s="12"/>
      <c r="F2168" s="12"/>
      <c r="G2168" s="12"/>
      <c r="H2168" s="6"/>
      <c r="I2168" s="190"/>
      <c r="J2168" s="190"/>
      <c r="K2168" s="190"/>
      <c r="L2168" s="190"/>
      <c r="M2168" s="190"/>
      <c r="N2168" s="190"/>
      <c r="O2168" s="190"/>
      <c r="P2168" s="190"/>
      <c r="Q2168" s="190"/>
      <c r="R2168" s="190"/>
      <c r="S2168" s="190"/>
      <c r="T2168" s="190"/>
      <c r="U2168" s="190"/>
      <c r="V2168" s="190"/>
      <c r="W2168" s="190"/>
      <c r="X2168" s="190"/>
      <c r="Y2168" s="190"/>
      <c r="Z2168" s="190"/>
      <c r="AA2168" s="190"/>
      <c r="AB2168" s="190"/>
      <c r="AC2168" s="190"/>
      <c r="AD2168" s="190"/>
      <c r="AE2168" s="190"/>
      <c r="AF2168" s="190"/>
      <c r="AG2168" s="190"/>
      <c r="AH2168" s="190"/>
      <c r="AI2168" s="190"/>
      <c r="AJ2168" s="190"/>
      <c r="AK2168" s="190"/>
      <c r="AL2168" s="190"/>
    </row>
    <row r="2169" spans="2:38" ht="12.75" customHeight="1">
      <c r="B2169" s="485"/>
      <c r="C2169" s="6"/>
      <c r="D2169" s="12"/>
      <c r="E2169" s="12"/>
      <c r="F2169" s="12"/>
      <c r="G2169" s="12"/>
      <c r="H2169" s="6"/>
      <c r="I2169" s="190"/>
      <c r="J2169" s="190"/>
      <c r="K2169" s="190"/>
      <c r="L2169" s="190"/>
      <c r="M2169" s="190"/>
      <c r="N2169" s="190"/>
      <c r="O2169" s="190"/>
      <c r="P2169" s="190"/>
      <c r="Q2169" s="190"/>
      <c r="R2169" s="190"/>
      <c r="S2169" s="190"/>
      <c r="T2169" s="190"/>
      <c r="U2169" s="190"/>
      <c r="V2169" s="190"/>
      <c r="W2169" s="190"/>
      <c r="X2169" s="190"/>
      <c r="Y2169" s="190"/>
      <c r="Z2169" s="190"/>
      <c r="AA2169" s="190"/>
      <c r="AB2169" s="190"/>
      <c r="AC2169" s="190"/>
      <c r="AD2169" s="190"/>
      <c r="AE2169" s="190"/>
      <c r="AF2169" s="190"/>
      <c r="AG2169" s="190"/>
      <c r="AH2169" s="190"/>
      <c r="AI2169" s="190"/>
      <c r="AJ2169" s="190"/>
      <c r="AK2169" s="190"/>
      <c r="AL2169" s="190"/>
    </row>
    <row r="2170" spans="2:38" ht="12.75" customHeight="1">
      <c r="B2170" s="485"/>
      <c r="C2170" s="6"/>
      <c r="D2170" s="12"/>
      <c r="E2170" s="12"/>
      <c r="F2170" s="12"/>
      <c r="G2170" s="12"/>
      <c r="H2170" s="6"/>
      <c r="I2170" s="190"/>
      <c r="J2170" s="190"/>
      <c r="K2170" s="190"/>
      <c r="L2170" s="190"/>
      <c r="M2170" s="190"/>
      <c r="N2170" s="190"/>
      <c r="O2170" s="190"/>
      <c r="P2170" s="190"/>
      <c r="Q2170" s="190"/>
      <c r="R2170" s="190"/>
      <c r="S2170" s="190"/>
      <c r="T2170" s="190"/>
      <c r="U2170" s="190"/>
      <c r="V2170" s="190"/>
      <c r="W2170" s="190"/>
      <c r="X2170" s="190"/>
      <c r="Y2170" s="190"/>
      <c r="Z2170" s="190"/>
      <c r="AA2170" s="190"/>
      <c r="AB2170" s="190"/>
      <c r="AC2170" s="190"/>
      <c r="AD2170" s="190"/>
      <c r="AE2170" s="190"/>
      <c r="AF2170" s="190"/>
      <c r="AG2170" s="190"/>
      <c r="AH2170" s="190"/>
      <c r="AI2170" s="190"/>
      <c r="AJ2170" s="190"/>
      <c r="AK2170" s="190"/>
      <c r="AL2170" s="190"/>
    </row>
    <row r="2171" spans="2:38" ht="12.75" customHeight="1">
      <c r="B2171" s="485"/>
      <c r="C2171" s="6"/>
      <c r="D2171" s="12"/>
      <c r="E2171" s="12"/>
      <c r="F2171" s="12"/>
      <c r="G2171" s="12"/>
      <c r="H2171" s="6"/>
      <c r="I2171" s="190"/>
      <c r="J2171" s="190"/>
      <c r="K2171" s="190"/>
      <c r="L2171" s="190"/>
      <c r="M2171" s="190"/>
      <c r="N2171" s="190"/>
      <c r="O2171" s="190"/>
      <c r="P2171" s="190"/>
      <c r="Q2171" s="190"/>
      <c r="R2171" s="190"/>
      <c r="S2171" s="190"/>
      <c r="T2171" s="190"/>
      <c r="U2171" s="190"/>
      <c r="V2171" s="190"/>
      <c r="W2171" s="190"/>
      <c r="X2171" s="190"/>
      <c r="Y2171" s="190"/>
      <c r="Z2171" s="190"/>
      <c r="AA2171" s="190"/>
      <c r="AB2171" s="190"/>
      <c r="AC2171" s="190"/>
      <c r="AD2171" s="190"/>
      <c r="AE2171" s="190"/>
      <c r="AF2171" s="190"/>
      <c r="AG2171" s="190"/>
      <c r="AH2171" s="190"/>
      <c r="AI2171" s="190"/>
      <c r="AJ2171" s="190"/>
      <c r="AK2171" s="190"/>
      <c r="AL2171" s="190"/>
    </row>
    <row r="2172" spans="2:38" ht="12.75" customHeight="1">
      <c r="B2172" s="485"/>
      <c r="C2172" s="6"/>
      <c r="D2172" s="12"/>
      <c r="E2172" s="12"/>
      <c r="F2172" s="12"/>
      <c r="G2172" s="12"/>
      <c r="H2172" s="6"/>
      <c r="I2172" s="190"/>
      <c r="J2172" s="190"/>
      <c r="K2172" s="190"/>
      <c r="L2172" s="190"/>
      <c r="M2172" s="190"/>
      <c r="N2172" s="190"/>
      <c r="O2172" s="190"/>
      <c r="P2172" s="190"/>
      <c r="Q2172" s="190"/>
      <c r="R2172" s="190"/>
      <c r="S2172" s="190"/>
      <c r="T2172" s="190"/>
      <c r="U2172" s="190"/>
      <c r="V2172" s="190"/>
      <c r="W2172" s="190"/>
      <c r="X2172" s="190"/>
      <c r="Y2172" s="190"/>
      <c r="Z2172" s="190"/>
      <c r="AA2172" s="190"/>
      <c r="AB2172" s="190"/>
      <c r="AC2172" s="190"/>
      <c r="AD2172" s="190"/>
      <c r="AE2172" s="190"/>
      <c r="AF2172" s="190"/>
      <c r="AG2172" s="190"/>
      <c r="AH2172" s="190"/>
      <c r="AI2172" s="190"/>
      <c r="AJ2172" s="190"/>
      <c r="AK2172" s="190"/>
      <c r="AL2172" s="190"/>
    </row>
    <row r="2173" spans="2:38" ht="12.75" customHeight="1">
      <c r="B2173" s="485"/>
      <c r="C2173" s="6"/>
      <c r="D2173" s="12"/>
      <c r="E2173" s="12"/>
      <c r="F2173" s="12"/>
      <c r="G2173" s="12"/>
      <c r="H2173" s="6"/>
      <c r="I2173" s="190"/>
      <c r="J2173" s="190"/>
      <c r="K2173" s="190"/>
      <c r="L2173" s="190"/>
      <c r="M2173" s="190"/>
      <c r="N2173" s="190"/>
      <c r="O2173" s="190"/>
      <c r="P2173" s="190"/>
      <c r="Q2173" s="190"/>
      <c r="R2173" s="190"/>
      <c r="S2173" s="190"/>
      <c r="T2173" s="190"/>
      <c r="U2173" s="190"/>
      <c r="V2173" s="190"/>
      <c r="W2173" s="190"/>
      <c r="X2173" s="190"/>
      <c r="Y2173" s="190"/>
      <c r="Z2173" s="190"/>
      <c r="AA2173" s="190"/>
      <c r="AB2173" s="190"/>
      <c r="AC2173" s="190"/>
      <c r="AD2173" s="190"/>
      <c r="AE2173" s="190"/>
      <c r="AF2173" s="190"/>
      <c r="AG2173" s="190"/>
      <c r="AH2173" s="190"/>
      <c r="AI2173" s="190"/>
      <c r="AJ2173" s="190"/>
      <c r="AK2173" s="190"/>
      <c r="AL2173" s="190"/>
    </row>
    <row r="2174" spans="2:38" ht="12.75" customHeight="1">
      <c r="B2174" s="485"/>
      <c r="C2174" s="6"/>
      <c r="D2174" s="12"/>
      <c r="E2174" s="12"/>
      <c r="F2174" s="12"/>
      <c r="G2174" s="12"/>
      <c r="H2174" s="6"/>
      <c r="I2174" s="190"/>
      <c r="J2174" s="190"/>
      <c r="K2174" s="190"/>
      <c r="L2174" s="190"/>
      <c r="M2174" s="190"/>
      <c r="N2174" s="190"/>
      <c r="O2174" s="190"/>
      <c r="P2174" s="190"/>
      <c r="Q2174" s="190"/>
      <c r="R2174" s="190"/>
      <c r="S2174" s="190"/>
      <c r="T2174" s="190"/>
      <c r="U2174" s="190"/>
      <c r="V2174" s="190"/>
      <c r="W2174" s="190"/>
      <c r="X2174" s="190"/>
      <c r="Y2174" s="190"/>
      <c r="Z2174" s="190"/>
      <c r="AA2174" s="190"/>
      <c r="AB2174" s="190"/>
      <c r="AC2174" s="190"/>
      <c r="AD2174" s="190"/>
      <c r="AE2174" s="190"/>
      <c r="AF2174" s="190"/>
      <c r="AG2174" s="190"/>
      <c r="AH2174" s="190"/>
      <c r="AI2174" s="190"/>
      <c r="AJ2174" s="190"/>
      <c r="AK2174" s="190"/>
      <c r="AL2174" s="190"/>
    </row>
    <row r="2175" spans="2:38" ht="12.75" customHeight="1">
      <c r="B2175" s="485"/>
      <c r="C2175" s="6"/>
      <c r="D2175" s="12"/>
      <c r="E2175" s="12"/>
      <c r="F2175" s="12"/>
      <c r="G2175" s="12"/>
      <c r="H2175" s="6"/>
      <c r="I2175" s="190"/>
      <c r="J2175" s="190"/>
      <c r="K2175" s="190"/>
      <c r="L2175" s="190"/>
      <c r="M2175" s="190"/>
      <c r="N2175" s="190"/>
      <c r="O2175" s="190"/>
      <c r="P2175" s="190"/>
      <c r="Q2175" s="190"/>
      <c r="R2175" s="190"/>
      <c r="S2175" s="190"/>
      <c r="T2175" s="190"/>
      <c r="U2175" s="190"/>
      <c r="V2175" s="190"/>
      <c r="W2175" s="190"/>
      <c r="X2175" s="190"/>
      <c r="Y2175" s="190"/>
      <c r="Z2175" s="190"/>
      <c r="AA2175" s="190"/>
      <c r="AB2175" s="190"/>
      <c r="AC2175" s="190"/>
      <c r="AD2175" s="190"/>
      <c r="AE2175" s="190"/>
      <c r="AF2175" s="190"/>
      <c r="AG2175" s="190"/>
      <c r="AH2175" s="190"/>
      <c r="AI2175" s="190"/>
      <c r="AJ2175" s="190"/>
      <c r="AK2175" s="190"/>
      <c r="AL2175" s="190"/>
    </row>
    <row r="2176" spans="2:38" ht="12.75" customHeight="1">
      <c r="B2176" s="485"/>
      <c r="C2176" s="6"/>
      <c r="D2176" s="12"/>
      <c r="E2176" s="12"/>
      <c r="F2176" s="12"/>
      <c r="G2176" s="12"/>
      <c r="H2176" s="6"/>
      <c r="I2176" s="190"/>
      <c r="J2176" s="190"/>
      <c r="K2176" s="190"/>
      <c r="L2176" s="190"/>
      <c r="M2176" s="190"/>
      <c r="N2176" s="190"/>
      <c r="O2176" s="190"/>
      <c r="P2176" s="190"/>
      <c r="Q2176" s="190"/>
      <c r="R2176" s="190"/>
      <c r="S2176" s="190"/>
      <c r="T2176" s="190"/>
      <c r="U2176" s="190"/>
      <c r="V2176" s="190"/>
      <c r="W2176" s="190"/>
      <c r="X2176" s="190"/>
      <c r="Y2176" s="190"/>
      <c r="Z2176" s="190"/>
      <c r="AA2176" s="190"/>
      <c r="AB2176" s="190"/>
      <c r="AC2176" s="190"/>
      <c r="AD2176" s="190"/>
      <c r="AE2176" s="190"/>
      <c r="AF2176" s="190"/>
      <c r="AG2176" s="190"/>
      <c r="AH2176" s="190"/>
      <c r="AI2176" s="190"/>
      <c r="AJ2176" s="190"/>
      <c r="AK2176" s="190"/>
      <c r="AL2176" s="190"/>
    </row>
    <row r="2177" spans="2:38" ht="12.75" customHeight="1">
      <c r="B2177" s="485"/>
      <c r="C2177" s="6"/>
      <c r="D2177" s="12"/>
      <c r="E2177" s="12"/>
      <c r="F2177" s="12"/>
      <c r="G2177" s="12"/>
      <c r="H2177" s="6"/>
      <c r="I2177" s="190"/>
      <c r="J2177" s="190"/>
      <c r="K2177" s="190"/>
      <c r="L2177" s="190"/>
      <c r="M2177" s="190"/>
      <c r="N2177" s="190"/>
      <c r="O2177" s="190"/>
      <c r="P2177" s="190"/>
      <c r="Q2177" s="190"/>
      <c r="R2177" s="190"/>
      <c r="S2177" s="190"/>
      <c r="T2177" s="190"/>
      <c r="U2177" s="190"/>
      <c r="V2177" s="190"/>
      <c r="W2177" s="190"/>
      <c r="X2177" s="190"/>
      <c r="Y2177" s="190"/>
      <c r="Z2177" s="190"/>
      <c r="AA2177" s="190"/>
      <c r="AB2177" s="190"/>
      <c r="AC2177" s="190"/>
      <c r="AD2177" s="190"/>
      <c r="AE2177" s="190"/>
      <c r="AF2177" s="190"/>
      <c r="AG2177" s="190"/>
      <c r="AH2177" s="190"/>
      <c r="AI2177" s="190"/>
      <c r="AJ2177" s="190"/>
      <c r="AK2177" s="190"/>
      <c r="AL2177" s="190"/>
    </row>
    <row r="2178" spans="2:38" ht="12.75" customHeight="1">
      <c r="B2178" s="485"/>
      <c r="C2178" s="6"/>
      <c r="D2178" s="12"/>
      <c r="E2178" s="12"/>
      <c r="F2178" s="12"/>
      <c r="G2178" s="12"/>
      <c r="H2178" s="6"/>
      <c r="I2178" s="190"/>
      <c r="J2178" s="190"/>
      <c r="K2178" s="190"/>
      <c r="L2178" s="190"/>
      <c r="M2178" s="190"/>
      <c r="N2178" s="190"/>
      <c r="O2178" s="190"/>
      <c r="P2178" s="190"/>
      <c r="Q2178" s="190"/>
      <c r="R2178" s="190"/>
      <c r="S2178" s="190"/>
      <c r="T2178" s="190"/>
      <c r="U2178" s="190"/>
      <c r="V2178" s="190"/>
      <c r="W2178" s="190"/>
      <c r="X2178" s="190"/>
      <c r="Y2178" s="190"/>
      <c r="Z2178" s="190"/>
      <c r="AA2178" s="190"/>
      <c r="AB2178" s="190"/>
      <c r="AC2178" s="190"/>
      <c r="AD2178" s="190"/>
      <c r="AE2178" s="190"/>
      <c r="AF2178" s="190"/>
      <c r="AG2178" s="190"/>
      <c r="AH2178" s="190"/>
      <c r="AI2178" s="190"/>
      <c r="AJ2178" s="190"/>
      <c r="AK2178" s="190"/>
      <c r="AL2178" s="190"/>
    </row>
    <row r="2179" spans="2:38" ht="12.75" customHeight="1">
      <c r="B2179" s="485"/>
      <c r="C2179" s="6"/>
      <c r="D2179" s="12"/>
      <c r="E2179" s="12"/>
      <c r="F2179" s="12"/>
      <c r="G2179" s="12"/>
      <c r="H2179" s="6"/>
      <c r="I2179" s="190"/>
      <c r="J2179" s="190"/>
      <c r="K2179" s="190"/>
      <c r="L2179" s="190"/>
      <c r="M2179" s="190"/>
      <c r="N2179" s="190"/>
      <c r="O2179" s="190"/>
      <c r="P2179" s="190"/>
      <c r="Q2179" s="190"/>
      <c r="R2179" s="190"/>
      <c r="S2179" s="190"/>
      <c r="T2179" s="190"/>
      <c r="U2179" s="190"/>
      <c r="V2179" s="190"/>
      <c r="W2179" s="190"/>
      <c r="X2179" s="190"/>
      <c r="Y2179" s="190"/>
      <c r="Z2179" s="190"/>
      <c r="AA2179" s="190"/>
      <c r="AB2179" s="190"/>
      <c r="AC2179" s="190"/>
      <c r="AD2179" s="190"/>
      <c r="AE2179" s="190"/>
      <c r="AF2179" s="190"/>
      <c r="AG2179" s="190"/>
      <c r="AH2179" s="190"/>
      <c r="AI2179" s="190"/>
      <c r="AJ2179" s="190"/>
      <c r="AK2179" s="190"/>
      <c r="AL2179" s="190"/>
    </row>
    <row r="2180" spans="2:38" ht="12.75" customHeight="1">
      <c r="B2180" s="485"/>
      <c r="C2180" s="6"/>
      <c r="D2180" s="12"/>
      <c r="E2180" s="12"/>
      <c r="F2180" s="12"/>
      <c r="G2180" s="12"/>
      <c r="H2180" s="6"/>
      <c r="I2180" s="190"/>
      <c r="J2180" s="190"/>
      <c r="K2180" s="190"/>
      <c r="L2180" s="190"/>
      <c r="M2180" s="190"/>
      <c r="N2180" s="190"/>
      <c r="O2180" s="190"/>
      <c r="P2180" s="190"/>
      <c r="Q2180" s="190"/>
      <c r="R2180" s="190"/>
      <c r="S2180" s="190"/>
      <c r="T2180" s="190"/>
      <c r="U2180" s="190"/>
      <c r="V2180" s="190"/>
      <c r="W2180" s="190"/>
      <c r="X2180" s="190"/>
      <c r="Y2180" s="190"/>
      <c r="Z2180" s="190"/>
      <c r="AA2180" s="190"/>
      <c r="AB2180" s="190"/>
      <c r="AC2180" s="190"/>
      <c r="AD2180" s="190"/>
      <c r="AE2180" s="190"/>
      <c r="AF2180" s="190"/>
      <c r="AG2180" s="190"/>
      <c r="AH2180" s="190"/>
      <c r="AI2180" s="190"/>
      <c r="AJ2180" s="190"/>
      <c r="AK2180" s="190"/>
      <c r="AL2180" s="190"/>
    </row>
    <row r="2181" spans="2:38" ht="12.75" customHeight="1">
      <c r="B2181" s="485"/>
      <c r="C2181" s="6"/>
      <c r="D2181" s="12"/>
      <c r="E2181" s="12"/>
      <c r="F2181" s="12"/>
      <c r="G2181" s="12"/>
      <c r="H2181" s="6"/>
      <c r="I2181" s="190"/>
      <c r="J2181" s="190"/>
      <c r="K2181" s="190"/>
      <c r="L2181" s="190"/>
      <c r="M2181" s="190"/>
      <c r="N2181" s="190"/>
      <c r="O2181" s="190"/>
      <c r="P2181" s="190"/>
      <c r="Q2181" s="190"/>
      <c r="R2181" s="190"/>
      <c r="S2181" s="190"/>
      <c r="T2181" s="190"/>
      <c r="U2181" s="190"/>
      <c r="V2181" s="190"/>
      <c r="W2181" s="190"/>
      <c r="X2181" s="190"/>
      <c r="Y2181" s="190"/>
      <c r="Z2181" s="190"/>
      <c r="AA2181" s="190"/>
      <c r="AB2181" s="190"/>
      <c r="AC2181" s="190"/>
      <c r="AD2181" s="190"/>
      <c r="AE2181" s="190"/>
      <c r="AF2181" s="190"/>
      <c r="AG2181" s="190"/>
      <c r="AH2181" s="190"/>
      <c r="AI2181" s="190"/>
      <c r="AJ2181" s="190"/>
      <c r="AK2181" s="190"/>
      <c r="AL2181" s="190"/>
    </row>
    <row r="2182" spans="2:38" ht="12.75" customHeight="1">
      <c r="B2182" s="485"/>
      <c r="C2182" s="6"/>
      <c r="D2182" s="12"/>
      <c r="E2182" s="12"/>
      <c r="F2182" s="12"/>
      <c r="G2182" s="12"/>
      <c r="H2182" s="6"/>
      <c r="I2182" s="190"/>
      <c r="J2182" s="190"/>
      <c r="K2182" s="190"/>
      <c r="L2182" s="190"/>
      <c r="M2182" s="190"/>
      <c r="N2182" s="190"/>
      <c r="O2182" s="190"/>
      <c r="P2182" s="190"/>
      <c r="Q2182" s="190"/>
      <c r="R2182" s="190"/>
      <c r="S2182" s="190"/>
      <c r="T2182" s="190"/>
      <c r="U2182" s="190"/>
      <c r="V2182" s="190"/>
      <c r="W2182" s="190"/>
      <c r="X2182" s="190"/>
      <c r="Y2182" s="190"/>
      <c r="Z2182" s="190"/>
      <c r="AA2182" s="190"/>
      <c r="AB2182" s="190"/>
      <c r="AC2182" s="190"/>
      <c r="AD2182" s="190"/>
      <c r="AE2182" s="190"/>
      <c r="AF2182" s="190"/>
      <c r="AG2182" s="190"/>
      <c r="AH2182" s="190"/>
      <c r="AI2182" s="190"/>
      <c r="AJ2182" s="190"/>
      <c r="AK2182" s="190"/>
      <c r="AL2182" s="190"/>
    </row>
    <row r="2183" spans="2:38" ht="12.75" customHeight="1">
      <c r="B2183" s="485"/>
      <c r="C2183" s="6"/>
      <c r="D2183" s="12"/>
      <c r="E2183" s="12"/>
      <c r="F2183" s="12"/>
      <c r="G2183" s="12"/>
      <c r="H2183" s="6"/>
      <c r="I2183" s="190"/>
      <c r="J2183" s="190"/>
      <c r="K2183" s="190"/>
      <c r="L2183" s="190"/>
      <c r="M2183" s="190"/>
      <c r="N2183" s="190"/>
      <c r="O2183" s="190"/>
      <c r="P2183" s="190"/>
      <c r="Q2183" s="190"/>
      <c r="R2183" s="190"/>
      <c r="S2183" s="190"/>
      <c r="T2183" s="190"/>
      <c r="U2183" s="190"/>
      <c r="V2183" s="190"/>
      <c r="W2183" s="190"/>
      <c r="X2183" s="190"/>
      <c r="Y2183" s="190"/>
      <c r="Z2183" s="190"/>
      <c r="AA2183" s="190"/>
      <c r="AB2183" s="190"/>
      <c r="AC2183" s="190"/>
      <c r="AD2183" s="190"/>
      <c r="AE2183" s="190"/>
      <c r="AF2183" s="190"/>
      <c r="AG2183" s="190"/>
      <c r="AH2183" s="190"/>
      <c r="AI2183" s="190"/>
      <c r="AJ2183" s="190"/>
      <c r="AK2183" s="190"/>
      <c r="AL2183" s="190"/>
    </row>
    <row r="2184" spans="2:38" ht="12.75" customHeight="1">
      <c r="B2184" s="485"/>
      <c r="C2184" s="6"/>
      <c r="D2184" s="12"/>
      <c r="E2184" s="12"/>
      <c r="F2184" s="12"/>
      <c r="G2184" s="12"/>
      <c r="H2184" s="6"/>
      <c r="I2184" s="190"/>
      <c r="J2184" s="190"/>
      <c r="K2184" s="190"/>
      <c r="L2184" s="190"/>
      <c r="M2184" s="190"/>
      <c r="N2184" s="190"/>
      <c r="O2184" s="190"/>
      <c r="P2184" s="190"/>
      <c r="Q2184" s="190"/>
      <c r="R2184" s="190"/>
      <c r="S2184" s="190"/>
      <c r="T2184" s="190"/>
      <c r="U2184" s="190"/>
      <c r="V2184" s="190"/>
      <c r="W2184" s="190"/>
      <c r="X2184" s="190"/>
      <c r="Y2184" s="190"/>
      <c r="Z2184" s="190"/>
      <c r="AA2184" s="190"/>
      <c r="AB2184" s="190"/>
      <c r="AC2184" s="190"/>
      <c r="AD2184" s="190"/>
      <c r="AE2184" s="190"/>
      <c r="AF2184" s="190"/>
      <c r="AG2184" s="190"/>
      <c r="AH2184" s="190"/>
      <c r="AI2184" s="190"/>
      <c r="AJ2184" s="190"/>
      <c r="AK2184" s="190"/>
      <c r="AL2184" s="190"/>
    </row>
    <row r="2185" spans="2:38" ht="12.75" customHeight="1">
      <c r="B2185" s="485"/>
      <c r="C2185" s="6"/>
      <c r="D2185" s="12"/>
      <c r="E2185" s="12"/>
      <c r="F2185" s="12"/>
      <c r="G2185" s="12"/>
      <c r="H2185" s="6"/>
      <c r="I2185" s="190"/>
      <c r="J2185" s="190"/>
      <c r="K2185" s="190"/>
      <c r="L2185" s="190"/>
      <c r="M2185" s="190"/>
      <c r="N2185" s="190"/>
      <c r="O2185" s="190"/>
      <c r="P2185" s="190"/>
      <c r="Q2185" s="190"/>
      <c r="R2185" s="190"/>
      <c r="S2185" s="190"/>
      <c r="T2185" s="190"/>
      <c r="U2185" s="190"/>
      <c r="V2185" s="190"/>
      <c r="W2185" s="190"/>
      <c r="X2185" s="190"/>
      <c r="Y2185" s="190"/>
      <c r="Z2185" s="190"/>
      <c r="AA2185" s="190"/>
      <c r="AB2185" s="190"/>
      <c r="AC2185" s="190"/>
      <c r="AD2185" s="190"/>
      <c r="AE2185" s="190"/>
      <c r="AF2185" s="190"/>
      <c r="AG2185" s="190"/>
      <c r="AH2185" s="190"/>
      <c r="AI2185" s="190"/>
      <c r="AJ2185" s="190"/>
      <c r="AK2185" s="190"/>
      <c r="AL2185" s="190"/>
    </row>
    <row r="2186" spans="2:38" ht="12.75" customHeight="1">
      <c r="B2186" s="485"/>
      <c r="C2186" s="6"/>
      <c r="D2186" s="12"/>
      <c r="E2186" s="12"/>
      <c r="F2186" s="12"/>
      <c r="G2186" s="12"/>
      <c r="H2186" s="6"/>
      <c r="I2186" s="190"/>
      <c r="J2186" s="190"/>
      <c r="K2186" s="190"/>
      <c r="L2186" s="190"/>
      <c r="M2186" s="190"/>
      <c r="N2186" s="190"/>
      <c r="O2186" s="190"/>
      <c r="P2186" s="190"/>
      <c r="Q2186" s="190"/>
      <c r="R2186" s="190"/>
      <c r="S2186" s="190"/>
      <c r="T2186" s="190"/>
      <c r="U2186" s="190"/>
      <c r="V2186" s="190"/>
      <c r="W2186" s="190"/>
      <c r="X2186" s="190"/>
      <c r="Y2186" s="190"/>
      <c r="Z2186" s="190"/>
      <c r="AA2186" s="190"/>
      <c r="AB2186" s="190"/>
      <c r="AC2186" s="190"/>
      <c r="AD2186" s="190"/>
      <c r="AE2186" s="190"/>
      <c r="AF2186" s="190"/>
      <c r="AG2186" s="190"/>
      <c r="AH2186" s="190"/>
      <c r="AI2186" s="190"/>
      <c r="AJ2186" s="190"/>
      <c r="AK2186" s="190"/>
      <c r="AL2186" s="190"/>
    </row>
    <row r="2187" spans="2:38" ht="12.75" customHeight="1">
      <c r="B2187" s="485"/>
      <c r="C2187" s="6"/>
      <c r="D2187" s="12"/>
      <c r="E2187" s="12"/>
      <c r="F2187" s="12"/>
      <c r="G2187" s="12"/>
      <c r="H2187" s="6"/>
      <c r="I2187" s="190"/>
      <c r="J2187" s="190"/>
      <c r="K2187" s="190"/>
      <c r="L2187" s="190"/>
      <c r="M2187" s="190"/>
      <c r="N2187" s="190"/>
      <c r="O2187" s="190"/>
      <c r="P2187" s="190"/>
      <c r="Q2187" s="190"/>
      <c r="R2187" s="190"/>
      <c r="S2187" s="190"/>
      <c r="T2187" s="190"/>
      <c r="U2187" s="190"/>
      <c r="V2187" s="190"/>
      <c r="W2187" s="190"/>
      <c r="X2187" s="190"/>
      <c r="Y2187" s="190"/>
      <c r="Z2187" s="190"/>
      <c r="AA2187" s="190"/>
      <c r="AB2187" s="190"/>
      <c r="AC2187" s="190"/>
      <c r="AD2187" s="190"/>
      <c r="AE2187" s="190"/>
      <c r="AF2187" s="190"/>
      <c r="AG2187" s="190"/>
      <c r="AH2187" s="190"/>
      <c r="AI2187" s="190"/>
      <c r="AJ2187" s="190"/>
      <c r="AK2187" s="190"/>
      <c r="AL2187" s="190"/>
    </row>
    <row r="2188" spans="2:38" ht="12.75" customHeight="1">
      <c r="B2188" s="485"/>
      <c r="C2188" s="6"/>
      <c r="D2188" s="12"/>
      <c r="E2188" s="12"/>
      <c r="F2188" s="12"/>
      <c r="G2188" s="12"/>
      <c r="H2188" s="6"/>
      <c r="I2188" s="190"/>
      <c r="J2188" s="190"/>
      <c r="K2188" s="190"/>
      <c r="L2188" s="190"/>
      <c r="M2188" s="190"/>
      <c r="N2188" s="190"/>
      <c r="O2188" s="190"/>
      <c r="P2188" s="190"/>
      <c r="Q2188" s="190"/>
      <c r="R2188" s="190"/>
      <c r="S2188" s="190"/>
      <c r="T2188" s="190"/>
      <c r="U2188" s="190"/>
      <c r="V2188" s="190"/>
      <c r="W2188" s="190"/>
      <c r="X2188" s="190"/>
      <c r="Y2188" s="190"/>
      <c r="Z2188" s="190"/>
      <c r="AA2188" s="190"/>
      <c r="AB2188" s="190"/>
      <c r="AC2188" s="190"/>
      <c r="AD2188" s="190"/>
      <c r="AE2188" s="190"/>
      <c r="AF2188" s="190"/>
      <c r="AG2188" s="190"/>
      <c r="AH2188" s="190"/>
      <c r="AI2188" s="190"/>
      <c r="AJ2188" s="190"/>
      <c r="AK2188" s="190"/>
      <c r="AL2188" s="190"/>
    </row>
    <row r="2189" spans="2:38" ht="12.75" customHeight="1">
      <c r="B2189" s="485"/>
      <c r="C2189" s="6"/>
      <c r="D2189" s="12"/>
      <c r="E2189" s="12"/>
      <c r="F2189" s="12"/>
      <c r="G2189" s="12"/>
      <c r="H2189" s="6"/>
      <c r="I2189" s="190"/>
      <c r="J2189" s="190"/>
      <c r="K2189" s="190"/>
      <c r="L2189" s="190"/>
      <c r="M2189" s="190"/>
      <c r="N2189" s="190"/>
      <c r="O2189" s="190"/>
      <c r="P2189" s="190"/>
      <c r="Q2189" s="190"/>
      <c r="R2189" s="190"/>
      <c r="S2189" s="190"/>
      <c r="T2189" s="190"/>
      <c r="U2189" s="190"/>
      <c r="V2189" s="190"/>
      <c r="W2189" s="190"/>
      <c r="X2189" s="190"/>
      <c r="Y2189" s="190"/>
      <c r="Z2189" s="190"/>
      <c r="AA2189" s="190"/>
      <c r="AB2189" s="190"/>
      <c r="AC2189" s="190"/>
      <c r="AD2189" s="190"/>
      <c r="AE2189" s="190"/>
      <c r="AF2189" s="190"/>
      <c r="AG2189" s="190"/>
      <c r="AH2189" s="190"/>
      <c r="AI2189" s="190"/>
      <c r="AJ2189" s="190"/>
      <c r="AK2189" s="190"/>
      <c r="AL2189" s="190"/>
    </row>
    <row r="2190" spans="2:38" ht="12.75" customHeight="1">
      <c r="B2190" s="485"/>
      <c r="C2190" s="6"/>
      <c r="D2190" s="12"/>
      <c r="E2190" s="12"/>
      <c r="F2190" s="12"/>
      <c r="G2190" s="12"/>
      <c r="H2190" s="6"/>
      <c r="I2190" s="190"/>
      <c r="J2190" s="190"/>
      <c r="K2190" s="190"/>
      <c r="L2190" s="190"/>
      <c r="M2190" s="190"/>
      <c r="N2190" s="190"/>
      <c r="O2190" s="190"/>
      <c r="P2190" s="190"/>
      <c r="Q2190" s="190"/>
      <c r="R2190" s="190"/>
      <c r="S2190" s="190"/>
      <c r="T2190" s="190"/>
      <c r="U2190" s="190"/>
      <c r="V2190" s="190"/>
      <c r="W2190" s="190"/>
      <c r="X2190" s="190"/>
      <c r="Y2190" s="190"/>
      <c r="Z2190" s="190"/>
      <c r="AA2190" s="190"/>
      <c r="AB2190" s="190"/>
      <c r="AC2190" s="190"/>
      <c r="AD2190" s="190"/>
      <c r="AE2190" s="190"/>
      <c r="AF2190" s="190"/>
      <c r="AG2190" s="190"/>
      <c r="AH2190" s="190"/>
      <c r="AI2190" s="190"/>
      <c r="AJ2190" s="190"/>
      <c r="AK2190" s="190"/>
      <c r="AL2190" s="190"/>
    </row>
    <row r="2191" spans="2:38" ht="12.75" customHeight="1">
      <c r="B2191" s="485"/>
      <c r="C2191" s="6"/>
      <c r="D2191" s="12"/>
      <c r="E2191" s="12"/>
      <c r="F2191" s="12"/>
      <c r="G2191" s="12"/>
      <c r="H2191" s="6"/>
      <c r="I2191" s="190"/>
      <c r="J2191" s="190"/>
      <c r="K2191" s="190"/>
      <c r="L2191" s="190"/>
      <c r="M2191" s="190"/>
      <c r="N2191" s="190"/>
      <c r="O2191" s="190"/>
      <c r="P2191" s="190"/>
      <c r="Q2191" s="190"/>
      <c r="R2191" s="190"/>
      <c r="S2191" s="190"/>
      <c r="T2191" s="190"/>
      <c r="U2191" s="190"/>
      <c r="V2191" s="190"/>
      <c r="W2191" s="190"/>
      <c r="X2191" s="190"/>
      <c r="Y2191" s="190"/>
      <c r="Z2191" s="190"/>
      <c r="AA2191" s="190"/>
      <c r="AB2191" s="190"/>
      <c r="AC2191" s="190"/>
      <c r="AD2191" s="190"/>
      <c r="AE2191" s="190"/>
      <c r="AF2191" s="190"/>
      <c r="AG2191" s="190"/>
      <c r="AH2191" s="190"/>
      <c r="AI2191" s="190"/>
      <c r="AJ2191" s="190"/>
      <c r="AK2191" s="190"/>
      <c r="AL2191" s="190"/>
    </row>
    <row r="2192" spans="2:38" ht="12.75" customHeight="1">
      <c r="B2192" s="485"/>
      <c r="C2192" s="6"/>
      <c r="D2192" s="12"/>
      <c r="E2192" s="12"/>
      <c r="F2192" s="12"/>
      <c r="G2192" s="12"/>
      <c r="H2192" s="6"/>
      <c r="I2192" s="190"/>
      <c r="J2192" s="190"/>
      <c r="K2192" s="190"/>
      <c r="L2192" s="190"/>
      <c r="M2192" s="190"/>
      <c r="N2192" s="190"/>
      <c r="O2192" s="190"/>
      <c r="P2192" s="190"/>
      <c r="Q2192" s="190"/>
      <c r="R2192" s="190"/>
      <c r="S2192" s="190"/>
      <c r="T2192" s="190"/>
      <c r="U2192" s="190"/>
      <c r="V2192" s="190"/>
      <c r="W2192" s="190"/>
      <c r="X2192" s="190"/>
      <c r="Y2192" s="190"/>
      <c r="Z2192" s="190"/>
      <c r="AA2192" s="190"/>
      <c r="AB2192" s="190"/>
      <c r="AC2192" s="190"/>
      <c r="AD2192" s="190"/>
      <c r="AE2192" s="190"/>
      <c r="AF2192" s="190"/>
      <c r="AG2192" s="190"/>
      <c r="AH2192" s="190"/>
      <c r="AI2192" s="190"/>
      <c r="AJ2192" s="190"/>
      <c r="AK2192" s="190"/>
      <c r="AL2192" s="190"/>
    </row>
    <row r="2193" spans="2:38" ht="12.75" customHeight="1">
      <c r="B2193" s="485"/>
      <c r="C2193" s="6"/>
      <c r="D2193" s="12"/>
      <c r="E2193" s="12"/>
      <c r="F2193" s="12"/>
      <c r="G2193" s="12"/>
      <c r="H2193" s="6"/>
      <c r="I2193" s="190"/>
      <c r="J2193" s="190"/>
      <c r="K2193" s="190"/>
      <c r="L2193" s="190"/>
      <c r="M2193" s="190"/>
      <c r="N2193" s="190"/>
      <c r="O2193" s="190"/>
      <c r="P2193" s="190"/>
      <c r="Q2193" s="190"/>
      <c r="R2193" s="190"/>
      <c r="S2193" s="190"/>
      <c r="T2193" s="190"/>
      <c r="U2193" s="190"/>
      <c r="V2193" s="190"/>
      <c r="W2193" s="190"/>
      <c r="X2193" s="190"/>
      <c r="Y2193" s="190"/>
      <c r="Z2193" s="190"/>
      <c r="AA2193" s="190"/>
      <c r="AB2193" s="190"/>
      <c r="AC2193" s="190"/>
      <c r="AD2193" s="190"/>
      <c r="AE2193" s="190"/>
      <c r="AF2193" s="190"/>
      <c r="AG2193" s="190"/>
      <c r="AH2193" s="190"/>
      <c r="AI2193" s="190"/>
      <c r="AJ2193" s="190"/>
      <c r="AK2193" s="190"/>
      <c r="AL2193" s="190"/>
    </row>
    <row r="2194" spans="2:38" ht="12.75" customHeight="1">
      <c r="B2194" s="485"/>
      <c r="C2194" s="6"/>
      <c r="D2194" s="12"/>
      <c r="E2194" s="12"/>
      <c r="F2194" s="12"/>
      <c r="G2194" s="12"/>
      <c r="H2194" s="6"/>
      <c r="I2194" s="190"/>
      <c r="J2194" s="190"/>
      <c r="K2194" s="190"/>
      <c r="L2194" s="190"/>
      <c r="M2194" s="190"/>
      <c r="N2194" s="190"/>
      <c r="O2194" s="190"/>
      <c r="P2194" s="190"/>
      <c r="Q2194" s="190"/>
      <c r="R2194" s="190"/>
      <c r="S2194" s="190"/>
      <c r="T2194" s="190"/>
      <c r="U2194" s="190"/>
      <c r="V2194" s="190"/>
      <c r="W2194" s="190"/>
      <c r="X2194" s="190"/>
      <c r="Y2194" s="190"/>
      <c r="Z2194" s="190"/>
      <c r="AA2194" s="190"/>
      <c r="AB2194" s="190"/>
      <c r="AC2194" s="190"/>
      <c r="AD2194" s="190"/>
      <c r="AE2194" s="190"/>
      <c r="AF2194" s="190"/>
      <c r="AG2194" s="190"/>
      <c r="AH2194" s="190"/>
      <c r="AI2194" s="190"/>
      <c r="AJ2194" s="190"/>
      <c r="AK2194" s="190"/>
      <c r="AL2194" s="190"/>
    </row>
    <row r="2195" spans="2:38" ht="12.75" customHeight="1">
      <c r="B2195" s="485"/>
      <c r="C2195" s="6"/>
      <c r="D2195" s="12"/>
      <c r="E2195" s="12"/>
      <c r="F2195" s="12"/>
      <c r="G2195" s="12"/>
      <c r="H2195" s="6"/>
      <c r="I2195" s="190"/>
      <c r="J2195" s="190"/>
      <c r="K2195" s="190"/>
      <c r="L2195" s="190"/>
      <c r="M2195" s="190"/>
      <c r="N2195" s="190"/>
      <c r="O2195" s="190"/>
      <c r="P2195" s="190"/>
      <c r="Q2195" s="190"/>
      <c r="R2195" s="190"/>
      <c r="S2195" s="190"/>
      <c r="T2195" s="190"/>
      <c r="U2195" s="190"/>
      <c r="V2195" s="190"/>
      <c r="W2195" s="190"/>
      <c r="X2195" s="190"/>
      <c r="Y2195" s="190"/>
      <c r="Z2195" s="190"/>
      <c r="AA2195" s="190"/>
      <c r="AB2195" s="190"/>
      <c r="AC2195" s="190"/>
      <c r="AD2195" s="190"/>
      <c r="AE2195" s="190"/>
      <c r="AF2195" s="190"/>
      <c r="AG2195" s="190"/>
      <c r="AH2195" s="190"/>
      <c r="AI2195" s="190"/>
      <c r="AJ2195" s="190"/>
      <c r="AK2195" s="190"/>
      <c r="AL2195" s="190"/>
    </row>
    <row r="2196" spans="2:38" ht="12.75" customHeight="1">
      <c r="B2196" s="485"/>
      <c r="C2196" s="6"/>
      <c r="D2196" s="12"/>
      <c r="E2196" s="12"/>
      <c r="F2196" s="12"/>
      <c r="G2196" s="12"/>
      <c r="H2196" s="6"/>
      <c r="I2196" s="190"/>
      <c r="J2196" s="190"/>
      <c r="K2196" s="190"/>
      <c r="L2196" s="190"/>
      <c r="M2196" s="190"/>
      <c r="N2196" s="190"/>
      <c r="O2196" s="190"/>
      <c r="P2196" s="190"/>
      <c r="Q2196" s="190"/>
      <c r="R2196" s="190"/>
      <c r="S2196" s="190"/>
      <c r="T2196" s="190"/>
      <c r="U2196" s="190"/>
      <c r="V2196" s="190"/>
      <c r="W2196" s="190"/>
      <c r="X2196" s="190"/>
      <c r="Y2196" s="190"/>
      <c r="Z2196" s="190"/>
      <c r="AA2196" s="190"/>
      <c r="AB2196" s="190"/>
      <c r="AC2196" s="190"/>
      <c r="AD2196" s="190"/>
      <c r="AE2196" s="190"/>
      <c r="AF2196" s="190"/>
      <c r="AG2196" s="190"/>
      <c r="AH2196" s="190"/>
      <c r="AI2196" s="190"/>
      <c r="AJ2196" s="190"/>
      <c r="AK2196" s="190"/>
      <c r="AL2196" s="190"/>
    </row>
    <row r="2197" spans="2:38" ht="12.75" customHeight="1">
      <c r="B2197" s="485"/>
      <c r="C2197" s="6"/>
      <c r="D2197" s="12"/>
      <c r="E2197" s="12"/>
      <c r="F2197" s="12"/>
      <c r="G2197" s="12"/>
      <c r="H2197" s="6"/>
      <c r="I2197" s="190"/>
      <c r="J2197" s="190"/>
      <c r="K2197" s="190"/>
      <c r="L2197" s="190"/>
      <c r="M2197" s="190"/>
      <c r="N2197" s="190"/>
      <c r="O2197" s="190"/>
      <c r="P2197" s="190"/>
      <c r="Q2197" s="190"/>
      <c r="R2197" s="190"/>
      <c r="S2197" s="190"/>
      <c r="T2197" s="190"/>
      <c r="U2197" s="190"/>
      <c r="V2197" s="190"/>
      <c r="W2197" s="190"/>
      <c r="X2197" s="190"/>
      <c r="Y2197" s="190"/>
      <c r="Z2197" s="190"/>
      <c r="AA2197" s="190"/>
      <c r="AB2197" s="190"/>
      <c r="AC2197" s="190"/>
      <c r="AD2197" s="190"/>
      <c r="AE2197" s="190"/>
      <c r="AF2197" s="190"/>
      <c r="AG2197" s="190"/>
      <c r="AH2197" s="190"/>
      <c r="AI2197" s="190"/>
      <c r="AJ2197" s="190"/>
      <c r="AK2197" s="190"/>
      <c r="AL2197" s="190"/>
    </row>
    <row r="2198" spans="2:38" ht="12.75" customHeight="1">
      <c r="B2198" s="485"/>
      <c r="C2198" s="6"/>
      <c r="D2198" s="12"/>
      <c r="E2198" s="12"/>
      <c r="F2198" s="12"/>
      <c r="G2198" s="12"/>
      <c r="H2198" s="6"/>
      <c r="I2198" s="190"/>
      <c r="J2198" s="190"/>
      <c r="K2198" s="190"/>
      <c r="L2198" s="190"/>
      <c r="M2198" s="190"/>
      <c r="N2198" s="190"/>
      <c r="O2198" s="190"/>
      <c r="P2198" s="190"/>
      <c r="Q2198" s="190"/>
      <c r="R2198" s="190"/>
      <c r="S2198" s="190"/>
      <c r="T2198" s="190"/>
      <c r="U2198" s="190"/>
      <c r="V2198" s="190"/>
      <c r="W2198" s="190"/>
      <c r="X2198" s="190"/>
      <c r="Y2198" s="190"/>
      <c r="Z2198" s="190"/>
      <c r="AA2198" s="190"/>
      <c r="AB2198" s="190"/>
      <c r="AC2198" s="190"/>
      <c r="AD2198" s="190"/>
      <c r="AE2198" s="190"/>
      <c r="AF2198" s="190"/>
      <c r="AG2198" s="190"/>
      <c r="AH2198" s="190"/>
      <c r="AI2198" s="190"/>
      <c r="AJ2198" s="190"/>
      <c r="AK2198" s="190"/>
      <c r="AL2198" s="190"/>
    </row>
    <row r="2199" spans="2:38" ht="12.75" customHeight="1">
      <c r="B2199" s="485"/>
      <c r="C2199" s="6"/>
      <c r="D2199" s="12"/>
      <c r="E2199" s="12"/>
      <c r="F2199" s="12"/>
      <c r="G2199" s="12"/>
      <c r="H2199" s="6"/>
      <c r="I2199" s="190"/>
      <c r="J2199" s="190"/>
      <c r="K2199" s="190"/>
      <c r="L2199" s="190"/>
      <c r="M2199" s="190"/>
      <c r="N2199" s="190"/>
      <c r="O2199" s="190"/>
      <c r="P2199" s="190"/>
      <c r="Q2199" s="190"/>
      <c r="R2199" s="190"/>
      <c r="S2199" s="190"/>
      <c r="T2199" s="190"/>
      <c r="U2199" s="190"/>
      <c r="V2199" s="190"/>
      <c r="W2199" s="190"/>
      <c r="X2199" s="190"/>
      <c r="Y2199" s="190"/>
      <c r="Z2199" s="190"/>
      <c r="AA2199" s="190"/>
      <c r="AB2199" s="190"/>
      <c r="AC2199" s="190"/>
      <c r="AD2199" s="190"/>
      <c r="AE2199" s="190"/>
      <c r="AF2199" s="190"/>
      <c r="AG2199" s="190"/>
      <c r="AH2199" s="190"/>
      <c r="AI2199" s="190"/>
      <c r="AJ2199" s="190"/>
      <c r="AK2199" s="190"/>
      <c r="AL2199" s="190"/>
    </row>
    <row r="2200" spans="2:38" ht="12.75" customHeight="1">
      <c r="B2200" s="485"/>
      <c r="C2200" s="6"/>
      <c r="D2200" s="12"/>
      <c r="E2200" s="12"/>
      <c r="F2200" s="12"/>
      <c r="G2200" s="12"/>
      <c r="H2200" s="6"/>
      <c r="I2200" s="190"/>
      <c r="J2200" s="190"/>
      <c r="K2200" s="190"/>
      <c r="L2200" s="190"/>
      <c r="M2200" s="190"/>
      <c r="N2200" s="190"/>
      <c r="O2200" s="190"/>
      <c r="P2200" s="190"/>
      <c r="Q2200" s="190"/>
      <c r="R2200" s="190"/>
      <c r="S2200" s="190"/>
      <c r="T2200" s="190"/>
      <c r="U2200" s="190"/>
      <c r="V2200" s="190"/>
      <c r="W2200" s="190"/>
      <c r="X2200" s="190"/>
      <c r="Y2200" s="190"/>
      <c r="Z2200" s="190"/>
      <c r="AA2200" s="190"/>
      <c r="AB2200" s="190"/>
      <c r="AC2200" s="190"/>
      <c r="AD2200" s="190"/>
      <c r="AE2200" s="190"/>
      <c r="AF2200" s="190"/>
      <c r="AG2200" s="190"/>
      <c r="AH2200" s="190"/>
      <c r="AI2200" s="190"/>
      <c r="AJ2200" s="190"/>
      <c r="AK2200" s="190"/>
      <c r="AL2200" s="190"/>
    </row>
    <row r="2201" spans="2:38" ht="12.75" customHeight="1">
      <c r="B2201" s="485"/>
      <c r="C2201" s="6"/>
      <c r="D2201" s="12"/>
      <c r="E2201" s="12"/>
      <c r="F2201" s="12"/>
      <c r="G2201" s="12"/>
      <c r="H2201" s="6"/>
      <c r="I2201" s="190"/>
      <c r="J2201" s="190"/>
      <c r="K2201" s="190"/>
      <c r="L2201" s="190"/>
      <c r="M2201" s="190"/>
      <c r="N2201" s="190"/>
      <c r="O2201" s="190"/>
      <c r="P2201" s="190"/>
      <c r="Q2201" s="190"/>
      <c r="R2201" s="190"/>
      <c r="S2201" s="190"/>
      <c r="T2201" s="190"/>
      <c r="U2201" s="190"/>
      <c r="V2201" s="190"/>
      <c r="W2201" s="190"/>
      <c r="X2201" s="190"/>
      <c r="Y2201" s="190"/>
      <c r="Z2201" s="190"/>
      <c r="AA2201" s="190"/>
      <c r="AB2201" s="190"/>
      <c r="AC2201" s="190"/>
      <c r="AD2201" s="190"/>
      <c r="AE2201" s="190"/>
      <c r="AF2201" s="190"/>
      <c r="AG2201" s="190"/>
      <c r="AH2201" s="190"/>
      <c r="AI2201" s="190"/>
      <c r="AJ2201" s="190"/>
      <c r="AK2201" s="190"/>
      <c r="AL2201" s="190"/>
    </row>
    <row r="2202" spans="2:38" ht="12.75" customHeight="1">
      <c r="B2202" s="485"/>
      <c r="C2202" s="6"/>
      <c r="D2202" s="12"/>
      <c r="E2202" s="12"/>
      <c r="F2202" s="12"/>
      <c r="G2202" s="12"/>
      <c r="H2202" s="6"/>
      <c r="I2202" s="190"/>
      <c r="J2202" s="190"/>
      <c r="K2202" s="190"/>
      <c r="L2202" s="190"/>
      <c r="M2202" s="190"/>
      <c r="N2202" s="190"/>
      <c r="O2202" s="190"/>
      <c r="P2202" s="190"/>
      <c r="Q2202" s="190"/>
      <c r="R2202" s="190"/>
      <c r="S2202" s="190"/>
      <c r="T2202" s="190"/>
      <c r="U2202" s="190"/>
      <c r="V2202" s="190"/>
      <c r="W2202" s="190"/>
      <c r="X2202" s="190"/>
      <c r="Y2202" s="190"/>
      <c r="Z2202" s="190"/>
      <c r="AA2202" s="190"/>
      <c r="AB2202" s="190"/>
      <c r="AC2202" s="190"/>
      <c r="AD2202" s="190"/>
      <c r="AE2202" s="190"/>
      <c r="AF2202" s="190"/>
      <c r="AG2202" s="190"/>
      <c r="AH2202" s="190"/>
      <c r="AI2202" s="190"/>
      <c r="AJ2202" s="190"/>
      <c r="AK2202" s="190"/>
      <c r="AL2202" s="190"/>
    </row>
    <row r="2203" spans="2:38" ht="12.75" customHeight="1">
      <c r="B2203" s="485"/>
      <c r="C2203" s="6"/>
      <c r="D2203" s="12"/>
      <c r="E2203" s="12"/>
      <c r="F2203" s="12"/>
      <c r="G2203" s="12"/>
      <c r="H2203" s="6"/>
      <c r="I2203" s="190"/>
      <c r="J2203" s="190"/>
      <c r="K2203" s="190"/>
      <c r="L2203" s="190"/>
      <c r="M2203" s="190"/>
      <c r="N2203" s="190"/>
      <c r="O2203" s="190"/>
      <c r="P2203" s="190"/>
      <c r="Q2203" s="190"/>
      <c r="R2203" s="190"/>
      <c r="S2203" s="190"/>
      <c r="T2203" s="190"/>
      <c r="U2203" s="190"/>
      <c r="V2203" s="190"/>
      <c r="W2203" s="190"/>
      <c r="X2203" s="190"/>
      <c r="Y2203" s="190"/>
      <c r="Z2203" s="190"/>
      <c r="AA2203" s="190"/>
      <c r="AB2203" s="190"/>
      <c r="AC2203" s="190"/>
      <c r="AD2203" s="190"/>
      <c r="AE2203" s="190"/>
      <c r="AF2203" s="190"/>
      <c r="AG2203" s="190"/>
      <c r="AH2203" s="190"/>
      <c r="AI2203" s="190"/>
      <c r="AJ2203" s="190"/>
      <c r="AK2203" s="190"/>
      <c r="AL2203" s="190"/>
    </row>
    <row r="2204" spans="2:38" ht="12.75" customHeight="1">
      <c r="B2204" s="485"/>
      <c r="C2204" s="6"/>
      <c r="D2204" s="12"/>
      <c r="E2204" s="12"/>
      <c r="F2204" s="12"/>
      <c r="G2204" s="12"/>
      <c r="H2204" s="6"/>
      <c r="I2204" s="190"/>
      <c r="J2204" s="190"/>
      <c r="K2204" s="190"/>
      <c r="L2204" s="190"/>
      <c r="M2204" s="190"/>
      <c r="N2204" s="190"/>
      <c r="O2204" s="190"/>
      <c r="P2204" s="190"/>
      <c r="Q2204" s="190"/>
      <c r="R2204" s="190"/>
      <c r="S2204" s="190"/>
      <c r="T2204" s="190"/>
      <c r="U2204" s="190"/>
      <c r="V2204" s="190"/>
      <c r="W2204" s="190"/>
      <c r="X2204" s="190"/>
      <c r="Y2204" s="190"/>
      <c r="Z2204" s="190"/>
      <c r="AA2204" s="190"/>
      <c r="AB2204" s="190"/>
      <c r="AC2204" s="190"/>
      <c r="AD2204" s="190"/>
      <c r="AE2204" s="190"/>
      <c r="AF2204" s="190"/>
      <c r="AG2204" s="190"/>
      <c r="AH2204" s="190"/>
      <c r="AI2204" s="190"/>
      <c r="AJ2204" s="190"/>
      <c r="AK2204" s="190"/>
      <c r="AL2204" s="190"/>
    </row>
    <row r="2205" spans="2:38" ht="12.75" customHeight="1">
      <c r="B2205" s="485"/>
      <c r="C2205" s="6"/>
      <c r="D2205" s="12"/>
      <c r="E2205" s="12"/>
      <c r="F2205" s="12"/>
      <c r="G2205" s="12"/>
      <c r="H2205" s="6"/>
      <c r="I2205" s="190"/>
      <c r="J2205" s="190"/>
      <c r="K2205" s="190"/>
      <c r="L2205" s="190"/>
      <c r="M2205" s="190"/>
      <c r="N2205" s="190"/>
      <c r="O2205" s="190"/>
      <c r="P2205" s="190"/>
      <c r="Q2205" s="190"/>
      <c r="R2205" s="190"/>
      <c r="S2205" s="190"/>
      <c r="T2205" s="190"/>
      <c r="U2205" s="190"/>
      <c r="V2205" s="190"/>
      <c r="W2205" s="190"/>
      <c r="X2205" s="190"/>
      <c r="Y2205" s="190"/>
      <c r="Z2205" s="190"/>
      <c r="AA2205" s="190"/>
      <c r="AB2205" s="190"/>
      <c r="AC2205" s="190"/>
      <c r="AD2205" s="190"/>
      <c r="AE2205" s="190"/>
      <c r="AF2205" s="190"/>
      <c r="AG2205" s="190"/>
      <c r="AH2205" s="190"/>
      <c r="AI2205" s="190"/>
      <c r="AJ2205" s="190"/>
      <c r="AK2205" s="190"/>
      <c r="AL2205" s="190"/>
    </row>
    <row r="2206" spans="2:38" ht="12.75" customHeight="1">
      <c r="B2206" s="485"/>
      <c r="C2206" s="6"/>
      <c r="D2206" s="12"/>
      <c r="E2206" s="12"/>
      <c r="F2206" s="12"/>
      <c r="G2206" s="12"/>
      <c r="H2206" s="6"/>
      <c r="I2206" s="190"/>
      <c r="J2206" s="190"/>
      <c r="K2206" s="190"/>
      <c r="L2206" s="190"/>
      <c r="M2206" s="190"/>
      <c r="N2206" s="190"/>
      <c r="O2206" s="190"/>
      <c r="P2206" s="190"/>
      <c r="Q2206" s="190"/>
      <c r="R2206" s="190"/>
      <c r="S2206" s="190"/>
      <c r="T2206" s="190"/>
      <c r="U2206" s="190"/>
      <c r="V2206" s="190"/>
      <c r="W2206" s="190"/>
      <c r="X2206" s="190"/>
      <c r="Y2206" s="190"/>
      <c r="Z2206" s="190"/>
      <c r="AA2206" s="190"/>
      <c r="AB2206" s="190"/>
      <c r="AC2206" s="190"/>
      <c r="AD2206" s="190"/>
      <c r="AE2206" s="190"/>
      <c r="AF2206" s="190"/>
      <c r="AG2206" s="190"/>
      <c r="AH2206" s="190"/>
      <c r="AI2206" s="190"/>
      <c r="AJ2206" s="190"/>
      <c r="AK2206" s="190"/>
      <c r="AL2206" s="190"/>
    </row>
    <row r="2207" spans="2:38" ht="12.75" customHeight="1">
      <c r="B2207" s="485"/>
      <c r="C2207" s="6"/>
      <c r="D2207" s="12"/>
      <c r="E2207" s="12"/>
      <c r="F2207" s="12"/>
      <c r="G2207" s="12"/>
      <c r="H2207" s="6"/>
      <c r="I2207" s="190"/>
      <c r="J2207" s="190"/>
      <c r="K2207" s="190"/>
      <c r="L2207" s="190"/>
      <c r="M2207" s="190"/>
      <c r="N2207" s="190"/>
      <c r="O2207" s="190"/>
      <c r="P2207" s="190"/>
      <c r="Q2207" s="190"/>
      <c r="R2207" s="190"/>
      <c r="S2207" s="190"/>
      <c r="T2207" s="190"/>
      <c r="U2207" s="190"/>
      <c r="V2207" s="190"/>
      <c r="W2207" s="190"/>
      <c r="X2207" s="190"/>
      <c r="Y2207" s="190"/>
      <c r="Z2207" s="190"/>
      <c r="AA2207" s="190"/>
      <c r="AB2207" s="190"/>
      <c r="AC2207" s="190"/>
      <c r="AD2207" s="190"/>
      <c r="AE2207" s="190"/>
      <c r="AF2207" s="190"/>
      <c r="AG2207" s="190"/>
      <c r="AH2207" s="190"/>
      <c r="AI2207" s="190"/>
      <c r="AJ2207" s="190"/>
      <c r="AK2207" s="190"/>
      <c r="AL2207" s="190"/>
    </row>
    <row r="2208" spans="2:38" ht="12.75" customHeight="1">
      <c r="B2208" s="485"/>
      <c r="C2208" s="6"/>
      <c r="D2208" s="12"/>
      <c r="E2208" s="12"/>
      <c r="F2208" s="12"/>
      <c r="G2208" s="12"/>
      <c r="H2208" s="6"/>
      <c r="I2208" s="190"/>
      <c r="J2208" s="190"/>
      <c r="K2208" s="190"/>
      <c r="L2208" s="190"/>
      <c r="M2208" s="190"/>
      <c r="N2208" s="190"/>
      <c r="O2208" s="190"/>
      <c r="P2208" s="190"/>
      <c r="Q2208" s="190"/>
      <c r="R2208" s="190"/>
      <c r="S2208" s="190"/>
      <c r="T2208" s="190"/>
      <c r="U2208" s="190"/>
      <c r="V2208" s="190"/>
      <c r="W2208" s="190"/>
      <c r="X2208" s="190"/>
      <c r="Y2208" s="190"/>
      <c r="Z2208" s="190"/>
      <c r="AA2208" s="190"/>
      <c r="AB2208" s="190"/>
      <c r="AC2208" s="190"/>
      <c r="AD2208" s="190"/>
      <c r="AE2208" s="190"/>
      <c r="AF2208" s="190"/>
      <c r="AG2208" s="190"/>
      <c r="AH2208" s="190"/>
      <c r="AI2208" s="190"/>
      <c r="AJ2208" s="190"/>
      <c r="AK2208" s="190"/>
      <c r="AL2208" s="190"/>
    </row>
    <row r="2209" spans="2:38" ht="12.75" customHeight="1">
      <c r="B2209" s="485"/>
      <c r="C2209" s="6"/>
      <c r="D2209" s="12"/>
      <c r="E2209" s="12"/>
      <c r="F2209" s="12"/>
      <c r="G2209" s="12"/>
      <c r="H2209" s="6"/>
      <c r="I2209" s="190"/>
      <c r="J2209" s="190"/>
      <c r="K2209" s="190"/>
      <c r="L2209" s="190"/>
      <c r="M2209" s="190"/>
      <c r="N2209" s="190"/>
      <c r="O2209" s="190"/>
      <c r="P2209" s="190"/>
      <c r="Q2209" s="190"/>
      <c r="R2209" s="190"/>
      <c r="S2209" s="190"/>
      <c r="T2209" s="190"/>
      <c r="U2209" s="190"/>
      <c r="V2209" s="190"/>
      <c r="W2209" s="190"/>
      <c r="X2209" s="190"/>
      <c r="Y2209" s="190"/>
      <c r="Z2209" s="190"/>
      <c r="AA2209" s="190"/>
      <c r="AB2209" s="190"/>
      <c r="AC2209" s="190"/>
      <c r="AD2209" s="190"/>
      <c r="AE2209" s="190"/>
      <c r="AF2209" s="190"/>
      <c r="AG2209" s="190"/>
      <c r="AH2209" s="190"/>
      <c r="AI2209" s="190"/>
      <c r="AJ2209" s="190"/>
      <c r="AK2209" s="190"/>
      <c r="AL2209" s="190"/>
    </row>
    <row r="2210" spans="2:38" ht="12.75" customHeight="1">
      <c r="B2210" s="485"/>
      <c r="C2210" s="6"/>
      <c r="D2210" s="12"/>
      <c r="E2210" s="12"/>
      <c r="F2210" s="12"/>
      <c r="G2210" s="12"/>
      <c r="H2210" s="6"/>
      <c r="I2210" s="190"/>
      <c r="J2210" s="190"/>
      <c r="K2210" s="190"/>
      <c r="L2210" s="190"/>
      <c r="M2210" s="190"/>
      <c r="N2210" s="190"/>
      <c r="O2210" s="190"/>
      <c r="P2210" s="190"/>
      <c r="Q2210" s="190"/>
      <c r="R2210" s="190"/>
      <c r="S2210" s="190"/>
      <c r="T2210" s="190"/>
      <c r="U2210" s="190"/>
      <c r="V2210" s="190"/>
      <c r="W2210" s="190"/>
      <c r="X2210" s="190"/>
      <c r="Y2210" s="190"/>
      <c r="Z2210" s="190"/>
      <c r="AA2210" s="190"/>
      <c r="AB2210" s="190"/>
      <c r="AC2210" s="190"/>
      <c r="AD2210" s="190"/>
      <c r="AE2210" s="190"/>
      <c r="AF2210" s="190"/>
      <c r="AG2210" s="190"/>
      <c r="AH2210" s="190"/>
      <c r="AI2210" s="190"/>
      <c r="AJ2210" s="190"/>
      <c r="AK2210" s="190"/>
      <c r="AL2210" s="190"/>
    </row>
    <row r="2211" spans="2:38" ht="12.75" customHeight="1">
      <c r="B2211" s="485"/>
      <c r="C2211" s="6"/>
      <c r="D2211" s="12"/>
      <c r="E2211" s="12"/>
      <c r="F2211" s="12"/>
      <c r="G2211" s="12"/>
      <c r="H2211" s="6"/>
      <c r="I2211" s="190"/>
      <c r="J2211" s="190"/>
      <c r="K2211" s="190"/>
      <c r="L2211" s="190"/>
      <c r="M2211" s="190"/>
      <c r="N2211" s="190"/>
      <c r="O2211" s="190"/>
      <c r="P2211" s="190"/>
      <c r="Q2211" s="190"/>
      <c r="R2211" s="190"/>
      <c r="S2211" s="190"/>
      <c r="T2211" s="190"/>
      <c r="U2211" s="190"/>
      <c r="V2211" s="190"/>
      <c r="W2211" s="190"/>
      <c r="X2211" s="190"/>
      <c r="Y2211" s="190"/>
      <c r="Z2211" s="190"/>
      <c r="AA2211" s="190"/>
      <c r="AB2211" s="190"/>
      <c r="AC2211" s="190"/>
      <c r="AD2211" s="190"/>
      <c r="AE2211" s="190"/>
      <c r="AF2211" s="190"/>
      <c r="AG2211" s="190"/>
      <c r="AH2211" s="190"/>
      <c r="AI2211" s="190"/>
      <c r="AJ2211" s="190"/>
      <c r="AK2211" s="190"/>
      <c r="AL2211" s="190"/>
    </row>
    <row r="2212" spans="2:38" ht="12.75" customHeight="1">
      <c r="B2212" s="485"/>
      <c r="C2212" s="6"/>
      <c r="D2212" s="12"/>
      <c r="E2212" s="12"/>
      <c r="F2212" s="12"/>
      <c r="G2212" s="12"/>
      <c r="H2212" s="6"/>
      <c r="I2212" s="190"/>
      <c r="J2212" s="190"/>
      <c r="K2212" s="190"/>
      <c r="L2212" s="190"/>
      <c r="M2212" s="190"/>
      <c r="N2212" s="190"/>
      <c r="O2212" s="190"/>
      <c r="P2212" s="190"/>
      <c r="Q2212" s="190"/>
      <c r="R2212" s="190"/>
      <c r="S2212" s="190"/>
      <c r="T2212" s="190"/>
      <c r="U2212" s="190"/>
      <c r="V2212" s="190"/>
      <c r="W2212" s="190"/>
      <c r="X2212" s="190"/>
      <c r="Y2212" s="190"/>
      <c r="Z2212" s="190"/>
      <c r="AA2212" s="190"/>
      <c r="AB2212" s="190"/>
      <c r="AC2212" s="190"/>
      <c r="AD2212" s="190"/>
      <c r="AE2212" s="190"/>
      <c r="AF2212" s="190"/>
      <c r="AG2212" s="190"/>
      <c r="AH2212" s="190"/>
      <c r="AI2212" s="190"/>
      <c r="AJ2212" s="190"/>
      <c r="AK2212" s="190"/>
      <c r="AL2212" s="190"/>
    </row>
    <row r="2213" spans="2:38" ht="12.75" customHeight="1">
      <c r="B2213" s="485"/>
      <c r="C2213" s="6"/>
      <c r="D2213" s="12"/>
      <c r="E2213" s="12"/>
      <c r="F2213" s="12"/>
      <c r="G2213" s="12"/>
      <c r="H2213" s="6"/>
      <c r="I2213" s="190"/>
      <c r="J2213" s="190"/>
      <c r="K2213" s="190"/>
      <c r="L2213" s="190"/>
      <c r="M2213" s="190"/>
      <c r="N2213" s="190"/>
      <c r="O2213" s="190"/>
      <c r="P2213" s="190"/>
      <c r="Q2213" s="190"/>
      <c r="R2213" s="190"/>
      <c r="S2213" s="190"/>
      <c r="T2213" s="190"/>
      <c r="U2213" s="190"/>
      <c r="V2213" s="190"/>
      <c r="W2213" s="190"/>
      <c r="X2213" s="190"/>
      <c r="Y2213" s="190"/>
      <c r="Z2213" s="190"/>
      <c r="AA2213" s="190"/>
      <c r="AB2213" s="190"/>
      <c r="AC2213" s="190"/>
      <c r="AD2213" s="190"/>
      <c r="AE2213" s="190"/>
      <c r="AF2213" s="190"/>
      <c r="AG2213" s="190"/>
      <c r="AH2213" s="190"/>
      <c r="AI2213" s="190"/>
      <c r="AJ2213" s="190"/>
      <c r="AK2213" s="190"/>
      <c r="AL2213" s="190"/>
    </row>
    <row r="2214" spans="2:38" ht="12.75" customHeight="1">
      <c r="B2214" s="485"/>
      <c r="C2214" s="6"/>
      <c r="D2214" s="12"/>
      <c r="E2214" s="12"/>
      <c r="F2214" s="12"/>
      <c r="G2214" s="12"/>
      <c r="H2214" s="6"/>
      <c r="I2214" s="190"/>
      <c r="J2214" s="190"/>
      <c r="K2214" s="190"/>
      <c r="L2214" s="190"/>
      <c r="M2214" s="190"/>
      <c r="N2214" s="190"/>
      <c r="O2214" s="190"/>
      <c r="P2214" s="190"/>
      <c r="Q2214" s="190"/>
      <c r="R2214" s="190"/>
      <c r="S2214" s="190"/>
      <c r="T2214" s="190"/>
      <c r="U2214" s="190"/>
      <c r="V2214" s="190"/>
      <c r="W2214" s="190"/>
      <c r="X2214" s="190"/>
      <c r="Y2214" s="190"/>
      <c r="Z2214" s="190"/>
      <c r="AA2214" s="190"/>
      <c r="AB2214" s="190"/>
      <c r="AC2214" s="190"/>
      <c r="AD2214" s="190"/>
      <c r="AE2214" s="190"/>
      <c r="AF2214" s="190"/>
      <c r="AG2214" s="190"/>
      <c r="AH2214" s="190"/>
      <c r="AI2214" s="190"/>
      <c r="AJ2214" s="190"/>
      <c r="AK2214" s="190"/>
      <c r="AL2214" s="190"/>
    </row>
    <row r="2215" spans="2:38" ht="12.75" customHeight="1">
      <c r="B2215" s="485"/>
      <c r="C2215" s="6"/>
      <c r="D2215" s="12"/>
      <c r="E2215" s="12"/>
      <c r="F2215" s="12"/>
      <c r="G2215" s="12"/>
      <c r="H2215" s="6"/>
      <c r="I2215" s="190"/>
      <c r="J2215" s="190"/>
      <c r="K2215" s="190"/>
      <c r="L2215" s="190"/>
      <c r="M2215" s="190"/>
      <c r="N2215" s="190"/>
      <c r="O2215" s="190"/>
      <c r="P2215" s="190"/>
      <c r="Q2215" s="190"/>
      <c r="R2215" s="190"/>
      <c r="S2215" s="190"/>
      <c r="T2215" s="190"/>
      <c r="U2215" s="190"/>
      <c r="V2215" s="190"/>
      <c r="W2215" s="190"/>
      <c r="X2215" s="190"/>
      <c r="Y2215" s="190"/>
      <c r="Z2215" s="190"/>
      <c r="AA2215" s="190"/>
      <c r="AB2215" s="190"/>
      <c r="AC2215" s="190"/>
      <c r="AD2215" s="190"/>
      <c r="AE2215" s="190"/>
      <c r="AF2215" s="190"/>
      <c r="AG2215" s="190"/>
      <c r="AH2215" s="190"/>
      <c r="AI2215" s="190"/>
      <c r="AJ2215" s="190"/>
      <c r="AK2215" s="190"/>
      <c r="AL2215" s="190"/>
    </row>
    <row r="2216" spans="2:38" ht="12.75" customHeight="1">
      <c r="B2216" s="485"/>
      <c r="C2216" s="6"/>
      <c r="D2216" s="12"/>
      <c r="E2216" s="12"/>
      <c r="F2216" s="12"/>
      <c r="G2216" s="12"/>
      <c r="H2216" s="6"/>
      <c r="I2216" s="190"/>
      <c r="J2216" s="190"/>
      <c r="K2216" s="190"/>
      <c r="L2216" s="190"/>
      <c r="M2216" s="190"/>
      <c r="N2216" s="190"/>
      <c r="O2216" s="190"/>
      <c r="P2216" s="190"/>
      <c r="Q2216" s="190"/>
      <c r="R2216" s="190"/>
      <c r="S2216" s="190"/>
      <c r="T2216" s="190"/>
      <c r="U2216" s="190"/>
      <c r="V2216" s="190"/>
      <c r="W2216" s="190"/>
      <c r="X2216" s="190"/>
      <c r="Y2216" s="190"/>
      <c r="Z2216" s="190"/>
      <c r="AA2216" s="190"/>
      <c r="AB2216" s="190"/>
      <c r="AC2216" s="190"/>
      <c r="AD2216" s="190"/>
      <c r="AE2216" s="190"/>
      <c r="AF2216" s="190"/>
      <c r="AG2216" s="190"/>
      <c r="AH2216" s="190"/>
      <c r="AI2216" s="190"/>
      <c r="AJ2216" s="190"/>
      <c r="AK2216" s="190"/>
      <c r="AL2216" s="190"/>
    </row>
    <row r="2217" spans="2:38" ht="12.75" customHeight="1">
      <c r="B2217" s="485"/>
      <c r="C2217" s="6"/>
      <c r="D2217" s="12"/>
      <c r="E2217" s="12"/>
      <c r="F2217" s="12"/>
      <c r="G2217" s="12"/>
      <c r="H2217" s="6"/>
      <c r="I2217" s="190"/>
      <c r="J2217" s="190"/>
      <c r="K2217" s="190"/>
      <c r="L2217" s="190"/>
      <c r="M2217" s="190"/>
      <c r="N2217" s="190"/>
      <c r="O2217" s="190"/>
      <c r="P2217" s="190"/>
      <c r="Q2217" s="190"/>
      <c r="R2217" s="190"/>
      <c r="S2217" s="190"/>
      <c r="T2217" s="190"/>
      <c r="U2217" s="190"/>
      <c r="V2217" s="190"/>
      <c r="W2217" s="190"/>
      <c r="X2217" s="190"/>
      <c r="Y2217" s="190"/>
      <c r="Z2217" s="190"/>
      <c r="AA2217" s="190"/>
      <c r="AB2217" s="190"/>
      <c r="AC2217" s="190"/>
      <c r="AD2217" s="190"/>
      <c r="AE2217" s="190"/>
      <c r="AF2217" s="190"/>
      <c r="AG2217" s="190"/>
      <c r="AH2217" s="190"/>
      <c r="AI2217" s="190"/>
      <c r="AJ2217" s="190"/>
      <c r="AK2217" s="190"/>
      <c r="AL2217" s="190"/>
    </row>
    <row r="2218" spans="2:38" ht="12.75" customHeight="1">
      <c r="B2218" s="485"/>
      <c r="C2218" s="6"/>
      <c r="D2218" s="12"/>
      <c r="E2218" s="12"/>
      <c r="F2218" s="12"/>
      <c r="G2218" s="12"/>
      <c r="H2218" s="6"/>
      <c r="I2218" s="190"/>
      <c r="J2218" s="190"/>
      <c r="K2218" s="190"/>
      <c r="L2218" s="190"/>
      <c r="M2218" s="190"/>
      <c r="N2218" s="190"/>
      <c r="O2218" s="190"/>
      <c r="P2218" s="190"/>
      <c r="Q2218" s="190"/>
      <c r="R2218" s="190"/>
      <c r="S2218" s="190"/>
      <c r="T2218" s="190"/>
      <c r="U2218" s="190"/>
      <c r="V2218" s="190"/>
      <c r="W2218" s="190"/>
      <c r="X2218" s="190"/>
      <c r="Y2218" s="190"/>
      <c r="Z2218" s="190"/>
      <c r="AA2218" s="190"/>
      <c r="AB2218" s="190"/>
      <c r="AC2218" s="190"/>
      <c r="AD2218" s="190"/>
      <c r="AE2218" s="190"/>
      <c r="AF2218" s="190"/>
      <c r="AG2218" s="190"/>
      <c r="AH2218" s="190"/>
      <c r="AI2218" s="190"/>
      <c r="AJ2218" s="190"/>
      <c r="AK2218" s="190"/>
      <c r="AL2218" s="190"/>
    </row>
    <row r="2219" spans="2:38" ht="12.75" customHeight="1">
      <c r="B2219" s="485"/>
      <c r="C2219" s="6"/>
      <c r="D2219" s="12"/>
      <c r="E2219" s="12"/>
      <c r="F2219" s="12"/>
      <c r="G2219" s="12"/>
      <c r="H2219" s="6"/>
      <c r="I2219" s="190"/>
      <c r="J2219" s="190"/>
      <c r="K2219" s="190"/>
      <c r="L2219" s="190"/>
      <c r="M2219" s="190"/>
      <c r="N2219" s="190"/>
      <c r="O2219" s="190"/>
      <c r="P2219" s="190"/>
      <c r="Q2219" s="190"/>
      <c r="R2219" s="190"/>
      <c r="S2219" s="190"/>
      <c r="T2219" s="190"/>
      <c r="U2219" s="190"/>
      <c r="V2219" s="190"/>
      <c r="W2219" s="190"/>
      <c r="X2219" s="190"/>
      <c r="Y2219" s="190"/>
      <c r="Z2219" s="190"/>
      <c r="AA2219" s="190"/>
      <c r="AB2219" s="190"/>
      <c r="AC2219" s="190"/>
      <c r="AD2219" s="190"/>
      <c r="AE2219" s="190"/>
      <c r="AF2219" s="190"/>
      <c r="AG2219" s="190"/>
      <c r="AH2219" s="190"/>
      <c r="AI2219" s="190"/>
      <c r="AJ2219" s="190"/>
      <c r="AK2219" s="190"/>
      <c r="AL2219" s="190"/>
    </row>
    <row r="2220" spans="2:38" ht="12.75" customHeight="1">
      <c r="B2220" s="485"/>
      <c r="C2220" s="6"/>
      <c r="D2220" s="12"/>
      <c r="E2220" s="12"/>
      <c r="F2220" s="12"/>
      <c r="G2220" s="12"/>
      <c r="H2220" s="6"/>
      <c r="I2220" s="190"/>
      <c r="J2220" s="190"/>
      <c r="K2220" s="190"/>
      <c r="L2220" s="190"/>
      <c r="M2220" s="190"/>
      <c r="N2220" s="190"/>
      <c r="O2220" s="190"/>
      <c r="P2220" s="190"/>
      <c r="Q2220" s="190"/>
      <c r="R2220" s="190"/>
      <c r="S2220" s="190"/>
      <c r="T2220" s="190"/>
      <c r="U2220" s="190"/>
      <c r="V2220" s="190"/>
      <c r="W2220" s="190"/>
      <c r="X2220" s="190"/>
      <c r="Y2220" s="190"/>
      <c r="Z2220" s="190"/>
      <c r="AA2220" s="190"/>
      <c r="AB2220" s="190"/>
      <c r="AC2220" s="190"/>
      <c r="AD2220" s="190"/>
      <c r="AE2220" s="190"/>
      <c r="AF2220" s="190"/>
      <c r="AG2220" s="190"/>
      <c r="AH2220" s="190"/>
      <c r="AI2220" s="190"/>
      <c r="AJ2220" s="190"/>
      <c r="AK2220" s="190"/>
      <c r="AL2220" s="190"/>
    </row>
    <row r="2221" spans="2:38" ht="12.75" customHeight="1">
      <c r="B2221" s="485"/>
      <c r="C2221" s="6"/>
      <c r="D2221" s="12"/>
      <c r="E2221" s="12"/>
      <c r="F2221" s="12"/>
      <c r="G2221" s="12"/>
      <c r="H2221" s="6"/>
      <c r="I2221" s="190"/>
      <c r="J2221" s="190"/>
      <c r="K2221" s="190"/>
      <c r="L2221" s="190"/>
      <c r="M2221" s="190"/>
      <c r="N2221" s="190"/>
      <c r="O2221" s="190"/>
      <c r="P2221" s="190"/>
      <c r="Q2221" s="190"/>
      <c r="R2221" s="190"/>
      <c r="S2221" s="190"/>
      <c r="T2221" s="190"/>
      <c r="U2221" s="190"/>
      <c r="V2221" s="190"/>
      <c r="W2221" s="190"/>
      <c r="X2221" s="190"/>
      <c r="Y2221" s="190"/>
      <c r="Z2221" s="190"/>
      <c r="AA2221" s="190"/>
      <c r="AB2221" s="190"/>
      <c r="AC2221" s="190"/>
      <c r="AD2221" s="190"/>
      <c r="AE2221" s="190"/>
      <c r="AF2221" s="190"/>
      <c r="AG2221" s="190"/>
      <c r="AH2221" s="190"/>
      <c r="AI2221" s="190"/>
      <c r="AJ2221" s="190"/>
      <c r="AK2221" s="190"/>
      <c r="AL2221" s="190"/>
    </row>
    <row r="2222" spans="2:38" ht="12.75" customHeight="1">
      <c r="B2222" s="485"/>
      <c r="C2222" s="6"/>
      <c r="D2222" s="12"/>
      <c r="E2222" s="12"/>
      <c r="F2222" s="12"/>
      <c r="G2222" s="12"/>
      <c r="H2222" s="6"/>
      <c r="I2222" s="190"/>
      <c r="J2222" s="190"/>
      <c r="K2222" s="190"/>
      <c r="L2222" s="190"/>
      <c r="M2222" s="190"/>
      <c r="N2222" s="190"/>
      <c r="O2222" s="190"/>
      <c r="P2222" s="190"/>
      <c r="Q2222" s="190"/>
      <c r="R2222" s="190"/>
      <c r="S2222" s="190"/>
      <c r="T2222" s="190"/>
      <c r="U2222" s="190"/>
      <c r="V2222" s="190"/>
      <c r="W2222" s="190"/>
      <c r="X2222" s="190"/>
      <c r="Y2222" s="190"/>
      <c r="Z2222" s="190"/>
      <c r="AA2222" s="190"/>
      <c r="AB2222" s="190"/>
      <c r="AC2222" s="190"/>
      <c r="AD2222" s="190"/>
      <c r="AE2222" s="190"/>
      <c r="AF2222" s="190"/>
      <c r="AG2222" s="190"/>
      <c r="AH2222" s="190"/>
      <c r="AI2222" s="190"/>
      <c r="AJ2222" s="190"/>
      <c r="AK2222" s="190"/>
      <c r="AL2222" s="190"/>
    </row>
    <row r="2223" spans="2:38" ht="12.75" customHeight="1">
      <c r="B2223" s="485"/>
      <c r="C2223" s="6"/>
      <c r="D2223" s="12"/>
      <c r="E2223" s="12"/>
      <c r="F2223" s="12"/>
      <c r="G2223" s="12"/>
      <c r="H2223" s="6"/>
      <c r="I2223" s="190"/>
      <c r="J2223" s="190"/>
      <c r="K2223" s="190"/>
      <c r="L2223" s="190"/>
      <c r="M2223" s="190"/>
      <c r="N2223" s="190"/>
      <c r="O2223" s="190"/>
      <c r="P2223" s="190"/>
      <c r="Q2223" s="190"/>
      <c r="R2223" s="190"/>
      <c r="S2223" s="190"/>
      <c r="T2223" s="190"/>
      <c r="U2223" s="190"/>
      <c r="V2223" s="190"/>
      <c r="W2223" s="190"/>
      <c r="X2223" s="190"/>
      <c r="Y2223" s="190"/>
      <c r="Z2223" s="190"/>
      <c r="AA2223" s="190"/>
      <c r="AB2223" s="190"/>
      <c r="AC2223" s="190"/>
      <c r="AD2223" s="190"/>
      <c r="AE2223" s="190"/>
      <c r="AF2223" s="190"/>
      <c r="AG2223" s="190"/>
      <c r="AH2223" s="190"/>
      <c r="AI2223" s="190"/>
      <c r="AJ2223" s="190"/>
      <c r="AK2223" s="190"/>
      <c r="AL2223" s="190"/>
    </row>
    <row r="2224" spans="2:38" ht="12.75" customHeight="1">
      <c r="B2224" s="485"/>
      <c r="C2224" s="6"/>
      <c r="D2224" s="12"/>
      <c r="E2224" s="12"/>
      <c r="F2224" s="12"/>
      <c r="G2224" s="12"/>
      <c r="H2224" s="6"/>
      <c r="I2224" s="190"/>
      <c r="J2224" s="190"/>
      <c r="K2224" s="190"/>
      <c r="L2224" s="190"/>
      <c r="M2224" s="190"/>
      <c r="N2224" s="190"/>
      <c r="O2224" s="190"/>
      <c r="P2224" s="190"/>
      <c r="Q2224" s="190"/>
      <c r="R2224" s="190"/>
      <c r="S2224" s="190"/>
      <c r="T2224" s="190"/>
      <c r="U2224" s="190"/>
      <c r="V2224" s="190"/>
      <c r="W2224" s="190"/>
      <c r="X2224" s="190"/>
      <c r="Y2224" s="190"/>
      <c r="Z2224" s="190"/>
      <c r="AA2224" s="190"/>
      <c r="AB2224" s="190"/>
      <c r="AC2224" s="190"/>
      <c r="AD2224" s="190"/>
      <c r="AE2224" s="190"/>
      <c r="AF2224" s="190"/>
      <c r="AG2224" s="190"/>
      <c r="AH2224" s="190"/>
      <c r="AI2224" s="190"/>
      <c r="AJ2224" s="190"/>
      <c r="AK2224" s="190"/>
      <c r="AL2224" s="190"/>
    </row>
    <row r="2225" spans="2:38" ht="12.75" customHeight="1">
      <c r="B2225" s="485"/>
      <c r="C2225" s="6"/>
      <c r="D2225" s="12"/>
      <c r="E2225" s="12"/>
      <c r="F2225" s="12"/>
      <c r="G2225" s="12"/>
      <c r="H2225" s="6"/>
      <c r="I2225" s="190"/>
      <c r="J2225" s="190"/>
      <c r="K2225" s="190"/>
      <c r="L2225" s="190"/>
      <c r="M2225" s="190"/>
      <c r="N2225" s="190"/>
      <c r="O2225" s="190"/>
      <c r="P2225" s="190"/>
      <c r="Q2225" s="190"/>
      <c r="R2225" s="190"/>
      <c r="S2225" s="190"/>
      <c r="T2225" s="190"/>
      <c r="U2225" s="190"/>
      <c r="V2225" s="190"/>
      <c r="W2225" s="190"/>
      <c r="X2225" s="190"/>
      <c r="Y2225" s="190"/>
      <c r="Z2225" s="190"/>
      <c r="AA2225" s="190"/>
      <c r="AB2225" s="190"/>
      <c r="AC2225" s="190"/>
      <c r="AD2225" s="190"/>
      <c r="AE2225" s="190"/>
      <c r="AF2225" s="190"/>
      <c r="AG2225" s="190"/>
      <c r="AH2225" s="190"/>
      <c r="AI2225" s="190"/>
      <c r="AJ2225" s="190"/>
      <c r="AK2225" s="190"/>
      <c r="AL2225" s="190"/>
    </row>
    <row r="2226" spans="2:38" ht="12.75" customHeight="1">
      <c r="B2226" s="485"/>
      <c r="C2226" s="6"/>
      <c r="D2226" s="12"/>
      <c r="E2226" s="12"/>
      <c r="F2226" s="12"/>
      <c r="G2226" s="12"/>
      <c r="H2226" s="6"/>
      <c r="I2226" s="190"/>
      <c r="J2226" s="190"/>
      <c r="K2226" s="190"/>
      <c r="L2226" s="190"/>
      <c r="M2226" s="190"/>
      <c r="N2226" s="190"/>
      <c r="O2226" s="190"/>
      <c r="P2226" s="190"/>
      <c r="Q2226" s="190"/>
      <c r="R2226" s="190"/>
      <c r="S2226" s="190"/>
      <c r="T2226" s="190"/>
      <c r="U2226" s="190"/>
      <c r="V2226" s="190"/>
      <c r="W2226" s="190"/>
      <c r="X2226" s="190"/>
      <c r="Y2226" s="190"/>
      <c r="Z2226" s="190"/>
      <c r="AA2226" s="190"/>
      <c r="AB2226" s="190"/>
      <c r="AC2226" s="190"/>
      <c r="AD2226" s="190"/>
      <c r="AE2226" s="190"/>
      <c r="AF2226" s="190"/>
      <c r="AG2226" s="190"/>
      <c r="AH2226" s="190"/>
      <c r="AI2226" s="190"/>
      <c r="AJ2226" s="190"/>
      <c r="AK2226" s="190"/>
      <c r="AL2226" s="190"/>
    </row>
    <row r="2227" spans="2:38" ht="12.75" customHeight="1">
      <c r="B2227" s="485"/>
      <c r="C2227" s="6"/>
      <c r="D2227" s="12"/>
      <c r="E2227" s="12"/>
      <c r="F2227" s="12"/>
      <c r="G2227" s="12"/>
      <c r="H2227" s="6"/>
      <c r="I2227" s="190"/>
      <c r="J2227" s="190"/>
      <c r="K2227" s="190"/>
      <c r="L2227" s="190"/>
      <c r="M2227" s="190"/>
      <c r="N2227" s="190"/>
      <c r="O2227" s="190"/>
      <c r="P2227" s="190"/>
      <c r="Q2227" s="190"/>
      <c r="R2227" s="190"/>
      <c r="S2227" s="190"/>
      <c r="T2227" s="190"/>
      <c r="U2227" s="190"/>
      <c r="V2227" s="190"/>
      <c r="W2227" s="190"/>
      <c r="X2227" s="190"/>
      <c r="Y2227" s="190"/>
      <c r="Z2227" s="190"/>
      <c r="AA2227" s="190"/>
      <c r="AB2227" s="190"/>
      <c r="AC2227" s="190"/>
      <c r="AD2227" s="190"/>
      <c r="AE2227" s="190"/>
      <c r="AF2227" s="190"/>
      <c r="AG2227" s="190"/>
      <c r="AH2227" s="190"/>
      <c r="AI2227" s="190"/>
      <c r="AJ2227" s="190"/>
      <c r="AK2227" s="190"/>
      <c r="AL2227" s="190"/>
    </row>
    <row r="2228" spans="2:38" ht="12.75" customHeight="1">
      <c r="B2228" s="485"/>
      <c r="C2228" s="6"/>
      <c r="D2228" s="12"/>
      <c r="E2228" s="12"/>
      <c r="F2228" s="12"/>
      <c r="G2228" s="12"/>
      <c r="H2228" s="6"/>
      <c r="I2228" s="190"/>
      <c r="J2228" s="190"/>
      <c r="K2228" s="190"/>
      <c r="L2228" s="190"/>
      <c r="M2228" s="190"/>
      <c r="N2228" s="190"/>
      <c r="O2228" s="190"/>
      <c r="P2228" s="190"/>
      <c r="Q2228" s="190"/>
      <c r="R2228" s="190"/>
      <c r="S2228" s="190"/>
      <c r="T2228" s="190"/>
      <c r="U2228" s="190"/>
      <c r="V2228" s="190"/>
      <c r="W2228" s="190"/>
      <c r="X2228" s="190"/>
      <c r="Y2228" s="190"/>
      <c r="Z2228" s="190"/>
      <c r="AA2228" s="190"/>
      <c r="AB2228" s="190"/>
      <c r="AC2228" s="190"/>
      <c r="AD2228" s="190"/>
      <c r="AE2228" s="190"/>
      <c r="AF2228" s="190"/>
      <c r="AG2228" s="190"/>
      <c r="AH2228" s="190"/>
      <c r="AI2228" s="190"/>
      <c r="AJ2228" s="190"/>
      <c r="AK2228" s="190"/>
      <c r="AL2228" s="190"/>
    </row>
    <row r="2229" spans="2:38" ht="12.75" customHeight="1">
      <c r="B2229" s="485"/>
      <c r="C2229" s="6"/>
      <c r="D2229" s="12"/>
      <c r="E2229" s="12"/>
      <c r="F2229" s="12"/>
      <c r="G2229" s="12"/>
      <c r="H2229" s="6"/>
      <c r="I2229" s="190"/>
      <c r="J2229" s="190"/>
      <c r="K2229" s="190"/>
      <c r="L2229" s="190"/>
      <c r="M2229" s="190"/>
      <c r="N2229" s="190"/>
      <c r="O2229" s="190"/>
      <c r="P2229" s="190"/>
      <c r="Q2229" s="190"/>
      <c r="R2229" s="190"/>
      <c r="S2229" s="190"/>
      <c r="T2229" s="190"/>
      <c r="U2229" s="190"/>
      <c r="V2229" s="190"/>
      <c r="W2229" s="190"/>
      <c r="X2229" s="190"/>
      <c r="Y2229" s="190"/>
      <c r="Z2229" s="190"/>
      <c r="AA2229" s="190"/>
      <c r="AB2229" s="190"/>
      <c r="AC2229" s="190"/>
      <c r="AD2229" s="190"/>
      <c r="AE2229" s="190"/>
      <c r="AF2229" s="190"/>
      <c r="AG2229" s="190"/>
      <c r="AH2229" s="190"/>
      <c r="AI2229" s="190"/>
      <c r="AJ2229" s="190"/>
      <c r="AK2229" s="190"/>
      <c r="AL2229" s="190"/>
    </row>
    <row r="2230" spans="2:38" ht="12.75" customHeight="1">
      <c r="B2230" s="485"/>
      <c r="C2230" s="6"/>
      <c r="D2230" s="12"/>
      <c r="E2230" s="12"/>
      <c r="F2230" s="12"/>
      <c r="G2230" s="12"/>
      <c r="H2230" s="6"/>
      <c r="I2230" s="190"/>
      <c r="J2230" s="190"/>
      <c r="K2230" s="190"/>
      <c r="L2230" s="190"/>
      <c r="M2230" s="190"/>
      <c r="N2230" s="190"/>
      <c r="O2230" s="190"/>
      <c r="P2230" s="190"/>
      <c r="Q2230" s="190"/>
      <c r="R2230" s="190"/>
      <c r="S2230" s="190"/>
      <c r="T2230" s="190"/>
      <c r="U2230" s="190"/>
      <c r="V2230" s="190"/>
      <c r="W2230" s="190"/>
      <c r="X2230" s="190"/>
      <c r="Y2230" s="190"/>
      <c r="Z2230" s="190"/>
      <c r="AA2230" s="190"/>
      <c r="AB2230" s="190"/>
      <c r="AC2230" s="190"/>
      <c r="AD2230" s="190"/>
      <c r="AE2230" s="190"/>
      <c r="AF2230" s="190"/>
      <c r="AG2230" s="190"/>
      <c r="AH2230" s="190"/>
      <c r="AI2230" s="190"/>
      <c r="AJ2230" s="190"/>
      <c r="AK2230" s="190"/>
      <c r="AL2230" s="190"/>
    </row>
    <row r="2231" spans="2:38" ht="12.75" customHeight="1">
      <c r="B2231" s="485"/>
      <c r="C2231" s="6"/>
      <c r="D2231" s="12"/>
      <c r="E2231" s="12"/>
      <c r="F2231" s="12"/>
      <c r="G2231" s="12"/>
      <c r="H2231" s="6"/>
      <c r="I2231" s="190"/>
      <c r="J2231" s="190"/>
      <c r="K2231" s="190"/>
      <c r="L2231" s="190"/>
      <c r="M2231" s="190"/>
      <c r="N2231" s="190"/>
      <c r="O2231" s="190"/>
      <c r="P2231" s="190"/>
      <c r="Q2231" s="190"/>
      <c r="R2231" s="190"/>
      <c r="S2231" s="190"/>
      <c r="T2231" s="190"/>
      <c r="U2231" s="190"/>
      <c r="V2231" s="190"/>
      <c r="W2231" s="190"/>
      <c r="X2231" s="190"/>
      <c r="Y2231" s="190"/>
      <c r="Z2231" s="190"/>
      <c r="AA2231" s="190"/>
      <c r="AB2231" s="190"/>
      <c r="AC2231" s="190"/>
      <c r="AD2231" s="190"/>
      <c r="AE2231" s="190"/>
      <c r="AF2231" s="190"/>
      <c r="AG2231" s="190"/>
      <c r="AH2231" s="190"/>
      <c r="AI2231" s="190"/>
      <c r="AJ2231" s="190"/>
      <c r="AK2231" s="190"/>
      <c r="AL2231" s="190"/>
    </row>
    <row r="2232" spans="2:38" ht="12.75" customHeight="1">
      <c r="B2232" s="485"/>
      <c r="C2232" s="6"/>
      <c r="D2232" s="12"/>
      <c r="E2232" s="12"/>
      <c r="F2232" s="12"/>
      <c r="G2232" s="12"/>
      <c r="H2232" s="6"/>
      <c r="I2232" s="190"/>
      <c r="J2232" s="190"/>
      <c r="K2232" s="190"/>
      <c r="L2232" s="190"/>
      <c r="M2232" s="190"/>
      <c r="N2232" s="190"/>
      <c r="O2232" s="190"/>
      <c r="P2232" s="190"/>
      <c r="Q2232" s="190"/>
      <c r="R2232" s="190"/>
      <c r="S2232" s="190"/>
      <c r="T2232" s="190"/>
      <c r="U2232" s="190"/>
      <c r="V2232" s="190"/>
      <c r="W2232" s="190"/>
      <c r="X2232" s="190"/>
      <c r="Y2232" s="190"/>
      <c r="Z2232" s="190"/>
      <c r="AA2232" s="190"/>
      <c r="AB2232" s="190"/>
      <c r="AC2232" s="190"/>
      <c r="AD2232" s="190"/>
      <c r="AE2232" s="190"/>
      <c r="AF2232" s="190"/>
      <c r="AG2232" s="190"/>
      <c r="AH2232" s="190"/>
      <c r="AI2232" s="190"/>
      <c r="AJ2232" s="190"/>
      <c r="AK2232" s="190"/>
      <c r="AL2232" s="190"/>
    </row>
    <row r="2233" spans="2:38" ht="12.75" customHeight="1">
      <c r="B2233" s="485"/>
      <c r="C2233" s="6"/>
      <c r="D2233" s="12"/>
      <c r="E2233" s="12"/>
      <c r="F2233" s="12"/>
      <c r="G2233" s="12"/>
      <c r="H2233" s="6"/>
      <c r="I2233" s="190"/>
      <c r="J2233" s="190"/>
      <c r="K2233" s="190"/>
      <c r="L2233" s="190"/>
      <c r="M2233" s="190"/>
      <c r="N2233" s="190"/>
      <c r="O2233" s="190"/>
      <c r="P2233" s="190"/>
      <c r="Q2233" s="190"/>
      <c r="R2233" s="190"/>
      <c r="S2233" s="190"/>
      <c r="T2233" s="190"/>
      <c r="U2233" s="190"/>
      <c r="V2233" s="190"/>
      <c r="W2233" s="190"/>
      <c r="X2233" s="190"/>
      <c r="Y2233" s="190"/>
      <c r="Z2233" s="190"/>
      <c r="AA2233" s="190"/>
      <c r="AB2233" s="190"/>
      <c r="AC2233" s="190"/>
      <c r="AD2233" s="190"/>
      <c r="AE2233" s="190"/>
      <c r="AF2233" s="190"/>
      <c r="AG2233" s="190"/>
      <c r="AH2233" s="190"/>
      <c r="AI2233" s="190"/>
      <c r="AJ2233" s="190"/>
      <c r="AK2233" s="190"/>
      <c r="AL2233" s="190"/>
    </row>
    <row r="2234" spans="2:38" ht="12.75" customHeight="1">
      <c r="B2234" s="485"/>
      <c r="C2234" s="6"/>
      <c r="D2234" s="12"/>
      <c r="E2234" s="12"/>
      <c r="F2234" s="12"/>
      <c r="G2234" s="12"/>
      <c r="H2234" s="6"/>
      <c r="I2234" s="190"/>
      <c r="J2234" s="190"/>
      <c r="K2234" s="190"/>
      <c r="L2234" s="190"/>
      <c r="M2234" s="190"/>
      <c r="N2234" s="190"/>
      <c r="O2234" s="190"/>
      <c r="P2234" s="190"/>
      <c r="Q2234" s="190"/>
      <c r="R2234" s="190"/>
      <c r="S2234" s="190"/>
      <c r="T2234" s="190"/>
      <c r="U2234" s="190"/>
      <c r="V2234" s="190"/>
      <c r="W2234" s="190"/>
      <c r="X2234" s="190"/>
      <c r="Y2234" s="190"/>
      <c r="Z2234" s="190"/>
      <c r="AA2234" s="190"/>
      <c r="AB2234" s="190"/>
      <c r="AC2234" s="190"/>
      <c r="AD2234" s="190"/>
      <c r="AE2234" s="190"/>
      <c r="AF2234" s="190"/>
      <c r="AG2234" s="190"/>
      <c r="AH2234" s="190"/>
      <c r="AI2234" s="190"/>
      <c r="AJ2234" s="190"/>
      <c r="AK2234" s="190"/>
      <c r="AL2234" s="190"/>
    </row>
    <row r="2235" spans="2:38" ht="12.75" customHeight="1">
      <c r="B2235" s="485"/>
      <c r="C2235" s="6"/>
      <c r="D2235" s="12"/>
      <c r="E2235" s="12"/>
      <c r="F2235" s="12"/>
      <c r="G2235" s="12"/>
      <c r="H2235" s="6"/>
      <c r="I2235" s="190"/>
      <c r="J2235" s="190"/>
      <c r="K2235" s="190"/>
      <c r="L2235" s="190"/>
      <c r="M2235" s="190"/>
      <c r="N2235" s="190"/>
      <c r="O2235" s="190"/>
      <c r="P2235" s="190"/>
      <c r="Q2235" s="190"/>
      <c r="R2235" s="190"/>
      <c r="S2235" s="190"/>
      <c r="T2235" s="190"/>
      <c r="U2235" s="190"/>
      <c r="V2235" s="190"/>
      <c r="W2235" s="190"/>
      <c r="X2235" s="190"/>
      <c r="Y2235" s="190"/>
      <c r="Z2235" s="190"/>
      <c r="AA2235" s="190"/>
      <c r="AB2235" s="190"/>
      <c r="AC2235" s="190"/>
      <c r="AD2235" s="190"/>
      <c r="AE2235" s="190"/>
      <c r="AF2235" s="190"/>
      <c r="AG2235" s="190"/>
      <c r="AH2235" s="190"/>
      <c r="AI2235" s="190"/>
      <c r="AJ2235" s="190"/>
      <c r="AK2235" s="190"/>
      <c r="AL2235" s="190"/>
    </row>
    <row r="2236" spans="2:38" ht="12.75" customHeight="1">
      <c r="B2236" s="485"/>
      <c r="C2236" s="6"/>
      <c r="D2236" s="12"/>
      <c r="E2236" s="12"/>
      <c r="F2236" s="12"/>
      <c r="G2236" s="12"/>
      <c r="H2236" s="6"/>
      <c r="I2236" s="190"/>
      <c r="J2236" s="190"/>
      <c r="K2236" s="190"/>
      <c r="L2236" s="190"/>
      <c r="M2236" s="190"/>
      <c r="N2236" s="190"/>
      <c r="O2236" s="190"/>
      <c r="P2236" s="190"/>
      <c r="Q2236" s="190"/>
      <c r="R2236" s="190"/>
      <c r="S2236" s="190"/>
      <c r="T2236" s="190"/>
      <c r="U2236" s="190"/>
      <c r="V2236" s="190"/>
      <c r="W2236" s="190"/>
      <c r="X2236" s="190"/>
      <c r="Y2236" s="190"/>
      <c r="Z2236" s="190"/>
      <c r="AA2236" s="190"/>
      <c r="AB2236" s="190"/>
      <c r="AC2236" s="190"/>
      <c r="AD2236" s="190"/>
      <c r="AE2236" s="190"/>
      <c r="AF2236" s="190"/>
      <c r="AG2236" s="190"/>
      <c r="AH2236" s="190"/>
      <c r="AI2236" s="190"/>
      <c r="AJ2236" s="190"/>
      <c r="AK2236" s="190"/>
      <c r="AL2236" s="190"/>
    </row>
    <row r="2237" spans="2:38" ht="12.75" customHeight="1">
      <c r="B2237" s="485"/>
      <c r="C2237" s="6"/>
      <c r="D2237" s="12"/>
      <c r="E2237" s="12"/>
      <c r="F2237" s="12"/>
      <c r="G2237" s="12"/>
      <c r="H2237" s="6"/>
      <c r="I2237" s="190"/>
      <c r="J2237" s="190"/>
      <c r="K2237" s="190"/>
      <c r="L2237" s="190"/>
      <c r="M2237" s="190"/>
      <c r="N2237" s="190"/>
      <c r="O2237" s="190"/>
      <c r="P2237" s="190"/>
      <c r="Q2237" s="190"/>
      <c r="R2237" s="190"/>
      <c r="S2237" s="190"/>
      <c r="T2237" s="190"/>
      <c r="U2237" s="190"/>
      <c r="V2237" s="190"/>
      <c r="W2237" s="190"/>
      <c r="X2237" s="190"/>
      <c r="Y2237" s="190"/>
      <c r="Z2237" s="190"/>
      <c r="AA2237" s="190"/>
      <c r="AB2237" s="190"/>
      <c r="AC2237" s="190"/>
      <c r="AD2237" s="190"/>
      <c r="AE2237" s="190"/>
      <c r="AF2237" s="190"/>
      <c r="AG2237" s="190"/>
      <c r="AH2237" s="190"/>
      <c r="AI2237" s="190"/>
      <c r="AJ2237" s="190"/>
      <c r="AK2237" s="190"/>
      <c r="AL2237" s="190"/>
    </row>
    <row r="2238" spans="2:38" ht="12.75" customHeight="1">
      <c r="B2238" s="485"/>
      <c r="C2238" s="6"/>
      <c r="D2238" s="12"/>
      <c r="E2238" s="12"/>
      <c r="F2238" s="12"/>
      <c r="G2238" s="12"/>
      <c r="H2238" s="6"/>
      <c r="I2238" s="190"/>
      <c r="J2238" s="190"/>
      <c r="K2238" s="190"/>
      <c r="L2238" s="190"/>
      <c r="M2238" s="190"/>
      <c r="N2238" s="190"/>
      <c r="O2238" s="190"/>
      <c r="P2238" s="190"/>
      <c r="Q2238" s="190"/>
      <c r="R2238" s="190"/>
      <c r="S2238" s="190"/>
      <c r="T2238" s="190"/>
      <c r="U2238" s="190"/>
      <c r="V2238" s="190"/>
      <c r="W2238" s="190"/>
      <c r="X2238" s="190"/>
      <c r="Y2238" s="190"/>
      <c r="Z2238" s="190"/>
      <c r="AA2238" s="190"/>
      <c r="AB2238" s="190"/>
      <c r="AC2238" s="190"/>
      <c r="AD2238" s="190"/>
      <c r="AE2238" s="190"/>
      <c r="AF2238" s="190"/>
      <c r="AG2238" s="190"/>
      <c r="AH2238" s="190"/>
      <c r="AI2238" s="190"/>
      <c r="AJ2238" s="190"/>
      <c r="AK2238" s="190"/>
      <c r="AL2238" s="190"/>
    </row>
    <row r="2239" spans="2:38" ht="12.75" customHeight="1">
      <c r="B2239" s="485"/>
      <c r="C2239" s="6"/>
      <c r="D2239" s="12"/>
      <c r="E2239" s="12"/>
      <c r="F2239" s="12"/>
      <c r="G2239" s="12"/>
      <c r="H2239" s="6"/>
      <c r="I2239" s="190"/>
      <c r="J2239" s="190"/>
      <c r="K2239" s="190"/>
      <c r="L2239" s="190"/>
      <c r="M2239" s="190"/>
      <c r="N2239" s="190"/>
      <c r="O2239" s="190"/>
      <c r="P2239" s="190"/>
      <c r="Q2239" s="190"/>
      <c r="R2239" s="190"/>
      <c r="S2239" s="190"/>
      <c r="T2239" s="190"/>
      <c r="U2239" s="190"/>
      <c r="V2239" s="190"/>
      <c r="W2239" s="190"/>
      <c r="X2239" s="190"/>
      <c r="Y2239" s="190"/>
      <c r="Z2239" s="190"/>
      <c r="AA2239" s="190"/>
      <c r="AB2239" s="190"/>
      <c r="AC2239" s="190"/>
      <c r="AD2239" s="190"/>
      <c r="AE2239" s="190"/>
      <c r="AF2239" s="190"/>
      <c r="AG2239" s="190"/>
      <c r="AH2239" s="190"/>
      <c r="AI2239" s="190"/>
      <c r="AJ2239" s="190"/>
      <c r="AK2239" s="190"/>
      <c r="AL2239" s="190"/>
    </row>
    <row r="2240" spans="2:38" ht="12.75" customHeight="1">
      <c r="B2240" s="485"/>
      <c r="C2240" s="6"/>
      <c r="D2240" s="12"/>
      <c r="E2240" s="12"/>
      <c r="F2240" s="12"/>
      <c r="G2240" s="12"/>
      <c r="H2240" s="6"/>
      <c r="I2240" s="190"/>
      <c r="J2240" s="190"/>
      <c r="K2240" s="190"/>
      <c r="L2240" s="190"/>
      <c r="M2240" s="190"/>
      <c r="N2240" s="190"/>
      <c r="O2240" s="190"/>
      <c r="P2240" s="190"/>
      <c r="Q2240" s="190"/>
      <c r="R2240" s="190"/>
      <c r="S2240" s="190"/>
      <c r="T2240" s="190"/>
      <c r="U2240" s="190"/>
      <c r="V2240" s="190"/>
      <c r="W2240" s="190"/>
      <c r="X2240" s="190"/>
      <c r="Y2240" s="190"/>
      <c r="Z2240" s="190"/>
      <c r="AA2240" s="190"/>
      <c r="AB2240" s="190"/>
      <c r="AC2240" s="190"/>
      <c r="AD2240" s="190"/>
      <c r="AE2240" s="190"/>
      <c r="AF2240" s="190"/>
      <c r="AG2240" s="190"/>
      <c r="AH2240" s="190"/>
      <c r="AI2240" s="190"/>
      <c r="AJ2240" s="190"/>
      <c r="AK2240" s="190"/>
      <c r="AL2240" s="190"/>
    </row>
    <row r="2241" spans="2:38" ht="12.75" customHeight="1">
      <c r="B2241" s="485"/>
      <c r="C2241" s="6"/>
      <c r="D2241" s="12"/>
      <c r="E2241" s="12"/>
      <c r="F2241" s="12"/>
      <c r="G2241" s="12"/>
      <c r="H2241" s="6"/>
      <c r="I2241" s="190"/>
      <c r="J2241" s="190"/>
      <c r="K2241" s="190"/>
      <c r="L2241" s="190"/>
      <c r="M2241" s="190"/>
      <c r="N2241" s="190"/>
      <c r="O2241" s="190"/>
      <c r="P2241" s="190"/>
      <c r="Q2241" s="190"/>
      <c r="R2241" s="190"/>
      <c r="S2241" s="190"/>
      <c r="T2241" s="190"/>
      <c r="U2241" s="190"/>
      <c r="V2241" s="190"/>
      <c r="W2241" s="190"/>
      <c r="X2241" s="190"/>
      <c r="Y2241" s="190"/>
      <c r="Z2241" s="190"/>
      <c r="AA2241" s="190"/>
      <c r="AB2241" s="190"/>
      <c r="AC2241" s="190"/>
      <c r="AD2241" s="190"/>
      <c r="AE2241" s="190"/>
      <c r="AF2241" s="190"/>
      <c r="AG2241" s="190"/>
      <c r="AH2241" s="190"/>
      <c r="AI2241" s="190"/>
      <c r="AJ2241" s="190"/>
      <c r="AK2241" s="190"/>
      <c r="AL2241" s="190"/>
    </row>
    <row r="2242" spans="2:38" ht="12.75" customHeight="1">
      <c r="B2242" s="485"/>
      <c r="C2242" s="6"/>
      <c r="D2242" s="12"/>
      <c r="E2242" s="12"/>
      <c r="F2242" s="12"/>
      <c r="G2242" s="12"/>
      <c r="H2242" s="6"/>
      <c r="I2242" s="190"/>
      <c r="J2242" s="190"/>
      <c r="K2242" s="190"/>
      <c r="L2242" s="190"/>
      <c r="M2242" s="190"/>
      <c r="N2242" s="190"/>
      <c r="O2242" s="190"/>
      <c r="P2242" s="190"/>
      <c r="Q2242" s="190"/>
      <c r="R2242" s="190"/>
      <c r="S2242" s="190"/>
      <c r="T2242" s="190"/>
      <c r="U2242" s="190"/>
      <c r="V2242" s="190"/>
      <c r="W2242" s="190"/>
      <c r="X2242" s="190"/>
      <c r="Y2242" s="190"/>
      <c r="Z2242" s="190"/>
      <c r="AA2242" s="190"/>
      <c r="AB2242" s="190"/>
      <c r="AC2242" s="190"/>
      <c r="AD2242" s="190"/>
      <c r="AE2242" s="190"/>
      <c r="AF2242" s="190"/>
      <c r="AG2242" s="190"/>
      <c r="AH2242" s="190"/>
      <c r="AI2242" s="190"/>
      <c r="AJ2242" s="190"/>
      <c r="AK2242" s="190"/>
      <c r="AL2242" s="190"/>
    </row>
    <row r="2243" spans="2:38" ht="12.75" customHeight="1">
      <c r="B2243" s="485"/>
      <c r="C2243" s="6"/>
      <c r="D2243" s="12"/>
      <c r="E2243" s="12"/>
      <c r="F2243" s="12"/>
      <c r="G2243" s="12"/>
      <c r="H2243" s="6"/>
      <c r="I2243" s="190"/>
      <c r="J2243" s="190"/>
      <c r="K2243" s="190"/>
      <c r="L2243" s="190"/>
      <c r="M2243" s="190"/>
      <c r="N2243" s="190"/>
      <c r="O2243" s="190"/>
      <c r="P2243" s="190"/>
      <c r="Q2243" s="190"/>
      <c r="R2243" s="190"/>
      <c r="S2243" s="190"/>
      <c r="T2243" s="190"/>
      <c r="U2243" s="190"/>
      <c r="V2243" s="190"/>
      <c r="W2243" s="190"/>
      <c r="X2243" s="190"/>
      <c r="Y2243" s="190"/>
      <c r="Z2243" s="190"/>
      <c r="AA2243" s="190"/>
      <c r="AB2243" s="190"/>
      <c r="AC2243" s="190"/>
      <c r="AD2243" s="190"/>
      <c r="AE2243" s="190"/>
      <c r="AF2243" s="190"/>
      <c r="AG2243" s="190"/>
      <c r="AH2243" s="190"/>
      <c r="AI2243" s="190"/>
      <c r="AJ2243" s="190"/>
      <c r="AK2243" s="190"/>
      <c r="AL2243" s="190"/>
    </row>
    <row r="2244" spans="2:38" ht="12.75" customHeight="1">
      <c r="B2244" s="485"/>
      <c r="C2244" s="6"/>
      <c r="D2244" s="12"/>
      <c r="E2244" s="12"/>
      <c r="F2244" s="12"/>
      <c r="G2244" s="12"/>
      <c r="H2244" s="6"/>
      <c r="I2244" s="190"/>
      <c r="J2244" s="190"/>
      <c r="K2244" s="190"/>
      <c r="L2244" s="190"/>
      <c r="M2244" s="190"/>
      <c r="N2244" s="190"/>
      <c r="O2244" s="190"/>
      <c r="P2244" s="190"/>
      <c r="Q2244" s="190"/>
      <c r="R2244" s="190"/>
      <c r="S2244" s="190"/>
      <c r="T2244" s="190"/>
      <c r="U2244" s="190"/>
      <c r="V2244" s="190"/>
      <c r="W2244" s="190"/>
      <c r="X2244" s="190"/>
      <c r="Y2244" s="190"/>
      <c r="Z2244" s="190"/>
      <c r="AA2244" s="190"/>
      <c r="AB2244" s="190"/>
      <c r="AC2244" s="190"/>
      <c r="AD2244" s="190"/>
      <c r="AE2244" s="190"/>
      <c r="AF2244" s="190"/>
      <c r="AG2244" s="190"/>
      <c r="AH2244" s="190"/>
      <c r="AI2244" s="190"/>
      <c r="AJ2244" s="190"/>
      <c r="AK2244" s="190"/>
      <c r="AL2244" s="190"/>
    </row>
    <row r="2245" spans="2:38" ht="12.75" customHeight="1">
      <c r="B2245" s="485"/>
      <c r="C2245" s="6"/>
      <c r="D2245" s="12"/>
      <c r="E2245" s="12"/>
      <c r="F2245" s="12"/>
      <c r="G2245" s="12"/>
      <c r="H2245" s="6"/>
      <c r="I2245" s="190"/>
      <c r="J2245" s="190"/>
      <c r="K2245" s="190"/>
      <c r="L2245" s="190"/>
      <c r="M2245" s="190"/>
      <c r="N2245" s="190"/>
      <c r="O2245" s="190"/>
      <c r="P2245" s="190"/>
      <c r="Q2245" s="190"/>
      <c r="R2245" s="190"/>
      <c r="S2245" s="190"/>
      <c r="T2245" s="190"/>
      <c r="U2245" s="190"/>
      <c r="V2245" s="190"/>
      <c r="W2245" s="190"/>
      <c r="X2245" s="190"/>
      <c r="Y2245" s="190"/>
      <c r="Z2245" s="190"/>
      <c r="AA2245" s="190"/>
      <c r="AB2245" s="190"/>
      <c r="AC2245" s="190"/>
      <c r="AD2245" s="190"/>
      <c r="AE2245" s="190"/>
      <c r="AF2245" s="190"/>
      <c r="AG2245" s="190"/>
      <c r="AH2245" s="190"/>
      <c r="AI2245" s="190"/>
      <c r="AJ2245" s="190"/>
      <c r="AK2245" s="190"/>
      <c r="AL2245" s="190"/>
    </row>
    <row r="2246" spans="2:38" ht="12.75" customHeight="1">
      <c r="B2246" s="485"/>
      <c r="C2246" s="6"/>
      <c r="D2246" s="12"/>
      <c r="E2246" s="12"/>
      <c r="F2246" s="12"/>
      <c r="G2246" s="12"/>
      <c r="H2246" s="6"/>
      <c r="I2246" s="190"/>
      <c r="J2246" s="190"/>
      <c r="K2246" s="190"/>
      <c r="L2246" s="190"/>
      <c r="M2246" s="190"/>
      <c r="N2246" s="190"/>
      <c r="O2246" s="190"/>
      <c r="P2246" s="190"/>
      <c r="Q2246" s="190"/>
      <c r="R2246" s="190"/>
      <c r="S2246" s="190"/>
      <c r="T2246" s="190"/>
      <c r="U2246" s="190"/>
      <c r="V2246" s="190"/>
      <c r="W2246" s="190"/>
      <c r="X2246" s="190"/>
      <c r="Y2246" s="190"/>
      <c r="Z2246" s="190"/>
      <c r="AA2246" s="190"/>
      <c r="AB2246" s="190"/>
      <c r="AC2246" s="190"/>
      <c r="AD2246" s="190"/>
      <c r="AE2246" s="190"/>
      <c r="AF2246" s="190"/>
      <c r="AG2246" s="190"/>
      <c r="AH2246" s="190"/>
      <c r="AI2246" s="190"/>
      <c r="AJ2246" s="190"/>
      <c r="AK2246" s="190"/>
      <c r="AL2246" s="190"/>
    </row>
    <row r="2247" spans="2:38" ht="12.75" customHeight="1">
      <c r="B2247" s="485"/>
      <c r="C2247" s="6"/>
      <c r="D2247" s="12"/>
      <c r="E2247" s="12"/>
      <c r="F2247" s="12"/>
      <c r="G2247" s="12"/>
      <c r="H2247" s="6"/>
      <c r="I2247" s="190"/>
      <c r="J2247" s="190"/>
      <c r="K2247" s="190"/>
      <c r="L2247" s="190"/>
      <c r="M2247" s="190"/>
      <c r="N2247" s="190"/>
      <c r="O2247" s="190"/>
      <c r="P2247" s="190"/>
      <c r="Q2247" s="190"/>
      <c r="R2247" s="190"/>
      <c r="S2247" s="190"/>
      <c r="T2247" s="190"/>
      <c r="U2247" s="190"/>
      <c r="V2247" s="190"/>
      <c r="W2247" s="190"/>
      <c r="X2247" s="190"/>
      <c r="Y2247" s="190"/>
      <c r="Z2247" s="190"/>
      <c r="AA2247" s="190"/>
      <c r="AB2247" s="190"/>
      <c r="AC2247" s="190"/>
      <c r="AD2247" s="190"/>
      <c r="AE2247" s="190"/>
      <c r="AF2247" s="190"/>
      <c r="AG2247" s="190"/>
      <c r="AH2247" s="190"/>
      <c r="AI2247" s="190"/>
      <c r="AJ2247" s="190"/>
      <c r="AK2247" s="190"/>
      <c r="AL2247" s="190"/>
    </row>
    <row r="2248" spans="2:38" ht="12.75" customHeight="1">
      <c r="B2248" s="485"/>
      <c r="C2248" s="6"/>
      <c r="D2248" s="12"/>
      <c r="E2248" s="12"/>
      <c r="F2248" s="12"/>
      <c r="G2248" s="12"/>
      <c r="H2248" s="6"/>
      <c r="I2248" s="190"/>
      <c r="J2248" s="190"/>
      <c r="K2248" s="190"/>
      <c r="L2248" s="190"/>
      <c r="M2248" s="190"/>
      <c r="N2248" s="190"/>
      <c r="O2248" s="190"/>
      <c r="P2248" s="190"/>
      <c r="Q2248" s="190"/>
      <c r="R2248" s="190"/>
      <c r="S2248" s="190"/>
      <c r="T2248" s="190"/>
      <c r="U2248" s="190"/>
      <c r="V2248" s="190"/>
      <c r="W2248" s="190"/>
      <c r="X2248" s="190"/>
      <c r="Y2248" s="190"/>
      <c r="Z2248" s="190"/>
      <c r="AA2248" s="190"/>
      <c r="AB2248" s="190"/>
      <c r="AC2248" s="190"/>
      <c r="AD2248" s="190"/>
      <c r="AE2248" s="190"/>
      <c r="AF2248" s="190"/>
      <c r="AG2248" s="190"/>
      <c r="AH2248" s="190"/>
      <c r="AI2248" s="190"/>
      <c r="AJ2248" s="190"/>
      <c r="AK2248" s="190"/>
      <c r="AL2248" s="190"/>
    </row>
    <row r="2249" spans="2:38" ht="12.75" customHeight="1">
      <c r="B2249" s="485"/>
      <c r="C2249" s="6"/>
      <c r="D2249" s="12"/>
      <c r="E2249" s="12"/>
      <c r="F2249" s="12"/>
      <c r="G2249" s="12"/>
      <c r="H2249" s="6"/>
      <c r="I2249" s="190"/>
      <c r="J2249" s="190"/>
      <c r="K2249" s="190"/>
      <c r="L2249" s="190"/>
      <c r="M2249" s="190"/>
      <c r="N2249" s="190"/>
      <c r="O2249" s="190"/>
      <c r="P2249" s="190"/>
      <c r="Q2249" s="190"/>
      <c r="R2249" s="190"/>
      <c r="S2249" s="190"/>
      <c r="T2249" s="190"/>
      <c r="U2249" s="190"/>
      <c r="V2249" s="190"/>
      <c r="W2249" s="190"/>
      <c r="X2249" s="190"/>
      <c r="Y2249" s="190"/>
      <c r="Z2249" s="190"/>
      <c r="AA2249" s="190"/>
      <c r="AB2249" s="190"/>
      <c r="AC2249" s="190"/>
      <c r="AD2249" s="190"/>
      <c r="AE2249" s="190"/>
      <c r="AF2249" s="190"/>
      <c r="AG2249" s="190"/>
      <c r="AH2249" s="190"/>
      <c r="AI2249" s="190"/>
      <c r="AJ2249" s="190"/>
      <c r="AK2249" s="190"/>
      <c r="AL2249" s="190"/>
    </row>
    <row r="2250" spans="2:38" ht="12.75" customHeight="1">
      <c r="B2250" s="485"/>
      <c r="C2250" s="6"/>
      <c r="D2250" s="12"/>
      <c r="E2250" s="12"/>
      <c r="F2250" s="12"/>
      <c r="G2250" s="12"/>
      <c r="H2250" s="6"/>
      <c r="I2250" s="190"/>
      <c r="J2250" s="190"/>
      <c r="K2250" s="190"/>
      <c r="L2250" s="190"/>
      <c r="M2250" s="190"/>
      <c r="N2250" s="190"/>
      <c r="O2250" s="190"/>
      <c r="P2250" s="190"/>
      <c r="Q2250" s="190"/>
      <c r="R2250" s="190"/>
      <c r="S2250" s="190"/>
      <c r="T2250" s="190"/>
      <c r="U2250" s="190"/>
      <c r="V2250" s="190"/>
      <c r="W2250" s="190"/>
      <c r="X2250" s="190"/>
      <c r="Y2250" s="190"/>
      <c r="Z2250" s="190"/>
      <c r="AA2250" s="190"/>
      <c r="AB2250" s="190"/>
      <c r="AC2250" s="190"/>
      <c r="AD2250" s="190"/>
      <c r="AE2250" s="190"/>
      <c r="AF2250" s="190"/>
      <c r="AG2250" s="190"/>
      <c r="AH2250" s="190"/>
      <c r="AI2250" s="190"/>
      <c r="AJ2250" s="190"/>
      <c r="AK2250" s="190"/>
      <c r="AL2250" s="190"/>
    </row>
    <row r="2251" spans="2:38" ht="12.75" customHeight="1">
      <c r="B2251" s="485"/>
      <c r="C2251" s="6"/>
      <c r="D2251" s="12"/>
      <c r="E2251" s="12"/>
      <c r="F2251" s="12"/>
      <c r="G2251" s="12"/>
      <c r="H2251" s="6"/>
      <c r="I2251" s="190"/>
      <c r="J2251" s="190"/>
      <c r="K2251" s="190"/>
      <c r="L2251" s="190"/>
      <c r="M2251" s="190"/>
      <c r="N2251" s="190"/>
      <c r="O2251" s="190"/>
      <c r="P2251" s="190"/>
      <c r="Q2251" s="190"/>
      <c r="R2251" s="190"/>
      <c r="S2251" s="190"/>
      <c r="T2251" s="190"/>
      <c r="U2251" s="190"/>
      <c r="V2251" s="190"/>
      <c r="W2251" s="190"/>
      <c r="X2251" s="190"/>
      <c r="Y2251" s="190"/>
      <c r="Z2251" s="190"/>
      <c r="AA2251" s="190"/>
      <c r="AB2251" s="190"/>
      <c r="AC2251" s="190"/>
      <c r="AD2251" s="190"/>
      <c r="AE2251" s="190"/>
      <c r="AF2251" s="190"/>
      <c r="AG2251" s="190"/>
      <c r="AH2251" s="190"/>
      <c r="AI2251" s="190"/>
      <c r="AJ2251" s="190"/>
      <c r="AK2251" s="190"/>
      <c r="AL2251" s="190"/>
    </row>
    <row r="2252" spans="2:38" ht="12.75" customHeight="1">
      <c r="B2252" s="485"/>
      <c r="C2252" s="6"/>
      <c r="D2252" s="12"/>
      <c r="E2252" s="12"/>
      <c r="F2252" s="12"/>
      <c r="G2252" s="12"/>
      <c r="H2252" s="6"/>
      <c r="I2252" s="190"/>
      <c r="J2252" s="190"/>
      <c r="K2252" s="190"/>
      <c r="L2252" s="190"/>
      <c r="M2252" s="190"/>
      <c r="N2252" s="190"/>
      <c r="O2252" s="190"/>
      <c r="P2252" s="190"/>
      <c r="Q2252" s="190"/>
      <c r="R2252" s="190"/>
      <c r="S2252" s="190"/>
      <c r="T2252" s="190"/>
      <c r="U2252" s="190"/>
      <c r="V2252" s="190"/>
      <c r="W2252" s="190"/>
      <c r="X2252" s="190"/>
      <c r="Y2252" s="190"/>
      <c r="Z2252" s="190"/>
      <c r="AA2252" s="190"/>
      <c r="AB2252" s="190"/>
      <c r="AC2252" s="190"/>
      <c r="AD2252" s="190"/>
      <c r="AE2252" s="190"/>
      <c r="AF2252" s="190"/>
      <c r="AG2252" s="190"/>
      <c r="AH2252" s="190"/>
      <c r="AI2252" s="190"/>
      <c r="AJ2252" s="190"/>
      <c r="AK2252" s="190"/>
      <c r="AL2252" s="190"/>
    </row>
    <row r="2253" spans="2:38" ht="12.75" customHeight="1">
      <c r="B2253" s="485"/>
      <c r="C2253" s="6"/>
      <c r="D2253" s="12"/>
      <c r="E2253" s="12"/>
      <c r="F2253" s="12"/>
      <c r="G2253" s="12"/>
      <c r="H2253" s="6"/>
      <c r="I2253" s="190"/>
      <c r="J2253" s="190"/>
      <c r="K2253" s="190"/>
      <c r="L2253" s="190"/>
      <c r="M2253" s="190"/>
      <c r="N2253" s="190"/>
      <c r="O2253" s="190"/>
      <c r="P2253" s="190"/>
      <c r="Q2253" s="190"/>
      <c r="R2253" s="190"/>
      <c r="S2253" s="190"/>
      <c r="T2253" s="190"/>
      <c r="U2253" s="190"/>
      <c r="V2253" s="190"/>
      <c r="W2253" s="190"/>
      <c r="X2253" s="190"/>
      <c r="Y2253" s="190"/>
      <c r="Z2253" s="190"/>
      <c r="AA2253" s="190"/>
      <c r="AB2253" s="190"/>
      <c r="AC2253" s="190"/>
      <c r="AD2253" s="190"/>
      <c r="AE2253" s="190"/>
      <c r="AF2253" s="190"/>
      <c r="AG2253" s="190"/>
      <c r="AH2253" s="190"/>
      <c r="AI2253" s="190"/>
      <c r="AJ2253" s="190"/>
      <c r="AK2253" s="190"/>
      <c r="AL2253" s="190"/>
    </row>
    <row r="2254" spans="2:38" ht="12.75" customHeight="1">
      <c r="B2254" s="485"/>
      <c r="C2254" s="6"/>
      <c r="D2254" s="12"/>
      <c r="E2254" s="12"/>
      <c r="F2254" s="12"/>
      <c r="G2254" s="12"/>
      <c r="H2254" s="6"/>
      <c r="I2254" s="190"/>
      <c r="J2254" s="190"/>
      <c r="K2254" s="190"/>
      <c r="L2254" s="190"/>
      <c r="M2254" s="190"/>
      <c r="N2254" s="190"/>
      <c r="O2254" s="190"/>
      <c r="P2254" s="190"/>
      <c r="Q2254" s="190"/>
      <c r="R2254" s="190"/>
      <c r="S2254" s="190"/>
      <c r="T2254" s="190"/>
      <c r="U2254" s="190"/>
      <c r="V2254" s="190"/>
      <c r="W2254" s="190"/>
      <c r="X2254" s="190"/>
      <c r="Y2254" s="190"/>
      <c r="Z2254" s="190"/>
      <c r="AA2254" s="190"/>
      <c r="AB2254" s="190"/>
      <c r="AC2254" s="190"/>
      <c r="AD2254" s="190"/>
      <c r="AE2254" s="190"/>
      <c r="AF2254" s="190"/>
      <c r="AG2254" s="190"/>
      <c r="AH2254" s="190"/>
      <c r="AI2254" s="190"/>
      <c r="AJ2254" s="190"/>
      <c r="AK2254" s="190"/>
      <c r="AL2254" s="190"/>
    </row>
    <row r="2255" spans="2:38" ht="12.75" customHeight="1">
      <c r="B2255" s="485"/>
      <c r="C2255" s="6"/>
      <c r="D2255" s="12"/>
      <c r="E2255" s="12"/>
      <c r="F2255" s="12"/>
      <c r="G2255" s="12"/>
      <c r="H2255" s="6"/>
      <c r="I2255" s="190"/>
      <c r="J2255" s="190"/>
      <c r="K2255" s="190"/>
      <c r="L2255" s="190"/>
      <c r="M2255" s="190"/>
      <c r="N2255" s="190"/>
      <c r="O2255" s="190"/>
      <c r="P2255" s="190"/>
      <c r="Q2255" s="190"/>
      <c r="R2255" s="190"/>
      <c r="S2255" s="190"/>
      <c r="T2255" s="190"/>
      <c r="U2255" s="190"/>
      <c r="V2255" s="190"/>
      <c r="W2255" s="190"/>
      <c r="X2255" s="190"/>
      <c r="Y2255" s="190"/>
      <c r="Z2255" s="190"/>
      <c r="AA2255" s="190"/>
      <c r="AB2255" s="190"/>
      <c r="AC2255" s="190"/>
      <c r="AD2255" s="190"/>
      <c r="AE2255" s="190"/>
      <c r="AF2255" s="190"/>
      <c r="AG2255" s="190"/>
      <c r="AH2255" s="190"/>
      <c r="AI2255" s="190"/>
      <c r="AJ2255" s="190"/>
      <c r="AK2255" s="190"/>
      <c r="AL2255" s="190"/>
    </row>
    <row r="2256" spans="2:38" ht="12.75" customHeight="1">
      <c r="B2256" s="485"/>
      <c r="C2256" s="6"/>
      <c r="D2256" s="12"/>
      <c r="E2256" s="12"/>
      <c r="F2256" s="12"/>
      <c r="G2256" s="12"/>
      <c r="H2256" s="6"/>
      <c r="I2256" s="190"/>
      <c r="J2256" s="190"/>
      <c r="K2256" s="190"/>
      <c r="L2256" s="190"/>
      <c r="M2256" s="190"/>
      <c r="N2256" s="190"/>
      <c r="O2256" s="190"/>
      <c r="P2256" s="190"/>
      <c r="Q2256" s="190"/>
      <c r="R2256" s="190"/>
      <c r="S2256" s="190"/>
      <c r="T2256" s="190"/>
      <c r="U2256" s="190"/>
      <c r="V2256" s="190"/>
      <c r="W2256" s="190"/>
      <c r="X2256" s="190"/>
      <c r="Y2256" s="190"/>
      <c r="Z2256" s="190"/>
      <c r="AA2256" s="190"/>
      <c r="AB2256" s="190"/>
      <c r="AC2256" s="190"/>
      <c r="AD2256" s="190"/>
      <c r="AE2256" s="190"/>
      <c r="AF2256" s="190"/>
      <c r="AG2256" s="190"/>
      <c r="AH2256" s="190"/>
      <c r="AI2256" s="190"/>
      <c r="AJ2256" s="190"/>
      <c r="AK2256" s="190"/>
      <c r="AL2256" s="190"/>
    </row>
    <row r="2257" spans="2:38" ht="12.75" customHeight="1">
      <c r="B2257" s="485"/>
      <c r="C2257" s="6"/>
      <c r="D2257" s="12"/>
      <c r="E2257" s="12"/>
      <c r="F2257" s="12"/>
      <c r="G2257" s="12"/>
      <c r="H2257" s="6"/>
      <c r="I2257" s="190"/>
      <c r="J2257" s="190"/>
      <c r="K2257" s="190"/>
      <c r="L2257" s="190"/>
      <c r="M2257" s="190"/>
      <c r="N2257" s="190"/>
      <c r="O2257" s="190"/>
      <c r="P2257" s="190"/>
      <c r="Q2257" s="190"/>
      <c r="R2257" s="190"/>
      <c r="S2257" s="190"/>
      <c r="T2257" s="190"/>
      <c r="U2257" s="190"/>
      <c r="V2257" s="190"/>
      <c r="W2257" s="190"/>
      <c r="X2257" s="190"/>
      <c r="Y2257" s="190"/>
      <c r="Z2257" s="190"/>
      <c r="AA2257" s="190"/>
      <c r="AB2257" s="190"/>
      <c r="AC2257" s="190"/>
      <c r="AD2257" s="190"/>
      <c r="AE2257" s="190"/>
      <c r="AF2257" s="190"/>
      <c r="AG2257" s="190"/>
      <c r="AH2257" s="190"/>
      <c r="AI2257" s="190"/>
      <c r="AJ2257" s="190"/>
      <c r="AK2257" s="190"/>
      <c r="AL2257" s="190"/>
    </row>
    <row r="2258" spans="2:38" ht="12.75" customHeight="1">
      <c r="B2258" s="485"/>
      <c r="C2258" s="6"/>
      <c r="D2258" s="12"/>
      <c r="E2258" s="12"/>
      <c r="F2258" s="12"/>
      <c r="G2258" s="12"/>
      <c r="H2258" s="6"/>
      <c r="I2258" s="190"/>
      <c r="J2258" s="190"/>
      <c r="K2258" s="190"/>
      <c r="L2258" s="190"/>
      <c r="M2258" s="190"/>
      <c r="N2258" s="190"/>
      <c r="O2258" s="190"/>
      <c r="P2258" s="190"/>
      <c r="Q2258" s="190"/>
      <c r="R2258" s="190"/>
      <c r="S2258" s="190"/>
      <c r="T2258" s="190"/>
      <c r="U2258" s="190"/>
      <c r="V2258" s="190"/>
      <c r="W2258" s="190"/>
      <c r="X2258" s="190"/>
      <c r="Y2258" s="190"/>
      <c r="Z2258" s="190"/>
      <c r="AA2258" s="190"/>
      <c r="AB2258" s="190"/>
      <c r="AC2258" s="190"/>
      <c r="AD2258" s="190"/>
      <c r="AE2258" s="190"/>
      <c r="AF2258" s="190"/>
      <c r="AG2258" s="190"/>
      <c r="AH2258" s="190"/>
      <c r="AI2258" s="190"/>
      <c r="AJ2258" s="190"/>
      <c r="AK2258" s="190"/>
      <c r="AL2258" s="190"/>
    </row>
    <row r="2259" spans="2:38" ht="12.75" customHeight="1">
      <c r="B2259" s="485"/>
      <c r="C2259" s="6"/>
      <c r="D2259" s="12"/>
      <c r="E2259" s="12"/>
      <c r="F2259" s="12"/>
      <c r="G2259" s="12"/>
      <c r="H2259" s="6"/>
      <c r="I2259" s="190"/>
      <c r="J2259" s="190"/>
      <c r="K2259" s="190"/>
      <c r="L2259" s="190"/>
      <c r="M2259" s="190"/>
      <c r="N2259" s="190"/>
      <c r="O2259" s="190"/>
      <c r="P2259" s="190"/>
      <c r="Q2259" s="190"/>
      <c r="R2259" s="190"/>
      <c r="S2259" s="190"/>
      <c r="T2259" s="190"/>
      <c r="U2259" s="190"/>
      <c r="V2259" s="190"/>
      <c r="W2259" s="190"/>
      <c r="X2259" s="190"/>
      <c r="Y2259" s="190"/>
      <c r="Z2259" s="190"/>
      <c r="AA2259" s="190"/>
      <c r="AB2259" s="190"/>
      <c r="AC2259" s="190"/>
      <c r="AD2259" s="190"/>
      <c r="AE2259" s="190"/>
      <c r="AF2259" s="190"/>
      <c r="AG2259" s="190"/>
      <c r="AH2259" s="190"/>
      <c r="AI2259" s="190"/>
      <c r="AJ2259" s="190"/>
      <c r="AK2259" s="190"/>
      <c r="AL2259" s="190"/>
    </row>
    <row r="2260" spans="2:38" ht="12.75" customHeight="1">
      <c r="B2260" s="485"/>
      <c r="C2260" s="6"/>
      <c r="D2260" s="12"/>
      <c r="E2260" s="12"/>
      <c r="F2260" s="12"/>
      <c r="G2260" s="12"/>
      <c r="H2260" s="6"/>
      <c r="I2260" s="190"/>
      <c r="J2260" s="190"/>
      <c r="K2260" s="190"/>
      <c r="L2260" s="190"/>
      <c r="M2260" s="190"/>
      <c r="N2260" s="190"/>
      <c r="O2260" s="190"/>
      <c r="P2260" s="190"/>
      <c r="Q2260" s="190"/>
      <c r="R2260" s="190"/>
      <c r="S2260" s="190"/>
      <c r="T2260" s="190"/>
      <c r="U2260" s="190"/>
      <c r="V2260" s="190"/>
      <c r="W2260" s="190"/>
      <c r="X2260" s="190"/>
      <c r="Y2260" s="190"/>
      <c r="Z2260" s="190"/>
      <c r="AA2260" s="190"/>
      <c r="AB2260" s="190"/>
      <c r="AC2260" s="190"/>
      <c r="AD2260" s="190"/>
      <c r="AE2260" s="190"/>
      <c r="AF2260" s="190"/>
      <c r="AG2260" s="190"/>
      <c r="AH2260" s="190"/>
      <c r="AI2260" s="190"/>
      <c r="AJ2260" s="190"/>
      <c r="AK2260" s="190"/>
      <c r="AL2260" s="190"/>
    </row>
    <row r="2261" spans="2:38" ht="12.75" customHeight="1">
      <c r="B2261" s="485"/>
      <c r="C2261" s="6"/>
      <c r="D2261" s="12"/>
      <c r="E2261" s="12"/>
      <c r="F2261" s="12"/>
      <c r="G2261" s="12"/>
      <c r="H2261" s="6"/>
      <c r="I2261" s="190"/>
      <c r="J2261" s="190"/>
      <c r="K2261" s="190"/>
      <c r="L2261" s="190"/>
      <c r="M2261" s="190"/>
      <c r="N2261" s="190"/>
      <c r="O2261" s="190"/>
      <c r="P2261" s="190"/>
      <c r="Q2261" s="190"/>
      <c r="R2261" s="190"/>
      <c r="S2261" s="190"/>
      <c r="T2261" s="190"/>
      <c r="U2261" s="190"/>
      <c r="V2261" s="190"/>
      <c r="W2261" s="190"/>
      <c r="X2261" s="190"/>
      <c r="Y2261" s="190"/>
      <c r="Z2261" s="190"/>
      <c r="AA2261" s="190"/>
      <c r="AB2261" s="190"/>
      <c r="AC2261" s="190"/>
      <c r="AD2261" s="190"/>
      <c r="AE2261" s="190"/>
      <c r="AF2261" s="190"/>
      <c r="AG2261" s="190"/>
      <c r="AH2261" s="190"/>
      <c r="AI2261" s="190"/>
      <c r="AJ2261" s="190"/>
      <c r="AK2261" s="190"/>
      <c r="AL2261" s="190"/>
    </row>
    <row r="2262" spans="2:38" ht="12.75" customHeight="1">
      <c r="B2262" s="485"/>
      <c r="C2262" s="6"/>
      <c r="D2262" s="12"/>
      <c r="E2262" s="12"/>
      <c r="F2262" s="12"/>
      <c r="G2262" s="12"/>
      <c r="H2262" s="6"/>
      <c r="I2262" s="190"/>
      <c r="J2262" s="190"/>
      <c r="K2262" s="190"/>
      <c r="L2262" s="190"/>
      <c r="M2262" s="190"/>
      <c r="N2262" s="190"/>
      <c r="O2262" s="190"/>
      <c r="P2262" s="190"/>
      <c r="Q2262" s="190"/>
      <c r="R2262" s="190"/>
      <c r="S2262" s="190"/>
      <c r="T2262" s="190"/>
      <c r="U2262" s="190"/>
      <c r="V2262" s="190"/>
      <c r="W2262" s="190"/>
      <c r="X2262" s="190"/>
      <c r="Y2262" s="190"/>
      <c r="Z2262" s="190"/>
      <c r="AA2262" s="190"/>
      <c r="AB2262" s="190"/>
      <c r="AC2262" s="190"/>
      <c r="AD2262" s="190"/>
      <c r="AE2262" s="190"/>
      <c r="AF2262" s="190"/>
      <c r="AG2262" s="190"/>
      <c r="AH2262" s="190"/>
      <c r="AI2262" s="190"/>
      <c r="AJ2262" s="190"/>
      <c r="AK2262" s="190"/>
      <c r="AL2262" s="190"/>
    </row>
    <row r="2263" spans="2:38" ht="12.75" customHeight="1">
      <c r="B2263" s="485"/>
      <c r="C2263" s="6"/>
      <c r="D2263" s="12"/>
      <c r="E2263" s="12"/>
      <c r="F2263" s="12"/>
      <c r="G2263" s="12"/>
      <c r="H2263" s="6"/>
      <c r="I2263" s="190"/>
      <c r="J2263" s="190"/>
      <c r="K2263" s="190"/>
      <c r="L2263" s="190"/>
      <c r="M2263" s="190"/>
      <c r="N2263" s="190"/>
      <c r="O2263" s="190"/>
      <c r="P2263" s="190"/>
      <c r="Q2263" s="190"/>
      <c r="R2263" s="190"/>
      <c r="S2263" s="190"/>
      <c r="T2263" s="190"/>
      <c r="U2263" s="190"/>
      <c r="V2263" s="190"/>
      <c r="W2263" s="190"/>
      <c r="X2263" s="190"/>
      <c r="Y2263" s="190"/>
      <c r="Z2263" s="190"/>
      <c r="AA2263" s="190"/>
      <c r="AB2263" s="190"/>
      <c r="AC2263" s="190"/>
      <c r="AD2263" s="190"/>
      <c r="AE2263" s="190"/>
      <c r="AF2263" s="190"/>
      <c r="AG2263" s="190"/>
      <c r="AH2263" s="190"/>
      <c r="AI2263" s="190"/>
      <c r="AJ2263" s="190"/>
      <c r="AK2263" s="190"/>
      <c r="AL2263" s="190"/>
    </row>
    <row r="2264" spans="2:38" ht="12.75" customHeight="1">
      <c r="B2264" s="485"/>
      <c r="C2264" s="6"/>
      <c r="D2264" s="12"/>
      <c r="E2264" s="12"/>
      <c r="F2264" s="12"/>
      <c r="G2264" s="12"/>
      <c r="H2264" s="6"/>
      <c r="I2264" s="190"/>
      <c r="J2264" s="190"/>
      <c r="K2264" s="190"/>
      <c r="L2264" s="190"/>
      <c r="M2264" s="190"/>
      <c r="N2264" s="190"/>
      <c r="O2264" s="190"/>
      <c r="P2264" s="190"/>
      <c r="Q2264" s="190"/>
      <c r="R2264" s="190"/>
      <c r="S2264" s="190"/>
      <c r="T2264" s="190"/>
      <c r="U2264" s="190"/>
      <c r="V2264" s="190"/>
      <c r="W2264" s="190"/>
      <c r="X2264" s="190"/>
      <c r="Y2264" s="190"/>
      <c r="Z2264" s="190"/>
      <c r="AA2264" s="190"/>
      <c r="AB2264" s="190"/>
      <c r="AC2264" s="190"/>
      <c r="AD2264" s="190"/>
      <c r="AE2264" s="190"/>
      <c r="AF2264" s="190"/>
      <c r="AG2264" s="190"/>
      <c r="AH2264" s="190"/>
      <c r="AI2264" s="190"/>
      <c r="AJ2264" s="190"/>
      <c r="AK2264" s="190"/>
      <c r="AL2264" s="190"/>
    </row>
    <row r="2265" spans="2:38" ht="12.75" customHeight="1">
      <c r="B2265" s="485"/>
      <c r="C2265" s="6"/>
      <c r="D2265" s="12"/>
      <c r="E2265" s="12"/>
      <c r="F2265" s="12"/>
      <c r="G2265" s="12"/>
      <c r="H2265" s="6"/>
      <c r="I2265" s="190"/>
      <c r="J2265" s="190"/>
      <c r="K2265" s="190"/>
      <c r="L2265" s="190"/>
      <c r="M2265" s="190"/>
      <c r="N2265" s="190"/>
      <c r="O2265" s="190"/>
      <c r="P2265" s="190"/>
      <c r="Q2265" s="190"/>
      <c r="R2265" s="190"/>
      <c r="S2265" s="190"/>
      <c r="T2265" s="190"/>
      <c r="U2265" s="190"/>
      <c r="V2265" s="190"/>
      <c r="W2265" s="190"/>
      <c r="X2265" s="190"/>
      <c r="Y2265" s="190"/>
      <c r="Z2265" s="190"/>
      <c r="AA2265" s="190"/>
      <c r="AB2265" s="190"/>
      <c r="AC2265" s="190"/>
      <c r="AD2265" s="190"/>
      <c r="AE2265" s="190"/>
      <c r="AF2265" s="190"/>
      <c r="AG2265" s="190"/>
      <c r="AH2265" s="190"/>
      <c r="AI2265" s="190"/>
      <c r="AJ2265" s="190"/>
      <c r="AK2265" s="190"/>
      <c r="AL2265" s="190"/>
    </row>
    <row r="2266" spans="2:38" ht="12.75" customHeight="1">
      <c r="B2266" s="485"/>
      <c r="C2266" s="6"/>
      <c r="D2266" s="12"/>
      <c r="E2266" s="12"/>
      <c r="F2266" s="12"/>
      <c r="G2266" s="12"/>
      <c r="H2266" s="6"/>
      <c r="I2266" s="190"/>
      <c r="J2266" s="190"/>
      <c r="K2266" s="190"/>
      <c r="L2266" s="190"/>
      <c r="M2266" s="190"/>
      <c r="N2266" s="190"/>
      <c r="O2266" s="190"/>
      <c r="P2266" s="190"/>
      <c r="Q2266" s="190"/>
      <c r="R2266" s="190"/>
      <c r="S2266" s="190"/>
      <c r="T2266" s="190"/>
      <c r="U2266" s="190"/>
      <c r="V2266" s="190"/>
      <c r="W2266" s="190"/>
      <c r="X2266" s="190"/>
      <c r="Y2266" s="190"/>
      <c r="Z2266" s="190"/>
      <c r="AA2266" s="190"/>
      <c r="AB2266" s="190"/>
      <c r="AC2266" s="190"/>
      <c r="AD2266" s="190"/>
      <c r="AE2266" s="190"/>
      <c r="AF2266" s="190"/>
      <c r="AG2266" s="190"/>
      <c r="AH2266" s="190"/>
      <c r="AI2266" s="190"/>
      <c r="AJ2266" s="190"/>
      <c r="AK2266" s="190"/>
      <c r="AL2266" s="190"/>
    </row>
    <row r="2267" spans="2:38" ht="12.75" customHeight="1">
      <c r="B2267" s="485"/>
      <c r="C2267" s="6"/>
      <c r="D2267" s="12"/>
      <c r="E2267" s="12"/>
      <c r="F2267" s="12"/>
      <c r="G2267" s="12"/>
      <c r="H2267" s="6"/>
      <c r="I2267" s="190"/>
      <c r="J2267" s="190"/>
      <c r="K2267" s="190"/>
      <c r="L2267" s="190"/>
      <c r="M2267" s="190"/>
      <c r="N2267" s="190"/>
      <c r="O2267" s="190"/>
      <c r="P2267" s="190"/>
      <c r="Q2267" s="190"/>
      <c r="R2267" s="190"/>
      <c r="S2267" s="190"/>
      <c r="T2267" s="190"/>
      <c r="U2267" s="190"/>
      <c r="V2267" s="190"/>
      <c r="W2267" s="190"/>
      <c r="X2267" s="190"/>
      <c r="Y2267" s="190"/>
      <c r="Z2267" s="190"/>
      <c r="AA2267" s="190"/>
      <c r="AB2267" s="190"/>
      <c r="AC2267" s="190"/>
      <c r="AD2267" s="190"/>
      <c r="AE2267" s="190"/>
      <c r="AF2267" s="190"/>
      <c r="AG2267" s="190"/>
      <c r="AH2267" s="190"/>
      <c r="AI2267" s="190"/>
      <c r="AJ2267" s="190"/>
      <c r="AK2267" s="190"/>
      <c r="AL2267" s="190"/>
    </row>
    <row r="2268" spans="2:38" ht="12.75" customHeight="1">
      <c r="B2268" s="485"/>
      <c r="C2268" s="6"/>
      <c r="D2268" s="12"/>
      <c r="E2268" s="12"/>
      <c r="F2268" s="12"/>
      <c r="G2268" s="12"/>
      <c r="H2268" s="6"/>
      <c r="I2268" s="190"/>
      <c r="J2268" s="190"/>
      <c r="K2268" s="190"/>
      <c r="L2268" s="190"/>
      <c r="M2268" s="190"/>
      <c r="N2268" s="190"/>
      <c r="O2268" s="190"/>
      <c r="P2268" s="190"/>
      <c r="Q2268" s="190"/>
      <c r="R2268" s="190"/>
      <c r="S2268" s="190"/>
      <c r="T2268" s="190"/>
      <c r="U2268" s="190"/>
      <c r="V2268" s="190"/>
      <c r="W2268" s="190"/>
      <c r="X2268" s="190"/>
      <c r="Y2268" s="190"/>
      <c r="Z2268" s="190"/>
      <c r="AA2268" s="190"/>
      <c r="AB2268" s="190"/>
      <c r="AC2268" s="190"/>
      <c r="AD2268" s="190"/>
      <c r="AE2268" s="190"/>
      <c r="AF2268" s="190"/>
      <c r="AG2268" s="190"/>
      <c r="AH2268" s="190"/>
      <c r="AI2268" s="190"/>
      <c r="AJ2268" s="190"/>
      <c r="AK2268" s="190"/>
      <c r="AL2268" s="190"/>
    </row>
    <row r="2269" spans="2:38" ht="12.75" customHeight="1">
      <c r="B2269" s="485"/>
      <c r="C2269" s="6"/>
      <c r="D2269" s="12"/>
      <c r="E2269" s="12"/>
      <c r="F2269" s="12"/>
      <c r="G2269" s="12"/>
      <c r="H2269" s="6"/>
      <c r="I2269" s="190"/>
      <c r="J2269" s="190"/>
      <c r="K2269" s="190"/>
      <c r="L2269" s="190"/>
      <c r="M2269" s="190"/>
      <c r="N2269" s="190"/>
      <c r="O2269" s="190"/>
      <c r="P2269" s="190"/>
      <c r="Q2269" s="190"/>
      <c r="R2269" s="190"/>
      <c r="S2269" s="190"/>
      <c r="T2269" s="190"/>
      <c r="U2269" s="190"/>
      <c r="V2269" s="190"/>
      <c r="W2269" s="190"/>
      <c r="X2269" s="190"/>
      <c r="Y2269" s="190"/>
      <c r="Z2269" s="190"/>
      <c r="AA2269" s="190"/>
      <c r="AB2269" s="190"/>
      <c r="AC2269" s="190"/>
      <c r="AD2269" s="190"/>
      <c r="AE2269" s="190"/>
      <c r="AF2269" s="190"/>
      <c r="AG2269" s="190"/>
      <c r="AH2269" s="190"/>
      <c r="AI2269" s="190"/>
      <c r="AJ2269" s="190"/>
      <c r="AK2269" s="190"/>
      <c r="AL2269" s="190"/>
    </row>
    <row r="2270" spans="2:38" ht="12.75" customHeight="1">
      <c r="B2270" s="485"/>
      <c r="C2270" s="6"/>
      <c r="D2270" s="12"/>
      <c r="E2270" s="12"/>
      <c r="F2270" s="12"/>
      <c r="G2270" s="12"/>
      <c r="H2270" s="6"/>
      <c r="I2270" s="190"/>
      <c r="J2270" s="190"/>
      <c r="K2270" s="190"/>
      <c r="L2270" s="190"/>
      <c r="M2270" s="190"/>
      <c r="N2270" s="190"/>
      <c r="O2270" s="190"/>
      <c r="P2270" s="190"/>
      <c r="Q2270" s="190"/>
      <c r="R2270" s="190"/>
      <c r="S2270" s="190"/>
      <c r="T2270" s="190"/>
      <c r="U2270" s="190"/>
      <c r="V2270" s="190"/>
      <c r="W2270" s="190"/>
      <c r="X2270" s="190"/>
      <c r="Y2270" s="190"/>
      <c r="Z2270" s="190"/>
      <c r="AA2270" s="190"/>
      <c r="AB2270" s="190"/>
      <c r="AC2270" s="190"/>
      <c r="AD2270" s="190"/>
      <c r="AE2270" s="190"/>
      <c r="AF2270" s="190"/>
      <c r="AG2270" s="190"/>
      <c r="AH2270" s="190"/>
      <c r="AI2270" s="190"/>
      <c r="AJ2270" s="190"/>
      <c r="AK2270" s="190"/>
      <c r="AL2270" s="190"/>
    </row>
    <row r="2271" spans="2:38" ht="12.75" customHeight="1">
      <c r="B2271" s="485"/>
      <c r="C2271" s="6"/>
      <c r="D2271" s="12"/>
      <c r="E2271" s="12"/>
      <c r="F2271" s="12"/>
      <c r="G2271" s="12"/>
      <c r="H2271" s="6"/>
      <c r="I2271" s="190"/>
      <c r="J2271" s="190"/>
      <c r="K2271" s="190"/>
      <c r="L2271" s="190"/>
      <c r="M2271" s="190"/>
      <c r="N2271" s="190"/>
      <c r="O2271" s="190"/>
      <c r="P2271" s="190"/>
      <c r="Q2271" s="190"/>
      <c r="R2271" s="190"/>
      <c r="S2271" s="190"/>
      <c r="T2271" s="190"/>
      <c r="U2271" s="190"/>
      <c r="V2271" s="190"/>
      <c r="W2271" s="190"/>
      <c r="X2271" s="190"/>
      <c r="Y2271" s="190"/>
      <c r="Z2271" s="190"/>
      <c r="AA2271" s="190"/>
      <c r="AB2271" s="190"/>
      <c r="AC2271" s="190"/>
      <c r="AD2271" s="190"/>
      <c r="AE2271" s="190"/>
      <c r="AF2271" s="190"/>
      <c r="AG2271" s="190"/>
      <c r="AH2271" s="190"/>
      <c r="AI2271" s="190"/>
      <c r="AJ2271" s="190"/>
      <c r="AK2271" s="190"/>
      <c r="AL2271" s="190"/>
    </row>
    <row r="2272" spans="2:38" ht="12.75" customHeight="1">
      <c r="B2272" s="485"/>
      <c r="C2272" s="6"/>
      <c r="D2272" s="12"/>
      <c r="E2272" s="12"/>
      <c r="F2272" s="12"/>
      <c r="G2272" s="12"/>
      <c r="H2272" s="6"/>
      <c r="I2272" s="190"/>
      <c r="J2272" s="190"/>
      <c r="K2272" s="190"/>
      <c r="L2272" s="190"/>
      <c r="M2272" s="190"/>
      <c r="N2272" s="190"/>
      <c r="O2272" s="190"/>
      <c r="P2272" s="190"/>
      <c r="Q2272" s="190"/>
      <c r="R2272" s="190"/>
      <c r="S2272" s="190"/>
      <c r="T2272" s="190"/>
      <c r="U2272" s="190"/>
      <c r="V2272" s="190"/>
      <c r="W2272" s="190"/>
      <c r="X2272" s="190"/>
      <c r="Y2272" s="190"/>
      <c r="Z2272" s="190"/>
      <c r="AA2272" s="190"/>
      <c r="AB2272" s="190"/>
      <c r="AC2272" s="190"/>
      <c r="AD2272" s="190"/>
      <c r="AE2272" s="190"/>
      <c r="AF2272" s="190"/>
      <c r="AG2272" s="190"/>
      <c r="AH2272" s="190"/>
      <c r="AI2272" s="190"/>
      <c r="AJ2272" s="190"/>
      <c r="AK2272" s="190"/>
      <c r="AL2272" s="190"/>
    </row>
    <row r="2273" spans="2:38" ht="12.75" customHeight="1">
      <c r="B2273" s="485"/>
      <c r="C2273" s="6"/>
      <c r="D2273" s="12"/>
      <c r="E2273" s="12"/>
      <c r="F2273" s="12"/>
      <c r="G2273" s="12"/>
      <c r="H2273" s="6"/>
      <c r="I2273" s="190"/>
      <c r="J2273" s="190"/>
      <c r="K2273" s="190"/>
      <c r="L2273" s="190"/>
      <c r="M2273" s="190"/>
      <c r="N2273" s="190"/>
      <c r="O2273" s="190"/>
      <c r="P2273" s="190"/>
      <c r="Q2273" s="190"/>
      <c r="R2273" s="190"/>
      <c r="S2273" s="190"/>
      <c r="T2273" s="190"/>
      <c r="U2273" s="190"/>
      <c r="V2273" s="190"/>
      <c r="W2273" s="190"/>
      <c r="X2273" s="190"/>
      <c r="Y2273" s="190"/>
      <c r="Z2273" s="190"/>
      <c r="AA2273" s="190"/>
      <c r="AB2273" s="190"/>
      <c r="AC2273" s="190"/>
      <c r="AD2273" s="190"/>
      <c r="AE2273" s="190"/>
      <c r="AF2273" s="190"/>
      <c r="AG2273" s="190"/>
      <c r="AH2273" s="190"/>
      <c r="AI2273" s="190"/>
      <c r="AJ2273" s="190"/>
      <c r="AK2273" s="190"/>
      <c r="AL2273" s="190"/>
    </row>
    <row r="2274" spans="2:38" ht="12.75" customHeight="1">
      <c r="B2274" s="485"/>
      <c r="C2274" s="6"/>
      <c r="D2274" s="12"/>
      <c r="E2274" s="12"/>
      <c r="F2274" s="12"/>
      <c r="G2274" s="12"/>
      <c r="H2274" s="6"/>
      <c r="I2274" s="190"/>
      <c r="J2274" s="190"/>
      <c r="K2274" s="190"/>
      <c r="L2274" s="190"/>
      <c r="M2274" s="190"/>
      <c r="N2274" s="190"/>
      <c r="O2274" s="190"/>
      <c r="P2274" s="190"/>
      <c r="Q2274" s="190"/>
      <c r="R2274" s="190"/>
      <c r="S2274" s="190"/>
      <c r="T2274" s="190"/>
      <c r="U2274" s="190"/>
      <c r="V2274" s="190"/>
      <c r="W2274" s="190"/>
      <c r="X2274" s="190"/>
      <c r="Y2274" s="190"/>
      <c r="Z2274" s="190"/>
      <c r="AA2274" s="190"/>
      <c r="AB2274" s="190"/>
      <c r="AC2274" s="190"/>
      <c r="AD2274" s="190"/>
      <c r="AE2274" s="190"/>
      <c r="AF2274" s="190"/>
      <c r="AG2274" s="190"/>
      <c r="AH2274" s="190"/>
      <c r="AI2274" s="190"/>
      <c r="AJ2274" s="190"/>
      <c r="AK2274" s="190"/>
      <c r="AL2274" s="190"/>
    </row>
    <row r="2275" spans="2:38" ht="12.75" customHeight="1">
      <c r="B2275" s="485"/>
      <c r="C2275" s="6"/>
      <c r="D2275" s="12"/>
      <c r="E2275" s="12"/>
      <c r="F2275" s="12"/>
      <c r="G2275" s="12"/>
      <c r="H2275" s="6"/>
      <c r="I2275" s="190"/>
      <c r="J2275" s="190"/>
      <c r="K2275" s="190"/>
      <c r="L2275" s="190"/>
      <c r="M2275" s="190"/>
      <c r="N2275" s="190"/>
      <c r="O2275" s="190"/>
      <c r="P2275" s="190"/>
      <c r="Q2275" s="190"/>
      <c r="R2275" s="190"/>
      <c r="S2275" s="190"/>
      <c r="T2275" s="190"/>
      <c r="U2275" s="190"/>
      <c r="V2275" s="190"/>
      <c r="W2275" s="190"/>
      <c r="X2275" s="190"/>
      <c r="Y2275" s="190"/>
      <c r="Z2275" s="190"/>
      <c r="AA2275" s="190"/>
      <c r="AB2275" s="190"/>
      <c r="AC2275" s="190"/>
      <c r="AD2275" s="190"/>
      <c r="AE2275" s="190"/>
      <c r="AF2275" s="190"/>
      <c r="AG2275" s="190"/>
      <c r="AH2275" s="190"/>
      <c r="AI2275" s="190"/>
      <c r="AJ2275" s="190"/>
      <c r="AK2275" s="190"/>
      <c r="AL2275" s="190"/>
    </row>
    <row r="2276" spans="2:38" ht="12.75" customHeight="1">
      <c r="B2276" s="485"/>
      <c r="C2276" s="6"/>
      <c r="D2276" s="12"/>
      <c r="E2276" s="12"/>
      <c r="F2276" s="12"/>
      <c r="G2276" s="12"/>
      <c r="H2276" s="6"/>
      <c r="I2276" s="190"/>
      <c r="J2276" s="190"/>
      <c r="K2276" s="190"/>
      <c r="L2276" s="190"/>
      <c r="M2276" s="190"/>
      <c r="N2276" s="190"/>
      <c r="O2276" s="190"/>
      <c r="P2276" s="190"/>
      <c r="Q2276" s="190"/>
      <c r="R2276" s="190"/>
      <c r="S2276" s="190"/>
      <c r="T2276" s="190"/>
      <c r="U2276" s="190"/>
      <c r="V2276" s="190"/>
      <c r="W2276" s="190"/>
      <c r="X2276" s="190"/>
      <c r="Y2276" s="190"/>
      <c r="Z2276" s="190"/>
      <c r="AA2276" s="190"/>
      <c r="AB2276" s="190"/>
      <c r="AC2276" s="190"/>
      <c r="AD2276" s="190"/>
      <c r="AE2276" s="190"/>
      <c r="AF2276" s="190"/>
      <c r="AG2276" s="190"/>
      <c r="AH2276" s="190"/>
      <c r="AI2276" s="190"/>
      <c r="AJ2276" s="190"/>
      <c r="AK2276" s="190"/>
      <c r="AL2276" s="190"/>
    </row>
    <row r="2277" spans="2:38" ht="12.75" customHeight="1">
      <c r="B2277" s="485"/>
      <c r="C2277" s="6"/>
      <c r="D2277" s="12"/>
      <c r="E2277" s="12"/>
      <c r="F2277" s="12"/>
      <c r="G2277" s="12"/>
      <c r="H2277" s="6"/>
      <c r="I2277" s="190"/>
      <c r="J2277" s="190"/>
      <c r="K2277" s="190"/>
      <c r="L2277" s="190"/>
      <c r="M2277" s="190"/>
      <c r="N2277" s="190"/>
      <c r="O2277" s="190"/>
      <c r="P2277" s="190"/>
      <c r="Q2277" s="190"/>
      <c r="R2277" s="190"/>
      <c r="S2277" s="190"/>
      <c r="T2277" s="190"/>
      <c r="U2277" s="190"/>
      <c r="V2277" s="190"/>
      <c r="W2277" s="190"/>
      <c r="X2277" s="190"/>
      <c r="Y2277" s="190"/>
      <c r="Z2277" s="190"/>
      <c r="AA2277" s="190"/>
      <c r="AB2277" s="190"/>
      <c r="AC2277" s="190"/>
      <c r="AD2277" s="190"/>
      <c r="AE2277" s="190"/>
      <c r="AF2277" s="190"/>
      <c r="AG2277" s="190"/>
      <c r="AH2277" s="190"/>
      <c r="AI2277" s="190"/>
      <c r="AJ2277" s="190"/>
      <c r="AK2277" s="190"/>
      <c r="AL2277" s="190"/>
    </row>
    <row r="2278" spans="2:38" ht="12.75" customHeight="1">
      <c r="B2278" s="485"/>
      <c r="C2278" s="6"/>
      <c r="D2278" s="12"/>
      <c r="E2278" s="12"/>
      <c r="F2278" s="12"/>
      <c r="G2278" s="12"/>
      <c r="H2278" s="6"/>
      <c r="I2278" s="190"/>
      <c r="J2278" s="190"/>
      <c r="K2278" s="190"/>
      <c r="L2278" s="190"/>
      <c r="M2278" s="190"/>
      <c r="N2278" s="190"/>
      <c r="O2278" s="190"/>
      <c r="P2278" s="190"/>
      <c r="Q2278" s="190"/>
      <c r="R2278" s="190"/>
      <c r="S2278" s="190"/>
      <c r="T2278" s="190"/>
      <c r="U2278" s="190"/>
      <c r="V2278" s="190"/>
      <c r="W2278" s="190"/>
      <c r="X2278" s="190"/>
      <c r="Y2278" s="190"/>
      <c r="Z2278" s="190"/>
      <c r="AA2278" s="190"/>
      <c r="AB2278" s="190"/>
      <c r="AC2278" s="190"/>
      <c r="AD2278" s="190"/>
      <c r="AE2278" s="190"/>
      <c r="AF2278" s="190"/>
      <c r="AG2278" s="190"/>
      <c r="AH2278" s="190"/>
      <c r="AI2278" s="190"/>
      <c r="AJ2278" s="190"/>
      <c r="AK2278" s="190"/>
      <c r="AL2278" s="190"/>
    </row>
    <row r="2279" spans="2:38" ht="12.75" customHeight="1">
      <c r="B2279" s="485"/>
      <c r="C2279" s="6"/>
      <c r="D2279" s="12"/>
      <c r="E2279" s="12"/>
      <c r="F2279" s="12"/>
      <c r="G2279" s="12"/>
      <c r="H2279" s="6"/>
      <c r="I2279" s="190"/>
      <c r="J2279" s="190"/>
      <c r="K2279" s="190"/>
      <c r="L2279" s="190"/>
      <c r="M2279" s="190"/>
      <c r="N2279" s="190"/>
      <c r="O2279" s="190"/>
      <c r="P2279" s="190"/>
      <c r="Q2279" s="190"/>
      <c r="R2279" s="190"/>
      <c r="S2279" s="190"/>
      <c r="T2279" s="190"/>
      <c r="U2279" s="190"/>
      <c r="V2279" s="190"/>
      <c r="W2279" s="190"/>
      <c r="X2279" s="190"/>
      <c r="Y2279" s="190"/>
      <c r="Z2279" s="190"/>
      <c r="AA2279" s="190"/>
      <c r="AB2279" s="190"/>
      <c r="AC2279" s="190"/>
      <c r="AD2279" s="190"/>
      <c r="AE2279" s="190"/>
      <c r="AF2279" s="190"/>
      <c r="AG2279" s="190"/>
      <c r="AH2279" s="190"/>
      <c r="AI2279" s="190"/>
      <c r="AJ2279" s="190"/>
      <c r="AK2279" s="190"/>
      <c r="AL2279" s="190"/>
    </row>
    <row r="2280" spans="2:38" ht="12.75" customHeight="1">
      <c r="B2280" s="485"/>
      <c r="C2280" s="6"/>
      <c r="D2280" s="12"/>
      <c r="E2280" s="12"/>
      <c r="F2280" s="12"/>
      <c r="G2280" s="12"/>
      <c r="H2280" s="6"/>
      <c r="I2280" s="190"/>
      <c r="J2280" s="190"/>
      <c r="K2280" s="190"/>
      <c r="L2280" s="190"/>
      <c r="M2280" s="190"/>
      <c r="N2280" s="190"/>
      <c r="O2280" s="190"/>
      <c r="P2280" s="190"/>
      <c r="Q2280" s="190"/>
      <c r="R2280" s="190"/>
      <c r="S2280" s="190"/>
      <c r="T2280" s="190"/>
      <c r="U2280" s="190"/>
      <c r="V2280" s="190"/>
      <c r="W2280" s="190"/>
      <c r="X2280" s="190"/>
      <c r="Y2280" s="190"/>
      <c r="Z2280" s="190"/>
      <c r="AA2280" s="190"/>
      <c r="AB2280" s="190"/>
      <c r="AC2280" s="190"/>
      <c r="AD2280" s="190"/>
      <c r="AE2280" s="190"/>
      <c r="AF2280" s="190"/>
      <c r="AG2280" s="190"/>
      <c r="AH2280" s="190"/>
      <c r="AI2280" s="190"/>
      <c r="AJ2280" s="190"/>
      <c r="AK2280" s="190"/>
      <c r="AL2280" s="190"/>
    </row>
    <row r="2281" spans="2:38" ht="12.75" customHeight="1">
      <c r="B2281" s="485"/>
      <c r="C2281" s="6"/>
      <c r="D2281" s="12"/>
      <c r="E2281" s="12"/>
      <c r="F2281" s="12"/>
      <c r="G2281" s="12"/>
      <c r="H2281" s="6"/>
      <c r="I2281" s="190"/>
      <c r="J2281" s="190"/>
      <c r="K2281" s="190"/>
      <c r="L2281" s="190"/>
      <c r="M2281" s="190"/>
      <c r="N2281" s="190"/>
      <c r="O2281" s="190"/>
      <c r="P2281" s="190"/>
      <c r="Q2281" s="190"/>
      <c r="R2281" s="190"/>
      <c r="S2281" s="190"/>
      <c r="T2281" s="190"/>
      <c r="U2281" s="190"/>
      <c r="V2281" s="190"/>
      <c r="W2281" s="190"/>
      <c r="X2281" s="190"/>
      <c r="Y2281" s="190"/>
      <c r="Z2281" s="190"/>
      <c r="AA2281" s="190"/>
      <c r="AB2281" s="190"/>
      <c r="AC2281" s="190"/>
      <c r="AD2281" s="190"/>
      <c r="AE2281" s="190"/>
      <c r="AF2281" s="190"/>
      <c r="AG2281" s="190"/>
      <c r="AH2281" s="190"/>
      <c r="AI2281" s="190"/>
      <c r="AJ2281" s="190"/>
      <c r="AK2281" s="190"/>
      <c r="AL2281" s="190"/>
    </row>
    <row r="2282" spans="2:38" ht="12.75" customHeight="1">
      <c r="B2282" s="485"/>
      <c r="C2282" s="6"/>
      <c r="D2282" s="12"/>
      <c r="E2282" s="12"/>
      <c r="F2282" s="12"/>
      <c r="G2282" s="12"/>
      <c r="H2282" s="6"/>
      <c r="I2282" s="190"/>
      <c r="J2282" s="190"/>
      <c r="K2282" s="190"/>
      <c r="L2282" s="190"/>
      <c r="M2282" s="190"/>
      <c r="N2282" s="190"/>
      <c r="O2282" s="190"/>
      <c r="P2282" s="190"/>
      <c r="Q2282" s="190"/>
      <c r="R2282" s="190"/>
      <c r="S2282" s="190"/>
      <c r="T2282" s="190"/>
      <c r="U2282" s="190"/>
      <c r="V2282" s="190"/>
      <c r="W2282" s="190"/>
      <c r="X2282" s="190"/>
      <c r="Y2282" s="190"/>
      <c r="Z2282" s="190"/>
      <c r="AA2282" s="190"/>
      <c r="AB2282" s="190"/>
      <c r="AC2282" s="190"/>
      <c r="AD2282" s="190"/>
      <c r="AE2282" s="190"/>
      <c r="AF2282" s="190"/>
      <c r="AG2282" s="190"/>
      <c r="AH2282" s="190"/>
      <c r="AI2282" s="190"/>
      <c r="AJ2282" s="190"/>
      <c r="AK2282" s="190"/>
      <c r="AL2282" s="190"/>
    </row>
    <row r="2283" spans="2:38" ht="12.75" customHeight="1">
      <c r="B2283" s="485"/>
      <c r="C2283" s="6"/>
      <c r="D2283" s="12"/>
      <c r="E2283" s="12"/>
      <c r="F2283" s="12"/>
      <c r="G2283" s="12"/>
      <c r="H2283" s="6"/>
      <c r="I2283" s="190"/>
      <c r="J2283" s="190"/>
      <c r="K2283" s="190"/>
      <c r="L2283" s="190"/>
      <c r="M2283" s="190"/>
      <c r="N2283" s="190"/>
      <c r="O2283" s="190"/>
      <c r="P2283" s="190"/>
      <c r="Q2283" s="190"/>
      <c r="R2283" s="190"/>
      <c r="S2283" s="190"/>
      <c r="T2283" s="190"/>
      <c r="U2283" s="190"/>
      <c r="V2283" s="190"/>
      <c r="W2283" s="190"/>
      <c r="X2283" s="190"/>
      <c r="Y2283" s="190"/>
      <c r="Z2283" s="190"/>
      <c r="AA2283" s="190"/>
      <c r="AB2283" s="190"/>
      <c r="AC2283" s="190"/>
      <c r="AD2283" s="190"/>
      <c r="AE2283" s="190"/>
      <c r="AF2283" s="190"/>
      <c r="AG2283" s="190"/>
      <c r="AH2283" s="190"/>
      <c r="AI2283" s="190"/>
      <c r="AJ2283" s="190"/>
      <c r="AK2283" s="190"/>
      <c r="AL2283" s="190"/>
    </row>
    <row r="2284" spans="2:38" ht="12.75" customHeight="1">
      <c r="B2284" s="485"/>
      <c r="C2284" s="6"/>
      <c r="D2284" s="12"/>
      <c r="E2284" s="12"/>
      <c r="F2284" s="12"/>
      <c r="G2284" s="12"/>
      <c r="H2284" s="6"/>
      <c r="I2284" s="190"/>
      <c r="J2284" s="190"/>
      <c r="K2284" s="190"/>
      <c r="L2284" s="190"/>
      <c r="M2284" s="190"/>
      <c r="N2284" s="190"/>
      <c r="O2284" s="190"/>
      <c r="P2284" s="190"/>
      <c r="Q2284" s="190"/>
      <c r="R2284" s="190"/>
      <c r="S2284" s="190"/>
      <c r="T2284" s="190"/>
      <c r="U2284" s="190"/>
      <c r="V2284" s="190"/>
      <c r="W2284" s="190"/>
      <c r="X2284" s="190"/>
      <c r="Y2284" s="190"/>
      <c r="Z2284" s="190"/>
      <c r="AA2284" s="190"/>
      <c r="AB2284" s="190"/>
      <c r="AC2284" s="190"/>
      <c r="AD2284" s="190"/>
      <c r="AE2284" s="190"/>
      <c r="AF2284" s="190"/>
      <c r="AG2284" s="190"/>
      <c r="AH2284" s="190"/>
      <c r="AI2284" s="190"/>
      <c r="AJ2284" s="190"/>
      <c r="AK2284" s="190"/>
      <c r="AL2284" s="190"/>
    </row>
    <row r="2285" spans="2:38" ht="12.75" customHeight="1">
      <c r="B2285" s="485"/>
      <c r="C2285" s="6"/>
      <c r="D2285" s="12"/>
      <c r="E2285" s="12"/>
      <c r="F2285" s="12"/>
      <c r="G2285" s="12"/>
      <c r="H2285" s="6"/>
      <c r="I2285" s="190"/>
      <c r="J2285" s="190"/>
      <c r="K2285" s="190"/>
      <c r="L2285" s="190"/>
      <c r="M2285" s="190"/>
      <c r="N2285" s="190"/>
      <c r="O2285" s="190"/>
      <c r="P2285" s="190"/>
      <c r="Q2285" s="190"/>
      <c r="R2285" s="190"/>
      <c r="S2285" s="190"/>
      <c r="T2285" s="190"/>
      <c r="U2285" s="190"/>
      <c r="V2285" s="190"/>
      <c r="W2285" s="190"/>
      <c r="X2285" s="190"/>
      <c r="Y2285" s="190"/>
      <c r="Z2285" s="190"/>
      <c r="AA2285" s="190"/>
      <c r="AB2285" s="190"/>
      <c r="AC2285" s="190"/>
      <c r="AD2285" s="190"/>
      <c r="AE2285" s="190"/>
      <c r="AF2285" s="190"/>
      <c r="AG2285" s="190"/>
      <c r="AH2285" s="190"/>
      <c r="AI2285" s="190"/>
      <c r="AJ2285" s="190"/>
      <c r="AK2285" s="190"/>
      <c r="AL2285" s="190"/>
    </row>
    <row r="2286" spans="2:38" ht="12.75" customHeight="1">
      <c r="B2286" s="485"/>
      <c r="C2286" s="6"/>
      <c r="D2286" s="12"/>
      <c r="E2286" s="12"/>
      <c r="F2286" s="12"/>
      <c r="G2286" s="12"/>
      <c r="H2286" s="6"/>
      <c r="I2286" s="190"/>
      <c r="J2286" s="190"/>
      <c r="K2286" s="190"/>
      <c r="L2286" s="190"/>
      <c r="M2286" s="190"/>
      <c r="N2286" s="190"/>
      <c r="O2286" s="190"/>
      <c r="P2286" s="190"/>
      <c r="Q2286" s="190"/>
      <c r="R2286" s="190"/>
      <c r="S2286" s="190"/>
      <c r="T2286" s="190"/>
      <c r="U2286" s="190"/>
      <c r="V2286" s="190"/>
      <c r="W2286" s="190"/>
      <c r="X2286" s="190"/>
      <c r="Y2286" s="190"/>
      <c r="Z2286" s="190"/>
      <c r="AA2286" s="190"/>
      <c r="AB2286" s="190"/>
      <c r="AC2286" s="190"/>
      <c r="AD2286" s="190"/>
      <c r="AE2286" s="190"/>
      <c r="AF2286" s="190"/>
      <c r="AG2286" s="190"/>
      <c r="AH2286" s="190"/>
      <c r="AI2286" s="190"/>
      <c r="AJ2286" s="190"/>
      <c r="AK2286" s="190"/>
      <c r="AL2286" s="190"/>
    </row>
    <row r="2287" spans="2:38" ht="12.75" customHeight="1">
      <c r="B2287" s="485"/>
      <c r="C2287" s="6"/>
      <c r="D2287" s="12"/>
      <c r="E2287" s="12"/>
      <c r="F2287" s="12"/>
      <c r="G2287" s="12"/>
      <c r="H2287" s="6"/>
      <c r="I2287" s="190"/>
      <c r="J2287" s="190"/>
      <c r="K2287" s="190"/>
      <c r="L2287" s="190"/>
      <c r="M2287" s="190"/>
      <c r="N2287" s="190"/>
      <c r="O2287" s="190"/>
      <c r="P2287" s="190"/>
      <c r="Q2287" s="190"/>
      <c r="R2287" s="190"/>
      <c r="S2287" s="190"/>
      <c r="T2287" s="190"/>
      <c r="U2287" s="190"/>
      <c r="V2287" s="190"/>
      <c r="W2287" s="190"/>
      <c r="X2287" s="190"/>
      <c r="Y2287" s="190"/>
      <c r="Z2287" s="190"/>
      <c r="AA2287" s="190"/>
      <c r="AB2287" s="190"/>
      <c r="AC2287" s="190"/>
      <c r="AD2287" s="190"/>
      <c r="AE2287" s="190"/>
      <c r="AF2287" s="190"/>
      <c r="AG2287" s="190"/>
      <c r="AH2287" s="190"/>
      <c r="AI2287" s="190"/>
      <c r="AJ2287" s="190"/>
      <c r="AK2287" s="190"/>
      <c r="AL2287" s="190"/>
    </row>
    <row r="2288" spans="2:38" ht="12.75" customHeight="1">
      <c r="B2288" s="485"/>
      <c r="C2288" s="6"/>
      <c r="D2288" s="12"/>
      <c r="E2288" s="12"/>
      <c r="F2288" s="12"/>
      <c r="G2288" s="12"/>
      <c r="H2288" s="6"/>
      <c r="I2288" s="190"/>
      <c r="J2288" s="190"/>
      <c r="K2288" s="190"/>
      <c r="L2288" s="190"/>
      <c r="M2288" s="190"/>
      <c r="N2288" s="190"/>
      <c r="O2288" s="190"/>
      <c r="P2288" s="190"/>
      <c r="Q2288" s="190"/>
      <c r="R2288" s="190"/>
      <c r="S2288" s="190"/>
      <c r="T2288" s="190"/>
      <c r="U2288" s="190"/>
      <c r="V2288" s="190"/>
      <c r="W2288" s="190"/>
      <c r="X2288" s="190"/>
      <c r="Y2288" s="190"/>
      <c r="Z2288" s="190"/>
      <c r="AA2288" s="190"/>
      <c r="AB2288" s="190"/>
      <c r="AC2288" s="190"/>
      <c r="AD2288" s="190"/>
      <c r="AE2288" s="190"/>
      <c r="AF2288" s="190"/>
      <c r="AG2288" s="190"/>
      <c r="AH2288" s="190"/>
      <c r="AI2288" s="190"/>
      <c r="AJ2288" s="190"/>
      <c r="AK2288" s="190"/>
      <c r="AL2288" s="190"/>
    </row>
    <row r="2289" spans="2:38" ht="12.75" customHeight="1">
      <c r="B2289" s="485"/>
      <c r="C2289" s="6"/>
      <c r="D2289" s="12"/>
      <c r="E2289" s="12"/>
      <c r="F2289" s="12"/>
      <c r="G2289" s="12"/>
      <c r="H2289" s="6"/>
      <c r="I2289" s="190"/>
      <c r="J2289" s="190"/>
      <c r="K2289" s="190"/>
      <c r="L2289" s="190"/>
      <c r="M2289" s="190"/>
      <c r="N2289" s="190"/>
      <c r="O2289" s="190"/>
      <c r="P2289" s="190"/>
      <c r="Q2289" s="190"/>
      <c r="R2289" s="190"/>
      <c r="S2289" s="190"/>
      <c r="T2289" s="190"/>
      <c r="U2289" s="190"/>
      <c r="V2289" s="190"/>
      <c r="W2289" s="190"/>
      <c r="X2289" s="190"/>
      <c r="Y2289" s="190"/>
      <c r="Z2289" s="190"/>
      <c r="AA2289" s="190"/>
      <c r="AB2289" s="190"/>
      <c r="AC2289" s="190"/>
      <c r="AD2289" s="190"/>
      <c r="AE2289" s="190"/>
      <c r="AF2289" s="190"/>
      <c r="AG2289" s="190"/>
      <c r="AH2289" s="190"/>
      <c r="AI2289" s="190"/>
      <c r="AJ2289" s="190"/>
      <c r="AK2289" s="190"/>
      <c r="AL2289" s="190"/>
    </row>
    <row r="2290" spans="2:38" ht="12.75" customHeight="1">
      <c r="B2290" s="485"/>
      <c r="C2290" s="6"/>
      <c r="D2290" s="12"/>
      <c r="E2290" s="12"/>
      <c r="F2290" s="12"/>
      <c r="G2290" s="12"/>
      <c r="H2290" s="6"/>
      <c r="I2290" s="190"/>
      <c r="J2290" s="190"/>
      <c r="K2290" s="190"/>
      <c r="L2290" s="190"/>
      <c r="M2290" s="190"/>
      <c r="N2290" s="190"/>
      <c r="O2290" s="190"/>
      <c r="P2290" s="190"/>
      <c r="Q2290" s="190"/>
      <c r="R2290" s="190"/>
      <c r="S2290" s="190"/>
      <c r="T2290" s="190"/>
      <c r="U2290" s="190"/>
      <c r="V2290" s="190"/>
      <c r="W2290" s="190"/>
      <c r="X2290" s="190"/>
      <c r="Y2290" s="190"/>
      <c r="Z2290" s="190"/>
      <c r="AA2290" s="190"/>
      <c r="AB2290" s="190"/>
      <c r="AC2290" s="190"/>
      <c r="AD2290" s="190"/>
      <c r="AE2290" s="190"/>
      <c r="AF2290" s="190"/>
      <c r="AG2290" s="190"/>
      <c r="AH2290" s="190"/>
      <c r="AI2290" s="190"/>
      <c r="AJ2290" s="190"/>
      <c r="AK2290" s="190"/>
      <c r="AL2290" s="190"/>
    </row>
    <row r="2291" spans="2:38" ht="12.75" customHeight="1">
      <c r="B2291" s="485"/>
      <c r="C2291" s="6"/>
      <c r="D2291" s="12"/>
      <c r="E2291" s="12"/>
      <c r="F2291" s="12"/>
      <c r="G2291" s="12"/>
      <c r="H2291" s="6"/>
      <c r="I2291" s="190"/>
      <c r="J2291" s="190"/>
      <c r="K2291" s="190"/>
      <c r="L2291" s="190"/>
      <c r="M2291" s="190"/>
      <c r="N2291" s="190"/>
      <c r="O2291" s="190"/>
      <c r="P2291" s="190"/>
      <c r="Q2291" s="190"/>
      <c r="R2291" s="190"/>
      <c r="S2291" s="190"/>
      <c r="T2291" s="190"/>
      <c r="U2291" s="190"/>
      <c r="V2291" s="190"/>
      <c r="W2291" s="190"/>
      <c r="X2291" s="190"/>
      <c r="Y2291" s="190"/>
      <c r="Z2291" s="190"/>
      <c r="AA2291" s="190"/>
      <c r="AB2291" s="190"/>
      <c r="AC2291" s="190"/>
      <c r="AD2291" s="190"/>
      <c r="AE2291" s="190"/>
      <c r="AF2291" s="190"/>
      <c r="AG2291" s="190"/>
      <c r="AH2291" s="190"/>
      <c r="AI2291" s="190"/>
      <c r="AJ2291" s="190"/>
      <c r="AK2291" s="190"/>
      <c r="AL2291" s="190"/>
    </row>
    <row r="2292" spans="2:38" ht="12.75" customHeight="1">
      <c r="B2292" s="485"/>
      <c r="C2292" s="6"/>
      <c r="D2292" s="12"/>
      <c r="E2292" s="12"/>
      <c r="F2292" s="12"/>
      <c r="G2292" s="12"/>
      <c r="H2292" s="6"/>
      <c r="I2292" s="190"/>
      <c r="J2292" s="190"/>
      <c r="K2292" s="190"/>
      <c r="L2292" s="190"/>
      <c r="M2292" s="190"/>
      <c r="N2292" s="190"/>
      <c r="O2292" s="190"/>
      <c r="P2292" s="190"/>
      <c r="Q2292" s="190"/>
      <c r="R2292" s="190"/>
      <c r="S2292" s="190"/>
      <c r="T2292" s="190"/>
      <c r="U2292" s="190"/>
      <c r="V2292" s="190"/>
      <c r="W2292" s="190"/>
      <c r="X2292" s="190"/>
      <c r="Y2292" s="190"/>
      <c r="Z2292" s="190"/>
      <c r="AA2292" s="190"/>
      <c r="AB2292" s="190"/>
      <c r="AC2292" s="190"/>
      <c r="AD2292" s="190"/>
      <c r="AE2292" s="190"/>
      <c r="AF2292" s="190"/>
      <c r="AG2292" s="190"/>
      <c r="AH2292" s="190"/>
      <c r="AI2292" s="190"/>
      <c r="AJ2292" s="190"/>
      <c r="AK2292" s="190"/>
      <c r="AL2292" s="190"/>
    </row>
    <row r="2293" spans="2:38" ht="12.75" customHeight="1">
      <c r="B2293" s="485"/>
      <c r="C2293" s="6"/>
      <c r="D2293" s="12"/>
      <c r="E2293" s="12"/>
      <c r="F2293" s="12"/>
      <c r="G2293" s="12"/>
      <c r="H2293" s="6"/>
      <c r="I2293" s="190"/>
      <c r="J2293" s="190"/>
      <c r="K2293" s="190"/>
      <c r="L2293" s="190"/>
      <c r="M2293" s="190"/>
      <c r="N2293" s="190"/>
      <c r="O2293" s="190"/>
      <c r="P2293" s="190"/>
      <c r="Q2293" s="190"/>
      <c r="R2293" s="190"/>
      <c r="S2293" s="190"/>
      <c r="T2293" s="190"/>
      <c r="U2293" s="190"/>
      <c r="V2293" s="190"/>
      <c r="W2293" s="190"/>
      <c r="X2293" s="190"/>
      <c r="Y2293" s="190"/>
      <c r="Z2293" s="190"/>
      <c r="AA2293" s="190"/>
      <c r="AB2293" s="190"/>
      <c r="AC2293" s="190"/>
      <c r="AD2293" s="190"/>
      <c r="AE2293" s="190"/>
      <c r="AF2293" s="190"/>
      <c r="AG2293" s="190"/>
      <c r="AH2293" s="190"/>
      <c r="AI2293" s="190"/>
      <c r="AJ2293" s="190"/>
      <c r="AK2293" s="190"/>
      <c r="AL2293" s="190"/>
    </row>
    <row r="2294" spans="2:38" ht="12.75" customHeight="1">
      <c r="B2294" s="485"/>
      <c r="C2294" s="6"/>
      <c r="D2294" s="12"/>
      <c r="E2294" s="12"/>
      <c r="F2294" s="12"/>
      <c r="G2294" s="12"/>
      <c r="H2294" s="6"/>
      <c r="I2294" s="190"/>
      <c r="J2294" s="190"/>
      <c r="K2294" s="190"/>
      <c r="L2294" s="190"/>
      <c r="M2294" s="190"/>
      <c r="N2294" s="190"/>
      <c r="O2294" s="190"/>
      <c r="P2294" s="190"/>
      <c r="Q2294" s="190"/>
      <c r="R2294" s="190"/>
      <c r="S2294" s="190"/>
      <c r="T2294" s="190"/>
      <c r="U2294" s="190"/>
      <c r="V2294" s="190"/>
      <c r="W2294" s="190"/>
      <c r="X2294" s="190"/>
      <c r="Y2294" s="190"/>
      <c r="Z2294" s="190"/>
      <c r="AA2294" s="190"/>
      <c r="AB2294" s="190"/>
      <c r="AC2294" s="190"/>
      <c r="AD2294" s="190"/>
      <c r="AE2294" s="190"/>
      <c r="AF2294" s="190"/>
      <c r="AG2294" s="190"/>
      <c r="AH2294" s="190"/>
      <c r="AI2294" s="190"/>
      <c r="AJ2294" s="190"/>
      <c r="AK2294" s="190"/>
      <c r="AL2294" s="190"/>
    </row>
    <row r="2295" spans="2:38" ht="12.75" customHeight="1">
      <c r="B2295" s="485"/>
      <c r="C2295" s="6"/>
      <c r="D2295" s="12"/>
      <c r="E2295" s="12"/>
      <c r="F2295" s="12"/>
      <c r="G2295" s="12"/>
      <c r="H2295" s="6"/>
      <c r="I2295" s="190"/>
      <c r="J2295" s="190"/>
      <c r="K2295" s="190"/>
      <c r="L2295" s="190"/>
      <c r="M2295" s="190"/>
      <c r="N2295" s="190"/>
      <c r="O2295" s="190"/>
      <c r="P2295" s="190"/>
      <c r="Q2295" s="190"/>
      <c r="R2295" s="190"/>
      <c r="S2295" s="190"/>
      <c r="T2295" s="190"/>
      <c r="U2295" s="190"/>
      <c r="V2295" s="190"/>
      <c r="W2295" s="190"/>
      <c r="X2295" s="190"/>
      <c r="Y2295" s="190"/>
      <c r="Z2295" s="190"/>
      <c r="AA2295" s="190"/>
      <c r="AB2295" s="190"/>
      <c r="AC2295" s="190"/>
      <c r="AD2295" s="190"/>
      <c r="AE2295" s="190"/>
      <c r="AF2295" s="190"/>
      <c r="AG2295" s="190"/>
      <c r="AH2295" s="190"/>
      <c r="AI2295" s="190"/>
      <c r="AJ2295" s="190"/>
      <c r="AK2295" s="190"/>
      <c r="AL2295" s="190"/>
    </row>
    <row r="2296" spans="2:38" ht="12.75" customHeight="1">
      <c r="B2296" s="485"/>
      <c r="C2296" s="6"/>
      <c r="D2296" s="12"/>
      <c r="E2296" s="12"/>
      <c r="F2296" s="12"/>
      <c r="G2296" s="12"/>
      <c r="H2296" s="6"/>
      <c r="I2296" s="190"/>
      <c r="J2296" s="190"/>
      <c r="K2296" s="190"/>
      <c r="L2296" s="190"/>
      <c r="M2296" s="190"/>
      <c r="N2296" s="190"/>
      <c r="O2296" s="190"/>
      <c r="P2296" s="190"/>
      <c r="Q2296" s="190"/>
      <c r="R2296" s="190"/>
      <c r="S2296" s="190"/>
      <c r="T2296" s="190"/>
      <c r="U2296" s="190"/>
      <c r="V2296" s="190"/>
      <c r="W2296" s="190"/>
      <c r="X2296" s="190"/>
      <c r="Y2296" s="190"/>
      <c r="Z2296" s="190"/>
      <c r="AA2296" s="190"/>
      <c r="AB2296" s="190"/>
      <c r="AC2296" s="190"/>
      <c r="AD2296" s="190"/>
      <c r="AE2296" s="190"/>
      <c r="AF2296" s="190"/>
      <c r="AG2296" s="190"/>
      <c r="AH2296" s="190"/>
      <c r="AI2296" s="190"/>
      <c r="AJ2296" s="190"/>
      <c r="AK2296" s="190"/>
      <c r="AL2296" s="190"/>
    </row>
    <row r="2297" spans="2:38" ht="12.75" customHeight="1">
      <c r="B2297" s="485"/>
      <c r="C2297" s="6"/>
      <c r="D2297" s="12"/>
      <c r="E2297" s="12"/>
      <c r="F2297" s="12"/>
      <c r="G2297" s="12"/>
      <c r="H2297" s="6"/>
      <c r="I2297" s="190"/>
      <c r="J2297" s="190"/>
      <c r="K2297" s="190"/>
      <c r="L2297" s="190"/>
      <c r="M2297" s="190"/>
      <c r="N2297" s="190"/>
      <c r="O2297" s="190"/>
      <c r="P2297" s="190"/>
      <c r="Q2297" s="190"/>
      <c r="R2297" s="190"/>
      <c r="S2297" s="190"/>
      <c r="T2297" s="190"/>
      <c r="U2297" s="190"/>
      <c r="V2297" s="190"/>
      <c r="W2297" s="190"/>
      <c r="X2297" s="190"/>
      <c r="Y2297" s="190"/>
      <c r="Z2297" s="190"/>
      <c r="AA2297" s="190"/>
      <c r="AB2297" s="190"/>
      <c r="AC2297" s="190"/>
      <c r="AD2297" s="190"/>
      <c r="AE2297" s="190"/>
      <c r="AF2297" s="190"/>
      <c r="AG2297" s="190"/>
      <c r="AH2297" s="190"/>
      <c r="AI2297" s="190"/>
      <c r="AJ2297" s="190"/>
      <c r="AK2297" s="190"/>
      <c r="AL2297" s="190"/>
    </row>
    <row r="2298" spans="2:38" ht="12.75" customHeight="1">
      <c r="B2298" s="485"/>
      <c r="C2298" s="6"/>
      <c r="D2298" s="12"/>
      <c r="E2298" s="12"/>
      <c r="F2298" s="12"/>
      <c r="G2298" s="12"/>
      <c r="H2298" s="6"/>
      <c r="I2298" s="190"/>
      <c r="J2298" s="190"/>
      <c r="K2298" s="190"/>
      <c r="L2298" s="190"/>
      <c r="M2298" s="190"/>
      <c r="N2298" s="190"/>
      <c r="O2298" s="190"/>
      <c r="P2298" s="190"/>
      <c r="Q2298" s="190"/>
      <c r="R2298" s="190"/>
      <c r="S2298" s="190"/>
      <c r="T2298" s="190"/>
      <c r="U2298" s="190"/>
      <c r="V2298" s="190"/>
      <c r="W2298" s="190"/>
      <c r="X2298" s="190"/>
      <c r="Y2298" s="190"/>
      <c r="Z2298" s="190"/>
      <c r="AA2298" s="190"/>
      <c r="AB2298" s="190"/>
      <c r="AC2298" s="190"/>
      <c r="AD2298" s="190"/>
      <c r="AE2298" s="190"/>
      <c r="AF2298" s="190"/>
      <c r="AG2298" s="190"/>
      <c r="AH2298" s="190"/>
      <c r="AI2298" s="190"/>
      <c r="AJ2298" s="190"/>
      <c r="AK2298" s="190"/>
      <c r="AL2298" s="190"/>
    </row>
    <row r="2299" spans="2:38" ht="12.75" customHeight="1">
      <c r="B2299" s="485"/>
      <c r="C2299" s="6"/>
      <c r="D2299" s="12"/>
      <c r="E2299" s="12"/>
      <c r="F2299" s="12"/>
      <c r="G2299" s="12"/>
      <c r="H2299" s="6"/>
      <c r="I2299" s="190"/>
      <c r="J2299" s="190"/>
      <c r="K2299" s="190"/>
      <c r="L2299" s="190"/>
      <c r="M2299" s="190"/>
      <c r="N2299" s="190"/>
      <c r="O2299" s="190"/>
      <c r="P2299" s="190"/>
      <c r="Q2299" s="190"/>
      <c r="R2299" s="190"/>
      <c r="S2299" s="190"/>
      <c r="T2299" s="190"/>
      <c r="U2299" s="190"/>
      <c r="V2299" s="190"/>
      <c r="W2299" s="190"/>
      <c r="X2299" s="190"/>
      <c r="Y2299" s="190"/>
      <c r="Z2299" s="190"/>
      <c r="AA2299" s="190"/>
      <c r="AB2299" s="190"/>
      <c r="AC2299" s="190"/>
      <c r="AD2299" s="190"/>
      <c r="AE2299" s="190"/>
      <c r="AF2299" s="190"/>
      <c r="AG2299" s="190"/>
      <c r="AH2299" s="190"/>
      <c r="AI2299" s="190"/>
      <c r="AJ2299" s="190"/>
      <c r="AK2299" s="190"/>
      <c r="AL2299" s="190"/>
    </row>
    <row r="2300" spans="2:38" ht="12.75" customHeight="1">
      <c r="B2300" s="485"/>
      <c r="C2300" s="6"/>
      <c r="D2300" s="12"/>
      <c r="E2300" s="12"/>
      <c r="F2300" s="12"/>
      <c r="G2300" s="12"/>
      <c r="H2300" s="6"/>
      <c r="I2300" s="190"/>
      <c r="J2300" s="190"/>
      <c r="K2300" s="190"/>
      <c r="L2300" s="190"/>
      <c r="M2300" s="190"/>
      <c r="N2300" s="190"/>
      <c r="O2300" s="190"/>
      <c r="P2300" s="190"/>
      <c r="Q2300" s="190"/>
      <c r="R2300" s="190"/>
      <c r="S2300" s="190"/>
      <c r="T2300" s="190"/>
      <c r="U2300" s="190"/>
      <c r="V2300" s="190"/>
      <c r="W2300" s="190"/>
      <c r="X2300" s="190"/>
      <c r="Y2300" s="190"/>
      <c r="Z2300" s="190"/>
      <c r="AA2300" s="190"/>
      <c r="AB2300" s="190"/>
      <c r="AC2300" s="190"/>
      <c r="AD2300" s="190"/>
      <c r="AE2300" s="190"/>
      <c r="AF2300" s="190"/>
      <c r="AG2300" s="190"/>
      <c r="AH2300" s="190"/>
      <c r="AI2300" s="190"/>
      <c r="AJ2300" s="190"/>
      <c r="AK2300" s="190"/>
      <c r="AL2300" s="190"/>
    </row>
    <row r="2301" spans="2:38" ht="12.75" customHeight="1">
      <c r="B2301" s="485"/>
      <c r="C2301" s="6"/>
      <c r="D2301" s="12"/>
      <c r="E2301" s="12"/>
      <c r="F2301" s="12"/>
      <c r="G2301" s="12"/>
      <c r="H2301" s="6"/>
      <c r="I2301" s="190"/>
      <c r="J2301" s="190"/>
      <c r="K2301" s="190"/>
      <c r="L2301" s="190"/>
      <c r="M2301" s="190"/>
      <c r="N2301" s="190"/>
      <c r="O2301" s="190"/>
      <c r="P2301" s="190"/>
      <c r="Q2301" s="190"/>
      <c r="R2301" s="190"/>
      <c r="S2301" s="190"/>
      <c r="T2301" s="190"/>
      <c r="U2301" s="190"/>
      <c r="V2301" s="190"/>
      <c r="W2301" s="190"/>
      <c r="X2301" s="190"/>
      <c r="Y2301" s="190"/>
      <c r="Z2301" s="190"/>
      <c r="AA2301" s="190"/>
      <c r="AB2301" s="190"/>
      <c r="AC2301" s="190"/>
      <c r="AD2301" s="190"/>
      <c r="AE2301" s="190"/>
      <c r="AF2301" s="190"/>
      <c r="AG2301" s="190"/>
      <c r="AH2301" s="190"/>
      <c r="AI2301" s="190"/>
      <c r="AJ2301" s="190"/>
      <c r="AK2301" s="190"/>
      <c r="AL2301" s="190"/>
    </row>
    <row r="2302" spans="2:38" ht="12.75" customHeight="1">
      <c r="B2302" s="485"/>
      <c r="C2302" s="6"/>
      <c r="D2302" s="12"/>
      <c r="E2302" s="12"/>
      <c r="F2302" s="12"/>
      <c r="G2302" s="12"/>
      <c r="H2302" s="6"/>
      <c r="I2302" s="190"/>
      <c r="J2302" s="190"/>
      <c r="K2302" s="190"/>
      <c r="L2302" s="190"/>
      <c r="M2302" s="190"/>
      <c r="N2302" s="190"/>
      <c r="O2302" s="190"/>
      <c r="P2302" s="190"/>
      <c r="Q2302" s="190"/>
      <c r="R2302" s="190"/>
      <c r="S2302" s="190"/>
      <c r="T2302" s="190"/>
      <c r="U2302" s="190"/>
      <c r="V2302" s="190"/>
      <c r="W2302" s="190"/>
      <c r="X2302" s="190"/>
      <c r="Y2302" s="190"/>
      <c r="Z2302" s="190"/>
      <c r="AA2302" s="190"/>
      <c r="AB2302" s="190"/>
      <c r="AC2302" s="190"/>
      <c r="AD2302" s="190"/>
      <c r="AE2302" s="190"/>
      <c r="AF2302" s="190"/>
      <c r="AG2302" s="190"/>
      <c r="AH2302" s="190"/>
      <c r="AI2302" s="190"/>
      <c r="AJ2302" s="190"/>
      <c r="AK2302" s="190"/>
      <c r="AL2302" s="190"/>
    </row>
    <row r="2303" spans="2:38" ht="12.75" customHeight="1">
      <c r="B2303" s="485"/>
      <c r="C2303" s="6"/>
      <c r="D2303" s="12"/>
      <c r="E2303" s="12"/>
      <c r="F2303" s="12"/>
      <c r="G2303" s="12"/>
      <c r="H2303" s="6"/>
      <c r="I2303" s="190"/>
      <c r="J2303" s="190"/>
      <c r="K2303" s="190"/>
      <c r="L2303" s="190"/>
      <c r="M2303" s="190"/>
      <c r="N2303" s="190"/>
      <c r="O2303" s="190"/>
      <c r="P2303" s="190"/>
      <c r="Q2303" s="190"/>
      <c r="R2303" s="190"/>
      <c r="S2303" s="190"/>
      <c r="T2303" s="190"/>
      <c r="U2303" s="190"/>
      <c r="V2303" s="190"/>
      <c r="W2303" s="190"/>
      <c r="X2303" s="190"/>
      <c r="Y2303" s="190"/>
      <c r="Z2303" s="190"/>
      <c r="AA2303" s="190"/>
      <c r="AB2303" s="190"/>
      <c r="AC2303" s="190"/>
      <c r="AD2303" s="190"/>
      <c r="AE2303" s="190"/>
      <c r="AF2303" s="190"/>
      <c r="AG2303" s="190"/>
      <c r="AH2303" s="190"/>
      <c r="AI2303" s="190"/>
      <c r="AJ2303" s="190"/>
      <c r="AK2303" s="190"/>
      <c r="AL2303" s="190"/>
    </row>
    <row r="2304" spans="2:38" ht="12.75" customHeight="1">
      <c r="B2304" s="485"/>
      <c r="C2304" s="6"/>
      <c r="D2304" s="12"/>
      <c r="E2304" s="12"/>
      <c r="F2304" s="12"/>
      <c r="G2304" s="12"/>
      <c r="H2304" s="6"/>
      <c r="I2304" s="190"/>
      <c r="J2304" s="190"/>
      <c r="K2304" s="190"/>
      <c r="L2304" s="190"/>
      <c r="M2304" s="190"/>
      <c r="N2304" s="190"/>
      <c r="O2304" s="190"/>
      <c r="P2304" s="190"/>
      <c r="Q2304" s="190"/>
      <c r="R2304" s="190"/>
      <c r="S2304" s="190"/>
      <c r="T2304" s="190"/>
      <c r="U2304" s="190"/>
      <c r="V2304" s="190"/>
      <c r="W2304" s="190"/>
      <c r="X2304" s="190"/>
      <c r="Y2304" s="190"/>
      <c r="Z2304" s="190"/>
      <c r="AA2304" s="190"/>
      <c r="AB2304" s="190"/>
      <c r="AC2304" s="190"/>
      <c r="AD2304" s="190"/>
      <c r="AE2304" s="190"/>
      <c r="AF2304" s="190"/>
      <c r="AG2304" s="190"/>
      <c r="AH2304" s="190"/>
      <c r="AI2304" s="190"/>
      <c r="AJ2304" s="190"/>
      <c r="AK2304" s="190"/>
      <c r="AL2304" s="190"/>
    </row>
    <row r="2305" spans="2:38" ht="12.75" customHeight="1">
      <c r="B2305" s="485"/>
      <c r="C2305" s="6"/>
      <c r="D2305" s="12"/>
      <c r="E2305" s="12"/>
      <c r="F2305" s="12"/>
      <c r="G2305" s="12"/>
      <c r="H2305" s="6"/>
      <c r="I2305" s="190"/>
      <c r="J2305" s="190"/>
      <c r="K2305" s="190"/>
      <c r="L2305" s="190"/>
      <c r="M2305" s="190"/>
      <c r="N2305" s="190"/>
      <c r="O2305" s="190"/>
      <c r="P2305" s="190"/>
      <c r="Q2305" s="190"/>
      <c r="R2305" s="190"/>
      <c r="S2305" s="190"/>
      <c r="T2305" s="190"/>
      <c r="U2305" s="190"/>
      <c r="V2305" s="190"/>
      <c r="W2305" s="190"/>
      <c r="X2305" s="190"/>
      <c r="Y2305" s="190"/>
      <c r="Z2305" s="190"/>
      <c r="AA2305" s="190"/>
      <c r="AB2305" s="190"/>
      <c r="AC2305" s="190"/>
      <c r="AD2305" s="190"/>
      <c r="AE2305" s="190"/>
      <c r="AF2305" s="190"/>
      <c r="AG2305" s="190"/>
      <c r="AH2305" s="190"/>
      <c r="AI2305" s="190"/>
      <c r="AJ2305" s="190"/>
      <c r="AK2305" s="190"/>
      <c r="AL2305" s="190"/>
    </row>
    <row r="2306" spans="2:38" ht="12.75" customHeight="1">
      <c r="B2306" s="485"/>
      <c r="C2306" s="6"/>
      <c r="D2306" s="12"/>
      <c r="E2306" s="12"/>
      <c r="F2306" s="12"/>
      <c r="G2306" s="12"/>
      <c r="H2306" s="6"/>
      <c r="I2306" s="190"/>
      <c r="J2306" s="190"/>
      <c r="K2306" s="190"/>
      <c r="L2306" s="190"/>
      <c r="M2306" s="190"/>
      <c r="N2306" s="190"/>
      <c r="O2306" s="190"/>
      <c r="P2306" s="190"/>
      <c r="Q2306" s="190"/>
      <c r="R2306" s="190"/>
      <c r="S2306" s="190"/>
      <c r="T2306" s="190"/>
      <c r="U2306" s="190"/>
      <c r="V2306" s="190"/>
      <c r="W2306" s="190"/>
      <c r="X2306" s="190"/>
      <c r="Y2306" s="190"/>
      <c r="Z2306" s="190"/>
      <c r="AA2306" s="190"/>
      <c r="AB2306" s="190"/>
      <c r="AC2306" s="190"/>
      <c r="AD2306" s="190"/>
      <c r="AE2306" s="190"/>
      <c r="AF2306" s="190"/>
      <c r="AG2306" s="190"/>
      <c r="AH2306" s="190"/>
      <c r="AI2306" s="190"/>
      <c r="AJ2306" s="190"/>
      <c r="AK2306" s="190"/>
      <c r="AL2306" s="190"/>
    </row>
    <row r="2307" spans="2:38" ht="12.75" customHeight="1">
      <c r="B2307" s="485"/>
      <c r="C2307" s="6"/>
      <c r="D2307" s="12"/>
      <c r="E2307" s="12"/>
      <c r="F2307" s="12"/>
      <c r="G2307" s="12"/>
      <c r="H2307" s="6"/>
      <c r="I2307" s="190"/>
      <c r="J2307" s="190"/>
      <c r="K2307" s="190"/>
      <c r="L2307" s="190"/>
      <c r="M2307" s="190"/>
      <c r="N2307" s="190"/>
      <c r="O2307" s="190"/>
      <c r="P2307" s="190"/>
      <c r="Q2307" s="190"/>
      <c r="R2307" s="190"/>
      <c r="S2307" s="190"/>
      <c r="T2307" s="190"/>
      <c r="U2307" s="190"/>
      <c r="V2307" s="190"/>
      <c r="W2307" s="190"/>
      <c r="X2307" s="190"/>
      <c r="Y2307" s="190"/>
      <c r="Z2307" s="190"/>
      <c r="AA2307" s="190"/>
      <c r="AB2307" s="190"/>
      <c r="AC2307" s="190"/>
      <c r="AD2307" s="190"/>
      <c r="AE2307" s="190"/>
      <c r="AF2307" s="190"/>
      <c r="AG2307" s="190"/>
      <c r="AH2307" s="190"/>
      <c r="AI2307" s="190"/>
      <c r="AJ2307" s="190"/>
      <c r="AK2307" s="190"/>
      <c r="AL2307" s="190"/>
    </row>
    <row r="2308" spans="2:38" ht="12.75" customHeight="1">
      <c r="B2308" s="485"/>
      <c r="C2308" s="6"/>
      <c r="D2308" s="12"/>
      <c r="E2308" s="12"/>
      <c r="F2308" s="12"/>
      <c r="G2308" s="12"/>
      <c r="H2308" s="6"/>
      <c r="I2308" s="190"/>
      <c r="J2308" s="190"/>
      <c r="K2308" s="190"/>
      <c r="L2308" s="190"/>
      <c r="M2308" s="190"/>
      <c r="N2308" s="190"/>
      <c r="O2308" s="190"/>
      <c r="P2308" s="190"/>
      <c r="Q2308" s="190"/>
      <c r="R2308" s="190"/>
      <c r="S2308" s="190"/>
      <c r="T2308" s="190"/>
      <c r="U2308" s="190"/>
      <c r="V2308" s="190"/>
      <c r="W2308" s="190"/>
      <c r="X2308" s="190"/>
      <c r="Y2308" s="190"/>
      <c r="Z2308" s="190"/>
      <c r="AA2308" s="190"/>
      <c r="AB2308" s="190"/>
      <c r="AC2308" s="190"/>
      <c r="AD2308" s="190"/>
      <c r="AE2308" s="190"/>
      <c r="AF2308" s="190"/>
      <c r="AG2308" s="190"/>
      <c r="AH2308" s="190"/>
      <c r="AI2308" s="190"/>
      <c r="AJ2308" s="190"/>
      <c r="AK2308" s="190"/>
      <c r="AL2308" s="190"/>
    </row>
    <row r="2309" spans="2:38" ht="12.75" customHeight="1">
      <c r="B2309" s="485"/>
      <c r="C2309" s="6"/>
      <c r="D2309" s="12"/>
      <c r="E2309" s="12"/>
      <c r="F2309" s="12"/>
      <c r="G2309" s="12"/>
      <c r="H2309" s="6"/>
      <c r="I2309" s="190"/>
      <c r="J2309" s="190"/>
      <c r="K2309" s="190"/>
      <c r="L2309" s="190"/>
      <c r="M2309" s="190"/>
      <c r="N2309" s="190"/>
      <c r="O2309" s="190"/>
      <c r="P2309" s="190"/>
      <c r="Q2309" s="190"/>
      <c r="R2309" s="190"/>
      <c r="S2309" s="190"/>
      <c r="T2309" s="190"/>
      <c r="U2309" s="190"/>
      <c r="V2309" s="190"/>
      <c r="W2309" s="190"/>
      <c r="X2309" s="190"/>
      <c r="Y2309" s="190"/>
      <c r="Z2309" s="190"/>
      <c r="AA2309" s="190"/>
      <c r="AB2309" s="190"/>
      <c r="AC2309" s="190"/>
      <c r="AD2309" s="190"/>
      <c r="AE2309" s="190"/>
      <c r="AF2309" s="190"/>
      <c r="AG2309" s="190"/>
      <c r="AH2309" s="190"/>
      <c r="AI2309" s="190"/>
      <c r="AJ2309" s="190"/>
      <c r="AK2309" s="190"/>
      <c r="AL2309" s="190"/>
    </row>
    <row r="2310" spans="2:38" ht="12.75" customHeight="1">
      <c r="B2310" s="485"/>
      <c r="C2310" s="6"/>
      <c r="D2310" s="12"/>
      <c r="E2310" s="12"/>
      <c r="F2310" s="12"/>
      <c r="G2310" s="12"/>
      <c r="H2310" s="6"/>
      <c r="I2310" s="190"/>
      <c r="J2310" s="190"/>
      <c r="K2310" s="190"/>
      <c r="L2310" s="190"/>
      <c r="M2310" s="190"/>
      <c r="N2310" s="190"/>
      <c r="O2310" s="190"/>
      <c r="P2310" s="190"/>
      <c r="Q2310" s="190"/>
      <c r="R2310" s="190"/>
      <c r="S2310" s="190"/>
      <c r="T2310" s="190"/>
      <c r="U2310" s="190"/>
      <c r="V2310" s="190"/>
      <c r="W2310" s="190"/>
      <c r="X2310" s="190"/>
      <c r="Y2310" s="190"/>
      <c r="Z2310" s="190"/>
      <c r="AA2310" s="190"/>
      <c r="AB2310" s="190"/>
      <c r="AC2310" s="190"/>
      <c r="AD2310" s="190"/>
      <c r="AE2310" s="190"/>
      <c r="AF2310" s="190"/>
      <c r="AG2310" s="190"/>
      <c r="AH2310" s="190"/>
      <c r="AI2310" s="190"/>
      <c r="AJ2310" s="190"/>
      <c r="AK2310" s="190"/>
      <c r="AL2310" s="190"/>
    </row>
    <row r="2311" spans="2:38" ht="12.75" customHeight="1">
      <c r="B2311" s="485"/>
      <c r="C2311" s="6"/>
      <c r="D2311" s="12"/>
      <c r="E2311" s="12"/>
      <c r="F2311" s="12"/>
      <c r="G2311" s="12"/>
      <c r="H2311" s="6"/>
      <c r="I2311" s="190"/>
      <c r="J2311" s="190"/>
      <c r="K2311" s="190"/>
      <c r="L2311" s="190"/>
      <c r="M2311" s="190"/>
      <c r="N2311" s="190"/>
      <c r="O2311" s="190"/>
      <c r="P2311" s="190"/>
      <c r="Q2311" s="190"/>
      <c r="R2311" s="190"/>
      <c r="S2311" s="190"/>
      <c r="T2311" s="190"/>
      <c r="U2311" s="190"/>
      <c r="V2311" s="190"/>
      <c r="W2311" s="190"/>
      <c r="X2311" s="190"/>
      <c r="Y2311" s="190"/>
      <c r="Z2311" s="190"/>
      <c r="AA2311" s="190"/>
      <c r="AB2311" s="190"/>
      <c r="AC2311" s="190"/>
      <c r="AD2311" s="190"/>
      <c r="AE2311" s="190"/>
      <c r="AF2311" s="190"/>
      <c r="AG2311" s="190"/>
      <c r="AH2311" s="190"/>
      <c r="AI2311" s="190"/>
      <c r="AJ2311" s="190"/>
      <c r="AK2311" s="190"/>
      <c r="AL2311" s="190"/>
    </row>
    <row r="2312" spans="2:38" ht="12.75" customHeight="1">
      <c r="B2312" s="485"/>
      <c r="C2312" s="6"/>
      <c r="D2312" s="12"/>
      <c r="E2312" s="12"/>
      <c r="F2312" s="12"/>
      <c r="G2312" s="12"/>
      <c r="H2312" s="6"/>
      <c r="I2312" s="190"/>
      <c r="J2312" s="190"/>
      <c r="K2312" s="190"/>
      <c r="L2312" s="190"/>
      <c r="M2312" s="190"/>
      <c r="N2312" s="190"/>
      <c r="O2312" s="190"/>
      <c r="P2312" s="190"/>
      <c r="Q2312" s="190"/>
      <c r="R2312" s="190"/>
      <c r="S2312" s="190"/>
      <c r="T2312" s="190"/>
      <c r="U2312" s="190"/>
      <c r="V2312" s="190"/>
      <c r="W2312" s="190"/>
      <c r="X2312" s="190"/>
      <c r="Y2312" s="190"/>
      <c r="Z2312" s="190"/>
      <c r="AA2312" s="190"/>
      <c r="AB2312" s="190"/>
      <c r="AC2312" s="190"/>
      <c r="AD2312" s="190"/>
      <c r="AE2312" s="190"/>
      <c r="AF2312" s="190"/>
      <c r="AG2312" s="190"/>
      <c r="AH2312" s="190"/>
      <c r="AI2312" s="190"/>
      <c r="AJ2312" s="190"/>
      <c r="AK2312" s="190"/>
      <c r="AL2312" s="190"/>
    </row>
    <row r="2313" spans="2:38" ht="12.75" customHeight="1">
      <c r="B2313" s="485"/>
      <c r="C2313" s="6"/>
      <c r="D2313" s="12"/>
      <c r="E2313" s="12"/>
      <c r="F2313" s="12"/>
      <c r="G2313" s="12"/>
      <c r="H2313" s="6"/>
      <c r="I2313" s="190"/>
      <c r="J2313" s="190"/>
      <c r="K2313" s="190"/>
      <c r="L2313" s="190"/>
      <c r="M2313" s="190"/>
      <c r="N2313" s="190"/>
      <c r="O2313" s="190"/>
      <c r="P2313" s="190"/>
      <c r="Q2313" s="190"/>
      <c r="R2313" s="190"/>
      <c r="S2313" s="190"/>
      <c r="T2313" s="190"/>
      <c r="U2313" s="190"/>
      <c r="V2313" s="190"/>
      <c r="W2313" s="190"/>
      <c r="X2313" s="190"/>
      <c r="Y2313" s="190"/>
      <c r="Z2313" s="190"/>
      <c r="AA2313" s="190"/>
      <c r="AB2313" s="190"/>
      <c r="AC2313" s="190"/>
      <c r="AD2313" s="190"/>
      <c r="AE2313" s="190"/>
      <c r="AF2313" s="190"/>
      <c r="AG2313" s="190"/>
      <c r="AH2313" s="190"/>
      <c r="AI2313" s="190"/>
      <c r="AJ2313" s="190"/>
      <c r="AK2313" s="190"/>
      <c r="AL2313" s="190"/>
    </row>
    <row r="2314" spans="2:38" ht="12.75" customHeight="1">
      <c r="B2314" s="485"/>
      <c r="C2314" s="6"/>
      <c r="D2314" s="12"/>
      <c r="E2314" s="12"/>
      <c r="F2314" s="12"/>
      <c r="G2314" s="12"/>
      <c r="H2314" s="6"/>
      <c r="I2314" s="190"/>
      <c r="J2314" s="190"/>
      <c r="K2314" s="190"/>
      <c r="L2314" s="190"/>
      <c r="M2314" s="190"/>
      <c r="N2314" s="190"/>
      <c r="O2314" s="190"/>
      <c r="P2314" s="190"/>
      <c r="Q2314" s="190"/>
      <c r="R2314" s="190"/>
      <c r="S2314" s="190"/>
      <c r="T2314" s="190"/>
      <c r="U2314" s="190"/>
      <c r="V2314" s="190"/>
      <c r="W2314" s="190"/>
      <c r="X2314" s="190"/>
      <c r="Y2314" s="190"/>
      <c r="Z2314" s="190"/>
      <c r="AA2314" s="190"/>
      <c r="AB2314" s="190"/>
      <c r="AC2314" s="190"/>
      <c r="AD2314" s="190"/>
      <c r="AE2314" s="190"/>
      <c r="AF2314" s="190"/>
      <c r="AG2314" s="190"/>
      <c r="AH2314" s="190"/>
      <c r="AI2314" s="190"/>
      <c r="AJ2314" s="190"/>
      <c r="AK2314" s="190"/>
      <c r="AL2314" s="190"/>
    </row>
    <row r="2315" spans="2:38" ht="12.75" customHeight="1">
      <c r="B2315" s="485"/>
      <c r="C2315" s="6"/>
      <c r="D2315" s="12"/>
      <c r="E2315" s="12"/>
      <c r="F2315" s="12"/>
      <c r="G2315" s="12"/>
      <c r="H2315" s="6"/>
      <c r="I2315" s="190"/>
      <c r="J2315" s="190"/>
      <c r="K2315" s="190"/>
      <c r="L2315" s="190"/>
      <c r="M2315" s="190"/>
      <c r="N2315" s="190"/>
      <c r="O2315" s="190"/>
      <c r="P2315" s="190"/>
      <c r="Q2315" s="190"/>
      <c r="R2315" s="190"/>
      <c r="S2315" s="190"/>
      <c r="T2315" s="190"/>
      <c r="U2315" s="190"/>
      <c r="V2315" s="190"/>
      <c r="W2315" s="190"/>
      <c r="X2315" s="190"/>
      <c r="Y2315" s="190"/>
      <c r="Z2315" s="190"/>
      <c r="AA2315" s="190"/>
      <c r="AB2315" s="190"/>
      <c r="AC2315" s="190"/>
      <c r="AD2315" s="190"/>
      <c r="AE2315" s="190"/>
      <c r="AF2315" s="190"/>
      <c r="AG2315" s="190"/>
      <c r="AH2315" s="190"/>
      <c r="AI2315" s="190"/>
      <c r="AJ2315" s="190"/>
      <c r="AK2315" s="190"/>
      <c r="AL2315" s="190"/>
    </row>
    <row r="2316" spans="2:38" ht="12.75" customHeight="1">
      <c r="B2316" s="485"/>
      <c r="C2316" s="6"/>
      <c r="D2316" s="12"/>
      <c r="E2316" s="12"/>
      <c r="F2316" s="12"/>
      <c r="G2316" s="12"/>
      <c r="H2316" s="6"/>
      <c r="I2316" s="190"/>
      <c r="J2316" s="190"/>
      <c r="K2316" s="190"/>
      <c r="L2316" s="190"/>
      <c r="M2316" s="190"/>
      <c r="N2316" s="190"/>
      <c r="O2316" s="190"/>
      <c r="P2316" s="190"/>
      <c r="Q2316" s="190"/>
      <c r="R2316" s="190"/>
      <c r="S2316" s="190"/>
      <c r="T2316" s="190"/>
      <c r="U2316" s="190"/>
      <c r="V2316" s="190"/>
      <c r="W2316" s="190"/>
      <c r="X2316" s="190"/>
      <c r="Y2316" s="190"/>
      <c r="Z2316" s="190"/>
      <c r="AA2316" s="190"/>
      <c r="AB2316" s="190"/>
      <c r="AC2316" s="190"/>
      <c r="AD2316" s="190"/>
      <c r="AE2316" s="190"/>
      <c r="AF2316" s="190"/>
      <c r="AG2316" s="190"/>
      <c r="AH2316" s="190"/>
      <c r="AI2316" s="190"/>
      <c r="AJ2316" s="190"/>
      <c r="AK2316" s="190"/>
      <c r="AL2316" s="190"/>
    </row>
    <row r="2317" spans="2:38" ht="12.75" customHeight="1">
      <c r="B2317" s="485"/>
      <c r="C2317" s="6"/>
      <c r="D2317" s="12"/>
      <c r="E2317" s="12"/>
      <c r="F2317" s="12"/>
      <c r="G2317" s="12"/>
      <c r="H2317" s="6"/>
      <c r="I2317" s="190"/>
      <c r="J2317" s="190"/>
      <c r="K2317" s="190"/>
      <c r="L2317" s="190"/>
      <c r="M2317" s="190"/>
      <c r="N2317" s="190"/>
      <c r="O2317" s="190"/>
      <c r="P2317" s="190"/>
      <c r="Q2317" s="190"/>
      <c r="R2317" s="190"/>
      <c r="S2317" s="190"/>
      <c r="T2317" s="190"/>
      <c r="U2317" s="190"/>
      <c r="V2317" s="190"/>
      <c r="W2317" s="190"/>
      <c r="X2317" s="190"/>
      <c r="Y2317" s="190"/>
      <c r="Z2317" s="190"/>
      <c r="AA2317" s="190"/>
      <c r="AB2317" s="190"/>
      <c r="AC2317" s="190"/>
      <c r="AD2317" s="190"/>
      <c r="AE2317" s="190"/>
      <c r="AF2317" s="190"/>
      <c r="AG2317" s="190"/>
      <c r="AH2317" s="190"/>
      <c r="AI2317" s="190"/>
      <c r="AJ2317" s="190"/>
      <c r="AK2317" s="190"/>
      <c r="AL2317" s="190"/>
    </row>
    <row r="2318" spans="2:38" ht="12.75" customHeight="1">
      <c r="B2318" s="485"/>
      <c r="C2318" s="6"/>
      <c r="D2318" s="12"/>
      <c r="E2318" s="12"/>
      <c r="F2318" s="12"/>
      <c r="G2318" s="12"/>
      <c r="H2318" s="6"/>
      <c r="I2318" s="190"/>
      <c r="J2318" s="190"/>
      <c r="K2318" s="190"/>
      <c r="L2318" s="190"/>
      <c r="M2318" s="190"/>
      <c r="N2318" s="190"/>
      <c r="O2318" s="190"/>
      <c r="P2318" s="190"/>
      <c r="Q2318" s="190"/>
      <c r="R2318" s="190"/>
      <c r="S2318" s="190"/>
      <c r="T2318" s="190"/>
      <c r="U2318" s="190"/>
      <c r="V2318" s="190"/>
      <c r="W2318" s="190"/>
      <c r="X2318" s="190"/>
      <c r="Y2318" s="190"/>
      <c r="Z2318" s="190"/>
      <c r="AA2318" s="190"/>
      <c r="AB2318" s="190"/>
      <c r="AC2318" s="190"/>
      <c r="AD2318" s="190"/>
      <c r="AE2318" s="190"/>
      <c r="AF2318" s="190"/>
      <c r="AG2318" s="190"/>
      <c r="AH2318" s="190"/>
      <c r="AI2318" s="190"/>
      <c r="AJ2318" s="190"/>
      <c r="AK2318" s="190"/>
      <c r="AL2318" s="190"/>
    </row>
    <row r="2319" spans="2:38" ht="12.75" customHeight="1">
      <c r="B2319" s="485"/>
      <c r="C2319" s="6"/>
      <c r="D2319" s="12"/>
      <c r="E2319" s="12"/>
      <c r="F2319" s="12"/>
      <c r="G2319" s="12"/>
      <c r="H2319" s="6"/>
      <c r="I2319" s="190"/>
      <c r="J2319" s="190"/>
      <c r="K2319" s="190"/>
      <c r="L2319" s="190"/>
      <c r="M2319" s="190"/>
      <c r="N2319" s="190"/>
      <c r="O2319" s="190"/>
      <c r="P2319" s="190"/>
      <c r="Q2319" s="190"/>
      <c r="R2319" s="190"/>
      <c r="S2319" s="190"/>
      <c r="T2319" s="190"/>
      <c r="U2319" s="190"/>
      <c r="V2319" s="190"/>
      <c r="W2319" s="190"/>
      <c r="X2319" s="190"/>
      <c r="Y2319" s="190"/>
      <c r="Z2319" s="190"/>
      <c r="AA2319" s="190"/>
      <c r="AB2319" s="190"/>
      <c r="AC2319" s="190"/>
      <c r="AD2319" s="190"/>
      <c r="AE2319" s="190"/>
      <c r="AF2319" s="190"/>
      <c r="AG2319" s="190"/>
      <c r="AH2319" s="190"/>
      <c r="AI2319" s="190"/>
      <c r="AJ2319" s="190"/>
      <c r="AK2319" s="190"/>
      <c r="AL2319" s="190"/>
    </row>
    <row r="2320" spans="2:38" ht="12.75" customHeight="1">
      <c r="B2320" s="485"/>
      <c r="C2320" s="6"/>
      <c r="D2320" s="12"/>
      <c r="E2320" s="12"/>
      <c r="F2320" s="12"/>
      <c r="G2320" s="12"/>
      <c r="H2320" s="6"/>
      <c r="I2320" s="190"/>
      <c r="J2320" s="190"/>
      <c r="K2320" s="190"/>
      <c r="L2320" s="190"/>
      <c r="M2320" s="190"/>
      <c r="N2320" s="190"/>
      <c r="O2320" s="190"/>
      <c r="P2320" s="190"/>
      <c r="Q2320" s="190"/>
      <c r="R2320" s="190"/>
      <c r="S2320" s="190"/>
      <c r="T2320" s="190"/>
      <c r="U2320" s="190"/>
      <c r="V2320" s="190"/>
      <c r="W2320" s="190"/>
      <c r="X2320" s="190"/>
      <c r="Y2320" s="190"/>
      <c r="Z2320" s="190"/>
      <c r="AA2320" s="190"/>
      <c r="AB2320" s="190"/>
      <c r="AC2320" s="190"/>
      <c r="AD2320" s="190"/>
      <c r="AE2320" s="190"/>
      <c r="AF2320" s="190"/>
      <c r="AG2320" s="190"/>
      <c r="AH2320" s="190"/>
      <c r="AI2320" s="190"/>
      <c r="AJ2320" s="190"/>
      <c r="AK2320" s="190"/>
      <c r="AL2320" s="190"/>
    </row>
    <row r="2321" spans="2:38" ht="12.75" customHeight="1">
      <c r="B2321" s="485"/>
      <c r="C2321" s="6"/>
      <c r="D2321" s="12"/>
      <c r="E2321" s="12"/>
      <c r="F2321" s="12"/>
      <c r="G2321" s="12"/>
      <c r="H2321" s="6"/>
      <c r="I2321" s="190"/>
      <c r="J2321" s="190"/>
      <c r="K2321" s="190"/>
      <c r="L2321" s="190"/>
      <c r="M2321" s="190"/>
      <c r="N2321" s="190"/>
      <c r="O2321" s="190"/>
      <c r="P2321" s="190"/>
      <c r="Q2321" s="190"/>
      <c r="R2321" s="190"/>
      <c r="S2321" s="190"/>
      <c r="T2321" s="190"/>
      <c r="U2321" s="190"/>
      <c r="V2321" s="190"/>
      <c r="W2321" s="190"/>
      <c r="X2321" s="190"/>
      <c r="Y2321" s="190"/>
      <c r="Z2321" s="190"/>
      <c r="AA2321" s="190"/>
      <c r="AB2321" s="190"/>
      <c r="AC2321" s="190"/>
      <c r="AD2321" s="190"/>
      <c r="AE2321" s="190"/>
      <c r="AF2321" s="190"/>
      <c r="AG2321" s="190"/>
      <c r="AH2321" s="190"/>
      <c r="AI2321" s="190"/>
      <c r="AJ2321" s="190"/>
      <c r="AK2321" s="190"/>
      <c r="AL2321" s="190"/>
    </row>
    <row r="2322" spans="2:38" ht="12.75" customHeight="1">
      <c r="B2322" s="485"/>
      <c r="C2322" s="6"/>
      <c r="D2322" s="12"/>
      <c r="E2322" s="12"/>
      <c r="F2322" s="12"/>
      <c r="G2322" s="12"/>
      <c r="H2322" s="6"/>
      <c r="I2322" s="190"/>
      <c r="J2322" s="190"/>
      <c r="K2322" s="190"/>
      <c r="L2322" s="190"/>
      <c r="M2322" s="190"/>
      <c r="N2322" s="190"/>
      <c r="O2322" s="190"/>
      <c r="P2322" s="190"/>
      <c r="Q2322" s="190"/>
      <c r="R2322" s="190"/>
      <c r="S2322" s="190"/>
      <c r="T2322" s="190"/>
      <c r="U2322" s="190"/>
      <c r="V2322" s="190"/>
      <c r="W2322" s="190"/>
      <c r="X2322" s="190"/>
      <c r="Y2322" s="190"/>
      <c r="Z2322" s="190"/>
      <c r="AA2322" s="190"/>
      <c r="AB2322" s="190"/>
      <c r="AC2322" s="190"/>
      <c r="AD2322" s="190"/>
      <c r="AE2322" s="190"/>
      <c r="AF2322" s="190"/>
      <c r="AG2322" s="190"/>
      <c r="AH2322" s="190"/>
      <c r="AI2322" s="190"/>
      <c r="AJ2322" s="190"/>
      <c r="AK2322" s="190"/>
      <c r="AL2322" s="190"/>
    </row>
    <row r="2323" spans="2:38" ht="12.75" customHeight="1">
      <c r="B2323" s="485"/>
      <c r="C2323" s="6"/>
      <c r="D2323" s="12"/>
      <c r="E2323" s="12"/>
      <c r="F2323" s="12"/>
      <c r="G2323" s="12"/>
      <c r="H2323" s="6"/>
      <c r="I2323" s="190"/>
      <c r="J2323" s="190"/>
      <c r="K2323" s="190"/>
      <c r="L2323" s="190"/>
      <c r="M2323" s="190"/>
      <c r="N2323" s="190"/>
      <c r="O2323" s="190"/>
      <c r="P2323" s="190"/>
      <c r="Q2323" s="190"/>
      <c r="R2323" s="190"/>
      <c r="S2323" s="190"/>
      <c r="T2323" s="190"/>
      <c r="U2323" s="190"/>
      <c r="V2323" s="190"/>
      <c r="W2323" s="190"/>
      <c r="X2323" s="190"/>
      <c r="Y2323" s="190"/>
      <c r="Z2323" s="190"/>
      <c r="AA2323" s="190"/>
      <c r="AB2323" s="190"/>
      <c r="AC2323" s="190"/>
      <c r="AD2323" s="190"/>
      <c r="AE2323" s="190"/>
      <c r="AF2323" s="190"/>
      <c r="AG2323" s="190"/>
      <c r="AH2323" s="190"/>
      <c r="AI2323" s="190"/>
      <c r="AJ2323" s="190"/>
      <c r="AK2323" s="190"/>
      <c r="AL2323" s="190"/>
    </row>
    <row r="2324" spans="2:38" ht="12.75" customHeight="1">
      <c r="B2324" s="485"/>
      <c r="C2324" s="6"/>
      <c r="D2324" s="12"/>
      <c r="E2324" s="12"/>
      <c r="F2324" s="12"/>
      <c r="G2324" s="12"/>
      <c r="H2324" s="6"/>
      <c r="I2324" s="190"/>
      <c r="J2324" s="190"/>
      <c r="K2324" s="190"/>
      <c r="L2324" s="190"/>
      <c r="M2324" s="190"/>
      <c r="N2324" s="190"/>
      <c r="O2324" s="190"/>
      <c r="P2324" s="190"/>
      <c r="Q2324" s="190"/>
      <c r="R2324" s="190"/>
      <c r="S2324" s="190"/>
      <c r="T2324" s="190"/>
      <c r="U2324" s="190"/>
      <c r="V2324" s="190"/>
      <c r="W2324" s="190"/>
      <c r="X2324" s="190"/>
      <c r="Y2324" s="190"/>
      <c r="Z2324" s="190"/>
      <c r="AA2324" s="190"/>
      <c r="AB2324" s="190"/>
      <c r="AC2324" s="190"/>
      <c r="AD2324" s="190"/>
      <c r="AE2324" s="190"/>
      <c r="AF2324" s="190"/>
      <c r="AG2324" s="190"/>
      <c r="AH2324" s="190"/>
      <c r="AI2324" s="190"/>
      <c r="AJ2324" s="190"/>
      <c r="AK2324" s="190"/>
      <c r="AL2324" s="190"/>
    </row>
    <row r="2325" spans="2:38" ht="12.75" customHeight="1">
      <c r="B2325" s="485"/>
      <c r="C2325" s="6"/>
      <c r="D2325" s="12"/>
      <c r="E2325" s="12"/>
      <c r="F2325" s="12"/>
      <c r="G2325" s="12"/>
      <c r="H2325" s="6"/>
      <c r="I2325" s="190"/>
      <c r="J2325" s="190"/>
      <c r="K2325" s="190"/>
      <c r="L2325" s="190"/>
      <c r="M2325" s="190"/>
      <c r="N2325" s="190"/>
      <c r="O2325" s="190"/>
      <c r="P2325" s="190"/>
      <c r="Q2325" s="190"/>
      <c r="R2325" s="190"/>
      <c r="S2325" s="190"/>
      <c r="T2325" s="190"/>
      <c r="U2325" s="190"/>
      <c r="V2325" s="190"/>
      <c r="W2325" s="190"/>
      <c r="X2325" s="190"/>
      <c r="Y2325" s="190"/>
      <c r="Z2325" s="190"/>
      <c r="AA2325" s="190"/>
      <c r="AB2325" s="190"/>
      <c r="AC2325" s="190"/>
      <c r="AD2325" s="190"/>
      <c r="AE2325" s="190"/>
      <c r="AF2325" s="190"/>
      <c r="AG2325" s="190"/>
      <c r="AH2325" s="190"/>
      <c r="AI2325" s="190"/>
      <c r="AJ2325" s="190"/>
      <c r="AK2325" s="190"/>
      <c r="AL2325" s="190"/>
    </row>
    <row r="2326" spans="2:38" ht="12.75" customHeight="1">
      <c r="B2326" s="485"/>
      <c r="C2326" s="6"/>
      <c r="D2326" s="12"/>
      <c r="E2326" s="12"/>
      <c r="F2326" s="12"/>
      <c r="G2326" s="12"/>
      <c r="H2326" s="6"/>
      <c r="I2326" s="190"/>
      <c r="J2326" s="190"/>
      <c r="K2326" s="190"/>
      <c r="L2326" s="190"/>
      <c r="M2326" s="190"/>
      <c r="N2326" s="190"/>
      <c r="O2326" s="190"/>
      <c r="P2326" s="190"/>
      <c r="Q2326" s="190"/>
      <c r="R2326" s="190"/>
      <c r="S2326" s="190"/>
      <c r="T2326" s="190"/>
      <c r="U2326" s="190"/>
      <c r="V2326" s="190"/>
      <c r="W2326" s="190"/>
      <c r="X2326" s="190"/>
      <c r="Y2326" s="190"/>
      <c r="Z2326" s="190"/>
      <c r="AA2326" s="190"/>
      <c r="AB2326" s="190"/>
      <c r="AC2326" s="190"/>
      <c r="AD2326" s="190"/>
      <c r="AE2326" s="190"/>
      <c r="AF2326" s="190"/>
      <c r="AG2326" s="190"/>
      <c r="AH2326" s="190"/>
      <c r="AI2326" s="190"/>
      <c r="AJ2326" s="190"/>
      <c r="AK2326" s="190"/>
      <c r="AL2326" s="190"/>
    </row>
    <row r="2327" spans="2:38" ht="12.75" customHeight="1">
      <c r="B2327" s="485"/>
      <c r="C2327" s="6"/>
      <c r="D2327" s="12"/>
      <c r="E2327" s="12"/>
      <c r="F2327" s="12"/>
      <c r="G2327" s="12"/>
      <c r="H2327" s="6"/>
      <c r="I2327" s="190"/>
      <c r="J2327" s="190"/>
      <c r="K2327" s="190"/>
      <c r="L2327" s="190"/>
      <c r="M2327" s="190"/>
      <c r="N2327" s="190"/>
      <c r="O2327" s="190"/>
      <c r="P2327" s="190"/>
      <c r="Q2327" s="190"/>
      <c r="R2327" s="190"/>
      <c r="S2327" s="190"/>
      <c r="T2327" s="190"/>
      <c r="U2327" s="190"/>
      <c r="V2327" s="190"/>
      <c r="W2327" s="190"/>
      <c r="X2327" s="190"/>
      <c r="Y2327" s="190"/>
      <c r="Z2327" s="190"/>
      <c r="AA2327" s="190"/>
      <c r="AB2327" s="190"/>
      <c r="AC2327" s="190"/>
      <c r="AD2327" s="190"/>
      <c r="AE2327" s="190"/>
      <c r="AF2327" s="190"/>
      <c r="AG2327" s="190"/>
      <c r="AH2327" s="190"/>
      <c r="AI2327" s="190"/>
      <c r="AJ2327" s="190"/>
      <c r="AK2327" s="190"/>
      <c r="AL2327" s="190"/>
    </row>
    <row r="2328" spans="2:38" ht="12.75" customHeight="1">
      <c r="B2328" s="485"/>
      <c r="C2328" s="6"/>
      <c r="D2328" s="12"/>
      <c r="E2328" s="12"/>
      <c r="F2328" s="12"/>
      <c r="G2328" s="12"/>
      <c r="H2328" s="6"/>
      <c r="I2328" s="190"/>
      <c r="J2328" s="190"/>
      <c r="K2328" s="190"/>
      <c r="L2328" s="190"/>
      <c r="M2328" s="190"/>
      <c r="N2328" s="190"/>
      <c r="O2328" s="190"/>
      <c r="P2328" s="190"/>
      <c r="Q2328" s="190"/>
      <c r="R2328" s="190"/>
      <c r="S2328" s="190"/>
      <c r="T2328" s="190"/>
      <c r="U2328" s="190"/>
      <c r="V2328" s="190"/>
      <c r="W2328" s="190"/>
      <c r="X2328" s="190"/>
      <c r="Y2328" s="190"/>
      <c r="Z2328" s="190"/>
      <c r="AA2328" s="190"/>
      <c r="AB2328" s="190"/>
      <c r="AC2328" s="190"/>
      <c r="AD2328" s="190"/>
      <c r="AE2328" s="190"/>
      <c r="AF2328" s="190"/>
      <c r="AG2328" s="190"/>
      <c r="AH2328" s="190"/>
      <c r="AI2328" s="190"/>
      <c r="AJ2328" s="190"/>
      <c r="AK2328" s="190"/>
      <c r="AL2328" s="190"/>
    </row>
    <row r="2329" spans="2:38" ht="12.75" customHeight="1">
      <c r="B2329" s="485"/>
      <c r="C2329" s="6"/>
      <c r="D2329" s="12"/>
      <c r="E2329" s="12"/>
      <c r="F2329" s="12"/>
      <c r="G2329" s="12"/>
      <c r="H2329" s="6"/>
      <c r="I2329" s="190"/>
      <c r="J2329" s="190"/>
      <c r="K2329" s="190"/>
      <c r="L2329" s="190"/>
      <c r="M2329" s="190"/>
      <c r="N2329" s="190"/>
      <c r="O2329" s="190"/>
      <c r="P2329" s="190"/>
      <c r="Q2329" s="190"/>
      <c r="R2329" s="190"/>
      <c r="S2329" s="190"/>
      <c r="T2329" s="190"/>
      <c r="U2329" s="190"/>
      <c r="V2329" s="190"/>
      <c r="W2329" s="190"/>
      <c r="X2329" s="190"/>
      <c r="Y2329" s="190"/>
      <c r="Z2329" s="190"/>
      <c r="AA2329" s="190"/>
      <c r="AB2329" s="190"/>
      <c r="AC2329" s="190"/>
      <c r="AD2329" s="190"/>
      <c r="AE2329" s="190"/>
      <c r="AF2329" s="190"/>
      <c r="AG2329" s="190"/>
      <c r="AH2329" s="190"/>
      <c r="AI2329" s="190"/>
      <c r="AJ2329" s="190"/>
      <c r="AK2329" s="190"/>
      <c r="AL2329" s="190"/>
    </row>
    <row r="2330" spans="2:38" ht="12.75" customHeight="1">
      <c r="B2330" s="485"/>
      <c r="C2330" s="6"/>
      <c r="D2330" s="12"/>
      <c r="E2330" s="12"/>
      <c r="F2330" s="12"/>
      <c r="G2330" s="12"/>
      <c r="H2330" s="6"/>
      <c r="I2330" s="190"/>
      <c r="J2330" s="190"/>
      <c r="K2330" s="190"/>
      <c r="L2330" s="190"/>
      <c r="M2330" s="190"/>
      <c r="N2330" s="190"/>
      <c r="O2330" s="190"/>
      <c r="P2330" s="190"/>
      <c r="Q2330" s="190"/>
      <c r="R2330" s="190"/>
      <c r="S2330" s="190"/>
      <c r="T2330" s="190"/>
      <c r="U2330" s="190"/>
      <c r="V2330" s="190"/>
      <c r="W2330" s="190"/>
      <c r="X2330" s="190"/>
      <c r="Y2330" s="190"/>
      <c r="Z2330" s="190"/>
      <c r="AA2330" s="190"/>
      <c r="AB2330" s="190"/>
      <c r="AC2330" s="190"/>
      <c r="AD2330" s="190"/>
      <c r="AE2330" s="190"/>
      <c r="AF2330" s="190"/>
      <c r="AG2330" s="190"/>
      <c r="AH2330" s="190"/>
      <c r="AI2330" s="190"/>
      <c r="AJ2330" s="190"/>
      <c r="AK2330" s="190"/>
      <c r="AL2330" s="190"/>
    </row>
    <row r="2331" spans="2:38" ht="12.75" customHeight="1">
      <c r="B2331" s="485"/>
      <c r="C2331" s="6"/>
      <c r="D2331" s="12"/>
      <c r="E2331" s="12"/>
      <c r="F2331" s="12"/>
      <c r="G2331" s="12"/>
      <c r="H2331" s="6"/>
      <c r="I2331" s="190"/>
      <c r="J2331" s="190"/>
      <c r="K2331" s="190"/>
      <c r="L2331" s="190"/>
      <c r="M2331" s="190"/>
      <c r="N2331" s="190"/>
      <c r="O2331" s="190"/>
      <c r="P2331" s="190"/>
      <c r="Q2331" s="190"/>
      <c r="R2331" s="190"/>
      <c r="S2331" s="190"/>
      <c r="T2331" s="190"/>
      <c r="U2331" s="190"/>
      <c r="V2331" s="190"/>
      <c r="W2331" s="190"/>
      <c r="X2331" s="190"/>
      <c r="Y2331" s="190"/>
      <c r="Z2331" s="190"/>
      <c r="AA2331" s="190"/>
      <c r="AB2331" s="190"/>
      <c r="AC2331" s="190"/>
      <c r="AD2331" s="190"/>
      <c r="AE2331" s="190"/>
      <c r="AF2331" s="190"/>
      <c r="AG2331" s="190"/>
      <c r="AH2331" s="190"/>
      <c r="AI2331" s="190"/>
      <c r="AJ2331" s="190"/>
      <c r="AK2331" s="190"/>
      <c r="AL2331" s="190"/>
    </row>
    <row r="2332" spans="2:38" ht="12.75" customHeight="1">
      <c r="B2332" s="485"/>
      <c r="C2332" s="6"/>
      <c r="D2332" s="12"/>
      <c r="E2332" s="12"/>
      <c r="F2332" s="12"/>
      <c r="G2332" s="12"/>
      <c r="H2332" s="6"/>
      <c r="I2332" s="190"/>
      <c r="J2332" s="190"/>
      <c r="K2332" s="190"/>
      <c r="L2332" s="190"/>
      <c r="M2332" s="190"/>
      <c r="N2332" s="190"/>
      <c r="O2332" s="190"/>
      <c r="P2332" s="190"/>
      <c r="Q2332" s="190"/>
      <c r="R2332" s="190"/>
      <c r="S2332" s="190"/>
      <c r="T2332" s="190"/>
      <c r="U2332" s="190"/>
      <c r="V2332" s="190"/>
      <c r="W2332" s="190"/>
      <c r="X2332" s="190"/>
      <c r="Y2332" s="190"/>
      <c r="Z2332" s="190"/>
      <c r="AA2332" s="190"/>
      <c r="AB2332" s="190"/>
      <c r="AC2332" s="190"/>
      <c r="AD2332" s="190"/>
      <c r="AE2332" s="190"/>
      <c r="AF2332" s="190"/>
      <c r="AG2332" s="190"/>
      <c r="AH2332" s="190"/>
      <c r="AI2332" s="190"/>
      <c r="AJ2332" s="190"/>
      <c r="AK2332" s="190"/>
      <c r="AL2332" s="190"/>
    </row>
    <row r="2333" spans="2:38" ht="12.75" customHeight="1">
      <c r="B2333" s="485"/>
      <c r="C2333" s="6"/>
      <c r="D2333" s="12"/>
      <c r="E2333" s="12"/>
      <c r="F2333" s="12"/>
      <c r="G2333" s="12"/>
      <c r="H2333" s="6"/>
      <c r="I2333" s="190"/>
      <c r="J2333" s="190"/>
      <c r="K2333" s="190"/>
      <c r="L2333" s="190"/>
      <c r="M2333" s="190"/>
      <c r="N2333" s="190"/>
      <c r="O2333" s="190"/>
      <c r="P2333" s="190"/>
      <c r="Q2333" s="190"/>
      <c r="R2333" s="190"/>
      <c r="S2333" s="190"/>
      <c r="T2333" s="190"/>
      <c r="U2333" s="190"/>
      <c r="V2333" s="190"/>
      <c r="W2333" s="190"/>
      <c r="X2333" s="190"/>
      <c r="Y2333" s="190"/>
      <c r="Z2333" s="190"/>
      <c r="AA2333" s="190"/>
      <c r="AB2333" s="190"/>
      <c r="AC2333" s="190"/>
      <c r="AD2333" s="190"/>
      <c r="AE2333" s="190"/>
      <c r="AF2333" s="190"/>
      <c r="AG2333" s="190"/>
      <c r="AH2333" s="190"/>
      <c r="AI2333" s="190"/>
      <c r="AJ2333" s="190"/>
      <c r="AK2333" s="190"/>
      <c r="AL2333" s="190"/>
    </row>
    <row r="2334" spans="2:38" ht="12.75" customHeight="1">
      <c r="B2334" s="485"/>
      <c r="C2334" s="6"/>
      <c r="D2334" s="12"/>
      <c r="E2334" s="12"/>
      <c r="F2334" s="12"/>
      <c r="G2334" s="12"/>
      <c r="H2334" s="6"/>
      <c r="I2334" s="190"/>
      <c r="J2334" s="190"/>
      <c r="K2334" s="190"/>
      <c r="L2334" s="190"/>
      <c r="M2334" s="190"/>
      <c r="N2334" s="190"/>
      <c r="O2334" s="190"/>
      <c r="P2334" s="190"/>
      <c r="Q2334" s="190"/>
      <c r="R2334" s="190"/>
      <c r="S2334" s="190"/>
      <c r="T2334" s="190"/>
      <c r="U2334" s="190"/>
      <c r="V2334" s="190"/>
      <c r="W2334" s="190"/>
      <c r="X2334" s="190"/>
      <c r="Y2334" s="190"/>
      <c r="Z2334" s="190"/>
      <c r="AA2334" s="190"/>
      <c r="AB2334" s="190"/>
      <c r="AC2334" s="190"/>
      <c r="AD2334" s="190"/>
      <c r="AE2334" s="190"/>
      <c r="AF2334" s="190"/>
      <c r="AG2334" s="190"/>
      <c r="AH2334" s="190"/>
      <c r="AI2334" s="190"/>
      <c r="AJ2334" s="190"/>
      <c r="AK2334" s="190"/>
      <c r="AL2334" s="190"/>
    </row>
    <row r="2335" spans="2:38" ht="12.75" customHeight="1">
      <c r="B2335" s="485"/>
      <c r="C2335" s="6"/>
      <c r="D2335" s="12"/>
      <c r="E2335" s="12"/>
      <c r="F2335" s="12"/>
      <c r="G2335" s="12"/>
      <c r="H2335" s="6"/>
      <c r="I2335" s="190"/>
      <c r="J2335" s="190"/>
      <c r="K2335" s="190"/>
      <c r="L2335" s="190"/>
      <c r="M2335" s="190"/>
      <c r="N2335" s="190"/>
      <c r="O2335" s="190"/>
      <c r="P2335" s="190"/>
      <c r="Q2335" s="190"/>
      <c r="R2335" s="190"/>
      <c r="S2335" s="190"/>
      <c r="T2335" s="190"/>
      <c r="U2335" s="190"/>
      <c r="V2335" s="190"/>
      <c r="W2335" s="190"/>
      <c r="X2335" s="190"/>
      <c r="Y2335" s="190"/>
      <c r="Z2335" s="190"/>
      <c r="AA2335" s="190"/>
      <c r="AB2335" s="190"/>
      <c r="AC2335" s="190"/>
      <c r="AD2335" s="190"/>
      <c r="AE2335" s="190"/>
      <c r="AF2335" s="190"/>
      <c r="AG2335" s="190"/>
      <c r="AH2335" s="190"/>
      <c r="AI2335" s="190"/>
      <c r="AJ2335" s="190"/>
      <c r="AK2335" s="190"/>
      <c r="AL2335" s="190"/>
    </row>
    <row r="2336" spans="2:38" ht="12.75" customHeight="1">
      <c r="B2336" s="485"/>
      <c r="C2336" s="6"/>
      <c r="D2336" s="12"/>
      <c r="E2336" s="12"/>
      <c r="F2336" s="12"/>
      <c r="G2336" s="12"/>
      <c r="H2336" s="6"/>
      <c r="I2336" s="190"/>
      <c r="J2336" s="190"/>
      <c r="K2336" s="190"/>
      <c r="L2336" s="190"/>
      <c r="M2336" s="190"/>
      <c r="N2336" s="190"/>
      <c r="O2336" s="190"/>
      <c r="P2336" s="190"/>
      <c r="Q2336" s="190"/>
      <c r="R2336" s="190"/>
      <c r="S2336" s="190"/>
      <c r="T2336" s="190"/>
      <c r="U2336" s="190"/>
      <c r="V2336" s="190"/>
      <c r="W2336" s="190"/>
      <c r="X2336" s="190"/>
      <c r="Y2336" s="190"/>
      <c r="Z2336" s="190"/>
      <c r="AA2336" s="190"/>
      <c r="AB2336" s="190"/>
      <c r="AC2336" s="190"/>
      <c r="AD2336" s="190"/>
      <c r="AE2336" s="190"/>
      <c r="AF2336" s="190"/>
      <c r="AG2336" s="190"/>
      <c r="AH2336" s="190"/>
      <c r="AI2336" s="190"/>
      <c r="AJ2336" s="190"/>
      <c r="AK2336" s="190"/>
      <c r="AL2336" s="190"/>
    </row>
    <row r="2337" spans="2:38" ht="12.75" customHeight="1">
      <c r="B2337" s="485"/>
      <c r="C2337" s="6"/>
      <c r="D2337" s="12"/>
      <c r="E2337" s="12"/>
      <c r="F2337" s="12"/>
      <c r="G2337" s="12"/>
      <c r="H2337" s="6"/>
      <c r="I2337" s="190"/>
      <c r="J2337" s="190"/>
      <c r="K2337" s="190"/>
      <c r="L2337" s="190"/>
      <c r="M2337" s="190"/>
      <c r="N2337" s="190"/>
      <c r="O2337" s="190"/>
      <c r="P2337" s="190"/>
      <c r="Q2337" s="190"/>
      <c r="R2337" s="190"/>
      <c r="S2337" s="190"/>
      <c r="T2337" s="190"/>
      <c r="U2337" s="190"/>
      <c r="V2337" s="190"/>
      <c r="W2337" s="190"/>
      <c r="X2337" s="190"/>
      <c r="Y2337" s="190"/>
      <c r="Z2337" s="190"/>
      <c r="AA2337" s="190"/>
      <c r="AB2337" s="190"/>
      <c r="AC2337" s="190"/>
      <c r="AD2337" s="190"/>
      <c r="AE2337" s="190"/>
      <c r="AF2337" s="190"/>
      <c r="AG2337" s="190"/>
      <c r="AH2337" s="190"/>
      <c r="AI2337" s="190"/>
      <c r="AJ2337" s="190"/>
      <c r="AK2337" s="190"/>
      <c r="AL2337" s="190"/>
    </row>
    <row r="2338" spans="2:38" ht="12.75" customHeight="1">
      <c r="B2338" s="485"/>
      <c r="C2338" s="6"/>
      <c r="D2338" s="12"/>
      <c r="E2338" s="12"/>
      <c r="F2338" s="12"/>
      <c r="G2338" s="12"/>
      <c r="H2338" s="6"/>
      <c r="I2338" s="190"/>
      <c r="J2338" s="190"/>
      <c r="K2338" s="190"/>
      <c r="L2338" s="190"/>
      <c r="M2338" s="190"/>
      <c r="N2338" s="190"/>
      <c r="O2338" s="190"/>
      <c r="P2338" s="190"/>
      <c r="Q2338" s="190"/>
      <c r="R2338" s="190"/>
      <c r="S2338" s="190"/>
      <c r="T2338" s="190"/>
      <c r="U2338" s="190"/>
      <c r="V2338" s="190"/>
      <c r="W2338" s="190"/>
      <c r="X2338" s="190"/>
      <c r="Y2338" s="190"/>
      <c r="Z2338" s="190"/>
      <c r="AA2338" s="190"/>
      <c r="AB2338" s="190"/>
      <c r="AC2338" s="190"/>
      <c r="AD2338" s="190"/>
      <c r="AE2338" s="190"/>
      <c r="AF2338" s="190"/>
      <c r="AG2338" s="190"/>
      <c r="AH2338" s="190"/>
      <c r="AI2338" s="190"/>
      <c r="AJ2338" s="190"/>
      <c r="AK2338" s="190"/>
      <c r="AL2338" s="190"/>
    </row>
    <row r="2339" spans="2:38" ht="12.75" customHeight="1">
      <c r="B2339" s="485"/>
      <c r="C2339" s="6"/>
      <c r="D2339" s="12"/>
      <c r="E2339" s="12"/>
      <c r="F2339" s="12"/>
      <c r="G2339" s="12"/>
      <c r="H2339" s="6"/>
      <c r="I2339" s="190"/>
      <c r="J2339" s="190"/>
      <c r="K2339" s="190"/>
      <c r="L2339" s="190"/>
      <c r="M2339" s="190"/>
      <c r="N2339" s="190"/>
      <c r="O2339" s="190"/>
      <c r="P2339" s="190"/>
      <c r="Q2339" s="190"/>
      <c r="R2339" s="190"/>
      <c r="S2339" s="190"/>
      <c r="T2339" s="190"/>
      <c r="U2339" s="190"/>
      <c r="V2339" s="190"/>
      <c r="W2339" s="190"/>
      <c r="X2339" s="190"/>
      <c r="Y2339" s="190"/>
      <c r="Z2339" s="190"/>
      <c r="AA2339" s="190"/>
      <c r="AB2339" s="190"/>
      <c r="AC2339" s="190"/>
      <c r="AD2339" s="190"/>
      <c r="AE2339" s="190"/>
      <c r="AF2339" s="190"/>
      <c r="AG2339" s="190"/>
      <c r="AH2339" s="190"/>
      <c r="AI2339" s="190"/>
      <c r="AJ2339" s="190"/>
      <c r="AK2339" s="190"/>
      <c r="AL2339" s="190"/>
    </row>
    <row r="2340" spans="2:38" ht="12.75" customHeight="1">
      <c r="B2340" s="485"/>
      <c r="C2340" s="6"/>
      <c r="D2340" s="12"/>
      <c r="E2340" s="12"/>
      <c r="F2340" s="12"/>
      <c r="G2340" s="12"/>
      <c r="H2340" s="6"/>
      <c r="I2340" s="190"/>
      <c r="J2340" s="190"/>
      <c r="K2340" s="190"/>
      <c r="L2340" s="190"/>
      <c r="M2340" s="190"/>
      <c r="N2340" s="190"/>
      <c r="O2340" s="190"/>
      <c r="P2340" s="190"/>
      <c r="Q2340" s="190"/>
      <c r="R2340" s="190"/>
      <c r="S2340" s="190"/>
      <c r="T2340" s="190"/>
      <c r="U2340" s="190"/>
      <c r="V2340" s="190"/>
      <c r="W2340" s="190"/>
      <c r="X2340" s="190"/>
      <c r="Y2340" s="190"/>
      <c r="Z2340" s="190"/>
      <c r="AA2340" s="190"/>
      <c r="AB2340" s="190"/>
      <c r="AC2340" s="190"/>
      <c r="AD2340" s="190"/>
      <c r="AE2340" s="190"/>
      <c r="AF2340" s="190"/>
      <c r="AG2340" s="190"/>
      <c r="AH2340" s="190"/>
      <c r="AI2340" s="190"/>
      <c r="AJ2340" s="190"/>
      <c r="AK2340" s="190"/>
      <c r="AL2340" s="190"/>
    </row>
    <row r="2341" spans="2:38" ht="12.75" customHeight="1">
      <c r="B2341" s="485"/>
      <c r="C2341" s="6"/>
      <c r="D2341" s="12"/>
      <c r="E2341" s="12"/>
      <c r="F2341" s="12"/>
      <c r="G2341" s="12"/>
      <c r="H2341" s="6"/>
      <c r="I2341" s="190"/>
      <c r="J2341" s="190"/>
      <c r="K2341" s="190"/>
      <c r="L2341" s="190"/>
      <c r="M2341" s="190"/>
      <c r="N2341" s="190"/>
      <c r="O2341" s="190"/>
      <c r="P2341" s="190"/>
      <c r="Q2341" s="190"/>
      <c r="R2341" s="190"/>
      <c r="S2341" s="190"/>
      <c r="T2341" s="190"/>
      <c r="U2341" s="190"/>
      <c r="V2341" s="190"/>
      <c r="W2341" s="190"/>
      <c r="X2341" s="190"/>
      <c r="Y2341" s="190"/>
      <c r="Z2341" s="190"/>
      <c r="AA2341" s="190"/>
      <c r="AB2341" s="190"/>
      <c r="AC2341" s="190"/>
      <c r="AD2341" s="190"/>
      <c r="AE2341" s="190"/>
      <c r="AF2341" s="190"/>
      <c r="AG2341" s="190"/>
      <c r="AH2341" s="190"/>
      <c r="AI2341" s="190"/>
      <c r="AJ2341" s="190"/>
      <c r="AK2341" s="190"/>
      <c r="AL2341" s="190"/>
    </row>
    <row r="2342" spans="2:38" ht="12.75" customHeight="1">
      <c r="B2342" s="485"/>
      <c r="C2342" s="6"/>
      <c r="D2342" s="12"/>
      <c r="E2342" s="12"/>
      <c r="F2342" s="12"/>
      <c r="G2342" s="12"/>
      <c r="H2342" s="6"/>
      <c r="I2342" s="190"/>
      <c r="J2342" s="190"/>
      <c r="K2342" s="190"/>
      <c r="L2342" s="190"/>
      <c r="M2342" s="190"/>
      <c r="N2342" s="190"/>
      <c r="O2342" s="190"/>
      <c r="P2342" s="190"/>
      <c r="Q2342" s="190"/>
      <c r="R2342" s="190"/>
      <c r="S2342" s="190"/>
      <c r="T2342" s="190"/>
      <c r="U2342" s="190"/>
      <c r="V2342" s="190"/>
      <c r="W2342" s="190"/>
      <c r="X2342" s="190"/>
      <c r="Y2342" s="190"/>
      <c r="Z2342" s="190"/>
      <c r="AA2342" s="190"/>
      <c r="AB2342" s="190"/>
      <c r="AC2342" s="190"/>
      <c r="AD2342" s="190"/>
      <c r="AE2342" s="190"/>
      <c r="AF2342" s="190"/>
      <c r="AG2342" s="190"/>
      <c r="AH2342" s="190"/>
      <c r="AI2342" s="190"/>
      <c r="AJ2342" s="190"/>
      <c r="AK2342" s="190"/>
      <c r="AL2342" s="190"/>
    </row>
    <row r="2343" spans="2:38" ht="12.75" customHeight="1">
      <c r="B2343" s="485"/>
      <c r="C2343" s="6"/>
      <c r="D2343" s="12"/>
      <c r="E2343" s="12"/>
      <c r="F2343" s="12"/>
      <c r="G2343" s="12"/>
      <c r="H2343" s="6"/>
      <c r="I2343" s="190"/>
      <c r="J2343" s="190"/>
      <c r="K2343" s="190"/>
      <c r="L2343" s="190"/>
      <c r="M2343" s="190"/>
      <c r="N2343" s="190"/>
      <c r="O2343" s="190"/>
      <c r="P2343" s="190"/>
      <c r="Q2343" s="190"/>
      <c r="R2343" s="190"/>
      <c r="S2343" s="190"/>
      <c r="T2343" s="190"/>
      <c r="U2343" s="190"/>
      <c r="V2343" s="190"/>
      <c r="W2343" s="190"/>
      <c r="X2343" s="190"/>
      <c r="Y2343" s="190"/>
      <c r="Z2343" s="190"/>
      <c r="AA2343" s="190"/>
      <c r="AB2343" s="190"/>
      <c r="AC2343" s="190"/>
      <c r="AD2343" s="190"/>
      <c r="AE2343" s="190"/>
      <c r="AF2343" s="190"/>
      <c r="AG2343" s="190"/>
      <c r="AH2343" s="190"/>
      <c r="AI2343" s="190"/>
      <c r="AJ2343" s="190"/>
      <c r="AK2343" s="190"/>
      <c r="AL2343" s="190"/>
    </row>
    <row r="2344" spans="2:38" ht="12.75" customHeight="1">
      <c r="B2344" s="485"/>
      <c r="C2344" s="6"/>
      <c r="D2344" s="12"/>
      <c r="E2344" s="12"/>
      <c r="F2344" s="12"/>
      <c r="G2344" s="12"/>
      <c r="H2344" s="6"/>
      <c r="I2344" s="190"/>
      <c r="J2344" s="190"/>
      <c r="K2344" s="190"/>
      <c r="L2344" s="190"/>
      <c r="M2344" s="190"/>
      <c r="N2344" s="190"/>
      <c r="O2344" s="190"/>
      <c r="P2344" s="190"/>
      <c r="Q2344" s="190"/>
      <c r="R2344" s="190"/>
      <c r="S2344" s="190"/>
      <c r="T2344" s="190"/>
      <c r="U2344" s="190"/>
      <c r="V2344" s="190"/>
      <c r="W2344" s="190"/>
      <c r="X2344" s="190"/>
      <c r="Y2344" s="190"/>
      <c r="Z2344" s="190"/>
      <c r="AA2344" s="190"/>
      <c r="AB2344" s="190"/>
      <c r="AC2344" s="190"/>
      <c r="AD2344" s="190"/>
      <c r="AE2344" s="190"/>
      <c r="AF2344" s="190"/>
      <c r="AG2344" s="190"/>
      <c r="AH2344" s="190"/>
      <c r="AI2344" s="190"/>
      <c r="AJ2344" s="190"/>
      <c r="AK2344" s="190"/>
      <c r="AL2344" s="190"/>
    </row>
    <row r="2345" spans="2:38" ht="12.75" customHeight="1">
      <c r="B2345" s="485"/>
      <c r="C2345" s="6"/>
      <c r="D2345" s="12"/>
      <c r="E2345" s="12"/>
      <c r="F2345" s="12"/>
      <c r="G2345" s="12"/>
      <c r="H2345" s="6"/>
      <c r="I2345" s="190"/>
      <c r="J2345" s="190"/>
      <c r="K2345" s="190"/>
      <c r="L2345" s="190"/>
      <c r="M2345" s="190"/>
      <c r="N2345" s="190"/>
      <c r="O2345" s="190"/>
      <c r="P2345" s="190"/>
      <c r="Q2345" s="190"/>
      <c r="R2345" s="190"/>
      <c r="S2345" s="190"/>
      <c r="T2345" s="190"/>
      <c r="U2345" s="190"/>
      <c r="V2345" s="190"/>
      <c r="W2345" s="190"/>
      <c r="X2345" s="190"/>
      <c r="Y2345" s="190"/>
      <c r="Z2345" s="190"/>
      <c r="AA2345" s="190"/>
      <c r="AB2345" s="190"/>
      <c r="AC2345" s="190"/>
      <c r="AD2345" s="190"/>
      <c r="AE2345" s="190"/>
      <c r="AF2345" s="190"/>
      <c r="AG2345" s="190"/>
      <c r="AH2345" s="190"/>
      <c r="AI2345" s="190"/>
      <c r="AJ2345" s="190"/>
      <c r="AK2345" s="190"/>
      <c r="AL2345" s="190"/>
    </row>
    <row r="2346" spans="2:38" ht="12.75" customHeight="1">
      <c r="B2346" s="485"/>
      <c r="C2346" s="6"/>
      <c r="D2346" s="12"/>
      <c r="E2346" s="12"/>
      <c r="F2346" s="12"/>
      <c r="G2346" s="12"/>
      <c r="H2346" s="6"/>
      <c r="I2346" s="190"/>
      <c r="J2346" s="190"/>
      <c r="K2346" s="190"/>
      <c r="L2346" s="190"/>
      <c r="M2346" s="190"/>
      <c r="N2346" s="190"/>
      <c r="O2346" s="190"/>
      <c r="P2346" s="190"/>
      <c r="Q2346" s="190"/>
      <c r="R2346" s="190"/>
      <c r="S2346" s="190"/>
      <c r="T2346" s="190"/>
      <c r="U2346" s="190"/>
      <c r="V2346" s="190"/>
      <c r="W2346" s="190"/>
      <c r="X2346" s="190"/>
      <c r="Y2346" s="190"/>
      <c r="Z2346" s="190"/>
      <c r="AA2346" s="190"/>
      <c r="AB2346" s="190"/>
      <c r="AC2346" s="190"/>
      <c r="AD2346" s="190"/>
      <c r="AE2346" s="190"/>
      <c r="AF2346" s="190"/>
      <c r="AG2346" s="190"/>
      <c r="AH2346" s="190"/>
      <c r="AI2346" s="190"/>
      <c r="AJ2346" s="190"/>
      <c r="AK2346" s="190"/>
      <c r="AL2346" s="190"/>
    </row>
    <row r="2347" spans="2:38" ht="12.75" customHeight="1">
      <c r="B2347" s="485"/>
      <c r="C2347" s="6"/>
      <c r="D2347" s="12"/>
      <c r="E2347" s="12"/>
      <c r="F2347" s="12"/>
      <c r="G2347" s="12"/>
      <c r="H2347" s="6"/>
      <c r="I2347" s="190"/>
      <c r="J2347" s="190"/>
      <c r="K2347" s="190"/>
      <c r="L2347" s="190"/>
      <c r="M2347" s="190"/>
      <c r="N2347" s="190"/>
      <c r="O2347" s="190"/>
      <c r="P2347" s="190"/>
      <c r="Q2347" s="190"/>
      <c r="R2347" s="190"/>
      <c r="S2347" s="190"/>
      <c r="T2347" s="190"/>
      <c r="U2347" s="190"/>
      <c r="V2347" s="190"/>
      <c r="W2347" s="190"/>
      <c r="X2347" s="190"/>
      <c r="Y2347" s="190"/>
      <c r="Z2347" s="190"/>
      <c r="AA2347" s="190"/>
      <c r="AB2347" s="190"/>
      <c r="AC2347" s="190"/>
      <c r="AD2347" s="190"/>
      <c r="AE2347" s="190"/>
      <c r="AF2347" s="190"/>
      <c r="AG2347" s="190"/>
      <c r="AH2347" s="190"/>
      <c r="AI2347" s="190"/>
      <c r="AJ2347" s="190"/>
      <c r="AK2347" s="190"/>
      <c r="AL2347" s="190"/>
    </row>
    <row r="2348" spans="2:38" ht="12.75" customHeight="1">
      <c r="B2348" s="485"/>
      <c r="C2348" s="6"/>
      <c r="D2348" s="12"/>
      <c r="E2348" s="12"/>
      <c r="F2348" s="12"/>
      <c r="G2348" s="12"/>
      <c r="H2348" s="6"/>
      <c r="I2348" s="190"/>
      <c r="J2348" s="190"/>
      <c r="K2348" s="190"/>
      <c r="L2348" s="190"/>
      <c r="M2348" s="190"/>
      <c r="N2348" s="190"/>
      <c r="O2348" s="190"/>
      <c r="P2348" s="190"/>
      <c r="Q2348" s="190"/>
      <c r="R2348" s="190"/>
      <c r="S2348" s="190"/>
      <c r="T2348" s="190"/>
      <c r="U2348" s="190"/>
      <c r="V2348" s="190"/>
      <c r="W2348" s="190"/>
      <c r="X2348" s="190"/>
      <c r="Y2348" s="190"/>
      <c r="Z2348" s="190"/>
      <c r="AA2348" s="190"/>
      <c r="AB2348" s="190"/>
      <c r="AC2348" s="190"/>
      <c r="AD2348" s="190"/>
      <c r="AE2348" s="190"/>
      <c r="AF2348" s="190"/>
      <c r="AG2348" s="190"/>
      <c r="AH2348" s="190"/>
      <c r="AI2348" s="190"/>
      <c r="AJ2348" s="190"/>
      <c r="AK2348" s="190"/>
      <c r="AL2348" s="190"/>
    </row>
    <row r="2349" spans="2:38" ht="12.75" customHeight="1">
      <c r="B2349" s="485"/>
      <c r="C2349" s="6"/>
      <c r="D2349" s="12"/>
      <c r="E2349" s="12"/>
      <c r="F2349" s="12"/>
      <c r="G2349" s="12"/>
      <c r="H2349" s="6"/>
      <c r="I2349" s="190"/>
      <c r="J2349" s="190"/>
      <c r="K2349" s="190"/>
      <c r="L2349" s="190"/>
      <c r="M2349" s="190"/>
      <c r="N2349" s="190"/>
      <c r="O2349" s="190"/>
      <c r="P2349" s="190"/>
      <c r="Q2349" s="190"/>
      <c r="R2349" s="190"/>
      <c r="S2349" s="190"/>
      <c r="T2349" s="190"/>
      <c r="U2349" s="190"/>
      <c r="V2349" s="190"/>
      <c r="W2349" s="190"/>
      <c r="X2349" s="190"/>
      <c r="Y2349" s="190"/>
      <c r="Z2349" s="190"/>
      <c r="AA2349" s="190"/>
      <c r="AB2349" s="190"/>
      <c r="AC2349" s="190"/>
      <c r="AD2349" s="190"/>
      <c r="AE2349" s="190"/>
      <c r="AF2349" s="190"/>
      <c r="AG2349" s="190"/>
      <c r="AH2349" s="190"/>
      <c r="AI2349" s="190"/>
      <c r="AJ2349" s="190"/>
      <c r="AK2349" s="190"/>
      <c r="AL2349" s="190"/>
    </row>
    <row r="2350" spans="2:38" ht="12.75" customHeight="1">
      <c r="B2350" s="485"/>
      <c r="C2350" s="6"/>
      <c r="D2350" s="12"/>
      <c r="E2350" s="12"/>
      <c r="F2350" s="12"/>
      <c r="G2350" s="12"/>
      <c r="H2350" s="6"/>
      <c r="I2350" s="190"/>
      <c r="J2350" s="190"/>
      <c r="K2350" s="190"/>
      <c r="L2350" s="190"/>
      <c r="M2350" s="190"/>
      <c r="N2350" s="190"/>
      <c r="O2350" s="190"/>
      <c r="P2350" s="190"/>
      <c r="Q2350" s="190"/>
      <c r="R2350" s="190"/>
      <c r="S2350" s="190"/>
      <c r="T2350" s="190"/>
      <c r="U2350" s="190"/>
      <c r="V2350" s="190"/>
      <c r="W2350" s="190"/>
      <c r="X2350" s="190"/>
      <c r="Y2350" s="190"/>
      <c r="Z2350" s="190"/>
      <c r="AA2350" s="190"/>
      <c r="AB2350" s="190"/>
      <c r="AC2350" s="190"/>
      <c r="AD2350" s="190"/>
      <c r="AE2350" s="190"/>
      <c r="AF2350" s="190"/>
      <c r="AG2350" s="190"/>
      <c r="AH2350" s="190"/>
      <c r="AI2350" s="190"/>
      <c r="AJ2350" s="190"/>
      <c r="AK2350" s="190"/>
      <c r="AL2350" s="190"/>
    </row>
    <row r="2351" spans="2:38" ht="12.75" customHeight="1">
      <c r="B2351" s="485"/>
      <c r="C2351" s="6"/>
      <c r="D2351" s="12"/>
      <c r="E2351" s="12"/>
      <c r="F2351" s="12"/>
      <c r="G2351" s="12"/>
      <c r="H2351" s="6"/>
      <c r="I2351" s="190"/>
      <c r="J2351" s="190"/>
      <c r="K2351" s="190"/>
      <c r="L2351" s="190"/>
      <c r="M2351" s="190"/>
      <c r="N2351" s="190"/>
      <c r="O2351" s="190"/>
      <c r="P2351" s="190"/>
      <c r="Q2351" s="190"/>
      <c r="R2351" s="190"/>
      <c r="S2351" s="190"/>
      <c r="T2351" s="190"/>
      <c r="U2351" s="190"/>
      <c r="V2351" s="190"/>
      <c r="W2351" s="190"/>
      <c r="X2351" s="190"/>
      <c r="Y2351" s="190"/>
      <c r="Z2351" s="190"/>
      <c r="AA2351" s="190"/>
      <c r="AB2351" s="190"/>
      <c r="AC2351" s="190"/>
      <c r="AD2351" s="190"/>
      <c r="AE2351" s="190"/>
      <c r="AF2351" s="190"/>
      <c r="AG2351" s="190"/>
      <c r="AH2351" s="190"/>
      <c r="AI2351" s="190"/>
      <c r="AJ2351" s="190"/>
      <c r="AK2351" s="190"/>
      <c r="AL2351" s="190"/>
    </row>
    <row r="2352" spans="2:38" ht="12.75" customHeight="1">
      <c r="B2352" s="485"/>
      <c r="C2352" s="6"/>
      <c r="D2352" s="12"/>
      <c r="E2352" s="12"/>
      <c r="F2352" s="12"/>
      <c r="G2352" s="12"/>
      <c r="H2352" s="6"/>
      <c r="I2352" s="190"/>
      <c r="J2352" s="190"/>
      <c r="K2352" s="190"/>
      <c r="L2352" s="190"/>
      <c r="M2352" s="190"/>
      <c r="N2352" s="190"/>
      <c r="O2352" s="190"/>
      <c r="P2352" s="190"/>
      <c r="Q2352" s="190"/>
      <c r="R2352" s="190"/>
      <c r="S2352" s="190"/>
      <c r="T2352" s="190"/>
      <c r="U2352" s="190"/>
      <c r="V2352" s="190"/>
      <c r="W2352" s="190"/>
      <c r="X2352" s="190"/>
      <c r="Y2352" s="190"/>
      <c r="Z2352" s="190"/>
      <c r="AA2352" s="190"/>
      <c r="AB2352" s="190"/>
      <c r="AC2352" s="190"/>
      <c r="AD2352" s="190"/>
      <c r="AE2352" s="190"/>
      <c r="AF2352" s="190"/>
      <c r="AG2352" s="190"/>
      <c r="AH2352" s="190"/>
      <c r="AI2352" s="190"/>
      <c r="AJ2352" s="190"/>
      <c r="AK2352" s="190"/>
      <c r="AL2352" s="190"/>
    </row>
    <row r="2353" spans="2:38" ht="12.75" customHeight="1">
      <c r="B2353" s="485"/>
      <c r="C2353" s="6"/>
      <c r="D2353" s="12"/>
      <c r="E2353" s="12"/>
      <c r="F2353" s="12"/>
      <c r="G2353" s="12"/>
      <c r="H2353" s="6"/>
      <c r="I2353" s="190"/>
      <c r="J2353" s="190"/>
      <c r="K2353" s="190"/>
      <c r="L2353" s="190"/>
      <c r="M2353" s="190"/>
      <c r="N2353" s="190"/>
      <c r="O2353" s="190"/>
      <c r="P2353" s="190"/>
      <c r="Q2353" s="190"/>
      <c r="R2353" s="190"/>
      <c r="S2353" s="190"/>
      <c r="T2353" s="190"/>
      <c r="U2353" s="190"/>
      <c r="V2353" s="190"/>
      <c r="W2353" s="190"/>
      <c r="X2353" s="190"/>
      <c r="Y2353" s="190"/>
      <c r="Z2353" s="190"/>
      <c r="AA2353" s="190"/>
      <c r="AB2353" s="190"/>
      <c r="AC2353" s="190"/>
      <c r="AD2353" s="190"/>
      <c r="AE2353" s="190"/>
      <c r="AF2353" s="190"/>
      <c r="AG2353" s="190"/>
      <c r="AH2353" s="190"/>
      <c r="AI2353" s="190"/>
      <c r="AJ2353" s="190"/>
      <c r="AK2353" s="190"/>
      <c r="AL2353" s="190"/>
    </row>
    <row r="2354" spans="2:38" ht="12.75" customHeight="1">
      <c r="B2354" s="485"/>
      <c r="C2354" s="6"/>
      <c r="D2354" s="12"/>
      <c r="E2354" s="12"/>
      <c r="F2354" s="12"/>
      <c r="G2354" s="12"/>
      <c r="H2354" s="6"/>
      <c r="I2354" s="190"/>
      <c r="J2354" s="190"/>
      <c r="K2354" s="190"/>
      <c r="L2354" s="190"/>
      <c r="M2354" s="190"/>
      <c r="N2354" s="190"/>
      <c r="O2354" s="190"/>
      <c r="P2354" s="190"/>
      <c r="Q2354" s="190"/>
      <c r="R2354" s="190"/>
      <c r="S2354" s="190"/>
      <c r="T2354" s="190"/>
      <c r="U2354" s="190"/>
      <c r="V2354" s="190"/>
      <c r="W2354" s="190"/>
      <c r="X2354" s="190"/>
      <c r="Y2354" s="190"/>
      <c r="Z2354" s="190"/>
      <c r="AA2354" s="190"/>
      <c r="AB2354" s="190"/>
      <c r="AC2354" s="190"/>
      <c r="AD2354" s="190"/>
      <c r="AE2354" s="190"/>
      <c r="AF2354" s="190"/>
      <c r="AG2354" s="190"/>
      <c r="AH2354" s="190"/>
      <c r="AI2354" s="190"/>
      <c r="AJ2354" s="190"/>
      <c r="AK2354" s="190"/>
      <c r="AL2354" s="190"/>
    </row>
    <row r="2355" spans="2:38" ht="12.75" customHeight="1">
      <c r="B2355" s="485"/>
      <c r="C2355" s="6"/>
      <c r="D2355" s="12"/>
      <c r="E2355" s="12"/>
      <c r="F2355" s="12"/>
      <c r="G2355" s="12"/>
      <c r="H2355" s="6"/>
      <c r="I2355" s="190"/>
      <c r="J2355" s="190"/>
      <c r="K2355" s="190"/>
      <c r="L2355" s="190"/>
      <c r="M2355" s="190"/>
      <c r="N2355" s="190"/>
      <c r="O2355" s="190"/>
      <c r="P2355" s="190"/>
      <c r="Q2355" s="190"/>
      <c r="R2355" s="190"/>
      <c r="S2355" s="190"/>
      <c r="T2355" s="190"/>
      <c r="U2355" s="190"/>
      <c r="V2355" s="190"/>
      <c r="W2355" s="190"/>
      <c r="X2355" s="190"/>
      <c r="Y2355" s="190"/>
      <c r="Z2355" s="190"/>
      <c r="AA2355" s="190"/>
      <c r="AB2355" s="190"/>
      <c r="AC2355" s="190"/>
      <c r="AD2355" s="190"/>
      <c r="AE2355" s="190"/>
      <c r="AF2355" s="190"/>
      <c r="AG2355" s="190"/>
      <c r="AH2355" s="190"/>
      <c r="AI2355" s="190"/>
      <c r="AJ2355" s="190"/>
      <c r="AK2355" s="190"/>
      <c r="AL2355" s="190"/>
    </row>
    <row r="2356" spans="2:38" ht="12.75" customHeight="1">
      <c r="B2356" s="485"/>
      <c r="C2356" s="6"/>
      <c r="D2356" s="12"/>
      <c r="E2356" s="12"/>
      <c r="F2356" s="12"/>
      <c r="G2356" s="12"/>
      <c r="H2356" s="6"/>
      <c r="I2356" s="190"/>
      <c r="J2356" s="190"/>
      <c r="K2356" s="190"/>
      <c r="L2356" s="190"/>
      <c r="M2356" s="190"/>
      <c r="N2356" s="190"/>
      <c r="O2356" s="190"/>
      <c r="P2356" s="190"/>
      <c r="Q2356" s="190"/>
      <c r="R2356" s="190"/>
      <c r="S2356" s="190"/>
      <c r="T2356" s="190"/>
      <c r="U2356" s="190"/>
      <c r="V2356" s="190"/>
      <c r="W2356" s="190"/>
      <c r="X2356" s="190"/>
      <c r="Y2356" s="190"/>
      <c r="Z2356" s="190"/>
      <c r="AA2356" s="190"/>
      <c r="AB2356" s="190"/>
      <c r="AC2356" s="190"/>
      <c r="AD2356" s="190"/>
      <c r="AE2356" s="190"/>
      <c r="AF2356" s="190"/>
      <c r="AG2356" s="190"/>
      <c r="AH2356" s="190"/>
      <c r="AI2356" s="190"/>
      <c r="AJ2356" s="190"/>
      <c r="AK2356" s="190"/>
      <c r="AL2356" s="190"/>
    </row>
    <row r="2357" spans="2:38" ht="12.75" customHeight="1">
      <c r="B2357" s="485"/>
      <c r="C2357" s="6"/>
      <c r="D2357" s="12"/>
      <c r="E2357" s="12"/>
      <c r="F2357" s="12"/>
      <c r="G2357" s="12"/>
      <c r="H2357" s="6"/>
      <c r="I2357" s="190"/>
      <c r="J2357" s="190"/>
      <c r="K2357" s="190"/>
      <c r="L2357" s="190"/>
      <c r="M2357" s="190"/>
      <c r="N2357" s="190"/>
      <c r="O2357" s="190"/>
      <c r="P2357" s="190"/>
      <c r="Q2357" s="190"/>
      <c r="R2357" s="190"/>
      <c r="S2357" s="190"/>
      <c r="T2357" s="190"/>
      <c r="U2357" s="190"/>
      <c r="V2357" s="190"/>
      <c r="W2357" s="190"/>
      <c r="X2357" s="190"/>
      <c r="Y2357" s="190"/>
      <c r="Z2357" s="190"/>
      <c r="AA2357" s="190"/>
      <c r="AB2357" s="190"/>
      <c r="AC2357" s="190"/>
      <c r="AD2357" s="190"/>
      <c r="AE2357" s="190"/>
      <c r="AF2357" s="190"/>
      <c r="AG2357" s="190"/>
      <c r="AH2357" s="190"/>
      <c r="AI2357" s="190"/>
      <c r="AJ2357" s="190"/>
      <c r="AK2357" s="190"/>
      <c r="AL2357" s="190"/>
    </row>
    <row r="2358" spans="2:38" ht="12.75" customHeight="1">
      <c r="B2358" s="485"/>
      <c r="C2358" s="6"/>
      <c r="D2358" s="12"/>
      <c r="E2358" s="12"/>
      <c r="F2358" s="12"/>
      <c r="G2358" s="12"/>
      <c r="H2358" s="6"/>
      <c r="I2358" s="190"/>
      <c r="J2358" s="190"/>
      <c r="K2358" s="190"/>
      <c r="L2358" s="190"/>
      <c r="M2358" s="190"/>
      <c r="N2358" s="190"/>
      <c r="O2358" s="190"/>
      <c r="P2358" s="190"/>
      <c r="Q2358" s="190"/>
      <c r="R2358" s="190"/>
      <c r="S2358" s="190"/>
      <c r="T2358" s="190"/>
      <c r="U2358" s="190"/>
      <c r="V2358" s="190"/>
      <c r="W2358" s="190"/>
      <c r="X2358" s="190"/>
      <c r="Y2358" s="190"/>
      <c r="Z2358" s="190"/>
      <c r="AA2358" s="190"/>
      <c r="AB2358" s="190"/>
      <c r="AC2358" s="190"/>
      <c r="AD2358" s="190"/>
      <c r="AE2358" s="190"/>
      <c r="AF2358" s="190"/>
      <c r="AG2358" s="190"/>
      <c r="AH2358" s="190"/>
      <c r="AI2358" s="190"/>
      <c r="AJ2358" s="190"/>
      <c r="AK2358" s="190"/>
      <c r="AL2358" s="190"/>
    </row>
    <row r="2359" spans="2:38" ht="12.75" customHeight="1">
      <c r="B2359" s="485"/>
      <c r="C2359" s="6"/>
      <c r="D2359" s="12"/>
      <c r="E2359" s="12"/>
      <c r="F2359" s="12"/>
      <c r="G2359" s="12"/>
      <c r="H2359" s="6"/>
      <c r="I2359" s="190"/>
      <c r="J2359" s="190"/>
      <c r="K2359" s="190"/>
      <c r="L2359" s="190"/>
      <c r="M2359" s="190"/>
      <c r="N2359" s="190"/>
      <c r="O2359" s="190"/>
      <c r="P2359" s="190"/>
      <c r="Q2359" s="190"/>
      <c r="R2359" s="190"/>
      <c r="S2359" s="190"/>
      <c r="T2359" s="190"/>
      <c r="U2359" s="190"/>
      <c r="V2359" s="190"/>
      <c r="W2359" s="190"/>
      <c r="X2359" s="190"/>
      <c r="Y2359" s="190"/>
      <c r="Z2359" s="190"/>
      <c r="AA2359" s="190"/>
      <c r="AB2359" s="190"/>
      <c r="AC2359" s="190"/>
      <c r="AD2359" s="190"/>
      <c r="AE2359" s="190"/>
      <c r="AF2359" s="190"/>
      <c r="AG2359" s="190"/>
      <c r="AH2359" s="190"/>
      <c r="AI2359" s="190"/>
      <c r="AJ2359" s="190"/>
      <c r="AK2359" s="190"/>
      <c r="AL2359" s="190"/>
    </row>
    <row r="2360" spans="2:38" ht="12.75" customHeight="1">
      <c r="B2360" s="485"/>
      <c r="C2360" s="6"/>
      <c r="D2360" s="12"/>
      <c r="E2360" s="12"/>
      <c r="F2360" s="12"/>
      <c r="G2360" s="12"/>
      <c r="H2360" s="6"/>
      <c r="I2360" s="190"/>
      <c r="J2360" s="190"/>
      <c r="K2360" s="190"/>
      <c r="L2360" s="190"/>
      <c r="M2360" s="190"/>
      <c r="N2360" s="190"/>
      <c r="O2360" s="190"/>
      <c r="P2360" s="190"/>
      <c r="Q2360" s="190"/>
      <c r="R2360" s="190"/>
      <c r="S2360" s="190"/>
      <c r="T2360" s="190"/>
      <c r="U2360" s="190"/>
      <c r="V2360" s="190"/>
      <c r="W2360" s="190"/>
      <c r="X2360" s="190"/>
      <c r="Y2360" s="190"/>
      <c r="Z2360" s="190"/>
      <c r="AA2360" s="190"/>
      <c r="AB2360" s="190"/>
      <c r="AC2360" s="190"/>
      <c r="AD2360" s="190"/>
      <c r="AE2360" s="190"/>
      <c r="AF2360" s="190"/>
      <c r="AG2360" s="190"/>
      <c r="AH2360" s="190"/>
      <c r="AI2360" s="190"/>
      <c r="AJ2360" s="190"/>
      <c r="AK2360" s="190"/>
      <c r="AL2360" s="190"/>
    </row>
    <row r="2361" spans="2:38" ht="12.75" customHeight="1">
      <c r="B2361" s="485"/>
      <c r="C2361" s="6"/>
      <c r="D2361" s="12"/>
      <c r="E2361" s="12"/>
      <c r="F2361" s="12"/>
      <c r="G2361" s="12"/>
      <c r="H2361" s="6"/>
      <c r="I2361" s="190"/>
      <c r="J2361" s="190"/>
      <c r="K2361" s="190"/>
      <c r="L2361" s="190"/>
      <c r="M2361" s="190"/>
      <c r="N2361" s="190"/>
      <c r="O2361" s="190"/>
      <c r="P2361" s="190"/>
      <c r="Q2361" s="190"/>
      <c r="R2361" s="190"/>
      <c r="S2361" s="190"/>
      <c r="T2361" s="190"/>
      <c r="U2361" s="190"/>
      <c r="V2361" s="190"/>
      <c r="W2361" s="190"/>
      <c r="X2361" s="190"/>
      <c r="Y2361" s="190"/>
      <c r="Z2361" s="190"/>
      <c r="AA2361" s="190"/>
      <c r="AB2361" s="190"/>
      <c r="AC2361" s="190"/>
      <c r="AD2361" s="190"/>
      <c r="AE2361" s="190"/>
      <c r="AF2361" s="190"/>
      <c r="AG2361" s="190"/>
      <c r="AH2361" s="190"/>
      <c r="AI2361" s="190"/>
      <c r="AJ2361" s="190"/>
      <c r="AK2361" s="190"/>
      <c r="AL2361" s="190"/>
    </row>
    <row r="2362" spans="2:38" ht="12.75" customHeight="1">
      <c r="B2362" s="485"/>
      <c r="C2362" s="6"/>
      <c r="D2362" s="12"/>
      <c r="E2362" s="12"/>
      <c r="F2362" s="12"/>
      <c r="G2362" s="12"/>
      <c r="H2362" s="6"/>
      <c r="I2362" s="190"/>
      <c r="J2362" s="190"/>
      <c r="K2362" s="190"/>
      <c r="L2362" s="190"/>
      <c r="M2362" s="190"/>
      <c r="N2362" s="190"/>
      <c r="O2362" s="190"/>
      <c r="P2362" s="190"/>
      <c r="Q2362" s="190"/>
      <c r="R2362" s="190"/>
      <c r="S2362" s="190"/>
      <c r="T2362" s="190"/>
      <c r="U2362" s="190"/>
      <c r="V2362" s="190"/>
      <c r="W2362" s="190"/>
      <c r="X2362" s="190"/>
      <c r="Y2362" s="190"/>
      <c r="Z2362" s="190"/>
      <c r="AA2362" s="190"/>
      <c r="AB2362" s="190"/>
      <c r="AC2362" s="190"/>
      <c r="AD2362" s="190"/>
      <c r="AE2362" s="190"/>
      <c r="AF2362" s="190"/>
      <c r="AG2362" s="190"/>
      <c r="AH2362" s="190"/>
      <c r="AI2362" s="190"/>
      <c r="AJ2362" s="190"/>
      <c r="AK2362" s="190"/>
      <c r="AL2362" s="190"/>
    </row>
    <row r="2363" spans="2:38" ht="12.75" customHeight="1">
      <c r="B2363" s="485"/>
      <c r="C2363" s="6"/>
      <c r="D2363" s="12"/>
      <c r="E2363" s="12"/>
      <c r="F2363" s="12"/>
      <c r="G2363" s="12"/>
      <c r="H2363" s="6"/>
      <c r="I2363" s="190"/>
      <c r="J2363" s="190"/>
      <c r="K2363" s="190"/>
      <c r="L2363" s="190"/>
      <c r="M2363" s="190"/>
      <c r="N2363" s="190"/>
      <c r="O2363" s="190"/>
      <c r="P2363" s="190"/>
      <c r="Q2363" s="190"/>
      <c r="R2363" s="190"/>
      <c r="S2363" s="190"/>
      <c r="T2363" s="190"/>
      <c r="U2363" s="190"/>
      <c r="V2363" s="190"/>
      <c r="W2363" s="190"/>
      <c r="X2363" s="190"/>
      <c r="Y2363" s="190"/>
      <c r="Z2363" s="190"/>
      <c r="AA2363" s="190"/>
      <c r="AB2363" s="190"/>
      <c r="AC2363" s="190"/>
      <c r="AD2363" s="190"/>
      <c r="AE2363" s="190"/>
      <c r="AF2363" s="190"/>
      <c r="AG2363" s="190"/>
      <c r="AH2363" s="190"/>
      <c r="AI2363" s="190"/>
      <c r="AJ2363" s="190"/>
      <c r="AK2363" s="190"/>
      <c r="AL2363" s="190"/>
    </row>
    <row r="2364" spans="2:38" ht="12.75" customHeight="1">
      <c r="B2364" s="485"/>
      <c r="C2364" s="6"/>
      <c r="D2364" s="12"/>
      <c r="E2364" s="12"/>
      <c r="F2364" s="12"/>
      <c r="G2364" s="12"/>
      <c r="H2364" s="6"/>
      <c r="I2364" s="190"/>
      <c r="J2364" s="190"/>
      <c r="K2364" s="190"/>
      <c r="L2364" s="190"/>
      <c r="M2364" s="190"/>
      <c r="N2364" s="190"/>
      <c r="O2364" s="190"/>
      <c r="P2364" s="190"/>
      <c r="Q2364" s="190"/>
      <c r="R2364" s="190"/>
      <c r="S2364" s="190"/>
      <c r="T2364" s="190"/>
      <c r="U2364" s="190"/>
      <c r="V2364" s="190"/>
      <c r="W2364" s="190"/>
      <c r="X2364" s="190"/>
      <c r="Y2364" s="190"/>
      <c r="Z2364" s="190"/>
      <c r="AA2364" s="190"/>
      <c r="AB2364" s="190"/>
      <c r="AC2364" s="190"/>
      <c r="AD2364" s="190"/>
      <c r="AE2364" s="190"/>
      <c r="AF2364" s="190"/>
      <c r="AG2364" s="190"/>
      <c r="AH2364" s="190"/>
      <c r="AI2364" s="190"/>
      <c r="AJ2364" s="190"/>
      <c r="AK2364" s="190"/>
      <c r="AL2364" s="190"/>
    </row>
    <row r="2365" spans="2:38" ht="12.75" customHeight="1">
      <c r="B2365" s="485"/>
      <c r="C2365" s="6"/>
      <c r="D2365" s="12"/>
      <c r="E2365" s="12"/>
      <c r="F2365" s="12"/>
      <c r="G2365" s="12"/>
      <c r="H2365" s="6"/>
      <c r="I2365" s="190"/>
      <c r="J2365" s="190"/>
      <c r="K2365" s="190"/>
      <c r="L2365" s="190"/>
      <c r="M2365" s="190"/>
      <c r="N2365" s="190"/>
      <c r="O2365" s="190"/>
      <c r="P2365" s="190"/>
      <c r="Q2365" s="190"/>
      <c r="R2365" s="190"/>
      <c r="S2365" s="190"/>
      <c r="T2365" s="190"/>
      <c r="U2365" s="190"/>
      <c r="V2365" s="190"/>
      <c r="W2365" s="190"/>
      <c r="X2365" s="190"/>
      <c r="Y2365" s="190"/>
      <c r="Z2365" s="190"/>
      <c r="AA2365" s="190"/>
      <c r="AB2365" s="190"/>
      <c r="AC2365" s="190"/>
      <c r="AD2365" s="190"/>
      <c r="AE2365" s="190"/>
      <c r="AF2365" s="190"/>
      <c r="AG2365" s="190"/>
      <c r="AH2365" s="190"/>
      <c r="AI2365" s="190"/>
      <c r="AJ2365" s="190"/>
      <c r="AK2365" s="190"/>
      <c r="AL2365" s="190"/>
    </row>
    <row r="2366" spans="2:38" ht="12.75" customHeight="1">
      <c r="B2366" s="485"/>
      <c r="C2366" s="6"/>
      <c r="D2366" s="12"/>
      <c r="E2366" s="12"/>
      <c r="F2366" s="12"/>
      <c r="G2366" s="12"/>
      <c r="H2366" s="6"/>
      <c r="I2366" s="190"/>
      <c r="J2366" s="190"/>
      <c r="K2366" s="190"/>
      <c r="L2366" s="190"/>
      <c r="M2366" s="190"/>
      <c r="N2366" s="190"/>
      <c r="O2366" s="190"/>
      <c r="P2366" s="190"/>
      <c r="Q2366" s="190"/>
      <c r="R2366" s="190"/>
      <c r="S2366" s="190"/>
      <c r="T2366" s="190"/>
      <c r="U2366" s="190"/>
      <c r="V2366" s="190"/>
      <c r="W2366" s="190"/>
      <c r="X2366" s="190"/>
      <c r="Y2366" s="190"/>
      <c r="Z2366" s="190"/>
      <c r="AA2366" s="190"/>
      <c r="AB2366" s="190"/>
      <c r="AC2366" s="190"/>
      <c r="AD2366" s="190"/>
      <c r="AE2366" s="190"/>
      <c r="AF2366" s="190"/>
      <c r="AG2366" s="190"/>
      <c r="AH2366" s="190"/>
      <c r="AI2366" s="190"/>
      <c r="AJ2366" s="190"/>
      <c r="AK2366" s="190"/>
      <c r="AL2366" s="190"/>
    </row>
    <row r="2367" spans="2:38" ht="12.75" customHeight="1">
      <c r="B2367" s="485"/>
      <c r="C2367" s="6"/>
      <c r="D2367" s="12"/>
      <c r="E2367" s="12"/>
      <c r="F2367" s="12"/>
      <c r="G2367" s="12"/>
      <c r="H2367" s="6"/>
      <c r="I2367" s="190"/>
      <c r="J2367" s="190"/>
      <c r="K2367" s="190"/>
      <c r="L2367" s="190"/>
      <c r="M2367" s="190"/>
      <c r="N2367" s="190"/>
      <c r="O2367" s="190"/>
      <c r="P2367" s="190"/>
      <c r="Q2367" s="190"/>
      <c r="R2367" s="190"/>
      <c r="S2367" s="190"/>
      <c r="T2367" s="190"/>
      <c r="U2367" s="190"/>
      <c r="V2367" s="190"/>
      <c r="W2367" s="190"/>
      <c r="X2367" s="190"/>
      <c r="Y2367" s="190"/>
      <c r="Z2367" s="190"/>
      <c r="AA2367" s="190"/>
      <c r="AB2367" s="190"/>
      <c r="AC2367" s="190"/>
      <c r="AD2367" s="190"/>
      <c r="AE2367" s="190"/>
      <c r="AF2367" s="190"/>
      <c r="AG2367" s="190"/>
      <c r="AH2367" s="190"/>
      <c r="AI2367" s="190"/>
      <c r="AJ2367" s="190"/>
      <c r="AK2367" s="190"/>
      <c r="AL2367" s="190"/>
    </row>
    <row r="2368" spans="2:38" ht="12.75" customHeight="1">
      <c r="B2368" s="485"/>
      <c r="C2368" s="6"/>
      <c r="D2368" s="12"/>
      <c r="E2368" s="12"/>
      <c r="F2368" s="12"/>
      <c r="G2368" s="12"/>
      <c r="H2368" s="6"/>
      <c r="I2368" s="190"/>
      <c r="J2368" s="190"/>
      <c r="K2368" s="190"/>
      <c r="L2368" s="190"/>
      <c r="M2368" s="190"/>
      <c r="N2368" s="190"/>
      <c r="O2368" s="190"/>
      <c r="P2368" s="190"/>
      <c r="Q2368" s="190"/>
      <c r="R2368" s="190"/>
      <c r="S2368" s="190"/>
      <c r="T2368" s="190"/>
      <c r="U2368" s="190"/>
      <c r="V2368" s="190"/>
      <c r="W2368" s="190"/>
      <c r="X2368" s="190"/>
      <c r="Y2368" s="190"/>
      <c r="Z2368" s="190"/>
      <c r="AA2368" s="190"/>
      <c r="AB2368" s="190"/>
      <c r="AC2368" s="190"/>
      <c r="AD2368" s="190"/>
      <c r="AE2368" s="190"/>
      <c r="AF2368" s="190"/>
      <c r="AG2368" s="190"/>
      <c r="AH2368" s="190"/>
      <c r="AI2368" s="190"/>
      <c r="AJ2368" s="190"/>
      <c r="AK2368" s="190"/>
      <c r="AL2368" s="190"/>
    </row>
    <row r="2369" spans="2:38" ht="12.75" customHeight="1">
      <c r="B2369" s="485"/>
      <c r="C2369" s="6"/>
      <c r="D2369" s="12"/>
      <c r="E2369" s="12"/>
      <c r="F2369" s="12"/>
      <c r="G2369" s="12"/>
      <c r="H2369" s="6"/>
      <c r="I2369" s="190"/>
      <c r="J2369" s="190"/>
      <c r="K2369" s="190"/>
      <c r="L2369" s="190"/>
      <c r="M2369" s="190"/>
      <c r="N2369" s="190"/>
      <c r="O2369" s="190"/>
      <c r="P2369" s="190"/>
      <c r="Q2369" s="190"/>
      <c r="R2369" s="190"/>
      <c r="S2369" s="190"/>
      <c r="T2369" s="190"/>
      <c r="U2369" s="190"/>
      <c r="V2369" s="190"/>
      <c r="W2369" s="190"/>
      <c r="X2369" s="190"/>
      <c r="Y2369" s="190"/>
      <c r="Z2369" s="190"/>
      <c r="AA2369" s="190"/>
      <c r="AB2369" s="190"/>
      <c r="AC2369" s="190"/>
      <c r="AD2369" s="190"/>
      <c r="AE2369" s="190"/>
      <c r="AF2369" s="190"/>
      <c r="AG2369" s="190"/>
      <c r="AH2369" s="190"/>
      <c r="AI2369" s="190"/>
      <c r="AJ2369" s="190"/>
      <c r="AK2369" s="190"/>
      <c r="AL2369" s="190"/>
    </row>
    <row r="2370" spans="2:38" ht="12.75" customHeight="1">
      <c r="B2370" s="485"/>
      <c r="C2370" s="6"/>
      <c r="D2370" s="12"/>
      <c r="E2370" s="12"/>
      <c r="F2370" s="12"/>
      <c r="G2370" s="12"/>
      <c r="H2370" s="6"/>
      <c r="I2370" s="190"/>
      <c r="J2370" s="190"/>
      <c r="K2370" s="190"/>
      <c r="L2370" s="190"/>
      <c r="M2370" s="190"/>
      <c r="N2370" s="190"/>
      <c r="O2370" s="190"/>
      <c r="P2370" s="190"/>
      <c r="Q2370" s="190"/>
      <c r="R2370" s="190"/>
      <c r="S2370" s="190"/>
      <c r="T2370" s="190"/>
      <c r="U2370" s="190"/>
      <c r="V2370" s="190"/>
      <c r="W2370" s="190"/>
      <c r="X2370" s="190"/>
      <c r="Y2370" s="190"/>
      <c r="Z2370" s="190"/>
      <c r="AA2370" s="190"/>
      <c r="AB2370" s="190"/>
      <c r="AC2370" s="190"/>
      <c r="AD2370" s="190"/>
      <c r="AE2370" s="190"/>
      <c r="AF2370" s="190"/>
      <c r="AG2370" s="190"/>
      <c r="AH2370" s="190"/>
      <c r="AI2370" s="190"/>
      <c r="AJ2370" s="190"/>
      <c r="AK2370" s="190"/>
      <c r="AL2370" s="190"/>
    </row>
    <row r="2371" spans="2:38" ht="12.75" customHeight="1">
      <c r="B2371" s="485"/>
      <c r="C2371" s="6"/>
      <c r="D2371" s="12"/>
      <c r="E2371" s="12"/>
      <c r="F2371" s="12"/>
      <c r="G2371" s="12"/>
      <c r="H2371" s="6"/>
      <c r="I2371" s="190"/>
      <c r="J2371" s="190"/>
      <c r="K2371" s="190"/>
      <c r="L2371" s="190"/>
      <c r="M2371" s="190"/>
      <c r="N2371" s="190"/>
      <c r="O2371" s="190"/>
      <c r="P2371" s="190"/>
      <c r="Q2371" s="190"/>
      <c r="R2371" s="190"/>
      <c r="S2371" s="190"/>
      <c r="T2371" s="190"/>
      <c r="U2371" s="190"/>
      <c r="V2371" s="190"/>
      <c r="W2371" s="190"/>
      <c r="X2371" s="190"/>
      <c r="Y2371" s="190"/>
      <c r="Z2371" s="190"/>
      <c r="AA2371" s="190"/>
      <c r="AB2371" s="190"/>
      <c r="AC2371" s="190"/>
      <c r="AD2371" s="190"/>
      <c r="AE2371" s="190"/>
      <c r="AF2371" s="190"/>
      <c r="AG2371" s="190"/>
      <c r="AH2371" s="190"/>
      <c r="AI2371" s="190"/>
      <c r="AJ2371" s="190"/>
      <c r="AK2371" s="190"/>
      <c r="AL2371" s="190"/>
    </row>
    <row r="2372" spans="2:38" ht="12.75" customHeight="1">
      <c r="B2372" s="485"/>
      <c r="C2372" s="6"/>
      <c r="D2372" s="12"/>
      <c r="E2372" s="12"/>
      <c r="F2372" s="12"/>
      <c r="G2372" s="12"/>
      <c r="H2372" s="6"/>
      <c r="I2372" s="190"/>
      <c r="J2372" s="190"/>
      <c r="K2372" s="190"/>
      <c r="L2372" s="190"/>
      <c r="M2372" s="190"/>
      <c r="N2372" s="190"/>
      <c r="O2372" s="190"/>
      <c r="P2372" s="190"/>
      <c r="Q2372" s="190"/>
      <c r="R2372" s="190"/>
      <c r="S2372" s="190"/>
      <c r="T2372" s="190"/>
      <c r="U2372" s="190"/>
      <c r="V2372" s="190"/>
      <c r="W2372" s="190"/>
      <c r="X2372" s="190"/>
      <c r="Y2372" s="190"/>
      <c r="Z2372" s="190"/>
      <c r="AA2372" s="190"/>
      <c r="AB2372" s="190"/>
      <c r="AC2372" s="190"/>
      <c r="AD2372" s="190"/>
      <c r="AE2372" s="190"/>
      <c r="AF2372" s="190"/>
      <c r="AG2372" s="190"/>
      <c r="AH2372" s="190"/>
      <c r="AI2372" s="190"/>
      <c r="AJ2372" s="190"/>
      <c r="AK2372" s="190"/>
      <c r="AL2372" s="190"/>
    </row>
    <row r="2373" spans="2:38" ht="12.75" customHeight="1">
      <c r="B2373" s="485"/>
      <c r="C2373" s="6"/>
      <c r="D2373" s="12"/>
      <c r="E2373" s="12"/>
      <c r="F2373" s="12"/>
      <c r="G2373" s="12"/>
      <c r="H2373" s="6"/>
      <c r="I2373" s="190"/>
      <c r="J2373" s="190"/>
      <c r="K2373" s="190"/>
      <c r="L2373" s="190"/>
      <c r="M2373" s="190"/>
      <c r="N2373" s="190"/>
      <c r="O2373" s="190"/>
      <c r="P2373" s="190"/>
      <c r="Q2373" s="190"/>
      <c r="R2373" s="190"/>
      <c r="S2373" s="190"/>
      <c r="T2373" s="190"/>
      <c r="U2373" s="190"/>
      <c r="V2373" s="190"/>
      <c r="W2373" s="190"/>
      <c r="X2373" s="190"/>
      <c r="Y2373" s="190"/>
      <c r="Z2373" s="190"/>
      <c r="AA2373" s="190"/>
      <c r="AB2373" s="190"/>
      <c r="AC2373" s="190"/>
      <c r="AD2373" s="190"/>
      <c r="AE2373" s="190"/>
      <c r="AF2373" s="190"/>
      <c r="AG2373" s="190"/>
      <c r="AH2373" s="190"/>
      <c r="AI2373" s="190"/>
      <c r="AJ2373" s="190"/>
      <c r="AK2373" s="190"/>
      <c r="AL2373" s="190"/>
    </row>
    <row r="2374" spans="2:38" ht="12.75" customHeight="1">
      <c r="B2374" s="485"/>
      <c r="C2374" s="6"/>
      <c r="D2374" s="12"/>
      <c r="E2374" s="12"/>
      <c r="F2374" s="12"/>
      <c r="G2374" s="12"/>
      <c r="H2374" s="6"/>
      <c r="I2374" s="190"/>
      <c r="J2374" s="190"/>
      <c r="K2374" s="190"/>
      <c r="L2374" s="190"/>
      <c r="M2374" s="190"/>
      <c r="N2374" s="190"/>
      <c r="O2374" s="190"/>
      <c r="P2374" s="190"/>
      <c r="Q2374" s="190"/>
      <c r="R2374" s="190"/>
      <c r="S2374" s="190"/>
      <c r="T2374" s="190"/>
      <c r="U2374" s="190"/>
      <c r="V2374" s="190"/>
      <c r="W2374" s="190"/>
      <c r="X2374" s="190"/>
      <c r="Y2374" s="190"/>
      <c r="Z2374" s="190"/>
      <c r="AA2374" s="190"/>
      <c r="AB2374" s="190"/>
      <c r="AC2374" s="190"/>
      <c r="AD2374" s="190"/>
      <c r="AE2374" s="190"/>
      <c r="AF2374" s="190"/>
      <c r="AG2374" s="190"/>
      <c r="AH2374" s="190"/>
      <c r="AI2374" s="190"/>
      <c r="AJ2374" s="190"/>
      <c r="AK2374" s="190"/>
      <c r="AL2374" s="190"/>
    </row>
    <row r="2375" spans="2:38" ht="12.75" customHeight="1">
      <c r="B2375" s="485"/>
      <c r="C2375" s="6"/>
      <c r="D2375" s="12"/>
      <c r="E2375" s="12"/>
      <c r="F2375" s="12"/>
      <c r="G2375" s="12"/>
      <c r="H2375" s="6"/>
      <c r="I2375" s="190"/>
      <c r="J2375" s="190"/>
      <c r="K2375" s="190"/>
      <c r="L2375" s="190"/>
      <c r="M2375" s="190"/>
      <c r="N2375" s="190"/>
      <c r="O2375" s="190"/>
      <c r="P2375" s="190"/>
      <c r="Q2375" s="190"/>
      <c r="R2375" s="190"/>
      <c r="S2375" s="190"/>
      <c r="T2375" s="190"/>
      <c r="U2375" s="190"/>
      <c r="V2375" s="190"/>
      <c r="W2375" s="190"/>
      <c r="X2375" s="190"/>
      <c r="Y2375" s="190"/>
      <c r="Z2375" s="190"/>
      <c r="AA2375" s="190"/>
      <c r="AB2375" s="190"/>
      <c r="AC2375" s="190"/>
      <c r="AD2375" s="190"/>
      <c r="AE2375" s="190"/>
      <c r="AF2375" s="190"/>
      <c r="AG2375" s="190"/>
      <c r="AH2375" s="190"/>
      <c r="AI2375" s="190"/>
      <c r="AJ2375" s="190"/>
      <c r="AK2375" s="190"/>
      <c r="AL2375" s="190"/>
    </row>
    <row r="2376" spans="2:38" ht="12.75" customHeight="1">
      <c r="B2376" s="485"/>
      <c r="C2376" s="6"/>
      <c r="D2376" s="12"/>
      <c r="E2376" s="12"/>
      <c r="F2376" s="12"/>
      <c r="G2376" s="12"/>
      <c r="H2376" s="6"/>
      <c r="I2376" s="190"/>
      <c r="J2376" s="190"/>
      <c r="K2376" s="190"/>
      <c r="L2376" s="190"/>
      <c r="M2376" s="190"/>
      <c r="N2376" s="190"/>
      <c r="O2376" s="190"/>
      <c r="P2376" s="190"/>
      <c r="Q2376" s="190"/>
      <c r="R2376" s="190"/>
      <c r="S2376" s="190"/>
      <c r="T2376" s="190"/>
      <c r="U2376" s="190"/>
      <c r="V2376" s="190"/>
      <c r="W2376" s="190"/>
      <c r="X2376" s="190"/>
      <c r="Y2376" s="190"/>
      <c r="Z2376" s="190"/>
      <c r="AA2376" s="190"/>
      <c r="AB2376" s="190"/>
      <c r="AC2376" s="190"/>
      <c r="AD2376" s="190"/>
      <c r="AE2376" s="190"/>
      <c r="AF2376" s="190"/>
      <c r="AG2376" s="190"/>
      <c r="AH2376" s="190"/>
      <c r="AI2376" s="190"/>
      <c r="AJ2376" s="190"/>
      <c r="AK2376" s="190"/>
      <c r="AL2376" s="190"/>
    </row>
    <row r="2377" spans="2:38" ht="12.75" customHeight="1">
      <c r="B2377" s="485"/>
      <c r="C2377" s="6"/>
      <c r="D2377" s="12"/>
      <c r="E2377" s="12"/>
      <c r="F2377" s="12"/>
      <c r="G2377" s="12"/>
      <c r="H2377" s="6"/>
      <c r="I2377" s="190"/>
      <c r="J2377" s="190"/>
      <c r="K2377" s="190"/>
      <c r="L2377" s="190"/>
      <c r="M2377" s="190"/>
      <c r="N2377" s="190"/>
      <c r="O2377" s="190"/>
      <c r="P2377" s="190"/>
      <c r="Q2377" s="190"/>
      <c r="R2377" s="190"/>
      <c r="S2377" s="190"/>
      <c r="T2377" s="190"/>
      <c r="U2377" s="190"/>
      <c r="V2377" s="190"/>
      <c r="W2377" s="190"/>
      <c r="X2377" s="190"/>
      <c r="Y2377" s="190"/>
      <c r="Z2377" s="190"/>
      <c r="AA2377" s="190"/>
      <c r="AB2377" s="190"/>
      <c r="AC2377" s="190"/>
      <c r="AD2377" s="190"/>
      <c r="AE2377" s="190"/>
      <c r="AF2377" s="190"/>
      <c r="AG2377" s="190"/>
      <c r="AH2377" s="190"/>
      <c r="AI2377" s="190"/>
      <c r="AJ2377" s="190"/>
      <c r="AK2377" s="190"/>
      <c r="AL2377" s="190"/>
    </row>
    <row r="2378" spans="2:38" ht="12.75" customHeight="1">
      <c r="B2378" s="485"/>
      <c r="C2378" s="6"/>
      <c r="D2378" s="12"/>
      <c r="E2378" s="12"/>
      <c r="F2378" s="12"/>
      <c r="G2378" s="12"/>
      <c r="H2378" s="6"/>
      <c r="I2378" s="190"/>
      <c r="J2378" s="190"/>
      <c r="K2378" s="190"/>
      <c r="L2378" s="190"/>
      <c r="M2378" s="190"/>
      <c r="N2378" s="190"/>
      <c r="O2378" s="190"/>
      <c r="P2378" s="190"/>
      <c r="Q2378" s="190"/>
      <c r="R2378" s="190"/>
      <c r="S2378" s="190"/>
      <c r="T2378" s="190"/>
      <c r="U2378" s="190"/>
      <c r="V2378" s="190"/>
      <c r="W2378" s="190"/>
      <c r="X2378" s="190"/>
      <c r="Y2378" s="190"/>
      <c r="Z2378" s="190"/>
      <c r="AA2378" s="190"/>
      <c r="AB2378" s="190"/>
      <c r="AC2378" s="190"/>
      <c r="AD2378" s="190"/>
      <c r="AE2378" s="190"/>
      <c r="AF2378" s="190"/>
      <c r="AG2378" s="190"/>
      <c r="AH2378" s="190"/>
      <c r="AI2378" s="190"/>
      <c r="AJ2378" s="190"/>
      <c r="AK2378" s="190"/>
      <c r="AL2378" s="190"/>
    </row>
    <row r="2379" spans="2:38" ht="12.75" customHeight="1">
      <c r="B2379" s="485"/>
      <c r="C2379" s="6"/>
      <c r="D2379" s="12"/>
      <c r="E2379" s="12"/>
      <c r="F2379" s="12"/>
      <c r="G2379" s="12"/>
      <c r="H2379" s="6"/>
      <c r="I2379" s="190"/>
      <c r="J2379" s="190"/>
      <c r="K2379" s="190"/>
      <c r="L2379" s="190"/>
      <c r="M2379" s="190"/>
      <c r="N2379" s="190"/>
      <c r="O2379" s="190"/>
      <c r="P2379" s="190"/>
      <c r="Q2379" s="190"/>
      <c r="R2379" s="190"/>
      <c r="S2379" s="190"/>
      <c r="T2379" s="190"/>
      <c r="U2379" s="190"/>
      <c r="V2379" s="190"/>
      <c r="W2379" s="190"/>
      <c r="X2379" s="190"/>
      <c r="Y2379" s="190"/>
      <c r="Z2379" s="190"/>
      <c r="AA2379" s="190"/>
      <c r="AB2379" s="190"/>
      <c r="AC2379" s="190"/>
      <c r="AD2379" s="190"/>
      <c r="AE2379" s="190"/>
      <c r="AF2379" s="190"/>
      <c r="AG2379" s="190"/>
      <c r="AH2379" s="190"/>
      <c r="AI2379" s="190"/>
      <c r="AJ2379" s="190"/>
      <c r="AK2379" s="190"/>
      <c r="AL2379" s="190"/>
    </row>
    <row r="2380" spans="2:38" ht="12.75" customHeight="1">
      <c r="B2380" s="485"/>
      <c r="C2380" s="6"/>
      <c r="D2380" s="12"/>
      <c r="E2380" s="12"/>
      <c r="F2380" s="12"/>
      <c r="G2380" s="12"/>
      <c r="H2380" s="6"/>
      <c r="I2380" s="190"/>
      <c r="J2380" s="190"/>
      <c r="K2380" s="190"/>
      <c r="L2380" s="190"/>
      <c r="M2380" s="190"/>
      <c r="N2380" s="190"/>
      <c r="O2380" s="190"/>
      <c r="P2380" s="190"/>
      <c r="Q2380" s="190"/>
      <c r="R2380" s="190"/>
      <c r="S2380" s="190"/>
      <c r="T2380" s="190"/>
      <c r="U2380" s="190"/>
      <c r="V2380" s="190"/>
      <c r="W2380" s="190"/>
      <c r="X2380" s="190"/>
      <c r="Y2380" s="190"/>
      <c r="Z2380" s="190"/>
      <c r="AA2380" s="190"/>
      <c r="AB2380" s="190"/>
      <c r="AC2380" s="190"/>
      <c r="AD2380" s="190"/>
      <c r="AE2380" s="190"/>
      <c r="AF2380" s="190"/>
      <c r="AG2380" s="190"/>
      <c r="AH2380" s="190"/>
      <c r="AI2380" s="190"/>
      <c r="AJ2380" s="190"/>
      <c r="AK2380" s="190"/>
      <c r="AL2380" s="190"/>
    </row>
    <row r="2381" spans="2:38" ht="12.75" customHeight="1">
      <c r="B2381" s="485"/>
      <c r="C2381" s="6"/>
      <c r="D2381" s="12"/>
      <c r="E2381" s="12"/>
      <c r="F2381" s="12"/>
      <c r="G2381" s="12"/>
      <c r="H2381" s="6"/>
      <c r="I2381" s="190"/>
      <c r="J2381" s="190"/>
      <c r="K2381" s="190"/>
      <c r="L2381" s="190"/>
      <c r="M2381" s="190"/>
      <c r="N2381" s="190"/>
      <c r="O2381" s="190"/>
      <c r="P2381" s="190"/>
      <c r="Q2381" s="190"/>
      <c r="R2381" s="190"/>
      <c r="S2381" s="190"/>
      <c r="T2381" s="190"/>
      <c r="U2381" s="190"/>
      <c r="V2381" s="190"/>
      <c r="W2381" s="190"/>
      <c r="X2381" s="190"/>
      <c r="Y2381" s="190"/>
      <c r="Z2381" s="190"/>
      <c r="AA2381" s="190"/>
      <c r="AB2381" s="190"/>
      <c r="AC2381" s="190"/>
      <c r="AD2381" s="190"/>
      <c r="AE2381" s="190"/>
      <c r="AF2381" s="190"/>
      <c r="AG2381" s="190"/>
      <c r="AH2381" s="190"/>
      <c r="AI2381" s="190"/>
      <c r="AJ2381" s="190"/>
      <c r="AK2381" s="190"/>
      <c r="AL2381" s="190"/>
    </row>
    <row r="2382" spans="2:38" ht="12.75" customHeight="1">
      <c r="B2382" s="485"/>
      <c r="C2382" s="6"/>
      <c r="D2382" s="12"/>
      <c r="E2382" s="12"/>
      <c r="F2382" s="12"/>
      <c r="G2382" s="12"/>
      <c r="H2382" s="6"/>
      <c r="I2382" s="190"/>
      <c r="J2382" s="190"/>
      <c r="K2382" s="190"/>
      <c r="L2382" s="190"/>
      <c r="M2382" s="190"/>
      <c r="N2382" s="190"/>
      <c r="O2382" s="190"/>
      <c r="P2382" s="190"/>
      <c r="Q2382" s="190"/>
      <c r="R2382" s="190"/>
      <c r="S2382" s="190"/>
      <c r="T2382" s="190"/>
      <c r="U2382" s="190"/>
      <c r="V2382" s="190"/>
      <c r="W2382" s="190"/>
      <c r="X2382" s="190"/>
      <c r="Y2382" s="190"/>
      <c r="Z2382" s="190"/>
      <c r="AA2382" s="190"/>
      <c r="AB2382" s="190"/>
      <c r="AC2382" s="190"/>
      <c r="AD2382" s="190"/>
      <c r="AE2382" s="190"/>
      <c r="AF2382" s="190"/>
      <c r="AG2382" s="190"/>
      <c r="AH2382" s="190"/>
      <c r="AI2382" s="190"/>
      <c r="AJ2382" s="190"/>
      <c r="AK2382" s="190"/>
      <c r="AL2382" s="190"/>
    </row>
    <row r="2383" spans="2:38" ht="12.75" customHeight="1">
      <c r="B2383" s="485"/>
      <c r="C2383" s="6"/>
      <c r="D2383" s="12"/>
      <c r="E2383" s="12"/>
      <c r="F2383" s="12"/>
      <c r="G2383" s="12"/>
      <c r="H2383" s="6"/>
      <c r="I2383" s="190"/>
      <c r="J2383" s="190"/>
      <c r="K2383" s="190"/>
      <c r="L2383" s="190"/>
      <c r="M2383" s="190"/>
      <c r="N2383" s="190"/>
      <c r="O2383" s="190"/>
      <c r="P2383" s="190"/>
      <c r="Q2383" s="190"/>
      <c r="R2383" s="190"/>
      <c r="S2383" s="190"/>
      <c r="T2383" s="190"/>
      <c r="U2383" s="190"/>
      <c r="V2383" s="190"/>
      <c r="W2383" s="190"/>
      <c r="X2383" s="190"/>
      <c r="Y2383" s="190"/>
      <c r="Z2383" s="190"/>
      <c r="AA2383" s="190"/>
      <c r="AB2383" s="190"/>
      <c r="AC2383" s="190"/>
      <c r="AD2383" s="190"/>
      <c r="AE2383" s="190"/>
      <c r="AF2383" s="190"/>
      <c r="AG2383" s="190"/>
      <c r="AH2383" s="190"/>
      <c r="AI2383" s="190"/>
      <c r="AJ2383" s="190"/>
      <c r="AK2383" s="190"/>
      <c r="AL2383" s="190"/>
    </row>
    <row r="2384" spans="2:38" ht="12.75" customHeight="1">
      <c r="B2384" s="485"/>
      <c r="C2384" s="6"/>
      <c r="D2384" s="12"/>
      <c r="E2384" s="12"/>
      <c r="F2384" s="12"/>
      <c r="G2384" s="12"/>
      <c r="H2384" s="6"/>
      <c r="I2384" s="190"/>
      <c r="J2384" s="190"/>
      <c r="K2384" s="190"/>
      <c r="L2384" s="190"/>
      <c r="M2384" s="190"/>
      <c r="N2384" s="190"/>
      <c r="O2384" s="190"/>
      <c r="P2384" s="190"/>
      <c r="Q2384" s="190"/>
      <c r="R2384" s="190"/>
      <c r="S2384" s="190"/>
      <c r="T2384" s="190"/>
      <c r="U2384" s="190"/>
      <c r="V2384" s="190"/>
      <c r="W2384" s="190"/>
      <c r="X2384" s="190"/>
      <c r="Y2384" s="190"/>
      <c r="Z2384" s="190"/>
      <c r="AA2384" s="190"/>
      <c r="AB2384" s="190"/>
      <c r="AC2384" s="190"/>
      <c r="AD2384" s="190"/>
      <c r="AE2384" s="190"/>
      <c r="AF2384" s="190"/>
      <c r="AG2384" s="190"/>
      <c r="AH2384" s="190"/>
      <c r="AI2384" s="190"/>
      <c r="AJ2384" s="190"/>
      <c r="AK2384" s="190"/>
      <c r="AL2384" s="190"/>
    </row>
    <row r="2385" spans="2:38" ht="12.75" customHeight="1">
      <c r="B2385" s="485"/>
      <c r="C2385" s="6"/>
      <c r="D2385" s="12"/>
      <c r="E2385" s="12"/>
      <c r="F2385" s="12"/>
      <c r="G2385" s="12"/>
      <c r="H2385" s="6"/>
      <c r="I2385" s="190"/>
      <c r="J2385" s="190"/>
      <c r="K2385" s="190"/>
      <c r="L2385" s="190"/>
      <c r="M2385" s="190"/>
      <c r="N2385" s="190"/>
      <c r="O2385" s="190"/>
      <c r="P2385" s="190"/>
      <c r="Q2385" s="190"/>
      <c r="R2385" s="190"/>
      <c r="S2385" s="190"/>
      <c r="T2385" s="190"/>
      <c r="U2385" s="190"/>
      <c r="V2385" s="190"/>
      <c r="W2385" s="190"/>
      <c r="X2385" s="190"/>
      <c r="Y2385" s="190"/>
      <c r="Z2385" s="190"/>
      <c r="AA2385" s="190"/>
      <c r="AB2385" s="190"/>
      <c r="AC2385" s="190"/>
      <c r="AD2385" s="190"/>
      <c r="AE2385" s="190"/>
      <c r="AF2385" s="190"/>
      <c r="AG2385" s="190"/>
      <c r="AH2385" s="190"/>
      <c r="AI2385" s="190"/>
      <c r="AJ2385" s="190"/>
      <c r="AK2385" s="190"/>
      <c r="AL2385" s="190"/>
    </row>
    <row r="2386" spans="2:38" ht="12.75" customHeight="1">
      <c r="B2386" s="485"/>
      <c r="C2386" s="6"/>
      <c r="D2386" s="12"/>
      <c r="E2386" s="12"/>
      <c r="F2386" s="12"/>
      <c r="G2386" s="12"/>
      <c r="H2386" s="6"/>
      <c r="I2386" s="190"/>
      <c r="J2386" s="190"/>
      <c r="K2386" s="190"/>
      <c r="L2386" s="190"/>
      <c r="M2386" s="190"/>
      <c r="N2386" s="190"/>
      <c r="O2386" s="190"/>
      <c r="P2386" s="190"/>
      <c r="Q2386" s="190"/>
      <c r="R2386" s="190"/>
      <c r="S2386" s="190"/>
      <c r="T2386" s="190"/>
      <c r="U2386" s="190"/>
      <c r="V2386" s="190"/>
      <c r="W2386" s="190"/>
      <c r="X2386" s="190"/>
      <c r="Y2386" s="190"/>
      <c r="Z2386" s="190"/>
      <c r="AA2386" s="190"/>
      <c r="AB2386" s="190"/>
      <c r="AC2386" s="190"/>
      <c r="AD2386" s="190"/>
      <c r="AE2386" s="190"/>
      <c r="AF2386" s="190"/>
      <c r="AG2386" s="190"/>
      <c r="AH2386" s="190"/>
      <c r="AI2386" s="190"/>
      <c r="AJ2386" s="190"/>
      <c r="AK2386" s="190"/>
      <c r="AL2386" s="190"/>
    </row>
    <row r="2387" spans="2:38" ht="12.75" customHeight="1">
      <c r="B2387" s="485"/>
      <c r="C2387" s="6"/>
      <c r="D2387" s="12"/>
      <c r="E2387" s="12"/>
      <c r="F2387" s="12"/>
      <c r="G2387" s="12"/>
      <c r="H2387" s="6"/>
      <c r="I2387" s="190"/>
      <c r="J2387" s="190"/>
      <c r="K2387" s="190"/>
      <c r="L2387" s="190"/>
      <c r="M2387" s="190"/>
      <c r="N2387" s="190"/>
      <c r="O2387" s="190"/>
      <c r="P2387" s="190"/>
      <c r="Q2387" s="190"/>
      <c r="R2387" s="190"/>
      <c r="S2387" s="190"/>
      <c r="T2387" s="190"/>
      <c r="U2387" s="190"/>
      <c r="V2387" s="190"/>
      <c r="W2387" s="190"/>
      <c r="X2387" s="190"/>
      <c r="Y2387" s="190"/>
      <c r="Z2387" s="190"/>
      <c r="AA2387" s="190"/>
      <c r="AB2387" s="190"/>
      <c r="AC2387" s="190"/>
      <c r="AD2387" s="190"/>
      <c r="AE2387" s="190"/>
      <c r="AF2387" s="190"/>
      <c r="AG2387" s="190"/>
      <c r="AH2387" s="190"/>
      <c r="AI2387" s="190"/>
      <c r="AJ2387" s="190"/>
      <c r="AK2387" s="190"/>
      <c r="AL2387" s="190"/>
    </row>
    <row r="2388" spans="2:38" ht="12.75" customHeight="1">
      <c r="B2388" s="485"/>
      <c r="C2388" s="6"/>
      <c r="D2388" s="12"/>
      <c r="E2388" s="12"/>
      <c r="F2388" s="12"/>
      <c r="G2388" s="12"/>
      <c r="H2388" s="6"/>
      <c r="I2388" s="190"/>
      <c r="J2388" s="190"/>
      <c r="K2388" s="190"/>
      <c r="L2388" s="190"/>
      <c r="M2388" s="190"/>
      <c r="N2388" s="190"/>
      <c r="O2388" s="190"/>
      <c r="P2388" s="190"/>
      <c r="Q2388" s="190"/>
      <c r="R2388" s="190"/>
      <c r="S2388" s="190"/>
      <c r="T2388" s="190"/>
      <c r="U2388" s="190"/>
      <c r="V2388" s="190"/>
      <c r="W2388" s="190"/>
      <c r="X2388" s="190"/>
      <c r="Y2388" s="190"/>
      <c r="Z2388" s="190"/>
      <c r="AA2388" s="190"/>
      <c r="AB2388" s="190"/>
      <c r="AC2388" s="190"/>
      <c r="AD2388" s="190"/>
      <c r="AE2388" s="190"/>
      <c r="AF2388" s="190"/>
      <c r="AG2388" s="190"/>
      <c r="AH2388" s="190"/>
      <c r="AI2388" s="190"/>
      <c r="AJ2388" s="190"/>
      <c r="AK2388" s="190"/>
      <c r="AL2388" s="190"/>
    </row>
    <row r="2389" spans="2:38" ht="12.75" customHeight="1">
      <c r="B2389" s="485"/>
      <c r="C2389" s="6"/>
      <c r="D2389" s="12"/>
      <c r="E2389" s="12"/>
      <c r="F2389" s="12"/>
      <c r="G2389" s="12"/>
      <c r="H2389" s="6"/>
      <c r="I2389" s="190"/>
      <c r="J2389" s="190"/>
      <c r="K2389" s="190"/>
      <c r="L2389" s="190"/>
      <c r="M2389" s="190"/>
      <c r="N2389" s="190"/>
      <c r="O2389" s="190"/>
      <c r="P2389" s="190"/>
      <c r="Q2389" s="190"/>
      <c r="R2389" s="190"/>
      <c r="S2389" s="190"/>
      <c r="T2389" s="190"/>
      <c r="U2389" s="190"/>
      <c r="V2389" s="190"/>
      <c r="W2389" s="190"/>
      <c r="X2389" s="190"/>
      <c r="Y2389" s="190"/>
      <c r="Z2389" s="190"/>
      <c r="AA2389" s="190"/>
      <c r="AB2389" s="190"/>
      <c r="AC2389" s="190"/>
      <c r="AD2389" s="190"/>
      <c r="AE2389" s="190"/>
      <c r="AF2389" s="190"/>
      <c r="AG2389" s="190"/>
      <c r="AH2389" s="190"/>
      <c r="AI2389" s="190"/>
      <c r="AJ2389" s="190"/>
      <c r="AK2389" s="190"/>
      <c r="AL2389" s="190"/>
    </row>
    <row r="2390" spans="2:38" ht="12.75" customHeight="1">
      <c r="B2390" s="485"/>
      <c r="C2390" s="6"/>
      <c r="D2390" s="12"/>
      <c r="E2390" s="12"/>
      <c r="F2390" s="12"/>
      <c r="G2390" s="12"/>
      <c r="H2390" s="6"/>
      <c r="I2390" s="190"/>
      <c r="J2390" s="190"/>
      <c r="K2390" s="190"/>
      <c r="L2390" s="190"/>
      <c r="M2390" s="190"/>
      <c r="N2390" s="190"/>
      <c r="O2390" s="190"/>
      <c r="P2390" s="190"/>
      <c r="Q2390" s="190"/>
      <c r="R2390" s="190"/>
      <c r="S2390" s="190"/>
      <c r="T2390" s="190"/>
      <c r="U2390" s="190"/>
      <c r="V2390" s="190"/>
      <c r="W2390" s="190"/>
      <c r="X2390" s="190"/>
      <c r="Y2390" s="190"/>
      <c r="Z2390" s="190"/>
      <c r="AA2390" s="190"/>
      <c r="AB2390" s="190"/>
      <c r="AC2390" s="190"/>
      <c r="AD2390" s="190"/>
      <c r="AE2390" s="190"/>
      <c r="AF2390" s="190"/>
      <c r="AG2390" s="190"/>
      <c r="AH2390" s="190"/>
      <c r="AI2390" s="190"/>
      <c r="AJ2390" s="190"/>
      <c r="AK2390" s="190"/>
      <c r="AL2390" s="190"/>
    </row>
    <row r="2391" spans="2:38" ht="12.75" customHeight="1">
      <c r="B2391" s="485"/>
      <c r="C2391" s="6"/>
      <c r="D2391" s="12"/>
      <c r="E2391" s="12"/>
      <c r="F2391" s="12"/>
      <c r="G2391" s="12"/>
      <c r="H2391" s="6"/>
      <c r="I2391" s="190"/>
      <c r="J2391" s="190"/>
      <c r="K2391" s="190"/>
      <c r="L2391" s="190"/>
      <c r="M2391" s="190"/>
      <c r="N2391" s="190"/>
      <c r="O2391" s="190"/>
      <c r="P2391" s="190"/>
      <c r="Q2391" s="190"/>
      <c r="R2391" s="190"/>
      <c r="S2391" s="190"/>
      <c r="T2391" s="190"/>
      <c r="U2391" s="190"/>
      <c r="V2391" s="190"/>
      <c r="W2391" s="190"/>
      <c r="X2391" s="190"/>
      <c r="Y2391" s="190"/>
      <c r="Z2391" s="190"/>
      <c r="AA2391" s="190"/>
      <c r="AB2391" s="190"/>
      <c r="AC2391" s="190"/>
      <c r="AD2391" s="190"/>
      <c r="AE2391" s="190"/>
      <c r="AF2391" s="190"/>
      <c r="AG2391" s="190"/>
      <c r="AH2391" s="190"/>
      <c r="AI2391" s="190"/>
      <c r="AJ2391" s="190"/>
      <c r="AK2391" s="190"/>
      <c r="AL2391" s="190"/>
    </row>
    <row r="2392" spans="2:38" ht="12.75" customHeight="1">
      <c r="B2392" s="485"/>
      <c r="C2392" s="6"/>
      <c r="D2392" s="12"/>
      <c r="E2392" s="12"/>
      <c r="F2392" s="12"/>
      <c r="G2392" s="12"/>
      <c r="H2392" s="6"/>
      <c r="I2392" s="190"/>
      <c r="J2392" s="190"/>
      <c r="K2392" s="190"/>
      <c r="L2392" s="190"/>
      <c r="M2392" s="190"/>
      <c r="N2392" s="190"/>
      <c r="O2392" s="190"/>
      <c r="P2392" s="190"/>
      <c r="Q2392" s="190"/>
      <c r="R2392" s="190"/>
      <c r="S2392" s="190"/>
      <c r="T2392" s="190"/>
      <c r="U2392" s="190"/>
      <c r="V2392" s="190"/>
      <c r="W2392" s="190"/>
      <c r="X2392" s="190"/>
      <c r="Y2392" s="190"/>
      <c r="Z2392" s="190"/>
      <c r="AA2392" s="190"/>
      <c r="AB2392" s="190"/>
      <c r="AC2392" s="190"/>
      <c r="AD2392" s="190"/>
      <c r="AE2392" s="190"/>
      <c r="AF2392" s="190"/>
      <c r="AG2392" s="190"/>
      <c r="AH2392" s="190"/>
      <c r="AI2392" s="190"/>
      <c r="AJ2392" s="190"/>
      <c r="AK2392" s="190"/>
      <c r="AL2392" s="190"/>
    </row>
    <row r="2393" spans="2:38" ht="12.75" customHeight="1">
      <c r="B2393" s="485"/>
      <c r="C2393" s="6"/>
      <c r="D2393" s="12"/>
      <c r="E2393" s="12"/>
      <c r="F2393" s="12"/>
      <c r="G2393" s="12"/>
      <c r="H2393" s="6"/>
      <c r="I2393" s="190"/>
      <c r="J2393" s="190"/>
      <c r="K2393" s="190"/>
      <c r="L2393" s="190"/>
      <c r="M2393" s="190"/>
      <c r="N2393" s="190"/>
      <c r="O2393" s="190"/>
      <c r="P2393" s="190"/>
      <c r="Q2393" s="190"/>
      <c r="R2393" s="190"/>
      <c r="S2393" s="190"/>
      <c r="T2393" s="190"/>
      <c r="U2393" s="190"/>
      <c r="V2393" s="190"/>
      <c r="W2393" s="190"/>
      <c r="X2393" s="190"/>
      <c r="Y2393" s="190"/>
      <c r="Z2393" s="190"/>
      <c r="AA2393" s="190"/>
      <c r="AB2393" s="190"/>
      <c r="AC2393" s="190"/>
      <c r="AD2393" s="190"/>
      <c r="AE2393" s="190"/>
      <c r="AF2393" s="190"/>
      <c r="AG2393" s="190"/>
      <c r="AH2393" s="190"/>
      <c r="AI2393" s="190"/>
      <c r="AJ2393" s="190"/>
      <c r="AK2393" s="190"/>
      <c r="AL2393" s="190"/>
    </row>
    <row r="2394" spans="2:38" ht="12.75" customHeight="1">
      <c r="B2394" s="485"/>
      <c r="C2394" s="6"/>
      <c r="D2394" s="12"/>
      <c r="E2394" s="12"/>
      <c r="F2394" s="12"/>
      <c r="G2394" s="12"/>
      <c r="H2394" s="6"/>
      <c r="I2394" s="190"/>
      <c r="J2394" s="190"/>
      <c r="K2394" s="190"/>
      <c r="L2394" s="190"/>
      <c r="M2394" s="190"/>
      <c r="N2394" s="190"/>
      <c r="O2394" s="190"/>
      <c r="P2394" s="190"/>
      <c r="Q2394" s="190"/>
      <c r="R2394" s="190"/>
      <c r="S2394" s="190"/>
      <c r="T2394" s="190"/>
      <c r="U2394" s="190"/>
      <c r="V2394" s="190"/>
      <c r="W2394" s="190"/>
      <c r="X2394" s="190"/>
      <c r="Y2394" s="190"/>
      <c r="Z2394" s="190"/>
      <c r="AA2394" s="190"/>
      <c r="AB2394" s="190"/>
      <c r="AC2394" s="190"/>
      <c r="AD2394" s="190"/>
      <c r="AE2394" s="190"/>
      <c r="AF2394" s="190"/>
      <c r="AG2394" s="190"/>
      <c r="AH2394" s="190"/>
      <c r="AI2394" s="190"/>
      <c r="AJ2394" s="190"/>
      <c r="AK2394" s="190"/>
      <c r="AL2394" s="190"/>
    </row>
    <row r="2395" spans="2:38" ht="12.75" customHeight="1">
      <c r="B2395" s="485"/>
      <c r="C2395" s="6"/>
      <c r="D2395" s="12"/>
      <c r="E2395" s="12"/>
      <c r="F2395" s="12"/>
      <c r="G2395" s="12"/>
      <c r="H2395" s="6"/>
      <c r="I2395" s="190"/>
      <c r="J2395" s="190"/>
      <c r="K2395" s="190"/>
      <c r="L2395" s="190"/>
      <c r="M2395" s="190"/>
      <c r="N2395" s="190"/>
      <c r="O2395" s="190"/>
      <c r="P2395" s="190"/>
      <c r="Q2395" s="190"/>
      <c r="R2395" s="190"/>
      <c r="S2395" s="190"/>
      <c r="T2395" s="190"/>
      <c r="U2395" s="190"/>
      <c r="V2395" s="190"/>
      <c r="W2395" s="190"/>
      <c r="X2395" s="190"/>
      <c r="Y2395" s="190"/>
      <c r="Z2395" s="190"/>
      <c r="AA2395" s="190"/>
      <c r="AB2395" s="190"/>
      <c r="AC2395" s="190"/>
      <c r="AD2395" s="190"/>
      <c r="AE2395" s="190"/>
      <c r="AF2395" s="190"/>
      <c r="AG2395" s="190"/>
      <c r="AH2395" s="190"/>
      <c r="AI2395" s="190"/>
      <c r="AJ2395" s="190"/>
      <c r="AK2395" s="190"/>
      <c r="AL2395" s="190"/>
    </row>
    <row r="2396" spans="2:38" ht="12.75" customHeight="1">
      <c r="B2396" s="485"/>
      <c r="C2396" s="6"/>
      <c r="D2396" s="12"/>
      <c r="E2396" s="12"/>
      <c r="F2396" s="12"/>
      <c r="G2396" s="12"/>
      <c r="H2396" s="6"/>
      <c r="I2396" s="190"/>
      <c r="J2396" s="190"/>
      <c r="K2396" s="190"/>
      <c r="L2396" s="190"/>
      <c r="M2396" s="190"/>
      <c r="N2396" s="190"/>
      <c r="O2396" s="190"/>
      <c r="P2396" s="190"/>
      <c r="Q2396" s="190"/>
      <c r="R2396" s="190"/>
      <c r="S2396" s="190"/>
      <c r="T2396" s="190"/>
      <c r="U2396" s="190"/>
      <c r="V2396" s="190"/>
      <c r="W2396" s="190"/>
      <c r="X2396" s="190"/>
      <c r="Y2396" s="190"/>
      <c r="Z2396" s="190"/>
      <c r="AA2396" s="190"/>
      <c r="AB2396" s="190"/>
      <c r="AC2396" s="190"/>
      <c r="AD2396" s="190"/>
      <c r="AE2396" s="190"/>
      <c r="AF2396" s="190"/>
      <c r="AG2396" s="190"/>
      <c r="AH2396" s="190"/>
      <c r="AI2396" s="190"/>
      <c r="AJ2396" s="190"/>
      <c r="AK2396" s="190"/>
      <c r="AL2396" s="190"/>
    </row>
    <row r="2397" spans="2:38" ht="12.75" customHeight="1">
      <c r="B2397" s="485"/>
      <c r="C2397" s="6"/>
      <c r="D2397" s="12"/>
      <c r="E2397" s="12"/>
      <c r="F2397" s="12"/>
      <c r="G2397" s="12"/>
      <c r="H2397" s="6"/>
      <c r="I2397" s="190"/>
      <c r="J2397" s="190"/>
      <c r="K2397" s="190"/>
      <c r="L2397" s="190"/>
      <c r="M2397" s="190"/>
      <c r="N2397" s="190"/>
      <c r="O2397" s="190"/>
      <c r="P2397" s="190"/>
      <c r="Q2397" s="190"/>
      <c r="R2397" s="190"/>
      <c r="S2397" s="190"/>
      <c r="T2397" s="190"/>
      <c r="U2397" s="190"/>
      <c r="V2397" s="190"/>
      <c r="W2397" s="190"/>
      <c r="X2397" s="190"/>
      <c r="Y2397" s="190"/>
      <c r="Z2397" s="190"/>
      <c r="AA2397" s="190"/>
      <c r="AB2397" s="190"/>
      <c r="AC2397" s="190"/>
      <c r="AD2397" s="190"/>
      <c r="AE2397" s="190"/>
      <c r="AF2397" s="190"/>
      <c r="AG2397" s="190"/>
      <c r="AH2397" s="190"/>
      <c r="AI2397" s="190"/>
      <c r="AJ2397" s="190"/>
      <c r="AK2397" s="190"/>
      <c r="AL2397" s="190"/>
    </row>
    <row r="2398" spans="2:38" ht="12.75" customHeight="1">
      <c r="B2398" s="485"/>
      <c r="C2398" s="6"/>
      <c r="D2398" s="12"/>
      <c r="E2398" s="12"/>
      <c r="F2398" s="12"/>
      <c r="G2398" s="12"/>
      <c r="H2398" s="6"/>
      <c r="I2398" s="190"/>
      <c r="J2398" s="190"/>
      <c r="K2398" s="190"/>
      <c r="L2398" s="190"/>
      <c r="M2398" s="190"/>
      <c r="N2398" s="190"/>
      <c r="O2398" s="190"/>
      <c r="P2398" s="190"/>
      <c r="Q2398" s="190"/>
      <c r="R2398" s="190"/>
      <c r="S2398" s="190"/>
      <c r="T2398" s="190"/>
      <c r="U2398" s="190"/>
      <c r="V2398" s="190"/>
      <c r="W2398" s="190"/>
      <c r="X2398" s="190"/>
      <c r="Y2398" s="190"/>
      <c r="Z2398" s="190"/>
      <c r="AA2398" s="190"/>
      <c r="AB2398" s="190"/>
      <c r="AC2398" s="190"/>
      <c r="AD2398" s="190"/>
      <c r="AE2398" s="190"/>
      <c r="AF2398" s="190"/>
      <c r="AG2398" s="190"/>
      <c r="AH2398" s="190"/>
      <c r="AI2398" s="190"/>
      <c r="AJ2398" s="190"/>
      <c r="AK2398" s="190"/>
      <c r="AL2398" s="190"/>
    </row>
    <row r="2399" spans="2:38" ht="12.75" customHeight="1">
      <c r="B2399" s="485"/>
      <c r="C2399" s="6"/>
      <c r="D2399" s="12"/>
      <c r="E2399" s="12"/>
      <c r="F2399" s="12"/>
      <c r="G2399" s="12"/>
      <c r="H2399" s="6"/>
      <c r="I2399" s="190"/>
      <c r="J2399" s="190"/>
      <c r="K2399" s="190"/>
      <c r="L2399" s="190"/>
      <c r="M2399" s="190"/>
      <c r="N2399" s="190"/>
      <c r="O2399" s="190"/>
      <c r="P2399" s="190"/>
      <c r="Q2399" s="190"/>
      <c r="R2399" s="190"/>
      <c r="S2399" s="190"/>
      <c r="T2399" s="190"/>
      <c r="U2399" s="190"/>
      <c r="V2399" s="190"/>
      <c r="W2399" s="190"/>
      <c r="X2399" s="190"/>
      <c r="Y2399" s="190"/>
      <c r="Z2399" s="190"/>
      <c r="AA2399" s="190"/>
      <c r="AB2399" s="190"/>
      <c r="AC2399" s="190"/>
      <c r="AD2399" s="190"/>
      <c r="AE2399" s="190"/>
      <c r="AF2399" s="190"/>
      <c r="AG2399" s="190"/>
      <c r="AH2399" s="190"/>
      <c r="AI2399" s="190"/>
      <c r="AJ2399" s="190"/>
      <c r="AK2399" s="190"/>
      <c r="AL2399" s="190"/>
    </row>
    <row r="2400" spans="2:38" ht="12.75" customHeight="1">
      <c r="B2400" s="485"/>
      <c r="C2400" s="6"/>
      <c r="D2400" s="12"/>
      <c r="E2400" s="12"/>
      <c r="F2400" s="12"/>
      <c r="G2400" s="12"/>
      <c r="H2400" s="6"/>
      <c r="I2400" s="190"/>
      <c r="J2400" s="190"/>
      <c r="K2400" s="190"/>
      <c r="L2400" s="190"/>
      <c r="M2400" s="190"/>
      <c r="N2400" s="190"/>
      <c r="O2400" s="190"/>
      <c r="P2400" s="190"/>
      <c r="Q2400" s="190"/>
      <c r="R2400" s="190"/>
      <c r="S2400" s="190"/>
      <c r="T2400" s="190"/>
      <c r="U2400" s="190"/>
      <c r="V2400" s="190"/>
      <c r="W2400" s="190"/>
      <c r="X2400" s="190"/>
      <c r="Y2400" s="190"/>
      <c r="Z2400" s="190"/>
      <c r="AA2400" s="190"/>
      <c r="AB2400" s="190"/>
      <c r="AC2400" s="190"/>
      <c r="AD2400" s="190"/>
      <c r="AE2400" s="190"/>
      <c r="AF2400" s="190"/>
      <c r="AG2400" s="190"/>
      <c r="AH2400" s="190"/>
      <c r="AI2400" s="190"/>
      <c r="AJ2400" s="190"/>
      <c r="AK2400" s="190"/>
      <c r="AL2400" s="190"/>
    </row>
    <row r="2401" spans="2:38" ht="12.75" customHeight="1">
      <c r="B2401" s="485"/>
      <c r="C2401" s="6"/>
      <c r="D2401" s="12"/>
      <c r="E2401" s="12"/>
      <c r="F2401" s="12"/>
      <c r="G2401" s="12"/>
      <c r="H2401" s="6"/>
      <c r="I2401" s="190"/>
      <c r="J2401" s="190"/>
      <c r="K2401" s="190"/>
      <c r="L2401" s="190"/>
      <c r="M2401" s="190"/>
      <c r="N2401" s="190"/>
      <c r="O2401" s="190"/>
      <c r="P2401" s="190"/>
      <c r="Q2401" s="190"/>
      <c r="R2401" s="190"/>
      <c r="S2401" s="190"/>
      <c r="T2401" s="190"/>
      <c r="U2401" s="190"/>
      <c r="V2401" s="190"/>
      <c r="W2401" s="190"/>
      <c r="X2401" s="190"/>
      <c r="Y2401" s="190"/>
      <c r="Z2401" s="190"/>
      <c r="AA2401" s="190"/>
      <c r="AB2401" s="190"/>
      <c r="AC2401" s="190"/>
      <c r="AD2401" s="190"/>
      <c r="AE2401" s="190"/>
      <c r="AF2401" s="190"/>
      <c r="AG2401" s="190"/>
      <c r="AH2401" s="190"/>
      <c r="AI2401" s="190"/>
      <c r="AJ2401" s="190"/>
      <c r="AK2401" s="190"/>
      <c r="AL2401" s="190"/>
    </row>
    <row r="2402" spans="2:38" ht="12.75" customHeight="1">
      <c r="B2402" s="485"/>
      <c r="C2402" s="6"/>
      <c r="D2402" s="12"/>
      <c r="E2402" s="12"/>
      <c r="F2402" s="12"/>
      <c r="G2402" s="12"/>
      <c r="H2402" s="6"/>
      <c r="I2402" s="190"/>
      <c r="J2402" s="190"/>
      <c r="K2402" s="190"/>
      <c r="L2402" s="190"/>
      <c r="M2402" s="190"/>
      <c r="N2402" s="190"/>
      <c r="O2402" s="190"/>
      <c r="P2402" s="190"/>
      <c r="Q2402" s="190"/>
      <c r="R2402" s="190"/>
      <c r="S2402" s="190"/>
      <c r="T2402" s="190"/>
      <c r="U2402" s="190"/>
      <c r="V2402" s="190"/>
      <c r="W2402" s="190"/>
      <c r="X2402" s="190"/>
      <c r="Y2402" s="190"/>
      <c r="Z2402" s="190"/>
      <c r="AA2402" s="190"/>
      <c r="AB2402" s="190"/>
      <c r="AC2402" s="190"/>
      <c r="AD2402" s="190"/>
      <c r="AE2402" s="190"/>
      <c r="AF2402" s="190"/>
      <c r="AG2402" s="190"/>
      <c r="AH2402" s="190"/>
      <c r="AI2402" s="190"/>
      <c r="AJ2402" s="190"/>
      <c r="AK2402" s="190"/>
      <c r="AL2402" s="190"/>
    </row>
    <row r="2403" spans="2:38" ht="12.75" customHeight="1">
      <c r="B2403" s="485"/>
      <c r="C2403" s="6"/>
      <c r="D2403" s="12"/>
      <c r="E2403" s="12"/>
      <c r="F2403" s="12"/>
      <c r="G2403" s="12"/>
      <c r="H2403" s="6"/>
      <c r="I2403" s="190"/>
      <c r="J2403" s="190"/>
      <c r="K2403" s="190"/>
      <c r="L2403" s="190"/>
      <c r="M2403" s="190"/>
      <c r="N2403" s="190"/>
      <c r="O2403" s="190"/>
      <c r="P2403" s="190"/>
      <c r="Q2403" s="190"/>
      <c r="R2403" s="190"/>
      <c r="S2403" s="190"/>
      <c r="T2403" s="190"/>
      <c r="U2403" s="190"/>
      <c r="V2403" s="190"/>
      <c r="W2403" s="190"/>
      <c r="X2403" s="190"/>
      <c r="Y2403" s="190"/>
      <c r="Z2403" s="190"/>
      <c r="AA2403" s="190"/>
      <c r="AB2403" s="190"/>
      <c r="AC2403" s="190"/>
      <c r="AD2403" s="190"/>
      <c r="AE2403" s="190"/>
      <c r="AF2403" s="190"/>
      <c r="AG2403" s="190"/>
      <c r="AH2403" s="190"/>
      <c r="AI2403" s="190"/>
      <c r="AJ2403" s="190"/>
      <c r="AK2403" s="190"/>
      <c r="AL2403" s="190"/>
    </row>
    <row r="2404" spans="2:38" ht="12.75" customHeight="1">
      <c r="B2404" s="485"/>
      <c r="C2404" s="6"/>
      <c r="D2404" s="12"/>
      <c r="E2404" s="12"/>
      <c r="F2404" s="12"/>
      <c r="G2404" s="12"/>
      <c r="H2404" s="6"/>
      <c r="I2404" s="190"/>
      <c r="J2404" s="190"/>
      <c r="K2404" s="190"/>
      <c r="L2404" s="190"/>
      <c r="M2404" s="190"/>
      <c r="N2404" s="190"/>
      <c r="O2404" s="190"/>
      <c r="P2404" s="190"/>
      <c r="Q2404" s="190"/>
      <c r="R2404" s="190"/>
      <c r="S2404" s="190"/>
      <c r="T2404" s="190"/>
      <c r="U2404" s="190"/>
      <c r="V2404" s="190"/>
      <c r="W2404" s="190"/>
      <c r="X2404" s="190"/>
      <c r="Y2404" s="190"/>
      <c r="Z2404" s="190"/>
      <c r="AA2404" s="190"/>
      <c r="AB2404" s="190"/>
      <c r="AC2404" s="190"/>
      <c r="AD2404" s="190"/>
      <c r="AE2404" s="190"/>
      <c r="AF2404" s="190"/>
      <c r="AG2404" s="190"/>
      <c r="AH2404" s="190"/>
      <c r="AI2404" s="190"/>
      <c r="AJ2404" s="190"/>
      <c r="AK2404" s="190"/>
      <c r="AL2404" s="190"/>
    </row>
    <row r="2405" spans="2:38" ht="12.75" customHeight="1">
      <c r="B2405" s="485"/>
      <c r="C2405" s="6"/>
      <c r="D2405" s="12"/>
      <c r="E2405" s="12"/>
      <c r="F2405" s="12"/>
      <c r="G2405" s="12"/>
      <c r="H2405" s="6"/>
      <c r="I2405" s="190"/>
      <c r="J2405" s="190"/>
      <c r="K2405" s="190"/>
      <c r="L2405" s="190"/>
      <c r="M2405" s="190"/>
      <c r="N2405" s="190"/>
      <c r="O2405" s="190"/>
      <c r="P2405" s="190"/>
      <c r="Q2405" s="190"/>
      <c r="R2405" s="190"/>
      <c r="S2405" s="190"/>
      <c r="T2405" s="190"/>
      <c r="U2405" s="190"/>
      <c r="V2405" s="190"/>
      <c r="W2405" s="190"/>
      <c r="X2405" s="190"/>
      <c r="Y2405" s="190"/>
      <c r="Z2405" s="190"/>
      <c r="AA2405" s="190"/>
      <c r="AB2405" s="190"/>
      <c r="AC2405" s="190"/>
      <c r="AD2405" s="190"/>
      <c r="AE2405" s="190"/>
      <c r="AF2405" s="190"/>
      <c r="AG2405" s="190"/>
      <c r="AH2405" s="190"/>
      <c r="AI2405" s="190"/>
      <c r="AJ2405" s="190"/>
      <c r="AK2405" s="190"/>
      <c r="AL2405" s="190"/>
    </row>
    <row r="2406" spans="2:38" ht="12.75" customHeight="1">
      <c r="B2406" s="485"/>
      <c r="C2406" s="6"/>
      <c r="D2406" s="12"/>
      <c r="E2406" s="12"/>
      <c r="F2406" s="12"/>
      <c r="G2406" s="12"/>
      <c r="H2406" s="6"/>
      <c r="I2406" s="190"/>
      <c r="J2406" s="190"/>
      <c r="K2406" s="190"/>
      <c r="L2406" s="190"/>
      <c r="M2406" s="190"/>
      <c r="N2406" s="190"/>
      <c r="O2406" s="190"/>
      <c r="P2406" s="190"/>
      <c r="Q2406" s="190"/>
      <c r="R2406" s="190"/>
      <c r="S2406" s="190"/>
      <c r="T2406" s="190"/>
      <c r="U2406" s="190"/>
      <c r="V2406" s="190"/>
      <c r="W2406" s="190"/>
      <c r="X2406" s="190"/>
      <c r="Y2406" s="190"/>
      <c r="Z2406" s="190"/>
      <c r="AA2406" s="190"/>
      <c r="AB2406" s="190"/>
      <c r="AC2406" s="190"/>
      <c r="AD2406" s="190"/>
      <c r="AE2406" s="190"/>
      <c r="AF2406" s="190"/>
      <c r="AG2406" s="190"/>
      <c r="AH2406" s="190"/>
      <c r="AI2406" s="190"/>
      <c r="AJ2406" s="190"/>
      <c r="AK2406" s="190"/>
      <c r="AL2406" s="190"/>
    </row>
    <row r="2407" spans="2:38" ht="12.75" customHeight="1">
      <c r="B2407" s="485"/>
      <c r="C2407" s="6"/>
      <c r="D2407" s="12"/>
      <c r="E2407" s="12"/>
      <c r="F2407" s="12"/>
      <c r="G2407" s="12"/>
      <c r="H2407" s="6"/>
      <c r="I2407" s="190"/>
      <c r="J2407" s="190"/>
      <c r="K2407" s="190"/>
      <c r="L2407" s="190"/>
      <c r="M2407" s="190"/>
      <c r="N2407" s="190"/>
      <c r="O2407" s="190"/>
      <c r="P2407" s="190"/>
      <c r="Q2407" s="190"/>
      <c r="R2407" s="190"/>
      <c r="S2407" s="190"/>
      <c r="T2407" s="190"/>
      <c r="U2407" s="190"/>
      <c r="V2407" s="190"/>
      <c r="W2407" s="190"/>
      <c r="X2407" s="190"/>
      <c r="Y2407" s="190"/>
      <c r="Z2407" s="190"/>
      <c r="AA2407" s="190"/>
      <c r="AB2407" s="190"/>
      <c r="AC2407" s="190"/>
      <c r="AD2407" s="190"/>
      <c r="AE2407" s="190"/>
      <c r="AF2407" s="190"/>
      <c r="AG2407" s="190"/>
      <c r="AH2407" s="190"/>
      <c r="AI2407" s="190"/>
      <c r="AJ2407" s="190"/>
      <c r="AK2407" s="190"/>
      <c r="AL2407" s="190"/>
    </row>
    <row r="2408" spans="2:38" ht="12.75" customHeight="1">
      <c r="B2408" s="485"/>
      <c r="C2408" s="6"/>
      <c r="D2408" s="12"/>
      <c r="E2408" s="12"/>
      <c r="F2408" s="12"/>
      <c r="G2408" s="12"/>
      <c r="H2408" s="6"/>
      <c r="I2408" s="190"/>
      <c r="J2408" s="190"/>
      <c r="K2408" s="190"/>
      <c r="L2408" s="190"/>
      <c r="M2408" s="190"/>
      <c r="N2408" s="190"/>
      <c r="O2408" s="190"/>
      <c r="P2408" s="190"/>
      <c r="Q2408" s="190"/>
      <c r="R2408" s="190"/>
      <c r="S2408" s="190"/>
      <c r="T2408" s="190"/>
      <c r="U2408" s="190"/>
      <c r="V2408" s="190"/>
      <c r="W2408" s="190"/>
      <c r="X2408" s="190"/>
      <c r="Y2408" s="190"/>
      <c r="Z2408" s="190"/>
      <c r="AA2408" s="190"/>
      <c r="AB2408" s="190"/>
      <c r="AC2408" s="190"/>
      <c r="AD2408" s="190"/>
      <c r="AE2408" s="190"/>
      <c r="AF2408" s="190"/>
      <c r="AG2408" s="190"/>
      <c r="AH2408" s="190"/>
      <c r="AI2408" s="190"/>
      <c r="AJ2408" s="190"/>
      <c r="AK2408" s="190"/>
      <c r="AL2408" s="190"/>
    </row>
    <row r="2409" spans="2:38" ht="12.75" customHeight="1">
      <c r="B2409" s="485"/>
      <c r="C2409" s="6"/>
      <c r="D2409" s="12"/>
      <c r="E2409" s="12"/>
      <c r="F2409" s="12"/>
      <c r="G2409" s="12"/>
      <c r="H2409" s="6"/>
      <c r="I2409" s="190"/>
      <c r="J2409" s="190"/>
      <c r="K2409" s="190"/>
      <c r="L2409" s="190"/>
      <c r="M2409" s="190"/>
      <c r="N2409" s="190"/>
      <c r="O2409" s="190"/>
      <c r="P2409" s="190"/>
      <c r="Q2409" s="190"/>
      <c r="R2409" s="190"/>
      <c r="S2409" s="190"/>
      <c r="T2409" s="190"/>
      <c r="U2409" s="190"/>
      <c r="V2409" s="190"/>
      <c r="W2409" s="190"/>
      <c r="X2409" s="190"/>
      <c r="Y2409" s="190"/>
      <c r="Z2409" s="190"/>
      <c r="AA2409" s="190"/>
      <c r="AB2409" s="190"/>
      <c r="AC2409" s="190"/>
      <c r="AD2409" s="190"/>
      <c r="AE2409" s="190"/>
      <c r="AF2409" s="190"/>
      <c r="AG2409" s="190"/>
      <c r="AH2409" s="190"/>
      <c r="AI2409" s="190"/>
      <c r="AJ2409" s="190"/>
      <c r="AK2409" s="190"/>
      <c r="AL2409" s="190"/>
    </row>
    <row r="2410" spans="2:38" ht="12.75" customHeight="1">
      <c r="B2410" s="485"/>
      <c r="C2410" s="6"/>
      <c r="D2410" s="12"/>
      <c r="E2410" s="12"/>
      <c r="F2410" s="12"/>
      <c r="G2410" s="12"/>
      <c r="H2410" s="6"/>
      <c r="I2410" s="190"/>
      <c r="J2410" s="190"/>
      <c r="K2410" s="190"/>
      <c r="L2410" s="190"/>
      <c r="M2410" s="190"/>
      <c r="N2410" s="190"/>
      <c r="O2410" s="190"/>
      <c r="P2410" s="190"/>
      <c r="Q2410" s="190"/>
      <c r="R2410" s="190"/>
      <c r="S2410" s="190"/>
      <c r="T2410" s="190"/>
      <c r="U2410" s="190"/>
      <c r="V2410" s="190"/>
      <c r="W2410" s="190"/>
      <c r="X2410" s="190"/>
      <c r="Y2410" s="190"/>
      <c r="Z2410" s="190"/>
      <c r="AA2410" s="190"/>
      <c r="AB2410" s="190"/>
      <c r="AC2410" s="190"/>
      <c r="AD2410" s="190"/>
      <c r="AE2410" s="190"/>
      <c r="AF2410" s="190"/>
      <c r="AG2410" s="190"/>
      <c r="AH2410" s="190"/>
      <c r="AI2410" s="190"/>
      <c r="AJ2410" s="190"/>
      <c r="AK2410" s="190"/>
      <c r="AL2410" s="190"/>
    </row>
    <row r="2411" spans="2:38" ht="12.75" customHeight="1">
      <c r="B2411" s="485"/>
      <c r="C2411" s="6"/>
      <c r="D2411" s="12"/>
      <c r="E2411" s="12"/>
      <c r="F2411" s="12"/>
      <c r="G2411" s="12"/>
      <c r="H2411" s="6"/>
      <c r="I2411" s="190"/>
      <c r="J2411" s="190"/>
      <c r="K2411" s="190"/>
      <c r="L2411" s="190"/>
      <c r="M2411" s="190"/>
      <c r="N2411" s="190"/>
      <c r="O2411" s="190"/>
      <c r="P2411" s="190"/>
      <c r="Q2411" s="190"/>
      <c r="R2411" s="190"/>
      <c r="S2411" s="190"/>
      <c r="T2411" s="190"/>
      <c r="U2411" s="190"/>
      <c r="V2411" s="190"/>
      <c r="W2411" s="190"/>
      <c r="X2411" s="190"/>
      <c r="Y2411" s="190"/>
      <c r="Z2411" s="190"/>
      <c r="AA2411" s="190"/>
      <c r="AB2411" s="190"/>
      <c r="AC2411" s="190"/>
      <c r="AD2411" s="190"/>
      <c r="AE2411" s="190"/>
      <c r="AF2411" s="190"/>
      <c r="AG2411" s="190"/>
      <c r="AH2411" s="190"/>
      <c r="AI2411" s="190"/>
      <c r="AJ2411" s="190"/>
      <c r="AK2411" s="190"/>
      <c r="AL2411" s="190"/>
    </row>
    <row r="2412" spans="2:38" ht="12.75" customHeight="1">
      <c r="B2412" s="485"/>
      <c r="C2412" s="6"/>
      <c r="D2412" s="12"/>
      <c r="E2412" s="12"/>
      <c r="F2412" s="12"/>
      <c r="G2412" s="12"/>
      <c r="H2412" s="6"/>
      <c r="I2412" s="190"/>
      <c r="J2412" s="190"/>
      <c r="K2412" s="190"/>
      <c r="L2412" s="190"/>
      <c r="M2412" s="190"/>
      <c r="N2412" s="190"/>
      <c r="O2412" s="190"/>
      <c r="P2412" s="190"/>
      <c r="Q2412" s="190"/>
      <c r="R2412" s="190"/>
      <c r="S2412" s="190"/>
      <c r="T2412" s="190"/>
      <c r="U2412" s="190"/>
      <c r="V2412" s="190"/>
      <c r="W2412" s="190"/>
      <c r="X2412" s="190"/>
      <c r="Y2412" s="190"/>
      <c r="Z2412" s="190"/>
      <c r="AA2412" s="190"/>
      <c r="AB2412" s="190"/>
      <c r="AC2412" s="190"/>
      <c r="AD2412" s="190"/>
      <c r="AE2412" s="190"/>
      <c r="AF2412" s="190"/>
      <c r="AG2412" s="190"/>
      <c r="AH2412" s="190"/>
      <c r="AI2412" s="190"/>
      <c r="AJ2412" s="190"/>
      <c r="AK2412" s="190"/>
      <c r="AL2412" s="190"/>
    </row>
    <row r="2413" spans="2:38" ht="12.75" customHeight="1">
      <c r="B2413" s="485"/>
      <c r="C2413" s="6"/>
      <c r="D2413" s="12"/>
      <c r="E2413" s="12"/>
      <c r="F2413" s="12"/>
      <c r="G2413" s="12"/>
      <c r="H2413" s="6"/>
      <c r="I2413" s="190"/>
      <c r="J2413" s="190"/>
      <c r="K2413" s="190"/>
      <c r="L2413" s="190"/>
      <c r="M2413" s="190"/>
      <c r="N2413" s="190"/>
      <c r="O2413" s="190"/>
      <c r="P2413" s="190"/>
      <c r="Q2413" s="190"/>
      <c r="R2413" s="190"/>
      <c r="S2413" s="190"/>
      <c r="T2413" s="190"/>
      <c r="U2413" s="190"/>
      <c r="V2413" s="190"/>
      <c r="W2413" s="190"/>
      <c r="X2413" s="190"/>
      <c r="Y2413" s="190"/>
      <c r="Z2413" s="190"/>
      <c r="AA2413" s="190"/>
      <c r="AB2413" s="190"/>
      <c r="AC2413" s="190"/>
      <c r="AD2413" s="190"/>
      <c r="AE2413" s="190"/>
      <c r="AF2413" s="190"/>
      <c r="AG2413" s="190"/>
      <c r="AH2413" s="190"/>
      <c r="AI2413" s="190"/>
      <c r="AJ2413" s="190"/>
      <c r="AK2413" s="190"/>
      <c r="AL2413" s="190"/>
    </row>
    <row r="2414" spans="2:38" ht="12.75" customHeight="1">
      <c r="B2414" s="485"/>
      <c r="C2414" s="6"/>
      <c r="D2414" s="12"/>
      <c r="E2414" s="12"/>
      <c r="F2414" s="12"/>
      <c r="G2414" s="12"/>
      <c r="H2414" s="6"/>
      <c r="I2414" s="190"/>
      <c r="J2414" s="190"/>
      <c r="K2414" s="190"/>
      <c r="L2414" s="190"/>
      <c r="M2414" s="190"/>
      <c r="N2414" s="190"/>
      <c r="O2414" s="190"/>
      <c r="P2414" s="190"/>
      <c r="Q2414" s="190"/>
      <c r="R2414" s="190"/>
      <c r="S2414" s="190"/>
      <c r="T2414" s="190"/>
      <c r="U2414" s="190"/>
      <c r="V2414" s="190"/>
      <c r="W2414" s="190"/>
      <c r="X2414" s="190"/>
      <c r="Y2414" s="190"/>
      <c r="Z2414" s="190"/>
      <c r="AA2414" s="190"/>
      <c r="AB2414" s="190"/>
      <c r="AC2414" s="190"/>
      <c r="AD2414" s="190"/>
      <c r="AE2414" s="190"/>
      <c r="AF2414" s="190"/>
      <c r="AG2414" s="190"/>
      <c r="AH2414" s="190"/>
      <c r="AI2414" s="190"/>
      <c r="AJ2414" s="190"/>
      <c r="AK2414" s="190"/>
      <c r="AL2414" s="190"/>
    </row>
    <row r="2415" spans="2:38" ht="12.75" customHeight="1">
      <c r="B2415" s="485"/>
      <c r="C2415" s="6"/>
      <c r="D2415" s="12"/>
      <c r="E2415" s="12"/>
      <c r="F2415" s="12"/>
      <c r="G2415" s="12"/>
      <c r="H2415" s="6"/>
      <c r="I2415" s="190"/>
      <c r="J2415" s="190"/>
      <c r="K2415" s="190"/>
      <c r="L2415" s="190"/>
      <c r="M2415" s="190"/>
      <c r="N2415" s="190"/>
      <c r="O2415" s="190"/>
      <c r="P2415" s="190"/>
      <c r="Q2415" s="190"/>
      <c r="R2415" s="190"/>
      <c r="S2415" s="190"/>
      <c r="T2415" s="190"/>
      <c r="U2415" s="190"/>
      <c r="V2415" s="190"/>
      <c r="W2415" s="190"/>
      <c r="X2415" s="190"/>
      <c r="Y2415" s="190"/>
      <c r="Z2415" s="190"/>
      <c r="AA2415" s="190"/>
      <c r="AB2415" s="190"/>
      <c r="AC2415" s="190"/>
      <c r="AD2415" s="190"/>
      <c r="AE2415" s="190"/>
      <c r="AF2415" s="190"/>
      <c r="AG2415" s="190"/>
      <c r="AH2415" s="190"/>
      <c r="AI2415" s="190"/>
      <c r="AJ2415" s="190"/>
      <c r="AK2415" s="190"/>
      <c r="AL2415" s="190"/>
    </row>
    <row r="2416" spans="2:38" ht="12.75" customHeight="1">
      <c r="B2416" s="485"/>
      <c r="C2416" s="6"/>
      <c r="D2416" s="12"/>
      <c r="E2416" s="12"/>
      <c r="F2416" s="12"/>
      <c r="G2416" s="12"/>
      <c r="H2416" s="6"/>
      <c r="I2416" s="190"/>
      <c r="J2416" s="190"/>
      <c r="K2416" s="190"/>
      <c r="L2416" s="190"/>
      <c r="M2416" s="190"/>
      <c r="N2416" s="190"/>
      <c r="O2416" s="190"/>
      <c r="P2416" s="190"/>
      <c r="Q2416" s="190"/>
      <c r="R2416" s="190"/>
      <c r="S2416" s="190"/>
      <c r="T2416" s="190"/>
      <c r="U2416" s="190"/>
      <c r="V2416" s="190"/>
      <c r="W2416" s="190"/>
      <c r="X2416" s="190"/>
      <c r="Y2416" s="190"/>
      <c r="Z2416" s="190"/>
      <c r="AA2416" s="190"/>
      <c r="AB2416" s="190"/>
      <c r="AC2416" s="190"/>
      <c r="AD2416" s="190"/>
      <c r="AE2416" s="190"/>
      <c r="AF2416" s="190"/>
      <c r="AG2416" s="190"/>
      <c r="AH2416" s="190"/>
      <c r="AI2416" s="190"/>
      <c r="AJ2416" s="190"/>
      <c r="AK2416" s="190"/>
      <c r="AL2416" s="190"/>
    </row>
    <row r="2417" spans="2:38" ht="12.75" customHeight="1">
      <c r="B2417" s="485"/>
      <c r="C2417" s="6"/>
      <c r="D2417" s="12"/>
      <c r="E2417" s="12"/>
      <c r="F2417" s="12"/>
      <c r="G2417" s="12"/>
      <c r="H2417" s="6"/>
      <c r="I2417" s="190"/>
      <c r="J2417" s="190"/>
      <c r="K2417" s="190"/>
      <c r="L2417" s="190"/>
      <c r="M2417" s="190"/>
      <c r="N2417" s="190"/>
      <c r="O2417" s="190"/>
      <c r="P2417" s="190"/>
      <c r="Q2417" s="190"/>
      <c r="R2417" s="190"/>
      <c r="S2417" s="190"/>
      <c r="T2417" s="190"/>
      <c r="U2417" s="190"/>
      <c r="V2417" s="190"/>
      <c r="W2417" s="190"/>
      <c r="X2417" s="190"/>
      <c r="Y2417" s="190"/>
      <c r="Z2417" s="190"/>
      <c r="AA2417" s="190"/>
      <c r="AB2417" s="190"/>
      <c r="AC2417" s="190"/>
      <c r="AD2417" s="190"/>
      <c r="AE2417" s="190"/>
      <c r="AF2417" s="190"/>
      <c r="AG2417" s="190"/>
      <c r="AH2417" s="190"/>
      <c r="AI2417" s="190"/>
      <c r="AJ2417" s="190"/>
      <c r="AK2417" s="190"/>
      <c r="AL2417" s="190"/>
    </row>
    <row r="2418" spans="2:38" ht="12.75" customHeight="1">
      <c r="B2418" s="485"/>
      <c r="C2418" s="6"/>
      <c r="D2418" s="12"/>
      <c r="E2418" s="12"/>
      <c r="F2418" s="12"/>
      <c r="G2418" s="12"/>
      <c r="H2418" s="6"/>
      <c r="I2418" s="190"/>
      <c r="J2418" s="190"/>
      <c r="K2418" s="190"/>
      <c r="L2418" s="190"/>
      <c r="M2418" s="190"/>
      <c r="N2418" s="190"/>
      <c r="O2418" s="190"/>
      <c r="P2418" s="190"/>
      <c r="Q2418" s="190"/>
      <c r="R2418" s="190"/>
      <c r="S2418" s="190"/>
      <c r="T2418" s="190"/>
      <c r="U2418" s="190"/>
      <c r="V2418" s="190"/>
      <c r="W2418" s="190"/>
      <c r="X2418" s="190"/>
      <c r="Y2418" s="190"/>
      <c r="Z2418" s="190"/>
      <c r="AA2418" s="190"/>
      <c r="AB2418" s="190"/>
      <c r="AC2418" s="190"/>
      <c r="AD2418" s="190"/>
      <c r="AE2418" s="190"/>
      <c r="AF2418" s="190"/>
      <c r="AG2418" s="190"/>
      <c r="AH2418" s="190"/>
      <c r="AI2418" s="190"/>
      <c r="AJ2418" s="190"/>
      <c r="AK2418" s="190"/>
      <c r="AL2418" s="190"/>
    </row>
    <row r="2419" spans="2:38" ht="12.75" customHeight="1">
      <c r="B2419" s="485"/>
      <c r="C2419" s="6"/>
      <c r="D2419" s="12"/>
      <c r="E2419" s="12"/>
      <c r="F2419" s="12"/>
      <c r="G2419" s="12"/>
      <c r="H2419" s="6"/>
      <c r="I2419" s="190"/>
      <c r="J2419" s="190"/>
      <c r="K2419" s="190"/>
      <c r="L2419" s="190"/>
      <c r="M2419" s="190"/>
      <c r="N2419" s="190"/>
      <c r="O2419" s="190"/>
      <c r="P2419" s="190"/>
      <c r="Q2419" s="190"/>
      <c r="R2419" s="190"/>
      <c r="S2419" s="190"/>
      <c r="T2419" s="190"/>
      <c r="U2419" s="190"/>
      <c r="V2419" s="190"/>
      <c r="W2419" s="190"/>
      <c r="X2419" s="190"/>
      <c r="Y2419" s="190"/>
      <c r="Z2419" s="190"/>
      <c r="AA2419" s="190"/>
      <c r="AB2419" s="190"/>
      <c r="AC2419" s="190"/>
      <c r="AD2419" s="190"/>
      <c r="AE2419" s="190"/>
      <c r="AF2419" s="190"/>
      <c r="AG2419" s="190"/>
      <c r="AH2419" s="190"/>
      <c r="AI2419" s="190"/>
      <c r="AJ2419" s="190"/>
      <c r="AK2419" s="190"/>
      <c r="AL2419" s="190"/>
    </row>
    <row r="2420" spans="2:38" ht="12.75" customHeight="1">
      <c r="B2420" s="485"/>
      <c r="C2420" s="6"/>
      <c r="D2420" s="12"/>
      <c r="E2420" s="12"/>
      <c r="F2420" s="12"/>
      <c r="G2420" s="12"/>
      <c r="H2420" s="6"/>
      <c r="I2420" s="190"/>
      <c r="J2420" s="190"/>
      <c r="K2420" s="190"/>
      <c r="L2420" s="190"/>
      <c r="M2420" s="190"/>
      <c r="N2420" s="190"/>
      <c r="O2420" s="190"/>
      <c r="P2420" s="190"/>
      <c r="Q2420" s="190"/>
      <c r="R2420" s="190"/>
      <c r="S2420" s="190"/>
      <c r="T2420" s="190"/>
      <c r="U2420" s="190"/>
      <c r="V2420" s="190"/>
      <c r="W2420" s="190"/>
      <c r="X2420" s="190"/>
      <c r="Y2420" s="190"/>
      <c r="Z2420" s="190"/>
      <c r="AA2420" s="190"/>
      <c r="AB2420" s="190"/>
      <c r="AC2420" s="190"/>
      <c r="AD2420" s="190"/>
      <c r="AE2420" s="190"/>
      <c r="AF2420" s="190"/>
      <c r="AG2420" s="190"/>
      <c r="AH2420" s="190"/>
      <c r="AI2420" s="190"/>
      <c r="AJ2420" s="190"/>
      <c r="AK2420" s="190"/>
      <c r="AL2420" s="190"/>
    </row>
    <row r="2421" spans="2:38" ht="12.75" customHeight="1">
      <c r="B2421" s="485"/>
      <c r="C2421" s="6"/>
      <c r="D2421" s="12"/>
      <c r="E2421" s="12"/>
      <c r="F2421" s="12"/>
      <c r="G2421" s="12"/>
      <c r="H2421" s="6"/>
      <c r="I2421" s="190"/>
      <c r="J2421" s="190"/>
      <c r="K2421" s="190"/>
      <c r="L2421" s="190"/>
      <c r="M2421" s="190"/>
      <c r="N2421" s="190"/>
      <c r="O2421" s="190"/>
      <c r="P2421" s="190"/>
      <c r="Q2421" s="190"/>
      <c r="R2421" s="190"/>
      <c r="S2421" s="190"/>
      <c r="T2421" s="190"/>
      <c r="U2421" s="190"/>
      <c r="V2421" s="190"/>
      <c r="W2421" s="190"/>
      <c r="X2421" s="190"/>
      <c r="Y2421" s="190"/>
      <c r="Z2421" s="190"/>
      <c r="AA2421" s="190"/>
      <c r="AB2421" s="190"/>
      <c r="AC2421" s="190"/>
      <c r="AD2421" s="190"/>
      <c r="AE2421" s="190"/>
      <c r="AF2421" s="190"/>
      <c r="AG2421" s="190"/>
      <c r="AH2421" s="190"/>
      <c r="AI2421" s="190"/>
      <c r="AJ2421" s="190"/>
      <c r="AK2421" s="190"/>
      <c r="AL2421" s="190"/>
    </row>
    <row r="2422" spans="2:38" ht="12.75" customHeight="1">
      <c r="B2422" s="485"/>
      <c r="C2422" s="6"/>
      <c r="D2422" s="12"/>
      <c r="E2422" s="12"/>
      <c r="F2422" s="12"/>
      <c r="G2422" s="12"/>
      <c r="H2422" s="6"/>
      <c r="I2422" s="190"/>
      <c r="J2422" s="190"/>
      <c r="K2422" s="190"/>
      <c r="L2422" s="190"/>
      <c r="M2422" s="190"/>
      <c r="N2422" s="190"/>
      <c r="O2422" s="190"/>
      <c r="P2422" s="190"/>
      <c r="Q2422" s="190"/>
      <c r="R2422" s="190"/>
      <c r="S2422" s="190"/>
      <c r="T2422" s="190"/>
      <c r="U2422" s="190"/>
      <c r="V2422" s="190"/>
      <c r="W2422" s="190"/>
      <c r="X2422" s="190"/>
      <c r="Y2422" s="190"/>
      <c r="Z2422" s="190"/>
      <c r="AA2422" s="190"/>
      <c r="AB2422" s="190"/>
      <c r="AC2422" s="190"/>
      <c r="AD2422" s="190"/>
      <c r="AE2422" s="190"/>
      <c r="AF2422" s="190"/>
      <c r="AG2422" s="190"/>
      <c r="AH2422" s="190"/>
      <c r="AI2422" s="190"/>
      <c r="AJ2422" s="190"/>
      <c r="AK2422" s="190"/>
      <c r="AL2422" s="190"/>
    </row>
    <row r="2423" spans="2:38" ht="12.75" customHeight="1">
      <c r="B2423" s="485"/>
      <c r="C2423" s="6"/>
      <c r="D2423" s="12"/>
      <c r="E2423" s="12"/>
      <c r="F2423" s="12"/>
      <c r="G2423" s="12"/>
      <c r="H2423" s="6"/>
      <c r="I2423" s="190"/>
      <c r="J2423" s="190"/>
      <c r="K2423" s="190"/>
      <c r="L2423" s="190"/>
      <c r="M2423" s="190"/>
      <c r="N2423" s="190"/>
      <c r="O2423" s="190"/>
      <c r="P2423" s="190"/>
      <c r="Q2423" s="190"/>
      <c r="R2423" s="190"/>
      <c r="S2423" s="190"/>
      <c r="T2423" s="190"/>
      <c r="U2423" s="190"/>
      <c r="V2423" s="190"/>
      <c r="W2423" s="190"/>
      <c r="X2423" s="190"/>
      <c r="Y2423" s="190"/>
      <c r="Z2423" s="190"/>
      <c r="AA2423" s="190"/>
      <c r="AB2423" s="190"/>
      <c r="AC2423" s="190"/>
      <c r="AD2423" s="190"/>
      <c r="AE2423" s="190"/>
      <c r="AF2423" s="190"/>
      <c r="AG2423" s="190"/>
      <c r="AH2423" s="190"/>
      <c r="AI2423" s="190"/>
      <c r="AJ2423" s="190"/>
      <c r="AK2423" s="190"/>
      <c r="AL2423" s="190"/>
    </row>
    <row r="2424" spans="2:38" ht="12.75" customHeight="1">
      <c r="B2424" s="485"/>
      <c r="C2424" s="6"/>
      <c r="D2424" s="12"/>
      <c r="E2424" s="12"/>
      <c r="F2424" s="12"/>
      <c r="G2424" s="12"/>
      <c r="H2424" s="6"/>
      <c r="I2424" s="190"/>
      <c r="J2424" s="190"/>
      <c r="K2424" s="190"/>
      <c r="L2424" s="190"/>
      <c r="M2424" s="190"/>
      <c r="N2424" s="190"/>
      <c r="O2424" s="190"/>
      <c r="P2424" s="190"/>
      <c r="Q2424" s="190"/>
      <c r="R2424" s="190"/>
      <c r="S2424" s="190"/>
      <c r="T2424" s="190"/>
      <c r="U2424" s="190"/>
      <c r="V2424" s="190"/>
      <c r="W2424" s="190"/>
      <c r="X2424" s="190"/>
      <c r="Y2424" s="190"/>
      <c r="Z2424" s="190"/>
      <c r="AA2424" s="190"/>
      <c r="AB2424" s="190"/>
      <c r="AC2424" s="190"/>
      <c r="AD2424" s="190"/>
      <c r="AE2424" s="190"/>
      <c r="AF2424" s="190"/>
      <c r="AG2424" s="190"/>
      <c r="AH2424" s="190"/>
      <c r="AI2424" s="190"/>
      <c r="AJ2424" s="190"/>
      <c r="AK2424" s="190"/>
      <c r="AL2424" s="190"/>
    </row>
    <row r="2425" spans="2:38" ht="12.75" customHeight="1">
      <c r="B2425" s="485"/>
      <c r="C2425" s="6"/>
      <c r="D2425" s="12"/>
      <c r="E2425" s="12"/>
      <c r="F2425" s="12"/>
      <c r="G2425" s="12"/>
      <c r="H2425" s="6"/>
      <c r="I2425" s="190"/>
      <c r="J2425" s="190"/>
      <c r="K2425" s="190"/>
      <c r="L2425" s="190"/>
      <c r="M2425" s="190"/>
      <c r="N2425" s="190"/>
      <c r="O2425" s="190"/>
      <c r="P2425" s="190"/>
      <c r="Q2425" s="190"/>
      <c r="R2425" s="190"/>
      <c r="S2425" s="190"/>
      <c r="T2425" s="190"/>
      <c r="U2425" s="190"/>
      <c r="V2425" s="190"/>
      <c r="W2425" s="190"/>
      <c r="X2425" s="190"/>
      <c r="Y2425" s="190"/>
      <c r="Z2425" s="190"/>
      <c r="AA2425" s="190"/>
      <c r="AB2425" s="190"/>
      <c r="AC2425" s="190"/>
      <c r="AD2425" s="190"/>
      <c r="AE2425" s="190"/>
      <c r="AF2425" s="190"/>
      <c r="AG2425" s="190"/>
      <c r="AH2425" s="190"/>
      <c r="AI2425" s="190"/>
      <c r="AJ2425" s="190"/>
      <c r="AK2425" s="190"/>
      <c r="AL2425" s="190"/>
    </row>
    <row r="2426" spans="2:38" ht="12.75" customHeight="1">
      <c r="B2426" s="485"/>
      <c r="C2426" s="6"/>
      <c r="D2426" s="12"/>
      <c r="E2426" s="12"/>
      <c r="F2426" s="12"/>
      <c r="G2426" s="12"/>
      <c r="H2426" s="6"/>
      <c r="I2426" s="190"/>
      <c r="J2426" s="190"/>
      <c r="K2426" s="190"/>
      <c r="L2426" s="190"/>
      <c r="M2426" s="190"/>
      <c r="N2426" s="190"/>
      <c r="O2426" s="190"/>
      <c r="P2426" s="190"/>
      <c r="Q2426" s="190"/>
      <c r="R2426" s="190"/>
      <c r="S2426" s="190"/>
      <c r="T2426" s="190"/>
      <c r="U2426" s="190"/>
      <c r="V2426" s="190"/>
      <c r="W2426" s="190"/>
      <c r="X2426" s="190"/>
      <c r="Y2426" s="190"/>
      <c r="Z2426" s="190"/>
      <c r="AA2426" s="190"/>
      <c r="AB2426" s="190"/>
      <c r="AC2426" s="190"/>
      <c r="AD2426" s="190"/>
      <c r="AE2426" s="190"/>
      <c r="AF2426" s="190"/>
      <c r="AG2426" s="190"/>
      <c r="AH2426" s="190"/>
      <c r="AI2426" s="190"/>
      <c r="AJ2426" s="190"/>
      <c r="AK2426" s="190"/>
      <c r="AL2426" s="190"/>
    </row>
    <row r="2427" spans="2:38" ht="12.75" customHeight="1">
      <c r="B2427" s="485"/>
      <c r="C2427" s="6"/>
      <c r="D2427" s="12"/>
      <c r="E2427" s="12"/>
      <c r="F2427" s="12"/>
      <c r="G2427" s="12"/>
      <c r="H2427" s="6"/>
      <c r="I2427" s="190"/>
      <c r="J2427" s="190"/>
      <c r="K2427" s="190"/>
      <c r="L2427" s="190"/>
      <c r="M2427" s="190"/>
      <c r="N2427" s="190"/>
      <c r="O2427" s="190"/>
      <c r="P2427" s="190"/>
      <c r="Q2427" s="190"/>
      <c r="R2427" s="190"/>
      <c r="S2427" s="190"/>
      <c r="T2427" s="190"/>
      <c r="U2427" s="190"/>
      <c r="V2427" s="190"/>
      <c r="W2427" s="190"/>
      <c r="X2427" s="190"/>
      <c r="Y2427" s="190"/>
      <c r="Z2427" s="190"/>
      <c r="AA2427" s="190"/>
      <c r="AB2427" s="190"/>
      <c r="AC2427" s="190"/>
      <c r="AD2427" s="190"/>
      <c r="AE2427" s="190"/>
      <c r="AF2427" s="190"/>
      <c r="AG2427" s="190"/>
      <c r="AH2427" s="190"/>
      <c r="AI2427" s="190"/>
      <c r="AJ2427" s="190"/>
      <c r="AK2427" s="190"/>
      <c r="AL2427" s="190"/>
    </row>
    <row r="2428" spans="2:38" ht="12.75" customHeight="1">
      <c r="B2428" s="485"/>
      <c r="C2428" s="6"/>
      <c r="D2428" s="12"/>
      <c r="E2428" s="12"/>
      <c r="F2428" s="12"/>
      <c r="G2428" s="12"/>
      <c r="H2428" s="6"/>
      <c r="I2428" s="190"/>
      <c r="J2428" s="190"/>
      <c r="K2428" s="190"/>
      <c r="L2428" s="190"/>
      <c r="M2428" s="190"/>
      <c r="N2428" s="190"/>
      <c r="O2428" s="190"/>
      <c r="P2428" s="190"/>
      <c r="Q2428" s="190"/>
      <c r="R2428" s="190"/>
      <c r="S2428" s="190"/>
      <c r="T2428" s="190"/>
      <c r="U2428" s="190"/>
      <c r="V2428" s="190"/>
      <c r="W2428" s="190"/>
      <c r="X2428" s="190"/>
      <c r="Y2428" s="190"/>
      <c r="Z2428" s="190"/>
      <c r="AA2428" s="190"/>
      <c r="AB2428" s="190"/>
      <c r="AC2428" s="190"/>
      <c r="AD2428" s="190"/>
      <c r="AE2428" s="190"/>
      <c r="AF2428" s="190"/>
      <c r="AG2428" s="190"/>
      <c r="AH2428" s="190"/>
      <c r="AI2428" s="190"/>
      <c r="AJ2428" s="190"/>
      <c r="AK2428" s="190"/>
      <c r="AL2428" s="190"/>
    </row>
    <row r="2429" spans="2:38" ht="12.75" customHeight="1">
      <c r="B2429" s="485"/>
      <c r="C2429" s="6"/>
      <c r="D2429" s="12"/>
      <c r="E2429" s="12"/>
      <c r="F2429" s="12"/>
      <c r="G2429" s="12"/>
      <c r="H2429" s="6"/>
      <c r="I2429" s="190"/>
      <c r="J2429" s="190"/>
      <c r="K2429" s="190"/>
      <c r="L2429" s="190"/>
      <c r="M2429" s="190"/>
      <c r="N2429" s="190"/>
      <c r="O2429" s="190"/>
      <c r="P2429" s="190"/>
      <c r="Q2429" s="190"/>
      <c r="R2429" s="190"/>
      <c r="S2429" s="190"/>
      <c r="T2429" s="190"/>
      <c r="U2429" s="190"/>
      <c r="V2429" s="190"/>
      <c r="W2429" s="190"/>
      <c r="X2429" s="190"/>
      <c r="Y2429" s="190"/>
      <c r="Z2429" s="190"/>
      <c r="AA2429" s="190"/>
      <c r="AB2429" s="190"/>
      <c r="AC2429" s="190"/>
      <c r="AD2429" s="190"/>
      <c r="AE2429" s="190"/>
      <c r="AF2429" s="190"/>
      <c r="AG2429" s="190"/>
      <c r="AH2429" s="190"/>
      <c r="AI2429" s="190"/>
      <c r="AJ2429" s="190"/>
      <c r="AK2429" s="190"/>
      <c r="AL2429" s="190"/>
    </row>
    <row r="2430" spans="2:38" ht="12.75" customHeight="1">
      <c r="B2430" s="485"/>
      <c r="C2430" s="6"/>
      <c r="D2430" s="12"/>
      <c r="E2430" s="12"/>
      <c r="F2430" s="12"/>
      <c r="G2430" s="12"/>
      <c r="H2430" s="6"/>
      <c r="I2430" s="190"/>
      <c r="J2430" s="190"/>
      <c r="K2430" s="190"/>
      <c r="L2430" s="190"/>
      <c r="M2430" s="190"/>
      <c r="N2430" s="190"/>
      <c r="O2430" s="190"/>
      <c r="P2430" s="190"/>
      <c r="Q2430" s="190"/>
      <c r="R2430" s="190"/>
      <c r="S2430" s="190"/>
      <c r="T2430" s="190"/>
      <c r="U2430" s="190"/>
      <c r="V2430" s="190"/>
      <c r="W2430" s="190"/>
      <c r="X2430" s="190"/>
      <c r="Y2430" s="190"/>
      <c r="Z2430" s="190"/>
      <c r="AA2430" s="190"/>
      <c r="AB2430" s="190"/>
      <c r="AC2430" s="190"/>
      <c r="AD2430" s="190"/>
      <c r="AE2430" s="190"/>
      <c r="AF2430" s="190"/>
      <c r="AG2430" s="190"/>
      <c r="AH2430" s="190"/>
      <c r="AI2430" s="190"/>
      <c r="AJ2430" s="190"/>
      <c r="AK2430" s="190"/>
      <c r="AL2430" s="190"/>
    </row>
    <row r="2431" spans="2:38" ht="12.75" customHeight="1">
      <c r="B2431" s="485"/>
      <c r="C2431" s="6"/>
      <c r="D2431" s="12"/>
      <c r="E2431" s="12"/>
      <c r="F2431" s="12"/>
      <c r="G2431" s="12"/>
      <c r="H2431" s="6"/>
      <c r="I2431" s="190"/>
      <c r="J2431" s="190"/>
      <c r="K2431" s="190"/>
      <c r="L2431" s="190"/>
      <c r="M2431" s="190"/>
      <c r="N2431" s="190"/>
      <c r="O2431" s="190"/>
      <c r="P2431" s="190"/>
      <c r="Q2431" s="190"/>
      <c r="R2431" s="190"/>
      <c r="S2431" s="190"/>
      <c r="T2431" s="190"/>
      <c r="U2431" s="190"/>
      <c r="V2431" s="190"/>
      <c r="W2431" s="190"/>
      <c r="X2431" s="190"/>
      <c r="Y2431" s="190"/>
      <c r="Z2431" s="190"/>
      <c r="AA2431" s="190"/>
      <c r="AB2431" s="190"/>
      <c r="AC2431" s="190"/>
      <c r="AD2431" s="190"/>
      <c r="AE2431" s="190"/>
      <c r="AF2431" s="190"/>
      <c r="AG2431" s="190"/>
      <c r="AH2431" s="190"/>
      <c r="AI2431" s="190"/>
      <c r="AJ2431" s="190"/>
      <c r="AK2431" s="190"/>
      <c r="AL2431" s="190"/>
    </row>
    <row r="2432" spans="2:38" ht="12.75" customHeight="1">
      <c r="B2432" s="485"/>
      <c r="C2432" s="6"/>
      <c r="D2432" s="12"/>
      <c r="E2432" s="12"/>
      <c r="F2432" s="12"/>
      <c r="G2432" s="12"/>
      <c r="H2432" s="6"/>
      <c r="I2432" s="190"/>
      <c r="J2432" s="190"/>
      <c r="K2432" s="190"/>
      <c r="L2432" s="190"/>
      <c r="M2432" s="190"/>
      <c r="N2432" s="190"/>
      <c r="O2432" s="190"/>
      <c r="P2432" s="190"/>
      <c r="Q2432" s="190"/>
      <c r="R2432" s="190"/>
      <c r="S2432" s="190"/>
      <c r="T2432" s="190"/>
      <c r="U2432" s="190"/>
      <c r="V2432" s="190"/>
      <c r="W2432" s="190"/>
      <c r="X2432" s="190"/>
      <c r="Y2432" s="190"/>
      <c r="Z2432" s="190"/>
      <c r="AA2432" s="190"/>
      <c r="AB2432" s="190"/>
      <c r="AC2432" s="190"/>
      <c r="AD2432" s="190"/>
      <c r="AE2432" s="190"/>
      <c r="AF2432" s="190"/>
      <c r="AG2432" s="190"/>
      <c r="AH2432" s="190"/>
      <c r="AI2432" s="190"/>
      <c r="AJ2432" s="190"/>
      <c r="AK2432" s="190"/>
      <c r="AL2432" s="190"/>
    </row>
    <row r="2433" spans="2:38" ht="12.75" customHeight="1">
      <c r="B2433" s="485"/>
      <c r="C2433" s="6"/>
      <c r="D2433" s="12"/>
      <c r="E2433" s="12"/>
      <c r="F2433" s="12"/>
      <c r="G2433" s="12"/>
      <c r="H2433" s="6"/>
      <c r="I2433" s="190"/>
      <c r="J2433" s="190"/>
      <c r="K2433" s="190"/>
      <c r="L2433" s="190"/>
      <c r="M2433" s="190"/>
      <c r="N2433" s="190"/>
      <c r="O2433" s="190"/>
      <c r="P2433" s="190"/>
      <c r="Q2433" s="190"/>
      <c r="R2433" s="190"/>
      <c r="S2433" s="190"/>
      <c r="T2433" s="190"/>
      <c r="U2433" s="190"/>
      <c r="V2433" s="190"/>
      <c r="W2433" s="190"/>
      <c r="X2433" s="190"/>
      <c r="Y2433" s="190"/>
      <c r="Z2433" s="190"/>
      <c r="AA2433" s="190"/>
      <c r="AB2433" s="190"/>
      <c r="AC2433" s="190"/>
      <c r="AD2433" s="190"/>
      <c r="AE2433" s="190"/>
      <c r="AF2433" s="190"/>
      <c r="AG2433" s="190"/>
      <c r="AH2433" s="190"/>
      <c r="AI2433" s="190"/>
      <c r="AJ2433" s="190"/>
      <c r="AK2433" s="190"/>
      <c r="AL2433" s="190"/>
    </row>
    <row r="2434" spans="2:38" ht="12.75" customHeight="1">
      <c r="B2434" s="485"/>
      <c r="C2434" s="6"/>
      <c r="D2434" s="12"/>
      <c r="E2434" s="12"/>
      <c r="F2434" s="12"/>
      <c r="G2434" s="12"/>
      <c r="H2434" s="6"/>
      <c r="I2434" s="190"/>
      <c r="J2434" s="190"/>
      <c r="K2434" s="190"/>
      <c r="L2434" s="190"/>
      <c r="M2434" s="190"/>
      <c r="N2434" s="190"/>
      <c r="O2434" s="190"/>
      <c r="P2434" s="190"/>
      <c r="Q2434" s="190"/>
      <c r="R2434" s="190"/>
      <c r="S2434" s="190"/>
      <c r="T2434" s="190"/>
      <c r="U2434" s="190"/>
      <c r="V2434" s="190"/>
      <c r="W2434" s="190"/>
      <c r="X2434" s="190"/>
      <c r="Y2434" s="190"/>
      <c r="Z2434" s="190"/>
      <c r="AA2434" s="190"/>
      <c r="AB2434" s="190"/>
      <c r="AC2434" s="190"/>
      <c r="AD2434" s="190"/>
      <c r="AE2434" s="190"/>
      <c r="AF2434" s="190"/>
      <c r="AG2434" s="190"/>
      <c r="AH2434" s="190"/>
      <c r="AI2434" s="190"/>
      <c r="AJ2434" s="190"/>
      <c r="AK2434" s="190"/>
      <c r="AL2434" s="190"/>
    </row>
    <row r="2435" spans="2:38" ht="12.75" customHeight="1">
      <c r="B2435" s="485"/>
      <c r="C2435" s="6"/>
      <c r="D2435" s="12"/>
      <c r="E2435" s="12"/>
      <c r="F2435" s="12"/>
      <c r="G2435" s="12"/>
      <c r="H2435" s="6"/>
      <c r="I2435" s="190"/>
      <c r="J2435" s="190"/>
      <c r="K2435" s="190"/>
      <c r="L2435" s="190"/>
      <c r="M2435" s="190"/>
      <c r="N2435" s="190"/>
      <c r="O2435" s="190"/>
      <c r="P2435" s="190"/>
      <c r="Q2435" s="190"/>
      <c r="R2435" s="190"/>
      <c r="S2435" s="190"/>
      <c r="T2435" s="190"/>
      <c r="U2435" s="190"/>
      <c r="V2435" s="190"/>
      <c r="W2435" s="190"/>
      <c r="X2435" s="190"/>
      <c r="Y2435" s="190"/>
      <c r="Z2435" s="190"/>
      <c r="AA2435" s="190"/>
      <c r="AB2435" s="190"/>
      <c r="AC2435" s="190"/>
      <c r="AD2435" s="190"/>
      <c r="AE2435" s="190"/>
      <c r="AF2435" s="190"/>
      <c r="AG2435" s="190"/>
      <c r="AH2435" s="190"/>
      <c r="AI2435" s="190"/>
      <c r="AJ2435" s="190"/>
      <c r="AK2435" s="190"/>
      <c r="AL2435" s="190"/>
    </row>
    <row r="2436" spans="2:38" ht="12.75" customHeight="1">
      <c r="B2436" s="485"/>
      <c r="C2436" s="6"/>
      <c r="D2436" s="12"/>
      <c r="E2436" s="12"/>
      <c r="F2436" s="12"/>
      <c r="G2436" s="12"/>
      <c r="H2436" s="6"/>
      <c r="I2436" s="190"/>
      <c r="J2436" s="190"/>
      <c r="K2436" s="190"/>
      <c r="L2436" s="190"/>
      <c r="M2436" s="190"/>
      <c r="N2436" s="190"/>
      <c r="O2436" s="190"/>
      <c r="P2436" s="190"/>
      <c r="Q2436" s="190"/>
      <c r="R2436" s="190"/>
      <c r="S2436" s="190"/>
      <c r="T2436" s="190"/>
      <c r="U2436" s="190"/>
      <c r="V2436" s="190"/>
      <c r="W2436" s="190"/>
      <c r="X2436" s="190"/>
      <c r="Y2436" s="190"/>
      <c r="Z2436" s="190"/>
      <c r="AA2436" s="190"/>
      <c r="AB2436" s="190"/>
      <c r="AC2436" s="190"/>
      <c r="AD2436" s="190"/>
      <c r="AE2436" s="190"/>
      <c r="AF2436" s="190"/>
      <c r="AG2436" s="190"/>
      <c r="AH2436" s="190"/>
      <c r="AI2436" s="190"/>
      <c r="AJ2436" s="190"/>
      <c r="AK2436" s="190"/>
      <c r="AL2436" s="190"/>
    </row>
    <row r="2437" spans="2:38" ht="12.75" customHeight="1">
      <c r="B2437" s="485"/>
      <c r="C2437" s="6"/>
      <c r="D2437" s="12"/>
      <c r="E2437" s="12"/>
      <c r="F2437" s="12"/>
      <c r="G2437" s="12"/>
      <c r="H2437" s="6"/>
      <c r="I2437" s="190"/>
      <c r="J2437" s="190"/>
      <c r="K2437" s="190"/>
      <c r="L2437" s="190"/>
      <c r="M2437" s="190"/>
      <c r="N2437" s="190"/>
      <c r="O2437" s="190"/>
      <c r="P2437" s="190"/>
      <c r="Q2437" s="190"/>
      <c r="R2437" s="190"/>
      <c r="S2437" s="190"/>
      <c r="T2437" s="190"/>
      <c r="U2437" s="190"/>
      <c r="V2437" s="190"/>
      <c r="W2437" s="190"/>
      <c r="X2437" s="190"/>
      <c r="Y2437" s="190"/>
      <c r="Z2437" s="190"/>
      <c r="AA2437" s="190"/>
      <c r="AB2437" s="190"/>
      <c r="AC2437" s="190"/>
      <c r="AD2437" s="190"/>
      <c r="AE2437" s="190"/>
      <c r="AF2437" s="190"/>
      <c r="AG2437" s="190"/>
      <c r="AH2437" s="190"/>
      <c r="AI2437" s="190"/>
      <c r="AJ2437" s="190"/>
      <c r="AK2437" s="190"/>
      <c r="AL2437" s="190"/>
    </row>
    <row r="2438" spans="2:38" ht="12.75" customHeight="1">
      <c r="B2438" s="485"/>
      <c r="C2438" s="6"/>
      <c r="D2438" s="12"/>
      <c r="E2438" s="12"/>
      <c r="F2438" s="12"/>
      <c r="G2438" s="12"/>
      <c r="H2438" s="6"/>
      <c r="I2438" s="190"/>
      <c r="J2438" s="190"/>
      <c r="K2438" s="190"/>
      <c r="L2438" s="190"/>
      <c r="M2438" s="190"/>
      <c r="N2438" s="190"/>
      <c r="O2438" s="190"/>
      <c r="P2438" s="190"/>
      <c r="Q2438" s="190"/>
      <c r="R2438" s="190"/>
      <c r="S2438" s="190"/>
      <c r="T2438" s="190"/>
      <c r="U2438" s="190"/>
      <c r="V2438" s="190"/>
      <c r="W2438" s="190"/>
      <c r="X2438" s="190"/>
      <c r="Y2438" s="190"/>
      <c r="Z2438" s="190"/>
      <c r="AA2438" s="190"/>
      <c r="AB2438" s="190"/>
      <c r="AC2438" s="190"/>
      <c r="AD2438" s="190"/>
      <c r="AE2438" s="190"/>
      <c r="AF2438" s="190"/>
      <c r="AG2438" s="190"/>
      <c r="AH2438" s="190"/>
      <c r="AI2438" s="190"/>
      <c r="AJ2438" s="190"/>
      <c r="AK2438" s="190"/>
      <c r="AL2438" s="190"/>
    </row>
    <row r="2439" spans="2:38" ht="12.75" customHeight="1">
      <c r="B2439" s="485"/>
      <c r="C2439" s="6"/>
      <c r="D2439" s="12"/>
      <c r="E2439" s="12"/>
      <c r="F2439" s="12"/>
      <c r="G2439" s="12"/>
      <c r="H2439" s="6"/>
      <c r="I2439" s="190"/>
      <c r="J2439" s="190"/>
      <c r="K2439" s="190"/>
      <c r="L2439" s="190"/>
      <c r="M2439" s="190"/>
      <c r="N2439" s="190"/>
      <c r="O2439" s="190"/>
      <c r="P2439" s="190"/>
      <c r="Q2439" s="190"/>
      <c r="R2439" s="190"/>
      <c r="S2439" s="190"/>
      <c r="T2439" s="190"/>
      <c r="U2439" s="190"/>
      <c r="V2439" s="190"/>
      <c r="W2439" s="190"/>
      <c r="X2439" s="190"/>
      <c r="Y2439" s="190"/>
      <c r="Z2439" s="190"/>
      <c r="AA2439" s="190"/>
      <c r="AB2439" s="190"/>
      <c r="AC2439" s="190"/>
      <c r="AD2439" s="190"/>
      <c r="AE2439" s="190"/>
      <c r="AF2439" s="190"/>
      <c r="AG2439" s="190"/>
      <c r="AH2439" s="190"/>
      <c r="AI2439" s="190"/>
      <c r="AJ2439" s="190"/>
      <c r="AK2439" s="190"/>
      <c r="AL2439" s="190"/>
    </row>
    <row r="2440" spans="2:38" ht="12.75" customHeight="1">
      <c r="B2440" s="485"/>
      <c r="C2440" s="6"/>
      <c r="D2440" s="12"/>
      <c r="E2440" s="12"/>
      <c r="F2440" s="12"/>
      <c r="G2440" s="12"/>
      <c r="H2440" s="6"/>
      <c r="I2440" s="190"/>
      <c r="J2440" s="190"/>
      <c r="K2440" s="190"/>
      <c r="L2440" s="190"/>
      <c r="M2440" s="190"/>
      <c r="N2440" s="190"/>
      <c r="O2440" s="190"/>
      <c r="P2440" s="190"/>
      <c r="Q2440" s="190"/>
      <c r="R2440" s="190"/>
      <c r="S2440" s="190"/>
      <c r="T2440" s="190"/>
      <c r="U2440" s="190"/>
      <c r="V2440" s="190"/>
      <c r="W2440" s="190"/>
      <c r="X2440" s="190"/>
      <c r="Y2440" s="190"/>
      <c r="Z2440" s="190"/>
      <c r="AA2440" s="190"/>
      <c r="AB2440" s="190"/>
      <c r="AC2440" s="190"/>
      <c r="AD2440" s="190"/>
      <c r="AE2440" s="190"/>
      <c r="AF2440" s="190"/>
      <c r="AG2440" s="190"/>
      <c r="AH2440" s="190"/>
      <c r="AI2440" s="190"/>
      <c r="AJ2440" s="190"/>
      <c r="AK2440" s="190"/>
      <c r="AL2440" s="190"/>
    </row>
    <row r="2441" spans="2:38" ht="12.75" customHeight="1">
      <c r="B2441" s="485"/>
      <c r="C2441" s="6"/>
      <c r="D2441" s="12"/>
      <c r="E2441" s="12"/>
      <c r="F2441" s="12"/>
      <c r="G2441" s="12"/>
      <c r="H2441" s="6"/>
      <c r="I2441" s="190"/>
      <c r="J2441" s="190"/>
      <c r="K2441" s="190"/>
      <c r="L2441" s="190"/>
      <c r="M2441" s="190"/>
      <c r="N2441" s="190"/>
      <c r="O2441" s="190"/>
      <c r="P2441" s="190"/>
      <c r="Q2441" s="190"/>
      <c r="R2441" s="190"/>
      <c r="S2441" s="190"/>
      <c r="T2441" s="190"/>
      <c r="U2441" s="190"/>
      <c r="V2441" s="190"/>
      <c r="W2441" s="190"/>
      <c r="X2441" s="190"/>
      <c r="Y2441" s="190"/>
      <c r="Z2441" s="190"/>
      <c r="AA2441" s="190"/>
      <c r="AB2441" s="190"/>
      <c r="AC2441" s="190"/>
      <c r="AD2441" s="190"/>
      <c r="AE2441" s="190"/>
      <c r="AF2441" s="190"/>
      <c r="AG2441" s="190"/>
      <c r="AH2441" s="190"/>
      <c r="AI2441" s="190"/>
      <c r="AJ2441" s="190"/>
      <c r="AK2441" s="190"/>
      <c r="AL2441" s="190"/>
    </row>
    <row r="2442" spans="2:38" ht="12.75" customHeight="1">
      <c r="B2442" s="485"/>
      <c r="C2442" s="6"/>
      <c r="D2442" s="12"/>
      <c r="E2442" s="12"/>
      <c r="F2442" s="12"/>
      <c r="G2442" s="12"/>
      <c r="H2442" s="6"/>
      <c r="I2442" s="190"/>
      <c r="J2442" s="190"/>
      <c r="K2442" s="190"/>
      <c r="L2442" s="190"/>
      <c r="M2442" s="190"/>
      <c r="N2442" s="190"/>
      <c r="O2442" s="190"/>
      <c r="P2442" s="190"/>
      <c r="Q2442" s="190"/>
      <c r="R2442" s="190"/>
      <c r="S2442" s="190"/>
      <c r="T2442" s="190"/>
      <c r="U2442" s="190"/>
      <c r="V2442" s="190"/>
      <c r="W2442" s="190"/>
      <c r="X2442" s="190"/>
      <c r="Y2442" s="190"/>
      <c r="Z2442" s="190"/>
      <c r="AA2442" s="190"/>
      <c r="AB2442" s="190"/>
      <c r="AC2442" s="190"/>
      <c r="AD2442" s="190"/>
      <c r="AE2442" s="190"/>
      <c r="AF2442" s="190"/>
      <c r="AG2442" s="190"/>
      <c r="AH2442" s="190"/>
      <c r="AI2442" s="190"/>
      <c r="AJ2442" s="190"/>
      <c r="AK2442" s="190"/>
      <c r="AL2442" s="190"/>
    </row>
    <row r="2443" spans="2:38" ht="12.75" customHeight="1">
      <c r="B2443" s="485"/>
      <c r="C2443" s="6"/>
      <c r="D2443" s="12"/>
      <c r="E2443" s="12"/>
      <c r="F2443" s="12"/>
      <c r="G2443" s="12"/>
      <c r="H2443" s="6"/>
      <c r="I2443" s="190"/>
      <c r="J2443" s="190"/>
      <c r="K2443" s="190"/>
      <c r="L2443" s="190"/>
      <c r="M2443" s="190"/>
      <c r="N2443" s="190"/>
      <c r="O2443" s="190"/>
      <c r="P2443" s="190"/>
      <c r="Q2443" s="190"/>
      <c r="R2443" s="190"/>
      <c r="S2443" s="190"/>
      <c r="T2443" s="190"/>
      <c r="U2443" s="190"/>
      <c r="V2443" s="190"/>
      <c r="W2443" s="190"/>
      <c r="X2443" s="190"/>
      <c r="Y2443" s="190"/>
      <c r="Z2443" s="190"/>
      <c r="AA2443" s="190"/>
      <c r="AB2443" s="190"/>
      <c r="AC2443" s="190"/>
      <c r="AD2443" s="190"/>
      <c r="AE2443" s="190"/>
      <c r="AF2443" s="190"/>
      <c r="AG2443" s="190"/>
      <c r="AH2443" s="190"/>
      <c r="AI2443" s="190"/>
      <c r="AJ2443" s="190"/>
      <c r="AK2443" s="190"/>
      <c r="AL2443" s="190"/>
    </row>
    <row r="2444" spans="2:38" ht="12.75" customHeight="1">
      <c r="B2444" s="485"/>
      <c r="C2444" s="6"/>
      <c r="D2444" s="12"/>
      <c r="E2444" s="12"/>
      <c r="F2444" s="12"/>
      <c r="G2444" s="12"/>
      <c r="H2444" s="6"/>
      <c r="I2444" s="190"/>
      <c r="J2444" s="190"/>
      <c r="K2444" s="190"/>
      <c r="L2444" s="190"/>
      <c r="M2444" s="190"/>
      <c r="N2444" s="190"/>
      <c r="O2444" s="190"/>
      <c r="P2444" s="190"/>
      <c r="Q2444" s="190"/>
      <c r="R2444" s="190"/>
      <c r="S2444" s="190"/>
      <c r="T2444" s="190"/>
      <c r="U2444" s="190"/>
      <c r="V2444" s="190"/>
      <c r="W2444" s="190"/>
      <c r="X2444" s="190"/>
      <c r="Y2444" s="190"/>
      <c r="Z2444" s="190"/>
      <c r="AA2444" s="190"/>
      <c r="AB2444" s="190"/>
      <c r="AC2444" s="190"/>
      <c r="AD2444" s="190"/>
      <c r="AE2444" s="190"/>
      <c r="AF2444" s="190"/>
      <c r="AG2444" s="190"/>
      <c r="AH2444" s="190"/>
      <c r="AI2444" s="190"/>
      <c r="AJ2444" s="190"/>
      <c r="AK2444" s="190"/>
      <c r="AL2444" s="190"/>
    </row>
    <row r="2445" spans="2:38" ht="12.75" customHeight="1">
      <c r="B2445" s="485"/>
      <c r="C2445" s="6"/>
      <c r="D2445" s="12"/>
      <c r="E2445" s="12"/>
      <c r="F2445" s="12"/>
      <c r="G2445" s="12"/>
      <c r="H2445" s="6"/>
      <c r="I2445" s="190"/>
      <c r="J2445" s="190"/>
      <c r="K2445" s="190"/>
      <c r="L2445" s="190"/>
      <c r="M2445" s="190"/>
      <c r="N2445" s="190"/>
      <c r="O2445" s="190"/>
      <c r="P2445" s="190"/>
      <c r="Q2445" s="190"/>
      <c r="R2445" s="190"/>
      <c r="S2445" s="190"/>
      <c r="T2445" s="190"/>
      <c r="U2445" s="190"/>
      <c r="V2445" s="190"/>
      <c r="W2445" s="190"/>
      <c r="X2445" s="190"/>
      <c r="Y2445" s="190"/>
      <c r="Z2445" s="190"/>
      <c r="AA2445" s="190"/>
      <c r="AB2445" s="190"/>
      <c r="AC2445" s="190"/>
      <c r="AD2445" s="190"/>
      <c r="AE2445" s="190"/>
      <c r="AF2445" s="190"/>
      <c r="AG2445" s="190"/>
      <c r="AH2445" s="190"/>
      <c r="AI2445" s="190"/>
      <c r="AJ2445" s="190"/>
      <c r="AK2445" s="190"/>
      <c r="AL2445" s="190"/>
    </row>
    <row r="2446" spans="2:38" ht="12.75" customHeight="1">
      <c r="B2446" s="485"/>
      <c r="C2446" s="6"/>
      <c r="D2446" s="12"/>
      <c r="E2446" s="12"/>
      <c r="F2446" s="12"/>
      <c r="G2446" s="12"/>
      <c r="H2446" s="6"/>
      <c r="I2446" s="190"/>
      <c r="J2446" s="190"/>
      <c r="K2446" s="190"/>
      <c r="L2446" s="190"/>
      <c r="M2446" s="190"/>
      <c r="N2446" s="190"/>
      <c r="O2446" s="190"/>
      <c r="P2446" s="190"/>
      <c r="Q2446" s="190"/>
      <c r="R2446" s="190"/>
      <c r="S2446" s="190"/>
      <c r="T2446" s="190"/>
      <c r="U2446" s="190"/>
      <c r="V2446" s="190"/>
      <c r="W2446" s="190"/>
      <c r="X2446" s="190"/>
      <c r="Y2446" s="190"/>
      <c r="Z2446" s="190"/>
      <c r="AA2446" s="190"/>
      <c r="AB2446" s="190"/>
      <c r="AC2446" s="190"/>
      <c r="AD2446" s="190"/>
      <c r="AE2446" s="190"/>
      <c r="AF2446" s="190"/>
      <c r="AG2446" s="190"/>
      <c r="AH2446" s="190"/>
      <c r="AI2446" s="190"/>
      <c r="AJ2446" s="190"/>
      <c r="AK2446" s="190"/>
      <c r="AL2446" s="190"/>
    </row>
    <row r="2447" spans="2:38" ht="12.75" customHeight="1">
      <c r="B2447" s="485"/>
      <c r="C2447" s="6"/>
      <c r="D2447" s="12"/>
      <c r="E2447" s="12"/>
      <c r="F2447" s="12"/>
      <c r="G2447" s="12"/>
      <c r="H2447" s="6"/>
      <c r="I2447" s="190"/>
      <c r="J2447" s="190"/>
      <c r="K2447" s="190"/>
      <c r="L2447" s="190"/>
      <c r="M2447" s="190"/>
      <c r="N2447" s="190"/>
      <c r="O2447" s="190"/>
      <c r="P2447" s="190"/>
      <c r="Q2447" s="190"/>
      <c r="R2447" s="190"/>
      <c r="S2447" s="190"/>
      <c r="T2447" s="190"/>
      <c r="U2447" s="190"/>
      <c r="V2447" s="190"/>
      <c r="W2447" s="190"/>
      <c r="X2447" s="190"/>
      <c r="Y2447" s="190"/>
      <c r="Z2447" s="190"/>
      <c r="AA2447" s="190"/>
      <c r="AB2447" s="190"/>
      <c r="AC2447" s="190"/>
      <c r="AD2447" s="190"/>
      <c r="AE2447" s="190"/>
      <c r="AF2447" s="190"/>
      <c r="AG2447" s="190"/>
      <c r="AH2447" s="190"/>
      <c r="AI2447" s="190"/>
      <c r="AJ2447" s="190"/>
      <c r="AK2447" s="190"/>
      <c r="AL2447" s="190"/>
    </row>
    <row r="2448" spans="2:38" ht="12.75" customHeight="1">
      <c r="B2448" s="485"/>
      <c r="C2448" s="6"/>
      <c r="D2448" s="12"/>
      <c r="E2448" s="12"/>
      <c r="F2448" s="12"/>
      <c r="G2448" s="12"/>
      <c r="H2448" s="6"/>
      <c r="I2448" s="190"/>
      <c r="J2448" s="190"/>
      <c r="K2448" s="190"/>
      <c r="L2448" s="190"/>
      <c r="M2448" s="190"/>
      <c r="N2448" s="190"/>
      <c r="O2448" s="190"/>
      <c r="P2448" s="190"/>
      <c r="Q2448" s="190"/>
      <c r="R2448" s="190"/>
      <c r="S2448" s="190"/>
      <c r="T2448" s="190"/>
      <c r="U2448" s="190"/>
      <c r="V2448" s="190"/>
      <c r="W2448" s="190"/>
      <c r="X2448" s="190"/>
      <c r="Y2448" s="190"/>
      <c r="Z2448" s="190"/>
      <c r="AA2448" s="190"/>
      <c r="AB2448" s="190"/>
      <c r="AC2448" s="190"/>
      <c r="AD2448" s="190"/>
      <c r="AE2448" s="190"/>
      <c r="AF2448" s="190"/>
      <c r="AG2448" s="190"/>
      <c r="AH2448" s="190"/>
      <c r="AI2448" s="190"/>
      <c r="AJ2448" s="190"/>
      <c r="AK2448" s="190"/>
      <c r="AL2448" s="190"/>
    </row>
    <row r="2449" spans="2:38" ht="12.75" customHeight="1">
      <c r="B2449" s="485"/>
      <c r="C2449" s="6"/>
      <c r="D2449" s="12"/>
      <c r="E2449" s="12"/>
      <c r="F2449" s="12"/>
      <c r="G2449" s="12"/>
      <c r="H2449" s="6"/>
      <c r="I2449" s="190"/>
      <c r="J2449" s="190"/>
      <c r="K2449" s="190"/>
      <c r="L2449" s="190"/>
      <c r="M2449" s="190"/>
      <c r="N2449" s="190"/>
      <c r="O2449" s="190"/>
      <c r="P2449" s="190"/>
      <c r="Q2449" s="190"/>
      <c r="R2449" s="190"/>
      <c r="S2449" s="190"/>
      <c r="T2449" s="190"/>
      <c r="U2449" s="190"/>
      <c r="V2449" s="190"/>
      <c r="W2449" s="190"/>
      <c r="X2449" s="190"/>
      <c r="Y2449" s="190"/>
      <c r="Z2449" s="190"/>
      <c r="AA2449" s="190"/>
      <c r="AB2449" s="190"/>
      <c r="AC2449" s="190"/>
      <c r="AD2449" s="190"/>
      <c r="AE2449" s="190"/>
      <c r="AF2449" s="190"/>
      <c r="AG2449" s="190"/>
      <c r="AH2449" s="190"/>
      <c r="AI2449" s="190"/>
      <c r="AJ2449" s="190"/>
      <c r="AK2449" s="190"/>
      <c r="AL2449" s="190"/>
    </row>
    <row r="2450" spans="2:38" ht="12.75" customHeight="1">
      <c r="B2450" s="485"/>
      <c r="C2450" s="6"/>
      <c r="D2450" s="12"/>
      <c r="E2450" s="12"/>
      <c r="F2450" s="12"/>
      <c r="G2450" s="12"/>
      <c r="H2450" s="6"/>
      <c r="I2450" s="190"/>
      <c r="J2450" s="190"/>
      <c r="K2450" s="190"/>
      <c r="L2450" s="190"/>
      <c r="M2450" s="190"/>
      <c r="N2450" s="190"/>
      <c r="O2450" s="190"/>
      <c r="P2450" s="190"/>
      <c r="Q2450" s="190"/>
      <c r="R2450" s="190"/>
      <c r="S2450" s="190"/>
      <c r="T2450" s="190"/>
      <c r="U2450" s="190"/>
      <c r="V2450" s="190"/>
      <c r="W2450" s="190"/>
      <c r="X2450" s="190"/>
      <c r="Y2450" s="190"/>
      <c r="Z2450" s="190"/>
      <c r="AA2450" s="190"/>
      <c r="AB2450" s="190"/>
      <c r="AC2450" s="190"/>
      <c r="AD2450" s="190"/>
      <c r="AE2450" s="190"/>
      <c r="AF2450" s="190"/>
      <c r="AG2450" s="190"/>
      <c r="AH2450" s="190"/>
      <c r="AI2450" s="190"/>
      <c r="AJ2450" s="190"/>
      <c r="AK2450" s="190"/>
      <c r="AL2450" s="190"/>
    </row>
    <row r="2451" spans="2:38" ht="12.75" customHeight="1">
      <c r="B2451" s="485"/>
      <c r="C2451" s="6"/>
      <c r="D2451" s="12"/>
      <c r="E2451" s="12"/>
      <c r="F2451" s="12"/>
      <c r="G2451" s="12"/>
      <c r="H2451" s="6"/>
      <c r="I2451" s="190"/>
      <c r="J2451" s="190"/>
      <c r="K2451" s="190"/>
      <c r="L2451" s="190"/>
      <c r="M2451" s="190"/>
      <c r="N2451" s="190"/>
      <c r="O2451" s="190"/>
      <c r="P2451" s="190"/>
      <c r="Q2451" s="190"/>
      <c r="R2451" s="190"/>
      <c r="S2451" s="190"/>
      <c r="T2451" s="190"/>
      <c r="U2451" s="190"/>
      <c r="V2451" s="190"/>
      <c r="W2451" s="190"/>
      <c r="X2451" s="190"/>
      <c r="Y2451" s="190"/>
      <c r="Z2451" s="190"/>
      <c r="AA2451" s="190"/>
      <c r="AB2451" s="190"/>
      <c r="AC2451" s="190"/>
      <c r="AD2451" s="190"/>
      <c r="AE2451" s="190"/>
      <c r="AF2451" s="190"/>
      <c r="AG2451" s="190"/>
      <c r="AH2451" s="190"/>
      <c r="AI2451" s="190"/>
      <c r="AJ2451" s="190"/>
      <c r="AK2451" s="190"/>
      <c r="AL2451" s="190"/>
    </row>
    <row r="2452" spans="2:38" ht="12.75" customHeight="1">
      <c r="B2452" s="485"/>
      <c r="C2452" s="6"/>
      <c r="D2452" s="12"/>
      <c r="E2452" s="12"/>
      <c r="F2452" s="12"/>
      <c r="G2452" s="12"/>
      <c r="H2452" s="6"/>
      <c r="I2452" s="190"/>
      <c r="J2452" s="190"/>
      <c r="K2452" s="190"/>
      <c r="L2452" s="190"/>
      <c r="M2452" s="190"/>
      <c r="N2452" s="190"/>
      <c r="O2452" s="190"/>
      <c r="P2452" s="190"/>
      <c r="Q2452" s="190"/>
      <c r="R2452" s="190"/>
      <c r="S2452" s="190"/>
      <c r="T2452" s="190"/>
      <c r="U2452" s="190"/>
      <c r="V2452" s="190"/>
      <c r="W2452" s="190"/>
      <c r="X2452" s="190"/>
      <c r="Y2452" s="190"/>
      <c r="Z2452" s="190"/>
      <c r="AA2452" s="190"/>
      <c r="AB2452" s="190"/>
      <c r="AC2452" s="190"/>
      <c r="AD2452" s="190"/>
      <c r="AE2452" s="190"/>
      <c r="AF2452" s="190"/>
      <c r="AG2452" s="190"/>
      <c r="AH2452" s="190"/>
      <c r="AI2452" s="190"/>
      <c r="AJ2452" s="190"/>
      <c r="AK2452" s="190"/>
      <c r="AL2452" s="190"/>
    </row>
    <row r="2453" spans="2:38" ht="12.75" customHeight="1">
      <c r="B2453" s="485"/>
      <c r="C2453" s="6"/>
      <c r="D2453" s="12"/>
      <c r="E2453" s="12"/>
      <c r="F2453" s="12"/>
      <c r="G2453" s="12"/>
      <c r="H2453" s="6"/>
      <c r="I2453" s="190"/>
      <c r="J2453" s="190"/>
      <c r="K2453" s="190"/>
      <c r="L2453" s="190"/>
      <c r="M2453" s="190"/>
      <c r="N2453" s="190"/>
      <c r="O2453" s="190"/>
      <c r="P2453" s="190"/>
      <c r="Q2453" s="190"/>
      <c r="R2453" s="190"/>
      <c r="S2453" s="190"/>
      <c r="T2453" s="190"/>
      <c r="U2453" s="190"/>
      <c r="V2453" s="190"/>
      <c r="W2453" s="190"/>
      <c r="X2453" s="190"/>
      <c r="Y2453" s="190"/>
      <c r="Z2453" s="190"/>
      <c r="AA2453" s="190"/>
      <c r="AB2453" s="190"/>
      <c r="AC2453" s="190"/>
      <c r="AD2453" s="190"/>
      <c r="AE2453" s="190"/>
      <c r="AF2453" s="190"/>
      <c r="AG2453" s="190"/>
      <c r="AH2453" s="190"/>
      <c r="AI2453" s="190"/>
      <c r="AJ2453" s="190"/>
      <c r="AK2453" s="190"/>
      <c r="AL2453" s="190"/>
    </row>
    <row r="2454" spans="2:38" ht="12.75" customHeight="1">
      <c r="B2454" s="485"/>
      <c r="C2454" s="6"/>
      <c r="D2454" s="12"/>
      <c r="E2454" s="12"/>
      <c r="F2454" s="12"/>
      <c r="G2454" s="12"/>
      <c r="H2454" s="6"/>
      <c r="I2454" s="190"/>
      <c r="J2454" s="190"/>
      <c r="K2454" s="190"/>
      <c r="L2454" s="190"/>
      <c r="M2454" s="190"/>
      <c r="N2454" s="190"/>
      <c r="O2454" s="190"/>
      <c r="P2454" s="190"/>
      <c r="Q2454" s="190"/>
      <c r="R2454" s="190"/>
      <c r="S2454" s="190"/>
      <c r="T2454" s="190"/>
      <c r="U2454" s="190"/>
      <c r="V2454" s="190"/>
      <c r="W2454" s="190"/>
      <c r="X2454" s="190"/>
      <c r="Y2454" s="190"/>
      <c r="Z2454" s="190"/>
      <c r="AA2454" s="190"/>
      <c r="AB2454" s="190"/>
      <c r="AC2454" s="190"/>
      <c r="AD2454" s="190"/>
      <c r="AE2454" s="190"/>
      <c r="AF2454" s="190"/>
      <c r="AG2454" s="190"/>
      <c r="AH2454" s="190"/>
      <c r="AI2454" s="190"/>
      <c r="AJ2454" s="190"/>
      <c r="AK2454" s="190"/>
      <c r="AL2454" s="190"/>
    </row>
    <row r="2455" spans="2:38" ht="12.75" customHeight="1">
      <c r="B2455" s="485"/>
      <c r="C2455" s="6"/>
      <c r="D2455" s="12"/>
      <c r="E2455" s="12"/>
      <c r="F2455" s="12"/>
      <c r="G2455" s="12"/>
      <c r="H2455" s="6"/>
      <c r="I2455" s="190"/>
      <c r="J2455" s="190"/>
      <c r="K2455" s="190"/>
      <c r="L2455" s="190"/>
      <c r="M2455" s="190"/>
      <c r="N2455" s="190"/>
      <c r="O2455" s="190"/>
      <c r="P2455" s="190"/>
      <c r="Q2455" s="190"/>
      <c r="R2455" s="190"/>
      <c r="S2455" s="190"/>
      <c r="T2455" s="190"/>
      <c r="U2455" s="190"/>
      <c r="V2455" s="190"/>
      <c r="W2455" s="190"/>
      <c r="X2455" s="190"/>
      <c r="Y2455" s="190"/>
      <c r="Z2455" s="190"/>
      <c r="AA2455" s="190"/>
      <c r="AB2455" s="190"/>
      <c r="AC2455" s="190"/>
      <c r="AD2455" s="190"/>
      <c r="AE2455" s="190"/>
      <c r="AF2455" s="190"/>
      <c r="AG2455" s="190"/>
      <c r="AH2455" s="190"/>
      <c r="AI2455" s="190"/>
      <c r="AJ2455" s="190"/>
      <c r="AK2455" s="190"/>
      <c r="AL2455" s="190"/>
    </row>
    <row r="2456" spans="2:38" ht="12.75" customHeight="1">
      <c r="B2456" s="485"/>
      <c r="C2456" s="6"/>
      <c r="D2456" s="12"/>
      <c r="E2456" s="12"/>
      <c r="F2456" s="12"/>
      <c r="G2456" s="12"/>
      <c r="H2456" s="6"/>
      <c r="I2456" s="190"/>
      <c r="J2456" s="190"/>
      <c r="K2456" s="190"/>
      <c r="L2456" s="190"/>
      <c r="M2456" s="190"/>
      <c r="N2456" s="190"/>
      <c r="O2456" s="190"/>
      <c r="P2456" s="190"/>
      <c r="Q2456" s="190"/>
      <c r="R2456" s="190"/>
      <c r="S2456" s="190"/>
      <c r="T2456" s="190"/>
      <c r="U2456" s="190"/>
      <c r="V2456" s="190"/>
      <c r="W2456" s="190"/>
      <c r="X2456" s="190"/>
      <c r="Y2456" s="190"/>
      <c r="Z2456" s="190"/>
      <c r="AA2456" s="190"/>
      <c r="AB2456" s="190"/>
      <c r="AC2456" s="190"/>
      <c r="AD2456" s="190"/>
      <c r="AE2456" s="190"/>
      <c r="AF2456" s="190"/>
      <c r="AG2456" s="190"/>
      <c r="AH2456" s="190"/>
      <c r="AI2456" s="190"/>
      <c r="AJ2456" s="190"/>
      <c r="AK2456" s="190"/>
      <c r="AL2456" s="190"/>
    </row>
    <row r="2457" spans="2:38" ht="12.75" customHeight="1">
      <c r="B2457" s="485"/>
      <c r="C2457" s="6"/>
      <c r="D2457" s="12"/>
      <c r="E2457" s="12"/>
      <c r="F2457" s="12"/>
      <c r="G2457" s="12"/>
      <c r="H2457" s="6"/>
      <c r="I2457" s="190"/>
      <c r="J2457" s="190"/>
      <c r="K2457" s="190"/>
      <c r="L2457" s="190"/>
      <c r="M2457" s="190"/>
      <c r="N2457" s="190"/>
      <c r="O2457" s="190"/>
      <c r="P2457" s="190"/>
      <c r="Q2457" s="190"/>
      <c r="R2457" s="190"/>
      <c r="S2457" s="190"/>
      <c r="T2457" s="190"/>
      <c r="U2457" s="190"/>
      <c r="V2457" s="190"/>
      <c r="W2457" s="190"/>
      <c r="X2457" s="190"/>
      <c r="Y2457" s="190"/>
      <c r="Z2457" s="190"/>
      <c r="AA2457" s="190"/>
      <c r="AB2457" s="190"/>
      <c r="AC2457" s="190"/>
      <c r="AD2457" s="190"/>
      <c r="AE2457" s="190"/>
      <c r="AF2457" s="190"/>
      <c r="AG2457" s="190"/>
      <c r="AH2457" s="190"/>
      <c r="AI2457" s="190"/>
      <c r="AJ2457" s="190"/>
      <c r="AK2457" s="190"/>
      <c r="AL2457" s="190"/>
    </row>
    <row r="2458" spans="2:38" ht="12.75" customHeight="1">
      <c r="B2458" s="485"/>
      <c r="C2458" s="6"/>
      <c r="D2458" s="12"/>
      <c r="E2458" s="12"/>
      <c r="F2458" s="12"/>
      <c r="G2458" s="12"/>
      <c r="H2458" s="6"/>
      <c r="I2458" s="190"/>
      <c r="J2458" s="190"/>
      <c r="K2458" s="190"/>
      <c r="L2458" s="190"/>
      <c r="M2458" s="190"/>
      <c r="N2458" s="190"/>
      <c r="O2458" s="190"/>
      <c r="P2458" s="190"/>
      <c r="Q2458" s="190"/>
      <c r="R2458" s="190"/>
      <c r="S2458" s="190"/>
      <c r="T2458" s="190"/>
      <c r="U2458" s="190"/>
      <c r="V2458" s="190"/>
      <c r="W2458" s="190"/>
      <c r="X2458" s="190"/>
      <c r="Y2458" s="190"/>
      <c r="Z2458" s="190"/>
      <c r="AA2458" s="190"/>
      <c r="AB2458" s="190"/>
      <c r="AC2458" s="190"/>
      <c r="AD2458" s="190"/>
      <c r="AE2458" s="190"/>
      <c r="AF2458" s="190"/>
      <c r="AG2458" s="190"/>
      <c r="AH2458" s="190"/>
      <c r="AI2458" s="190"/>
      <c r="AJ2458" s="190"/>
      <c r="AK2458" s="190"/>
      <c r="AL2458" s="190"/>
    </row>
    <row r="2459" spans="2:38" ht="12.75" customHeight="1">
      <c r="B2459" s="485"/>
      <c r="C2459" s="6"/>
      <c r="D2459" s="12"/>
      <c r="E2459" s="12"/>
      <c r="F2459" s="12"/>
      <c r="G2459" s="12"/>
      <c r="H2459" s="6"/>
      <c r="I2459" s="190"/>
      <c r="J2459" s="190"/>
      <c r="K2459" s="190"/>
      <c r="L2459" s="190"/>
      <c r="M2459" s="190"/>
      <c r="N2459" s="190"/>
      <c r="O2459" s="190"/>
      <c r="P2459" s="190"/>
      <c r="Q2459" s="190"/>
      <c r="R2459" s="190"/>
      <c r="S2459" s="190"/>
      <c r="T2459" s="190"/>
      <c r="U2459" s="190"/>
      <c r="V2459" s="190"/>
      <c r="W2459" s="190"/>
      <c r="X2459" s="190"/>
      <c r="Y2459" s="190"/>
      <c r="Z2459" s="190"/>
      <c r="AA2459" s="190"/>
      <c r="AB2459" s="190"/>
      <c r="AC2459" s="190"/>
      <c r="AD2459" s="190"/>
      <c r="AE2459" s="190"/>
      <c r="AF2459" s="190"/>
      <c r="AG2459" s="190"/>
      <c r="AH2459" s="190"/>
      <c r="AI2459" s="190"/>
      <c r="AJ2459" s="190"/>
      <c r="AK2459" s="190"/>
      <c r="AL2459" s="190"/>
    </row>
    <row r="2460" spans="2:38" ht="12.75" customHeight="1">
      <c r="B2460" s="485"/>
      <c r="C2460" s="6"/>
      <c r="D2460" s="12"/>
      <c r="E2460" s="12"/>
      <c r="F2460" s="12"/>
      <c r="G2460" s="12"/>
      <c r="H2460" s="6"/>
      <c r="I2460" s="190"/>
      <c r="J2460" s="190"/>
      <c r="K2460" s="190"/>
      <c r="L2460" s="190"/>
      <c r="M2460" s="190"/>
      <c r="N2460" s="190"/>
      <c r="O2460" s="190"/>
      <c r="P2460" s="190"/>
      <c r="Q2460" s="190"/>
      <c r="R2460" s="190"/>
      <c r="S2460" s="190"/>
      <c r="T2460" s="190"/>
      <c r="U2460" s="190"/>
      <c r="V2460" s="190"/>
      <c r="W2460" s="190"/>
      <c r="X2460" s="190"/>
      <c r="Y2460" s="190"/>
      <c r="Z2460" s="190"/>
      <c r="AA2460" s="190"/>
      <c r="AB2460" s="190"/>
      <c r="AC2460" s="190"/>
      <c r="AD2460" s="190"/>
      <c r="AE2460" s="190"/>
      <c r="AF2460" s="190"/>
      <c r="AG2460" s="190"/>
      <c r="AH2460" s="190"/>
      <c r="AI2460" s="190"/>
      <c r="AJ2460" s="190"/>
      <c r="AK2460" s="190"/>
      <c r="AL2460" s="190"/>
    </row>
    <row r="2461" spans="2:38" ht="12.75" customHeight="1">
      <c r="B2461" s="485"/>
      <c r="C2461" s="6"/>
      <c r="D2461" s="12"/>
      <c r="E2461" s="12"/>
      <c r="F2461" s="12"/>
      <c r="G2461" s="12"/>
      <c r="H2461" s="6"/>
      <c r="I2461" s="190"/>
      <c r="J2461" s="190"/>
      <c r="K2461" s="190"/>
      <c r="L2461" s="190"/>
      <c r="M2461" s="190"/>
      <c r="N2461" s="190"/>
      <c r="O2461" s="190"/>
      <c r="P2461" s="190"/>
      <c r="Q2461" s="190"/>
      <c r="R2461" s="190"/>
      <c r="S2461" s="190"/>
      <c r="T2461" s="190"/>
      <c r="U2461" s="190"/>
      <c r="V2461" s="190"/>
      <c r="W2461" s="190"/>
      <c r="X2461" s="190"/>
      <c r="Y2461" s="190"/>
      <c r="Z2461" s="190"/>
      <c r="AA2461" s="190"/>
      <c r="AB2461" s="190"/>
      <c r="AC2461" s="190"/>
      <c r="AD2461" s="190"/>
      <c r="AE2461" s="190"/>
      <c r="AF2461" s="190"/>
      <c r="AG2461" s="190"/>
      <c r="AH2461" s="190"/>
      <c r="AI2461" s="190"/>
      <c r="AJ2461" s="190"/>
      <c r="AK2461" s="190"/>
      <c r="AL2461" s="190"/>
    </row>
    <row r="2462" spans="2:38" ht="12.75" customHeight="1">
      <c r="B2462" s="485"/>
      <c r="C2462" s="6"/>
      <c r="D2462" s="12"/>
      <c r="E2462" s="12"/>
      <c r="F2462" s="12"/>
      <c r="G2462" s="12"/>
      <c r="H2462" s="6"/>
      <c r="I2462" s="190"/>
      <c r="J2462" s="190"/>
      <c r="K2462" s="190"/>
      <c r="L2462" s="190"/>
      <c r="M2462" s="190"/>
      <c r="N2462" s="190"/>
      <c r="O2462" s="190"/>
      <c r="P2462" s="190"/>
      <c r="Q2462" s="190"/>
      <c r="R2462" s="190"/>
      <c r="S2462" s="190"/>
      <c r="T2462" s="190"/>
      <c r="U2462" s="190"/>
      <c r="V2462" s="190"/>
      <c r="W2462" s="190"/>
      <c r="X2462" s="190"/>
      <c r="Y2462" s="190"/>
      <c r="Z2462" s="190"/>
      <c r="AA2462" s="190"/>
      <c r="AB2462" s="190"/>
      <c r="AC2462" s="190"/>
      <c r="AD2462" s="190"/>
      <c r="AE2462" s="190"/>
      <c r="AF2462" s="190"/>
      <c r="AG2462" s="190"/>
      <c r="AH2462" s="190"/>
      <c r="AI2462" s="190"/>
      <c r="AJ2462" s="190"/>
      <c r="AK2462" s="190"/>
      <c r="AL2462" s="190"/>
    </row>
    <row r="2463" spans="2:38" ht="12.75" customHeight="1">
      <c r="B2463" s="485"/>
      <c r="C2463" s="6"/>
      <c r="D2463" s="12"/>
      <c r="E2463" s="12"/>
      <c r="F2463" s="12"/>
      <c r="G2463" s="12"/>
      <c r="H2463" s="6"/>
      <c r="I2463" s="190"/>
      <c r="J2463" s="190"/>
      <c r="K2463" s="190"/>
      <c r="L2463" s="190"/>
      <c r="M2463" s="190"/>
      <c r="N2463" s="190"/>
      <c r="O2463" s="190"/>
      <c r="P2463" s="190"/>
      <c r="Q2463" s="190"/>
      <c r="R2463" s="190"/>
      <c r="S2463" s="190"/>
      <c r="T2463" s="190"/>
      <c r="U2463" s="190"/>
      <c r="V2463" s="190"/>
      <c r="W2463" s="190"/>
      <c r="X2463" s="190"/>
      <c r="Y2463" s="190"/>
      <c r="Z2463" s="190"/>
      <c r="AA2463" s="190"/>
      <c r="AB2463" s="190"/>
      <c r="AC2463" s="190"/>
      <c r="AD2463" s="190"/>
      <c r="AE2463" s="190"/>
      <c r="AF2463" s="190"/>
      <c r="AG2463" s="190"/>
      <c r="AH2463" s="190"/>
      <c r="AI2463" s="190"/>
      <c r="AJ2463" s="190"/>
      <c r="AK2463" s="190"/>
      <c r="AL2463" s="190"/>
    </row>
    <row r="2464" spans="2:38" ht="12.75" customHeight="1">
      <c r="B2464" s="485"/>
      <c r="C2464" s="6"/>
      <c r="D2464" s="12"/>
      <c r="E2464" s="12"/>
      <c r="F2464" s="12"/>
      <c r="G2464" s="12"/>
      <c r="H2464" s="6"/>
      <c r="I2464" s="190"/>
      <c r="J2464" s="190"/>
      <c r="K2464" s="190"/>
      <c r="L2464" s="190"/>
      <c r="M2464" s="190"/>
      <c r="N2464" s="190"/>
      <c r="O2464" s="190"/>
      <c r="P2464" s="190"/>
      <c r="Q2464" s="190"/>
      <c r="R2464" s="190"/>
      <c r="S2464" s="190"/>
      <c r="T2464" s="190"/>
      <c r="U2464" s="190"/>
      <c r="V2464" s="190"/>
      <c r="W2464" s="190"/>
      <c r="X2464" s="190"/>
      <c r="Y2464" s="190"/>
      <c r="Z2464" s="190"/>
      <c r="AA2464" s="190"/>
      <c r="AB2464" s="190"/>
      <c r="AC2464" s="190"/>
      <c r="AD2464" s="190"/>
      <c r="AE2464" s="190"/>
      <c r="AF2464" s="190"/>
      <c r="AG2464" s="190"/>
      <c r="AH2464" s="190"/>
      <c r="AI2464" s="190"/>
      <c r="AJ2464" s="190"/>
      <c r="AK2464" s="190"/>
      <c r="AL2464" s="190"/>
    </row>
    <row r="2465" spans="2:38" ht="12.75" customHeight="1">
      <c r="B2465" s="485"/>
      <c r="C2465" s="6"/>
      <c r="D2465" s="12"/>
      <c r="E2465" s="12"/>
      <c r="F2465" s="12"/>
      <c r="G2465" s="12"/>
      <c r="H2465" s="6"/>
      <c r="I2465" s="190"/>
      <c r="J2465" s="190"/>
      <c r="K2465" s="190"/>
      <c r="L2465" s="190"/>
      <c r="M2465" s="190"/>
      <c r="N2465" s="190"/>
      <c r="O2465" s="190"/>
      <c r="P2465" s="190"/>
      <c r="Q2465" s="190"/>
      <c r="R2465" s="190"/>
      <c r="S2465" s="190"/>
      <c r="T2465" s="190"/>
      <c r="U2465" s="190"/>
      <c r="V2465" s="190"/>
      <c r="W2465" s="190"/>
      <c r="X2465" s="190"/>
      <c r="Y2465" s="190"/>
      <c r="Z2465" s="190"/>
      <c r="AA2465" s="190"/>
      <c r="AB2465" s="190"/>
      <c r="AC2465" s="190"/>
      <c r="AD2465" s="190"/>
      <c r="AE2465" s="190"/>
      <c r="AF2465" s="190"/>
      <c r="AG2465" s="190"/>
      <c r="AH2465" s="190"/>
      <c r="AI2465" s="190"/>
      <c r="AJ2465" s="190"/>
      <c r="AK2465" s="190"/>
      <c r="AL2465" s="190"/>
    </row>
    <row r="2466" spans="2:38" ht="12.75" customHeight="1">
      <c r="B2466" s="485"/>
      <c r="C2466" s="6"/>
      <c r="D2466" s="12"/>
      <c r="E2466" s="12"/>
      <c r="F2466" s="12"/>
      <c r="G2466" s="12"/>
      <c r="H2466" s="6"/>
      <c r="I2466" s="190"/>
      <c r="J2466" s="190"/>
      <c r="K2466" s="190"/>
      <c r="L2466" s="190"/>
      <c r="M2466" s="190"/>
      <c r="N2466" s="190"/>
      <c r="O2466" s="190"/>
      <c r="P2466" s="190"/>
      <c r="Q2466" s="190"/>
      <c r="R2466" s="190"/>
      <c r="S2466" s="190"/>
      <c r="T2466" s="190"/>
      <c r="U2466" s="190"/>
      <c r="V2466" s="190"/>
      <c r="W2466" s="190"/>
      <c r="X2466" s="190"/>
      <c r="Y2466" s="190"/>
      <c r="Z2466" s="190"/>
      <c r="AA2466" s="190"/>
      <c r="AB2466" s="190"/>
      <c r="AC2466" s="190"/>
      <c r="AD2466" s="190"/>
      <c r="AE2466" s="190"/>
      <c r="AF2466" s="190"/>
      <c r="AG2466" s="190"/>
      <c r="AH2466" s="190"/>
      <c r="AI2466" s="190"/>
      <c r="AJ2466" s="190"/>
      <c r="AK2466" s="190"/>
      <c r="AL2466" s="190"/>
    </row>
    <row r="2467" spans="2:38" ht="12.75" customHeight="1">
      <c r="B2467" s="485"/>
      <c r="C2467" s="6"/>
      <c r="D2467" s="12"/>
      <c r="E2467" s="12"/>
      <c r="F2467" s="12"/>
      <c r="G2467" s="12"/>
      <c r="H2467" s="6"/>
      <c r="I2467" s="190"/>
      <c r="J2467" s="190"/>
      <c r="K2467" s="190"/>
      <c r="L2467" s="190"/>
      <c r="M2467" s="190"/>
      <c r="N2467" s="190"/>
      <c r="O2467" s="190"/>
      <c r="P2467" s="190"/>
      <c r="Q2467" s="190"/>
      <c r="R2467" s="190"/>
      <c r="S2467" s="190"/>
      <c r="T2467" s="190"/>
      <c r="U2467" s="190"/>
      <c r="V2467" s="190"/>
      <c r="W2467" s="190"/>
      <c r="X2467" s="190"/>
      <c r="Y2467" s="190"/>
      <c r="Z2467" s="190"/>
      <c r="AA2467" s="190"/>
      <c r="AB2467" s="190"/>
      <c r="AC2467" s="190"/>
      <c r="AD2467" s="190"/>
      <c r="AE2467" s="190"/>
      <c r="AF2467" s="190"/>
      <c r="AG2467" s="190"/>
      <c r="AH2467" s="190"/>
      <c r="AI2467" s="190"/>
      <c r="AJ2467" s="190"/>
      <c r="AK2467" s="190"/>
      <c r="AL2467" s="190"/>
    </row>
    <row r="2468" spans="2:38" ht="12.75" customHeight="1">
      <c r="B2468" s="485"/>
      <c r="C2468" s="6"/>
      <c r="D2468" s="12"/>
      <c r="E2468" s="12"/>
      <c r="F2468" s="12"/>
      <c r="G2468" s="12"/>
      <c r="H2468" s="6"/>
      <c r="I2468" s="190"/>
      <c r="J2468" s="190"/>
      <c r="K2468" s="190"/>
      <c r="L2468" s="190"/>
      <c r="M2468" s="190"/>
      <c r="N2468" s="190"/>
      <c r="O2468" s="190"/>
      <c r="P2468" s="190"/>
      <c r="Q2468" s="190"/>
      <c r="R2468" s="190"/>
      <c r="S2468" s="190"/>
      <c r="T2468" s="190"/>
      <c r="U2468" s="190"/>
      <c r="V2468" s="190"/>
      <c r="W2468" s="190"/>
      <c r="X2468" s="190"/>
      <c r="Y2468" s="190"/>
      <c r="Z2468" s="190"/>
      <c r="AA2468" s="190"/>
      <c r="AB2468" s="190"/>
      <c r="AC2468" s="190"/>
      <c r="AD2468" s="190"/>
      <c r="AE2468" s="190"/>
      <c r="AF2468" s="190"/>
      <c r="AG2468" s="190"/>
      <c r="AH2468" s="190"/>
      <c r="AI2468" s="190"/>
      <c r="AJ2468" s="190"/>
      <c r="AK2468" s="190"/>
      <c r="AL2468" s="190"/>
    </row>
    <row r="2469" spans="2:38" ht="12.75" customHeight="1">
      <c r="B2469" s="485"/>
      <c r="C2469" s="6"/>
      <c r="D2469" s="12"/>
      <c r="E2469" s="12"/>
      <c r="F2469" s="12"/>
      <c r="G2469" s="12"/>
      <c r="H2469" s="6"/>
      <c r="I2469" s="190"/>
      <c r="J2469" s="190"/>
      <c r="K2469" s="190"/>
      <c r="L2469" s="190"/>
      <c r="M2469" s="190"/>
      <c r="N2469" s="190"/>
      <c r="O2469" s="190"/>
      <c r="P2469" s="190"/>
      <c r="Q2469" s="190"/>
      <c r="R2469" s="190"/>
      <c r="S2469" s="190"/>
      <c r="T2469" s="190"/>
      <c r="U2469" s="190"/>
      <c r="V2469" s="190"/>
      <c r="W2469" s="190"/>
      <c r="X2469" s="190"/>
      <c r="Y2469" s="190"/>
      <c r="Z2469" s="190"/>
      <c r="AA2469" s="190"/>
      <c r="AB2469" s="190"/>
      <c r="AC2469" s="190"/>
      <c r="AD2469" s="190"/>
      <c r="AE2469" s="190"/>
      <c r="AF2469" s="190"/>
      <c r="AG2469" s="190"/>
      <c r="AH2469" s="190"/>
      <c r="AI2469" s="190"/>
      <c r="AJ2469" s="190"/>
      <c r="AK2469" s="190"/>
      <c r="AL2469" s="190"/>
    </row>
    <row r="2470" spans="2:38" ht="12.75" customHeight="1">
      <c r="B2470" s="485"/>
      <c r="C2470" s="6"/>
      <c r="D2470" s="12"/>
      <c r="E2470" s="12"/>
      <c r="F2470" s="12"/>
      <c r="G2470" s="12"/>
      <c r="H2470" s="6"/>
      <c r="I2470" s="190"/>
      <c r="J2470" s="190"/>
      <c r="K2470" s="190"/>
      <c r="L2470" s="190"/>
      <c r="M2470" s="190"/>
      <c r="N2470" s="190"/>
      <c r="O2470" s="190"/>
      <c r="P2470" s="190"/>
      <c r="Q2470" s="190"/>
      <c r="R2470" s="190"/>
      <c r="S2470" s="190"/>
      <c r="T2470" s="190"/>
      <c r="U2470" s="190"/>
      <c r="V2470" s="190"/>
      <c r="W2470" s="190"/>
      <c r="X2470" s="190"/>
      <c r="Y2470" s="190"/>
      <c r="Z2470" s="190"/>
      <c r="AA2470" s="190"/>
      <c r="AB2470" s="190"/>
      <c r="AC2470" s="190"/>
      <c r="AD2470" s="190"/>
      <c r="AE2470" s="190"/>
      <c r="AF2470" s="190"/>
      <c r="AG2470" s="190"/>
      <c r="AH2470" s="190"/>
      <c r="AI2470" s="190"/>
      <c r="AJ2470" s="190"/>
      <c r="AK2470" s="190"/>
      <c r="AL2470" s="190"/>
    </row>
    <row r="2471" spans="2:38" ht="12.75" customHeight="1">
      <c r="B2471" s="485"/>
      <c r="C2471" s="6"/>
      <c r="D2471" s="12"/>
      <c r="E2471" s="12"/>
      <c r="F2471" s="12"/>
      <c r="G2471" s="12"/>
      <c r="H2471" s="6"/>
      <c r="I2471" s="190"/>
      <c r="J2471" s="190"/>
      <c r="K2471" s="190"/>
      <c r="L2471" s="190"/>
      <c r="M2471" s="190"/>
      <c r="N2471" s="190"/>
      <c r="O2471" s="190"/>
      <c r="P2471" s="190"/>
      <c r="Q2471" s="190"/>
      <c r="R2471" s="190"/>
      <c r="S2471" s="190"/>
      <c r="T2471" s="190"/>
      <c r="U2471" s="190"/>
      <c r="V2471" s="190"/>
      <c r="W2471" s="190"/>
      <c r="X2471" s="190"/>
      <c r="Y2471" s="190"/>
      <c r="Z2471" s="190"/>
      <c r="AA2471" s="190"/>
      <c r="AB2471" s="190"/>
      <c r="AC2471" s="190"/>
      <c r="AD2471" s="190"/>
      <c r="AE2471" s="190"/>
      <c r="AF2471" s="190"/>
      <c r="AG2471" s="190"/>
      <c r="AH2471" s="190"/>
      <c r="AI2471" s="190"/>
      <c r="AJ2471" s="190"/>
      <c r="AK2471" s="190"/>
      <c r="AL2471" s="190"/>
    </row>
    <row r="2472" spans="2:38" ht="12.75" customHeight="1">
      <c r="B2472" s="485"/>
      <c r="C2472" s="6"/>
      <c r="D2472" s="12"/>
      <c r="E2472" s="12"/>
      <c r="F2472" s="12"/>
      <c r="G2472" s="12"/>
      <c r="H2472" s="6"/>
      <c r="I2472" s="190"/>
      <c r="J2472" s="190"/>
      <c r="K2472" s="190"/>
      <c r="L2472" s="190"/>
      <c r="M2472" s="190"/>
      <c r="N2472" s="190"/>
      <c r="O2472" s="190"/>
      <c r="P2472" s="190"/>
      <c r="Q2472" s="190"/>
      <c r="R2472" s="190"/>
      <c r="S2472" s="190"/>
      <c r="T2472" s="190"/>
      <c r="U2472" s="190"/>
      <c r="V2472" s="190"/>
      <c r="W2472" s="190"/>
      <c r="X2472" s="190"/>
      <c r="Y2472" s="190"/>
      <c r="Z2472" s="190"/>
      <c r="AA2472" s="190"/>
      <c r="AB2472" s="190"/>
      <c r="AC2472" s="190"/>
      <c r="AD2472" s="190"/>
      <c r="AE2472" s="190"/>
      <c r="AF2472" s="190"/>
      <c r="AG2472" s="190"/>
      <c r="AH2472" s="190"/>
      <c r="AI2472" s="190"/>
      <c r="AJ2472" s="190"/>
      <c r="AK2472" s="190"/>
      <c r="AL2472" s="190"/>
    </row>
    <row r="2473" spans="2:38" ht="12.75" customHeight="1">
      <c r="B2473" s="485"/>
      <c r="C2473" s="6"/>
      <c r="D2473" s="12"/>
      <c r="E2473" s="12"/>
      <c r="F2473" s="12"/>
      <c r="G2473" s="12"/>
      <c r="H2473" s="6"/>
      <c r="I2473" s="190"/>
      <c r="J2473" s="190"/>
      <c r="K2473" s="190"/>
      <c r="L2473" s="190"/>
      <c r="M2473" s="190"/>
      <c r="N2473" s="190"/>
      <c r="O2473" s="190"/>
      <c r="P2473" s="190"/>
      <c r="Q2473" s="190"/>
      <c r="R2473" s="190"/>
      <c r="S2473" s="190"/>
      <c r="T2473" s="190"/>
      <c r="U2473" s="190"/>
      <c r="V2473" s="190"/>
      <c r="W2473" s="190"/>
      <c r="X2473" s="190"/>
      <c r="Y2473" s="190"/>
      <c r="Z2473" s="190"/>
      <c r="AA2473" s="190"/>
      <c r="AB2473" s="190"/>
      <c r="AC2473" s="190"/>
      <c r="AD2473" s="190"/>
      <c r="AE2473" s="190"/>
      <c r="AF2473" s="190"/>
      <c r="AG2473" s="190"/>
      <c r="AH2473" s="190"/>
      <c r="AI2473" s="190"/>
      <c r="AJ2473" s="190"/>
      <c r="AK2473" s="190"/>
      <c r="AL2473" s="190"/>
    </row>
    <row r="2474" spans="2:38" ht="12.75" customHeight="1">
      <c r="B2474" s="485"/>
      <c r="C2474" s="6"/>
      <c r="D2474" s="12"/>
      <c r="E2474" s="12"/>
      <c r="F2474" s="12"/>
      <c r="G2474" s="12"/>
      <c r="H2474" s="6"/>
      <c r="I2474" s="190"/>
      <c r="J2474" s="190"/>
      <c r="K2474" s="190"/>
      <c r="L2474" s="190"/>
      <c r="M2474" s="190"/>
      <c r="N2474" s="190"/>
      <c r="O2474" s="190"/>
      <c r="P2474" s="190"/>
      <c r="Q2474" s="190"/>
      <c r="R2474" s="190"/>
      <c r="S2474" s="190"/>
      <c r="T2474" s="190"/>
      <c r="U2474" s="190"/>
      <c r="V2474" s="190"/>
      <c r="W2474" s="190"/>
      <c r="X2474" s="190"/>
      <c r="Y2474" s="190"/>
      <c r="Z2474" s="190"/>
      <c r="AA2474" s="190"/>
      <c r="AB2474" s="190"/>
      <c r="AC2474" s="190"/>
      <c r="AD2474" s="190"/>
      <c r="AE2474" s="190"/>
      <c r="AF2474" s="190"/>
      <c r="AG2474" s="190"/>
      <c r="AH2474" s="190"/>
      <c r="AI2474" s="190"/>
      <c r="AJ2474" s="190"/>
      <c r="AK2474" s="190"/>
      <c r="AL2474" s="190"/>
    </row>
    <row r="2475" spans="2:38" ht="12.75" customHeight="1">
      <c r="B2475" s="485"/>
      <c r="C2475" s="6"/>
      <c r="D2475" s="12"/>
      <c r="E2475" s="12"/>
      <c r="F2475" s="12"/>
      <c r="G2475" s="12"/>
      <c r="H2475" s="6"/>
      <c r="I2475" s="190"/>
      <c r="J2475" s="190"/>
      <c r="K2475" s="190"/>
      <c r="L2475" s="190"/>
      <c r="M2475" s="190"/>
      <c r="N2475" s="190"/>
      <c r="O2475" s="190"/>
      <c r="P2475" s="190"/>
      <c r="Q2475" s="190"/>
      <c r="R2475" s="190"/>
      <c r="S2475" s="190"/>
      <c r="T2475" s="190"/>
      <c r="U2475" s="190"/>
      <c r="V2475" s="190"/>
      <c r="W2475" s="190"/>
      <c r="X2475" s="190"/>
      <c r="Y2475" s="190"/>
      <c r="Z2475" s="190"/>
      <c r="AA2475" s="190"/>
      <c r="AB2475" s="190"/>
      <c r="AC2475" s="190"/>
      <c r="AD2475" s="190"/>
      <c r="AE2475" s="190"/>
      <c r="AF2475" s="190"/>
      <c r="AG2475" s="190"/>
      <c r="AH2475" s="190"/>
      <c r="AI2475" s="190"/>
      <c r="AJ2475" s="190"/>
      <c r="AK2475" s="190"/>
      <c r="AL2475" s="190"/>
    </row>
    <row r="2476" spans="2:38" ht="12.75" customHeight="1">
      <c r="B2476" s="485"/>
      <c r="C2476" s="6"/>
      <c r="D2476" s="12"/>
      <c r="E2476" s="12"/>
      <c r="F2476" s="12"/>
      <c r="G2476" s="12"/>
      <c r="H2476" s="6"/>
      <c r="I2476" s="190"/>
      <c r="J2476" s="190"/>
      <c r="K2476" s="190"/>
      <c r="L2476" s="190"/>
      <c r="M2476" s="190"/>
      <c r="N2476" s="190"/>
      <c r="O2476" s="190"/>
      <c r="P2476" s="190"/>
      <c r="Q2476" s="190"/>
      <c r="R2476" s="190"/>
      <c r="S2476" s="190"/>
      <c r="T2476" s="190"/>
      <c r="U2476" s="190"/>
      <c r="V2476" s="190"/>
      <c r="W2476" s="190"/>
      <c r="X2476" s="190"/>
      <c r="Y2476" s="190"/>
      <c r="Z2476" s="190"/>
      <c r="AA2476" s="190"/>
      <c r="AB2476" s="190"/>
      <c r="AC2476" s="190"/>
      <c r="AD2476" s="190"/>
      <c r="AE2476" s="190"/>
      <c r="AF2476" s="190"/>
      <c r="AG2476" s="190"/>
      <c r="AH2476" s="190"/>
      <c r="AI2476" s="190"/>
      <c r="AJ2476" s="190"/>
      <c r="AK2476" s="190"/>
      <c r="AL2476" s="190"/>
    </row>
    <row r="2477" spans="2:38" ht="12.75" customHeight="1">
      <c r="B2477" s="485"/>
      <c r="C2477" s="6"/>
      <c r="D2477" s="12"/>
      <c r="E2477" s="12"/>
      <c r="F2477" s="12"/>
      <c r="G2477" s="12"/>
      <c r="H2477" s="6"/>
      <c r="I2477" s="190"/>
      <c r="J2477" s="190"/>
      <c r="K2477" s="190"/>
      <c r="L2477" s="190"/>
      <c r="M2477" s="190"/>
      <c r="N2477" s="190"/>
      <c r="O2477" s="190"/>
      <c r="P2477" s="190"/>
      <c r="Q2477" s="190"/>
      <c r="R2477" s="190"/>
      <c r="S2477" s="190"/>
      <c r="T2477" s="190"/>
      <c r="U2477" s="190"/>
      <c r="V2477" s="190"/>
      <c r="W2477" s="190"/>
      <c r="X2477" s="190"/>
      <c r="Y2477" s="190"/>
      <c r="Z2477" s="190"/>
      <c r="AA2477" s="190"/>
      <c r="AB2477" s="190"/>
      <c r="AC2477" s="190"/>
      <c r="AD2477" s="190"/>
      <c r="AE2477" s="190"/>
      <c r="AF2477" s="190"/>
      <c r="AG2477" s="190"/>
      <c r="AH2477" s="190"/>
      <c r="AI2477" s="190"/>
      <c r="AJ2477" s="190"/>
      <c r="AK2477" s="190"/>
      <c r="AL2477" s="190"/>
    </row>
    <row r="2478" spans="2:38" ht="12.75" customHeight="1">
      <c r="B2478" s="485"/>
      <c r="C2478" s="6"/>
      <c r="D2478" s="12"/>
      <c r="E2478" s="12"/>
      <c r="F2478" s="12"/>
      <c r="G2478" s="12"/>
      <c r="H2478" s="6"/>
      <c r="I2478" s="190"/>
      <c r="J2478" s="190"/>
      <c r="K2478" s="190"/>
      <c r="L2478" s="190"/>
      <c r="M2478" s="190"/>
      <c r="N2478" s="190"/>
      <c r="O2478" s="190"/>
      <c r="P2478" s="190"/>
      <c r="Q2478" s="190"/>
      <c r="R2478" s="190"/>
      <c r="S2478" s="190"/>
      <c r="T2478" s="190"/>
      <c r="U2478" s="190"/>
      <c r="V2478" s="190"/>
      <c r="W2478" s="190"/>
      <c r="X2478" s="190"/>
      <c r="Y2478" s="190"/>
      <c r="Z2478" s="190"/>
      <c r="AA2478" s="190"/>
      <c r="AB2478" s="190"/>
      <c r="AC2478" s="190"/>
      <c r="AD2478" s="190"/>
      <c r="AE2478" s="190"/>
      <c r="AF2478" s="190"/>
      <c r="AG2478" s="190"/>
      <c r="AH2478" s="190"/>
      <c r="AI2478" s="190"/>
      <c r="AJ2478" s="190"/>
      <c r="AK2478" s="190"/>
      <c r="AL2478" s="190"/>
    </row>
    <row r="2479" spans="2:38" ht="12.75" customHeight="1">
      <c r="B2479" s="485"/>
      <c r="C2479" s="6"/>
      <c r="D2479" s="12"/>
      <c r="E2479" s="12"/>
      <c r="F2479" s="12"/>
      <c r="G2479" s="12"/>
      <c r="H2479" s="6"/>
      <c r="I2479" s="190"/>
      <c r="J2479" s="190"/>
      <c r="K2479" s="190"/>
      <c r="L2479" s="190"/>
      <c r="M2479" s="190"/>
      <c r="N2479" s="190"/>
      <c r="O2479" s="190"/>
      <c r="P2479" s="190"/>
      <c r="Q2479" s="190"/>
      <c r="R2479" s="190"/>
      <c r="S2479" s="190"/>
      <c r="T2479" s="190"/>
      <c r="U2479" s="190"/>
      <c r="V2479" s="190"/>
      <c r="W2479" s="190"/>
      <c r="X2479" s="190"/>
      <c r="Y2479" s="190"/>
      <c r="Z2479" s="190"/>
      <c r="AA2479" s="190"/>
      <c r="AB2479" s="190"/>
      <c r="AC2479" s="190"/>
      <c r="AD2479" s="190"/>
      <c r="AE2479" s="190"/>
      <c r="AF2479" s="190"/>
      <c r="AG2479" s="190"/>
      <c r="AH2479" s="190"/>
      <c r="AI2479" s="190"/>
      <c r="AJ2479" s="190"/>
      <c r="AK2479" s="190"/>
      <c r="AL2479" s="190"/>
    </row>
    <row r="2480" spans="2:38" ht="12.75" customHeight="1">
      <c r="B2480" s="485"/>
      <c r="C2480" s="6"/>
      <c r="D2480" s="12"/>
      <c r="E2480" s="12"/>
      <c r="F2480" s="12"/>
      <c r="G2480" s="12"/>
      <c r="H2480" s="6"/>
      <c r="I2480" s="190"/>
      <c r="J2480" s="190"/>
      <c r="K2480" s="190"/>
      <c r="L2480" s="190"/>
      <c r="M2480" s="190"/>
      <c r="N2480" s="190"/>
      <c r="O2480" s="190"/>
      <c r="P2480" s="190"/>
      <c r="Q2480" s="190"/>
      <c r="R2480" s="190"/>
      <c r="S2480" s="190"/>
      <c r="T2480" s="190"/>
      <c r="U2480" s="190"/>
      <c r="V2480" s="190"/>
      <c r="W2480" s="190"/>
      <c r="X2480" s="190"/>
      <c r="Y2480" s="190"/>
      <c r="Z2480" s="190"/>
      <c r="AA2480" s="190"/>
      <c r="AB2480" s="190"/>
      <c r="AC2480" s="190"/>
      <c r="AD2480" s="190"/>
      <c r="AE2480" s="190"/>
      <c r="AF2480" s="190"/>
      <c r="AG2480" s="190"/>
      <c r="AH2480" s="190"/>
      <c r="AI2480" s="190"/>
      <c r="AJ2480" s="190"/>
      <c r="AK2480" s="190"/>
      <c r="AL2480" s="190"/>
    </row>
    <row r="2481" spans="2:38" ht="12.75" customHeight="1">
      <c r="B2481" s="485"/>
      <c r="C2481" s="6"/>
      <c r="D2481" s="12"/>
      <c r="E2481" s="12"/>
      <c r="F2481" s="12"/>
      <c r="G2481" s="12"/>
      <c r="H2481" s="6"/>
      <c r="I2481" s="190"/>
      <c r="J2481" s="190"/>
      <c r="K2481" s="190"/>
      <c r="L2481" s="190"/>
      <c r="M2481" s="190"/>
      <c r="N2481" s="190"/>
      <c r="O2481" s="190"/>
      <c r="P2481" s="190"/>
      <c r="Q2481" s="190"/>
      <c r="R2481" s="190"/>
      <c r="S2481" s="190"/>
      <c r="T2481" s="190"/>
      <c r="U2481" s="190"/>
      <c r="V2481" s="190"/>
      <c r="W2481" s="190"/>
      <c r="X2481" s="190"/>
      <c r="Y2481" s="190"/>
      <c r="Z2481" s="190"/>
      <c r="AA2481" s="190"/>
      <c r="AB2481" s="190"/>
      <c r="AC2481" s="190"/>
      <c r="AD2481" s="190"/>
      <c r="AE2481" s="190"/>
      <c r="AF2481" s="190"/>
      <c r="AG2481" s="190"/>
      <c r="AH2481" s="190"/>
      <c r="AI2481" s="190"/>
      <c r="AJ2481" s="190"/>
      <c r="AK2481" s="190"/>
      <c r="AL2481" s="190"/>
    </row>
    <row r="2482" spans="2:38" ht="12.75" customHeight="1">
      <c r="B2482" s="485"/>
      <c r="C2482" s="6"/>
      <c r="D2482" s="12"/>
      <c r="E2482" s="12"/>
      <c r="F2482" s="12"/>
      <c r="G2482" s="12"/>
      <c r="H2482" s="6"/>
      <c r="I2482" s="190"/>
      <c r="J2482" s="190"/>
      <c r="K2482" s="190"/>
      <c r="L2482" s="190"/>
      <c r="M2482" s="190"/>
      <c r="N2482" s="190"/>
      <c r="O2482" s="190"/>
      <c r="P2482" s="190"/>
      <c r="Q2482" s="190"/>
      <c r="R2482" s="190"/>
      <c r="S2482" s="190"/>
      <c r="T2482" s="190"/>
      <c r="U2482" s="190"/>
      <c r="V2482" s="190"/>
      <c r="W2482" s="190"/>
      <c r="X2482" s="190"/>
      <c r="Y2482" s="190"/>
      <c r="Z2482" s="190"/>
      <c r="AA2482" s="190"/>
      <c r="AB2482" s="190"/>
      <c r="AC2482" s="190"/>
      <c r="AD2482" s="190"/>
      <c r="AE2482" s="190"/>
      <c r="AF2482" s="190"/>
      <c r="AG2482" s="190"/>
      <c r="AH2482" s="190"/>
      <c r="AI2482" s="190"/>
      <c r="AJ2482" s="190"/>
      <c r="AK2482" s="190"/>
      <c r="AL2482" s="190"/>
    </row>
    <row r="2483" spans="2:38" ht="12.75" customHeight="1">
      <c r="B2483" s="485"/>
      <c r="C2483" s="6"/>
      <c r="D2483" s="12"/>
      <c r="E2483" s="12"/>
      <c r="F2483" s="12"/>
      <c r="G2483" s="12"/>
      <c r="H2483" s="6"/>
      <c r="I2483" s="190"/>
      <c r="J2483" s="190"/>
      <c r="K2483" s="190"/>
      <c r="L2483" s="190"/>
      <c r="M2483" s="190"/>
      <c r="N2483" s="190"/>
      <c r="O2483" s="190"/>
      <c r="P2483" s="190"/>
      <c r="Q2483" s="190"/>
      <c r="R2483" s="190"/>
      <c r="S2483" s="190"/>
      <c r="T2483" s="190"/>
      <c r="U2483" s="190"/>
      <c r="V2483" s="190"/>
      <c r="W2483" s="190"/>
      <c r="X2483" s="190"/>
      <c r="Y2483" s="190"/>
      <c r="Z2483" s="190"/>
      <c r="AA2483" s="190"/>
      <c r="AB2483" s="190"/>
      <c r="AC2483" s="190"/>
      <c r="AD2483" s="190"/>
      <c r="AE2483" s="190"/>
      <c r="AF2483" s="190"/>
      <c r="AG2483" s="190"/>
      <c r="AH2483" s="190"/>
      <c r="AI2483" s="190"/>
      <c r="AJ2483" s="190"/>
      <c r="AK2483" s="190"/>
      <c r="AL2483" s="190"/>
    </row>
    <row r="2484" spans="2:38" ht="12.75" customHeight="1">
      <c r="B2484" s="485"/>
      <c r="C2484" s="6"/>
      <c r="D2484" s="12"/>
      <c r="E2484" s="12"/>
      <c r="F2484" s="12"/>
      <c r="G2484" s="12"/>
      <c r="H2484" s="6"/>
      <c r="I2484" s="190"/>
      <c r="J2484" s="190"/>
      <c r="K2484" s="190"/>
      <c r="L2484" s="190"/>
      <c r="M2484" s="190"/>
      <c r="N2484" s="190"/>
      <c r="O2484" s="190"/>
      <c r="P2484" s="190"/>
      <c r="Q2484" s="190"/>
      <c r="R2484" s="190"/>
      <c r="S2484" s="190"/>
      <c r="T2484" s="190"/>
      <c r="U2484" s="190"/>
      <c r="V2484" s="190"/>
      <c r="W2484" s="190"/>
      <c r="X2484" s="190"/>
      <c r="Y2484" s="190"/>
      <c r="Z2484" s="190"/>
      <c r="AA2484" s="190"/>
      <c r="AB2484" s="190"/>
      <c r="AC2484" s="190"/>
      <c r="AD2484" s="190"/>
      <c r="AE2484" s="190"/>
      <c r="AF2484" s="190"/>
      <c r="AG2484" s="190"/>
      <c r="AH2484" s="190"/>
      <c r="AI2484" s="190"/>
      <c r="AJ2484" s="190"/>
      <c r="AK2484" s="190"/>
      <c r="AL2484" s="190"/>
    </row>
    <row r="2485" spans="2:38" ht="12.75" customHeight="1">
      <c r="B2485" s="485"/>
      <c r="C2485" s="6"/>
      <c r="D2485" s="12"/>
      <c r="E2485" s="12"/>
      <c r="F2485" s="12"/>
      <c r="G2485" s="12"/>
      <c r="H2485" s="6"/>
      <c r="I2485" s="190"/>
      <c r="J2485" s="190"/>
      <c r="K2485" s="190"/>
      <c r="L2485" s="190"/>
      <c r="M2485" s="190"/>
      <c r="N2485" s="190"/>
      <c r="O2485" s="190"/>
      <c r="P2485" s="190"/>
      <c r="Q2485" s="190"/>
      <c r="R2485" s="190"/>
      <c r="S2485" s="190"/>
      <c r="T2485" s="190"/>
      <c r="U2485" s="190"/>
      <c r="V2485" s="190"/>
      <c r="W2485" s="190"/>
      <c r="X2485" s="190"/>
      <c r="Y2485" s="190"/>
      <c r="Z2485" s="190"/>
      <c r="AA2485" s="190"/>
      <c r="AB2485" s="190"/>
      <c r="AC2485" s="190"/>
      <c r="AD2485" s="190"/>
      <c r="AE2485" s="190"/>
      <c r="AF2485" s="190"/>
      <c r="AG2485" s="190"/>
      <c r="AH2485" s="190"/>
      <c r="AI2485" s="190"/>
      <c r="AJ2485" s="190"/>
      <c r="AK2485" s="190"/>
      <c r="AL2485" s="190"/>
    </row>
    <row r="2486" spans="2:38" ht="12.75" customHeight="1">
      <c r="B2486" s="485"/>
      <c r="C2486" s="6"/>
      <c r="D2486" s="12"/>
      <c r="E2486" s="12"/>
      <c r="F2486" s="12"/>
      <c r="G2486" s="12"/>
      <c r="H2486" s="6"/>
      <c r="I2486" s="190"/>
      <c r="J2486" s="190"/>
      <c r="K2486" s="190"/>
      <c r="L2486" s="190"/>
      <c r="M2486" s="190"/>
      <c r="N2486" s="190"/>
      <c r="O2486" s="190"/>
      <c r="P2486" s="190"/>
      <c r="Q2486" s="190"/>
      <c r="R2486" s="190"/>
      <c r="S2486" s="190"/>
      <c r="T2486" s="190"/>
      <c r="U2486" s="190"/>
      <c r="V2486" s="190"/>
      <c r="W2486" s="190"/>
      <c r="X2486" s="190"/>
      <c r="Y2486" s="190"/>
      <c r="Z2486" s="190"/>
      <c r="AA2486" s="190"/>
      <c r="AB2486" s="190"/>
      <c r="AC2486" s="190"/>
      <c r="AD2486" s="190"/>
      <c r="AE2486" s="190"/>
      <c r="AF2486" s="190"/>
      <c r="AG2486" s="190"/>
      <c r="AH2486" s="190"/>
      <c r="AI2486" s="190"/>
      <c r="AJ2486" s="190"/>
      <c r="AK2486" s="190"/>
      <c r="AL2486" s="190"/>
    </row>
    <row r="2487" spans="2:38" ht="12.75" customHeight="1">
      <c r="B2487" s="485"/>
      <c r="C2487" s="6"/>
      <c r="D2487" s="12"/>
      <c r="E2487" s="12"/>
      <c r="F2487" s="12"/>
      <c r="G2487" s="12"/>
      <c r="H2487" s="6"/>
      <c r="I2487" s="190"/>
      <c r="J2487" s="190"/>
      <c r="K2487" s="190"/>
      <c r="L2487" s="190"/>
      <c r="M2487" s="190"/>
      <c r="N2487" s="190"/>
      <c r="O2487" s="190"/>
      <c r="P2487" s="190"/>
      <c r="Q2487" s="190"/>
      <c r="R2487" s="190"/>
      <c r="S2487" s="190"/>
      <c r="T2487" s="190"/>
      <c r="U2487" s="190"/>
      <c r="V2487" s="190"/>
      <c r="W2487" s="190"/>
      <c r="X2487" s="190"/>
      <c r="Y2487" s="190"/>
      <c r="Z2487" s="190"/>
      <c r="AA2487" s="190"/>
      <c r="AB2487" s="190"/>
      <c r="AC2487" s="190"/>
      <c r="AD2487" s="190"/>
      <c r="AE2487" s="190"/>
      <c r="AF2487" s="190"/>
      <c r="AG2487" s="190"/>
      <c r="AH2487" s="190"/>
      <c r="AI2487" s="190"/>
      <c r="AJ2487" s="190"/>
      <c r="AK2487" s="190"/>
      <c r="AL2487" s="190"/>
    </row>
    <row r="2488" spans="2:38" ht="12.75" customHeight="1">
      <c r="B2488" s="485"/>
      <c r="C2488" s="6"/>
      <c r="D2488" s="12"/>
      <c r="E2488" s="12"/>
      <c r="F2488" s="12"/>
      <c r="G2488" s="12"/>
      <c r="H2488" s="6"/>
      <c r="I2488" s="190"/>
      <c r="J2488" s="190"/>
      <c r="K2488" s="190"/>
      <c r="L2488" s="190"/>
      <c r="M2488" s="190"/>
      <c r="N2488" s="190"/>
      <c r="O2488" s="190"/>
      <c r="P2488" s="190"/>
      <c r="Q2488" s="190"/>
      <c r="R2488" s="190"/>
      <c r="S2488" s="190"/>
      <c r="T2488" s="190"/>
      <c r="U2488" s="190"/>
      <c r="V2488" s="190"/>
      <c r="W2488" s="190"/>
      <c r="X2488" s="190"/>
      <c r="Y2488" s="190"/>
      <c r="Z2488" s="190"/>
      <c r="AA2488" s="190"/>
      <c r="AB2488" s="190"/>
      <c r="AC2488" s="190"/>
      <c r="AD2488" s="190"/>
      <c r="AE2488" s="190"/>
      <c r="AF2488" s="190"/>
      <c r="AG2488" s="190"/>
      <c r="AH2488" s="190"/>
      <c r="AI2488" s="190"/>
      <c r="AJ2488" s="190"/>
      <c r="AK2488" s="190"/>
      <c r="AL2488" s="190"/>
    </row>
    <row r="2489" spans="2:38" ht="12.75" customHeight="1">
      <c r="B2489" s="485"/>
      <c r="C2489" s="6"/>
      <c r="D2489" s="12"/>
      <c r="E2489" s="12"/>
      <c r="F2489" s="12"/>
      <c r="G2489" s="12"/>
      <c r="H2489" s="6"/>
      <c r="I2489" s="190"/>
      <c r="J2489" s="190"/>
      <c r="K2489" s="190"/>
      <c r="L2489" s="190"/>
      <c r="M2489" s="190"/>
      <c r="N2489" s="190"/>
      <c r="O2489" s="190"/>
      <c r="P2489" s="190"/>
      <c r="Q2489" s="190"/>
      <c r="R2489" s="190"/>
      <c r="S2489" s="190"/>
      <c r="T2489" s="190"/>
      <c r="U2489" s="190"/>
      <c r="V2489" s="190"/>
      <c r="W2489" s="190"/>
      <c r="X2489" s="190"/>
      <c r="Y2489" s="190"/>
      <c r="Z2489" s="190"/>
      <c r="AA2489" s="190"/>
      <c r="AB2489" s="190"/>
      <c r="AC2489" s="190"/>
      <c r="AD2489" s="190"/>
      <c r="AE2489" s="190"/>
      <c r="AF2489" s="190"/>
      <c r="AG2489" s="190"/>
      <c r="AH2489" s="190"/>
      <c r="AI2489" s="190"/>
      <c r="AJ2489" s="190"/>
      <c r="AK2489" s="190"/>
      <c r="AL2489" s="190"/>
    </row>
    <row r="2490" spans="2:38" ht="12.75" customHeight="1">
      <c r="B2490" s="485"/>
      <c r="C2490" s="6"/>
      <c r="D2490" s="12"/>
      <c r="E2490" s="12"/>
      <c r="F2490" s="12"/>
      <c r="G2490" s="12"/>
      <c r="H2490" s="6"/>
      <c r="I2490" s="190"/>
      <c r="J2490" s="190"/>
      <c r="K2490" s="190"/>
      <c r="L2490" s="190"/>
      <c r="M2490" s="190"/>
      <c r="N2490" s="190"/>
      <c r="O2490" s="190"/>
      <c r="P2490" s="190"/>
      <c r="Q2490" s="190"/>
      <c r="R2490" s="190"/>
      <c r="S2490" s="190"/>
      <c r="T2490" s="190"/>
      <c r="U2490" s="190"/>
      <c r="V2490" s="190"/>
      <c r="W2490" s="190"/>
      <c r="X2490" s="190"/>
      <c r="Y2490" s="190"/>
      <c r="Z2490" s="190"/>
      <c r="AA2490" s="190"/>
      <c r="AB2490" s="190"/>
      <c r="AC2490" s="190"/>
      <c r="AD2490" s="190"/>
      <c r="AE2490" s="190"/>
      <c r="AF2490" s="190"/>
      <c r="AG2490" s="190"/>
      <c r="AH2490" s="190"/>
      <c r="AI2490" s="190"/>
      <c r="AJ2490" s="190"/>
      <c r="AK2490" s="190"/>
      <c r="AL2490" s="190"/>
    </row>
    <row r="2491" spans="2:38" ht="12.75" customHeight="1">
      <c r="B2491" s="485"/>
      <c r="C2491" s="6"/>
      <c r="D2491" s="12"/>
      <c r="E2491" s="12"/>
      <c r="F2491" s="12"/>
      <c r="G2491" s="12"/>
      <c r="H2491" s="6"/>
      <c r="I2491" s="190"/>
      <c r="J2491" s="190"/>
      <c r="K2491" s="190"/>
      <c r="L2491" s="190"/>
      <c r="M2491" s="190"/>
      <c r="N2491" s="190"/>
      <c r="O2491" s="190"/>
      <c r="P2491" s="190"/>
      <c r="Q2491" s="190"/>
      <c r="R2491" s="190"/>
      <c r="S2491" s="190"/>
      <c r="T2491" s="190"/>
      <c r="U2491" s="190"/>
      <c r="V2491" s="190"/>
      <c r="W2491" s="190"/>
      <c r="X2491" s="190"/>
      <c r="Y2491" s="190"/>
      <c r="Z2491" s="190"/>
      <c r="AA2491" s="190"/>
      <c r="AB2491" s="190"/>
      <c r="AC2491" s="190"/>
      <c r="AD2491" s="190"/>
      <c r="AE2491" s="190"/>
      <c r="AF2491" s="190"/>
      <c r="AG2491" s="190"/>
      <c r="AH2491" s="190"/>
      <c r="AI2491" s="190"/>
      <c r="AJ2491" s="190"/>
      <c r="AK2491" s="190"/>
      <c r="AL2491" s="190"/>
    </row>
    <row r="2492" spans="2:38" ht="12.75" customHeight="1">
      <c r="B2492" s="485"/>
      <c r="C2492" s="6"/>
      <c r="D2492" s="12"/>
      <c r="E2492" s="12"/>
      <c r="F2492" s="12"/>
      <c r="G2492" s="12"/>
      <c r="H2492" s="6"/>
      <c r="I2492" s="190"/>
      <c r="J2492" s="190"/>
      <c r="K2492" s="190"/>
      <c r="L2492" s="190"/>
      <c r="M2492" s="190"/>
      <c r="N2492" s="190"/>
      <c r="O2492" s="190"/>
      <c r="P2492" s="190"/>
      <c r="Q2492" s="190"/>
      <c r="R2492" s="190"/>
      <c r="S2492" s="190"/>
      <c r="T2492" s="190"/>
      <c r="U2492" s="190"/>
      <c r="V2492" s="190"/>
      <c r="W2492" s="190"/>
      <c r="X2492" s="190"/>
      <c r="Y2492" s="190"/>
      <c r="Z2492" s="190"/>
      <c r="AA2492" s="190"/>
      <c r="AB2492" s="190"/>
      <c r="AC2492" s="190"/>
      <c r="AD2492" s="190"/>
      <c r="AE2492" s="190"/>
      <c r="AF2492" s="190"/>
      <c r="AG2492" s="190"/>
      <c r="AH2492" s="190"/>
      <c r="AI2492" s="190"/>
      <c r="AJ2492" s="190"/>
      <c r="AK2492" s="190"/>
      <c r="AL2492" s="190"/>
    </row>
    <row r="2493" spans="2:38" ht="12.75" customHeight="1">
      <c r="B2493" s="485"/>
      <c r="C2493" s="6"/>
      <c r="D2493" s="12"/>
      <c r="E2493" s="12"/>
      <c r="F2493" s="12"/>
      <c r="G2493" s="12"/>
      <c r="H2493" s="6"/>
      <c r="I2493" s="190"/>
      <c r="J2493" s="190"/>
      <c r="K2493" s="190"/>
      <c r="L2493" s="190"/>
      <c r="M2493" s="190"/>
      <c r="N2493" s="190"/>
      <c r="O2493" s="190"/>
      <c r="P2493" s="190"/>
      <c r="Q2493" s="190"/>
      <c r="R2493" s="190"/>
      <c r="S2493" s="190"/>
      <c r="T2493" s="190"/>
      <c r="U2493" s="190"/>
      <c r="V2493" s="190"/>
      <c r="W2493" s="190"/>
      <c r="X2493" s="190"/>
      <c r="Y2493" s="190"/>
      <c r="Z2493" s="190"/>
      <c r="AA2493" s="190"/>
      <c r="AB2493" s="190"/>
      <c r="AC2493" s="190"/>
      <c r="AD2493" s="190"/>
      <c r="AE2493" s="190"/>
      <c r="AF2493" s="190"/>
      <c r="AG2493" s="190"/>
      <c r="AH2493" s="190"/>
      <c r="AI2493" s="190"/>
      <c r="AJ2493" s="190"/>
      <c r="AK2493" s="190"/>
      <c r="AL2493" s="190"/>
    </row>
    <row r="2494" spans="2:38" ht="12.75" customHeight="1">
      <c r="B2494" s="485"/>
      <c r="C2494" s="6"/>
      <c r="D2494" s="12"/>
      <c r="E2494" s="12"/>
      <c r="F2494" s="12"/>
      <c r="G2494" s="12"/>
      <c r="H2494" s="6"/>
      <c r="I2494" s="190"/>
      <c r="J2494" s="190"/>
      <c r="K2494" s="190"/>
      <c r="L2494" s="190"/>
      <c r="M2494" s="190"/>
      <c r="N2494" s="190"/>
      <c r="O2494" s="190"/>
      <c r="P2494" s="190"/>
      <c r="Q2494" s="190"/>
      <c r="R2494" s="190"/>
      <c r="S2494" s="190"/>
      <c r="T2494" s="190"/>
      <c r="U2494" s="190"/>
      <c r="V2494" s="190"/>
      <c r="W2494" s="190"/>
      <c r="X2494" s="190"/>
      <c r="Y2494" s="190"/>
      <c r="Z2494" s="190"/>
      <c r="AA2494" s="190"/>
      <c r="AB2494" s="190"/>
      <c r="AC2494" s="190"/>
      <c r="AD2494" s="190"/>
      <c r="AE2494" s="190"/>
      <c r="AF2494" s="190"/>
      <c r="AG2494" s="190"/>
      <c r="AH2494" s="190"/>
      <c r="AI2494" s="190"/>
      <c r="AJ2494" s="190"/>
      <c r="AK2494" s="190"/>
      <c r="AL2494" s="190"/>
    </row>
    <row r="2495" spans="2:38" ht="12.75" customHeight="1">
      <c r="B2495" s="485"/>
      <c r="C2495" s="6"/>
      <c r="D2495" s="12"/>
      <c r="E2495" s="12"/>
      <c r="F2495" s="12"/>
      <c r="G2495" s="12"/>
      <c r="H2495" s="6"/>
      <c r="I2495" s="190"/>
      <c r="J2495" s="190"/>
      <c r="K2495" s="190"/>
      <c r="L2495" s="190"/>
      <c r="M2495" s="190"/>
      <c r="N2495" s="190"/>
      <c r="O2495" s="190"/>
      <c r="P2495" s="190"/>
      <c r="Q2495" s="190"/>
      <c r="R2495" s="190"/>
      <c r="S2495" s="190"/>
      <c r="T2495" s="190"/>
      <c r="U2495" s="190"/>
      <c r="V2495" s="190"/>
      <c r="W2495" s="190"/>
      <c r="X2495" s="190"/>
      <c r="Y2495" s="190"/>
      <c r="Z2495" s="190"/>
      <c r="AA2495" s="190"/>
      <c r="AB2495" s="190"/>
      <c r="AC2495" s="190"/>
      <c r="AD2495" s="190"/>
      <c r="AE2495" s="190"/>
      <c r="AF2495" s="190"/>
      <c r="AG2495" s="190"/>
      <c r="AH2495" s="190"/>
      <c r="AI2495" s="190"/>
      <c r="AJ2495" s="190"/>
      <c r="AK2495" s="190"/>
      <c r="AL2495" s="190"/>
    </row>
    <row r="2496" spans="2:38" ht="12.75" customHeight="1">
      <c r="B2496" s="485"/>
      <c r="C2496" s="6"/>
      <c r="D2496" s="12"/>
      <c r="E2496" s="12"/>
      <c r="F2496" s="12"/>
      <c r="G2496" s="12"/>
      <c r="H2496" s="6"/>
      <c r="I2496" s="190"/>
      <c r="J2496" s="190"/>
      <c r="K2496" s="190"/>
      <c r="L2496" s="190"/>
      <c r="M2496" s="190"/>
      <c r="N2496" s="190"/>
      <c r="O2496" s="190"/>
      <c r="P2496" s="190"/>
      <c r="Q2496" s="190"/>
      <c r="R2496" s="190"/>
      <c r="S2496" s="190"/>
      <c r="T2496" s="190"/>
      <c r="U2496" s="190"/>
      <c r="V2496" s="190"/>
      <c r="W2496" s="190"/>
      <c r="X2496" s="190"/>
      <c r="Y2496" s="190"/>
      <c r="Z2496" s="190"/>
      <c r="AA2496" s="190"/>
      <c r="AB2496" s="190"/>
      <c r="AC2496" s="190"/>
      <c r="AD2496" s="190"/>
      <c r="AE2496" s="190"/>
      <c r="AF2496" s="190"/>
      <c r="AG2496" s="190"/>
      <c r="AH2496" s="190"/>
      <c r="AI2496" s="190"/>
      <c r="AJ2496" s="190"/>
      <c r="AK2496" s="190"/>
      <c r="AL2496" s="190"/>
    </row>
    <row r="2497" spans="2:38" ht="12.75" customHeight="1">
      <c r="B2497" s="485"/>
      <c r="C2497" s="6"/>
      <c r="D2497" s="12"/>
      <c r="E2497" s="12"/>
      <c r="F2497" s="12"/>
      <c r="G2497" s="12"/>
      <c r="H2497" s="6"/>
      <c r="I2497" s="190"/>
      <c r="J2497" s="190"/>
      <c r="K2497" s="190"/>
      <c r="L2497" s="190"/>
      <c r="M2497" s="190"/>
      <c r="N2497" s="190"/>
      <c r="O2497" s="190"/>
      <c r="P2497" s="190"/>
      <c r="Q2497" s="190"/>
      <c r="R2497" s="190"/>
      <c r="S2497" s="190"/>
      <c r="T2497" s="190"/>
      <c r="U2497" s="190"/>
      <c r="V2497" s="190"/>
      <c r="W2497" s="190"/>
      <c r="X2497" s="190"/>
      <c r="Y2497" s="190"/>
      <c r="Z2497" s="190"/>
      <c r="AA2497" s="190"/>
      <c r="AB2497" s="190"/>
      <c r="AC2497" s="190"/>
      <c r="AD2497" s="190"/>
      <c r="AE2497" s="190"/>
      <c r="AF2497" s="190"/>
      <c r="AG2497" s="190"/>
      <c r="AH2497" s="190"/>
      <c r="AI2497" s="190"/>
      <c r="AJ2497" s="190"/>
      <c r="AK2497" s="190"/>
      <c r="AL2497" s="190"/>
    </row>
    <row r="2498" spans="2:38" ht="12.75" customHeight="1">
      <c r="B2498" s="485"/>
      <c r="C2498" s="6"/>
      <c r="D2498" s="12"/>
      <c r="E2498" s="12"/>
      <c r="F2498" s="12"/>
      <c r="G2498" s="12"/>
      <c r="H2498" s="6"/>
      <c r="I2498" s="190"/>
      <c r="J2498" s="190"/>
      <c r="K2498" s="190"/>
      <c r="L2498" s="190"/>
      <c r="M2498" s="190"/>
      <c r="N2498" s="190"/>
      <c r="O2498" s="190"/>
      <c r="P2498" s="190"/>
      <c r="Q2498" s="190"/>
      <c r="R2498" s="190"/>
      <c r="S2498" s="190"/>
      <c r="T2498" s="190"/>
      <c r="U2498" s="190"/>
      <c r="V2498" s="190"/>
      <c r="W2498" s="190"/>
      <c r="X2498" s="190"/>
      <c r="Y2498" s="190"/>
      <c r="Z2498" s="190"/>
      <c r="AA2498" s="190"/>
      <c r="AB2498" s="190"/>
      <c r="AC2498" s="190"/>
      <c r="AD2498" s="190"/>
      <c r="AE2498" s="190"/>
      <c r="AF2498" s="190"/>
      <c r="AG2498" s="190"/>
      <c r="AH2498" s="190"/>
      <c r="AI2498" s="190"/>
      <c r="AJ2498" s="190"/>
      <c r="AK2498" s="190"/>
      <c r="AL2498" s="190"/>
    </row>
    <row r="2499" spans="2:38" ht="12.75" customHeight="1">
      <c r="B2499" s="486"/>
      <c r="C2499" s="6"/>
      <c r="D2499" s="12"/>
      <c r="E2499" s="12"/>
      <c r="F2499" s="12"/>
      <c r="G2499" s="12"/>
      <c r="H2499" s="6"/>
      <c r="I2499" s="190"/>
      <c r="J2499" s="190"/>
      <c r="K2499" s="190"/>
      <c r="L2499" s="190"/>
      <c r="M2499" s="190"/>
      <c r="N2499" s="190"/>
      <c r="O2499" s="190"/>
      <c r="P2499" s="190"/>
      <c r="Q2499" s="190"/>
      <c r="R2499" s="190"/>
      <c r="S2499" s="190"/>
      <c r="T2499" s="190"/>
      <c r="U2499" s="190"/>
      <c r="V2499" s="190"/>
      <c r="W2499" s="190"/>
      <c r="X2499" s="190"/>
      <c r="Y2499" s="190"/>
      <c r="Z2499" s="190"/>
      <c r="AA2499" s="190"/>
      <c r="AB2499" s="190"/>
      <c r="AC2499" s="190"/>
      <c r="AD2499" s="190"/>
      <c r="AE2499" s="190"/>
      <c r="AF2499" s="190"/>
      <c r="AG2499" s="190"/>
      <c r="AH2499" s="190"/>
      <c r="AI2499" s="190"/>
      <c r="AJ2499" s="190"/>
      <c r="AK2499" s="190"/>
      <c r="AL2499" s="190"/>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2:AJ151"/>
  <sheetViews>
    <sheetView showGridLines="0" zoomScale="90" zoomScaleNormal="90" workbookViewId="0">
      <selection activeCell="E106" sqref="E106"/>
    </sheetView>
  </sheetViews>
  <sheetFormatPr defaultColWidth="11.85546875" defaultRowHeight="12.75"/>
  <cols>
    <col min="1" max="1" width="2.85546875" customWidth="1"/>
    <col min="2" max="2" width="23.140625" customWidth="1"/>
    <col min="3" max="3" width="47.5703125" customWidth="1"/>
    <col min="4" max="4" width="33.140625" customWidth="1"/>
    <col min="5" max="5" width="42.42578125" bestFit="1" customWidth="1"/>
    <col min="6" max="6" width="17.85546875" customWidth="1"/>
    <col min="7" max="34" width="18.7109375" bestFit="1" customWidth="1"/>
    <col min="35" max="35" width="16" bestFit="1" customWidth="1"/>
    <col min="36" max="36" width="21.28515625" customWidth="1"/>
  </cols>
  <sheetData>
    <row r="2" spans="2:36"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6">
      <c r="B3" s="2" t="s">
        <v>1002</v>
      </c>
    </row>
    <row r="4" spans="2:36">
      <c r="B4" s="46" t="str" cm="1">
        <f t="array" ref="B4:AI75">'Opex - Cenário Escolhido'!C3:AJ74</f>
        <v>Pórticos</v>
      </c>
      <c r="C4" s="46" t="str">
        <v>Item</v>
      </c>
      <c r="D4" s="46" t="str">
        <v>Subitem</v>
      </c>
      <c r="E4" s="46" t="str">
        <v>Descrição</v>
      </c>
      <c r="F4" s="46" t="str">
        <v>Ano 1</v>
      </c>
      <c r="G4" s="46" t="str">
        <v>Ano 2</v>
      </c>
      <c r="H4" s="46" t="str">
        <v>Ano 3</v>
      </c>
      <c r="I4" s="46" t="str">
        <v>Ano 4</v>
      </c>
      <c r="J4" s="46" t="str">
        <v>Ano 5</v>
      </c>
      <c r="K4" s="46" t="str">
        <v>Ano 6</v>
      </c>
      <c r="L4" s="46" t="str">
        <v>Ano 7</v>
      </c>
      <c r="M4" s="46" t="str">
        <v>Ano 8</v>
      </c>
      <c r="N4" s="46" t="str">
        <v>Ano 9</v>
      </c>
      <c r="O4" s="46" t="str">
        <v>Ano 10</v>
      </c>
      <c r="P4" s="46" t="str">
        <v>Ano 11</v>
      </c>
      <c r="Q4" s="46" t="str">
        <v>Ano 12</v>
      </c>
      <c r="R4" s="46" t="str">
        <v>Ano 13</v>
      </c>
      <c r="S4" s="46" t="str">
        <v>Ano 14</v>
      </c>
      <c r="T4" s="46" t="str">
        <v>Ano 15</v>
      </c>
      <c r="U4" s="46" t="str">
        <v>Ano 16</v>
      </c>
      <c r="V4" s="46" t="str">
        <v>Ano 17</v>
      </c>
      <c r="W4" s="46" t="str">
        <v>Ano 18</v>
      </c>
      <c r="X4" s="46" t="str">
        <v>Ano 19</v>
      </c>
      <c r="Y4" s="46" t="str">
        <v>Ano 20</v>
      </c>
      <c r="Z4" s="46" t="str">
        <v>Ano 21</v>
      </c>
      <c r="AA4" s="46" t="str">
        <v>Ano 22</v>
      </c>
      <c r="AB4" s="46" t="str">
        <v>Ano 23</v>
      </c>
      <c r="AC4" s="46" t="str">
        <v>Ano 24</v>
      </c>
      <c r="AD4" s="46" t="str">
        <v>Ano 25</v>
      </c>
      <c r="AE4" s="46" t="str">
        <v>Ano 26</v>
      </c>
      <c r="AF4" s="46" t="str">
        <v>Ano 27</v>
      </c>
      <c r="AG4" s="46" t="str">
        <v>Ano 28</v>
      </c>
      <c r="AH4" s="46" t="str">
        <v>Ano 29</v>
      </c>
      <c r="AI4" s="46" t="str">
        <v>Ano 30</v>
      </c>
      <c r="AJ4" s="387" t="s">
        <v>776</v>
      </c>
    </row>
    <row r="5" spans="2:36">
      <c r="B5" s="122" t="str">
        <v>Pórticos 1 e 2 (BR-356)</v>
      </c>
      <c r="C5" s="149" t="str">
        <v>1</v>
      </c>
      <c r="D5" s="149">
        <v>1</v>
      </c>
      <c r="E5" s="122" t="str">
        <v xml:space="preserve">Conservação da rodovia </v>
      </c>
      <c r="F5" s="147">
        <v>0</v>
      </c>
      <c r="G5" s="147">
        <v>0</v>
      </c>
      <c r="H5" s="147">
        <v>0</v>
      </c>
      <c r="I5" s="147">
        <v>0</v>
      </c>
      <c r="J5" s="147">
        <v>0</v>
      </c>
      <c r="K5" s="147">
        <v>0</v>
      </c>
      <c r="L5" s="147">
        <v>0</v>
      </c>
      <c r="M5" s="147">
        <v>0</v>
      </c>
      <c r="N5" s="147">
        <v>0</v>
      </c>
      <c r="O5" s="147">
        <v>0</v>
      </c>
      <c r="P5" s="147">
        <v>0</v>
      </c>
      <c r="Q5" s="147">
        <v>0</v>
      </c>
      <c r="R5" s="147">
        <v>0</v>
      </c>
      <c r="S5" s="147">
        <v>0</v>
      </c>
      <c r="T5" s="147">
        <v>0</v>
      </c>
      <c r="U5" s="147">
        <v>0</v>
      </c>
      <c r="V5" s="147">
        <v>0</v>
      </c>
      <c r="W5" s="147">
        <v>0</v>
      </c>
      <c r="X5" s="147">
        <v>0</v>
      </c>
      <c r="Y5" s="147">
        <v>0</v>
      </c>
      <c r="Z5" s="147">
        <v>0</v>
      </c>
      <c r="AA5" s="147">
        <v>0</v>
      </c>
      <c r="AB5" s="147">
        <v>0</v>
      </c>
      <c r="AC5" s="147">
        <v>0</v>
      </c>
      <c r="AD5" s="147">
        <v>0</v>
      </c>
      <c r="AE5" s="147">
        <v>0</v>
      </c>
      <c r="AF5" s="147">
        <v>0</v>
      </c>
      <c r="AG5" s="147">
        <v>0</v>
      </c>
      <c r="AH5" s="147">
        <v>0</v>
      </c>
      <c r="AI5" s="240">
        <v>0</v>
      </c>
      <c r="AJ5" s="147">
        <f>SUM(F5:AI5)</f>
        <v>0</v>
      </c>
    </row>
    <row r="6" spans="2:36">
      <c r="B6" s="122" t="str">
        <v>Pórticos 1 e 2 (BR-356)</v>
      </c>
      <c r="C6" s="149" t="str">
        <v>1</v>
      </c>
      <c r="D6" s="149" t="str">
        <v>1.1</v>
      </c>
      <c r="E6" s="122" t="str">
        <v>Pavimento</v>
      </c>
      <c r="F6" s="147">
        <v>2445385.2332315128</v>
      </c>
      <c r="G6" s="147">
        <v>2445385.2332315128</v>
      </c>
      <c r="H6" s="147">
        <v>2838127.4182396913</v>
      </c>
      <c r="I6" s="147">
        <v>3593095.866773874</v>
      </c>
      <c r="J6" s="147">
        <v>4028092.57313227</v>
      </c>
      <c r="K6" s="147">
        <v>4455137.619242439</v>
      </c>
      <c r="L6" s="147">
        <v>4455137.619242439</v>
      </c>
      <c r="M6" s="147">
        <v>4455137.619242439</v>
      </c>
      <c r="N6" s="147">
        <v>4455137.619242439</v>
      </c>
      <c r="O6" s="147">
        <v>4455137.619242439</v>
      </c>
      <c r="P6" s="147">
        <v>4455137.619242439</v>
      </c>
      <c r="Q6" s="147">
        <v>4455137.619242439</v>
      </c>
      <c r="R6" s="147">
        <v>4455137.619242439</v>
      </c>
      <c r="S6" s="147">
        <v>4455137.619242439</v>
      </c>
      <c r="T6" s="147">
        <v>4455137.619242439</v>
      </c>
      <c r="U6" s="147">
        <v>4455137.619242439</v>
      </c>
      <c r="V6" s="147">
        <v>4455137.619242439</v>
      </c>
      <c r="W6" s="147">
        <v>4455137.619242439</v>
      </c>
      <c r="X6" s="147">
        <v>4455137.619242439</v>
      </c>
      <c r="Y6" s="147">
        <v>4455137.619242439</v>
      </c>
      <c r="Z6" s="147">
        <v>4455137.619242439</v>
      </c>
      <c r="AA6" s="147">
        <v>4455137.619242439</v>
      </c>
      <c r="AB6" s="147">
        <v>4455137.619242439</v>
      </c>
      <c r="AC6" s="147">
        <v>4455137.619242439</v>
      </c>
      <c r="AD6" s="147">
        <v>4455137.619242439</v>
      </c>
      <c r="AE6" s="147">
        <v>4455137.619242439</v>
      </c>
      <c r="AF6" s="147">
        <v>4455137.619242439</v>
      </c>
      <c r="AG6" s="147">
        <v>4455137.619242439</v>
      </c>
      <c r="AH6" s="147">
        <v>4455137.619242439</v>
      </c>
      <c r="AI6" s="147">
        <v>4455137.619242439</v>
      </c>
      <c r="AJ6" s="147">
        <f t="shared" ref="AJ6:AJ69" si="0">SUM(F6:AI6)</f>
        <v>126728526.80566989</v>
      </c>
    </row>
    <row r="7" spans="2:36">
      <c r="B7" s="122" t="str">
        <v>Pórticos 1 e 2 (BR-356)</v>
      </c>
      <c r="C7" s="149" t="str">
        <v>1</v>
      </c>
      <c r="D7" s="149" t="str">
        <v>1.2</v>
      </c>
      <c r="E7" s="122" t="str">
        <v>Elementos de proteção e segurança</v>
      </c>
      <c r="F7" s="147">
        <v>1476189.8949652249</v>
      </c>
      <c r="G7" s="147">
        <v>1500400.0278902249</v>
      </c>
      <c r="H7" s="147">
        <v>1765610.4766281408</v>
      </c>
      <c r="I7" s="147">
        <v>2306505.7302730023</v>
      </c>
      <c r="J7" s="147">
        <v>2687379.9527573297</v>
      </c>
      <c r="K7" s="147">
        <v>2780812.2297324641</v>
      </c>
      <c r="L7" s="147">
        <v>2780812.2297324641</v>
      </c>
      <c r="M7" s="147">
        <v>2918544.2228985471</v>
      </c>
      <c r="N7" s="147">
        <v>3125381.8373735854</v>
      </c>
      <c r="O7" s="147">
        <v>3325811.7079013856</v>
      </c>
      <c r="P7" s="147">
        <v>3420116.4709911225</v>
      </c>
      <c r="Q7" s="147">
        <v>3611653.4375797771</v>
      </c>
      <c r="R7" s="147">
        <v>3727570.7657838725</v>
      </c>
      <c r="S7" s="147">
        <v>3957225.409405489</v>
      </c>
      <c r="T7" s="147">
        <v>4135559.3781196401</v>
      </c>
      <c r="U7" s="147">
        <v>4175219.8961765273</v>
      </c>
      <c r="V7" s="147">
        <v>4245117.6813464183</v>
      </c>
      <c r="W7" s="147">
        <v>4338190.1995451031</v>
      </c>
      <c r="X7" s="147">
        <v>4338190.1995451031</v>
      </c>
      <c r="Y7" s="147">
        <v>4338190.1995451031</v>
      </c>
      <c r="Z7" s="147">
        <v>4338190.1995451031</v>
      </c>
      <c r="AA7" s="147">
        <v>4338190.1995451031</v>
      </c>
      <c r="AB7" s="147">
        <v>4338190.1995451031</v>
      </c>
      <c r="AC7" s="147">
        <v>4338190.1995451031</v>
      </c>
      <c r="AD7" s="147">
        <v>4338190.1995451031</v>
      </c>
      <c r="AE7" s="147">
        <v>4338190.1995451031</v>
      </c>
      <c r="AF7" s="147">
        <v>4338190.1995451031</v>
      </c>
      <c r="AG7" s="147">
        <v>4338190.1995451031</v>
      </c>
      <c r="AH7" s="147">
        <v>4338190.1995451031</v>
      </c>
      <c r="AI7" s="147">
        <v>4338190.1995451031</v>
      </c>
      <c r="AJ7" s="147">
        <f t="shared" si="0"/>
        <v>108336383.94364153</v>
      </c>
    </row>
    <row r="8" spans="2:36">
      <c r="B8" s="122" t="str">
        <v>Pórticos 1 e 2 (BR-356)</v>
      </c>
      <c r="C8" s="149" t="str">
        <v>1</v>
      </c>
      <c r="D8" s="149" t="str">
        <v>1.3</v>
      </c>
      <c r="E8" s="122" t="str">
        <v>Obras de arte especiais</v>
      </c>
      <c r="F8" s="147">
        <v>54242.723999160007</v>
      </c>
      <c r="G8" s="147">
        <v>58633.282779034998</v>
      </c>
      <c r="H8" s="147">
        <v>73664.7190128293</v>
      </c>
      <c r="I8" s="147">
        <v>97647.264159955186</v>
      </c>
      <c r="J8" s="147">
        <v>117883.811033734</v>
      </c>
      <c r="K8" s="147">
        <v>131963.534248515</v>
      </c>
      <c r="L8" s="147">
        <v>131963.534248515</v>
      </c>
      <c r="M8" s="147">
        <v>131963.534248515</v>
      </c>
      <c r="N8" s="147">
        <v>131963.534248515</v>
      </c>
      <c r="O8" s="147">
        <v>131963.534248515</v>
      </c>
      <c r="P8" s="147">
        <v>131963.534248515</v>
      </c>
      <c r="Q8" s="147">
        <v>131963.534248515</v>
      </c>
      <c r="R8" s="147">
        <v>131963.534248515</v>
      </c>
      <c r="S8" s="147">
        <v>131963.534248515</v>
      </c>
      <c r="T8" s="147">
        <v>131963.534248515</v>
      </c>
      <c r="U8" s="147">
        <v>131963.534248515</v>
      </c>
      <c r="V8" s="147">
        <v>131963.534248515</v>
      </c>
      <c r="W8" s="147">
        <v>131963.534248515</v>
      </c>
      <c r="X8" s="147">
        <v>131963.534248515</v>
      </c>
      <c r="Y8" s="147">
        <v>131963.534248515</v>
      </c>
      <c r="Z8" s="147">
        <v>131963.534248515</v>
      </c>
      <c r="AA8" s="147">
        <v>131963.534248515</v>
      </c>
      <c r="AB8" s="147">
        <v>131963.534248515</v>
      </c>
      <c r="AC8" s="147">
        <v>131963.534248515</v>
      </c>
      <c r="AD8" s="147">
        <v>131963.534248515</v>
      </c>
      <c r="AE8" s="147">
        <v>131963.534248515</v>
      </c>
      <c r="AF8" s="147">
        <v>131963.534248515</v>
      </c>
      <c r="AG8" s="147">
        <v>131963.534248515</v>
      </c>
      <c r="AH8" s="147">
        <v>131963.534248515</v>
      </c>
      <c r="AI8" s="147">
        <v>131963.534248515</v>
      </c>
      <c r="AJ8" s="147">
        <f t="shared" si="0"/>
        <v>3701160.1571975891</v>
      </c>
    </row>
    <row r="9" spans="2:36">
      <c r="B9" s="122" t="str">
        <v>Pórticos 1 e 2 (BR-356)</v>
      </c>
      <c r="C9" s="149" t="str">
        <v>1</v>
      </c>
      <c r="D9" s="149" t="str">
        <v>1.4</v>
      </c>
      <c r="E9" s="122" t="str">
        <v>Drenagem e obras de arte correntes</v>
      </c>
      <c r="F9" s="147">
        <v>155474.3201476406</v>
      </c>
      <c r="G9" s="147">
        <v>155481.3149637834</v>
      </c>
      <c r="H9" s="147">
        <v>168189.75461275887</v>
      </c>
      <c r="I9" s="147">
        <v>191792.57729707932</v>
      </c>
      <c r="J9" s="147">
        <v>215280.81314694465</v>
      </c>
      <c r="K9" s="147">
        <v>215280.81314694465</v>
      </c>
      <c r="L9" s="147">
        <v>215280.81314694465</v>
      </c>
      <c r="M9" s="147">
        <v>227673.76817411304</v>
      </c>
      <c r="N9" s="147">
        <v>247836.38831331822</v>
      </c>
      <c r="O9" s="147">
        <v>280779.48907557077</v>
      </c>
      <c r="P9" s="147">
        <v>290617.93956864841</v>
      </c>
      <c r="Q9" s="147">
        <v>301668.15975415183</v>
      </c>
      <c r="R9" s="147">
        <v>312698.38645683025</v>
      </c>
      <c r="S9" s="147">
        <v>336265.78504128661</v>
      </c>
      <c r="T9" s="147">
        <v>358078.1336983607</v>
      </c>
      <c r="U9" s="147">
        <v>359844.55123922671</v>
      </c>
      <c r="V9" s="147">
        <v>370300.89872875449</v>
      </c>
      <c r="W9" s="147">
        <v>376899.09162353229</v>
      </c>
      <c r="X9" s="147">
        <v>376899.09162353229</v>
      </c>
      <c r="Y9" s="147">
        <v>376899.09162353229</v>
      </c>
      <c r="Z9" s="147">
        <v>376899.09162353229</v>
      </c>
      <c r="AA9" s="147">
        <v>376899.09162353229</v>
      </c>
      <c r="AB9" s="147">
        <v>376899.09162353229</v>
      </c>
      <c r="AC9" s="147">
        <v>376899.09162353229</v>
      </c>
      <c r="AD9" s="147">
        <v>376899.09162353229</v>
      </c>
      <c r="AE9" s="147">
        <v>376899.09162353229</v>
      </c>
      <c r="AF9" s="147">
        <v>376899.09162353229</v>
      </c>
      <c r="AG9" s="147">
        <v>376899.09162353229</v>
      </c>
      <c r="AH9" s="147">
        <v>376899.09162353229</v>
      </c>
      <c r="AI9" s="147">
        <v>376899.09162353229</v>
      </c>
      <c r="AJ9" s="147">
        <f t="shared" si="0"/>
        <v>9302232.0976182781</v>
      </c>
    </row>
    <row r="10" spans="2:36">
      <c r="B10" s="122" t="str">
        <v>Pórticos 1 e 2 (BR-356)</v>
      </c>
      <c r="C10" s="149" t="str">
        <v>1</v>
      </c>
      <c r="D10" s="149" t="str">
        <v>1.5</v>
      </c>
      <c r="E10" s="122" t="str">
        <v>Terraplenos e estruturas de contenção</v>
      </c>
      <c r="F10" s="147">
        <v>123688.24883762636</v>
      </c>
      <c r="G10" s="147">
        <v>107111.54883762635</v>
      </c>
      <c r="H10" s="147">
        <v>107111.54883762635</v>
      </c>
      <c r="I10" s="147">
        <v>115322.66083762635</v>
      </c>
      <c r="J10" s="147">
        <v>194538.78197642634</v>
      </c>
      <c r="K10" s="147">
        <v>196208.24576682638</v>
      </c>
      <c r="L10" s="147">
        <v>225783.85429082633</v>
      </c>
      <c r="M10" s="147">
        <v>238963.9623512984</v>
      </c>
      <c r="N10" s="147">
        <v>264701.15412809839</v>
      </c>
      <c r="O10" s="147">
        <v>264701.15412809839</v>
      </c>
      <c r="P10" s="147">
        <v>264701.15412809839</v>
      </c>
      <c r="Q10" s="147">
        <v>264701.15412809839</v>
      </c>
      <c r="R10" s="147">
        <v>264701.15412809839</v>
      </c>
      <c r="S10" s="147">
        <v>264701.15412809839</v>
      </c>
      <c r="T10" s="147">
        <v>264701.15412809839</v>
      </c>
      <c r="U10" s="147">
        <v>264701.15412809839</v>
      </c>
      <c r="V10" s="147">
        <v>264701.15412809839</v>
      </c>
      <c r="W10" s="147">
        <v>264701.15412809839</v>
      </c>
      <c r="X10" s="147">
        <v>264701.15412809839</v>
      </c>
      <c r="Y10" s="147">
        <v>264701.15412809839</v>
      </c>
      <c r="Z10" s="147">
        <v>264701.15412809839</v>
      </c>
      <c r="AA10" s="147">
        <v>264701.15412809839</v>
      </c>
      <c r="AB10" s="147">
        <v>264701.15412809839</v>
      </c>
      <c r="AC10" s="147">
        <v>264701.15412809839</v>
      </c>
      <c r="AD10" s="147">
        <v>264701.15412809839</v>
      </c>
      <c r="AE10" s="147">
        <v>264701.15412809839</v>
      </c>
      <c r="AF10" s="147">
        <v>264701.15412809839</v>
      </c>
      <c r="AG10" s="147">
        <v>264701.15412809839</v>
      </c>
      <c r="AH10" s="147">
        <v>264701.15412809839</v>
      </c>
      <c r="AI10" s="147">
        <v>264701.15412809839</v>
      </c>
      <c r="AJ10" s="147">
        <f t="shared" si="0"/>
        <v>7132154.2425540518</v>
      </c>
    </row>
    <row r="11" spans="2:36">
      <c r="B11" s="122" t="str">
        <v>Pórticos 1 e 2 (BR-356)</v>
      </c>
      <c r="C11" s="149" t="str">
        <v>1</v>
      </c>
      <c r="D11" s="149" t="str">
        <v>1.6</v>
      </c>
      <c r="E11" s="122" t="str">
        <v>Faixa de domínio</v>
      </c>
      <c r="F11" s="147">
        <v>1031514.0530017761</v>
      </c>
      <c r="G11" s="147">
        <v>1040877.4546855262</v>
      </c>
      <c r="H11" s="147">
        <v>1062376.570619276</v>
      </c>
      <c r="I11" s="147">
        <v>1166990.9482362259</v>
      </c>
      <c r="J11" s="147">
        <v>1188191.3056699759</v>
      </c>
      <c r="K11" s="147">
        <v>1184663.7956699762</v>
      </c>
      <c r="L11" s="147">
        <v>1195839.9526619762</v>
      </c>
      <c r="M11" s="147">
        <v>1184663.7956699762</v>
      </c>
      <c r="N11" s="147">
        <v>1184663.7956699762</v>
      </c>
      <c r="O11" s="147">
        <v>1184663.7956699762</v>
      </c>
      <c r="P11" s="147">
        <v>1184663.7956699762</v>
      </c>
      <c r="Q11" s="147">
        <v>1184663.7956699762</v>
      </c>
      <c r="R11" s="147">
        <v>1184663.7956699762</v>
      </c>
      <c r="S11" s="147">
        <v>1184663.7956699762</v>
      </c>
      <c r="T11" s="147">
        <v>1184663.7956699762</v>
      </c>
      <c r="U11" s="147">
        <v>1184663.7956699762</v>
      </c>
      <c r="V11" s="147">
        <v>1184663.7956699762</v>
      </c>
      <c r="W11" s="147">
        <v>1184663.7956699762</v>
      </c>
      <c r="X11" s="147">
        <v>1184663.7956699762</v>
      </c>
      <c r="Y11" s="147">
        <v>1184663.7956699762</v>
      </c>
      <c r="Z11" s="147">
        <v>1184663.7956699762</v>
      </c>
      <c r="AA11" s="147">
        <v>1184663.7956699762</v>
      </c>
      <c r="AB11" s="147">
        <v>1184663.7956699762</v>
      </c>
      <c r="AC11" s="147">
        <v>1184663.7956699762</v>
      </c>
      <c r="AD11" s="147">
        <v>1184663.7956699762</v>
      </c>
      <c r="AE11" s="147">
        <v>1184663.7956699762</v>
      </c>
      <c r="AF11" s="147">
        <v>1184663.7956699762</v>
      </c>
      <c r="AG11" s="147">
        <v>1184663.7956699762</v>
      </c>
      <c r="AH11" s="147">
        <v>1184663.7956699762</v>
      </c>
      <c r="AI11" s="147">
        <v>1184663.7956699762</v>
      </c>
      <c r="AJ11" s="147">
        <f t="shared" si="0"/>
        <v>35117721.380954191</v>
      </c>
    </row>
    <row r="12" spans="2:36">
      <c r="B12" s="122" t="str">
        <v>Pórticos 1 e 2 (BR-356)</v>
      </c>
      <c r="C12" s="149" t="str">
        <v>1</v>
      </c>
      <c r="D12" s="149" t="str">
        <v>1.7</v>
      </c>
      <c r="E12" s="122" t="str">
        <v>Edificações e instalações operacionais</v>
      </c>
      <c r="F12" s="147">
        <v>227508.4</v>
      </c>
      <c r="G12" s="147">
        <v>227508.4</v>
      </c>
      <c r="H12" s="147">
        <v>227508.4</v>
      </c>
      <c r="I12" s="147">
        <v>227508.4</v>
      </c>
      <c r="J12" s="147">
        <v>227508.4</v>
      </c>
      <c r="K12" s="147">
        <v>227508.4</v>
      </c>
      <c r="L12" s="147">
        <v>227508.4</v>
      </c>
      <c r="M12" s="147">
        <v>227508.4</v>
      </c>
      <c r="N12" s="147">
        <v>227508.4</v>
      </c>
      <c r="O12" s="147">
        <v>227508.4</v>
      </c>
      <c r="P12" s="147">
        <v>227508.4</v>
      </c>
      <c r="Q12" s="147">
        <v>227508.4</v>
      </c>
      <c r="R12" s="147">
        <v>227508.4</v>
      </c>
      <c r="S12" s="147">
        <v>227508.4</v>
      </c>
      <c r="T12" s="147">
        <v>227508.4</v>
      </c>
      <c r="U12" s="147">
        <v>227508.4</v>
      </c>
      <c r="V12" s="147">
        <v>227508.4</v>
      </c>
      <c r="W12" s="147">
        <v>227508.4</v>
      </c>
      <c r="X12" s="147">
        <v>227508.4</v>
      </c>
      <c r="Y12" s="147">
        <v>227508.4</v>
      </c>
      <c r="Z12" s="147">
        <v>227508.4</v>
      </c>
      <c r="AA12" s="147">
        <v>227508.4</v>
      </c>
      <c r="AB12" s="147">
        <v>227508.4</v>
      </c>
      <c r="AC12" s="147">
        <v>227508.4</v>
      </c>
      <c r="AD12" s="147">
        <v>227508.4</v>
      </c>
      <c r="AE12" s="147">
        <v>227508.4</v>
      </c>
      <c r="AF12" s="147">
        <v>227508.4</v>
      </c>
      <c r="AG12" s="147">
        <v>227508.4</v>
      </c>
      <c r="AH12" s="147">
        <v>227508.4</v>
      </c>
      <c r="AI12" s="147">
        <v>227508.4</v>
      </c>
      <c r="AJ12" s="147">
        <f t="shared" si="0"/>
        <v>6825252.0000000028</v>
      </c>
    </row>
    <row r="13" spans="2:36">
      <c r="B13" s="122" t="str">
        <v>Pórticos 1 e 2 (BR-356)</v>
      </c>
      <c r="C13" s="149" t="str">
        <v>1</v>
      </c>
      <c r="D13" s="149" t="str">
        <v>1.8</v>
      </c>
      <c r="E13" s="122" t="str">
        <v>Iluminação e instalações elétricas</v>
      </c>
      <c r="F13" s="147">
        <v>169145.25990673067</v>
      </c>
      <c r="G13" s="147">
        <v>169904.37280673065</v>
      </c>
      <c r="H13" s="147">
        <v>188882.19530673066</v>
      </c>
      <c r="I13" s="147">
        <v>193979.09620673067</v>
      </c>
      <c r="J13" s="147">
        <v>207534.68370673066</v>
      </c>
      <c r="K13" s="147">
        <v>207534.68370673066</v>
      </c>
      <c r="L13" s="147">
        <v>207534.68370673066</v>
      </c>
      <c r="M13" s="147">
        <v>211872.47170673066</v>
      </c>
      <c r="N13" s="147">
        <v>238983.64670673065</v>
      </c>
      <c r="O13" s="147">
        <v>238983.64670673065</v>
      </c>
      <c r="P13" s="147">
        <v>238983.64670673065</v>
      </c>
      <c r="Q13" s="147">
        <v>285831.75710673066</v>
      </c>
      <c r="R13" s="147">
        <v>290169.54510673066</v>
      </c>
      <c r="S13" s="147">
        <v>298845.12110673066</v>
      </c>
      <c r="T13" s="147">
        <v>305351.80310673069</v>
      </c>
      <c r="U13" s="147">
        <v>336583.87670673069</v>
      </c>
      <c r="V13" s="147">
        <v>347428.34670673066</v>
      </c>
      <c r="W13" s="147">
        <v>368249.72910673067</v>
      </c>
      <c r="X13" s="147">
        <v>368249.72910673067</v>
      </c>
      <c r="Y13" s="147">
        <v>368249.72910673067</v>
      </c>
      <c r="Z13" s="147">
        <v>368249.72910673067</v>
      </c>
      <c r="AA13" s="147">
        <v>368249.72910673067</v>
      </c>
      <c r="AB13" s="147">
        <v>368249.72910673067</v>
      </c>
      <c r="AC13" s="147">
        <v>368249.72910673067</v>
      </c>
      <c r="AD13" s="147">
        <v>368249.72910673067</v>
      </c>
      <c r="AE13" s="147">
        <v>368249.72910673067</v>
      </c>
      <c r="AF13" s="147">
        <v>368249.72910673067</v>
      </c>
      <c r="AG13" s="147">
        <v>368249.72910673067</v>
      </c>
      <c r="AH13" s="147">
        <v>368249.72910673067</v>
      </c>
      <c r="AI13" s="147">
        <v>368249.72910673067</v>
      </c>
      <c r="AJ13" s="147">
        <f t="shared" si="0"/>
        <v>8924795.3154019192</v>
      </c>
    </row>
    <row r="14" spans="2:36">
      <c r="B14" s="122" t="str">
        <v>Pórticos 1 e 2 (BR-356)</v>
      </c>
      <c r="C14" s="149" t="str">
        <v>1</v>
      </c>
      <c r="D14" s="149" t="str">
        <v>1.9</v>
      </c>
      <c r="E14" s="122" t="str">
        <v>Administração local</v>
      </c>
      <c r="F14" s="147">
        <v>281315.83263743878</v>
      </c>
      <c r="G14" s="147">
        <v>282412.4309421248</v>
      </c>
      <c r="H14" s="147">
        <v>318357.81862122414</v>
      </c>
      <c r="I14" s="147">
        <v>390695.70591733244</v>
      </c>
      <c r="J14" s="147">
        <v>438887.31091045891</v>
      </c>
      <c r="K14" s="147">
        <v>465255.91141493793</v>
      </c>
      <c r="L14" s="147">
        <v>467273.12380797992</v>
      </c>
      <c r="M14" s="147">
        <v>475018.22482743522</v>
      </c>
      <c r="N14" s="147">
        <v>488870.73059629183</v>
      </c>
      <c r="O14" s="147">
        <v>500422.69267514942</v>
      </c>
      <c r="P14" s="147">
        <v>505577.78174749878</v>
      </c>
      <c r="Q14" s="147">
        <v>517924.82895761967</v>
      </c>
      <c r="R14" s="147">
        <v>524423.45343150501</v>
      </c>
      <c r="S14" s="147">
        <v>537387.38553270558</v>
      </c>
      <c r="T14" s="147">
        <v>547616.70900158118</v>
      </c>
      <c r="U14" s="147">
        <v>551213.32995686983</v>
      </c>
      <c r="V14" s="147">
        <v>555727.66078851116</v>
      </c>
      <c r="W14" s="147">
        <v>561692.01941643748</v>
      </c>
      <c r="X14" s="147">
        <v>561692.01941643748</v>
      </c>
      <c r="Y14" s="147">
        <v>561692.01941643748</v>
      </c>
      <c r="Z14" s="147">
        <v>561692.01941643748</v>
      </c>
      <c r="AA14" s="147">
        <v>561692.01941643748</v>
      </c>
      <c r="AB14" s="147">
        <v>561692.01941643748</v>
      </c>
      <c r="AC14" s="147">
        <v>561692.01941643748</v>
      </c>
      <c r="AD14" s="147">
        <v>561692.01941643748</v>
      </c>
      <c r="AE14" s="147">
        <v>561692.01941643748</v>
      </c>
      <c r="AF14" s="147">
        <v>561692.01941643748</v>
      </c>
      <c r="AG14" s="147">
        <v>561692.01941643748</v>
      </c>
      <c r="AH14" s="147">
        <v>561692.01941643748</v>
      </c>
      <c r="AI14" s="147">
        <v>561692.01941643748</v>
      </c>
      <c r="AJ14" s="147">
        <f t="shared" si="0"/>
        <v>15150377.184180342</v>
      </c>
    </row>
    <row r="15" spans="2:36">
      <c r="B15" s="122" t="str">
        <v>Pórticos 1 e 2 (BR-356)</v>
      </c>
      <c r="C15" s="149" t="str">
        <v>1</v>
      </c>
      <c r="D15" s="149" t="str">
        <v>1.10</v>
      </c>
      <c r="E15" s="122" t="str">
        <v xml:space="preserve">Canteiro de obras </v>
      </c>
      <c r="F15" s="147">
        <v>17617.759215677983</v>
      </c>
      <c r="G15" s="147">
        <v>17686.435069102765</v>
      </c>
      <c r="H15" s="147">
        <v>19937.560358096864</v>
      </c>
      <c r="I15" s="147">
        <v>24467.811885731928</v>
      </c>
      <c r="J15" s="147">
        <v>27485.871996412574</v>
      </c>
      <c r="K15" s="147">
        <v>29137.238896693078</v>
      </c>
      <c r="L15" s="147">
        <v>29263.56936979268</v>
      </c>
      <c r="M15" s="147">
        <v>29748.616100304022</v>
      </c>
      <c r="N15" s="147">
        <v>30616.146764616256</v>
      </c>
      <c r="O15" s="147">
        <v>31339.602975615417</v>
      </c>
      <c r="P15" s="147">
        <v>31662.446937722143</v>
      </c>
      <c r="Q15" s="147">
        <v>32435.696358962039</v>
      </c>
      <c r="R15" s="147">
        <v>32842.680921973035</v>
      </c>
      <c r="S15" s="147">
        <v>33654.563538411858</v>
      </c>
      <c r="T15" s="147">
        <v>34295.187836462661</v>
      </c>
      <c r="U15" s="147">
        <v>34520.430764975688</v>
      </c>
      <c r="V15" s="147">
        <v>34803.146433219888</v>
      </c>
      <c r="W15" s="147">
        <v>35176.671923049616</v>
      </c>
      <c r="X15" s="147">
        <v>35176.671923049616</v>
      </c>
      <c r="Y15" s="147">
        <v>35176.671923049616</v>
      </c>
      <c r="Z15" s="147">
        <v>35176.671923049616</v>
      </c>
      <c r="AA15" s="147">
        <v>35176.671923049616</v>
      </c>
      <c r="AB15" s="147">
        <v>35176.671923049616</v>
      </c>
      <c r="AC15" s="147">
        <v>35176.671923049616</v>
      </c>
      <c r="AD15" s="147">
        <v>35176.671923049616</v>
      </c>
      <c r="AE15" s="147">
        <v>35176.671923049616</v>
      </c>
      <c r="AF15" s="147">
        <v>35176.671923049616</v>
      </c>
      <c r="AG15" s="147">
        <v>35176.671923049616</v>
      </c>
      <c r="AH15" s="147">
        <v>35176.671923049616</v>
      </c>
      <c r="AI15" s="147">
        <v>35176.671923049616</v>
      </c>
      <c r="AJ15" s="147">
        <f t="shared" si="0"/>
        <v>948811.5004234158</v>
      </c>
    </row>
    <row r="16" spans="2:36">
      <c r="B16" s="122" t="str">
        <v>Pórticos 1 e 2 (BR-356)</v>
      </c>
      <c r="C16" s="149" t="str">
        <v>1</v>
      </c>
      <c r="D16" s="149" t="str">
        <v>1.11</v>
      </c>
      <c r="E16" s="122" t="str">
        <v>Mobilização e desmobilização</v>
      </c>
      <c r="F16" s="147">
        <v>568.31481340896721</v>
      </c>
      <c r="G16" s="147">
        <v>570.53016351944405</v>
      </c>
      <c r="H16" s="147">
        <v>643.14710832570529</v>
      </c>
      <c r="I16" s="147">
        <v>789.28425437844942</v>
      </c>
      <c r="J16" s="147">
        <v>886.64103214234115</v>
      </c>
      <c r="K16" s="147">
        <v>939.91093215138972</v>
      </c>
      <c r="L16" s="147">
        <v>943.98610870298967</v>
      </c>
      <c r="M16" s="147">
        <v>959.63277742916205</v>
      </c>
      <c r="N16" s="147">
        <v>987.61763756826633</v>
      </c>
      <c r="O16" s="147">
        <v>1010.9549346972716</v>
      </c>
      <c r="P16" s="147">
        <v>1021.3692560555531</v>
      </c>
      <c r="Q16" s="147">
        <v>1046.3127857729692</v>
      </c>
      <c r="R16" s="147">
        <v>1059.4413200636463</v>
      </c>
      <c r="S16" s="147">
        <v>1085.6310818842537</v>
      </c>
      <c r="T16" s="147">
        <v>1106.2963818213761</v>
      </c>
      <c r="U16" s="147">
        <v>1113.5622827411512</v>
      </c>
      <c r="V16" s="147">
        <v>1122.6821430070934</v>
      </c>
      <c r="W16" s="147">
        <v>1134.7313523564394</v>
      </c>
      <c r="X16" s="147">
        <v>1134.7313523564394</v>
      </c>
      <c r="Y16" s="147">
        <v>1134.7313523564394</v>
      </c>
      <c r="Z16" s="147">
        <v>1134.7313523564394</v>
      </c>
      <c r="AA16" s="147">
        <v>1134.7313523564394</v>
      </c>
      <c r="AB16" s="147">
        <v>1134.7313523564394</v>
      </c>
      <c r="AC16" s="147">
        <v>1134.7313523564394</v>
      </c>
      <c r="AD16" s="147">
        <v>1134.7313523564394</v>
      </c>
      <c r="AE16" s="147">
        <v>1134.7313523564394</v>
      </c>
      <c r="AF16" s="147">
        <v>1134.7313523564394</v>
      </c>
      <c r="AG16" s="147">
        <v>1134.7313523564394</v>
      </c>
      <c r="AH16" s="147">
        <v>1134.7313523564394</v>
      </c>
      <c r="AI16" s="147">
        <v>1134.7313523564394</v>
      </c>
      <c r="AJ16" s="147">
        <f t="shared" si="0"/>
        <v>30606.822594303758</v>
      </c>
    </row>
    <row r="17" spans="2:36">
      <c r="B17" s="122" t="str">
        <v>Pórticos 1 e 2 (BR-356)</v>
      </c>
      <c r="C17" s="149" t="str">
        <v>2</v>
      </c>
      <c r="D17" s="149">
        <v>2</v>
      </c>
      <c r="E17" s="122" t="str">
        <v xml:space="preserve">Monitoração da rodovia </v>
      </c>
      <c r="F17" s="147">
        <v>0</v>
      </c>
      <c r="G17" s="147">
        <v>0</v>
      </c>
      <c r="H17" s="147">
        <v>0</v>
      </c>
      <c r="I17" s="147">
        <v>0</v>
      </c>
      <c r="J17" s="147">
        <v>0</v>
      </c>
      <c r="K17" s="147">
        <v>0</v>
      </c>
      <c r="L17" s="147">
        <v>0</v>
      </c>
      <c r="M17" s="147">
        <v>0</v>
      </c>
      <c r="N17" s="147">
        <v>0</v>
      </c>
      <c r="O17" s="147">
        <v>0</v>
      </c>
      <c r="P17" s="147">
        <v>0</v>
      </c>
      <c r="Q17" s="147">
        <v>0</v>
      </c>
      <c r="R17" s="147">
        <v>0</v>
      </c>
      <c r="S17" s="147">
        <v>0</v>
      </c>
      <c r="T17" s="147">
        <v>0</v>
      </c>
      <c r="U17" s="147">
        <v>0</v>
      </c>
      <c r="V17" s="147">
        <v>0</v>
      </c>
      <c r="W17" s="147">
        <v>0</v>
      </c>
      <c r="X17" s="147">
        <v>0</v>
      </c>
      <c r="Y17" s="147">
        <v>0</v>
      </c>
      <c r="Z17" s="147">
        <v>0</v>
      </c>
      <c r="AA17" s="147">
        <v>0</v>
      </c>
      <c r="AB17" s="147">
        <v>0</v>
      </c>
      <c r="AC17" s="147">
        <v>0</v>
      </c>
      <c r="AD17" s="147">
        <v>0</v>
      </c>
      <c r="AE17" s="147">
        <v>0</v>
      </c>
      <c r="AF17" s="147">
        <v>0</v>
      </c>
      <c r="AG17" s="147">
        <v>0</v>
      </c>
      <c r="AH17" s="147">
        <v>0</v>
      </c>
      <c r="AI17" s="147">
        <v>0</v>
      </c>
      <c r="AJ17" s="147">
        <f t="shared" si="0"/>
        <v>0</v>
      </c>
    </row>
    <row r="18" spans="2:36">
      <c r="B18" s="122" t="str">
        <v>Pórticos 1 e 2 (BR-356)</v>
      </c>
      <c r="C18" s="149" t="str">
        <v>2</v>
      </c>
      <c r="D18" s="149" t="str">
        <v>2.1</v>
      </c>
      <c r="E18" s="122" t="str">
        <v xml:space="preserve">Pavimento </v>
      </c>
      <c r="F18" s="147">
        <v>389497.64229766664</v>
      </c>
      <c r="G18" s="147">
        <v>106800.92166666666</v>
      </c>
      <c r="H18" s="147">
        <v>106800.92166666666</v>
      </c>
      <c r="I18" s="147">
        <v>133973.47079766667</v>
      </c>
      <c r="J18" s="147">
        <v>106800.92166666666</v>
      </c>
      <c r="K18" s="147">
        <v>106800.92166666666</v>
      </c>
      <c r="L18" s="147">
        <v>93836.778399999981</v>
      </c>
      <c r="M18" s="147">
        <v>93836.778399999981</v>
      </c>
      <c r="N18" s="147">
        <v>152931.36424119998</v>
      </c>
      <c r="O18" s="147">
        <v>93836.778399999981</v>
      </c>
      <c r="P18" s="147">
        <v>93836.778399999981</v>
      </c>
      <c r="Q18" s="147">
        <v>93836.778399999981</v>
      </c>
      <c r="R18" s="147">
        <v>93836.778399999981</v>
      </c>
      <c r="S18" s="147">
        <v>152931.36424119998</v>
      </c>
      <c r="T18" s="147">
        <v>93836.778399999981</v>
      </c>
      <c r="U18" s="147">
        <v>93836.778399999981</v>
      </c>
      <c r="V18" s="147">
        <v>93836.778399999981</v>
      </c>
      <c r="W18" s="147">
        <v>93836.778399999981</v>
      </c>
      <c r="X18" s="147">
        <v>152931.36424119998</v>
      </c>
      <c r="Y18" s="147">
        <v>93836.778399999981</v>
      </c>
      <c r="Z18" s="147">
        <v>93836.778399999981</v>
      </c>
      <c r="AA18" s="147">
        <v>93836.778399999981</v>
      </c>
      <c r="AB18" s="147">
        <v>93836.778399999981</v>
      </c>
      <c r="AC18" s="147">
        <v>152931.36424119998</v>
      </c>
      <c r="AD18" s="147">
        <v>93836.778399999981</v>
      </c>
      <c r="AE18" s="147">
        <v>93836.778399999981</v>
      </c>
      <c r="AF18" s="147">
        <v>93836.778399999981</v>
      </c>
      <c r="AG18" s="147">
        <v>93836.778399999981</v>
      </c>
      <c r="AH18" s="147">
        <v>152931.36424119998</v>
      </c>
      <c r="AI18" s="147">
        <v>93836.778399999981</v>
      </c>
      <c r="AJ18" s="147">
        <f t="shared" si="0"/>
        <v>3498230.4105680017</v>
      </c>
    </row>
    <row r="19" spans="2:36">
      <c r="B19" s="122" t="str">
        <v>Pórticos 1 e 2 (BR-356)</v>
      </c>
      <c r="C19" s="149" t="str">
        <v>2</v>
      </c>
      <c r="D19" s="149" t="str">
        <v>2.2</v>
      </c>
      <c r="E19" s="122" t="str">
        <v>Elementos de proteção e segurança</v>
      </c>
      <c r="F19" s="147">
        <v>110501.69979939998</v>
      </c>
      <c r="G19" s="147">
        <v>110501.69979939998</v>
      </c>
      <c r="H19" s="147">
        <v>81517.647392999992</v>
      </c>
      <c r="I19" s="147">
        <v>110501.69979939998</v>
      </c>
      <c r="J19" s="147">
        <v>81517.647392999992</v>
      </c>
      <c r="K19" s="147">
        <v>110501.69979939998</v>
      </c>
      <c r="L19" s="147">
        <v>147736.46460299997</v>
      </c>
      <c r="M19" s="147">
        <v>179253.57705163996</v>
      </c>
      <c r="N19" s="147">
        <v>147736.46460299997</v>
      </c>
      <c r="O19" s="147">
        <v>179253.57705163996</v>
      </c>
      <c r="P19" s="147">
        <v>147736.46460299997</v>
      </c>
      <c r="Q19" s="147">
        <v>179253.57705163996</v>
      </c>
      <c r="R19" s="147">
        <v>147736.46460299997</v>
      </c>
      <c r="S19" s="147">
        <v>179253.57705163996</v>
      </c>
      <c r="T19" s="147">
        <v>147736.46460299997</v>
      </c>
      <c r="U19" s="147">
        <v>179253.57705163996</v>
      </c>
      <c r="V19" s="147">
        <v>147736.46460299997</v>
      </c>
      <c r="W19" s="147">
        <v>179253.57705163996</v>
      </c>
      <c r="X19" s="147">
        <v>147736.46460299997</v>
      </c>
      <c r="Y19" s="147">
        <v>179253.57705163996</v>
      </c>
      <c r="Z19" s="147">
        <v>147736.46460299997</v>
      </c>
      <c r="AA19" s="147">
        <v>179253.57705163996</v>
      </c>
      <c r="AB19" s="147">
        <v>147736.46460299997</v>
      </c>
      <c r="AC19" s="147">
        <v>179253.57705163996</v>
      </c>
      <c r="AD19" s="147">
        <v>147736.46460299997</v>
      </c>
      <c r="AE19" s="147">
        <v>179253.57705163996</v>
      </c>
      <c r="AF19" s="147">
        <v>147736.46460299997</v>
      </c>
      <c r="AG19" s="147">
        <v>179253.57705163996</v>
      </c>
      <c r="AH19" s="147">
        <v>147736.46460299997</v>
      </c>
      <c r="AI19" s="147">
        <v>179253.57705163996</v>
      </c>
      <c r="AJ19" s="147">
        <f t="shared" si="0"/>
        <v>4528922.5938392784</v>
      </c>
    </row>
    <row r="20" spans="2:36">
      <c r="B20" s="122" t="str">
        <v>Pórticos 1 e 2 (BR-356)</v>
      </c>
      <c r="C20" s="149" t="str">
        <v>2</v>
      </c>
      <c r="D20" s="149" t="str">
        <v>2.3</v>
      </c>
      <c r="E20" s="122" t="str">
        <v xml:space="preserve">Obras-de-arte especiais </v>
      </c>
      <c r="F20" s="147">
        <v>89052.892110000001</v>
      </c>
      <c r="G20" s="147">
        <v>79158.126319999996</v>
      </c>
      <c r="H20" s="147">
        <v>79158.126319999996</v>
      </c>
      <c r="I20" s="147">
        <v>79158.126319999996</v>
      </c>
      <c r="J20" s="147">
        <v>79158.126319999996</v>
      </c>
      <c r="K20" s="147">
        <v>140048.99271999998</v>
      </c>
      <c r="L20" s="147">
        <v>140048.99271999998</v>
      </c>
      <c r="M20" s="147">
        <v>140048.99271999998</v>
      </c>
      <c r="N20" s="147">
        <v>140048.99271999998</v>
      </c>
      <c r="O20" s="147">
        <v>140048.99271999998</v>
      </c>
      <c r="P20" s="147">
        <v>140048.99271999998</v>
      </c>
      <c r="Q20" s="147">
        <v>140048.99271999998</v>
      </c>
      <c r="R20" s="147">
        <v>140048.99271999998</v>
      </c>
      <c r="S20" s="147">
        <v>140048.99271999998</v>
      </c>
      <c r="T20" s="147">
        <v>140048.99271999998</v>
      </c>
      <c r="U20" s="147">
        <v>140048.99271999998</v>
      </c>
      <c r="V20" s="147">
        <v>140048.99271999998</v>
      </c>
      <c r="W20" s="147">
        <v>140048.99271999998</v>
      </c>
      <c r="X20" s="147">
        <v>140048.99271999998</v>
      </c>
      <c r="Y20" s="147">
        <v>140048.99271999998</v>
      </c>
      <c r="Z20" s="147">
        <v>140048.99271999998</v>
      </c>
      <c r="AA20" s="147">
        <v>140048.99271999998</v>
      </c>
      <c r="AB20" s="147">
        <v>140048.99271999998</v>
      </c>
      <c r="AC20" s="147">
        <v>140048.99271999998</v>
      </c>
      <c r="AD20" s="147">
        <v>140048.99271999998</v>
      </c>
      <c r="AE20" s="147">
        <v>140048.99271999998</v>
      </c>
      <c r="AF20" s="147">
        <v>140048.99271999998</v>
      </c>
      <c r="AG20" s="147">
        <v>140048.99271999998</v>
      </c>
      <c r="AH20" s="147">
        <v>140048.99271999998</v>
      </c>
      <c r="AI20" s="147">
        <v>140048.99271999998</v>
      </c>
      <c r="AJ20" s="147">
        <f t="shared" si="0"/>
        <v>3906910.2153899996</v>
      </c>
    </row>
    <row r="21" spans="2:36">
      <c r="B21" s="122" t="str">
        <v>Pórticos 1 e 2 (BR-356)</v>
      </c>
      <c r="C21" s="149" t="str">
        <v>2</v>
      </c>
      <c r="D21" s="149" t="str">
        <v>2.4</v>
      </c>
      <c r="E21" s="122" t="str">
        <v xml:space="preserve">Sistema de drenagem e obras-de-arte correntes </v>
      </c>
      <c r="F21" s="147">
        <v>63402.614638999992</v>
      </c>
      <c r="G21" s="147">
        <v>63402.614638999992</v>
      </c>
      <c r="H21" s="147">
        <v>63402.614638999992</v>
      </c>
      <c r="I21" s="147">
        <v>63402.614638999992</v>
      </c>
      <c r="J21" s="147">
        <v>63402.614638999992</v>
      </c>
      <c r="K21" s="147">
        <v>63402.614638999992</v>
      </c>
      <c r="L21" s="147">
        <v>68943.683481399989</v>
      </c>
      <c r="M21" s="147">
        <v>68943.683481399989</v>
      </c>
      <c r="N21" s="147">
        <v>68943.683481399989</v>
      </c>
      <c r="O21" s="147">
        <v>68943.683481399989</v>
      </c>
      <c r="P21" s="147">
        <v>68943.683481399989</v>
      </c>
      <c r="Q21" s="147">
        <v>68943.683481399989</v>
      </c>
      <c r="R21" s="147">
        <v>68943.683481399989</v>
      </c>
      <c r="S21" s="147">
        <v>68943.683481399989</v>
      </c>
      <c r="T21" s="147">
        <v>68943.683481399989</v>
      </c>
      <c r="U21" s="147">
        <v>68943.683481399989</v>
      </c>
      <c r="V21" s="147">
        <v>68943.683481399989</v>
      </c>
      <c r="W21" s="147">
        <v>68943.683481399989</v>
      </c>
      <c r="X21" s="147">
        <v>68943.683481399989</v>
      </c>
      <c r="Y21" s="147">
        <v>68943.683481399989</v>
      </c>
      <c r="Z21" s="147">
        <v>68943.683481399989</v>
      </c>
      <c r="AA21" s="147">
        <v>68943.683481399989</v>
      </c>
      <c r="AB21" s="147">
        <v>68943.683481399989</v>
      </c>
      <c r="AC21" s="147">
        <v>68943.683481399989</v>
      </c>
      <c r="AD21" s="147">
        <v>68943.683481399989</v>
      </c>
      <c r="AE21" s="147">
        <v>68943.683481399989</v>
      </c>
      <c r="AF21" s="147">
        <v>68943.683481399989</v>
      </c>
      <c r="AG21" s="147">
        <v>68943.683481399989</v>
      </c>
      <c r="AH21" s="147">
        <v>68943.683481399989</v>
      </c>
      <c r="AI21" s="147">
        <v>68943.683481399989</v>
      </c>
      <c r="AJ21" s="147">
        <f t="shared" si="0"/>
        <v>2035064.0913875985</v>
      </c>
    </row>
    <row r="22" spans="2:36">
      <c r="B22" s="122" t="str">
        <v>Pórticos 1 e 2 (BR-356)</v>
      </c>
      <c r="C22" s="149" t="str">
        <v>2</v>
      </c>
      <c r="D22" s="149" t="str">
        <v>2.5</v>
      </c>
      <c r="E22" s="122" t="str">
        <v xml:space="preserve">Terraplenos e estruturas de contenção </v>
      </c>
      <c r="F22" s="147">
        <v>27172.549130999996</v>
      </c>
      <c r="G22" s="147">
        <v>27172.549130999996</v>
      </c>
      <c r="H22" s="147">
        <v>27172.549130999996</v>
      </c>
      <c r="I22" s="147">
        <v>27172.549130999996</v>
      </c>
      <c r="J22" s="147">
        <v>27172.549130999996</v>
      </c>
      <c r="K22" s="147">
        <v>27172.549130999996</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c r="AH22" s="147">
        <v>0</v>
      </c>
      <c r="AI22" s="147">
        <v>0</v>
      </c>
      <c r="AJ22" s="147">
        <f t="shared" si="0"/>
        <v>163035.29478599998</v>
      </c>
    </row>
    <row r="23" spans="2:36">
      <c r="B23" s="122" t="str">
        <v>Pórticos 1 e 2 (BR-356)</v>
      </c>
      <c r="C23" s="149" t="str">
        <v>2</v>
      </c>
      <c r="D23" s="149" t="str">
        <v>2.6</v>
      </c>
      <c r="E23" s="122" t="str">
        <v>Canteiro central e faixa de domínio</v>
      </c>
      <c r="F23" s="147">
        <v>18115.032754</v>
      </c>
      <c r="G23" s="147">
        <v>18115.032754</v>
      </c>
      <c r="H23" s="147">
        <v>18115.032754</v>
      </c>
      <c r="I23" s="147">
        <v>18115.032754</v>
      </c>
      <c r="J23" s="147">
        <v>18115.032754</v>
      </c>
      <c r="K23" s="147">
        <v>18115.032754</v>
      </c>
      <c r="L23" s="147">
        <v>19698.195280399999</v>
      </c>
      <c r="M23" s="147">
        <v>19698.195280399999</v>
      </c>
      <c r="N23" s="147">
        <v>19698.195280399999</v>
      </c>
      <c r="O23" s="147">
        <v>19698.195280399999</v>
      </c>
      <c r="P23" s="147">
        <v>19698.195280399999</v>
      </c>
      <c r="Q23" s="147">
        <v>19698.195280399999</v>
      </c>
      <c r="R23" s="147">
        <v>19698.195280399999</v>
      </c>
      <c r="S23" s="147">
        <v>19698.195280399999</v>
      </c>
      <c r="T23" s="147">
        <v>19698.195280399999</v>
      </c>
      <c r="U23" s="147">
        <v>19698.195280399999</v>
      </c>
      <c r="V23" s="147">
        <v>19698.195280399999</v>
      </c>
      <c r="W23" s="147">
        <v>19698.195280399999</v>
      </c>
      <c r="X23" s="147">
        <v>19698.195280399999</v>
      </c>
      <c r="Y23" s="147">
        <v>19698.195280399999</v>
      </c>
      <c r="Z23" s="147">
        <v>19698.195280399999</v>
      </c>
      <c r="AA23" s="147">
        <v>19698.195280399999</v>
      </c>
      <c r="AB23" s="147">
        <v>19698.195280399999</v>
      </c>
      <c r="AC23" s="147">
        <v>19698.195280399999</v>
      </c>
      <c r="AD23" s="147">
        <v>19698.195280399999</v>
      </c>
      <c r="AE23" s="147">
        <v>19698.195280399999</v>
      </c>
      <c r="AF23" s="147">
        <v>19698.195280399999</v>
      </c>
      <c r="AG23" s="147">
        <v>19698.195280399999</v>
      </c>
      <c r="AH23" s="147">
        <v>19698.195280399999</v>
      </c>
      <c r="AI23" s="147">
        <v>19698.195280399999</v>
      </c>
      <c r="AJ23" s="147">
        <f t="shared" si="0"/>
        <v>581446.88325359975</v>
      </c>
    </row>
    <row r="24" spans="2:36">
      <c r="B24" s="122" t="str">
        <v>Pórticos 1 e 2 (BR-356)</v>
      </c>
      <c r="C24" s="149" t="str">
        <v>2</v>
      </c>
      <c r="D24" s="149" t="str">
        <v>2.7</v>
      </c>
      <c r="E24" s="122" t="str">
        <v>Edificações e instalações operacionais</v>
      </c>
      <c r="F24" s="147">
        <v>172702.12580000001</v>
      </c>
      <c r="G24" s="147">
        <v>61793.762000000002</v>
      </c>
      <c r="H24" s="147">
        <v>205322.2328</v>
      </c>
      <c r="I24" s="147">
        <v>94413.869000000006</v>
      </c>
      <c r="J24" s="147">
        <v>216195.6018</v>
      </c>
      <c r="K24" s="147">
        <v>94413.869000000006</v>
      </c>
      <c r="L24" s="147">
        <v>216195.6018</v>
      </c>
      <c r="M24" s="147">
        <v>94413.869000000006</v>
      </c>
      <c r="N24" s="147">
        <v>216195.6018</v>
      </c>
      <c r="O24" s="147">
        <v>94413.869000000006</v>
      </c>
      <c r="P24" s="147">
        <v>216195.6018</v>
      </c>
      <c r="Q24" s="147">
        <v>94413.869000000006</v>
      </c>
      <c r="R24" s="147">
        <v>216195.6018</v>
      </c>
      <c r="S24" s="147">
        <v>94413.869000000006</v>
      </c>
      <c r="T24" s="147">
        <v>216195.6018</v>
      </c>
      <c r="U24" s="147">
        <v>94413.869000000006</v>
      </c>
      <c r="V24" s="147">
        <v>216195.6018</v>
      </c>
      <c r="W24" s="147">
        <v>94413.869000000006</v>
      </c>
      <c r="X24" s="147">
        <v>216195.6018</v>
      </c>
      <c r="Y24" s="147">
        <v>94413.869000000006</v>
      </c>
      <c r="Z24" s="147">
        <v>216195.6018</v>
      </c>
      <c r="AA24" s="147">
        <v>94413.869000000006</v>
      </c>
      <c r="AB24" s="147">
        <v>216195.6018</v>
      </c>
      <c r="AC24" s="147">
        <v>94413.869000000006</v>
      </c>
      <c r="AD24" s="147">
        <v>216195.6018</v>
      </c>
      <c r="AE24" s="147">
        <v>94413.869000000006</v>
      </c>
      <c r="AF24" s="147">
        <v>216195.6018</v>
      </c>
      <c r="AG24" s="147">
        <v>94413.869000000006</v>
      </c>
      <c r="AH24" s="147">
        <v>216195.6018</v>
      </c>
      <c r="AI24" s="147">
        <v>94413.869000000006</v>
      </c>
      <c r="AJ24" s="147">
        <f t="shared" si="0"/>
        <v>4572155.1099999994</v>
      </c>
    </row>
    <row r="25" spans="2:36">
      <c r="B25" s="122" t="str">
        <v>Pórticos 1 e 2 (BR-356)</v>
      </c>
      <c r="C25" s="149" t="str">
        <v>2</v>
      </c>
      <c r="D25" s="149" t="str">
        <v>2.8</v>
      </c>
      <c r="E25" s="122" t="str">
        <v>Sistemas elétricos e de iluminação</v>
      </c>
      <c r="F25" s="147">
        <v>40758.823696499996</v>
      </c>
      <c r="G25" s="147">
        <v>40758.823696499996</v>
      </c>
      <c r="H25" s="147">
        <v>40758.823696499996</v>
      </c>
      <c r="I25" s="147">
        <v>40758.823696499996</v>
      </c>
      <c r="J25" s="147">
        <v>40758.823696499996</v>
      </c>
      <c r="K25" s="147">
        <v>40758.823696499996</v>
      </c>
      <c r="L25" s="147">
        <v>44320.939380899996</v>
      </c>
      <c r="M25" s="147">
        <v>44320.939380899996</v>
      </c>
      <c r="N25" s="147">
        <v>44320.939380899996</v>
      </c>
      <c r="O25" s="147">
        <v>44320.939380899996</v>
      </c>
      <c r="P25" s="147">
        <v>44320.939380899996</v>
      </c>
      <c r="Q25" s="147">
        <v>44320.939380899996</v>
      </c>
      <c r="R25" s="147">
        <v>44320.939380899996</v>
      </c>
      <c r="S25" s="147">
        <v>44320.939380899996</v>
      </c>
      <c r="T25" s="147">
        <v>44320.939380899996</v>
      </c>
      <c r="U25" s="147">
        <v>44320.939380899996</v>
      </c>
      <c r="V25" s="147">
        <v>44320.939380899996</v>
      </c>
      <c r="W25" s="147">
        <v>44320.939380899996</v>
      </c>
      <c r="X25" s="147">
        <v>44320.939380899996</v>
      </c>
      <c r="Y25" s="147">
        <v>44320.939380899996</v>
      </c>
      <c r="Z25" s="147">
        <v>44320.939380899996</v>
      </c>
      <c r="AA25" s="147">
        <v>44320.939380899996</v>
      </c>
      <c r="AB25" s="147">
        <v>44320.939380899996</v>
      </c>
      <c r="AC25" s="147">
        <v>44320.939380899996</v>
      </c>
      <c r="AD25" s="147">
        <v>44320.939380899996</v>
      </c>
      <c r="AE25" s="147">
        <v>44320.939380899996</v>
      </c>
      <c r="AF25" s="147">
        <v>44320.939380899996</v>
      </c>
      <c r="AG25" s="147">
        <v>44320.939380899996</v>
      </c>
      <c r="AH25" s="147">
        <v>44320.939380899996</v>
      </c>
      <c r="AI25" s="147">
        <v>44320.939380899996</v>
      </c>
      <c r="AJ25" s="147">
        <f t="shared" si="0"/>
        <v>1308255.4873205998</v>
      </c>
    </row>
    <row r="26" spans="2:36">
      <c r="B26" s="122" t="str">
        <v>Pórtico 3 (MG-262)</v>
      </c>
      <c r="C26" s="149" t="str">
        <v>1</v>
      </c>
      <c r="D26" s="149">
        <v>1</v>
      </c>
      <c r="E26" s="122" t="str">
        <v xml:space="preserve">Conservação da rodovia </v>
      </c>
      <c r="F26" s="147">
        <v>0</v>
      </c>
      <c r="G26" s="147">
        <v>0</v>
      </c>
      <c r="H26" s="147">
        <v>0</v>
      </c>
      <c r="I26" s="147">
        <v>0</v>
      </c>
      <c r="J26" s="147">
        <v>0</v>
      </c>
      <c r="K26" s="147">
        <v>0</v>
      </c>
      <c r="L26" s="147">
        <v>0</v>
      </c>
      <c r="M26" s="147">
        <v>0</v>
      </c>
      <c r="N26" s="147">
        <v>0</v>
      </c>
      <c r="O26" s="147">
        <v>0</v>
      </c>
      <c r="P26" s="147">
        <v>0</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c r="AH26" s="147">
        <v>0</v>
      </c>
      <c r="AI26" s="147">
        <v>0</v>
      </c>
      <c r="AJ26" s="147">
        <f t="shared" si="0"/>
        <v>0</v>
      </c>
    </row>
    <row r="27" spans="2:36">
      <c r="B27" s="122" t="str">
        <v>Pórtico 3 (MG-262)</v>
      </c>
      <c r="C27" s="149" t="str">
        <v>1</v>
      </c>
      <c r="D27" s="149" t="str">
        <v>1.1</v>
      </c>
      <c r="E27" s="122" t="str">
        <v>Pavimento</v>
      </c>
      <c r="F27" s="147">
        <v>2458040.1236392562</v>
      </c>
      <c r="G27" s="147">
        <v>2458040.1236392562</v>
      </c>
      <c r="H27" s="147">
        <v>2458040.1236392562</v>
      </c>
      <c r="I27" s="147">
        <v>2458040.1236392562</v>
      </c>
      <c r="J27" s="147">
        <v>2458040.1236392562</v>
      </c>
      <c r="K27" s="147">
        <v>2458040.1236392562</v>
      </c>
      <c r="L27" s="147">
        <v>2458040.1236392562</v>
      </c>
      <c r="M27" s="147">
        <v>2458040.1236392562</v>
      </c>
      <c r="N27" s="147">
        <v>2458040.1236392562</v>
      </c>
      <c r="O27" s="147">
        <v>2458040.1236392562</v>
      </c>
      <c r="P27" s="147">
        <v>2458040.1236392562</v>
      </c>
      <c r="Q27" s="147">
        <v>2458040.1236392562</v>
      </c>
      <c r="R27" s="147">
        <v>2458040.1236392562</v>
      </c>
      <c r="S27" s="147">
        <v>2458040.1236392562</v>
      </c>
      <c r="T27" s="147">
        <v>2657380.2120163757</v>
      </c>
      <c r="U27" s="147">
        <v>2657380.2120163757</v>
      </c>
      <c r="V27" s="147">
        <v>2657380.2120163757</v>
      </c>
      <c r="W27" s="147">
        <v>2657380.2120163757</v>
      </c>
      <c r="X27" s="147">
        <v>2657380.2120163757</v>
      </c>
      <c r="Y27" s="147">
        <v>2657380.2120163757</v>
      </c>
      <c r="Z27" s="147">
        <v>2657380.2120163757</v>
      </c>
      <c r="AA27" s="147">
        <v>2657380.2120163757</v>
      </c>
      <c r="AB27" s="147">
        <v>2657380.2120163757</v>
      </c>
      <c r="AC27" s="147">
        <v>2657380.2120163757</v>
      </c>
      <c r="AD27" s="147">
        <v>2657380.2120163757</v>
      </c>
      <c r="AE27" s="147">
        <v>2657380.2120163757</v>
      </c>
      <c r="AF27" s="147">
        <v>2657380.2120163757</v>
      </c>
      <c r="AG27" s="147">
        <v>2657380.2120163757</v>
      </c>
      <c r="AH27" s="147">
        <v>2657380.2120163757</v>
      </c>
      <c r="AI27" s="147">
        <v>2657380.2120163757</v>
      </c>
      <c r="AJ27" s="147">
        <f t="shared" si="0"/>
        <v>76930645.123211578</v>
      </c>
    </row>
    <row r="28" spans="2:36">
      <c r="B28" s="122" t="str">
        <v>Pórtico 3 (MG-262)</v>
      </c>
      <c r="C28" s="149" t="str">
        <v>1</v>
      </c>
      <c r="D28" s="149" t="str">
        <v>1.2</v>
      </c>
      <c r="E28" s="122" t="str">
        <v>Elementos de proteção e segurança</v>
      </c>
      <c r="F28" s="147">
        <v>1197405.2822113065</v>
      </c>
      <c r="G28" s="147">
        <v>1213873.5864231167</v>
      </c>
      <c r="H28" s="147">
        <v>1281622.9143481166</v>
      </c>
      <c r="I28" s="147">
        <v>1349031.0692731168</v>
      </c>
      <c r="J28" s="147">
        <v>1416414.8546981167</v>
      </c>
      <c r="K28" s="147">
        <v>1375296.7979603866</v>
      </c>
      <c r="L28" s="147">
        <v>1375906.0354603867</v>
      </c>
      <c r="M28" s="147">
        <v>1376100.9914603867</v>
      </c>
      <c r="N28" s="147">
        <v>1376100.9914603867</v>
      </c>
      <c r="O28" s="147">
        <v>1376100.9914603867</v>
      </c>
      <c r="P28" s="147">
        <v>1376100.9914603867</v>
      </c>
      <c r="Q28" s="147">
        <v>1376100.9914603867</v>
      </c>
      <c r="R28" s="147">
        <v>1376100.9914603867</v>
      </c>
      <c r="S28" s="147">
        <v>1376100.9914603867</v>
      </c>
      <c r="T28" s="147">
        <v>1426700.8034603866</v>
      </c>
      <c r="U28" s="147">
        <v>1426700.8034603866</v>
      </c>
      <c r="V28" s="147">
        <v>1426700.8034603866</v>
      </c>
      <c r="W28" s="147">
        <v>1426700.8034603866</v>
      </c>
      <c r="X28" s="147">
        <v>1426700.8034603866</v>
      </c>
      <c r="Y28" s="147">
        <v>1426700.8034603866</v>
      </c>
      <c r="Z28" s="147">
        <v>1426700.8034603866</v>
      </c>
      <c r="AA28" s="147">
        <v>1426700.8034603866</v>
      </c>
      <c r="AB28" s="147">
        <v>1426700.8034603866</v>
      </c>
      <c r="AC28" s="147">
        <v>1426700.8034603866</v>
      </c>
      <c r="AD28" s="147">
        <v>1426700.8034603866</v>
      </c>
      <c r="AE28" s="147">
        <v>1426700.8034603866</v>
      </c>
      <c r="AF28" s="147">
        <v>1426700.8034603866</v>
      </c>
      <c r="AG28" s="147">
        <v>1426700.8034603866</v>
      </c>
      <c r="AH28" s="147">
        <v>1426700.8034603866</v>
      </c>
      <c r="AI28" s="147">
        <v>1426700.8034603866</v>
      </c>
      <c r="AJ28" s="147">
        <f t="shared" si="0"/>
        <v>41669470.335963443</v>
      </c>
    </row>
    <row r="29" spans="2:36">
      <c r="B29" s="122" t="str">
        <v>Pórtico 3 (MG-262)</v>
      </c>
      <c r="C29" s="149" t="str">
        <v>1</v>
      </c>
      <c r="D29" s="149" t="str">
        <v>1.3</v>
      </c>
      <c r="E29" s="122" t="str">
        <v>Obras de arte especiais</v>
      </c>
      <c r="F29" s="147">
        <v>20768.913384979998</v>
      </c>
      <c r="G29" s="147">
        <v>24928.082832280001</v>
      </c>
      <c r="H29" s="147">
        <v>24928.082832280001</v>
      </c>
      <c r="I29" s="147">
        <v>24928.082832280001</v>
      </c>
      <c r="J29" s="147">
        <v>43111.830768220003</v>
      </c>
      <c r="K29" s="147">
        <v>41894.842588220003</v>
      </c>
      <c r="L29" s="147">
        <v>41894.842588220003</v>
      </c>
      <c r="M29" s="147">
        <v>41894.842588220003</v>
      </c>
      <c r="N29" s="147">
        <v>41894.842588220003</v>
      </c>
      <c r="O29" s="147">
        <v>41894.842588220003</v>
      </c>
      <c r="P29" s="147">
        <v>41894.842588220003</v>
      </c>
      <c r="Q29" s="147">
        <v>41894.842588220003</v>
      </c>
      <c r="R29" s="147">
        <v>41894.842588220003</v>
      </c>
      <c r="S29" s="147">
        <v>41894.842588220003</v>
      </c>
      <c r="T29" s="147">
        <v>41894.842588220003</v>
      </c>
      <c r="U29" s="147">
        <v>41894.842588220003</v>
      </c>
      <c r="V29" s="147">
        <v>41894.842588220003</v>
      </c>
      <c r="W29" s="147">
        <v>41894.842588220003</v>
      </c>
      <c r="X29" s="147">
        <v>41894.842588220003</v>
      </c>
      <c r="Y29" s="147">
        <v>41894.842588220003</v>
      </c>
      <c r="Z29" s="147">
        <v>41894.842588220003</v>
      </c>
      <c r="AA29" s="147">
        <v>41894.842588220003</v>
      </c>
      <c r="AB29" s="147">
        <v>41894.842588220003</v>
      </c>
      <c r="AC29" s="147">
        <v>41894.842588220003</v>
      </c>
      <c r="AD29" s="147">
        <v>41894.842588220003</v>
      </c>
      <c r="AE29" s="147">
        <v>41894.842588220003</v>
      </c>
      <c r="AF29" s="147">
        <v>41894.842588220003</v>
      </c>
      <c r="AG29" s="147">
        <v>41894.842588220003</v>
      </c>
      <c r="AH29" s="147">
        <v>41894.842588220003</v>
      </c>
      <c r="AI29" s="147">
        <v>41894.842588220003</v>
      </c>
      <c r="AJ29" s="147">
        <f t="shared" si="0"/>
        <v>1186036.0573555406</v>
      </c>
    </row>
    <row r="30" spans="2:36">
      <c r="B30" s="122" t="str">
        <v>Pórtico 3 (MG-262)</v>
      </c>
      <c r="C30" s="149" t="str">
        <v>1</v>
      </c>
      <c r="D30" s="149" t="str">
        <v>1.4</v>
      </c>
      <c r="E30" s="122" t="str">
        <v>Drenagem e obras de arte correntes</v>
      </c>
      <c r="F30" s="147">
        <v>67534.390650718284</v>
      </c>
      <c r="G30" s="147">
        <v>69450.433288038708</v>
      </c>
      <c r="H30" s="147">
        <v>76125.76345012532</v>
      </c>
      <c r="I30" s="147">
        <v>80324.851948835014</v>
      </c>
      <c r="J30" s="147">
        <v>85364.464241609356</v>
      </c>
      <c r="K30" s="147">
        <v>89494.9264035901</v>
      </c>
      <c r="L30" s="147">
        <v>91983.140155151312</v>
      </c>
      <c r="M30" s="147">
        <v>95000.013954594222</v>
      </c>
      <c r="N30" s="147">
        <v>95000.013954594222</v>
      </c>
      <c r="O30" s="147">
        <v>95000.013954594222</v>
      </c>
      <c r="P30" s="147">
        <v>95000.013954594222</v>
      </c>
      <c r="Q30" s="147">
        <v>95000.013954594222</v>
      </c>
      <c r="R30" s="147">
        <v>95000.013954594222</v>
      </c>
      <c r="S30" s="147">
        <v>95000.013954594222</v>
      </c>
      <c r="T30" s="147">
        <v>95000.013954594222</v>
      </c>
      <c r="U30" s="147">
        <v>95000.013954594222</v>
      </c>
      <c r="V30" s="147">
        <v>95000.013954594222</v>
      </c>
      <c r="W30" s="147">
        <v>95000.013954594222</v>
      </c>
      <c r="X30" s="147">
        <v>95000.013954594222</v>
      </c>
      <c r="Y30" s="147">
        <v>95000.013954594222</v>
      </c>
      <c r="Z30" s="147">
        <v>95000.013954594222</v>
      </c>
      <c r="AA30" s="147">
        <v>95000.013954594222</v>
      </c>
      <c r="AB30" s="147">
        <v>95000.013954594222</v>
      </c>
      <c r="AC30" s="147">
        <v>95000.013954594222</v>
      </c>
      <c r="AD30" s="147">
        <v>95000.013954594222</v>
      </c>
      <c r="AE30" s="147">
        <v>95000.013954594222</v>
      </c>
      <c r="AF30" s="147">
        <v>95000.013954594222</v>
      </c>
      <c r="AG30" s="147">
        <v>95000.013954594222</v>
      </c>
      <c r="AH30" s="147">
        <v>95000.013954594222</v>
      </c>
      <c r="AI30" s="147">
        <v>95000.013954594222</v>
      </c>
      <c r="AJ30" s="147">
        <f t="shared" si="0"/>
        <v>2745278.291093736</v>
      </c>
    </row>
    <row r="31" spans="2:36">
      <c r="B31" s="122" t="str">
        <v>Pórtico 3 (MG-262)</v>
      </c>
      <c r="C31" s="149" t="str">
        <v>1</v>
      </c>
      <c r="D31" s="149" t="str">
        <v>1.5</v>
      </c>
      <c r="E31" s="122" t="str">
        <v>Terraplenos e estruturas de contenção</v>
      </c>
      <c r="F31" s="147">
        <v>109755.79883762635</v>
      </c>
      <c r="G31" s="147">
        <v>95268.598837626356</v>
      </c>
      <c r="H31" s="147">
        <v>95268.598837626356</v>
      </c>
      <c r="I31" s="147">
        <v>95268.598837626356</v>
      </c>
      <c r="J31" s="147">
        <v>115474.28558922636</v>
      </c>
      <c r="K31" s="147">
        <v>115474.28558922636</v>
      </c>
      <c r="L31" s="147">
        <v>115808.56405322638</v>
      </c>
      <c r="M31" s="147">
        <v>115808.56405322638</v>
      </c>
      <c r="N31" s="147">
        <v>179290.29431802637</v>
      </c>
      <c r="O31" s="147">
        <v>179290.29431802637</v>
      </c>
      <c r="P31" s="147">
        <v>179290.29431802637</v>
      </c>
      <c r="Q31" s="147">
        <v>179290.29431802637</v>
      </c>
      <c r="R31" s="147">
        <v>179290.29431802637</v>
      </c>
      <c r="S31" s="147">
        <v>179290.29431802637</v>
      </c>
      <c r="T31" s="147">
        <v>179290.29431802637</v>
      </c>
      <c r="U31" s="147">
        <v>179290.29431802637</v>
      </c>
      <c r="V31" s="147">
        <v>179290.29431802637</v>
      </c>
      <c r="W31" s="147">
        <v>179290.29431802637</v>
      </c>
      <c r="X31" s="147">
        <v>179290.29431802637</v>
      </c>
      <c r="Y31" s="147">
        <v>179290.29431802637</v>
      </c>
      <c r="Z31" s="147">
        <v>179290.29431802637</v>
      </c>
      <c r="AA31" s="147">
        <v>179290.29431802637</v>
      </c>
      <c r="AB31" s="147">
        <v>179290.29431802637</v>
      </c>
      <c r="AC31" s="147">
        <v>179290.29431802637</v>
      </c>
      <c r="AD31" s="147">
        <v>179290.29431802637</v>
      </c>
      <c r="AE31" s="147">
        <v>179290.29431802637</v>
      </c>
      <c r="AF31" s="147">
        <v>179290.29431802637</v>
      </c>
      <c r="AG31" s="147">
        <v>179290.29431802637</v>
      </c>
      <c r="AH31" s="147">
        <v>179290.29431802637</v>
      </c>
      <c r="AI31" s="147">
        <v>179290.29431802637</v>
      </c>
      <c r="AJ31" s="147">
        <f t="shared" si="0"/>
        <v>4802513.7696319902</v>
      </c>
    </row>
    <row r="32" spans="2:36">
      <c r="B32" s="122" t="str">
        <v>Pórtico 3 (MG-262)</v>
      </c>
      <c r="C32" s="149" t="str">
        <v>1</v>
      </c>
      <c r="D32" s="149" t="str">
        <v>1.6</v>
      </c>
      <c r="E32" s="122" t="str">
        <v>Faixa de domínio</v>
      </c>
      <c r="F32" s="147">
        <v>542528.33049344365</v>
      </c>
      <c r="G32" s="147">
        <v>540771.68290238292</v>
      </c>
      <c r="H32" s="147">
        <v>552117.21531132224</v>
      </c>
      <c r="I32" s="147">
        <v>563462.74772026157</v>
      </c>
      <c r="J32" s="147">
        <v>574808.28012920078</v>
      </c>
      <c r="K32" s="147">
        <v>574808.28012920078</v>
      </c>
      <c r="L32" s="147">
        <v>574808.28012920078</v>
      </c>
      <c r="M32" s="147">
        <v>574808.28012920078</v>
      </c>
      <c r="N32" s="147">
        <v>574808.28012920078</v>
      </c>
      <c r="O32" s="147">
        <v>574808.28012920078</v>
      </c>
      <c r="P32" s="147">
        <v>574808.28012920078</v>
      </c>
      <c r="Q32" s="147">
        <v>574808.28012920078</v>
      </c>
      <c r="R32" s="147">
        <v>574808.28012920078</v>
      </c>
      <c r="S32" s="147">
        <v>574808.28012920078</v>
      </c>
      <c r="T32" s="147">
        <v>573692.43512920069</v>
      </c>
      <c r="U32" s="147">
        <v>573692.43512920069</v>
      </c>
      <c r="V32" s="147">
        <v>573692.43512920069</v>
      </c>
      <c r="W32" s="147">
        <v>573692.43512920069</v>
      </c>
      <c r="X32" s="147">
        <v>573692.43512920069</v>
      </c>
      <c r="Y32" s="147">
        <v>573692.43512920069</v>
      </c>
      <c r="Z32" s="147">
        <v>573692.43512920069</v>
      </c>
      <c r="AA32" s="147">
        <v>573692.43512920069</v>
      </c>
      <c r="AB32" s="147">
        <v>573692.43512920069</v>
      </c>
      <c r="AC32" s="147">
        <v>573692.43512920069</v>
      </c>
      <c r="AD32" s="147">
        <v>573692.43512920069</v>
      </c>
      <c r="AE32" s="147">
        <v>573692.43512920069</v>
      </c>
      <c r="AF32" s="147">
        <v>573692.43512920069</v>
      </c>
      <c r="AG32" s="147">
        <v>573692.43512920069</v>
      </c>
      <c r="AH32" s="147">
        <v>573692.43512920069</v>
      </c>
      <c r="AI32" s="147">
        <v>573692.43512920069</v>
      </c>
      <c r="AJ32" s="147">
        <f t="shared" si="0"/>
        <v>17126041.739786632</v>
      </c>
    </row>
    <row r="33" spans="2:36">
      <c r="B33" s="122" t="str">
        <v>Pórtico 3 (MG-262)</v>
      </c>
      <c r="C33" s="149" t="str">
        <v>1</v>
      </c>
      <c r="D33" s="149" t="str">
        <v>1.7</v>
      </c>
      <c r="E33" s="122" t="str">
        <v>Edificações e instalações operacionais</v>
      </c>
      <c r="F33" s="147">
        <v>27020</v>
      </c>
      <c r="G33" s="147">
        <v>27020</v>
      </c>
      <c r="H33" s="147">
        <v>27020</v>
      </c>
      <c r="I33" s="147">
        <v>27020</v>
      </c>
      <c r="J33" s="147">
        <v>27020</v>
      </c>
      <c r="K33" s="147">
        <v>27020</v>
      </c>
      <c r="L33" s="147">
        <v>27020</v>
      </c>
      <c r="M33" s="147">
        <v>27020</v>
      </c>
      <c r="N33" s="147">
        <v>27020</v>
      </c>
      <c r="O33" s="147">
        <v>27020</v>
      </c>
      <c r="P33" s="147">
        <v>27020</v>
      </c>
      <c r="Q33" s="147">
        <v>27020</v>
      </c>
      <c r="R33" s="147">
        <v>27020</v>
      </c>
      <c r="S33" s="147">
        <v>27020</v>
      </c>
      <c r="T33" s="147">
        <v>27020</v>
      </c>
      <c r="U33" s="147">
        <v>27020</v>
      </c>
      <c r="V33" s="147">
        <v>27020</v>
      </c>
      <c r="W33" s="147">
        <v>27020</v>
      </c>
      <c r="X33" s="147">
        <v>27020</v>
      </c>
      <c r="Y33" s="147">
        <v>27020</v>
      </c>
      <c r="Z33" s="147">
        <v>27020</v>
      </c>
      <c r="AA33" s="147">
        <v>27020</v>
      </c>
      <c r="AB33" s="147">
        <v>27020</v>
      </c>
      <c r="AC33" s="147">
        <v>27020</v>
      </c>
      <c r="AD33" s="147">
        <v>27020</v>
      </c>
      <c r="AE33" s="147">
        <v>27020</v>
      </c>
      <c r="AF33" s="147">
        <v>27020</v>
      </c>
      <c r="AG33" s="147">
        <v>27020</v>
      </c>
      <c r="AH33" s="147">
        <v>27020</v>
      </c>
      <c r="AI33" s="147">
        <v>27020</v>
      </c>
      <c r="AJ33" s="147">
        <f t="shared" si="0"/>
        <v>810600</v>
      </c>
    </row>
    <row r="34" spans="2:36">
      <c r="B34" s="122" t="str">
        <v>Pórtico 3 (MG-262)</v>
      </c>
      <c r="C34" s="149" t="str">
        <v>1</v>
      </c>
      <c r="D34" s="149" t="str">
        <v>1.8</v>
      </c>
      <c r="E34" s="122" t="str">
        <v>Iluminação e instalações elétricas</v>
      </c>
      <c r="F34" s="147">
        <v>110456.684055048</v>
      </c>
      <c r="G34" s="147">
        <v>113276.246255048</v>
      </c>
      <c r="H34" s="147">
        <v>122602.490455048</v>
      </c>
      <c r="I34" s="147">
        <v>131928.734655048</v>
      </c>
      <c r="J34" s="147">
        <v>136917.19085504799</v>
      </c>
      <c r="K34" s="147">
        <v>147761.66085504799</v>
      </c>
      <c r="L34" s="147">
        <v>154268.34285504802</v>
      </c>
      <c r="M34" s="147">
        <v>158606.13085504799</v>
      </c>
      <c r="N34" s="147">
        <v>158606.13085504799</v>
      </c>
      <c r="O34" s="147">
        <v>158606.13085504799</v>
      </c>
      <c r="P34" s="147">
        <v>158606.13085504799</v>
      </c>
      <c r="Q34" s="147">
        <v>158606.13085504799</v>
      </c>
      <c r="R34" s="147">
        <v>158606.13085504799</v>
      </c>
      <c r="S34" s="147">
        <v>158606.13085504799</v>
      </c>
      <c r="T34" s="147">
        <v>158606.13085504799</v>
      </c>
      <c r="U34" s="147">
        <v>158606.13085504799</v>
      </c>
      <c r="V34" s="147">
        <v>158606.13085504799</v>
      </c>
      <c r="W34" s="147">
        <v>158606.13085504799</v>
      </c>
      <c r="X34" s="147">
        <v>158606.13085504799</v>
      </c>
      <c r="Y34" s="147">
        <v>158606.13085504799</v>
      </c>
      <c r="Z34" s="147">
        <v>158606.13085504799</v>
      </c>
      <c r="AA34" s="147">
        <v>158606.13085504799</v>
      </c>
      <c r="AB34" s="147">
        <v>158606.13085504799</v>
      </c>
      <c r="AC34" s="147">
        <v>158606.13085504799</v>
      </c>
      <c r="AD34" s="147">
        <v>158606.13085504799</v>
      </c>
      <c r="AE34" s="147">
        <v>158606.13085504799</v>
      </c>
      <c r="AF34" s="147">
        <v>158606.13085504799</v>
      </c>
      <c r="AG34" s="147">
        <v>158606.13085504799</v>
      </c>
      <c r="AH34" s="147">
        <v>158606.13085504799</v>
      </c>
      <c r="AI34" s="147">
        <v>158606.13085504799</v>
      </c>
      <c r="AJ34" s="147">
        <f t="shared" si="0"/>
        <v>4565152.3596514417</v>
      </c>
    </row>
    <row r="35" spans="2:36">
      <c r="B35" s="122" t="str">
        <v>Pórtico 3 (MG-262)</v>
      </c>
      <c r="C35" s="149" t="str">
        <v>1</v>
      </c>
      <c r="D35" s="149" t="str">
        <v>1.9</v>
      </c>
      <c r="E35" s="122" t="str">
        <v>Administração local</v>
      </c>
      <c r="F35" s="147">
        <v>224408.7214019828</v>
      </c>
      <c r="G35" s="147">
        <v>224860.12333179856</v>
      </c>
      <c r="H35" s="147">
        <v>229567.39684925185</v>
      </c>
      <c r="I35" s="147">
        <v>234135.20834086798</v>
      </c>
      <c r="J35" s="147">
        <v>240428.97598107354</v>
      </c>
      <c r="K35" s="147">
        <v>239074.65039966395</v>
      </c>
      <c r="L35" s="147">
        <v>239566.60177958425</v>
      </c>
      <c r="M35" s="147">
        <v>239940.30786065664</v>
      </c>
      <c r="N35" s="147">
        <v>243082.65350876428</v>
      </c>
      <c r="O35" s="147">
        <v>243082.65350876428</v>
      </c>
      <c r="P35" s="147">
        <v>243082.65350876428</v>
      </c>
      <c r="Q35" s="147">
        <v>243082.65350876428</v>
      </c>
      <c r="R35" s="147">
        <v>243082.65350876428</v>
      </c>
      <c r="S35" s="147">
        <v>243082.65350876428</v>
      </c>
      <c r="T35" s="147">
        <v>255399.44424993164</v>
      </c>
      <c r="U35" s="147">
        <v>255399.44424993164</v>
      </c>
      <c r="V35" s="147">
        <v>255399.44424993164</v>
      </c>
      <c r="W35" s="147">
        <v>255399.44424993164</v>
      </c>
      <c r="X35" s="147">
        <v>255399.44424993164</v>
      </c>
      <c r="Y35" s="147">
        <v>255399.44424993164</v>
      </c>
      <c r="Z35" s="147">
        <v>255399.44424993164</v>
      </c>
      <c r="AA35" s="147">
        <v>255399.44424993164</v>
      </c>
      <c r="AB35" s="147">
        <v>255399.44424993164</v>
      </c>
      <c r="AC35" s="147">
        <v>255399.44424993164</v>
      </c>
      <c r="AD35" s="147">
        <v>255399.44424993164</v>
      </c>
      <c r="AE35" s="147">
        <v>255399.44424993164</v>
      </c>
      <c r="AF35" s="147">
        <v>255399.44424993164</v>
      </c>
      <c r="AG35" s="147">
        <v>255399.44424993164</v>
      </c>
      <c r="AH35" s="147">
        <v>255399.44424993164</v>
      </c>
      <c r="AI35" s="147">
        <v>255399.44424993164</v>
      </c>
      <c r="AJ35" s="147">
        <f t="shared" si="0"/>
        <v>7416869.0149963722</v>
      </c>
    </row>
    <row r="36" spans="2:36">
      <c r="B36" s="122" t="str">
        <v>Pórtico 3 (MG-262)</v>
      </c>
      <c r="C36" s="149" t="str">
        <v>1</v>
      </c>
      <c r="D36" s="149" t="str">
        <v>1.10</v>
      </c>
      <c r="E36" s="122" t="str">
        <v xml:space="preserve">Canteiro de obras </v>
      </c>
      <c r="F36" s="147">
        <v>14053.879522144376</v>
      </c>
      <c r="G36" s="147">
        <v>14082.149137951019</v>
      </c>
      <c r="H36" s="147">
        <v>14376.9480855087</v>
      </c>
      <c r="I36" s="147">
        <v>14663.013047609911</v>
      </c>
      <c r="J36" s="147">
        <v>15057.168192754099</v>
      </c>
      <c r="K36" s="147">
        <v>14972.351843211278</v>
      </c>
      <c r="L36" s="147">
        <v>15003.160919529519</v>
      </c>
      <c r="M36" s="147">
        <v>15026.564734707788</v>
      </c>
      <c r="N36" s="147">
        <v>15223.35809852867</v>
      </c>
      <c r="O36" s="147">
        <v>15223.35809852867</v>
      </c>
      <c r="P36" s="147">
        <v>15223.35809852867</v>
      </c>
      <c r="Q36" s="147">
        <v>15223.35809852867</v>
      </c>
      <c r="R36" s="147">
        <v>15223.35809852867</v>
      </c>
      <c r="S36" s="147">
        <v>15223.35809852867</v>
      </c>
      <c r="T36" s="147">
        <v>15994.712670197738</v>
      </c>
      <c r="U36" s="147">
        <v>15994.712670197738</v>
      </c>
      <c r="V36" s="147">
        <v>15994.712670197738</v>
      </c>
      <c r="W36" s="147">
        <v>15994.712670197738</v>
      </c>
      <c r="X36" s="147">
        <v>15994.712670197738</v>
      </c>
      <c r="Y36" s="147">
        <v>15994.712670197738</v>
      </c>
      <c r="Z36" s="147">
        <v>15994.712670197738</v>
      </c>
      <c r="AA36" s="147">
        <v>15994.712670197738</v>
      </c>
      <c r="AB36" s="147">
        <v>15994.712670197738</v>
      </c>
      <c r="AC36" s="147">
        <v>15994.712670197738</v>
      </c>
      <c r="AD36" s="147">
        <v>15994.712670197738</v>
      </c>
      <c r="AE36" s="147">
        <v>15994.712670197738</v>
      </c>
      <c r="AF36" s="147">
        <v>15994.712670197738</v>
      </c>
      <c r="AG36" s="147">
        <v>15994.712670197738</v>
      </c>
      <c r="AH36" s="147">
        <v>15994.712670197738</v>
      </c>
      <c r="AI36" s="147">
        <v>15994.712670197738</v>
      </c>
      <c r="AJ36" s="147">
        <f t="shared" si="0"/>
        <v>464490.7867977522</v>
      </c>
    </row>
    <row r="37" spans="2:36">
      <c r="B37" s="122" t="str">
        <v>Pórtico 3 (MG-262)</v>
      </c>
      <c r="C37" s="149" t="str">
        <v>1</v>
      </c>
      <c r="D37" s="149" t="str">
        <v>1.11</v>
      </c>
      <c r="E37" s="122" t="str">
        <v>Mobilização e desmobilização</v>
      </c>
      <c r="F37" s="147">
        <v>453.35095232723796</v>
      </c>
      <c r="G37" s="147">
        <v>454.26287541777486</v>
      </c>
      <c r="H37" s="147">
        <v>463.77251888737749</v>
      </c>
      <c r="I37" s="147">
        <v>473.00042089064237</v>
      </c>
      <c r="J37" s="147">
        <v>485.71510299206778</v>
      </c>
      <c r="K37" s="147">
        <v>482.97909171649286</v>
      </c>
      <c r="L37" s="147">
        <v>483.972932888049</v>
      </c>
      <c r="M37" s="147">
        <v>484.72789466799321</v>
      </c>
      <c r="N37" s="147">
        <v>491.07606769447329</v>
      </c>
      <c r="O37" s="147">
        <v>491.07606769447329</v>
      </c>
      <c r="P37" s="147">
        <v>491.07606769447329</v>
      </c>
      <c r="Q37" s="147">
        <v>491.07606769447329</v>
      </c>
      <c r="R37" s="147">
        <v>491.07606769447329</v>
      </c>
      <c r="S37" s="147">
        <v>491.07606769447329</v>
      </c>
      <c r="T37" s="147">
        <v>515.95847323218516</v>
      </c>
      <c r="U37" s="147">
        <v>515.95847323218516</v>
      </c>
      <c r="V37" s="147">
        <v>515.95847323218516</v>
      </c>
      <c r="W37" s="147">
        <v>515.95847323218516</v>
      </c>
      <c r="X37" s="147">
        <v>515.95847323218516</v>
      </c>
      <c r="Y37" s="147">
        <v>515.95847323218516</v>
      </c>
      <c r="Z37" s="147">
        <v>515.95847323218516</v>
      </c>
      <c r="AA37" s="147">
        <v>515.95847323218516</v>
      </c>
      <c r="AB37" s="147">
        <v>515.95847323218516</v>
      </c>
      <c r="AC37" s="147">
        <v>515.95847323218516</v>
      </c>
      <c r="AD37" s="147">
        <v>515.95847323218516</v>
      </c>
      <c r="AE37" s="147">
        <v>515.95847323218516</v>
      </c>
      <c r="AF37" s="147">
        <v>515.95847323218516</v>
      </c>
      <c r="AG37" s="147">
        <v>515.95847323218516</v>
      </c>
      <c r="AH37" s="147">
        <v>515.95847323218516</v>
      </c>
      <c r="AI37" s="147">
        <v>515.95847323218516</v>
      </c>
      <c r="AJ37" s="147">
        <f t="shared" si="0"/>
        <v>14983.573767669444</v>
      </c>
    </row>
    <row r="38" spans="2:36">
      <c r="B38" s="122" t="str">
        <v>Pórtico 3 (MG-262)</v>
      </c>
      <c r="C38" s="149" t="str">
        <v>2</v>
      </c>
      <c r="D38" s="149">
        <v>2</v>
      </c>
      <c r="E38" s="122" t="str">
        <v xml:space="preserve">Monitoração da rodovia </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0</v>
      </c>
      <c r="AJ38" s="147">
        <f t="shared" si="0"/>
        <v>0</v>
      </c>
    </row>
    <row r="39" spans="2:36">
      <c r="B39" s="122" t="str">
        <v>Pórtico 3 (MG-262)</v>
      </c>
      <c r="C39" s="149" t="str">
        <v>2</v>
      </c>
      <c r="D39" s="149" t="str">
        <v>2.1</v>
      </c>
      <c r="E39" s="122" t="str">
        <v xml:space="preserve">Pavimento </v>
      </c>
      <c r="F39" s="147">
        <v>375945.03606266668</v>
      </c>
      <c r="G39" s="147">
        <v>96673.426666666666</v>
      </c>
      <c r="H39" s="147">
        <v>96673.426666666666</v>
      </c>
      <c r="I39" s="147">
        <v>120420.86456266665</v>
      </c>
      <c r="J39" s="147">
        <v>96673.426666666666</v>
      </c>
      <c r="K39" s="147">
        <v>96673.426666666666</v>
      </c>
      <c r="L39" s="147">
        <v>96673.426666666666</v>
      </c>
      <c r="M39" s="147">
        <v>96673.426666666666</v>
      </c>
      <c r="N39" s="147">
        <v>120420.86456266665</v>
      </c>
      <c r="O39" s="147">
        <v>96673.426666666666</v>
      </c>
      <c r="P39" s="147">
        <v>96673.426666666666</v>
      </c>
      <c r="Q39" s="147">
        <v>96673.426666666666</v>
      </c>
      <c r="R39" s="147">
        <v>96673.426666666666</v>
      </c>
      <c r="S39" s="147">
        <v>120420.86456266665</v>
      </c>
      <c r="T39" s="147">
        <v>95305.437999999995</v>
      </c>
      <c r="U39" s="147">
        <v>95305.437999999995</v>
      </c>
      <c r="V39" s="147">
        <v>95305.437999999995</v>
      </c>
      <c r="W39" s="147">
        <v>95305.437999999995</v>
      </c>
      <c r="X39" s="147">
        <v>121075.32252999999</v>
      </c>
      <c r="Y39" s="147">
        <v>95305.437999999995</v>
      </c>
      <c r="Z39" s="147">
        <v>95305.437999999995</v>
      </c>
      <c r="AA39" s="147">
        <v>95305.437999999995</v>
      </c>
      <c r="AB39" s="147">
        <v>95305.437999999995</v>
      </c>
      <c r="AC39" s="147">
        <v>121075.32252999999</v>
      </c>
      <c r="AD39" s="147">
        <v>95305.437999999995</v>
      </c>
      <c r="AE39" s="147">
        <v>95305.437999999995</v>
      </c>
      <c r="AF39" s="147">
        <v>95305.437999999995</v>
      </c>
      <c r="AG39" s="147">
        <v>95305.437999999995</v>
      </c>
      <c r="AH39" s="147">
        <v>121075.32252999999</v>
      </c>
      <c r="AI39" s="147">
        <v>95305.437999999995</v>
      </c>
      <c r="AJ39" s="147">
        <f t="shared" si="0"/>
        <v>3306138.5580073348</v>
      </c>
    </row>
    <row r="40" spans="2:36">
      <c r="B40" s="122" t="str">
        <v>Pórtico 3 (MG-262)</v>
      </c>
      <c r="C40" s="149" t="str">
        <v>2</v>
      </c>
      <c r="D40" s="149" t="str">
        <v>2.2</v>
      </c>
      <c r="E40" s="122" t="str">
        <v>Elementos de proteção e segurança</v>
      </c>
      <c r="F40" s="147">
        <v>96572.914110399986</v>
      </c>
      <c r="G40" s="147">
        <v>96572.914110399986</v>
      </c>
      <c r="H40" s="147">
        <v>71242.313687999995</v>
      </c>
      <c r="I40" s="147">
        <v>96572.914110399986</v>
      </c>
      <c r="J40" s="147">
        <v>71242.313687999995</v>
      </c>
      <c r="K40" s="147">
        <v>96572.914110399986</v>
      </c>
      <c r="L40" s="147">
        <v>71242.313687999995</v>
      </c>
      <c r="M40" s="147">
        <v>96572.914110399986</v>
      </c>
      <c r="N40" s="147">
        <v>71242.313687999995</v>
      </c>
      <c r="O40" s="147">
        <v>96572.914110399986</v>
      </c>
      <c r="P40" s="147">
        <v>71242.313687999995</v>
      </c>
      <c r="Q40" s="147">
        <v>96572.914110399986</v>
      </c>
      <c r="R40" s="147">
        <v>71242.313687999995</v>
      </c>
      <c r="S40" s="147">
        <v>96572.914110399986</v>
      </c>
      <c r="T40" s="147">
        <v>75287.20695599998</v>
      </c>
      <c r="U40" s="147">
        <v>100617.80737839997</v>
      </c>
      <c r="V40" s="147">
        <v>75287.20695599998</v>
      </c>
      <c r="W40" s="147">
        <v>100617.80737839997</v>
      </c>
      <c r="X40" s="147">
        <v>75287.20695599998</v>
      </c>
      <c r="Y40" s="147">
        <v>100617.80737839997</v>
      </c>
      <c r="Z40" s="147">
        <v>75287.20695599998</v>
      </c>
      <c r="AA40" s="147">
        <v>100617.80737839997</v>
      </c>
      <c r="AB40" s="147">
        <v>75287.20695599998</v>
      </c>
      <c r="AC40" s="147">
        <v>100617.80737839997</v>
      </c>
      <c r="AD40" s="147">
        <v>75287.20695599998</v>
      </c>
      <c r="AE40" s="147">
        <v>100617.80737839997</v>
      </c>
      <c r="AF40" s="147">
        <v>75287.20695599998</v>
      </c>
      <c r="AG40" s="147">
        <v>100617.80737839997</v>
      </c>
      <c r="AH40" s="147">
        <v>75287.20695599998</v>
      </c>
      <c r="AI40" s="147">
        <v>100617.80737839997</v>
      </c>
      <c r="AJ40" s="147">
        <f t="shared" si="0"/>
        <v>2607277.3096864</v>
      </c>
    </row>
    <row r="41" spans="2:36">
      <c r="B41" s="122" t="str">
        <v>Pórtico 3 (MG-262)</v>
      </c>
      <c r="C41" s="149" t="str">
        <v>2</v>
      </c>
      <c r="D41" s="149" t="str">
        <v>2.3</v>
      </c>
      <c r="E41" s="122" t="str">
        <v xml:space="preserve">Obras-de-arte especiais </v>
      </c>
      <c r="F41" s="147">
        <v>47951.557289999997</v>
      </c>
      <c r="G41" s="147">
        <v>42623.606480000002</v>
      </c>
      <c r="H41" s="147">
        <v>42623.606480000002</v>
      </c>
      <c r="I41" s="147">
        <v>42623.606480000002</v>
      </c>
      <c r="J41" s="147">
        <v>42623.606480000002</v>
      </c>
      <c r="K41" s="147">
        <v>42623.606480000002</v>
      </c>
      <c r="L41" s="147">
        <v>42623.606480000002</v>
      </c>
      <c r="M41" s="147">
        <v>42623.606480000002</v>
      </c>
      <c r="N41" s="147">
        <v>42623.606480000002</v>
      </c>
      <c r="O41" s="147">
        <v>42623.606480000002</v>
      </c>
      <c r="P41" s="147">
        <v>42623.606480000002</v>
      </c>
      <c r="Q41" s="147">
        <v>42623.606480000002</v>
      </c>
      <c r="R41" s="147">
        <v>42623.606480000002</v>
      </c>
      <c r="S41" s="147">
        <v>42623.606480000002</v>
      </c>
      <c r="T41" s="147">
        <v>42623.606480000002</v>
      </c>
      <c r="U41" s="147">
        <v>42623.606480000002</v>
      </c>
      <c r="V41" s="147">
        <v>42623.606480000002</v>
      </c>
      <c r="W41" s="147">
        <v>42623.606480000002</v>
      </c>
      <c r="X41" s="147">
        <v>42623.606480000002</v>
      </c>
      <c r="Y41" s="147">
        <v>42623.606480000002</v>
      </c>
      <c r="Z41" s="147">
        <v>42623.606480000002</v>
      </c>
      <c r="AA41" s="147">
        <v>42623.606480000002</v>
      </c>
      <c r="AB41" s="147">
        <v>42623.606480000002</v>
      </c>
      <c r="AC41" s="147">
        <v>42623.606480000002</v>
      </c>
      <c r="AD41" s="147">
        <v>42623.606480000002</v>
      </c>
      <c r="AE41" s="147">
        <v>42623.606480000002</v>
      </c>
      <c r="AF41" s="147">
        <v>42623.606480000002</v>
      </c>
      <c r="AG41" s="147">
        <v>42623.606480000002</v>
      </c>
      <c r="AH41" s="147">
        <v>42623.606480000002</v>
      </c>
      <c r="AI41" s="147">
        <v>42623.606480000002</v>
      </c>
      <c r="AJ41" s="147">
        <f t="shared" si="0"/>
        <v>1284036.14521</v>
      </c>
    </row>
    <row r="42" spans="2:36">
      <c r="B42" s="122" t="str">
        <v>Pórtico 3 (MG-262)</v>
      </c>
      <c r="C42" s="149" t="str">
        <v>2</v>
      </c>
      <c r="D42" s="149" t="str">
        <v>2.4</v>
      </c>
      <c r="E42" s="122" t="str">
        <v xml:space="preserve">Sistema de drenagem e obras-de-arte correntes </v>
      </c>
      <c r="F42" s="147">
        <v>55410.688423999993</v>
      </c>
      <c r="G42" s="147">
        <v>55410.688423999993</v>
      </c>
      <c r="H42" s="147">
        <v>55410.688423999993</v>
      </c>
      <c r="I42" s="147">
        <v>55410.688423999993</v>
      </c>
      <c r="J42" s="147">
        <v>55410.688423999993</v>
      </c>
      <c r="K42" s="147">
        <v>55410.688423999993</v>
      </c>
      <c r="L42" s="147">
        <v>55410.688423999993</v>
      </c>
      <c r="M42" s="147">
        <v>55410.688423999993</v>
      </c>
      <c r="N42" s="147">
        <v>55410.688423999993</v>
      </c>
      <c r="O42" s="147">
        <v>55410.688423999993</v>
      </c>
      <c r="P42" s="147">
        <v>55410.688423999993</v>
      </c>
      <c r="Q42" s="147">
        <v>55410.688423999993</v>
      </c>
      <c r="R42" s="147">
        <v>55410.688423999993</v>
      </c>
      <c r="S42" s="147">
        <v>55410.688423999993</v>
      </c>
      <c r="T42" s="147">
        <v>55410.688423999993</v>
      </c>
      <c r="U42" s="147">
        <v>55410.688423999993</v>
      </c>
      <c r="V42" s="147">
        <v>55410.688423999993</v>
      </c>
      <c r="W42" s="147">
        <v>55410.688423999993</v>
      </c>
      <c r="X42" s="147">
        <v>55410.688423999993</v>
      </c>
      <c r="Y42" s="147">
        <v>55410.688423999993</v>
      </c>
      <c r="Z42" s="147">
        <v>55410.688423999993</v>
      </c>
      <c r="AA42" s="147">
        <v>55410.688423999993</v>
      </c>
      <c r="AB42" s="147">
        <v>55410.688423999993</v>
      </c>
      <c r="AC42" s="147">
        <v>55410.688423999993</v>
      </c>
      <c r="AD42" s="147">
        <v>55410.688423999993</v>
      </c>
      <c r="AE42" s="147">
        <v>55410.688423999993</v>
      </c>
      <c r="AF42" s="147">
        <v>55410.688423999993</v>
      </c>
      <c r="AG42" s="147">
        <v>55410.688423999993</v>
      </c>
      <c r="AH42" s="147">
        <v>55410.688423999993</v>
      </c>
      <c r="AI42" s="147">
        <v>55410.688423999993</v>
      </c>
      <c r="AJ42" s="147">
        <f t="shared" si="0"/>
        <v>1662320.6527200008</v>
      </c>
    </row>
    <row r="43" spans="2:36">
      <c r="B43" s="122" t="str">
        <v>Pórtico 3 (MG-262)</v>
      </c>
      <c r="C43" s="149" t="str">
        <v>2</v>
      </c>
      <c r="D43" s="149" t="str">
        <v>2.5</v>
      </c>
      <c r="E43" s="122" t="str">
        <v xml:space="preserve">Terraplenos e estruturas de contenção </v>
      </c>
      <c r="F43" s="147">
        <v>23747.437895999996</v>
      </c>
      <c r="G43" s="147">
        <v>23747.437895999996</v>
      </c>
      <c r="H43" s="147">
        <v>23747.437895999996</v>
      </c>
      <c r="I43" s="147">
        <v>23747.437895999996</v>
      </c>
      <c r="J43" s="147">
        <v>23747.437895999996</v>
      </c>
      <c r="K43" s="147">
        <v>23747.437895999996</v>
      </c>
      <c r="L43" s="147">
        <v>23747.437895999996</v>
      </c>
      <c r="M43" s="147">
        <v>23747.437895999996</v>
      </c>
      <c r="N43" s="147">
        <v>23747.437895999996</v>
      </c>
      <c r="O43" s="147">
        <v>23747.437895999996</v>
      </c>
      <c r="P43" s="147">
        <v>23747.437895999996</v>
      </c>
      <c r="Q43" s="147">
        <v>23747.437895999996</v>
      </c>
      <c r="R43" s="147">
        <v>23747.437895999996</v>
      </c>
      <c r="S43" s="147">
        <v>23747.437895999996</v>
      </c>
      <c r="T43" s="147">
        <v>21724.991261999996</v>
      </c>
      <c r="U43" s="147">
        <v>21724.991261999996</v>
      </c>
      <c r="V43" s="147">
        <v>21724.991261999996</v>
      </c>
      <c r="W43" s="147">
        <v>21724.991261999996</v>
      </c>
      <c r="X43" s="147">
        <v>21724.991261999996</v>
      </c>
      <c r="Y43" s="147">
        <v>21724.991261999996</v>
      </c>
      <c r="Z43" s="147">
        <v>21724.991261999996</v>
      </c>
      <c r="AA43" s="147">
        <v>21724.991261999996</v>
      </c>
      <c r="AB43" s="147">
        <v>21724.991261999996</v>
      </c>
      <c r="AC43" s="147">
        <v>21724.991261999996</v>
      </c>
      <c r="AD43" s="147">
        <v>21724.991261999996</v>
      </c>
      <c r="AE43" s="147">
        <v>21724.991261999996</v>
      </c>
      <c r="AF43" s="147">
        <v>21724.991261999996</v>
      </c>
      <c r="AG43" s="147">
        <v>21724.991261999996</v>
      </c>
      <c r="AH43" s="147">
        <v>21724.991261999996</v>
      </c>
      <c r="AI43" s="147">
        <v>21724.991261999996</v>
      </c>
      <c r="AJ43" s="147">
        <f t="shared" si="0"/>
        <v>680063.99073600024</v>
      </c>
    </row>
    <row r="44" spans="2:36">
      <c r="B44" s="122" t="str">
        <v>Pórtico 3 (MG-262)</v>
      </c>
      <c r="C44" s="149" t="str">
        <v>2</v>
      </c>
      <c r="D44" s="149" t="str">
        <v>2.6</v>
      </c>
      <c r="E44" s="122" t="str">
        <v>Canteiro central e faixa de domínio</v>
      </c>
      <c r="F44" s="147">
        <v>15831.625263999998</v>
      </c>
      <c r="G44" s="147">
        <v>15831.625263999998</v>
      </c>
      <c r="H44" s="147">
        <v>15831.625263999998</v>
      </c>
      <c r="I44" s="147">
        <v>15831.625263999998</v>
      </c>
      <c r="J44" s="147">
        <v>15831.625263999998</v>
      </c>
      <c r="K44" s="147">
        <v>15831.625263999998</v>
      </c>
      <c r="L44" s="147">
        <v>15831.625263999998</v>
      </c>
      <c r="M44" s="147">
        <v>15831.625263999998</v>
      </c>
      <c r="N44" s="147">
        <v>15831.625263999998</v>
      </c>
      <c r="O44" s="147">
        <v>15831.625263999998</v>
      </c>
      <c r="P44" s="147">
        <v>15831.625263999998</v>
      </c>
      <c r="Q44" s="147">
        <v>15831.625263999998</v>
      </c>
      <c r="R44" s="147">
        <v>15831.625263999998</v>
      </c>
      <c r="S44" s="147">
        <v>15831.625263999998</v>
      </c>
      <c r="T44" s="147">
        <v>15831.625263999998</v>
      </c>
      <c r="U44" s="147">
        <v>15831.625263999998</v>
      </c>
      <c r="V44" s="147">
        <v>15831.625263999998</v>
      </c>
      <c r="W44" s="147">
        <v>15831.625263999998</v>
      </c>
      <c r="X44" s="147">
        <v>15831.625263999998</v>
      </c>
      <c r="Y44" s="147">
        <v>15831.625263999998</v>
      </c>
      <c r="Z44" s="147">
        <v>15831.625263999998</v>
      </c>
      <c r="AA44" s="147">
        <v>15831.625263999998</v>
      </c>
      <c r="AB44" s="147">
        <v>15831.625263999998</v>
      </c>
      <c r="AC44" s="147">
        <v>15831.625263999998</v>
      </c>
      <c r="AD44" s="147">
        <v>15831.625263999998</v>
      </c>
      <c r="AE44" s="147">
        <v>15831.625263999998</v>
      </c>
      <c r="AF44" s="147">
        <v>15831.625263999998</v>
      </c>
      <c r="AG44" s="147">
        <v>15831.625263999998</v>
      </c>
      <c r="AH44" s="147">
        <v>15831.625263999998</v>
      </c>
      <c r="AI44" s="147">
        <v>15831.625263999998</v>
      </c>
      <c r="AJ44" s="147">
        <f t="shared" si="0"/>
        <v>474948.75791999965</v>
      </c>
    </row>
    <row r="45" spans="2:36">
      <c r="B45" s="122" t="str">
        <v>Pórtico 3 (MG-262)</v>
      </c>
      <c r="C45" s="149" t="str">
        <v>2</v>
      </c>
      <c r="D45" s="149" t="str">
        <v>2.7</v>
      </c>
      <c r="E45" s="122" t="str">
        <v>Edificações e instalações operacionais</v>
      </c>
      <c r="F45" s="147">
        <v>81425.645000000004</v>
      </c>
      <c r="G45" s="147">
        <v>48805.538</v>
      </c>
      <c r="H45" s="147">
        <v>92299.013999999996</v>
      </c>
      <c r="I45" s="147">
        <v>48805.538</v>
      </c>
      <c r="J45" s="147">
        <v>92299.013999999996</v>
      </c>
      <c r="K45" s="147">
        <v>48805.538</v>
      </c>
      <c r="L45" s="147">
        <v>92299.013999999996</v>
      </c>
      <c r="M45" s="147">
        <v>48805.538</v>
      </c>
      <c r="N45" s="147">
        <v>92299.013999999996</v>
      </c>
      <c r="O45" s="147">
        <v>48805.538</v>
      </c>
      <c r="P45" s="147">
        <v>92299.013999999996</v>
      </c>
      <c r="Q45" s="147">
        <v>48805.538</v>
      </c>
      <c r="R45" s="147">
        <v>92299.013999999996</v>
      </c>
      <c r="S45" s="147">
        <v>48805.538</v>
      </c>
      <c r="T45" s="147">
        <v>92299.013999999996</v>
      </c>
      <c r="U45" s="147">
        <v>48805.538</v>
      </c>
      <c r="V45" s="147">
        <v>92299.013999999996</v>
      </c>
      <c r="W45" s="147">
        <v>48805.538</v>
      </c>
      <c r="X45" s="147">
        <v>92299.013999999996</v>
      </c>
      <c r="Y45" s="147">
        <v>48805.538</v>
      </c>
      <c r="Z45" s="147">
        <v>92299.013999999996</v>
      </c>
      <c r="AA45" s="147">
        <v>48805.538</v>
      </c>
      <c r="AB45" s="147">
        <v>92299.013999999996</v>
      </c>
      <c r="AC45" s="147">
        <v>48805.538</v>
      </c>
      <c r="AD45" s="147">
        <v>92299.013999999996</v>
      </c>
      <c r="AE45" s="147">
        <v>48805.538</v>
      </c>
      <c r="AF45" s="147">
        <v>92299.013999999996</v>
      </c>
      <c r="AG45" s="147">
        <v>48805.538</v>
      </c>
      <c r="AH45" s="147">
        <v>92299.013999999996</v>
      </c>
      <c r="AI45" s="147">
        <v>48805.538</v>
      </c>
      <c r="AJ45" s="147">
        <f t="shared" si="0"/>
        <v>2105694.9109999989</v>
      </c>
    </row>
    <row r="46" spans="2:36">
      <c r="B46" s="122" t="str">
        <v>Pórtico 3 (MG-262)</v>
      </c>
      <c r="C46" s="149" t="str">
        <v>2</v>
      </c>
      <c r="D46" s="149" t="str">
        <v>2.8</v>
      </c>
      <c r="E46" s="122" t="str">
        <v>Sistemas elétricos e de iluminação</v>
      </c>
      <c r="F46" s="147">
        <v>35621.156843999997</v>
      </c>
      <c r="G46" s="147">
        <v>35621.156843999997</v>
      </c>
      <c r="H46" s="147">
        <v>35621.156843999997</v>
      </c>
      <c r="I46" s="147">
        <v>35621.156843999997</v>
      </c>
      <c r="J46" s="147">
        <v>35621.156843999997</v>
      </c>
      <c r="K46" s="147">
        <v>35621.156843999997</v>
      </c>
      <c r="L46" s="147">
        <v>35621.156843999997</v>
      </c>
      <c r="M46" s="147">
        <v>35621.156843999997</v>
      </c>
      <c r="N46" s="147">
        <v>35621.156843999997</v>
      </c>
      <c r="O46" s="147">
        <v>35621.156843999997</v>
      </c>
      <c r="P46" s="147">
        <v>35621.156843999997</v>
      </c>
      <c r="Q46" s="147">
        <v>35621.156843999997</v>
      </c>
      <c r="R46" s="147">
        <v>35621.156843999997</v>
      </c>
      <c r="S46" s="147">
        <v>35621.156843999997</v>
      </c>
      <c r="T46" s="147">
        <v>35621.156843999997</v>
      </c>
      <c r="U46" s="147">
        <v>35621.156843999997</v>
      </c>
      <c r="V46" s="147">
        <v>35621.156843999997</v>
      </c>
      <c r="W46" s="147">
        <v>35621.156843999997</v>
      </c>
      <c r="X46" s="147">
        <v>35621.156843999997</v>
      </c>
      <c r="Y46" s="147">
        <v>35621.156843999997</v>
      </c>
      <c r="Z46" s="147">
        <v>35621.156843999997</v>
      </c>
      <c r="AA46" s="147">
        <v>35621.156843999997</v>
      </c>
      <c r="AB46" s="147">
        <v>35621.156843999997</v>
      </c>
      <c r="AC46" s="147">
        <v>35621.156843999997</v>
      </c>
      <c r="AD46" s="147">
        <v>35621.156843999997</v>
      </c>
      <c r="AE46" s="147">
        <v>35621.156843999997</v>
      </c>
      <c r="AF46" s="147">
        <v>35621.156843999997</v>
      </c>
      <c r="AG46" s="147">
        <v>35621.156843999997</v>
      </c>
      <c r="AH46" s="147">
        <v>35621.156843999997</v>
      </c>
      <c r="AI46" s="147">
        <v>35621.156843999997</v>
      </c>
      <c r="AJ46" s="147">
        <f t="shared" si="0"/>
        <v>1068634.7053199997</v>
      </c>
    </row>
    <row r="47" spans="2:36">
      <c r="B47" s="122" t="str">
        <v>Pórtico 4 (MG-329)</v>
      </c>
      <c r="C47" s="149" t="str">
        <v>1</v>
      </c>
      <c r="D47" s="149">
        <v>1</v>
      </c>
      <c r="E47" s="122" t="str">
        <v xml:space="preserve">Conservação da rodovia </v>
      </c>
      <c r="F47" s="147">
        <v>0</v>
      </c>
      <c r="G47" s="147">
        <v>0</v>
      </c>
      <c r="H47" s="147">
        <v>0</v>
      </c>
      <c r="I47" s="147">
        <v>0</v>
      </c>
      <c r="J47" s="147">
        <v>0</v>
      </c>
      <c r="K47" s="147">
        <v>0</v>
      </c>
      <c r="L47" s="147">
        <v>0</v>
      </c>
      <c r="M47" s="147">
        <v>0</v>
      </c>
      <c r="N47" s="147">
        <v>0</v>
      </c>
      <c r="O47" s="147">
        <v>0</v>
      </c>
      <c r="P47" s="147">
        <v>0</v>
      </c>
      <c r="Q47" s="147">
        <v>0</v>
      </c>
      <c r="R47" s="147">
        <v>0</v>
      </c>
      <c r="S47" s="147">
        <v>0</v>
      </c>
      <c r="T47" s="147">
        <v>0</v>
      </c>
      <c r="U47" s="147">
        <v>0</v>
      </c>
      <c r="V47" s="147">
        <v>0</v>
      </c>
      <c r="W47" s="147">
        <v>0</v>
      </c>
      <c r="X47" s="147">
        <v>0</v>
      </c>
      <c r="Y47" s="147">
        <v>0</v>
      </c>
      <c r="Z47" s="147">
        <v>0</v>
      </c>
      <c r="AA47" s="147">
        <v>0</v>
      </c>
      <c r="AB47" s="147">
        <v>0</v>
      </c>
      <c r="AC47" s="147">
        <v>0</v>
      </c>
      <c r="AD47" s="147">
        <v>0</v>
      </c>
      <c r="AE47" s="147">
        <v>0</v>
      </c>
      <c r="AF47" s="147">
        <v>0</v>
      </c>
      <c r="AG47" s="147">
        <v>0</v>
      </c>
      <c r="AH47" s="147">
        <v>0</v>
      </c>
      <c r="AI47" s="147">
        <v>0</v>
      </c>
      <c r="AJ47" s="147">
        <f t="shared" si="0"/>
        <v>0</v>
      </c>
    </row>
    <row r="48" spans="2:36">
      <c r="B48" s="122" t="str">
        <v>Pórtico 4 (MG-329)</v>
      </c>
      <c r="C48" s="149" t="str">
        <v>1</v>
      </c>
      <c r="D48" s="149" t="str">
        <v>1.1</v>
      </c>
      <c r="E48" s="122" t="str">
        <v>Pavimento</v>
      </c>
      <c r="F48" s="147">
        <v>1047120.3114528001</v>
      </c>
      <c r="G48" s="147">
        <v>1047120.3114528001</v>
      </c>
      <c r="H48" s="147">
        <v>1047120.3114528001</v>
      </c>
      <c r="I48" s="147">
        <v>1047120.3114528001</v>
      </c>
      <c r="J48" s="147">
        <v>1219638.515707352</v>
      </c>
      <c r="K48" s="147">
        <v>1219638.515707352</v>
      </c>
      <c r="L48" s="147">
        <v>1219638.515707352</v>
      </c>
      <c r="M48" s="147">
        <v>1219638.515707352</v>
      </c>
      <c r="N48" s="147">
        <v>1219638.515707352</v>
      </c>
      <c r="O48" s="147">
        <v>1219638.515707352</v>
      </c>
      <c r="P48" s="147">
        <v>1219638.515707352</v>
      </c>
      <c r="Q48" s="147">
        <v>1219638.515707352</v>
      </c>
      <c r="R48" s="147">
        <v>1219638.515707352</v>
      </c>
      <c r="S48" s="147">
        <v>1219638.515707352</v>
      </c>
      <c r="T48" s="147">
        <v>1238117.1094388722</v>
      </c>
      <c r="U48" s="147">
        <v>1745200.5190880001</v>
      </c>
      <c r="V48" s="147">
        <v>1745200.5190880001</v>
      </c>
      <c r="W48" s="147">
        <v>1745200.5190880001</v>
      </c>
      <c r="X48" s="147">
        <v>1745200.5190880001</v>
      </c>
      <c r="Y48" s="147">
        <v>1745200.5190880001</v>
      </c>
      <c r="Z48" s="147">
        <v>1745200.5190880001</v>
      </c>
      <c r="AA48" s="147">
        <v>1745200.5190880001</v>
      </c>
      <c r="AB48" s="147">
        <v>1745200.5190880001</v>
      </c>
      <c r="AC48" s="147">
        <v>1745200.5190880001</v>
      </c>
      <c r="AD48" s="147">
        <v>1745200.5190880001</v>
      </c>
      <c r="AE48" s="147">
        <v>1745200.5190880001</v>
      </c>
      <c r="AF48" s="147">
        <v>1745200.5190880001</v>
      </c>
      <c r="AG48" s="147">
        <v>1745200.5190880001</v>
      </c>
      <c r="AH48" s="147">
        <v>1745200.5190880001</v>
      </c>
      <c r="AI48" s="147">
        <v>1745200.5190880001</v>
      </c>
      <c r="AJ48" s="147">
        <f t="shared" si="0"/>
        <v>43800991.298643589</v>
      </c>
    </row>
    <row r="49" spans="2:36">
      <c r="B49" s="122" t="str">
        <v>Pórtico 4 (MG-329)</v>
      </c>
      <c r="C49" s="149" t="str">
        <v>1</v>
      </c>
      <c r="D49" s="149" t="str">
        <v>1.2</v>
      </c>
      <c r="E49" s="122" t="str">
        <v>Elementos de proteção e segurança</v>
      </c>
      <c r="F49" s="147">
        <v>581282.12291314709</v>
      </c>
      <c r="G49" s="147">
        <v>591289.92121314711</v>
      </c>
      <c r="H49" s="147">
        <v>623241.31951314711</v>
      </c>
      <c r="I49" s="147">
        <v>970083.11535279511</v>
      </c>
      <c r="J49" s="147">
        <v>1053142.9564527953</v>
      </c>
      <c r="K49" s="147">
        <v>1037903.2572527954</v>
      </c>
      <c r="L49" s="147">
        <v>1037903.2572527954</v>
      </c>
      <c r="M49" s="147">
        <v>1037903.2572527954</v>
      </c>
      <c r="N49" s="147">
        <v>1037903.2572527954</v>
      </c>
      <c r="O49" s="147">
        <v>1037903.2572527954</v>
      </c>
      <c r="P49" s="147">
        <v>1037903.2572527954</v>
      </c>
      <c r="Q49" s="147">
        <v>1037903.2572527954</v>
      </c>
      <c r="R49" s="147">
        <v>1037903.2572527954</v>
      </c>
      <c r="S49" s="147">
        <v>1037903.2572527954</v>
      </c>
      <c r="T49" s="147">
        <v>1045589.3580527953</v>
      </c>
      <c r="U49" s="147">
        <v>1196479.8336527953</v>
      </c>
      <c r="V49" s="147">
        <v>1196479.8336527953</v>
      </c>
      <c r="W49" s="147">
        <v>1196479.8336527953</v>
      </c>
      <c r="X49" s="147">
        <v>1196479.8336527953</v>
      </c>
      <c r="Y49" s="147">
        <v>1196479.8336527953</v>
      </c>
      <c r="Z49" s="147">
        <v>1196479.8336527953</v>
      </c>
      <c r="AA49" s="147">
        <v>1196479.8336527953</v>
      </c>
      <c r="AB49" s="147">
        <v>1196479.8336527953</v>
      </c>
      <c r="AC49" s="147">
        <v>1196479.8336527953</v>
      </c>
      <c r="AD49" s="147">
        <v>1196479.8336527953</v>
      </c>
      <c r="AE49" s="147">
        <v>1196479.8336527953</v>
      </c>
      <c r="AF49" s="147">
        <v>1196479.8336527953</v>
      </c>
      <c r="AG49" s="147">
        <v>1196479.8336527953</v>
      </c>
      <c r="AH49" s="147">
        <v>1196479.8336527953</v>
      </c>
      <c r="AI49" s="147">
        <v>1196479.8336527953</v>
      </c>
      <c r="AJ49" s="147">
        <f t="shared" si="0"/>
        <v>32152955.613564905</v>
      </c>
    </row>
    <row r="50" spans="2:36">
      <c r="B50" s="122" t="str">
        <v>Pórtico 4 (MG-329)</v>
      </c>
      <c r="C50" s="149" t="str">
        <v>1</v>
      </c>
      <c r="D50" s="149" t="str">
        <v>1.3</v>
      </c>
      <c r="E50" s="122" t="str">
        <v>Obras de arte especiais</v>
      </c>
      <c r="F50" s="147">
        <v>7710.51883404</v>
      </c>
      <c r="G50" s="147">
        <v>16719.893068665002</v>
      </c>
      <c r="H50" s="147">
        <v>16719.893068665002</v>
      </c>
      <c r="I50" s="147">
        <v>16719.893068665002</v>
      </c>
      <c r="J50" s="147">
        <v>25489.640758625006</v>
      </c>
      <c r="K50" s="147">
        <v>25224.322408625005</v>
      </c>
      <c r="L50" s="147">
        <v>25224.322408625005</v>
      </c>
      <c r="M50" s="147">
        <v>25224.322408625005</v>
      </c>
      <c r="N50" s="147">
        <v>25224.322408625005</v>
      </c>
      <c r="O50" s="147">
        <v>25224.322408625005</v>
      </c>
      <c r="P50" s="147">
        <v>25224.322408625005</v>
      </c>
      <c r="Q50" s="147">
        <v>25224.322408625005</v>
      </c>
      <c r="R50" s="147">
        <v>25224.322408625005</v>
      </c>
      <c r="S50" s="147">
        <v>25224.322408625005</v>
      </c>
      <c r="T50" s="147">
        <v>25224.322408625005</v>
      </c>
      <c r="U50" s="147">
        <v>25224.322408625005</v>
      </c>
      <c r="V50" s="147">
        <v>25224.322408625005</v>
      </c>
      <c r="W50" s="147">
        <v>25224.322408625005</v>
      </c>
      <c r="X50" s="147">
        <v>25224.322408625005</v>
      </c>
      <c r="Y50" s="147">
        <v>25224.322408625005</v>
      </c>
      <c r="Z50" s="147">
        <v>25224.322408625005</v>
      </c>
      <c r="AA50" s="147">
        <v>25224.322408625005</v>
      </c>
      <c r="AB50" s="147">
        <v>25224.322408625005</v>
      </c>
      <c r="AC50" s="147">
        <v>25224.322408625005</v>
      </c>
      <c r="AD50" s="147">
        <v>25224.322408625005</v>
      </c>
      <c r="AE50" s="147">
        <v>25224.322408625005</v>
      </c>
      <c r="AF50" s="147">
        <v>25224.322408625005</v>
      </c>
      <c r="AG50" s="147">
        <v>25224.322408625005</v>
      </c>
      <c r="AH50" s="147">
        <v>25224.322408625005</v>
      </c>
      <c r="AI50" s="147">
        <v>25224.322408625005</v>
      </c>
      <c r="AJ50" s="147">
        <f t="shared" si="0"/>
        <v>713967.89901428518</v>
      </c>
    </row>
    <row r="51" spans="2:36">
      <c r="B51" s="122" t="str">
        <v>Pórtico 4 (MG-329)</v>
      </c>
      <c r="C51" s="149" t="str">
        <v>1</v>
      </c>
      <c r="D51" s="149" t="str">
        <v>1.4</v>
      </c>
      <c r="E51" s="122" t="str">
        <v>Drenagem e obras de arte correntes</v>
      </c>
      <c r="F51" s="147">
        <v>13436.582053157897</v>
      </c>
      <c r="G51" s="147">
        <v>15144.324039868423</v>
      </c>
      <c r="H51" s="147">
        <v>16852.066026578948</v>
      </c>
      <c r="I51" s="147">
        <v>241793.92558440194</v>
      </c>
      <c r="J51" s="147">
        <v>243501.66757111246</v>
      </c>
      <c r="K51" s="147">
        <v>243501.66757111246</v>
      </c>
      <c r="L51" s="147">
        <v>243501.66757111246</v>
      </c>
      <c r="M51" s="147">
        <v>243501.66757111246</v>
      </c>
      <c r="N51" s="147">
        <v>243501.66757111246</v>
      </c>
      <c r="O51" s="147">
        <v>243501.66757111246</v>
      </c>
      <c r="P51" s="147">
        <v>243501.66757111246</v>
      </c>
      <c r="Q51" s="147">
        <v>243501.66757111246</v>
      </c>
      <c r="R51" s="147">
        <v>243501.66757111246</v>
      </c>
      <c r="S51" s="147">
        <v>243501.66757111246</v>
      </c>
      <c r="T51" s="147">
        <v>243501.66757111246</v>
      </c>
      <c r="U51" s="147">
        <v>243501.66757111246</v>
      </c>
      <c r="V51" s="147">
        <v>243501.66757111246</v>
      </c>
      <c r="W51" s="147">
        <v>243501.66757111246</v>
      </c>
      <c r="X51" s="147">
        <v>243501.66757111246</v>
      </c>
      <c r="Y51" s="147">
        <v>243501.66757111246</v>
      </c>
      <c r="Z51" s="147">
        <v>243501.66757111246</v>
      </c>
      <c r="AA51" s="147">
        <v>243501.66757111246</v>
      </c>
      <c r="AB51" s="147">
        <v>243501.66757111246</v>
      </c>
      <c r="AC51" s="147">
        <v>243501.66757111246</v>
      </c>
      <c r="AD51" s="147">
        <v>243501.66757111246</v>
      </c>
      <c r="AE51" s="147">
        <v>243501.66757111246</v>
      </c>
      <c r="AF51" s="147">
        <v>243501.66757111246</v>
      </c>
      <c r="AG51" s="147">
        <v>243501.66757111246</v>
      </c>
      <c r="AH51" s="147">
        <v>243501.66757111246</v>
      </c>
      <c r="AI51" s="147">
        <v>243501.66757111246</v>
      </c>
      <c r="AJ51" s="147">
        <f t="shared" si="0"/>
        <v>6618270.2545529325</v>
      </c>
    </row>
    <row r="52" spans="2:36">
      <c r="B52" s="122" t="str">
        <v>Pórtico 4 (MG-329)</v>
      </c>
      <c r="C52" s="149" t="str">
        <v>1</v>
      </c>
      <c r="D52" s="149" t="str">
        <v>1.5</v>
      </c>
      <c r="E52" s="122" t="str">
        <v>Terraplenos e estruturas de contenção</v>
      </c>
      <c r="F52" s="147">
        <v>45114.599999999991</v>
      </c>
      <c r="G52" s="147">
        <v>38348.6</v>
      </c>
      <c r="H52" s="147">
        <v>38348.6</v>
      </c>
      <c r="I52" s="147">
        <v>38348.6</v>
      </c>
      <c r="J52" s="147">
        <v>50749.578887855991</v>
      </c>
      <c r="K52" s="147">
        <v>50749.578887855991</v>
      </c>
      <c r="L52" s="147">
        <v>50749.578887855991</v>
      </c>
      <c r="M52" s="147">
        <v>50749.578887855991</v>
      </c>
      <c r="N52" s="147">
        <v>50749.578887855991</v>
      </c>
      <c r="O52" s="147">
        <v>50749.578887855991</v>
      </c>
      <c r="P52" s="147">
        <v>50749.578887855991</v>
      </c>
      <c r="Q52" s="147">
        <v>50749.578887855991</v>
      </c>
      <c r="R52" s="147">
        <v>50749.578887855991</v>
      </c>
      <c r="S52" s="147">
        <v>50749.578887855991</v>
      </c>
      <c r="T52" s="147">
        <v>51562.794787855993</v>
      </c>
      <c r="U52" s="147">
        <v>50749.578887855991</v>
      </c>
      <c r="V52" s="147">
        <v>50749.578887855991</v>
      </c>
      <c r="W52" s="147">
        <v>50749.578887855991</v>
      </c>
      <c r="X52" s="147">
        <v>50749.578887855991</v>
      </c>
      <c r="Y52" s="147">
        <v>50749.578887855991</v>
      </c>
      <c r="Z52" s="147">
        <v>50749.578887855991</v>
      </c>
      <c r="AA52" s="147">
        <v>50749.578887855991</v>
      </c>
      <c r="AB52" s="147">
        <v>50749.578887855991</v>
      </c>
      <c r="AC52" s="147">
        <v>50749.578887855991</v>
      </c>
      <c r="AD52" s="147">
        <v>50749.578887855991</v>
      </c>
      <c r="AE52" s="147">
        <v>50749.578887855991</v>
      </c>
      <c r="AF52" s="147">
        <v>50749.578887855991</v>
      </c>
      <c r="AG52" s="147">
        <v>50749.578887855991</v>
      </c>
      <c r="AH52" s="147">
        <v>50749.578887855991</v>
      </c>
      <c r="AI52" s="147">
        <v>50749.578887855991</v>
      </c>
      <c r="AJ52" s="147">
        <f t="shared" si="0"/>
        <v>1480462.6669842566</v>
      </c>
    </row>
    <row r="53" spans="2:36">
      <c r="B53" s="122" t="str">
        <v>Pórtico 4 (MG-329)</v>
      </c>
      <c r="C53" s="149" t="str">
        <v>1</v>
      </c>
      <c r="D53" s="149" t="str">
        <v>1.6</v>
      </c>
      <c r="E53" s="122" t="str">
        <v>Faixa de domínio</v>
      </c>
      <c r="F53" s="147">
        <v>171995.7014365661</v>
      </c>
      <c r="G53" s="147">
        <v>174013.54880257571</v>
      </c>
      <c r="H53" s="147">
        <v>182150.54616858534</v>
      </c>
      <c r="I53" s="147">
        <v>190287.54353459494</v>
      </c>
      <c r="J53" s="147">
        <v>188960.9614341277</v>
      </c>
      <c r="K53" s="147">
        <v>188960.9614341277</v>
      </c>
      <c r="L53" s="147">
        <v>188960.9614341277</v>
      </c>
      <c r="M53" s="147">
        <v>188960.9614341277</v>
      </c>
      <c r="N53" s="147">
        <v>188960.9614341277</v>
      </c>
      <c r="O53" s="147">
        <v>188960.9614341277</v>
      </c>
      <c r="P53" s="147">
        <v>188960.9614341277</v>
      </c>
      <c r="Q53" s="147">
        <v>188960.9614341277</v>
      </c>
      <c r="R53" s="147">
        <v>188960.9614341277</v>
      </c>
      <c r="S53" s="147">
        <v>188960.9614341277</v>
      </c>
      <c r="T53" s="147">
        <v>189240.51143412769</v>
      </c>
      <c r="U53" s="147">
        <v>184051.24343412771</v>
      </c>
      <c r="V53" s="147">
        <v>184051.24343412771</v>
      </c>
      <c r="W53" s="147">
        <v>184051.24343412771</v>
      </c>
      <c r="X53" s="147">
        <v>184051.24343412771</v>
      </c>
      <c r="Y53" s="147">
        <v>184051.24343412771</v>
      </c>
      <c r="Z53" s="147">
        <v>184051.24343412771</v>
      </c>
      <c r="AA53" s="147">
        <v>184051.24343412771</v>
      </c>
      <c r="AB53" s="147">
        <v>184051.24343412771</v>
      </c>
      <c r="AC53" s="147">
        <v>184051.24343412771</v>
      </c>
      <c r="AD53" s="147">
        <v>184051.24343412771</v>
      </c>
      <c r="AE53" s="147">
        <v>184051.24343412771</v>
      </c>
      <c r="AF53" s="147">
        <v>184051.24343412771</v>
      </c>
      <c r="AG53" s="147">
        <v>184051.24343412771</v>
      </c>
      <c r="AH53" s="147">
        <v>184051.24343412771</v>
      </c>
      <c r="AI53" s="147">
        <v>184051.24343412771</v>
      </c>
      <c r="AJ53" s="147">
        <f t="shared" si="0"/>
        <v>5558066.1172296423</v>
      </c>
    </row>
    <row r="54" spans="2:36">
      <c r="B54" s="122" t="str">
        <v>Pórtico 4 (MG-329)</v>
      </c>
      <c r="C54" s="149" t="str">
        <v>1</v>
      </c>
      <c r="D54" s="149" t="str">
        <v>1.7</v>
      </c>
      <c r="E54" s="122" t="str">
        <v>Edificações e instalações operacionais</v>
      </c>
      <c r="F54" s="147">
        <v>59991.666666666664</v>
      </c>
      <c r="G54" s="147">
        <v>59991.666666666664</v>
      </c>
      <c r="H54" s="147">
        <v>59991.666666666664</v>
      </c>
      <c r="I54" s="147">
        <v>59991.666666666664</v>
      </c>
      <c r="J54" s="147">
        <v>59991.666666666664</v>
      </c>
      <c r="K54" s="147">
        <v>59991.666666666664</v>
      </c>
      <c r="L54" s="147">
        <v>59991.666666666664</v>
      </c>
      <c r="M54" s="147">
        <v>59991.666666666664</v>
      </c>
      <c r="N54" s="147">
        <v>59991.666666666664</v>
      </c>
      <c r="O54" s="147">
        <v>59991.666666666664</v>
      </c>
      <c r="P54" s="147">
        <v>59991.666666666664</v>
      </c>
      <c r="Q54" s="147">
        <v>59991.666666666664</v>
      </c>
      <c r="R54" s="147">
        <v>59991.666666666664</v>
      </c>
      <c r="S54" s="147">
        <v>59991.666666666664</v>
      </c>
      <c r="T54" s="147">
        <v>59991.666666666664</v>
      </c>
      <c r="U54" s="147">
        <v>59991.666666666664</v>
      </c>
      <c r="V54" s="147">
        <v>59991.666666666664</v>
      </c>
      <c r="W54" s="147">
        <v>59991.666666666664</v>
      </c>
      <c r="X54" s="147">
        <v>59991.666666666664</v>
      </c>
      <c r="Y54" s="147">
        <v>59991.666666666664</v>
      </c>
      <c r="Z54" s="147">
        <v>59991.666666666664</v>
      </c>
      <c r="AA54" s="147">
        <v>59991.666666666664</v>
      </c>
      <c r="AB54" s="147">
        <v>59991.666666666664</v>
      </c>
      <c r="AC54" s="147">
        <v>59991.666666666664</v>
      </c>
      <c r="AD54" s="147">
        <v>59991.666666666664</v>
      </c>
      <c r="AE54" s="147">
        <v>59991.666666666664</v>
      </c>
      <c r="AF54" s="147">
        <v>59991.666666666664</v>
      </c>
      <c r="AG54" s="147">
        <v>59991.666666666664</v>
      </c>
      <c r="AH54" s="147">
        <v>59991.666666666664</v>
      </c>
      <c r="AI54" s="147">
        <v>59991.666666666664</v>
      </c>
      <c r="AJ54" s="147">
        <f t="shared" si="0"/>
        <v>1799750.0000000007</v>
      </c>
    </row>
    <row r="55" spans="2:36">
      <c r="B55" s="122" t="str">
        <v>Pórtico 4 (MG-329)</v>
      </c>
      <c r="C55" s="149" t="str">
        <v>1</v>
      </c>
      <c r="D55" s="149" t="str">
        <v>1.8</v>
      </c>
      <c r="E55" s="122" t="str">
        <v>Iluminação e instalações elétricas</v>
      </c>
      <c r="F55" s="147">
        <v>146480.31760673068</v>
      </c>
      <c r="G55" s="147">
        <v>146480.31760673068</v>
      </c>
      <c r="H55" s="147">
        <v>146480.31760673068</v>
      </c>
      <c r="I55" s="147">
        <v>166000.36360673065</v>
      </c>
      <c r="J55" s="147">
        <v>166000.36360673065</v>
      </c>
      <c r="K55" s="147">
        <v>166000.36360673065</v>
      </c>
      <c r="L55" s="147">
        <v>166000.36360673065</v>
      </c>
      <c r="M55" s="147">
        <v>166000.36360673065</v>
      </c>
      <c r="N55" s="147">
        <v>166000.36360673065</v>
      </c>
      <c r="O55" s="147">
        <v>166000.36360673065</v>
      </c>
      <c r="P55" s="147">
        <v>166000.36360673065</v>
      </c>
      <c r="Q55" s="147">
        <v>166000.36360673065</v>
      </c>
      <c r="R55" s="147">
        <v>166000.36360673065</v>
      </c>
      <c r="S55" s="147">
        <v>166000.36360673065</v>
      </c>
      <c r="T55" s="147">
        <v>166000.36360673065</v>
      </c>
      <c r="U55" s="147">
        <v>166000.36360673065</v>
      </c>
      <c r="V55" s="147">
        <v>166000.36360673065</v>
      </c>
      <c r="W55" s="147">
        <v>166000.36360673065</v>
      </c>
      <c r="X55" s="147">
        <v>166000.36360673065</v>
      </c>
      <c r="Y55" s="147">
        <v>166000.36360673065</v>
      </c>
      <c r="Z55" s="147">
        <v>166000.36360673065</v>
      </c>
      <c r="AA55" s="147">
        <v>166000.36360673065</v>
      </c>
      <c r="AB55" s="147">
        <v>166000.36360673065</v>
      </c>
      <c r="AC55" s="147">
        <v>166000.36360673065</v>
      </c>
      <c r="AD55" s="147">
        <v>166000.36360673065</v>
      </c>
      <c r="AE55" s="147">
        <v>166000.36360673065</v>
      </c>
      <c r="AF55" s="147">
        <v>166000.36360673065</v>
      </c>
      <c r="AG55" s="147">
        <v>166000.36360673065</v>
      </c>
      <c r="AH55" s="147">
        <v>166000.36360673065</v>
      </c>
      <c r="AI55" s="147">
        <v>166000.36360673065</v>
      </c>
      <c r="AJ55" s="147">
        <f t="shared" si="0"/>
        <v>4921450.7702019168</v>
      </c>
    </row>
    <row r="56" spans="2:36">
      <c r="B56" s="122" t="str">
        <v>Pórtico 4 (MG-329)</v>
      </c>
      <c r="C56" s="149" t="str">
        <v>1</v>
      </c>
      <c r="D56" s="149" t="str">
        <v>1.9</v>
      </c>
      <c r="E56" s="122" t="str">
        <v>Administração local</v>
      </c>
      <c r="F56" s="147">
        <v>102620.02513767389</v>
      </c>
      <c r="G56" s="147">
        <v>103410.87485109745</v>
      </c>
      <c r="H56" s="147">
        <v>105479.78366490711</v>
      </c>
      <c r="I56" s="147">
        <v>135152.0982536994</v>
      </c>
      <c r="J56" s="147">
        <v>148870.02987872067</v>
      </c>
      <c r="K56" s="147">
        <v>148102.53150999566</v>
      </c>
      <c r="L56" s="147">
        <v>148102.53150999566</v>
      </c>
      <c r="M56" s="147">
        <v>148102.53150999566</v>
      </c>
      <c r="N56" s="147">
        <v>148102.53150999566</v>
      </c>
      <c r="O56" s="147">
        <v>148102.53150999566</v>
      </c>
      <c r="P56" s="147">
        <v>148102.53150999566</v>
      </c>
      <c r="Q56" s="147">
        <v>148102.53150999566</v>
      </c>
      <c r="R56" s="147">
        <v>148102.53150999566</v>
      </c>
      <c r="S56" s="147">
        <v>148102.53150999566</v>
      </c>
      <c r="T56" s="147">
        <v>149451.77580135589</v>
      </c>
      <c r="U56" s="147">
        <v>181724.36016813773</v>
      </c>
      <c r="V56" s="147">
        <v>181724.36016813773</v>
      </c>
      <c r="W56" s="147">
        <v>181724.36016813773</v>
      </c>
      <c r="X56" s="147">
        <v>181724.36016813773</v>
      </c>
      <c r="Y56" s="147">
        <v>181724.36016813773</v>
      </c>
      <c r="Z56" s="147">
        <v>181724.36016813773</v>
      </c>
      <c r="AA56" s="147">
        <v>181724.36016813773</v>
      </c>
      <c r="AB56" s="147">
        <v>181724.36016813773</v>
      </c>
      <c r="AC56" s="147">
        <v>181724.36016813773</v>
      </c>
      <c r="AD56" s="147">
        <v>181724.36016813773</v>
      </c>
      <c r="AE56" s="147">
        <v>181724.36016813773</v>
      </c>
      <c r="AF56" s="147">
        <v>181724.36016813773</v>
      </c>
      <c r="AG56" s="147">
        <v>181724.36016813773</v>
      </c>
      <c r="AH56" s="147">
        <v>181724.36016813773</v>
      </c>
      <c r="AI56" s="147">
        <v>181724.36016813773</v>
      </c>
      <c r="AJ56" s="147">
        <f t="shared" si="0"/>
        <v>4803772.7736994801</v>
      </c>
    </row>
    <row r="57" spans="2:36">
      <c r="B57" s="122" t="str">
        <v>Pórtico 4 (MG-329)</v>
      </c>
      <c r="C57" s="149" t="str">
        <v>1</v>
      </c>
      <c r="D57" s="149" t="str">
        <v>1.10</v>
      </c>
      <c r="E57" s="122" t="str">
        <v xml:space="preserve">Canteiro de obras </v>
      </c>
      <c r="F57" s="147">
        <v>6426.708644985637</v>
      </c>
      <c r="G57" s="147">
        <v>6476.2366068364063</v>
      </c>
      <c r="H57" s="147">
        <v>6605.8046335598383</v>
      </c>
      <c r="I57" s="147">
        <v>8464.0707997266272</v>
      </c>
      <c r="J57" s="147">
        <v>9323.173588364325</v>
      </c>
      <c r="K57" s="147">
        <v>9275.1080339593227</v>
      </c>
      <c r="L57" s="147">
        <v>9275.1080339593227</v>
      </c>
      <c r="M57" s="147">
        <v>9275.1080339593227</v>
      </c>
      <c r="N57" s="147">
        <v>9275.1080339593227</v>
      </c>
      <c r="O57" s="147">
        <v>9275.1080339593227</v>
      </c>
      <c r="P57" s="147">
        <v>9275.1080339593227</v>
      </c>
      <c r="Q57" s="147">
        <v>9275.1080339593227</v>
      </c>
      <c r="R57" s="147">
        <v>9275.1080339593227</v>
      </c>
      <c r="S57" s="147">
        <v>9275.1080339593227</v>
      </c>
      <c r="T57" s="147">
        <v>9359.6061612970352</v>
      </c>
      <c r="U57" s="147">
        <v>11380.717505479332</v>
      </c>
      <c r="V57" s="147">
        <v>11380.717505479332</v>
      </c>
      <c r="W57" s="147">
        <v>11380.717505479332</v>
      </c>
      <c r="X57" s="147">
        <v>11380.717505479332</v>
      </c>
      <c r="Y57" s="147">
        <v>11380.717505479332</v>
      </c>
      <c r="Z57" s="147">
        <v>11380.717505479332</v>
      </c>
      <c r="AA57" s="147">
        <v>11380.717505479332</v>
      </c>
      <c r="AB57" s="147">
        <v>11380.717505479332</v>
      </c>
      <c r="AC57" s="147">
        <v>11380.717505479332</v>
      </c>
      <c r="AD57" s="147">
        <v>11380.717505479332</v>
      </c>
      <c r="AE57" s="147">
        <v>11380.717505479332</v>
      </c>
      <c r="AF57" s="147">
        <v>11380.717505479332</v>
      </c>
      <c r="AG57" s="147">
        <v>11380.717505479332</v>
      </c>
      <c r="AH57" s="147">
        <v>11380.717505479332</v>
      </c>
      <c r="AI57" s="147">
        <v>11380.717505479332</v>
      </c>
      <c r="AJ57" s="147">
        <f t="shared" si="0"/>
        <v>300842.33532259363</v>
      </c>
    </row>
    <row r="58" spans="2:36">
      <c r="B58" s="122" t="str">
        <v>Pórtico 4 (MG-329)</v>
      </c>
      <c r="C58" s="149" t="str">
        <v>1</v>
      </c>
      <c r="D58" s="149" t="str">
        <v>1.11</v>
      </c>
      <c r="E58" s="122" t="str">
        <v>Mobilização e desmobilização</v>
      </c>
      <c r="F58" s="147">
        <v>207.3131820963109</v>
      </c>
      <c r="G58" s="147">
        <v>208.91085828504538</v>
      </c>
      <c r="H58" s="147">
        <v>213.09047205031737</v>
      </c>
      <c r="I58" s="147">
        <v>273.03454192666544</v>
      </c>
      <c r="J58" s="147">
        <v>300.74753510852662</v>
      </c>
      <c r="K58" s="147">
        <v>299.19703335352659</v>
      </c>
      <c r="L58" s="147">
        <v>299.19703335352659</v>
      </c>
      <c r="M58" s="147">
        <v>299.19703335352659</v>
      </c>
      <c r="N58" s="147">
        <v>299.19703335352659</v>
      </c>
      <c r="O58" s="147">
        <v>299.19703335352659</v>
      </c>
      <c r="P58" s="147">
        <v>299.19703335352659</v>
      </c>
      <c r="Q58" s="147">
        <v>299.19703335352659</v>
      </c>
      <c r="R58" s="147">
        <v>299.19703335352659</v>
      </c>
      <c r="S58" s="147">
        <v>299.19703335352659</v>
      </c>
      <c r="T58" s="147">
        <v>301.92277939667855</v>
      </c>
      <c r="U58" s="147">
        <v>367.11991953159139</v>
      </c>
      <c r="V58" s="147">
        <v>367.11991953159139</v>
      </c>
      <c r="W58" s="147">
        <v>367.11991953159139</v>
      </c>
      <c r="X58" s="147">
        <v>367.11991953159139</v>
      </c>
      <c r="Y58" s="147">
        <v>367.11991953159139</v>
      </c>
      <c r="Z58" s="147">
        <v>367.11991953159139</v>
      </c>
      <c r="AA58" s="147">
        <v>367.11991953159139</v>
      </c>
      <c r="AB58" s="147">
        <v>367.11991953159139</v>
      </c>
      <c r="AC58" s="147">
        <v>367.11991953159139</v>
      </c>
      <c r="AD58" s="147">
        <v>367.11991953159139</v>
      </c>
      <c r="AE58" s="147">
        <v>367.11991953159139</v>
      </c>
      <c r="AF58" s="147">
        <v>367.11991953159139</v>
      </c>
      <c r="AG58" s="147">
        <v>367.11991953159139</v>
      </c>
      <c r="AH58" s="147">
        <v>367.11991953159139</v>
      </c>
      <c r="AI58" s="147">
        <v>367.11991953159139</v>
      </c>
      <c r="AJ58" s="147">
        <f t="shared" si="0"/>
        <v>9704.5914620191506</v>
      </c>
    </row>
    <row r="59" spans="2:36">
      <c r="B59" s="122" t="str">
        <v>Pórtico 4 (MG-329)</v>
      </c>
      <c r="C59" s="149" t="str">
        <v>2</v>
      </c>
      <c r="D59" s="149">
        <v>2</v>
      </c>
      <c r="E59" s="122" t="str">
        <v xml:space="preserve">Monitoração da rodovia </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c r="AH59" s="147">
        <v>0</v>
      </c>
      <c r="AI59" s="147">
        <v>0</v>
      </c>
      <c r="AJ59" s="147">
        <f t="shared" si="0"/>
        <v>0</v>
      </c>
    </row>
    <row r="60" spans="2:36">
      <c r="B60" s="122" t="str">
        <v>Pórtico 4 (MG-329)</v>
      </c>
      <c r="C60" s="149" t="str">
        <v>2</v>
      </c>
      <c r="D60" s="149" t="str">
        <v>2.1</v>
      </c>
      <c r="E60" s="122" t="str">
        <v xml:space="preserve">Pavimento </v>
      </c>
      <c r="F60" s="147">
        <v>325864.92921333329</v>
      </c>
      <c r="G60" s="147">
        <v>59249.921333333332</v>
      </c>
      <c r="H60" s="147">
        <v>59249.921333333332</v>
      </c>
      <c r="I60" s="147">
        <v>70340.757713333325</v>
      </c>
      <c r="J60" s="147">
        <v>57766.977490000005</v>
      </c>
      <c r="K60" s="147">
        <v>57766.977490000005</v>
      </c>
      <c r="L60" s="147">
        <v>57766.977490000005</v>
      </c>
      <c r="M60" s="147">
        <v>57766.977490000005</v>
      </c>
      <c r="N60" s="147">
        <v>71050.211261470002</v>
      </c>
      <c r="O60" s="147">
        <v>57766.977490000005</v>
      </c>
      <c r="P60" s="147">
        <v>57766.977490000005</v>
      </c>
      <c r="Q60" s="147">
        <v>57766.977490000005</v>
      </c>
      <c r="R60" s="147">
        <v>57766.977490000005</v>
      </c>
      <c r="S60" s="147">
        <v>71050.211261470002</v>
      </c>
      <c r="T60" s="147">
        <v>57766.977490000005</v>
      </c>
      <c r="U60" s="147">
        <v>51748.047999999995</v>
      </c>
      <c r="V60" s="147">
        <v>51748.047999999995</v>
      </c>
      <c r="W60" s="147">
        <v>51748.047999999995</v>
      </c>
      <c r="X60" s="147">
        <v>73929.720759999997</v>
      </c>
      <c r="Y60" s="147">
        <v>51748.047999999995</v>
      </c>
      <c r="Z60" s="147">
        <v>51748.047999999995</v>
      </c>
      <c r="AA60" s="147">
        <v>51748.047999999995</v>
      </c>
      <c r="AB60" s="147">
        <v>51748.047999999995</v>
      </c>
      <c r="AC60" s="147">
        <v>73929.720759999997</v>
      </c>
      <c r="AD60" s="147">
        <v>51748.047999999995</v>
      </c>
      <c r="AE60" s="147">
        <v>51748.047999999995</v>
      </c>
      <c r="AF60" s="147">
        <v>51748.047999999995</v>
      </c>
      <c r="AG60" s="147">
        <v>51748.047999999995</v>
      </c>
      <c r="AH60" s="147">
        <v>73929.720759999997</v>
      </c>
      <c r="AI60" s="147">
        <v>51748.047999999995</v>
      </c>
      <c r="AJ60" s="147">
        <f t="shared" si="0"/>
        <v>2019474.4878062722</v>
      </c>
    </row>
    <row r="61" spans="2:36">
      <c r="B61" s="122" t="str">
        <v>Pórtico 4 (MG-329)</v>
      </c>
      <c r="C61" s="149" t="str">
        <v>2</v>
      </c>
      <c r="D61" s="149" t="str">
        <v>2.2</v>
      </c>
      <c r="E61" s="122" t="str">
        <v>Elementos de proteção e segurança</v>
      </c>
      <c r="F61" s="147">
        <v>45102.734612</v>
      </c>
      <c r="G61" s="147">
        <v>45102.734612</v>
      </c>
      <c r="H61" s="147">
        <v>33272.509139999995</v>
      </c>
      <c r="I61" s="147">
        <v>45102.734612</v>
      </c>
      <c r="J61" s="147">
        <v>37657.303922939995</v>
      </c>
      <c r="K61" s="147">
        <v>49487.52939494</v>
      </c>
      <c r="L61" s="147">
        <v>37657.303922939995</v>
      </c>
      <c r="M61" s="147">
        <v>49487.52939494</v>
      </c>
      <c r="N61" s="147">
        <v>37657.303922939995</v>
      </c>
      <c r="O61" s="147">
        <v>49487.52939494</v>
      </c>
      <c r="P61" s="147">
        <v>37657.303922939995</v>
      </c>
      <c r="Q61" s="147">
        <v>49487.52939494</v>
      </c>
      <c r="R61" s="147">
        <v>37657.303922939995</v>
      </c>
      <c r="S61" s="147">
        <v>49487.52939494</v>
      </c>
      <c r="T61" s="147">
        <v>37657.303922939995</v>
      </c>
      <c r="U61" s="147">
        <v>67284.407371999987</v>
      </c>
      <c r="V61" s="147">
        <v>55454.181899999996</v>
      </c>
      <c r="W61" s="147">
        <v>67284.407371999987</v>
      </c>
      <c r="X61" s="147">
        <v>55454.181899999996</v>
      </c>
      <c r="Y61" s="147">
        <v>67284.407371999987</v>
      </c>
      <c r="Z61" s="147">
        <v>55454.181899999996</v>
      </c>
      <c r="AA61" s="147">
        <v>67284.407371999987</v>
      </c>
      <c r="AB61" s="147">
        <v>55454.181899999996</v>
      </c>
      <c r="AC61" s="147">
        <v>67284.407371999987</v>
      </c>
      <c r="AD61" s="147">
        <v>55454.181899999996</v>
      </c>
      <c r="AE61" s="147">
        <v>67284.407371999987</v>
      </c>
      <c r="AF61" s="147">
        <v>55454.181899999996</v>
      </c>
      <c r="AG61" s="147">
        <v>67284.407371999987</v>
      </c>
      <c r="AH61" s="147">
        <v>55454.181899999996</v>
      </c>
      <c r="AI61" s="147">
        <v>67284.407371999987</v>
      </c>
      <c r="AJ61" s="147">
        <f t="shared" si="0"/>
        <v>1568416.7157643393</v>
      </c>
    </row>
    <row r="62" spans="2:36">
      <c r="B62" s="122" t="str">
        <v>Pórtico 4 (MG-329)</v>
      </c>
      <c r="C62" s="149" t="str">
        <v>2</v>
      </c>
      <c r="D62" s="149" t="str">
        <v>2.3</v>
      </c>
      <c r="E62" s="122" t="str">
        <v xml:space="preserve">Obras-de-arte especiais </v>
      </c>
      <c r="F62" s="147">
        <v>13700.444940000001</v>
      </c>
      <c r="G62" s="147">
        <v>12178.173280000001</v>
      </c>
      <c r="H62" s="147">
        <v>12178.173280000001</v>
      </c>
      <c r="I62" s="147">
        <v>12178.173280000001</v>
      </c>
      <c r="J62" s="147">
        <v>12178.173280000001</v>
      </c>
      <c r="K62" s="147">
        <v>12178.173280000001</v>
      </c>
      <c r="L62" s="147">
        <v>12178.173280000001</v>
      </c>
      <c r="M62" s="147">
        <v>12178.173280000001</v>
      </c>
      <c r="N62" s="147">
        <v>12178.173280000001</v>
      </c>
      <c r="O62" s="147">
        <v>12178.173280000001</v>
      </c>
      <c r="P62" s="147">
        <v>12178.173280000001</v>
      </c>
      <c r="Q62" s="147">
        <v>12178.173280000001</v>
      </c>
      <c r="R62" s="147">
        <v>12178.173280000001</v>
      </c>
      <c r="S62" s="147">
        <v>12178.173280000001</v>
      </c>
      <c r="T62" s="147">
        <v>12178.173280000001</v>
      </c>
      <c r="U62" s="147">
        <v>12178.173280000001</v>
      </c>
      <c r="V62" s="147">
        <v>12178.173280000001</v>
      </c>
      <c r="W62" s="147">
        <v>12178.173280000001</v>
      </c>
      <c r="X62" s="147">
        <v>12178.173280000001</v>
      </c>
      <c r="Y62" s="147">
        <v>12178.173280000001</v>
      </c>
      <c r="Z62" s="147">
        <v>12178.173280000001</v>
      </c>
      <c r="AA62" s="147">
        <v>12178.173280000001</v>
      </c>
      <c r="AB62" s="147">
        <v>12178.173280000001</v>
      </c>
      <c r="AC62" s="147">
        <v>12178.173280000001</v>
      </c>
      <c r="AD62" s="147">
        <v>12178.173280000001</v>
      </c>
      <c r="AE62" s="147">
        <v>12178.173280000001</v>
      </c>
      <c r="AF62" s="147">
        <v>12178.173280000001</v>
      </c>
      <c r="AG62" s="147">
        <v>12178.173280000001</v>
      </c>
      <c r="AH62" s="147">
        <v>12178.173280000001</v>
      </c>
      <c r="AI62" s="147">
        <v>12178.173280000001</v>
      </c>
      <c r="AJ62" s="147">
        <f t="shared" si="0"/>
        <v>366867.47005999979</v>
      </c>
    </row>
    <row r="63" spans="2:36">
      <c r="B63" s="122" t="str">
        <v>Pórtico 4 (MG-329)</v>
      </c>
      <c r="C63" s="149" t="str">
        <v>2</v>
      </c>
      <c r="D63" s="149" t="str">
        <v>2.4</v>
      </c>
      <c r="E63" s="122" t="str">
        <v xml:space="preserve">Sistema de drenagem e obras-de-arte correntes </v>
      </c>
      <c r="F63" s="147">
        <v>25878.618219999997</v>
      </c>
      <c r="G63" s="147">
        <v>25878.618219999997</v>
      </c>
      <c r="H63" s="147">
        <v>25878.618219999997</v>
      </c>
      <c r="I63" s="147">
        <v>25878.618219999997</v>
      </c>
      <c r="J63" s="147">
        <v>25878.618219999997</v>
      </c>
      <c r="K63" s="147">
        <v>25878.618219999997</v>
      </c>
      <c r="L63" s="147">
        <v>25878.618219999997</v>
      </c>
      <c r="M63" s="147">
        <v>25878.618219999997</v>
      </c>
      <c r="N63" s="147">
        <v>25878.618219999997</v>
      </c>
      <c r="O63" s="147">
        <v>25878.618219999997</v>
      </c>
      <c r="P63" s="147">
        <v>25878.618219999997</v>
      </c>
      <c r="Q63" s="147">
        <v>25878.618219999997</v>
      </c>
      <c r="R63" s="147">
        <v>25878.618219999997</v>
      </c>
      <c r="S63" s="147">
        <v>25878.618219999997</v>
      </c>
      <c r="T63" s="147">
        <v>25878.618219999997</v>
      </c>
      <c r="U63" s="147">
        <v>25878.618219999997</v>
      </c>
      <c r="V63" s="147">
        <v>25878.618219999997</v>
      </c>
      <c r="W63" s="147">
        <v>25878.618219999997</v>
      </c>
      <c r="X63" s="147">
        <v>25878.618219999997</v>
      </c>
      <c r="Y63" s="147">
        <v>25878.618219999997</v>
      </c>
      <c r="Z63" s="147">
        <v>25878.618219999997</v>
      </c>
      <c r="AA63" s="147">
        <v>25878.618219999997</v>
      </c>
      <c r="AB63" s="147">
        <v>25878.618219999997</v>
      </c>
      <c r="AC63" s="147">
        <v>25878.618219999997</v>
      </c>
      <c r="AD63" s="147">
        <v>25878.618219999997</v>
      </c>
      <c r="AE63" s="147">
        <v>25878.618219999997</v>
      </c>
      <c r="AF63" s="147">
        <v>25878.618219999997</v>
      </c>
      <c r="AG63" s="147">
        <v>25878.618219999997</v>
      </c>
      <c r="AH63" s="147">
        <v>25878.618219999997</v>
      </c>
      <c r="AI63" s="147">
        <v>25878.618219999997</v>
      </c>
      <c r="AJ63" s="147">
        <f t="shared" si="0"/>
        <v>776358.54659999954</v>
      </c>
    </row>
    <row r="64" spans="2:36">
      <c r="B64" s="122" t="str">
        <v>Pórtico 4 (MG-329)</v>
      </c>
      <c r="C64" s="149" t="str">
        <v>2</v>
      </c>
      <c r="D64" s="149" t="str">
        <v>2.5</v>
      </c>
      <c r="E64" s="122" t="str">
        <v xml:space="preserve">Terraplenos e estruturas de contenção </v>
      </c>
      <c r="F64" s="147">
        <v>11090.836379999999</v>
      </c>
      <c r="G64" s="147">
        <v>11090.836379999999</v>
      </c>
      <c r="H64" s="147">
        <v>11090.836379999999</v>
      </c>
      <c r="I64" s="147">
        <v>11090.836379999999</v>
      </c>
      <c r="J64" s="147">
        <v>8898.4389885299988</v>
      </c>
      <c r="K64" s="147">
        <v>8898.4389885299988</v>
      </c>
      <c r="L64" s="147">
        <v>8898.4389885299988</v>
      </c>
      <c r="M64" s="147">
        <v>8898.4389885299988</v>
      </c>
      <c r="N64" s="147">
        <v>8898.4389885299988</v>
      </c>
      <c r="O64" s="147">
        <v>8898.4389885299988</v>
      </c>
      <c r="P64" s="147">
        <v>8898.4389885299988</v>
      </c>
      <c r="Q64" s="147">
        <v>8898.4389885299988</v>
      </c>
      <c r="R64" s="147">
        <v>8898.4389885299988</v>
      </c>
      <c r="S64" s="147">
        <v>8898.4389885299988</v>
      </c>
      <c r="T64" s="147">
        <v>8898.4389885299988</v>
      </c>
      <c r="U64" s="147">
        <v>0</v>
      </c>
      <c r="V64" s="147">
        <v>0</v>
      </c>
      <c r="W64" s="147">
        <v>0</v>
      </c>
      <c r="X64" s="147">
        <v>0</v>
      </c>
      <c r="Y64" s="147">
        <v>0</v>
      </c>
      <c r="Z64" s="147">
        <v>0</v>
      </c>
      <c r="AA64" s="147">
        <v>0</v>
      </c>
      <c r="AB64" s="147">
        <v>0</v>
      </c>
      <c r="AC64" s="147">
        <v>0</v>
      </c>
      <c r="AD64" s="147">
        <v>0</v>
      </c>
      <c r="AE64" s="147">
        <v>0</v>
      </c>
      <c r="AF64" s="147">
        <v>0</v>
      </c>
      <c r="AG64" s="147">
        <v>0</v>
      </c>
      <c r="AH64" s="147">
        <v>0</v>
      </c>
      <c r="AI64" s="147">
        <v>0</v>
      </c>
      <c r="AJ64" s="147">
        <f t="shared" si="0"/>
        <v>142246.17439383001</v>
      </c>
    </row>
    <row r="65" spans="2:36">
      <c r="B65" s="122" t="str">
        <v>Pórtico 4 (MG-329)</v>
      </c>
      <c r="C65" s="149" t="str">
        <v>2</v>
      </c>
      <c r="D65" s="149" t="str">
        <v>2.6</v>
      </c>
      <c r="E65" s="122" t="str">
        <v>Canteiro central e faixa de domínio</v>
      </c>
      <c r="F65" s="147">
        <v>7393.8909199999998</v>
      </c>
      <c r="G65" s="147">
        <v>7393.8909199999998</v>
      </c>
      <c r="H65" s="147">
        <v>7393.8909199999998</v>
      </c>
      <c r="I65" s="147">
        <v>7393.8909199999998</v>
      </c>
      <c r="J65" s="147">
        <v>7393.8909199999998</v>
      </c>
      <c r="K65" s="147">
        <v>7393.8909199999998</v>
      </c>
      <c r="L65" s="147">
        <v>7393.8909199999998</v>
      </c>
      <c r="M65" s="147">
        <v>7393.8909199999998</v>
      </c>
      <c r="N65" s="147">
        <v>7393.8909199999998</v>
      </c>
      <c r="O65" s="147">
        <v>7393.8909199999998</v>
      </c>
      <c r="P65" s="147">
        <v>7393.8909199999998</v>
      </c>
      <c r="Q65" s="147">
        <v>7393.8909199999998</v>
      </c>
      <c r="R65" s="147">
        <v>7393.8909199999998</v>
      </c>
      <c r="S65" s="147">
        <v>7393.8909199999998</v>
      </c>
      <c r="T65" s="147">
        <v>7393.8909199999998</v>
      </c>
      <c r="U65" s="147">
        <v>7393.8909199999998</v>
      </c>
      <c r="V65" s="147">
        <v>7393.8909199999998</v>
      </c>
      <c r="W65" s="147">
        <v>7393.8909199999998</v>
      </c>
      <c r="X65" s="147">
        <v>7393.8909199999998</v>
      </c>
      <c r="Y65" s="147">
        <v>7393.8909199999998</v>
      </c>
      <c r="Z65" s="147">
        <v>7393.8909199999998</v>
      </c>
      <c r="AA65" s="147">
        <v>7393.8909199999998</v>
      </c>
      <c r="AB65" s="147">
        <v>7393.8909199999998</v>
      </c>
      <c r="AC65" s="147">
        <v>7393.8909199999998</v>
      </c>
      <c r="AD65" s="147">
        <v>7393.8909199999998</v>
      </c>
      <c r="AE65" s="147">
        <v>7393.8909199999998</v>
      </c>
      <c r="AF65" s="147">
        <v>7393.8909199999998</v>
      </c>
      <c r="AG65" s="147">
        <v>7393.8909199999998</v>
      </c>
      <c r="AH65" s="147">
        <v>7393.8909199999998</v>
      </c>
      <c r="AI65" s="147">
        <v>7393.8909199999998</v>
      </c>
      <c r="AJ65" s="147">
        <f t="shared" si="0"/>
        <v>221816.7276000001</v>
      </c>
    </row>
    <row r="66" spans="2:36">
      <c r="B66" s="122" t="str">
        <v>Pórtico 4 (MG-329)</v>
      </c>
      <c r="C66" s="149" t="str">
        <v>2</v>
      </c>
      <c r="D66" s="149" t="str">
        <v>2.7</v>
      </c>
      <c r="E66" s="122" t="str">
        <v>Edificações e instalações operacionais</v>
      </c>
      <c r="F66" s="147">
        <v>81425.645000000004</v>
      </c>
      <c r="G66" s="147">
        <v>48805.538</v>
      </c>
      <c r="H66" s="147">
        <v>92299.013999999996</v>
      </c>
      <c r="I66" s="147">
        <v>48805.538</v>
      </c>
      <c r="J66" s="147">
        <v>92299.013999999996</v>
      </c>
      <c r="K66" s="147">
        <v>48805.538</v>
      </c>
      <c r="L66" s="147">
        <v>92299.013999999996</v>
      </c>
      <c r="M66" s="147">
        <v>48805.538</v>
      </c>
      <c r="N66" s="147">
        <v>92299.013999999996</v>
      </c>
      <c r="O66" s="147">
        <v>48805.538</v>
      </c>
      <c r="P66" s="147">
        <v>92299.013999999996</v>
      </c>
      <c r="Q66" s="147">
        <v>48805.538</v>
      </c>
      <c r="R66" s="147">
        <v>92299.013999999996</v>
      </c>
      <c r="S66" s="147">
        <v>48805.538</v>
      </c>
      <c r="T66" s="147">
        <v>92299.013999999996</v>
      </c>
      <c r="U66" s="147">
        <v>48805.538</v>
      </c>
      <c r="V66" s="147">
        <v>92299.013999999996</v>
      </c>
      <c r="W66" s="147">
        <v>48805.538</v>
      </c>
      <c r="X66" s="147">
        <v>92299.013999999996</v>
      </c>
      <c r="Y66" s="147">
        <v>48805.538</v>
      </c>
      <c r="Z66" s="147">
        <v>92299.013999999996</v>
      </c>
      <c r="AA66" s="147">
        <v>48805.538</v>
      </c>
      <c r="AB66" s="147">
        <v>92299.013999999996</v>
      </c>
      <c r="AC66" s="147">
        <v>48805.538</v>
      </c>
      <c r="AD66" s="147">
        <v>92299.013999999996</v>
      </c>
      <c r="AE66" s="147">
        <v>48805.538</v>
      </c>
      <c r="AF66" s="147">
        <v>92299.013999999996</v>
      </c>
      <c r="AG66" s="147">
        <v>48805.538</v>
      </c>
      <c r="AH66" s="147">
        <v>92299.013999999996</v>
      </c>
      <c r="AI66" s="147">
        <v>48805.538</v>
      </c>
      <c r="AJ66" s="147">
        <f t="shared" si="0"/>
        <v>2105694.9109999989</v>
      </c>
    </row>
    <row r="67" spans="2:36">
      <c r="B67" s="122" t="str">
        <v>Pórtico 4 (MG-329)</v>
      </c>
      <c r="C67" s="149" t="str">
        <v>2</v>
      </c>
      <c r="D67" s="149" t="str">
        <v>2.8</v>
      </c>
      <c r="E67" s="122" t="str">
        <v>Sistemas elétricos e de iluminação</v>
      </c>
      <c r="F67" s="147">
        <v>16636.254570000001</v>
      </c>
      <c r="G67" s="147">
        <v>16636.254570000001</v>
      </c>
      <c r="H67" s="147">
        <v>16636.254570000001</v>
      </c>
      <c r="I67" s="147">
        <v>16636.254570000001</v>
      </c>
      <c r="J67" s="147">
        <v>16636.254570000001</v>
      </c>
      <c r="K67" s="147">
        <v>16636.254570000001</v>
      </c>
      <c r="L67" s="147">
        <v>16636.254570000001</v>
      </c>
      <c r="M67" s="147">
        <v>16636.254570000001</v>
      </c>
      <c r="N67" s="147">
        <v>16636.254570000001</v>
      </c>
      <c r="O67" s="147">
        <v>16636.254570000001</v>
      </c>
      <c r="P67" s="147">
        <v>16636.254570000001</v>
      </c>
      <c r="Q67" s="147">
        <v>16636.254570000001</v>
      </c>
      <c r="R67" s="147">
        <v>16636.254570000001</v>
      </c>
      <c r="S67" s="147">
        <v>16636.254570000001</v>
      </c>
      <c r="T67" s="147">
        <v>16636.254570000001</v>
      </c>
      <c r="U67" s="147">
        <v>16636.254570000001</v>
      </c>
      <c r="V67" s="147">
        <v>16636.254570000001</v>
      </c>
      <c r="W67" s="147">
        <v>16636.254570000001</v>
      </c>
      <c r="X67" s="147">
        <v>16636.254570000001</v>
      </c>
      <c r="Y67" s="147">
        <v>16636.254570000001</v>
      </c>
      <c r="Z67" s="147">
        <v>16636.254570000001</v>
      </c>
      <c r="AA67" s="147">
        <v>16636.254570000001</v>
      </c>
      <c r="AB67" s="147">
        <v>16636.254570000001</v>
      </c>
      <c r="AC67" s="147">
        <v>16636.254570000001</v>
      </c>
      <c r="AD67" s="147">
        <v>16636.254570000001</v>
      </c>
      <c r="AE67" s="147">
        <v>16636.254570000001</v>
      </c>
      <c r="AF67" s="147">
        <v>16636.254570000001</v>
      </c>
      <c r="AG67" s="147">
        <v>16636.254570000001</v>
      </c>
      <c r="AH67" s="147">
        <v>16636.254570000001</v>
      </c>
      <c r="AI67" s="147">
        <v>16636.254570000001</v>
      </c>
      <c r="AJ67" s="147">
        <f t="shared" si="0"/>
        <v>499087.63709999982</v>
      </c>
    </row>
    <row r="68" spans="2:36">
      <c r="B68" s="122" t="str">
        <v>Operação Geral</v>
      </c>
      <c r="C68" s="149" t="str">
        <v>3</v>
      </c>
      <c r="D68" s="149">
        <v>3</v>
      </c>
      <c r="E68" s="122" t="str">
        <v>Administração e operação da rodovia</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c r="AH68" s="147">
        <v>0</v>
      </c>
      <c r="AI68" s="147">
        <v>0</v>
      </c>
      <c r="AJ68" s="147">
        <f t="shared" si="0"/>
        <v>0</v>
      </c>
    </row>
    <row r="69" spans="2:36">
      <c r="B69" s="122" t="str">
        <v>Operação Geral</v>
      </c>
      <c r="C69" s="149" t="str">
        <v>3</v>
      </c>
      <c r="D69" s="149" t="str">
        <v>3.1</v>
      </c>
      <c r="E69" s="122" t="str">
        <v>Administração</v>
      </c>
      <c r="F69" s="147">
        <v>12994834.528017685</v>
      </c>
      <c r="G69" s="147">
        <v>12994834.528017685</v>
      </c>
      <c r="H69" s="147">
        <v>12994834.528017685</v>
      </c>
      <c r="I69" s="147">
        <v>12994834.528017685</v>
      </c>
      <c r="J69" s="147">
        <v>12994834.528017685</v>
      </c>
      <c r="K69" s="147">
        <v>11466659.091504419</v>
      </c>
      <c r="L69" s="147">
        <v>12994834.528017685</v>
      </c>
      <c r="M69" s="147">
        <v>12994834.528017685</v>
      </c>
      <c r="N69" s="147">
        <v>12994834.528017685</v>
      </c>
      <c r="O69" s="147">
        <v>12994834.528017685</v>
      </c>
      <c r="P69" s="147">
        <v>12994834.528017685</v>
      </c>
      <c r="Q69" s="147">
        <v>12994834.528017685</v>
      </c>
      <c r="R69" s="147">
        <v>12994834.528017685</v>
      </c>
      <c r="S69" s="147">
        <v>12994834.528017685</v>
      </c>
      <c r="T69" s="147">
        <v>12994834.528017685</v>
      </c>
      <c r="U69" s="147">
        <v>12994834.528017685</v>
      </c>
      <c r="V69" s="147">
        <v>12994834.528017685</v>
      </c>
      <c r="W69" s="147">
        <v>12994834.528017685</v>
      </c>
      <c r="X69" s="147">
        <v>12994834.528017685</v>
      </c>
      <c r="Y69" s="147">
        <v>11466659.091504419</v>
      </c>
      <c r="Z69" s="147">
        <v>11466659.091504419</v>
      </c>
      <c r="AA69" s="147">
        <v>11466659.091504419</v>
      </c>
      <c r="AB69" s="147">
        <v>11466659.091504419</v>
      </c>
      <c r="AC69" s="147">
        <v>11466659.091504419</v>
      </c>
      <c r="AD69" s="147">
        <v>11466659.091504419</v>
      </c>
      <c r="AE69" s="147">
        <v>11466659.091504419</v>
      </c>
      <c r="AF69" s="147">
        <v>11466659.091504419</v>
      </c>
      <c r="AG69" s="147">
        <v>11466659.091504419</v>
      </c>
      <c r="AH69" s="147">
        <v>11466659.091504419</v>
      </c>
      <c r="AI69" s="147">
        <v>11466659.091504419</v>
      </c>
      <c r="AJ69" s="147">
        <f t="shared" si="0"/>
        <v>371506930.60237128</v>
      </c>
    </row>
    <row r="70" spans="2:36">
      <c r="B70" s="122" t="str">
        <v>Operação Geral</v>
      </c>
      <c r="C70" s="149" t="str">
        <v>3</v>
      </c>
      <c r="D70" s="149" t="str">
        <v>3.2</v>
      </c>
      <c r="E70" s="122" t="str">
        <v>Operação</v>
      </c>
      <c r="F70" s="147">
        <v>1623518.9113100001</v>
      </c>
      <c r="G70" s="147">
        <v>7370953.3437349601</v>
      </c>
      <c r="H70" s="147">
        <v>7614530.4849835597</v>
      </c>
      <c r="I70" s="147">
        <v>7614530.4849835597</v>
      </c>
      <c r="J70" s="147">
        <v>7614530.4849835597</v>
      </c>
      <c r="K70" s="147">
        <v>7614530.4849835597</v>
      </c>
      <c r="L70" s="147">
        <v>7614530.4849835597</v>
      </c>
      <c r="M70" s="147">
        <v>7614530.4849835597</v>
      </c>
      <c r="N70" s="147">
        <v>7614530.4849835597</v>
      </c>
      <c r="O70" s="147">
        <v>7614530.4849835597</v>
      </c>
      <c r="P70" s="147">
        <v>7614530.4849835597</v>
      </c>
      <c r="Q70" s="147">
        <v>7614530.4849835597</v>
      </c>
      <c r="R70" s="147">
        <v>7614530.4849835597</v>
      </c>
      <c r="S70" s="147">
        <v>7614530.4849835597</v>
      </c>
      <c r="T70" s="147">
        <v>7614530.4849835597</v>
      </c>
      <c r="U70" s="147">
        <v>7614530.4849835597</v>
      </c>
      <c r="V70" s="147">
        <v>7614530.4849835597</v>
      </c>
      <c r="W70" s="147">
        <v>7614530.4849835597</v>
      </c>
      <c r="X70" s="147">
        <v>7614530.4849835597</v>
      </c>
      <c r="Y70" s="147">
        <v>7614530.4849835597</v>
      </c>
      <c r="Z70" s="147">
        <v>7614530.4849835597</v>
      </c>
      <c r="AA70" s="147">
        <v>7614530.4849835597</v>
      </c>
      <c r="AB70" s="147">
        <v>7614530.4849835597</v>
      </c>
      <c r="AC70" s="147">
        <v>7614530.4849835597</v>
      </c>
      <c r="AD70" s="147">
        <v>7614530.4849835597</v>
      </c>
      <c r="AE70" s="147">
        <v>7614530.4849835597</v>
      </c>
      <c r="AF70" s="147">
        <v>7614530.4849835597</v>
      </c>
      <c r="AG70" s="147">
        <v>7614530.4849835597</v>
      </c>
      <c r="AH70" s="147">
        <v>7614530.4849835597</v>
      </c>
      <c r="AI70" s="147">
        <v>7614530.4849835597</v>
      </c>
      <c r="AJ70" s="147">
        <f t="shared" ref="AJ70:AJ76" si="1">SUM(F70:AI70)</f>
        <v>222201325.83458471</v>
      </c>
    </row>
    <row r="71" spans="2:36">
      <c r="B71" s="122" t="str">
        <v>Operação Geral</v>
      </c>
      <c r="C71" s="149" t="str">
        <v>3</v>
      </c>
      <c r="D71" s="149" t="str">
        <v>3.3</v>
      </c>
      <c r="E71" s="122" t="str">
        <v>Despesas diversas</v>
      </c>
      <c r="F71" s="147">
        <v>2018545.1656652358</v>
      </c>
      <c r="G71" s="147">
        <v>1989348.1003796519</v>
      </c>
      <c r="H71" s="147">
        <v>2143360.8042991585</v>
      </c>
      <c r="I71" s="147">
        <v>2221315.7170326537</v>
      </c>
      <c r="J71" s="147">
        <v>2316244.6833452159</v>
      </c>
      <c r="K71" s="147">
        <v>2302580.283345216</v>
      </c>
      <c r="L71" s="147">
        <v>2366538.1754313414</v>
      </c>
      <c r="M71" s="147">
        <v>2416831.6675174674</v>
      </c>
      <c r="N71" s="147">
        <v>2699732.5605019252</v>
      </c>
      <c r="O71" s="147">
        <v>2750026.0525880507</v>
      </c>
      <c r="P71" s="147">
        <v>2825466.290717239</v>
      </c>
      <c r="Q71" s="147">
        <v>3097051.1479823184</v>
      </c>
      <c r="R71" s="147">
        <v>3172491.3861115067</v>
      </c>
      <c r="S71" s="147">
        <v>3247931.6242406955</v>
      </c>
      <c r="T71" s="147">
        <v>3335945.2353914157</v>
      </c>
      <c r="U71" s="147">
        <v>3517001.8069014684</v>
      </c>
      <c r="V71" s="147">
        <v>3579868.6720091258</v>
      </c>
      <c r="W71" s="147">
        <v>3700573.0530158277</v>
      </c>
      <c r="X71" s="147">
        <v>3700573.0530158277</v>
      </c>
      <c r="Y71" s="147">
        <v>3686108.6530158278</v>
      </c>
      <c r="Z71" s="147">
        <v>3686108.6530158278</v>
      </c>
      <c r="AA71" s="147">
        <v>3686108.6530158278</v>
      </c>
      <c r="AB71" s="147">
        <v>3686108.6530158278</v>
      </c>
      <c r="AC71" s="147">
        <v>3686108.6530158278</v>
      </c>
      <c r="AD71" s="147">
        <v>3686108.6530158278</v>
      </c>
      <c r="AE71" s="147">
        <v>3686108.6530158278</v>
      </c>
      <c r="AF71" s="147">
        <v>3686108.6530158278</v>
      </c>
      <c r="AG71" s="147">
        <v>3686108.6530158278</v>
      </c>
      <c r="AH71" s="147">
        <v>3686108.6530158278</v>
      </c>
      <c r="AI71" s="147">
        <v>3686108.6530158278</v>
      </c>
      <c r="AJ71" s="147">
        <f t="shared" si="1"/>
        <v>93948620.662665412</v>
      </c>
    </row>
    <row r="72" spans="2:36">
      <c r="B72" s="122" t="str">
        <v>Operação Geral</v>
      </c>
      <c r="C72" s="149" t="str">
        <v>3</v>
      </c>
      <c r="D72" s="149" t="str">
        <v>3.4</v>
      </c>
      <c r="E72" s="122" t="str">
        <v>Conservação dos equipamentos e sistemas</v>
      </c>
      <c r="F72" s="147">
        <v>2271403.9651625608</v>
      </c>
      <c r="G72" s="147">
        <v>2556677.1883508223</v>
      </c>
      <c r="H72" s="147">
        <v>2562727.4118414824</v>
      </c>
      <c r="I72" s="147">
        <v>2574945.4118414824</v>
      </c>
      <c r="J72" s="147">
        <v>2563208.7686548331</v>
      </c>
      <c r="K72" s="147">
        <v>2448764.292051069</v>
      </c>
      <c r="L72" s="147">
        <v>2688443.9345363518</v>
      </c>
      <c r="M72" s="147">
        <v>2676225.9345363518</v>
      </c>
      <c r="N72" s="147">
        <v>2680960.4234854635</v>
      </c>
      <c r="O72" s="147">
        <v>2693178.423485464</v>
      </c>
      <c r="P72" s="147">
        <v>2680960.4234854635</v>
      </c>
      <c r="Q72" s="147">
        <v>2680960.4234854635</v>
      </c>
      <c r="R72" s="147">
        <v>2693178.423485464</v>
      </c>
      <c r="S72" s="147">
        <v>2680960.4234854635</v>
      </c>
      <c r="T72" s="147">
        <v>2685694.9124345751</v>
      </c>
      <c r="U72" s="147">
        <v>2697912.9124345756</v>
      </c>
      <c r="V72" s="147">
        <v>2685694.9124345751</v>
      </c>
      <c r="W72" s="147">
        <v>2685694.9124345751</v>
      </c>
      <c r="X72" s="147">
        <v>2697912.9124345756</v>
      </c>
      <c r="Y72" s="147">
        <v>2458233.2699492923</v>
      </c>
      <c r="Z72" s="147">
        <v>2458233.2699492923</v>
      </c>
      <c r="AA72" s="147">
        <v>2470451.2699492928</v>
      </c>
      <c r="AB72" s="147">
        <v>2458233.2699492923</v>
      </c>
      <c r="AC72" s="147">
        <v>2458233.2699492923</v>
      </c>
      <c r="AD72" s="147">
        <v>2470451.2699492928</v>
      </c>
      <c r="AE72" s="147">
        <v>823183.608128989</v>
      </c>
      <c r="AF72" s="147">
        <v>823183.608128989</v>
      </c>
      <c r="AG72" s="147">
        <v>835401.60812898912</v>
      </c>
      <c r="AH72" s="147">
        <v>823183.608128989</v>
      </c>
      <c r="AI72" s="147">
        <v>823183.608128989</v>
      </c>
      <c r="AJ72" s="147">
        <f t="shared" si="1"/>
        <v>68807477.67040135</v>
      </c>
    </row>
    <row r="73" spans="2:36">
      <c r="B73" s="122" t="str">
        <v>Socioambiental</v>
      </c>
      <c r="C73" s="149" t="str">
        <v>5</v>
      </c>
      <c r="D73" s="149">
        <v>5</v>
      </c>
      <c r="E73" s="122" t="str">
        <v>Gestão ambiental do sistema rodoviário - opex</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f t="shared" si="1"/>
        <v>0</v>
      </c>
    </row>
    <row r="74" spans="2:36">
      <c r="B74" s="122" t="str">
        <v>Socioambiental</v>
      </c>
      <c r="C74" s="149" t="str">
        <v>5</v>
      </c>
      <c r="D74" s="149" t="str">
        <v>5.1</v>
      </c>
      <c r="E74" s="122" t="str">
        <v>Gestão ambiental da implantação</v>
      </c>
      <c r="F74" s="147">
        <v>0</v>
      </c>
      <c r="G74" s="147">
        <v>0</v>
      </c>
      <c r="H74" s="147">
        <v>2679993.9246020853</v>
      </c>
      <c r="I74" s="147">
        <v>2679993.9246020853</v>
      </c>
      <c r="J74" s="147">
        <v>2679993.9246020853</v>
      </c>
      <c r="K74" s="147">
        <v>2679993.9246020853</v>
      </c>
      <c r="L74" s="147">
        <v>2679993.9246020853</v>
      </c>
      <c r="M74" s="147">
        <v>2679993.9246020853</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c r="AH74" s="147">
        <v>0</v>
      </c>
      <c r="AI74" s="147">
        <v>0</v>
      </c>
      <c r="AJ74" s="147">
        <f t="shared" si="1"/>
        <v>16079963.547612512</v>
      </c>
    </row>
    <row r="75" spans="2:36">
      <c r="B75" s="122" t="str">
        <v>Socioambiental</v>
      </c>
      <c r="C75" s="149" t="str">
        <v>5</v>
      </c>
      <c r="D75" s="149" t="str">
        <v>5.2</v>
      </c>
      <c r="E75" s="122" t="str">
        <v>Gestão ambiental da operação</v>
      </c>
      <c r="F75" s="147">
        <v>779335.85735448718</v>
      </c>
      <c r="G75" s="147">
        <v>1163833.9353101032</v>
      </c>
      <c r="H75" s="147">
        <v>1163833.9353101032</v>
      </c>
      <c r="I75" s="147">
        <v>2028564.8428904954</v>
      </c>
      <c r="J75" s="147">
        <v>2097250.6734166807</v>
      </c>
      <c r="K75" s="147">
        <v>2028564.8428904954</v>
      </c>
      <c r="L75" s="147">
        <v>2028564.8428904954</v>
      </c>
      <c r="M75" s="147">
        <v>2103173.5964585906</v>
      </c>
      <c r="N75" s="147">
        <v>2171859.4269847758</v>
      </c>
      <c r="O75" s="147">
        <v>2103173.5964585906</v>
      </c>
      <c r="P75" s="147">
        <v>2103173.5964585906</v>
      </c>
      <c r="Q75" s="147">
        <v>2103173.5964585906</v>
      </c>
      <c r="R75" s="147">
        <v>2171859.4269847758</v>
      </c>
      <c r="S75" s="147">
        <v>2103173.5964585906</v>
      </c>
      <c r="T75" s="147">
        <v>2103173.5964585906</v>
      </c>
      <c r="U75" s="147">
        <v>2103173.5964585906</v>
      </c>
      <c r="V75" s="147">
        <v>2171859.4269847758</v>
      </c>
      <c r="W75" s="147">
        <v>2103173.5964585906</v>
      </c>
      <c r="X75" s="147">
        <v>2103173.5964585906</v>
      </c>
      <c r="Y75" s="147">
        <v>2103173.5964585906</v>
      </c>
      <c r="Z75" s="147">
        <v>2171859.4269847758</v>
      </c>
      <c r="AA75" s="147">
        <v>2103173.5964585906</v>
      </c>
      <c r="AB75" s="147">
        <v>2103173.5964585906</v>
      </c>
      <c r="AC75" s="147">
        <v>2103173.5964585906</v>
      </c>
      <c r="AD75" s="147">
        <v>2171859.4269847758</v>
      </c>
      <c r="AE75" s="147">
        <v>2103173.5964585906</v>
      </c>
      <c r="AF75" s="147">
        <v>2103173.5964585906</v>
      </c>
      <c r="AG75" s="147">
        <v>2103173.5964585906</v>
      </c>
      <c r="AH75" s="147">
        <v>2171859.4269847758</v>
      </c>
      <c r="AI75" s="147">
        <v>2103173.5964585906</v>
      </c>
      <c r="AJ75" s="147">
        <f t="shared" si="1"/>
        <v>60075056.631767578</v>
      </c>
    </row>
    <row r="76" spans="2:36">
      <c r="B76" s="136" t="s">
        <v>1003</v>
      </c>
      <c r="C76" s="136"/>
      <c r="D76" s="122"/>
      <c r="E76" s="122"/>
      <c r="F76" s="144">
        <f t="shared" ref="F76:AI76" si="2">SUM(F5:F75)</f>
        <v>34795902.606316827</v>
      </c>
      <c r="G76" s="144">
        <f t="shared" si="2"/>
        <v>40212173.912858956</v>
      </c>
      <c r="H76" s="144">
        <f t="shared" si="2"/>
        <v>44368723.83950606</v>
      </c>
      <c r="I76" s="144">
        <f t="shared" si="2"/>
        <v>47520447.130201668</v>
      </c>
      <c r="J76" s="144">
        <f t="shared" si="2"/>
        <v>49204104.657721743</v>
      </c>
      <c r="K76" s="144">
        <f t="shared" si="2"/>
        <v>47913049.688701719</v>
      </c>
      <c r="L76" s="144">
        <f t="shared" si="2"/>
        <v>49977616.487722784</v>
      </c>
      <c r="M76" s="144">
        <f t="shared" si="2"/>
        <v>50122869.951257944</v>
      </c>
      <c r="N76" s="144">
        <f t="shared" si="2"/>
        <v>48396837.083215356</v>
      </c>
      <c r="O76" s="144">
        <f t="shared" si="2"/>
        <v>48400118.467686698</v>
      </c>
      <c r="P76" s="144">
        <f t="shared" si="2"/>
        <v>48713063.013211466</v>
      </c>
      <c r="Q76" s="144">
        <f t="shared" si="2"/>
        <v>49107137.661354832</v>
      </c>
      <c r="R76" s="144">
        <f t="shared" si="2"/>
        <v>49541776.556945115</v>
      </c>
      <c r="S76" s="144">
        <f t="shared" si="2"/>
        <v>49768047.098285362</v>
      </c>
      <c r="T76" s="144">
        <f t="shared" si="2"/>
        <v>50413589.769430682</v>
      </c>
      <c r="U76" s="144">
        <f t="shared" si="2"/>
        <v>51232471.537165008</v>
      </c>
      <c r="V76" s="144">
        <f t="shared" si="2"/>
        <v>51587901.748275369</v>
      </c>
      <c r="W76" s="144">
        <f t="shared" si="2"/>
        <v>51626671.579119496</v>
      </c>
      <c r="X76" s="144">
        <f t="shared" si="2"/>
        <v>51886026.468707658</v>
      </c>
      <c r="Y76" s="144">
        <f t="shared" si="2"/>
        <v>49856570.100120954</v>
      </c>
      <c r="Z76" s="144">
        <f t="shared" si="2"/>
        <v>50065346.677104086</v>
      </c>
      <c r="AA76" s="144">
        <f t="shared" si="2"/>
        <v>49868788.100120954</v>
      </c>
      <c r="AB76" s="144">
        <f t="shared" si="2"/>
        <v>49996660.846577905</v>
      </c>
      <c r="AC76" s="144">
        <f t="shared" si="2"/>
        <v>49963616.243252151</v>
      </c>
      <c r="AD76" s="144">
        <f t="shared" si="2"/>
        <v>50077564.677104086</v>
      </c>
      <c r="AE76" s="144">
        <f t="shared" si="2"/>
        <v>48221520.438300647</v>
      </c>
      <c r="AF76" s="144">
        <f t="shared" si="2"/>
        <v>48361611.184757598</v>
      </c>
      <c r="AG76" s="144">
        <f t="shared" si="2"/>
        <v>48233738.438300647</v>
      </c>
      <c r="AH76" s="144">
        <f t="shared" si="2"/>
        <v>48537343.158414975</v>
      </c>
      <c r="AI76" s="144">
        <f t="shared" si="2"/>
        <v>48221520.438300647</v>
      </c>
      <c r="AJ76" s="148">
        <f t="shared" si="1"/>
        <v>1456192809.5600393</v>
      </c>
    </row>
    <row r="77" spans="2:36">
      <c r="B77" t="s">
        <v>1004</v>
      </c>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row>
    <row r="78" spans="2:36">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row>
    <row r="79" spans="2:36">
      <c r="B79" s="2" t="s">
        <v>1005</v>
      </c>
      <c r="E79" s="241"/>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row>
    <row r="80" spans="2:36">
      <c r="B80" s="621"/>
      <c r="C80" s="621"/>
      <c r="D80" s="621"/>
      <c r="E80" s="46" t="str" cm="1">
        <f t="array" ref="E80:AH80">F4:AI4</f>
        <v>Ano 1</v>
      </c>
      <c r="F80" s="46" t="str">
        <v>Ano 2</v>
      </c>
      <c r="G80" s="46" t="str">
        <v>Ano 3</v>
      </c>
      <c r="H80" s="46" t="str">
        <v>Ano 4</v>
      </c>
      <c r="I80" s="46" t="str">
        <v>Ano 5</v>
      </c>
      <c r="J80" s="46" t="str">
        <v>Ano 6</v>
      </c>
      <c r="K80" s="46" t="str">
        <v>Ano 7</v>
      </c>
      <c r="L80" s="46" t="str">
        <v>Ano 8</v>
      </c>
      <c r="M80" s="46" t="str">
        <v>Ano 9</v>
      </c>
      <c r="N80" s="46" t="str">
        <v>Ano 10</v>
      </c>
      <c r="O80" s="46" t="str">
        <v>Ano 11</v>
      </c>
      <c r="P80" s="46" t="str">
        <v>Ano 12</v>
      </c>
      <c r="Q80" s="46" t="str">
        <v>Ano 13</v>
      </c>
      <c r="R80" s="46" t="str">
        <v>Ano 14</v>
      </c>
      <c r="S80" s="46" t="str">
        <v>Ano 15</v>
      </c>
      <c r="T80" s="46" t="str">
        <v>Ano 16</v>
      </c>
      <c r="U80" s="46" t="str">
        <v>Ano 17</v>
      </c>
      <c r="V80" s="46" t="str">
        <v>Ano 18</v>
      </c>
      <c r="W80" s="46" t="str">
        <v>Ano 19</v>
      </c>
      <c r="X80" s="46" t="str">
        <v>Ano 20</v>
      </c>
      <c r="Y80" s="46" t="str">
        <v>Ano 21</v>
      </c>
      <c r="Z80" s="46" t="str">
        <v>Ano 22</v>
      </c>
      <c r="AA80" s="46" t="str">
        <v>Ano 23</v>
      </c>
      <c r="AB80" s="46" t="str">
        <v>Ano 24</v>
      </c>
      <c r="AC80" s="46" t="str">
        <v>Ano 25</v>
      </c>
      <c r="AD80" s="46" t="str">
        <v>Ano 26</v>
      </c>
      <c r="AE80" s="46" t="str">
        <v>Ano 27</v>
      </c>
      <c r="AF80" s="46" t="str">
        <v>Ano 28</v>
      </c>
      <c r="AG80" s="46" t="str">
        <v>Ano 29</v>
      </c>
      <c r="AH80" s="46" t="str">
        <v>Ano 30</v>
      </c>
    </row>
    <row r="81" spans="1:35">
      <c r="A81" s="155"/>
      <c r="B81" s="626" t="s">
        <v>221</v>
      </c>
      <c r="C81" s="627"/>
      <c r="D81" s="628"/>
      <c r="E81" s="192">
        <f>'Painel Controle'!C126 / 'Painel Controle'!D236</f>
        <v>571948.12778373249</v>
      </c>
      <c r="F81" s="187">
        <v>0</v>
      </c>
      <c r="G81" s="187">
        <v>0</v>
      </c>
      <c r="H81" s="187">
        <v>0</v>
      </c>
      <c r="I81" s="187">
        <v>0</v>
      </c>
      <c r="J81" s="187">
        <v>0</v>
      </c>
      <c r="K81" s="187">
        <v>0</v>
      </c>
      <c r="L81" s="187">
        <v>0</v>
      </c>
      <c r="M81" s="187">
        <v>0</v>
      </c>
      <c r="N81" s="187">
        <v>0</v>
      </c>
      <c r="O81" s="187">
        <v>0</v>
      </c>
      <c r="P81" s="187">
        <v>0</v>
      </c>
      <c r="Q81" s="187">
        <v>0</v>
      </c>
      <c r="R81" s="187">
        <v>0</v>
      </c>
      <c r="S81" s="187">
        <v>0</v>
      </c>
      <c r="T81" s="187">
        <v>0</v>
      </c>
      <c r="U81" s="187">
        <v>0</v>
      </c>
      <c r="V81" s="187">
        <v>0</v>
      </c>
      <c r="W81" s="187">
        <v>0</v>
      </c>
      <c r="X81" s="187">
        <v>0</v>
      </c>
      <c r="Y81" s="187">
        <v>0</v>
      </c>
      <c r="Z81" s="187">
        <v>0</v>
      </c>
      <c r="AA81" s="187">
        <v>0</v>
      </c>
      <c r="AB81" s="187">
        <v>0</v>
      </c>
      <c r="AC81" s="187">
        <v>0</v>
      </c>
      <c r="AD81" s="187">
        <v>0</v>
      </c>
      <c r="AE81" s="187">
        <v>0</v>
      </c>
      <c r="AF81" s="187">
        <v>0</v>
      </c>
      <c r="AG81" s="187">
        <v>0</v>
      </c>
      <c r="AH81" s="187">
        <v>0</v>
      </c>
    </row>
    <row r="82" spans="1:35">
      <c r="A82" s="155"/>
      <c r="B82" s="626" t="s">
        <v>223</v>
      </c>
      <c r="C82" s="627"/>
      <c r="D82" s="628"/>
      <c r="E82" s="192">
        <f>'Painel Controle'!C127 / 'Painel Controle'!D237</f>
        <v>97863.231654534582</v>
      </c>
      <c r="F82" s="187">
        <v>0</v>
      </c>
      <c r="G82" s="187">
        <v>0</v>
      </c>
      <c r="H82" s="187">
        <v>0</v>
      </c>
      <c r="I82" s="187">
        <v>0</v>
      </c>
      <c r="J82" s="187">
        <v>0</v>
      </c>
      <c r="K82" s="187">
        <v>0</v>
      </c>
      <c r="L82" s="187">
        <v>0</v>
      </c>
      <c r="M82" s="187">
        <v>0</v>
      </c>
      <c r="N82" s="187">
        <v>0</v>
      </c>
      <c r="O82" s="187">
        <v>0</v>
      </c>
      <c r="P82" s="187">
        <v>0</v>
      </c>
      <c r="Q82" s="187">
        <v>0</v>
      </c>
      <c r="R82" s="187">
        <v>0</v>
      </c>
      <c r="S82" s="187">
        <v>0</v>
      </c>
      <c r="T82" s="187">
        <v>0</v>
      </c>
      <c r="U82" s="187">
        <v>0</v>
      </c>
      <c r="V82" s="187">
        <v>0</v>
      </c>
      <c r="W82" s="187">
        <v>0</v>
      </c>
      <c r="X82" s="187">
        <v>0</v>
      </c>
      <c r="Y82" s="187">
        <v>0</v>
      </c>
      <c r="Z82" s="187">
        <v>0</v>
      </c>
      <c r="AA82" s="187">
        <v>0</v>
      </c>
      <c r="AB82" s="187">
        <v>0</v>
      </c>
      <c r="AC82" s="187">
        <v>0</v>
      </c>
      <c r="AD82" s="187">
        <v>0</v>
      </c>
      <c r="AE82" s="187">
        <v>0</v>
      </c>
      <c r="AF82" s="187">
        <v>0</v>
      </c>
      <c r="AG82" s="187">
        <v>0</v>
      </c>
      <c r="AH82" s="187">
        <v>0</v>
      </c>
    </row>
    <row r="83" spans="1:35">
      <c r="A83" s="155"/>
      <c r="B83" s="626" t="s">
        <v>224</v>
      </c>
      <c r="C83" s="627"/>
      <c r="D83" s="628"/>
      <c r="E83" s="192">
        <f>'Painel Controle'!C128 / 'Painel Controle'!D238</f>
        <v>9228916.090936657</v>
      </c>
      <c r="F83" s="187">
        <v>0</v>
      </c>
      <c r="G83" s="187">
        <v>0</v>
      </c>
      <c r="H83" s="187">
        <v>0</v>
      </c>
      <c r="I83" s="187">
        <v>0</v>
      </c>
      <c r="J83" s="187">
        <v>0</v>
      </c>
      <c r="K83" s="187">
        <v>0</v>
      </c>
      <c r="L83" s="187">
        <v>0</v>
      </c>
      <c r="M83" s="187">
        <v>0</v>
      </c>
      <c r="N83" s="187">
        <v>0</v>
      </c>
      <c r="O83" s="187">
        <v>0</v>
      </c>
      <c r="P83" s="187">
        <v>0</v>
      </c>
      <c r="Q83" s="187">
        <v>0</v>
      </c>
      <c r="R83" s="187">
        <v>0</v>
      </c>
      <c r="S83" s="187">
        <v>0</v>
      </c>
      <c r="T83" s="187">
        <v>0</v>
      </c>
      <c r="U83" s="187">
        <v>0</v>
      </c>
      <c r="V83" s="187">
        <v>0</v>
      </c>
      <c r="W83" s="187">
        <v>0</v>
      </c>
      <c r="X83" s="187">
        <v>0</v>
      </c>
      <c r="Y83" s="187">
        <v>0</v>
      </c>
      <c r="Z83" s="187">
        <v>0</v>
      </c>
      <c r="AA83" s="187">
        <v>0</v>
      </c>
      <c r="AB83" s="187">
        <v>0</v>
      </c>
      <c r="AC83" s="187">
        <v>0</v>
      </c>
      <c r="AD83" s="187">
        <v>0</v>
      </c>
      <c r="AE83" s="187">
        <v>0</v>
      </c>
      <c r="AF83" s="187">
        <v>0</v>
      </c>
      <c r="AG83" s="187">
        <v>0</v>
      </c>
      <c r="AH83" s="187">
        <v>0</v>
      </c>
    </row>
    <row r="84" spans="1:35">
      <c r="A84" s="155"/>
      <c r="B84" s="623" t="s">
        <v>1006</v>
      </c>
      <c r="C84" s="623"/>
      <c r="D84" s="623"/>
      <c r="E84" s="152">
        <f ca="1">PMT('Painel Controle'!$C7,30,'Painel Controle'!$C141*'Painel Controle'!$C51) * -1</f>
        <v>2770373.5611297716</v>
      </c>
      <c r="F84" s="152">
        <f ca="1">PMT('Painel Controle'!$C7,30,'Painel Controle'!$C141*'Painel Controle'!$C51) * -1</f>
        <v>2770373.5611297716</v>
      </c>
      <c r="G84" s="152">
        <f ca="1">PMT('Painel Controle'!$C7,30,'Painel Controle'!$C141*'Painel Controle'!$C51) * -1</f>
        <v>2770373.5611297716</v>
      </c>
      <c r="H84" s="152">
        <f ca="1">PMT('Painel Controle'!$C7,30,'Painel Controle'!$C141*'Painel Controle'!$C51) * -1</f>
        <v>2770373.5611297716</v>
      </c>
      <c r="I84" s="152">
        <f ca="1">PMT('Painel Controle'!$C7,30,'Painel Controle'!$C141*'Painel Controle'!$C51) * -1</f>
        <v>2770373.5611297716</v>
      </c>
      <c r="J84" s="152">
        <f ca="1">PMT('Painel Controle'!$C7,30,'Painel Controle'!$C141*'Painel Controle'!$C51) * -1</f>
        <v>2770373.5611297716</v>
      </c>
      <c r="K84" s="152">
        <f ca="1">PMT('Painel Controle'!$C7,30,'Painel Controle'!$C141*'Painel Controle'!$C51) * -1</f>
        <v>2770373.5611297716</v>
      </c>
      <c r="L84" s="152">
        <f ca="1">PMT('Painel Controle'!$C7,30,'Painel Controle'!$C141*'Painel Controle'!$C51) * -1</f>
        <v>2770373.5611297716</v>
      </c>
      <c r="M84" s="152">
        <f ca="1">PMT('Painel Controle'!$C7,30,'Painel Controle'!$C141*'Painel Controle'!$C51) * -1</f>
        <v>2770373.5611297716</v>
      </c>
      <c r="N84" s="152">
        <f ca="1">PMT('Painel Controle'!$C7,30,'Painel Controle'!$C141*'Painel Controle'!$C51) * -1</f>
        <v>2770373.5611297716</v>
      </c>
      <c r="O84" s="152">
        <f ca="1">PMT('Painel Controle'!$C7,30,'Painel Controle'!$C141*'Painel Controle'!$C51) * -1</f>
        <v>2770373.5611297716</v>
      </c>
      <c r="P84" s="152">
        <f ca="1">PMT('Painel Controle'!$C7,30,'Painel Controle'!$C141*'Painel Controle'!$C51) * -1</f>
        <v>2770373.5611297716</v>
      </c>
      <c r="Q84" s="152">
        <f ca="1">PMT('Painel Controle'!$C7,30,'Painel Controle'!$C141*'Painel Controle'!$C51) * -1</f>
        <v>2770373.5611297716</v>
      </c>
      <c r="R84" s="152">
        <f ca="1">PMT('Painel Controle'!$C7,30,'Painel Controle'!$C141*'Painel Controle'!$C51) * -1</f>
        <v>2770373.5611297716</v>
      </c>
      <c r="S84" s="152">
        <f ca="1">PMT('Painel Controle'!$C7,30,'Painel Controle'!$C141*'Painel Controle'!$C51) * -1</f>
        <v>2770373.5611297716</v>
      </c>
      <c r="T84" s="152">
        <f ca="1">PMT('Painel Controle'!$C7,30,'Painel Controle'!$C141*'Painel Controle'!$C51) * -1</f>
        <v>2770373.5611297716</v>
      </c>
      <c r="U84" s="152">
        <f ca="1">PMT('Painel Controle'!$C7,30,'Painel Controle'!$C141*'Painel Controle'!$C51) * -1</f>
        <v>2770373.5611297716</v>
      </c>
      <c r="V84" s="152">
        <f ca="1">PMT('Painel Controle'!$C7,30,'Painel Controle'!$C141*'Painel Controle'!$C51) * -1</f>
        <v>2770373.5611297716</v>
      </c>
      <c r="W84" s="152">
        <f ca="1">PMT('Painel Controle'!$C7,30,'Painel Controle'!$C141*'Painel Controle'!$C51) * -1</f>
        <v>2770373.5611297716</v>
      </c>
      <c r="X84" s="152">
        <f ca="1">PMT('Painel Controle'!$C7,30,'Painel Controle'!$C141*'Painel Controle'!$C51) * -1</f>
        <v>2770373.5611297716</v>
      </c>
      <c r="Y84" s="152">
        <f ca="1">PMT('Painel Controle'!$C7,30,'Painel Controle'!$C141*'Painel Controle'!$C51) * -1</f>
        <v>2770373.5611297716</v>
      </c>
      <c r="Z84" s="152">
        <f ca="1">PMT('Painel Controle'!$C7,30,'Painel Controle'!$C141*'Painel Controle'!$C51) * -1</f>
        <v>2770373.5611297716</v>
      </c>
      <c r="AA84" s="152">
        <f ca="1">PMT('Painel Controle'!$C7,30,'Painel Controle'!$C141*'Painel Controle'!$C51) * -1</f>
        <v>2770373.5611297716</v>
      </c>
      <c r="AB84" s="152">
        <f ca="1">PMT('Painel Controle'!$C7,30,'Painel Controle'!$C141*'Painel Controle'!$C51) * -1</f>
        <v>2770373.5611297716</v>
      </c>
      <c r="AC84" s="152">
        <f ca="1">PMT('Painel Controle'!$C7,30,'Painel Controle'!$C141*'Painel Controle'!$C51) * -1</f>
        <v>2770373.5611297716</v>
      </c>
      <c r="AD84" s="152">
        <f ca="1">PMT('Painel Controle'!$C7,30,'Painel Controle'!$C141*'Painel Controle'!$C51) * -1</f>
        <v>2770373.5611297716</v>
      </c>
      <c r="AE84" s="152">
        <f ca="1">PMT('Painel Controle'!$C7,30,'Painel Controle'!$C141*'Painel Controle'!$C51) * -1</f>
        <v>2770373.5611297716</v>
      </c>
      <c r="AF84" s="152">
        <f ca="1">PMT('Painel Controle'!$C7,30,'Painel Controle'!$C141*'Painel Controle'!$C51) * -1</f>
        <v>2770373.5611297716</v>
      </c>
      <c r="AG84" s="152">
        <f ca="1">PMT('Painel Controle'!$C7,30,'Painel Controle'!$C141*'Painel Controle'!$C51) * -1</f>
        <v>2770373.5611297716</v>
      </c>
      <c r="AH84" s="152">
        <f ca="1">PMT('Painel Controle'!$C7,30,'Painel Controle'!$C141*'Painel Controle'!$C51) * -1</f>
        <v>2770373.5611297716</v>
      </c>
    </row>
    <row r="85" spans="1:35">
      <c r="A85" s="155"/>
      <c r="B85" s="623" t="s">
        <v>1007</v>
      </c>
      <c r="C85" s="623"/>
      <c r="D85" s="623"/>
      <c r="E85" s="152">
        <f>$E106</f>
        <v>1479486.0059498129</v>
      </c>
      <c r="F85" s="152">
        <f t="shared" ref="F85:AH85" si="3">$E106</f>
        <v>1479486.0059498129</v>
      </c>
      <c r="G85" s="152">
        <f t="shared" si="3"/>
        <v>1479486.0059498129</v>
      </c>
      <c r="H85" s="152">
        <f t="shared" si="3"/>
        <v>1479486.0059498129</v>
      </c>
      <c r="I85" s="152">
        <f t="shared" si="3"/>
        <v>1479486.0059498129</v>
      </c>
      <c r="J85" s="152">
        <f t="shared" si="3"/>
        <v>1479486.0059498129</v>
      </c>
      <c r="K85" s="152">
        <f t="shared" si="3"/>
        <v>1479486.0059498129</v>
      </c>
      <c r="L85" s="152">
        <f t="shared" si="3"/>
        <v>1479486.0059498129</v>
      </c>
      <c r="M85" s="152">
        <f t="shared" si="3"/>
        <v>1479486.0059498129</v>
      </c>
      <c r="N85" s="152">
        <f t="shared" si="3"/>
        <v>1479486.0059498129</v>
      </c>
      <c r="O85" s="152">
        <f t="shared" si="3"/>
        <v>1479486.0059498129</v>
      </c>
      <c r="P85" s="152">
        <f t="shared" si="3"/>
        <v>1479486.0059498129</v>
      </c>
      <c r="Q85" s="152">
        <f t="shared" si="3"/>
        <v>1479486.0059498129</v>
      </c>
      <c r="R85" s="152">
        <f t="shared" si="3"/>
        <v>1479486.0059498129</v>
      </c>
      <c r="S85" s="152">
        <f t="shared" si="3"/>
        <v>1479486.0059498129</v>
      </c>
      <c r="T85" s="152">
        <f t="shared" si="3"/>
        <v>1479486.0059498129</v>
      </c>
      <c r="U85" s="152">
        <f t="shared" si="3"/>
        <v>1479486.0059498129</v>
      </c>
      <c r="V85" s="152">
        <f t="shared" si="3"/>
        <v>1479486.0059498129</v>
      </c>
      <c r="W85" s="152">
        <f t="shared" si="3"/>
        <v>1479486.0059498129</v>
      </c>
      <c r="X85" s="152">
        <f t="shared" si="3"/>
        <v>1479486.0059498129</v>
      </c>
      <c r="Y85" s="152">
        <f t="shared" si="3"/>
        <v>1479486.0059498129</v>
      </c>
      <c r="Z85" s="152">
        <f t="shared" si="3"/>
        <v>1479486.0059498129</v>
      </c>
      <c r="AA85" s="152">
        <f t="shared" si="3"/>
        <v>1479486.0059498129</v>
      </c>
      <c r="AB85" s="152">
        <f t="shared" si="3"/>
        <v>1479486.0059498129</v>
      </c>
      <c r="AC85" s="152">
        <f t="shared" si="3"/>
        <v>1479486.0059498129</v>
      </c>
      <c r="AD85" s="152">
        <f t="shared" si="3"/>
        <v>1479486.0059498129</v>
      </c>
      <c r="AE85" s="152">
        <f t="shared" si="3"/>
        <v>1479486.0059498129</v>
      </c>
      <c r="AF85" s="152">
        <f t="shared" si="3"/>
        <v>1479486.0059498129</v>
      </c>
      <c r="AG85" s="152">
        <f t="shared" si="3"/>
        <v>1479486.0059498129</v>
      </c>
      <c r="AH85" s="152">
        <f t="shared" si="3"/>
        <v>1479486.0059498129</v>
      </c>
    </row>
    <row r="86" spans="1:35">
      <c r="A86" s="155"/>
      <c r="B86" s="624" t="s">
        <v>226</v>
      </c>
      <c r="C86" s="624"/>
      <c r="D86" s="624"/>
      <c r="E86" s="152">
        <f>'Painel Controle'!$C$129*'Painel Controle'!$G$88*12</f>
        <v>387804.00000000006</v>
      </c>
      <c r="F86" s="152">
        <f>'Painel Controle'!$C$129*'Painel Controle'!$G$88*12</f>
        <v>387804.00000000006</v>
      </c>
      <c r="G86" s="152">
        <f>'Painel Controle'!$C$129*'Painel Controle'!$G$88*12</f>
        <v>387804.00000000006</v>
      </c>
      <c r="H86" s="152">
        <f>'Painel Controle'!$C$129*'Painel Controle'!$G$88*12</f>
        <v>387804.00000000006</v>
      </c>
      <c r="I86" s="152">
        <f>'Painel Controle'!$C$129*'Painel Controle'!$G$88*12</f>
        <v>387804.00000000006</v>
      </c>
      <c r="J86" s="152">
        <f>'Painel Controle'!$C$129*'Painel Controle'!$G$88*12</f>
        <v>387804.00000000006</v>
      </c>
      <c r="K86" s="152">
        <f>'Painel Controle'!$C$129*'Painel Controle'!$G$88*12</f>
        <v>387804.00000000006</v>
      </c>
      <c r="L86" s="152">
        <f>'Painel Controle'!$C$129*'Painel Controle'!$G$88*12</f>
        <v>387804.00000000006</v>
      </c>
      <c r="M86" s="152">
        <f>'Painel Controle'!$C$129*'Painel Controle'!$G$88*12</f>
        <v>387804.00000000006</v>
      </c>
      <c r="N86" s="152">
        <f>'Painel Controle'!$C$129*'Painel Controle'!$G$88*12</f>
        <v>387804.00000000006</v>
      </c>
      <c r="O86" s="152">
        <f>'Painel Controle'!$C$129*'Painel Controle'!$G$88*12</f>
        <v>387804.00000000006</v>
      </c>
      <c r="P86" s="152">
        <f>'Painel Controle'!$C$129*'Painel Controle'!$G$88*12</f>
        <v>387804.00000000006</v>
      </c>
      <c r="Q86" s="152">
        <f>'Painel Controle'!$C$129*'Painel Controle'!$G$88*12</f>
        <v>387804.00000000006</v>
      </c>
      <c r="R86" s="152">
        <f>'Painel Controle'!$C$129*'Painel Controle'!$G$88*12</f>
        <v>387804.00000000006</v>
      </c>
      <c r="S86" s="152">
        <f>'Painel Controle'!$C$129*'Painel Controle'!$G$88*12</f>
        <v>387804.00000000006</v>
      </c>
      <c r="T86" s="152">
        <f>'Painel Controle'!$C$129*'Painel Controle'!$G$88*12</f>
        <v>387804.00000000006</v>
      </c>
      <c r="U86" s="152">
        <f>'Painel Controle'!$C$129*'Painel Controle'!$G$88*12</f>
        <v>387804.00000000006</v>
      </c>
      <c r="V86" s="152">
        <f>'Painel Controle'!$C$129*'Painel Controle'!$G$88*12</f>
        <v>387804.00000000006</v>
      </c>
      <c r="W86" s="152">
        <f>'Painel Controle'!$C$129*'Painel Controle'!$G$88*12</f>
        <v>387804.00000000006</v>
      </c>
      <c r="X86" s="152">
        <f>'Painel Controle'!$C$129*'Painel Controle'!$G$88*12</f>
        <v>387804.00000000006</v>
      </c>
      <c r="Y86" s="152">
        <f>'Painel Controle'!$C$129*'Painel Controle'!$G$88*12</f>
        <v>387804.00000000006</v>
      </c>
      <c r="Z86" s="152">
        <f>'Painel Controle'!$C$129*'Painel Controle'!$G$88*12</f>
        <v>387804.00000000006</v>
      </c>
      <c r="AA86" s="152">
        <f>'Painel Controle'!$C$129*'Painel Controle'!$G$88*12</f>
        <v>387804.00000000006</v>
      </c>
      <c r="AB86" s="152">
        <f>'Painel Controle'!$C$129*'Painel Controle'!$G$88*12</f>
        <v>387804.00000000006</v>
      </c>
      <c r="AC86" s="152">
        <f>'Painel Controle'!$C$129*'Painel Controle'!$G$88*12</f>
        <v>387804.00000000006</v>
      </c>
      <c r="AD86" s="152">
        <f>'Painel Controle'!$C$129*'Painel Controle'!$G$88*12</f>
        <v>387804.00000000006</v>
      </c>
      <c r="AE86" s="152">
        <f>'Painel Controle'!$C$129*'Painel Controle'!$G$88*12</f>
        <v>387804.00000000006</v>
      </c>
      <c r="AF86" s="152">
        <f>'Painel Controle'!$C$129*'Painel Controle'!$G$88*12</f>
        <v>387804.00000000006</v>
      </c>
      <c r="AG86" s="152">
        <f>'Painel Controle'!$C$129*'Painel Controle'!$G$88*12</f>
        <v>387804.00000000006</v>
      </c>
      <c r="AH86" s="152">
        <f>'Painel Controle'!$C$129*'Painel Controle'!$G$88*12</f>
        <v>387804.00000000006</v>
      </c>
    </row>
    <row r="87" spans="1:35">
      <c r="A87" s="155"/>
      <c r="B87" s="625" t="s">
        <v>1008</v>
      </c>
      <c r="C87" s="625"/>
      <c r="D87" s="625"/>
      <c r="E87" s="231" cm="1">
        <f t="array" aca="1" ref="E87:AH87" ca="1">'Receitas Tarifárias'!D462:AG462 * 'Painel Controle'!C130</f>
        <v>0</v>
      </c>
      <c r="F87" s="152">
        <f ca="1"/>
        <v>2184763.5426599556</v>
      </c>
      <c r="G87" s="152">
        <f ca="1"/>
        <v>2950624.6951064523</v>
      </c>
      <c r="H87" s="152">
        <f ca="1"/>
        <v>2998381.1912041069</v>
      </c>
      <c r="I87" s="152">
        <f ca="1"/>
        <v>3549404.035436742</v>
      </c>
      <c r="J87" s="152">
        <f ca="1"/>
        <v>3629607.0704876431</v>
      </c>
      <c r="K87" s="152">
        <f ca="1"/>
        <v>4176758.68943492</v>
      </c>
      <c r="L87" s="152">
        <f ca="1"/>
        <v>4273437.9588798415</v>
      </c>
      <c r="M87" s="152">
        <f ca="1"/>
        <v>4383205.5562920477</v>
      </c>
      <c r="N87" s="152">
        <f ca="1"/>
        <v>4508342.4446761953</v>
      </c>
      <c r="O87" s="152">
        <f ca="1"/>
        <v>4637316.6820737934</v>
      </c>
      <c r="P87" s="152">
        <f ca="1"/>
        <v>4769856.4081295608</v>
      </c>
      <c r="Q87" s="152">
        <f ca="1"/>
        <v>4898301.5597098013</v>
      </c>
      <c r="R87" s="152">
        <f ca="1"/>
        <v>5021874.9369879207</v>
      </c>
      <c r="S87" s="152">
        <f ca="1"/>
        <v>5139775.3636586452</v>
      </c>
      <c r="T87" s="152">
        <f ca="1"/>
        <v>5492554.7544198576</v>
      </c>
      <c r="U87" s="152">
        <f ca="1"/>
        <v>5602065.9656870328</v>
      </c>
      <c r="V87" s="152">
        <f ca="1"/>
        <v>5703817.9644231778</v>
      </c>
      <c r="W87" s="152">
        <f ca="1"/>
        <v>5797301.0524291769</v>
      </c>
      <c r="X87" s="152">
        <f ca="1"/>
        <v>5882088.7197846221</v>
      </c>
      <c r="Y87" s="152">
        <f ca="1"/>
        <v>5957726.9243510412</v>
      </c>
      <c r="Z87" s="152">
        <f ca="1"/>
        <v>6023882.6239068946</v>
      </c>
      <c r="AA87" s="152">
        <f ca="1"/>
        <v>6080321.3758949181</v>
      </c>
      <c r="AB87" s="152">
        <f ca="1"/>
        <v>6126769.0113336155</v>
      </c>
      <c r="AC87" s="152">
        <f ca="1"/>
        <v>6162968.4988485044</v>
      </c>
      <c r="AD87" s="152">
        <f ca="1"/>
        <v>6188761.6028371062</v>
      </c>
      <c r="AE87" s="152">
        <f ca="1"/>
        <v>6204037.1329121059</v>
      </c>
      <c r="AF87" s="152">
        <f ca="1"/>
        <v>6208632.5878233146</v>
      </c>
      <c r="AG87" s="152">
        <f ca="1"/>
        <v>6202410.2851279369</v>
      </c>
      <c r="AH87" s="152">
        <f ca="1"/>
        <v>6185279.8671340598</v>
      </c>
    </row>
    <row r="88" spans="1:35">
      <c r="A88" s="155"/>
      <c r="B88" s="629" t="s">
        <v>1009</v>
      </c>
      <c r="C88" s="630"/>
      <c r="D88" s="631"/>
      <c r="E88" s="152" cm="1">
        <f t="array" aca="1" ref="E88:AH88" ca="1">IFERROR(IF(_xlfn.ANCHORARRAY('Receitas Tarifárias'!E220) &gt; 'Painel Controle'!C21, 0, ('Painel Controle'!C21-_xlfn.ANCHORARRAY('Receitas Tarifárias'!E220))*('Receitas Tarifárias'!D462:AG462)),0)</f>
        <v>0</v>
      </c>
      <c r="F88" s="152">
        <f ca="1"/>
        <v>1237705.2378570035</v>
      </c>
      <c r="G88" s="152">
        <f ca="1"/>
        <v>1356497.9860243024</v>
      </c>
      <c r="H88" s="152">
        <f ca="1"/>
        <v>1100862.2776303641</v>
      </c>
      <c r="I88" s="152">
        <f ca="1"/>
        <v>941095.21067299484</v>
      </c>
      <c r="J88" s="152">
        <f ca="1"/>
        <v>708519.13832917239</v>
      </c>
      <c r="K88" s="152">
        <f ca="1"/>
        <v>541730.97861425939</v>
      </c>
      <c r="L88" s="152">
        <f ca="1"/>
        <v>285081.85769864894</v>
      </c>
      <c r="M88" s="152">
        <f ca="1"/>
        <v>67060.198740334294</v>
      </c>
      <c r="N88" s="152">
        <f ca="1"/>
        <v>0</v>
      </c>
      <c r="O88" s="152">
        <f ca="1"/>
        <v>0</v>
      </c>
      <c r="P88" s="152">
        <f ca="1"/>
        <v>0</v>
      </c>
      <c r="Q88" s="152">
        <f ca="1"/>
        <v>0</v>
      </c>
      <c r="R88" s="152">
        <f ca="1"/>
        <v>0</v>
      </c>
      <c r="S88" s="152">
        <f ca="1"/>
        <v>0</v>
      </c>
      <c r="T88" s="152">
        <f ca="1"/>
        <v>0</v>
      </c>
      <c r="U88" s="152">
        <f ca="1"/>
        <v>0</v>
      </c>
      <c r="V88" s="152">
        <f ca="1"/>
        <v>0</v>
      </c>
      <c r="W88" s="152">
        <f ca="1"/>
        <v>0</v>
      </c>
      <c r="X88" s="152">
        <f ca="1"/>
        <v>0</v>
      </c>
      <c r="Y88" s="152">
        <f ca="1"/>
        <v>0</v>
      </c>
      <c r="Z88" s="152">
        <f ca="1"/>
        <v>0</v>
      </c>
      <c r="AA88" s="152">
        <f ca="1"/>
        <v>0</v>
      </c>
      <c r="AB88" s="152">
        <f ca="1"/>
        <v>0</v>
      </c>
      <c r="AC88" s="152">
        <f ca="1"/>
        <v>0</v>
      </c>
      <c r="AD88" s="152">
        <f ca="1"/>
        <v>0</v>
      </c>
      <c r="AE88" s="152">
        <f ca="1"/>
        <v>0</v>
      </c>
      <c r="AF88" s="152">
        <f ca="1"/>
        <v>0</v>
      </c>
      <c r="AG88" s="152">
        <f ca="1"/>
        <v>0</v>
      </c>
      <c r="AH88" s="152">
        <f ca="1"/>
        <v>0</v>
      </c>
    </row>
    <row r="89" spans="1:35">
      <c r="A89" s="155"/>
      <c r="B89" s="623" t="s">
        <v>1010</v>
      </c>
      <c r="C89" s="623"/>
      <c r="D89" s="623"/>
      <c r="E89" s="152" cm="1">
        <f t="array" ref="E89:AH89">'Painel Controle'!C137 * Capex!L734:AO734</f>
        <v>254308.21800056568</v>
      </c>
      <c r="F89" s="152">
        <v>173379.07746845699</v>
      </c>
      <c r="G89" s="152">
        <v>457336.87858980347</v>
      </c>
      <c r="H89" s="152">
        <v>1250054.818045232</v>
      </c>
      <c r="I89" s="152">
        <v>614742.6126317837</v>
      </c>
      <c r="J89" s="152">
        <v>734489.03023611265</v>
      </c>
      <c r="K89" s="152">
        <v>5736.767446247899</v>
      </c>
      <c r="L89" s="152">
        <v>91566.239673170843</v>
      </c>
      <c r="M89" s="152">
        <v>89943.06126983765</v>
      </c>
      <c r="N89" s="152">
        <v>55357.010419381179</v>
      </c>
      <c r="O89" s="152">
        <v>30216.420391087297</v>
      </c>
      <c r="P89" s="152">
        <v>14708.082768609998</v>
      </c>
      <c r="Q89" s="152">
        <v>2292.7540998614168</v>
      </c>
      <c r="R89" s="152">
        <v>221.9954062531765</v>
      </c>
      <c r="S89" s="152">
        <v>430144.11470356921</v>
      </c>
      <c r="T89" s="152">
        <v>69732.844775572652</v>
      </c>
      <c r="U89" s="152">
        <v>165960.59373205053</v>
      </c>
      <c r="V89" s="152">
        <v>168457.91775241581</v>
      </c>
      <c r="W89" s="152">
        <v>101830.3292956973</v>
      </c>
      <c r="X89" s="152">
        <v>34488.67902203797</v>
      </c>
      <c r="Y89" s="152">
        <v>10817.183961668872</v>
      </c>
      <c r="Z89" s="152">
        <v>3889.1350356381449</v>
      </c>
      <c r="AA89" s="152">
        <v>31728.786563532209</v>
      </c>
      <c r="AB89" s="152">
        <v>44694.913086859517</v>
      </c>
      <c r="AC89" s="152">
        <v>70856.040251274724</v>
      </c>
      <c r="AD89" s="152">
        <v>77409.381816587935</v>
      </c>
      <c r="AE89" s="152">
        <v>39078.396767308499</v>
      </c>
      <c r="AF89" s="152">
        <v>18376.150409407441</v>
      </c>
      <c r="AG89" s="152">
        <v>29592.024509039813</v>
      </c>
      <c r="AH89" s="152">
        <v>50799.7950813918</v>
      </c>
      <c r="AI89" s="3"/>
    </row>
    <row r="90" spans="1:35">
      <c r="A90" s="155"/>
      <c r="B90" s="623" t="s">
        <v>1011</v>
      </c>
      <c r="C90" s="623"/>
      <c r="D90" s="623"/>
      <c r="E90" s="152" cm="1">
        <f t="array" ref="E90:AH90">'Painel Controle'!$C138 * (E125:AH125 + F76:AI76)</f>
        <v>774634.71460669395</v>
      </c>
      <c r="F90" s="152">
        <v>895637.03755887412</v>
      </c>
      <c r="G90" s="152">
        <v>1204684.8398787237</v>
      </c>
      <c r="H90" s="152">
        <v>2041206.4418662402</v>
      </c>
      <c r="I90" s="152">
        <v>2452718.5078149494</v>
      </c>
      <c r="J90" s="152">
        <v>2941086.8063366716</v>
      </c>
      <c r="K90" s="152">
        <v>2946975.8847665242</v>
      </c>
      <c r="L90" s="152">
        <v>3008165.2980121737</v>
      </c>
      <c r="M90" s="152">
        <v>3066401.3059906894</v>
      </c>
      <c r="N90" s="152">
        <v>3103309.2609880813</v>
      </c>
      <c r="O90" s="152">
        <v>3123766.4857943309</v>
      </c>
      <c r="P90" s="152">
        <v>3133965.9489548816</v>
      </c>
      <c r="Q90" s="152">
        <v>3135929.0905837133</v>
      </c>
      <c r="R90" s="152">
        <v>3136303.3580625551</v>
      </c>
      <c r="S90" s="152">
        <v>3423711.6438694131</v>
      </c>
      <c r="T90" s="152">
        <v>3471019.0888208626</v>
      </c>
      <c r="U90" s="152">
        <v>3582014.9148533391</v>
      </c>
      <c r="V90" s="152">
        <v>3694358.9631857947</v>
      </c>
      <c r="W90" s="152">
        <v>3762505.2042725137</v>
      </c>
      <c r="X90" s="152">
        <v>3783468.2005852861</v>
      </c>
      <c r="Y90" s="152">
        <v>3790888.4331367151</v>
      </c>
      <c r="Z90" s="152">
        <v>3793284.6312501575</v>
      </c>
      <c r="AA90" s="152">
        <v>3814565.0283723027</v>
      </c>
      <c r="AB90" s="152">
        <v>3844328.5924935499</v>
      </c>
      <c r="AC90" s="152">
        <v>3891679.9010949181</v>
      </c>
      <c r="AD90" s="152">
        <v>3941430.1114005069</v>
      </c>
      <c r="AE90" s="152">
        <v>3967622.4666585033</v>
      </c>
      <c r="AF90" s="152">
        <v>3979745.3608516506</v>
      </c>
      <c r="AG90" s="152">
        <v>3999776.9819111247</v>
      </c>
      <c r="AH90" s="152">
        <v>4033327.689245272</v>
      </c>
      <c r="AI90" s="3"/>
    </row>
    <row r="91" spans="1:35">
      <c r="A91" s="155"/>
      <c r="B91" s="623" t="s">
        <v>1012</v>
      </c>
      <c r="C91" s="623"/>
      <c r="D91" s="623"/>
      <c r="E91" s="152" cm="1">
        <f t="array" aca="1" ref="E91:AH91" ca="1">'Painel Controle'!$C139 *_xlfn.ANCHORARRAY( E113)</f>
        <v>222162</v>
      </c>
      <c r="F91" s="152">
        <f ca="1"/>
        <v>218476.35426599556</v>
      </c>
      <c r="G91" s="152">
        <f ca="1"/>
        <v>801240.46951064514</v>
      </c>
      <c r="H91" s="152">
        <f ca="1"/>
        <v>1764204.1191204106</v>
      </c>
      <c r="I91" s="152">
        <f ca="1"/>
        <v>1084744.4035436742</v>
      </c>
      <c r="J91" s="152">
        <f ca="1"/>
        <v>1100450.7070487642</v>
      </c>
      <c r="K91" s="152">
        <f ca="1"/>
        <v>417675.86894349201</v>
      </c>
      <c r="L91" s="152">
        <f ca="1"/>
        <v>427343.7958879841</v>
      </c>
      <c r="M91" s="152">
        <f ca="1"/>
        <v>438320.55562920478</v>
      </c>
      <c r="N91" s="152">
        <f ca="1"/>
        <v>450834.24446761952</v>
      </c>
      <c r="O91" s="152">
        <f ca="1"/>
        <v>463731.66820737935</v>
      </c>
      <c r="P91" s="152">
        <f ca="1"/>
        <v>476985.64081295609</v>
      </c>
      <c r="Q91" s="152">
        <f ca="1"/>
        <v>489830.15597098012</v>
      </c>
      <c r="R91" s="152">
        <f ca="1"/>
        <v>502187.49369879207</v>
      </c>
      <c r="S91" s="152">
        <f ca="1"/>
        <v>513977.53636586451</v>
      </c>
      <c r="T91" s="152">
        <f ca="1"/>
        <v>549255.47544198576</v>
      </c>
      <c r="U91" s="152">
        <f ca="1"/>
        <v>560206.5965687033</v>
      </c>
      <c r="V91" s="152">
        <f ca="1"/>
        <v>570381.79644231778</v>
      </c>
      <c r="W91" s="152">
        <f ca="1"/>
        <v>579730.10524291766</v>
      </c>
      <c r="X91" s="152">
        <f ca="1"/>
        <v>588208.87197846221</v>
      </c>
      <c r="Y91" s="152">
        <f ca="1"/>
        <v>595772.69243510417</v>
      </c>
      <c r="Z91" s="152">
        <f ca="1"/>
        <v>602388.26239068946</v>
      </c>
      <c r="AA91" s="152">
        <f ca="1"/>
        <v>608032.1375894919</v>
      </c>
      <c r="AB91" s="152">
        <f ca="1"/>
        <v>612676.90113336162</v>
      </c>
      <c r="AC91" s="152">
        <f ca="1"/>
        <v>616296.84988485044</v>
      </c>
      <c r="AD91" s="152">
        <f ca="1"/>
        <v>618876.16028371057</v>
      </c>
      <c r="AE91" s="152">
        <f ca="1"/>
        <v>620403.71329121059</v>
      </c>
      <c r="AF91" s="152">
        <f ca="1"/>
        <v>620863.25878233148</v>
      </c>
      <c r="AG91" s="152">
        <f ca="1"/>
        <v>620241.02851279371</v>
      </c>
      <c r="AH91" s="152">
        <f ca="1"/>
        <v>618527.98671340593</v>
      </c>
      <c r="AI91" s="3"/>
    </row>
    <row r="92" spans="1:35">
      <c r="A92" s="155"/>
      <c r="B92" s="623" t="s">
        <v>1013</v>
      </c>
      <c r="C92" s="623"/>
      <c r="D92" s="623"/>
      <c r="E92" s="152">
        <f ca="1">'Painel Controle'!$C140*(('Receitas Tarifárias'!D462/12)*3)</f>
        <v>0</v>
      </c>
      <c r="F92" s="152">
        <f ca="1">'Painel Controle'!$C140*(('Receitas Tarifárias'!E462/12)*3)</f>
        <v>16249.178848533422</v>
      </c>
      <c r="G92" s="152">
        <f ca="1">'Painel Controle'!$C140*(('Receitas Tarifárias'!F462/12)*3)</f>
        <v>21945.271169854241</v>
      </c>
      <c r="H92" s="152">
        <f ca="1">'Painel Controle'!$C140*(('Receitas Tarifárias'!G462/12)*3)</f>
        <v>22300.460109580545</v>
      </c>
      <c r="I92" s="152">
        <f ca="1">'Painel Controle'!$C140*(('Receitas Tarifárias'!H462/12)*3)</f>
        <v>26398.692513560767</v>
      </c>
      <c r="J92" s="152">
        <f ca="1">'Painel Controle'!$C140*(('Receitas Tarifárias'!I462/12)*3)</f>
        <v>26995.202586751846</v>
      </c>
      <c r="K92" s="152">
        <f ca="1">'Painel Controle'!$C140*(('Receitas Tarifárias'!J462/12)*3)</f>
        <v>31064.642752672218</v>
      </c>
      <c r="L92" s="152">
        <f ca="1">'Painel Controle'!$C140*(('Receitas Tarifárias'!K462/12)*3)</f>
        <v>31783.694819168813</v>
      </c>
      <c r="M92" s="152">
        <f ca="1">'Painel Controle'!$C140*(('Receitas Tarifárias'!L462/12)*3)</f>
        <v>32600.091324922105</v>
      </c>
      <c r="N92" s="152">
        <f ca="1">'Painel Controle'!$C140*(('Receitas Tarifárias'!M462/12)*3)</f>
        <v>33530.796932279198</v>
      </c>
      <c r="O92" s="152">
        <f ca="1">'Painel Controle'!$C140*(('Receitas Tarifárias'!N462/12)*3)</f>
        <v>34490.042822923839</v>
      </c>
      <c r="P92" s="152">
        <f ca="1">'Painel Controle'!$C140*(('Receitas Tarifárias'!O462/12)*3)</f>
        <v>35475.807035463615</v>
      </c>
      <c r="Q92" s="152">
        <f ca="1">'Painel Controle'!$C140*(('Receitas Tarifárias'!P462/12)*3)</f>
        <v>36431.117850341645</v>
      </c>
      <c r="R92" s="152">
        <f ca="1">'Painel Controle'!$C140*(('Receitas Tarifárias'!Q462/12)*3)</f>
        <v>37350.194843847668</v>
      </c>
      <c r="S92" s="152">
        <f ca="1">'Painel Controle'!$C140*(('Receitas Tarifárias'!R462/12)*3)</f>
        <v>38227.079267211178</v>
      </c>
      <c r="T92" s="152">
        <f ca="1">'Painel Controle'!$C140*(('Receitas Tarifárias'!S462/12)*3)</f>
        <v>40850.875985997693</v>
      </c>
      <c r="U92" s="152">
        <f ca="1">'Painel Controle'!$C140*(('Receitas Tarifárias'!T462/12)*3)</f>
        <v>41665.365619797311</v>
      </c>
      <c r="V92" s="152">
        <f ca="1">'Painel Controle'!$C140*(('Receitas Tarifárias'!U462/12)*3)</f>
        <v>42422.146110397385</v>
      </c>
      <c r="W92" s="152">
        <f ca="1">'Painel Controle'!$C140*(('Receitas Tarifárias'!V462/12)*3)</f>
        <v>43117.426577442006</v>
      </c>
      <c r="X92" s="152">
        <f ca="1">'Painel Controle'!$C140*(('Receitas Tarifárias'!W462/12)*3)</f>
        <v>43748.034853398131</v>
      </c>
      <c r="Y92" s="152">
        <f ca="1">'Painel Controle'!$C140*(('Receitas Tarifárias'!X462/12)*3)</f>
        <v>44310.593999860874</v>
      </c>
      <c r="Z92" s="152">
        <f ca="1">'Painel Controle'!$C140*(('Receitas Tarifárias'!Y462/12)*3)</f>
        <v>44802.627015307531</v>
      </c>
      <c r="AA92" s="152">
        <f ca="1">'Painel Controle'!$C140*(('Receitas Tarifárias'!Z462/12)*3)</f>
        <v>45222.390233218459</v>
      </c>
      <c r="AB92" s="152">
        <f ca="1">'Painel Controle'!$C140*(('Receitas Tarifárias'!AA462/12)*3)</f>
        <v>45567.84452179377</v>
      </c>
      <c r="AC92" s="152">
        <f ca="1">'Painel Controle'!$C140*(('Receitas Tarifárias'!AB462/12)*3)</f>
        <v>45837.078210185748</v>
      </c>
      <c r="AD92" s="152">
        <f ca="1">'Painel Controle'!$C140*(('Receitas Tarifárias'!AC462/12)*3)</f>
        <v>46028.914421100977</v>
      </c>
      <c r="AE92" s="152">
        <f ca="1">'Painel Controle'!$C140*(('Receitas Tarifárias'!AD462/12)*3)</f>
        <v>46142.526176033789</v>
      </c>
      <c r="AF92" s="152">
        <f ca="1">'Painel Controle'!$C140*(('Receitas Tarifárias'!AE462/12)*3)</f>
        <v>46176.704871935908</v>
      </c>
      <c r="AG92" s="152">
        <f ca="1">'Painel Controle'!$C140*(('Receitas Tarifárias'!AF462/12)*3)</f>
        <v>46130.426495639033</v>
      </c>
      <c r="AH92" s="152">
        <f ca="1">'Painel Controle'!$C140*(('Receitas Tarifárias'!AG462/12)*3)</f>
        <v>46003.019011809571</v>
      </c>
      <c r="AI92" s="3"/>
    </row>
    <row r="93" spans="1:35">
      <c r="A93" s="155"/>
      <c r="B93" s="623" t="s">
        <v>1014</v>
      </c>
      <c r="C93" s="623"/>
      <c r="D93" s="623"/>
      <c r="E93" s="152">
        <f ca="1">'Painel Controle'!$C134 * 'Painel Controle'!$C131 * (1+'Painel Controle'!$C136)</f>
        <v>294930.26171873143</v>
      </c>
      <c r="F93" s="152">
        <f ca="1">'Painel Controle'!$C134 * 'Painel Controle'!$C131 * (1+'Painel Controle'!$C136)</f>
        <v>294930.26171873143</v>
      </c>
      <c r="G93" s="152">
        <f ca="1">'Painel Controle'!$C134 * 'Painel Controle'!$C131 * (1+'Painel Controle'!$C136)</f>
        <v>294930.26171873143</v>
      </c>
      <c r="H93" s="152">
        <f ca="1">'Painel Controle'!$C134 * 'Painel Controle'!$C131 * (1+'Painel Controle'!$C136)</f>
        <v>294930.26171873143</v>
      </c>
      <c r="I93" s="152">
        <f ca="1">'Painel Controle'!$C134 * 'Painel Controle'!$C131 * (1+'Painel Controle'!$C136)</f>
        <v>294930.26171873143</v>
      </c>
      <c r="J93" s="152">
        <f ca="1">'Painel Controle'!$C134 * 'Painel Controle'!$C131 * (1+'Painel Controle'!$C136)</f>
        <v>294930.26171873143</v>
      </c>
      <c r="K93" s="152">
        <f ca="1">'Painel Controle'!$C134 * 'Painel Controle'!$C131 * (1+'Painel Controle'!$C136)</f>
        <v>294930.26171873143</v>
      </c>
      <c r="L93" s="152">
        <f ca="1">'Painel Controle'!$C134 * 'Painel Controle'!$C131 * (1+'Painel Controle'!$C136)</f>
        <v>294930.26171873143</v>
      </c>
      <c r="M93" s="152">
        <f ca="1">'Painel Controle'!$C134 * 'Painel Controle'!$C131 * (1+'Painel Controle'!$C136)</f>
        <v>294930.26171873143</v>
      </c>
      <c r="N93" s="152">
        <f ca="1">'Painel Controle'!$C135 * 'Painel Controle'!$C131 * (1+'Painel Controle'!$C136)</f>
        <v>147465.13085936572</v>
      </c>
      <c r="O93" s="152">
        <f ca="1">'Painel Controle'!$C135 * 'Painel Controle'!$C131 * (1+'Painel Controle'!$C136)</f>
        <v>147465.13085936572</v>
      </c>
      <c r="P93" s="152">
        <f ca="1">'Painel Controle'!$C135 * 'Painel Controle'!$C131 * (1+'Painel Controle'!$C136)</f>
        <v>147465.13085936572</v>
      </c>
      <c r="Q93" s="152">
        <f ca="1">'Painel Controle'!$C135 * 'Painel Controle'!$C131 * (1+'Painel Controle'!$C136)</f>
        <v>147465.13085936572</v>
      </c>
      <c r="R93" s="152">
        <f ca="1">'Painel Controle'!$C135 * 'Painel Controle'!$C131 * (1+'Painel Controle'!$C136)</f>
        <v>147465.13085936572</v>
      </c>
      <c r="S93" s="152">
        <f ca="1">'Painel Controle'!$C135 * 'Painel Controle'!$C131 * (1+'Painel Controle'!$C136)</f>
        <v>147465.13085936572</v>
      </c>
      <c r="T93" s="152">
        <f ca="1">'Painel Controle'!$C135 * 'Painel Controle'!$C131 * (1+'Painel Controle'!$C136)</f>
        <v>147465.13085936572</v>
      </c>
      <c r="U93" s="152">
        <f ca="1">'Painel Controle'!$C135 * 'Painel Controle'!$C131 * (1+'Painel Controle'!$C136)</f>
        <v>147465.13085936572</v>
      </c>
      <c r="V93" s="152">
        <f ca="1">'Painel Controle'!$C135 * 'Painel Controle'!$C131 * (1+'Painel Controle'!$C136)</f>
        <v>147465.13085936572</v>
      </c>
      <c r="W93" s="152">
        <f ca="1">'Painel Controle'!$C135 * 'Painel Controle'!$C131 * (1+'Painel Controle'!$C136)</f>
        <v>147465.13085936572</v>
      </c>
      <c r="X93" s="152">
        <f ca="1">'Painel Controle'!$C135 * 'Painel Controle'!$C131 * (1+'Painel Controle'!$C136)</f>
        <v>147465.13085936572</v>
      </c>
      <c r="Y93" s="152">
        <f ca="1">'Painel Controle'!$C135 * 'Painel Controle'!$C131 * (1+'Painel Controle'!$C136)</f>
        <v>147465.13085936572</v>
      </c>
      <c r="Z93" s="152">
        <f ca="1">'Painel Controle'!$C135 * 'Painel Controle'!$C131 * (1+'Painel Controle'!$C136)</f>
        <v>147465.13085936572</v>
      </c>
      <c r="AA93" s="152">
        <f ca="1">'Painel Controle'!$C135 * 'Painel Controle'!$C131 * (1+'Painel Controle'!$C136)</f>
        <v>147465.13085936572</v>
      </c>
      <c r="AB93" s="152">
        <f ca="1">'Painel Controle'!$C135 * 'Painel Controle'!$C131 * (1+'Painel Controle'!$C136)</f>
        <v>147465.13085936572</v>
      </c>
      <c r="AC93" s="152">
        <f ca="1">'Painel Controle'!$C135 * 'Painel Controle'!$C131 * (1+'Painel Controle'!$C136)</f>
        <v>147465.13085936572</v>
      </c>
      <c r="AD93" s="152">
        <f ca="1">'Painel Controle'!$C134 * 'Painel Controle'!$C131 * (1+'Painel Controle'!$C136)</f>
        <v>294930.26171873143</v>
      </c>
      <c r="AE93" s="152">
        <f ca="1">'Painel Controle'!$C134 * 'Painel Controle'!$C131 * (1+'Painel Controle'!$C136)</f>
        <v>294930.26171873143</v>
      </c>
      <c r="AF93" s="152">
        <f ca="1">'Painel Controle'!$C134 * 'Painel Controle'!$C131 * (1+'Painel Controle'!$C136)</f>
        <v>294930.26171873143</v>
      </c>
      <c r="AG93" s="152">
        <f ca="1">'Painel Controle'!$C134 * 'Painel Controle'!$C131 * (1+'Painel Controle'!$C136)</f>
        <v>294930.26171873143</v>
      </c>
      <c r="AH93" s="152">
        <f ca="1">'Painel Controle'!$C134 * 'Painel Controle'!$C131 * (1+'Painel Controle'!$C136)</f>
        <v>294930.26171873143</v>
      </c>
      <c r="AI93" s="3"/>
    </row>
    <row r="94" spans="1:35">
      <c r="A94" s="155"/>
      <c r="B94" s="621" t="s">
        <v>1015</v>
      </c>
      <c r="C94" s="621"/>
      <c r="D94" s="621"/>
      <c r="E94" s="153">
        <f ca="1">SUM(E81:E93)</f>
        <v>16082426.2117805</v>
      </c>
      <c r="F94" s="153">
        <f t="shared" ref="F94:AH94" ca="1" si="4">SUM(F81:F93)</f>
        <v>9658804.2574571352</v>
      </c>
      <c r="G94" s="153">
        <f t="shared" ca="1" si="4"/>
        <v>11724923.969078097</v>
      </c>
      <c r="H94" s="153">
        <f t="shared" ca="1" si="4"/>
        <v>14109603.136774249</v>
      </c>
      <c r="I94" s="153">
        <f t="shared" ca="1" si="4"/>
        <v>13601697.29141202</v>
      </c>
      <c r="J94" s="153">
        <f t="shared" ca="1" si="4"/>
        <v>14073741.783823431</v>
      </c>
      <c r="K94" s="153">
        <f t="shared" ca="1" si="4"/>
        <v>13052536.660756432</v>
      </c>
      <c r="L94" s="153">
        <f t="shared" ca="1" si="4"/>
        <v>13049972.673769305</v>
      </c>
      <c r="M94" s="153">
        <f t="shared" ca="1" si="4"/>
        <v>13010124.598045353</v>
      </c>
      <c r="N94" s="153">
        <f t="shared" ca="1" si="4"/>
        <v>12936502.455422508</v>
      </c>
      <c r="O94" s="153">
        <f t="shared" ca="1" si="4"/>
        <v>13074649.997228466</v>
      </c>
      <c r="P94" s="153">
        <f t="shared" ca="1" si="4"/>
        <v>13216120.585640423</v>
      </c>
      <c r="Q94" s="153">
        <f t="shared" ca="1" si="4"/>
        <v>13347913.376153648</v>
      </c>
      <c r="R94" s="153">
        <f t="shared" ca="1" si="4"/>
        <v>13483066.676938321</v>
      </c>
      <c r="S94" s="153">
        <f t="shared" ca="1" si="4"/>
        <v>14330964.435803654</v>
      </c>
      <c r="T94" s="153">
        <f t="shared" ca="1" si="4"/>
        <v>14408541.737383224</v>
      </c>
      <c r="U94" s="153">
        <f t="shared" ca="1" si="4"/>
        <v>14737042.134399874</v>
      </c>
      <c r="V94" s="153">
        <f t="shared" ca="1" si="4"/>
        <v>14964567.485853052</v>
      </c>
      <c r="W94" s="153">
        <f t="shared" ca="1" si="4"/>
        <v>15069612.815756697</v>
      </c>
      <c r="X94" s="153">
        <f t="shared" ca="1" si="4"/>
        <v>15117131.204162756</v>
      </c>
      <c r="Y94" s="153">
        <f t="shared" ca="1" si="4"/>
        <v>15184644.52582334</v>
      </c>
      <c r="Z94" s="153">
        <f t="shared" ca="1" si="4"/>
        <v>15253375.977537639</v>
      </c>
      <c r="AA94" s="153">
        <f t="shared" ca="1" si="4"/>
        <v>15364998.416592415</v>
      </c>
      <c r="AB94" s="153">
        <f t="shared" ca="1" si="4"/>
        <v>15459165.960508132</v>
      </c>
      <c r="AC94" s="153">
        <f t="shared" ca="1" si="4"/>
        <v>15572767.066228688</v>
      </c>
      <c r="AD94" s="153">
        <f t="shared" ca="1" si="4"/>
        <v>15805099.999557329</v>
      </c>
      <c r="AE94" s="153">
        <f t="shared" ca="1" si="4"/>
        <v>15809878.06460348</v>
      </c>
      <c r="AF94" s="153">
        <f t="shared" ca="1" si="4"/>
        <v>15806387.891536957</v>
      </c>
      <c r="AG94" s="153">
        <f t="shared" ca="1" si="4"/>
        <v>15830744.575354854</v>
      </c>
      <c r="AH94" s="153">
        <f t="shared" ca="1" si="4"/>
        <v>15866532.185984258</v>
      </c>
    </row>
    <row r="95" spans="1:3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5">
      <c r="B96" s="2" t="s">
        <v>1016</v>
      </c>
      <c r="E96" s="155"/>
      <c r="F96" s="155"/>
      <c r="G96" s="155"/>
      <c r="H96" s="155"/>
      <c r="I96" s="155"/>
      <c r="J96" s="155"/>
      <c r="K96" s="155"/>
      <c r="L96" s="155"/>
      <c r="M96" s="155"/>
      <c r="N96" s="155"/>
      <c r="O96" s="155"/>
      <c r="P96" s="155"/>
      <c r="Q96" s="155"/>
      <c r="R96" s="155"/>
      <c r="S96" s="155"/>
      <c r="T96" s="155"/>
      <c r="U96" s="155"/>
      <c r="V96" s="155"/>
      <c r="W96" s="155"/>
      <c r="X96" s="155"/>
      <c r="Y96" s="155"/>
      <c r="Z96" s="155"/>
      <c r="AA96" s="155"/>
      <c r="AB96" s="155"/>
      <c r="AC96" s="155"/>
      <c r="AD96" s="155"/>
      <c r="AE96" s="155"/>
      <c r="AF96" s="155"/>
      <c r="AG96" s="155"/>
      <c r="AH96" s="155"/>
    </row>
    <row r="97" spans="2:34">
      <c r="B97" s="633"/>
      <c r="C97" s="633"/>
      <c r="D97" s="633"/>
      <c r="E97" s="46" t="str" cm="1">
        <f t="array" ref="E97:AH97">F$4:AI$4</f>
        <v>Ano 1</v>
      </c>
      <c r="F97" s="46" t="str">
        <v>Ano 2</v>
      </c>
      <c r="G97" s="46" t="str">
        <v>Ano 3</v>
      </c>
      <c r="H97" s="46" t="str">
        <v>Ano 4</v>
      </c>
      <c r="I97" s="46" t="str">
        <v>Ano 5</v>
      </c>
      <c r="J97" s="46" t="str">
        <v>Ano 6</v>
      </c>
      <c r="K97" s="46" t="str">
        <v>Ano 7</v>
      </c>
      <c r="L97" s="46" t="str">
        <v>Ano 8</v>
      </c>
      <c r="M97" s="46" t="str">
        <v>Ano 9</v>
      </c>
      <c r="N97" s="46" t="str">
        <v>Ano 10</v>
      </c>
      <c r="O97" s="46" t="str">
        <v>Ano 11</v>
      </c>
      <c r="P97" s="46" t="str">
        <v>Ano 12</v>
      </c>
      <c r="Q97" s="46" t="str">
        <v>Ano 13</v>
      </c>
      <c r="R97" s="46" t="str">
        <v>Ano 14</v>
      </c>
      <c r="S97" s="46" t="str">
        <v>Ano 15</v>
      </c>
      <c r="T97" s="46" t="str">
        <v>Ano 16</v>
      </c>
      <c r="U97" s="46" t="str">
        <v>Ano 17</v>
      </c>
      <c r="V97" s="46" t="str">
        <v>Ano 18</v>
      </c>
      <c r="W97" s="46" t="str">
        <v>Ano 19</v>
      </c>
      <c r="X97" s="46" t="str">
        <v>Ano 20</v>
      </c>
      <c r="Y97" s="46" t="str">
        <v>Ano 21</v>
      </c>
      <c r="Z97" s="46" t="str">
        <v>Ano 22</v>
      </c>
      <c r="AA97" s="46" t="str">
        <v>Ano 23</v>
      </c>
      <c r="AB97" s="46" t="str">
        <v>Ano 24</v>
      </c>
      <c r="AC97" s="46" t="str">
        <v>Ano 25</v>
      </c>
      <c r="AD97" s="46" t="str">
        <v>Ano 26</v>
      </c>
      <c r="AE97" s="46" t="str">
        <v>Ano 27</v>
      </c>
      <c r="AF97" s="46" t="str">
        <v>Ano 28</v>
      </c>
      <c r="AG97" s="46" t="str">
        <v>Ano 29</v>
      </c>
      <c r="AH97" s="46" t="str">
        <v>Ano 30</v>
      </c>
    </row>
    <row r="98" spans="2:34">
      <c r="B98" s="621" t="s">
        <v>460</v>
      </c>
      <c r="C98" s="621"/>
      <c r="D98" s="621"/>
      <c r="E98" s="144" cm="1">
        <f t="array" aca="1" ref="E98:AH98" ca="1">F76:AI76 + E94:AH94</f>
        <v>50878328.818097323</v>
      </c>
      <c r="F98" s="144">
        <f ca="1"/>
        <v>49870978.170316093</v>
      </c>
      <c r="G98" s="144">
        <f ca="1"/>
        <v>56093647.808584154</v>
      </c>
      <c r="H98" s="144">
        <f ca="1"/>
        <v>61630050.266975917</v>
      </c>
      <c r="I98" s="144">
        <f ca="1"/>
        <v>62805801.949133761</v>
      </c>
      <c r="J98" s="144">
        <f ca="1"/>
        <v>61986791.47252515</v>
      </c>
      <c r="K98" s="144">
        <f ca="1"/>
        <v>63030153.148479216</v>
      </c>
      <c r="L98" s="144">
        <f ca="1"/>
        <v>63172842.625027247</v>
      </c>
      <c r="M98" s="144">
        <f ca="1"/>
        <v>61406961.681260705</v>
      </c>
      <c r="N98" s="144">
        <f ca="1"/>
        <v>61336620.923109204</v>
      </c>
      <c r="O98" s="144">
        <f ca="1"/>
        <v>61787713.010439932</v>
      </c>
      <c r="P98" s="144">
        <f ca="1"/>
        <v>62323258.246995255</v>
      </c>
      <c r="Q98" s="144">
        <f ca="1"/>
        <v>62889689.933098763</v>
      </c>
      <c r="R98" s="144">
        <f ca="1"/>
        <v>63251113.775223687</v>
      </c>
      <c r="S98" s="144">
        <f ca="1"/>
        <v>64744554.205234334</v>
      </c>
      <c r="T98" s="144">
        <f ca="1"/>
        <v>65641013.274548233</v>
      </c>
      <c r="U98" s="144">
        <f ca="1"/>
        <v>66324943.882675245</v>
      </c>
      <c r="V98" s="144">
        <f ca="1"/>
        <v>66591239.06497255</v>
      </c>
      <c r="W98" s="144">
        <f ca="1"/>
        <v>66955639.284464359</v>
      </c>
      <c r="X98" s="144">
        <f ca="1"/>
        <v>64973701.304283708</v>
      </c>
      <c r="Y98" s="144">
        <f ca="1"/>
        <v>65249991.202927426</v>
      </c>
      <c r="Z98" s="144">
        <f ca="1"/>
        <v>65122164.077658594</v>
      </c>
      <c r="AA98" s="144">
        <f ca="1"/>
        <v>65361659.263170317</v>
      </c>
      <c r="AB98" s="144">
        <f ca="1"/>
        <v>65422782.203760281</v>
      </c>
      <c r="AC98" s="144">
        <f ca="1"/>
        <v>65650331.743332773</v>
      </c>
      <c r="AD98" s="144">
        <f ca="1"/>
        <v>64026620.437857978</v>
      </c>
      <c r="AE98" s="144">
        <f ca="1"/>
        <v>64171489.249361075</v>
      </c>
      <c r="AF98" s="144">
        <f ca="1"/>
        <v>64040126.329837605</v>
      </c>
      <c r="AG98" s="144">
        <f ca="1"/>
        <v>64368087.733769827</v>
      </c>
      <c r="AH98" s="144">
        <f ca="1"/>
        <v>64088052.624284908</v>
      </c>
    </row>
    <row r="99" spans="2:34">
      <c r="B99" t="s">
        <v>1017</v>
      </c>
    </row>
    <row r="101" spans="2:34">
      <c r="B101" s="2" t="s">
        <v>1018</v>
      </c>
    </row>
    <row r="102" spans="2:34">
      <c r="B102" s="609" t="s">
        <v>1019</v>
      </c>
      <c r="C102" s="609"/>
      <c r="D102" s="609"/>
      <c r="E102" s="21">
        <v>454.3</v>
      </c>
    </row>
    <row r="103" spans="2:34">
      <c r="B103" s="609" t="s">
        <v>1020</v>
      </c>
      <c r="C103" s="609"/>
      <c r="D103" s="609"/>
      <c r="E103" s="190">
        <v>3535668.03</v>
      </c>
    </row>
    <row r="104" spans="2:34">
      <c r="B104" s="609" t="s">
        <v>1021</v>
      </c>
      <c r="C104" s="609"/>
      <c r="D104" s="609"/>
      <c r="E104" s="147">
        <f>E103/E102</f>
        <v>7782.6723090468849</v>
      </c>
    </row>
    <row r="105" spans="2:34">
      <c r="B105" s="609" t="s">
        <v>1022</v>
      </c>
      <c r="C105" s="609"/>
      <c r="D105" s="609"/>
      <c r="E105" s="396">
        <f>'Painel Controle'!G88</f>
        <v>190.10000000000002</v>
      </c>
    </row>
    <row r="106" spans="2:34">
      <c r="B106" s="637" t="s">
        <v>1023</v>
      </c>
      <c r="C106" s="637"/>
      <c r="D106" s="637"/>
      <c r="E106" s="148">
        <f>E105*E104</f>
        <v>1479486.0059498129</v>
      </c>
    </row>
    <row r="108" spans="2:34">
      <c r="B108" s="2" t="s">
        <v>1024</v>
      </c>
    </row>
    <row r="109" spans="2:34">
      <c r="B109" s="634"/>
      <c r="C109" s="635"/>
      <c r="D109" s="636"/>
      <c r="E109" s="46" t="str" cm="1">
        <f t="array" ref="E109:AH109">_xlfn.ANCHORARRAY(E97)</f>
        <v>Ano 1</v>
      </c>
      <c r="F109" s="52" t="str">
        <v>Ano 2</v>
      </c>
      <c r="G109" s="46" t="str">
        <v>Ano 3</v>
      </c>
      <c r="H109" s="46" t="str">
        <v>Ano 4</v>
      </c>
      <c r="I109" s="46" t="str">
        <v>Ano 5</v>
      </c>
      <c r="J109" s="46" t="str">
        <v>Ano 6</v>
      </c>
      <c r="K109" s="46" t="str">
        <v>Ano 7</v>
      </c>
      <c r="L109" s="46" t="str">
        <v>Ano 8</v>
      </c>
      <c r="M109" s="46" t="str">
        <v>Ano 9</v>
      </c>
      <c r="N109" s="46" t="str">
        <v>Ano 10</v>
      </c>
      <c r="O109" s="46" t="str">
        <v>Ano 11</v>
      </c>
      <c r="P109" s="46" t="str">
        <v>Ano 12</v>
      </c>
      <c r="Q109" s="46" t="str">
        <v>Ano 13</v>
      </c>
      <c r="R109" s="46" t="str">
        <v>Ano 14</v>
      </c>
      <c r="S109" s="46" t="str">
        <v>Ano 15</v>
      </c>
      <c r="T109" s="46" t="str">
        <v>Ano 16</v>
      </c>
      <c r="U109" s="46" t="str">
        <v>Ano 17</v>
      </c>
      <c r="V109" s="46" t="str">
        <v>Ano 18</v>
      </c>
      <c r="W109" s="46" t="str">
        <v>Ano 19</v>
      </c>
      <c r="X109" s="46" t="str">
        <v>Ano 20</v>
      </c>
      <c r="Y109" s="46" t="str">
        <v>Ano 21</v>
      </c>
      <c r="Z109" s="46" t="str">
        <v>Ano 22</v>
      </c>
      <c r="AA109" s="46" t="str">
        <v>Ano 23</v>
      </c>
      <c r="AB109" s="46" t="str">
        <v>Ano 24</v>
      </c>
      <c r="AC109" s="46" t="str">
        <v>Ano 25</v>
      </c>
      <c r="AD109" s="46" t="str">
        <v>Ano 26</v>
      </c>
      <c r="AE109" s="46" t="str">
        <v>Ano 27</v>
      </c>
      <c r="AF109" s="46" t="str">
        <v>Ano 28</v>
      </c>
      <c r="AG109" s="46" t="str">
        <v>Ano 29</v>
      </c>
      <c r="AH109" s="46" t="str">
        <v>Ano 30</v>
      </c>
    </row>
    <row r="110" spans="2:34">
      <c r="B110" s="623" t="s">
        <v>340</v>
      </c>
      <c r="C110" s="623"/>
      <c r="D110" s="623"/>
      <c r="E110" s="192" cm="1">
        <f t="array" aca="1" ref="E110:AH110" ca="1">'Receitas Tarifárias'!D462:AG462</f>
        <v>0</v>
      </c>
      <c r="F110" s="377">
        <f ca="1"/>
        <v>109238177.13299778</v>
      </c>
      <c r="G110" s="192">
        <f ca="1"/>
        <v>147531234.75532261</v>
      </c>
      <c r="H110" s="192">
        <f ca="1"/>
        <v>149919059.56020534</v>
      </c>
      <c r="I110" s="192">
        <f ca="1"/>
        <v>177470201.77183709</v>
      </c>
      <c r="J110" s="192">
        <f ca="1"/>
        <v>181480353.52438214</v>
      </c>
      <c r="K110" s="192">
        <f ca="1"/>
        <v>208837934.471746</v>
      </c>
      <c r="L110" s="192">
        <f ca="1"/>
        <v>213671897.94399205</v>
      </c>
      <c r="M110" s="192">
        <f ca="1"/>
        <v>219160277.81460238</v>
      </c>
      <c r="N110" s="192">
        <f ca="1"/>
        <v>225417122.23380974</v>
      </c>
      <c r="O110" s="192">
        <f ca="1"/>
        <v>231865834.10368967</v>
      </c>
      <c r="P110" s="192">
        <f ca="1"/>
        <v>238492820.40647805</v>
      </c>
      <c r="Q110" s="192">
        <f ca="1"/>
        <v>244915077.98549005</v>
      </c>
      <c r="R110" s="192">
        <f ca="1"/>
        <v>251093746.84939602</v>
      </c>
      <c r="S110" s="192">
        <f ca="1"/>
        <v>256988768.18293226</v>
      </c>
      <c r="T110" s="192">
        <f ca="1"/>
        <v>274627737.72099286</v>
      </c>
      <c r="U110" s="192">
        <f ca="1"/>
        <v>280103298.28435165</v>
      </c>
      <c r="V110" s="192">
        <f ca="1"/>
        <v>285190898.22115886</v>
      </c>
      <c r="W110" s="192">
        <f ca="1"/>
        <v>289865052.62145883</v>
      </c>
      <c r="X110" s="192">
        <f ca="1"/>
        <v>294104435.98923111</v>
      </c>
      <c r="Y110" s="192">
        <f ca="1"/>
        <v>297886346.21755207</v>
      </c>
      <c r="Z110" s="192">
        <f ca="1"/>
        <v>301194131.19534475</v>
      </c>
      <c r="AA110" s="192">
        <f ca="1"/>
        <v>304016068.79474592</v>
      </c>
      <c r="AB110" s="192">
        <f ca="1"/>
        <v>306338450.56668079</v>
      </c>
      <c r="AC110" s="192">
        <f ca="1"/>
        <v>308148424.94242519</v>
      </c>
      <c r="AD110" s="192">
        <f ca="1"/>
        <v>309438080.1418553</v>
      </c>
      <c r="AE110" s="192">
        <f ca="1"/>
        <v>310201856.64560527</v>
      </c>
      <c r="AF110" s="192">
        <f ca="1"/>
        <v>310431629.39116573</v>
      </c>
      <c r="AG110" s="192">
        <f ca="1"/>
        <v>310120514.25639683</v>
      </c>
      <c r="AH110" s="192">
        <f ca="1"/>
        <v>309263993.35670298</v>
      </c>
    </row>
    <row r="111" spans="2:34">
      <c r="B111" s="623" t="str">
        <f>DFC!B6</f>
        <v>Recebimento de aporte estatal</v>
      </c>
      <c r="C111" s="623"/>
      <c r="D111" s="623"/>
      <c r="E111" s="192" cm="1">
        <f t="array" aca="1" ref="E111:AH111" ca="1">_xlfn.ANCHORARRAY(DFC!C6)</f>
        <v>111081000</v>
      </c>
      <c r="F111" s="377">
        <f ca="1"/>
        <v>0</v>
      </c>
      <c r="G111" s="192">
        <f ca="1"/>
        <v>253089000</v>
      </c>
      <c r="H111" s="192">
        <f ca="1"/>
        <v>732183000</v>
      </c>
      <c r="I111" s="192">
        <f ca="1"/>
        <v>364902000</v>
      </c>
      <c r="J111" s="192">
        <f ca="1"/>
        <v>368745000</v>
      </c>
      <c r="K111" s="192">
        <f ca="1"/>
        <v>0</v>
      </c>
      <c r="L111" s="192">
        <f ca="1"/>
        <v>0</v>
      </c>
      <c r="M111" s="192">
        <f ca="1"/>
        <v>0</v>
      </c>
      <c r="N111" s="192">
        <f ca="1"/>
        <v>0</v>
      </c>
      <c r="O111" s="192">
        <f ca="1"/>
        <v>0</v>
      </c>
      <c r="P111" s="192">
        <f ca="1"/>
        <v>0</v>
      </c>
      <c r="Q111" s="192">
        <f ca="1"/>
        <v>0</v>
      </c>
      <c r="R111" s="192">
        <f ca="1"/>
        <v>0</v>
      </c>
      <c r="S111" s="192">
        <f ca="1"/>
        <v>0</v>
      </c>
      <c r="T111" s="192">
        <f ca="1"/>
        <v>0</v>
      </c>
      <c r="U111" s="192">
        <f ca="1"/>
        <v>0</v>
      </c>
      <c r="V111" s="192">
        <f ca="1"/>
        <v>0</v>
      </c>
      <c r="W111" s="192">
        <f ca="1"/>
        <v>0</v>
      </c>
      <c r="X111" s="192">
        <f ca="1"/>
        <v>0</v>
      </c>
      <c r="Y111" s="192">
        <f ca="1"/>
        <v>0</v>
      </c>
      <c r="Z111" s="192">
        <f ca="1"/>
        <v>0</v>
      </c>
      <c r="AA111" s="192">
        <f ca="1"/>
        <v>0</v>
      </c>
      <c r="AB111" s="192">
        <f ca="1"/>
        <v>0</v>
      </c>
      <c r="AC111" s="192">
        <f ca="1"/>
        <v>0</v>
      </c>
      <c r="AD111" s="192">
        <f ca="1"/>
        <v>0</v>
      </c>
      <c r="AE111" s="192">
        <f ca="1"/>
        <v>0</v>
      </c>
      <c r="AF111" s="192">
        <f ca="1"/>
        <v>0</v>
      </c>
      <c r="AG111" s="192">
        <f ca="1"/>
        <v>0</v>
      </c>
      <c r="AH111" s="192">
        <f ca="1"/>
        <v>0</v>
      </c>
    </row>
    <row r="112" spans="2:34">
      <c r="B112" s="623" t="str">
        <f>DFC!B7</f>
        <v>Recebimento de contraprestação pecuniária</v>
      </c>
      <c r="C112" s="623"/>
      <c r="D112" s="623"/>
      <c r="E112" s="192" cm="1">
        <f t="array" ref="E112:AH112">DFC!C7:AF7</f>
        <v>0</v>
      </c>
      <c r="F112" s="377">
        <v>0</v>
      </c>
      <c r="G112" s="192">
        <v>0</v>
      </c>
      <c r="H112" s="192">
        <v>0</v>
      </c>
      <c r="I112" s="192">
        <v>0</v>
      </c>
      <c r="J112" s="192">
        <v>0</v>
      </c>
      <c r="K112" s="192">
        <v>0</v>
      </c>
      <c r="L112" s="192">
        <v>0</v>
      </c>
      <c r="M112" s="192">
        <v>0</v>
      </c>
      <c r="N112" s="192">
        <v>0</v>
      </c>
      <c r="O112" s="192">
        <v>0</v>
      </c>
      <c r="P112" s="192">
        <v>0</v>
      </c>
      <c r="Q112" s="192">
        <v>0</v>
      </c>
      <c r="R112" s="192">
        <v>0</v>
      </c>
      <c r="S112" s="192">
        <v>0</v>
      </c>
      <c r="T112" s="192">
        <v>0</v>
      </c>
      <c r="U112" s="192">
        <v>0</v>
      </c>
      <c r="V112" s="192">
        <v>0</v>
      </c>
      <c r="W112" s="192">
        <v>0</v>
      </c>
      <c r="X112" s="192">
        <v>0</v>
      </c>
      <c r="Y112" s="192">
        <v>0</v>
      </c>
      <c r="Z112" s="192">
        <v>0</v>
      </c>
      <c r="AA112" s="192">
        <v>0</v>
      </c>
      <c r="AB112" s="192">
        <v>0</v>
      </c>
      <c r="AC112" s="192">
        <v>0</v>
      </c>
      <c r="AD112" s="192">
        <v>0</v>
      </c>
      <c r="AE112" s="192">
        <v>0</v>
      </c>
      <c r="AF112" s="192">
        <v>0</v>
      </c>
      <c r="AG112" s="192">
        <v>0</v>
      </c>
      <c r="AH112" s="192">
        <v>0</v>
      </c>
    </row>
    <row r="113" spans="2:34">
      <c r="B113" s="621" t="s">
        <v>1025</v>
      </c>
      <c r="C113" s="621"/>
      <c r="D113" s="621"/>
      <c r="E113" s="272" cm="1">
        <f t="array" aca="1" ref="E113:AH113" ca="1">_xlfn.ANCHORARRAY(E110) +_xlfn.ANCHORARRAY( E111) +_xlfn.ANCHORARRAY( E112)</f>
        <v>111081000</v>
      </c>
      <c r="F113" s="376">
        <f ca="1"/>
        <v>109238177.13299778</v>
      </c>
      <c r="G113" s="272">
        <f ca="1"/>
        <v>400620234.75532258</v>
      </c>
      <c r="H113" s="272">
        <f ca="1"/>
        <v>882102059.56020534</v>
      </c>
      <c r="I113" s="272">
        <f ca="1"/>
        <v>542372201.77183712</v>
      </c>
      <c r="J113" s="272">
        <f ca="1"/>
        <v>550225353.52438211</v>
      </c>
      <c r="K113" s="272">
        <f ca="1"/>
        <v>208837934.471746</v>
      </c>
      <c r="L113" s="272">
        <f ca="1"/>
        <v>213671897.94399205</v>
      </c>
      <c r="M113" s="272">
        <f ca="1"/>
        <v>219160277.81460238</v>
      </c>
      <c r="N113" s="272">
        <f ca="1"/>
        <v>225417122.23380974</v>
      </c>
      <c r="O113" s="272">
        <f ca="1"/>
        <v>231865834.10368967</v>
      </c>
      <c r="P113" s="272">
        <f ca="1"/>
        <v>238492820.40647805</v>
      </c>
      <c r="Q113" s="272">
        <f ca="1"/>
        <v>244915077.98549005</v>
      </c>
      <c r="R113" s="272">
        <f ca="1"/>
        <v>251093746.84939602</v>
      </c>
      <c r="S113" s="272">
        <f ca="1"/>
        <v>256988768.18293226</v>
      </c>
      <c r="T113" s="272">
        <f ca="1"/>
        <v>274627737.72099286</v>
      </c>
      <c r="U113" s="272">
        <f ca="1"/>
        <v>280103298.28435165</v>
      </c>
      <c r="V113" s="272">
        <f ca="1"/>
        <v>285190898.22115886</v>
      </c>
      <c r="W113" s="272">
        <f ca="1"/>
        <v>289865052.62145883</v>
      </c>
      <c r="X113" s="272">
        <f ca="1"/>
        <v>294104435.98923111</v>
      </c>
      <c r="Y113" s="272">
        <f ca="1"/>
        <v>297886346.21755207</v>
      </c>
      <c r="Z113" s="272">
        <f ca="1"/>
        <v>301194131.19534475</v>
      </c>
      <c r="AA113" s="272">
        <f ca="1"/>
        <v>304016068.79474592</v>
      </c>
      <c r="AB113" s="272">
        <f ca="1"/>
        <v>306338450.56668079</v>
      </c>
      <c r="AC113" s="272">
        <f ca="1"/>
        <v>308148424.94242519</v>
      </c>
      <c r="AD113" s="272">
        <f ca="1"/>
        <v>309438080.1418553</v>
      </c>
      <c r="AE113" s="272">
        <f ca="1"/>
        <v>310201856.64560527</v>
      </c>
      <c r="AF113" s="272">
        <f ca="1"/>
        <v>310431629.39116573</v>
      </c>
      <c r="AG113" s="272">
        <f ca="1"/>
        <v>310120514.25639683</v>
      </c>
      <c r="AH113" s="272">
        <f ca="1"/>
        <v>309263993.35670298</v>
      </c>
    </row>
    <row r="114" spans="2:34">
      <c r="B114" t="s">
        <v>1026</v>
      </c>
    </row>
    <row r="116" spans="2:34">
      <c r="B116" s="2" t="s">
        <v>1027</v>
      </c>
    </row>
    <row r="117" spans="2:34">
      <c r="B117" s="169" t="s">
        <v>105</v>
      </c>
      <c r="C117" s="237" t="s">
        <v>88</v>
      </c>
      <c r="D117" s="237" t="s">
        <v>1028</v>
      </c>
    </row>
    <row r="118" spans="2:34">
      <c r="B118" s="308" t="s">
        <v>295</v>
      </c>
      <c r="C118" s="147">
        <f>SUMIF(B$5:B$75,B118,AJ$5:AJ$75)</f>
        <v>342792041.53678054</v>
      </c>
      <c r="D118" s="110">
        <f>C118/SUM(C$118:C$120)</f>
        <v>0.54972200948685734</v>
      </c>
    </row>
    <row r="119" spans="2:34">
      <c r="B119" s="309" t="s">
        <v>296</v>
      </c>
      <c r="C119" s="147">
        <f>SUMIF(B$5:B$75,B119,AJ$5:AJ$75)</f>
        <v>170921196.08285591</v>
      </c>
      <c r="D119" s="110">
        <f>C119/SUM(C$118:C$120)</f>
        <v>0.27409954721624774</v>
      </c>
    </row>
    <row r="120" spans="2:34">
      <c r="B120" s="308" t="s">
        <v>297</v>
      </c>
      <c r="C120" s="147">
        <f>SUMIF(B$5:B$75,B120,AJ$5:AJ$75)</f>
        <v>109860196.99100006</v>
      </c>
      <c r="D120" s="110">
        <f>C120/SUM(C$118:C$120)</f>
        <v>0.17617844329689497</v>
      </c>
    </row>
    <row r="121" spans="2:34">
      <c r="B121" s="382" t="s">
        <v>298</v>
      </c>
    </row>
    <row r="122" spans="2:34">
      <c r="B122" s="382"/>
    </row>
    <row r="123" spans="2:34">
      <c r="B123" s="2" t="s">
        <v>1029</v>
      </c>
    </row>
    <row r="124" spans="2:34">
      <c r="B124" s="618"/>
      <c r="C124" s="618"/>
      <c r="D124" s="11" t="s">
        <v>1030</v>
      </c>
      <c r="E124" s="303" t="str">
        <f>E97</f>
        <v>Ano 1</v>
      </c>
      <c r="F124" s="11" t="str">
        <f t="shared" ref="F124:AH124" si="5">F97</f>
        <v>Ano 2</v>
      </c>
      <c r="G124" s="11" t="str">
        <f t="shared" si="5"/>
        <v>Ano 3</v>
      </c>
      <c r="H124" s="11" t="str">
        <f t="shared" si="5"/>
        <v>Ano 4</v>
      </c>
      <c r="I124" s="11" t="str">
        <f t="shared" si="5"/>
        <v>Ano 5</v>
      </c>
      <c r="J124" s="11" t="str">
        <f t="shared" si="5"/>
        <v>Ano 6</v>
      </c>
      <c r="K124" s="11" t="str">
        <f t="shared" si="5"/>
        <v>Ano 7</v>
      </c>
      <c r="L124" s="11" t="str">
        <f t="shared" si="5"/>
        <v>Ano 8</v>
      </c>
      <c r="M124" s="11" t="str">
        <f t="shared" si="5"/>
        <v>Ano 9</v>
      </c>
      <c r="N124" s="11" t="str">
        <f t="shared" si="5"/>
        <v>Ano 10</v>
      </c>
      <c r="O124" s="11" t="str">
        <f t="shared" si="5"/>
        <v>Ano 11</v>
      </c>
      <c r="P124" s="11" t="str">
        <f t="shared" si="5"/>
        <v>Ano 12</v>
      </c>
      <c r="Q124" s="11" t="str">
        <f t="shared" si="5"/>
        <v>Ano 13</v>
      </c>
      <c r="R124" s="11" t="str">
        <f t="shared" si="5"/>
        <v>Ano 14</v>
      </c>
      <c r="S124" s="11" t="str">
        <f t="shared" si="5"/>
        <v>Ano 15</v>
      </c>
      <c r="T124" s="11" t="str">
        <f t="shared" si="5"/>
        <v>Ano 16</v>
      </c>
      <c r="U124" s="11" t="str">
        <f t="shared" si="5"/>
        <v>Ano 17</v>
      </c>
      <c r="V124" s="11" t="str">
        <f t="shared" si="5"/>
        <v>Ano 18</v>
      </c>
      <c r="W124" s="11" t="str">
        <f t="shared" si="5"/>
        <v>Ano 19</v>
      </c>
      <c r="X124" s="11" t="str">
        <f t="shared" si="5"/>
        <v>Ano 20</v>
      </c>
      <c r="Y124" s="11" t="str">
        <f t="shared" si="5"/>
        <v>Ano 21</v>
      </c>
      <c r="Z124" s="11" t="str">
        <f t="shared" si="5"/>
        <v>Ano 22</v>
      </c>
      <c r="AA124" s="11" t="str">
        <f t="shared" si="5"/>
        <v>Ano 23</v>
      </c>
      <c r="AB124" s="11" t="str">
        <f t="shared" si="5"/>
        <v>Ano 24</v>
      </c>
      <c r="AC124" s="11" t="str">
        <f t="shared" si="5"/>
        <v>Ano 25</v>
      </c>
      <c r="AD124" s="11" t="str">
        <f t="shared" si="5"/>
        <v>Ano 26</v>
      </c>
      <c r="AE124" s="11" t="str">
        <f t="shared" si="5"/>
        <v>Ano 27</v>
      </c>
      <c r="AF124" s="11" t="str">
        <f t="shared" si="5"/>
        <v>Ano 28</v>
      </c>
      <c r="AG124" s="11" t="str">
        <f t="shared" si="5"/>
        <v>Ano 29</v>
      </c>
      <c r="AH124" s="11" t="str">
        <f t="shared" si="5"/>
        <v>Ano 30</v>
      </c>
    </row>
    <row r="125" spans="2:34">
      <c r="B125" s="618" t="s">
        <v>1031</v>
      </c>
      <c r="C125" s="618"/>
      <c r="D125" s="8">
        <f>3000000*'Painel Controle'!G88</f>
        <v>570300000.00000012</v>
      </c>
      <c r="E125" s="304">
        <f>D125+Capex!L734</f>
        <v>739838812.00037718</v>
      </c>
      <c r="F125" s="304">
        <f>E125+Capex!M734</f>
        <v>855424863.64601517</v>
      </c>
      <c r="G125" s="304">
        <f>F125+Capex!N734</f>
        <v>1160316116.0392175</v>
      </c>
      <c r="H125" s="304">
        <f>G125+Capex!O734</f>
        <v>1993685994.7360387</v>
      </c>
      <c r="I125" s="304">
        <f>H125+Capex!P734</f>
        <v>2403514403.157228</v>
      </c>
      <c r="J125" s="304">
        <f>I125+Capex!Q734</f>
        <v>2893173756.6479697</v>
      </c>
      <c r="K125" s="304">
        <f>J125+Capex!R734</f>
        <v>2896998268.2788014</v>
      </c>
      <c r="L125" s="304">
        <f>K125+Capex!S734</f>
        <v>2958042428.0609155</v>
      </c>
      <c r="M125" s="304">
        <f>L125+Capex!T734</f>
        <v>3018004468.907474</v>
      </c>
      <c r="N125" s="304">
        <f>M125+Capex!U734</f>
        <v>3054909142.5203948</v>
      </c>
      <c r="O125" s="304">
        <f>N125+Capex!V734</f>
        <v>3075053422.7811198</v>
      </c>
      <c r="P125" s="304">
        <f>O125+Capex!W734</f>
        <v>3084858811.2935266</v>
      </c>
      <c r="Q125" s="304">
        <f>P125+Capex!X734</f>
        <v>3086387314.0267677</v>
      </c>
      <c r="R125" s="304">
        <f>Q125+Capex!Y734</f>
        <v>3086535310.9642696</v>
      </c>
      <c r="S125" s="304">
        <f>R125+Capex!Z734</f>
        <v>3373298054.0999823</v>
      </c>
      <c r="T125" s="304">
        <f>S125+Capex!AA734</f>
        <v>3419786617.2836971</v>
      </c>
      <c r="U125" s="304">
        <f>T125+Capex!AB734</f>
        <v>3530427013.1050639</v>
      </c>
      <c r="V125" s="304">
        <f>U125+Capex!AC734</f>
        <v>3642732291.6066747</v>
      </c>
      <c r="W125" s="304">
        <f>V125+Capex!AD734</f>
        <v>3710619177.8038063</v>
      </c>
      <c r="X125" s="304">
        <f>W125+Capex!AE734</f>
        <v>3733611630.4851651</v>
      </c>
      <c r="Y125" s="304">
        <f>X125+Capex!AF734</f>
        <v>3740823086.4596109</v>
      </c>
      <c r="Z125" s="304">
        <f>Y125+Capex!AG734</f>
        <v>3743415843.1500363</v>
      </c>
      <c r="AA125" s="304">
        <f>Z125+Capex!AH734</f>
        <v>3764568367.5257244</v>
      </c>
      <c r="AB125" s="304">
        <f>AA125+Capex!AI734</f>
        <v>3794364976.2502975</v>
      </c>
      <c r="AC125" s="304">
        <f>AB125+Capex!AJ734</f>
        <v>3841602336.4178143</v>
      </c>
      <c r="AD125" s="304">
        <f>AC125+Capex!AK734</f>
        <v>3893208590.9622064</v>
      </c>
      <c r="AE125" s="304">
        <f>AD125+Capex!AL734</f>
        <v>3919260855.4737453</v>
      </c>
      <c r="AF125" s="304">
        <f>AE125+Capex!AM734</f>
        <v>3931511622.4133501</v>
      </c>
      <c r="AG125" s="304">
        <f>AF125+Capex!AN734</f>
        <v>3951239638.7527099</v>
      </c>
      <c r="AH125" s="304">
        <f>AG125+Capex!AO734</f>
        <v>3985106168.8069711</v>
      </c>
    </row>
    <row r="126" spans="2:34">
      <c r="B126" s="632" t="s">
        <v>1032</v>
      </c>
      <c r="C126" s="632"/>
      <c r="D126" s="632"/>
      <c r="E126" s="632"/>
      <c r="F126" s="632"/>
      <c r="G126" s="632"/>
      <c r="H126" s="632"/>
      <c r="I126" s="632"/>
    </row>
    <row r="127" spans="2:34">
      <c r="B127" s="632"/>
      <c r="C127" s="632"/>
      <c r="D127" s="632"/>
      <c r="E127" s="632"/>
      <c r="F127" s="632"/>
      <c r="G127" s="632"/>
      <c r="H127" s="632"/>
      <c r="I127" s="632"/>
    </row>
    <row r="128" spans="2:34">
      <c r="B128" s="632"/>
      <c r="C128" s="632"/>
      <c r="D128" s="632"/>
      <c r="E128" s="632"/>
      <c r="F128" s="632"/>
      <c r="G128" s="632"/>
      <c r="H128" s="632"/>
      <c r="I128" s="632"/>
    </row>
    <row r="129" spans="2:9">
      <c r="B129" s="632"/>
      <c r="C129" s="632"/>
      <c r="D129" s="632"/>
      <c r="E129" s="632"/>
      <c r="F129" s="632"/>
      <c r="G129" s="632"/>
      <c r="H129" s="632"/>
      <c r="I129" s="632"/>
    </row>
    <row r="130" spans="2:9">
      <c r="B130" s="632"/>
      <c r="C130" s="632"/>
      <c r="D130" s="632"/>
      <c r="E130" s="632"/>
      <c r="F130" s="632"/>
      <c r="G130" s="632"/>
      <c r="H130" s="632"/>
      <c r="I130" s="632"/>
    </row>
    <row r="131" spans="2:9">
      <c r="B131" s="632"/>
      <c r="C131" s="632"/>
      <c r="D131" s="632"/>
      <c r="E131" s="632"/>
      <c r="F131" s="632"/>
      <c r="G131" s="632"/>
      <c r="H131" s="632"/>
      <c r="I131" s="632"/>
    </row>
    <row r="132" spans="2:9">
      <c r="B132" s="632"/>
      <c r="C132" s="632"/>
      <c r="D132" s="632"/>
      <c r="E132" s="632"/>
      <c r="F132" s="632"/>
      <c r="G132" s="632"/>
      <c r="H132" s="632"/>
      <c r="I132" s="632"/>
    </row>
    <row r="133" spans="2:9">
      <c r="B133" s="632"/>
      <c r="C133" s="632"/>
      <c r="D133" s="632"/>
      <c r="E133" s="632"/>
      <c r="F133" s="632"/>
      <c r="G133" s="632"/>
      <c r="H133" s="632"/>
      <c r="I133" s="632"/>
    </row>
    <row r="134" spans="2:9">
      <c r="B134" s="632"/>
      <c r="C134" s="632"/>
      <c r="D134" s="632"/>
      <c r="E134" s="632"/>
      <c r="F134" s="632"/>
      <c r="G134" s="632"/>
      <c r="H134" s="632"/>
      <c r="I134" s="632"/>
    </row>
    <row r="135" spans="2:9">
      <c r="B135" s="632"/>
      <c r="C135" s="632"/>
      <c r="D135" s="632"/>
      <c r="E135" s="632"/>
      <c r="F135" s="632"/>
      <c r="G135" s="632"/>
      <c r="H135" s="632"/>
      <c r="I135" s="632"/>
    </row>
    <row r="136" spans="2:9">
      <c r="B136" s="632"/>
      <c r="C136" s="632"/>
      <c r="D136" s="632"/>
      <c r="E136" s="632"/>
      <c r="F136" s="632"/>
      <c r="G136" s="632"/>
      <c r="H136" s="632"/>
      <c r="I136" s="632"/>
    </row>
    <row r="137" spans="2:9">
      <c r="B137" s="632"/>
      <c r="C137" s="632"/>
      <c r="D137" s="632"/>
      <c r="E137" s="632"/>
      <c r="F137" s="632"/>
      <c r="G137" s="632"/>
      <c r="H137" s="632"/>
      <c r="I137" s="632"/>
    </row>
    <row r="138" spans="2:9">
      <c r="B138" s="632"/>
      <c r="C138" s="632"/>
      <c r="D138" s="632"/>
      <c r="E138" s="632"/>
      <c r="F138" s="632"/>
      <c r="G138" s="632"/>
      <c r="H138" s="632"/>
      <c r="I138" s="632"/>
    </row>
    <row r="139" spans="2:9">
      <c r="B139" s="632"/>
      <c r="C139" s="632"/>
      <c r="D139" s="632"/>
      <c r="E139" s="632"/>
      <c r="F139" s="632"/>
      <c r="G139" s="632"/>
      <c r="H139" s="632"/>
      <c r="I139" s="632"/>
    </row>
    <row r="140" spans="2:9">
      <c r="B140" s="632"/>
      <c r="C140" s="632"/>
      <c r="D140" s="632"/>
      <c r="E140" s="632"/>
      <c r="F140" s="632"/>
      <c r="G140" s="632"/>
      <c r="H140" s="632"/>
      <c r="I140" s="632"/>
    </row>
    <row r="141" spans="2:9">
      <c r="B141" s="632"/>
      <c r="C141" s="632"/>
      <c r="D141" s="632"/>
      <c r="E141" s="632"/>
      <c r="F141" s="632"/>
      <c r="G141" s="632"/>
      <c r="H141" s="632"/>
      <c r="I141" s="632"/>
    </row>
    <row r="142" spans="2:9">
      <c r="B142" s="632"/>
      <c r="C142" s="632"/>
      <c r="D142" s="632"/>
      <c r="E142" s="632"/>
      <c r="F142" s="632"/>
      <c r="G142" s="632"/>
      <c r="H142" s="632"/>
      <c r="I142" s="632"/>
    </row>
    <row r="143" spans="2:9">
      <c r="B143" s="632"/>
      <c r="C143" s="632"/>
      <c r="D143" s="632"/>
      <c r="E143" s="632"/>
      <c r="F143" s="632"/>
      <c r="G143" s="632"/>
      <c r="H143" s="632"/>
      <c r="I143" s="632"/>
    </row>
    <row r="144" spans="2:9">
      <c r="B144" s="632"/>
      <c r="C144" s="632"/>
      <c r="D144" s="632"/>
      <c r="E144" s="632"/>
      <c r="F144" s="632"/>
      <c r="G144" s="632"/>
      <c r="H144" s="632"/>
      <c r="I144" s="632"/>
    </row>
    <row r="145" spans="2:9">
      <c r="B145" s="632"/>
      <c r="C145" s="632"/>
      <c r="D145" s="632"/>
      <c r="E145" s="632"/>
      <c r="F145" s="632"/>
      <c r="G145" s="632"/>
      <c r="H145" s="632"/>
      <c r="I145" s="632"/>
    </row>
    <row r="146" spans="2:9">
      <c r="B146" s="632"/>
      <c r="C146" s="632"/>
      <c r="D146" s="632"/>
      <c r="E146" s="632"/>
      <c r="F146" s="632"/>
      <c r="G146" s="632"/>
      <c r="H146" s="632"/>
      <c r="I146" s="632"/>
    </row>
    <row r="147" spans="2:9">
      <c r="B147" s="632"/>
      <c r="C147" s="632"/>
      <c r="D147" s="632"/>
      <c r="E147" s="632"/>
      <c r="F147" s="632"/>
      <c r="G147" s="632"/>
      <c r="H147" s="632"/>
      <c r="I147" s="632"/>
    </row>
    <row r="148" spans="2:9">
      <c r="B148" s="632"/>
      <c r="C148" s="632"/>
      <c r="D148" s="632"/>
      <c r="E148" s="632"/>
      <c r="F148" s="632"/>
      <c r="G148" s="632"/>
      <c r="H148" s="632"/>
      <c r="I148" s="632"/>
    </row>
    <row r="149" spans="2:9">
      <c r="B149" s="632"/>
      <c r="C149" s="632"/>
      <c r="D149" s="632"/>
      <c r="E149" s="632"/>
      <c r="F149" s="632"/>
      <c r="G149" s="632"/>
      <c r="H149" s="632"/>
      <c r="I149" s="632"/>
    </row>
    <row r="150" spans="2:9">
      <c r="B150" s="632"/>
      <c r="C150" s="632"/>
      <c r="D150" s="632"/>
      <c r="E150" s="632"/>
      <c r="F150" s="632"/>
      <c r="G150" s="632"/>
      <c r="H150" s="632"/>
      <c r="I150" s="632"/>
    </row>
    <row r="151" spans="2:9">
      <c r="B151" s="632"/>
      <c r="C151" s="632"/>
      <c r="D151" s="632"/>
      <c r="E151" s="632"/>
      <c r="F151" s="632"/>
      <c r="G151" s="632"/>
      <c r="H151" s="632"/>
      <c r="I151" s="632"/>
    </row>
  </sheetData>
  <mergeCells count="30">
    <mergeCell ref="B126:I151"/>
    <mergeCell ref="B124:C124"/>
    <mergeCell ref="B125:C125"/>
    <mergeCell ref="B97:D97"/>
    <mergeCell ref="B98:D98"/>
    <mergeCell ref="B113:D113"/>
    <mergeCell ref="B109:D109"/>
    <mergeCell ref="B111:D111"/>
    <mergeCell ref="B110:D110"/>
    <mergeCell ref="B112:D112"/>
    <mergeCell ref="B102:D102"/>
    <mergeCell ref="B103:D103"/>
    <mergeCell ref="B104:D104"/>
    <mergeCell ref="B105:D105"/>
    <mergeCell ref="B106:D106"/>
    <mergeCell ref="B90:D90"/>
    <mergeCell ref="B91:D91"/>
    <mergeCell ref="B92:D92"/>
    <mergeCell ref="B93:D93"/>
    <mergeCell ref="B94:D94"/>
    <mergeCell ref="B80:D80"/>
    <mergeCell ref="B84:D84"/>
    <mergeCell ref="B86:D86"/>
    <mergeCell ref="B87:D87"/>
    <mergeCell ref="B89:D89"/>
    <mergeCell ref="B81:D81"/>
    <mergeCell ref="B83:D83"/>
    <mergeCell ref="B88:D88"/>
    <mergeCell ref="B85:D85"/>
    <mergeCell ref="B82:D82"/>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A32D7-EB08-45EE-8B45-DC1FF626C82A}">
  <sheetPr>
    <tabColor theme="7"/>
  </sheetPr>
  <dimension ref="A1:XFC1685"/>
  <sheetViews>
    <sheetView showGridLines="0" zoomScale="90" zoomScaleNormal="90" workbookViewId="0">
      <selection activeCell="A4" sqref="A4"/>
    </sheetView>
  </sheetViews>
  <sheetFormatPr defaultColWidth="11.85546875" defaultRowHeight="12.75"/>
  <cols>
    <col min="1" max="1" width="2.42578125" customWidth="1"/>
    <col min="2" max="2" width="44.7109375" customWidth="1"/>
    <col min="3" max="3" width="33.28515625" customWidth="1"/>
    <col min="4" max="4" width="9.140625" bestFit="1" customWidth="1"/>
    <col min="5" max="5" width="8.42578125" bestFit="1" customWidth="1"/>
    <col min="6" max="6" width="49.7109375" customWidth="1"/>
    <col min="7" max="35" width="17.85546875" customWidth="1"/>
    <col min="36" max="36" width="20.5703125" customWidth="1"/>
  </cols>
  <sheetData>
    <row r="1" spans="1:36">
      <c r="A1" s="6"/>
    </row>
    <row r="2" spans="1:36">
      <c r="B2" s="2" t="s">
        <v>1002</v>
      </c>
    </row>
    <row r="3" spans="1:36">
      <c r="B3" s="178" t="s">
        <v>541</v>
      </c>
      <c r="C3" s="10" t="s">
        <v>782</v>
      </c>
      <c r="D3" s="10" t="s">
        <v>783</v>
      </c>
      <c r="E3" s="10" t="s">
        <v>784</v>
      </c>
      <c r="F3" s="10" t="s">
        <v>787</v>
      </c>
      <c r="G3" s="173" t="s">
        <v>43</v>
      </c>
      <c r="H3" s="173" t="s">
        <v>44</v>
      </c>
      <c r="I3" s="173" t="s">
        <v>45</v>
      </c>
      <c r="J3" s="173" t="s">
        <v>46</v>
      </c>
      <c r="K3" s="173" t="s">
        <v>47</v>
      </c>
      <c r="L3" s="173" t="s">
        <v>48</v>
      </c>
      <c r="M3" s="173" t="s">
        <v>49</v>
      </c>
      <c r="N3" s="173" t="s">
        <v>50</v>
      </c>
      <c r="O3" s="173" t="s">
        <v>51</v>
      </c>
      <c r="P3" s="173" t="s">
        <v>52</v>
      </c>
      <c r="Q3" s="173" t="s">
        <v>53</v>
      </c>
      <c r="R3" s="173" t="s">
        <v>54</v>
      </c>
      <c r="S3" s="173" t="s">
        <v>55</v>
      </c>
      <c r="T3" s="173" t="s">
        <v>56</v>
      </c>
      <c r="U3" s="173" t="s">
        <v>57</v>
      </c>
      <c r="V3" s="173" t="s">
        <v>58</v>
      </c>
      <c r="W3" s="173" t="s">
        <v>59</v>
      </c>
      <c r="X3" s="173" t="s">
        <v>60</v>
      </c>
      <c r="Y3" s="173" t="s">
        <v>61</v>
      </c>
      <c r="Z3" s="173" t="s">
        <v>62</v>
      </c>
      <c r="AA3" s="173" t="s">
        <v>63</v>
      </c>
      <c r="AB3" s="173" t="s">
        <v>64</v>
      </c>
      <c r="AC3" s="173" t="s">
        <v>65</v>
      </c>
      <c r="AD3" s="173" t="s">
        <v>66</v>
      </c>
      <c r="AE3" s="173" t="s">
        <v>67</v>
      </c>
      <c r="AF3" s="173" t="s">
        <v>68</v>
      </c>
      <c r="AG3" s="173" t="s">
        <v>69</v>
      </c>
      <c r="AH3" s="173" t="s">
        <v>70</v>
      </c>
      <c r="AI3" s="173" t="s">
        <v>71</v>
      </c>
      <c r="AJ3" s="173" t="s">
        <v>72</v>
      </c>
    </row>
    <row r="4" spans="1:36">
      <c r="B4" s="122" t="str" cm="1">
        <f t="array" ref="B4:AJ74">_xlfn._xlws.FILTER('Opex Input - Todos os Cenários'!B4:AJ9716,'Opex Input - Todos os Cenários'!B4:B9716='Painel Controle'!C8)</f>
        <v>Cenário 20/03/2025 com IFC</v>
      </c>
      <c r="C4" s="139" t="str">
        <v>Pórticos 1 e 2 (BR-356)</v>
      </c>
      <c r="D4" s="149" t="str">
        <v>1</v>
      </c>
      <c r="E4" s="149">
        <v>1</v>
      </c>
      <c r="F4" s="122" t="str">
        <v xml:space="preserve">Conservação da rodovia </v>
      </c>
      <c r="G4" s="122">
        <v>0</v>
      </c>
      <c r="H4" s="122">
        <v>0</v>
      </c>
      <c r="I4" s="122">
        <v>0</v>
      </c>
      <c r="J4" s="122">
        <v>0</v>
      </c>
      <c r="K4" s="122">
        <v>0</v>
      </c>
      <c r="L4" s="122">
        <v>0</v>
      </c>
      <c r="M4" s="122">
        <v>0</v>
      </c>
      <c r="N4" s="122">
        <v>0</v>
      </c>
      <c r="O4" s="122">
        <v>0</v>
      </c>
      <c r="P4" s="122">
        <v>0</v>
      </c>
      <c r="Q4" s="122">
        <v>0</v>
      </c>
      <c r="R4" s="122">
        <v>0</v>
      </c>
      <c r="S4" s="122">
        <v>0</v>
      </c>
      <c r="T4" s="122">
        <v>0</v>
      </c>
      <c r="U4" s="122">
        <v>0</v>
      </c>
      <c r="V4" s="122">
        <v>0</v>
      </c>
      <c r="W4" s="122">
        <v>0</v>
      </c>
      <c r="X4" s="122">
        <v>0</v>
      </c>
      <c r="Y4" s="122">
        <v>0</v>
      </c>
      <c r="Z4" s="122">
        <v>0</v>
      </c>
      <c r="AA4" s="122">
        <v>0</v>
      </c>
      <c r="AB4" s="122">
        <v>0</v>
      </c>
      <c r="AC4" s="122">
        <v>0</v>
      </c>
      <c r="AD4" s="122">
        <v>0</v>
      </c>
      <c r="AE4" s="122">
        <v>0</v>
      </c>
      <c r="AF4" s="122">
        <v>0</v>
      </c>
      <c r="AG4" s="122">
        <v>0</v>
      </c>
      <c r="AH4" s="122">
        <v>0</v>
      </c>
      <c r="AI4" s="122">
        <v>0</v>
      </c>
      <c r="AJ4" s="122">
        <v>0</v>
      </c>
    </row>
    <row r="5" spans="1:36">
      <c r="B5" s="122" t="str">
        <v>Cenário 20/03/2025 com IFC</v>
      </c>
      <c r="C5" s="139" t="str">
        <v>Pórticos 1 e 2 (BR-356)</v>
      </c>
      <c r="D5" s="149" t="str">
        <v>1</v>
      </c>
      <c r="E5" s="149" t="str">
        <v>1.1</v>
      </c>
      <c r="F5" s="122" t="str">
        <v>Pavimento</v>
      </c>
      <c r="G5" s="145">
        <v>2445385.2332315128</v>
      </c>
      <c r="H5" s="145">
        <v>2445385.2332315128</v>
      </c>
      <c r="I5" s="145">
        <v>2838127.4182396913</v>
      </c>
      <c r="J5" s="145">
        <v>3593095.866773874</v>
      </c>
      <c r="K5" s="145">
        <v>4028092.57313227</v>
      </c>
      <c r="L5" s="145">
        <v>4455137.619242439</v>
      </c>
      <c r="M5" s="145">
        <v>4455137.619242439</v>
      </c>
      <c r="N5" s="145">
        <v>4455137.619242439</v>
      </c>
      <c r="O5" s="145">
        <v>4455137.619242439</v>
      </c>
      <c r="P5" s="145">
        <v>4455137.619242439</v>
      </c>
      <c r="Q5" s="145">
        <v>4455137.619242439</v>
      </c>
      <c r="R5" s="145">
        <v>4455137.619242439</v>
      </c>
      <c r="S5" s="145">
        <v>4455137.619242439</v>
      </c>
      <c r="T5" s="145">
        <v>4455137.619242439</v>
      </c>
      <c r="U5" s="145">
        <v>4455137.619242439</v>
      </c>
      <c r="V5" s="145">
        <v>4455137.619242439</v>
      </c>
      <c r="W5" s="145">
        <v>4455137.619242439</v>
      </c>
      <c r="X5" s="145">
        <v>4455137.619242439</v>
      </c>
      <c r="Y5" s="145">
        <v>4455137.619242439</v>
      </c>
      <c r="Z5" s="145">
        <v>4455137.619242439</v>
      </c>
      <c r="AA5" s="145">
        <v>4455137.619242439</v>
      </c>
      <c r="AB5" s="145">
        <v>4455137.619242439</v>
      </c>
      <c r="AC5" s="145">
        <v>4455137.619242439</v>
      </c>
      <c r="AD5" s="145">
        <v>4455137.619242439</v>
      </c>
      <c r="AE5" s="145">
        <v>4455137.619242439</v>
      </c>
      <c r="AF5" s="145">
        <v>4455137.619242439</v>
      </c>
      <c r="AG5" s="145">
        <v>4455137.619242439</v>
      </c>
      <c r="AH5" s="145">
        <v>4455137.619242439</v>
      </c>
      <c r="AI5" s="145">
        <v>4455137.619242439</v>
      </c>
      <c r="AJ5" s="145">
        <v>4455137.619242439</v>
      </c>
    </row>
    <row r="6" spans="1:36">
      <c r="B6" s="122" t="str">
        <v>Cenário 20/03/2025 com IFC</v>
      </c>
      <c r="C6" s="139" t="str">
        <v>Pórticos 1 e 2 (BR-356)</v>
      </c>
      <c r="D6" s="149" t="str">
        <v>1</v>
      </c>
      <c r="E6" s="149" t="str">
        <v>1.2</v>
      </c>
      <c r="F6" s="122" t="str">
        <v>Elementos de proteção e segurança</v>
      </c>
      <c r="G6" s="145">
        <v>1476189.8949652249</v>
      </c>
      <c r="H6" s="145">
        <v>1500400.0278902249</v>
      </c>
      <c r="I6" s="145">
        <v>1765610.4766281408</v>
      </c>
      <c r="J6" s="145">
        <v>2306505.7302730023</v>
      </c>
      <c r="K6" s="145">
        <v>2687379.9527573297</v>
      </c>
      <c r="L6" s="145">
        <v>2780812.2297324641</v>
      </c>
      <c r="M6" s="145">
        <v>2780812.2297324641</v>
      </c>
      <c r="N6" s="145">
        <v>2918544.2228985471</v>
      </c>
      <c r="O6" s="145">
        <v>3125381.8373735854</v>
      </c>
      <c r="P6" s="145">
        <v>3325811.7079013856</v>
      </c>
      <c r="Q6" s="145">
        <v>3420116.4709911225</v>
      </c>
      <c r="R6" s="145">
        <v>3611653.4375797771</v>
      </c>
      <c r="S6" s="145">
        <v>3727570.7657838725</v>
      </c>
      <c r="T6" s="145">
        <v>3957225.409405489</v>
      </c>
      <c r="U6" s="145">
        <v>4135559.3781196401</v>
      </c>
      <c r="V6" s="145">
        <v>4175219.8961765273</v>
      </c>
      <c r="W6" s="145">
        <v>4245117.6813464183</v>
      </c>
      <c r="X6" s="145">
        <v>4338190.1995451031</v>
      </c>
      <c r="Y6" s="145">
        <v>4338190.1995451031</v>
      </c>
      <c r="Z6" s="145">
        <v>4338190.1995451031</v>
      </c>
      <c r="AA6" s="145">
        <v>4338190.1995451031</v>
      </c>
      <c r="AB6" s="145">
        <v>4338190.1995451031</v>
      </c>
      <c r="AC6" s="145">
        <v>4338190.1995451031</v>
      </c>
      <c r="AD6" s="145">
        <v>4338190.1995451031</v>
      </c>
      <c r="AE6" s="145">
        <v>4338190.1995451031</v>
      </c>
      <c r="AF6" s="145">
        <v>4338190.1995451031</v>
      </c>
      <c r="AG6" s="145">
        <v>4338190.1995451031</v>
      </c>
      <c r="AH6" s="145">
        <v>4338190.1995451031</v>
      </c>
      <c r="AI6" s="145">
        <v>4338190.1995451031</v>
      </c>
      <c r="AJ6" s="145">
        <v>4338190.1995451031</v>
      </c>
    </row>
    <row r="7" spans="1:36">
      <c r="B7" s="122" t="str">
        <v>Cenário 20/03/2025 com IFC</v>
      </c>
      <c r="C7" s="139" t="str">
        <v>Pórticos 1 e 2 (BR-356)</v>
      </c>
      <c r="D7" s="149" t="str">
        <v>1</v>
      </c>
      <c r="E7" s="149" t="str">
        <v>1.3</v>
      </c>
      <c r="F7" s="122" t="str">
        <v>Obras de arte especiais</v>
      </c>
      <c r="G7" s="145">
        <v>54242.723999160007</v>
      </c>
      <c r="H7" s="145">
        <v>58633.282779034998</v>
      </c>
      <c r="I7" s="145">
        <v>73664.7190128293</v>
      </c>
      <c r="J7" s="145">
        <v>97647.264159955186</v>
      </c>
      <c r="K7" s="145">
        <v>117883.811033734</v>
      </c>
      <c r="L7" s="145">
        <v>131963.534248515</v>
      </c>
      <c r="M7" s="145">
        <v>131963.534248515</v>
      </c>
      <c r="N7" s="145">
        <v>131963.534248515</v>
      </c>
      <c r="O7" s="145">
        <v>131963.534248515</v>
      </c>
      <c r="P7" s="145">
        <v>131963.534248515</v>
      </c>
      <c r="Q7" s="145">
        <v>131963.534248515</v>
      </c>
      <c r="R7" s="145">
        <v>131963.534248515</v>
      </c>
      <c r="S7" s="145">
        <v>131963.534248515</v>
      </c>
      <c r="T7" s="145">
        <v>131963.534248515</v>
      </c>
      <c r="U7" s="145">
        <v>131963.534248515</v>
      </c>
      <c r="V7" s="145">
        <v>131963.534248515</v>
      </c>
      <c r="W7" s="145">
        <v>131963.534248515</v>
      </c>
      <c r="X7" s="145">
        <v>131963.534248515</v>
      </c>
      <c r="Y7" s="145">
        <v>131963.534248515</v>
      </c>
      <c r="Z7" s="145">
        <v>131963.534248515</v>
      </c>
      <c r="AA7" s="145">
        <v>131963.534248515</v>
      </c>
      <c r="AB7" s="145">
        <v>131963.534248515</v>
      </c>
      <c r="AC7" s="145">
        <v>131963.534248515</v>
      </c>
      <c r="AD7" s="145">
        <v>131963.534248515</v>
      </c>
      <c r="AE7" s="145">
        <v>131963.534248515</v>
      </c>
      <c r="AF7" s="145">
        <v>131963.534248515</v>
      </c>
      <c r="AG7" s="145">
        <v>131963.534248515</v>
      </c>
      <c r="AH7" s="145">
        <v>131963.534248515</v>
      </c>
      <c r="AI7" s="145">
        <v>131963.534248515</v>
      </c>
      <c r="AJ7" s="145">
        <v>131963.534248515</v>
      </c>
    </row>
    <row r="8" spans="1:36">
      <c r="B8" s="122" t="str">
        <v>Cenário 20/03/2025 com IFC</v>
      </c>
      <c r="C8" s="139" t="str">
        <v>Pórticos 1 e 2 (BR-356)</v>
      </c>
      <c r="D8" s="149" t="str">
        <v>1</v>
      </c>
      <c r="E8" s="149" t="str">
        <v>1.4</v>
      </c>
      <c r="F8" s="122" t="str">
        <v>Drenagem e obras de arte correntes</v>
      </c>
      <c r="G8" s="145">
        <v>155474.3201476406</v>
      </c>
      <c r="H8" s="145">
        <v>155481.3149637834</v>
      </c>
      <c r="I8" s="145">
        <v>168189.75461275887</v>
      </c>
      <c r="J8" s="145">
        <v>191792.57729707932</v>
      </c>
      <c r="K8" s="145">
        <v>215280.81314694465</v>
      </c>
      <c r="L8" s="145">
        <v>215280.81314694465</v>
      </c>
      <c r="M8" s="145">
        <v>215280.81314694465</v>
      </c>
      <c r="N8" s="145">
        <v>227673.76817411304</v>
      </c>
      <c r="O8" s="145">
        <v>247836.38831331822</v>
      </c>
      <c r="P8" s="145">
        <v>280779.48907557077</v>
      </c>
      <c r="Q8" s="145">
        <v>290617.93956864841</v>
      </c>
      <c r="R8" s="145">
        <v>301668.15975415183</v>
      </c>
      <c r="S8" s="145">
        <v>312698.38645683025</v>
      </c>
      <c r="T8" s="145">
        <v>336265.78504128661</v>
      </c>
      <c r="U8" s="145">
        <v>358078.1336983607</v>
      </c>
      <c r="V8" s="145">
        <v>359844.55123922671</v>
      </c>
      <c r="W8" s="145">
        <v>370300.89872875449</v>
      </c>
      <c r="X8" s="145">
        <v>376899.09162353229</v>
      </c>
      <c r="Y8" s="145">
        <v>376899.09162353229</v>
      </c>
      <c r="Z8" s="145">
        <v>376899.09162353229</v>
      </c>
      <c r="AA8" s="145">
        <v>376899.09162353229</v>
      </c>
      <c r="AB8" s="145">
        <v>376899.09162353229</v>
      </c>
      <c r="AC8" s="145">
        <v>376899.09162353229</v>
      </c>
      <c r="AD8" s="145">
        <v>376899.09162353229</v>
      </c>
      <c r="AE8" s="145">
        <v>376899.09162353229</v>
      </c>
      <c r="AF8" s="145">
        <v>376899.09162353229</v>
      </c>
      <c r="AG8" s="145">
        <v>376899.09162353229</v>
      </c>
      <c r="AH8" s="145">
        <v>376899.09162353229</v>
      </c>
      <c r="AI8" s="145">
        <v>376899.09162353229</v>
      </c>
      <c r="AJ8" s="145">
        <v>376899.09162353229</v>
      </c>
    </row>
    <row r="9" spans="1:36">
      <c r="B9" s="122" t="str">
        <v>Cenário 20/03/2025 com IFC</v>
      </c>
      <c r="C9" s="139" t="str">
        <v>Pórticos 1 e 2 (BR-356)</v>
      </c>
      <c r="D9" s="149" t="str">
        <v>1</v>
      </c>
      <c r="E9" s="149" t="str">
        <v>1.5</v>
      </c>
      <c r="F9" s="122" t="str">
        <v>Terraplenos e estruturas de contenção</v>
      </c>
      <c r="G9" s="145">
        <v>123688.24883762636</v>
      </c>
      <c r="H9" s="145">
        <v>107111.54883762635</v>
      </c>
      <c r="I9" s="145">
        <v>107111.54883762635</v>
      </c>
      <c r="J9" s="145">
        <v>115322.66083762635</v>
      </c>
      <c r="K9" s="145">
        <v>194538.78197642634</v>
      </c>
      <c r="L9" s="145">
        <v>196208.24576682638</v>
      </c>
      <c r="M9" s="145">
        <v>225783.85429082633</v>
      </c>
      <c r="N9" s="145">
        <v>238963.9623512984</v>
      </c>
      <c r="O9" s="145">
        <v>264701.15412809839</v>
      </c>
      <c r="P9" s="145">
        <v>264701.15412809839</v>
      </c>
      <c r="Q9" s="145">
        <v>264701.15412809839</v>
      </c>
      <c r="R9" s="145">
        <v>264701.15412809839</v>
      </c>
      <c r="S9" s="145">
        <v>264701.15412809839</v>
      </c>
      <c r="T9" s="145">
        <v>264701.15412809839</v>
      </c>
      <c r="U9" s="145">
        <v>264701.15412809839</v>
      </c>
      <c r="V9" s="145">
        <v>264701.15412809839</v>
      </c>
      <c r="W9" s="145">
        <v>264701.15412809839</v>
      </c>
      <c r="X9" s="145">
        <v>264701.15412809839</v>
      </c>
      <c r="Y9" s="145">
        <v>264701.15412809839</v>
      </c>
      <c r="Z9" s="145">
        <v>264701.15412809839</v>
      </c>
      <c r="AA9" s="145">
        <v>264701.15412809839</v>
      </c>
      <c r="AB9" s="145">
        <v>264701.15412809839</v>
      </c>
      <c r="AC9" s="145">
        <v>264701.15412809839</v>
      </c>
      <c r="AD9" s="145">
        <v>264701.15412809839</v>
      </c>
      <c r="AE9" s="145">
        <v>264701.15412809839</v>
      </c>
      <c r="AF9" s="145">
        <v>264701.15412809839</v>
      </c>
      <c r="AG9" s="145">
        <v>264701.15412809839</v>
      </c>
      <c r="AH9" s="145">
        <v>264701.15412809839</v>
      </c>
      <c r="AI9" s="145">
        <v>264701.15412809839</v>
      </c>
      <c r="AJ9" s="145">
        <v>264701.15412809839</v>
      </c>
    </row>
    <row r="10" spans="1:36">
      <c r="B10" s="122" t="str">
        <v>Cenário 20/03/2025 com IFC</v>
      </c>
      <c r="C10" s="139" t="str">
        <v>Pórticos 1 e 2 (BR-356)</v>
      </c>
      <c r="D10" s="149" t="str">
        <v>1</v>
      </c>
      <c r="E10" s="149" t="str">
        <v>1.6</v>
      </c>
      <c r="F10" s="122" t="str">
        <v>Faixa de domínio</v>
      </c>
      <c r="G10" s="145">
        <v>1031514.0530017761</v>
      </c>
      <c r="H10" s="145">
        <v>1040877.4546855262</v>
      </c>
      <c r="I10" s="145">
        <v>1062376.570619276</v>
      </c>
      <c r="J10" s="145">
        <v>1166990.9482362259</v>
      </c>
      <c r="K10" s="145">
        <v>1188191.3056699759</v>
      </c>
      <c r="L10" s="145">
        <v>1184663.7956699762</v>
      </c>
      <c r="M10" s="145">
        <v>1195839.9526619762</v>
      </c>
      <c r="N10" s="145">
        <v>1184663.7956699762</v>
      </c>
      <c r="O10" s="145">
        <v>1184663.7956699762</v>
      </c>
      <c r="P10" s="145">
        <v>1184663.7956699762</v>
      </c>
      <c r="Q10" s="145">
        <v>1184663.7956699762</v>
      </c>
      <c r="R10" s="145">
        <v>1184663.7956699762</v>
      </c>
      <c r="S10" s="145">
        <v>1184663.7956699762</v>
      </c>
      <c r="T10" s="145">
        <v>1184663.7956699762</v>
      </c>
      <c r="U10" s="145">
        <v>1184663.7956699762</v>
      </c>
      <c r="V10" s="145">
        <v>1184663.7956699762</v>
      </c>
      <c r="W10" s="145">
        <v>1184663.7956699762</v>
      </c>
      <c r="X10" s="145">
        <v>1184663.7956699762</v>
      </c>
      <c r="Y10" s="145">
        <v>1184663.7956699762</v>
      </c>
      <c r="Z10" s="145">
        <v>1184663.7956699762</v>
      </c>
      <c r="AA10" s="145">
        <v>1184663.7956699762</v>
      </c>
      <c r="AB10" s="145">
        <v>1184663.7956699762</v>
      </c>
      <c r="AC10" s="145">
        <v>1184663.7956699762</v>
      </c>
      <c r="AD10" s="145">
        <v>1184663.7956699762</v>
      </c>
      <c r="AE10" s="145">
        <v>1184663.7956699762</v>
      </c>
      <c r="AF10" s="145">
        <v>1184663.7956699762</v>
      </c>
      <c r="AG10" s="145">
        <v>1184663.7956699762</v>
      </c>
      <c r="AH10" s="145">
        <v>1184663.7956699762</v>
      </c>
      <c r="AI10" s="145">
        <v>1184663.7956699762</v>
      </c>
      <c r="AJ10" s="145">
        <v>1184663.7956699762</v>
      </c>
    </row>
    <row r="11" spans="1:36">
      <c r="B11" s="122" t="str">
        <v>Cenário 20/03/2025 com IFC</v>
      </c>
      <c r="C11" s="139" t="str">
        <v>Pórticos 1 e 2 (BR-356)</v>
      </c>
      <c r="D11" s="149" t="str">
        <v>1</v>
      </c>
      <c r="E11" s="149" t="str">
        <v>1.7</v>
      </c>
      <c r="F11" s="122" t="str">
        <v>Edificações e instalações operacionais</v>
      </c>
      <c r="G11" s="145">
        <v>227508.4</v>
      </c>
      <c r="H11" s="145">
        <v>227508.4</v>
      </c>
      <c r="I11" s="145">
        <v>227508.4</v>
      </c>
      <c r="J11" s="145">
        <v>227508.4</v>
      </c>
      <c r="K11" s="145">
        <v>227508.4</v>
      </c>
      <c r="L11" s="145">
        <v>227508.4</v>
      </c>
      <c r="M11" s="145">
        <v>227508.4</v>
      </c>
      <c r="N11" s="145">
        <v>227508.4</v>
      </c>
      <c r="O11" s="145">
        <v>227508.4</v>
      </c>
      <c r="P11" s="145">
        <v>227508.4</v>
      </c>
      <c r="Q11" s="145">
        <v>227508.4</v>
      </c>
      <c r="R11" s="145">
        <v>227508.4</v>
      </c>
      <c r="S11" s="145">
        <v>227508.4</v>
      </c>
      <c r="T11" s="145">
        <v>227508.4</v>
      </c>
      <c r="U11" s="145">
        <v>227508.4</v>
      </c>
      <c r="V11" s="145">
        <v>227508.4</v>
      </c>
      <c r="W11" s="145">
        <v>227508.4</v>
      </c>
      <c r="X11" s="145">
        <v>227508.4</v>
      </c>
      <c r="Y11" s="145">
        <v>227508.4</v>
      </c>
      <c r="Z11" s="145">
        <v>227508.4</v>
      </c>
      <c r="AA11" s="145">
        <v>227508.4</v>
      </c>
      <c r="AB11" s="145">
        <v>227508.4</v>
      </c>
      <c r="AC11" s="145">
        <v>227508.4</v>
      </c>
      <c r="AD11" s="145">
        <v>227508.4</v>
      </c>
      <c r="AE11" s="145">
        <v>227508.4</v>
      </c>
      <c r="AF11" s="145">
        <v>227508.4</v>
      </c>
      <c r="AG11" s="145">
        <v>227508.4</v>
      </c>
      <c r="AH11" s="145">
        <v>227508.4</v>
      </c>
      <c r="AI11" s="145">
        <v>227508.4</v>
      </c>
      <c r="AJ11" s="145">
        <v>227508.4</v>
      </c>
    </row>
    <row r="12" spans="1:36">
      <c r="B12" s="122" t="str">
        <v>Cenário 20/03/2025 com IFC</v>
      </c>
      <c r="C12" s="139" t="str">
        <v>Pórticos 1 e 2 (BR-356)</v>
      </c>
      <c r="D12" s="149" t="str">
        <v>1</v>
      </c>
      <c r="E12" s="149" t="str">
        <v>1.8</v>
      </c>
      <c r="F12" s="122" t="str">
        <v>Iluminação e instalações elétricas</v>
      </c>
      <c r="G12" s="145">
        <v>169145.25990673067</v>
      </c>
      <c r="H12" s="145">
        <v>169904.37280673065</v>
      </c>
      <c r="I12" s="145">
        <v>188882.19530673066</v>
      </c>
      <c r="J12" s="145">
        <v>193979.09620673067</v>
      </c>
      <c r="K12" s="145">
        <v>207534.68370673066</v>
      </c>
      <c r="L12" s="145">
        <v>207534.68370673066</v>
      </c>
      <c r="M12" s="145">
        <v>207534.68370673066</v>
      </c>
      <c r="N12" s="145">
        <v>211872.47170673066</v>
      </c>
      <c r="O12" s="145">
        <v>238983.64670673065</v>
      </c>
      <c r="P12" s="145">
        <v>238983.64670673065</v>
      </c>
      <c r="Q12" s="145">
        <v>238983.64670673065</v>
      </c>
      <c r="R12" s="145">
        <v>285831.75710673066</v>
      </c>
      <c r="S12" s="145">
        <v>290169.54510673066</v>
      </c>
      <c r="T12" s="145">
        <v>298845.12110673066</v>
      </c>
      <c r="U12" s="145">
        <v>305351.80310673069</v>
      </c>
      <c r="V12" s="145">
        <v>336583.87670673069</v>
      </c>
      <c r="W12" s="145">
        <v>347428.34670673066</v>
      </c>
      <c r="X12" s="145">
        <v>368249.72910673067</v>
      </c>
      <c r="Y12" s="145">
        <v>368249.72910673067</v>
      </c>
      <c r="Z12" s="145">
        <v>368249.72910673067</v>
      </c>
      <c r="AA12" s="145">
        <v>368249.72910673067</v>
      </c>
      <c r="AB12" s="145">
        <v>368249.72910673067</v>
      </c>
      <c r="AC12" s="145">
        <v>368249.72910673067</v>
      </c>
      <c r="AD12" s="145">
        <v>368249.72910673067</v>
      </c>
      <c r="AE12" s="145">
        <v>368249.72910673067</v>
      </c>
      <c r="AF12" s="145">
        <v>368249.72910673067</v>
      </c>
      <c r="AG12" s="145">
        <v>368249.72910673067</v>
      </c>
      <c r="AH12" s="145">
        <v>368249.72910673067</v>
      </c>
      <c r="AI12" s="145">
        <v>368249.72910673067</v>
      </c>
      <c r="AJ12" s="145">
        <v>368249.72910673067</v>
      </c>
    </row>
    <row r="13" spans="1:36">
      <c r="B13" s="122" t="str">
        <v>Cenário 20/03/2025 com IFC</v>
      </c>
      <c r="C13" s="139" t="str">
        <v>Pórticos 1 e 2 (BR-356)</v>
      </c>
      <c r="D13" s="149" t="str">
        <v>1</v>
      </c>
      <c r="E13" s="149" t="str">
        <v>1.9</v>
      </c>
      <c r="F13" s="122" t="str">
        <v>Administração local</v>
      </c>
      <c r="G13" s="145">
        <v>281315.83263743878</v>
      </c>
      <c r="H13" s="145">
        <v>282412.4309421248</v>
      </c>
      <c r="I13" s="145">
        <v>318357.81862122414</v>
      </c>
      <c r="J13" s="145">
        <v>390695.70591733244</v>
      </c>
      <c r="K13" s="145">
        <v>438887.31091045891</v>
      </c>
      <c r="L13" s="145">
        <v>465255.91141493793</v>
      </c>
      <c r="M13" s="145">
        <v>467273.12380797992</v>
      </c>
      <c r="N13" s="145">
        <v>475018.22482743522</v>
      </c>
      <c r="O13" s="145">
        <v>488870.73059629183</v>
      </c>
      <c r="P13" s="145">
        <v>500422.69267514942</v>
      </c>
      <c r="Q13" s="145">
        <v>505577.78174749878</v>
      </c>
      <c r="R13" s="145">
        <v>517924.82895761967</v>
      </c>
      <c r="S13" s="145">
        <v>524423.45343150501</v>
      </c>
      <c r="T13" s="145">
        <v>537387.38553270558</v>
      </c>
      <c r="U13" s="145">
        <v>547616.70900158118</v>
      </c>
      <c r="V13" s="145">
        <v>551213.32995686983</v>
      </c>
      <c r="W13" s="145">
        <v>555727.66078851116</v>
      </c>
      <c r="X13" s="145">
        <v>561692.01941643748</v>
      </c>
      <c r="Y13" s="145">
        <v>561692.01941643748</v>
      </c>
      <c r="Z13" s="145">
        <v>561692.01941643748</v>
      </c>
      <c r="AA13" s="145">
        <v>561692.01941643748</v>
      </c>
      <c r="AB13" s="145">
        <v>561692.01941643748</v>
      </c>
      <c r="AC13" s="145">
        <v>561692.01941643748</v>
      </c>
      <c r="AD13" s="145">
        <v>561692.01941643748</v>
      </c>
      <c r="AE13" s="145">
        <v>561692.01941643748</v>
      </c>
      <c r="AF13" s="145">
        <v>561692.01941643748</v>
      </c>
      <c r="AG13" s="145">
        <v>561692.01941643748</v>
      </c>
      <c r="AH13" s="145">
        <v>561692.01941643748</v>
      </c>
      <c r="AI13" s="145">
        <v>561692.01941643748</v>
      </c>
      <c r="AJ13" s="145">
        <v>561692.01941643748</v>
      </c>
    </row>
    <row r="14" spans="1:36">
      <c r="B14" s="122" t="str">
        <v>Cenário 20/03/2025 com IFC</v>
      </c>
      <c r="C14" s="139" t="str">
        <v>Pórticos 1 e 2 (BR-356)</v>
      </c>
      <c r="D14" s="149" t="str">
        <v>1</v>
      </c>
      <c r="E14" s="149" t="str">
        <v>1.10</v>
      </c>
      <c r="F14" s="122" t="str">
        <v xml:space="preserve">Canteiro de obras </v>
      </c>
      <c r="G14" s="145">
        <v>17617.759215677983</v>
      </c>
      <c r="H14" s="145">
        <v>17686.435069102765</v>
      </c>
      <c r="I14" s="145">
        <v>19937.560358096864</v>
      </c>
      <c r="J14" s="145">
        <v>24467.811885731928</v>
      </c>
      <c r="K14" s="145">
        <v>27485.871996412574</v>
      </c>
      <c r="L14" s="145">
        <v>29137.238896693078</v>
      </c>
      <c r="M14" s="145">
        <v>29263.56936979268</v>
      </c>
      <c r="N14" s="145">
        <v>29748.616100304022</v>
      </c>
      <c r="O14" s="145">
        <v>30616.146764616256</v>
      </c>
      <c r="P14" s="145">
        <v>31339.602975615417</v>
      </c>
      <c r="Q14" s="145">
        <v>31662.446937722143</v>
      </c>
      <c r="R14" s="145">
        <v>32435.696358962039</v>
      </c>
      <c r="S14" s="145">
        <v>32842.680921973035</v>
      </c>
      <c r="T14" s="145">
        <v>33654.563538411858</v>
      </c>
      <c r="U14" s="145">
        <v>34295.187836462661</v>
      </c>
      <c r="V14" s="145">
        <v>34520.430764975688</v>
      </c>
      <c r="W14" s="145">
        <v>34803.146433219888</v>
      </c>
      <c r="X14" s="145">
        <v>35176.671923049616</v>
      </c>
      <c r="Y14" s="145">
        <v>35176.671923049616</v>
      </c>
      <c r="Z14" s="145">
        <v>35176.671923049616</v>
      </c>
      <c r="AA14" s="145">
        <v>35176.671923049616</v>
      </c>
      <c r="AB14" s="145">
        <v>35176.671923049616</v>
      </c>
      <c r="AC14" s="145">
        <v>35176.671923049616</v>
      </c>
      <c r="AD14" s="145">
        <v>35176.671923049616</v>
      </c>
      <c r="AE14" s="145">
        <v>35176.671923049616</v>
      </c>
      <c r="AF14" s="145">
        <v>35176.671923049616</v>
      </c>
      <c r="AG14" s="145">
        <v>35176.671923049616</v>
      </c>
      <c r="AH14" s="145">
        <v>35176.671923049616</v>
      </c>
      <c r="AI14" s="145">
        <v>35176.671923049616</v>
      </c>
      <c r="AJ14" s="145">
        <v>35176.671923049616</v>
      </c>
    </row>
    <row r="15" spans="1:36">
      <c r="B15" s="122" t="str">
        <v>Cenário 20/03/2025 com IFC</v>
      </c>
      <c r="C15" s="139" t="str">
        <v>Pórticos 1 e 2 (BR-356)</v>
      </c>
      <c r="D15" s="149" t="str">
        <v>1</v>
      </c>
      <c r="E15" s="149" t="str">
        <v>1.11</v>
      </c>
      <c r="F15" s="122" t="str">
        <v>Mobilização e desmobilização</v>
      </c>
      <c r="G15" s="145">
        <v>568.31481340896721</v>
      </c>
      <c r="H15" s="145">
        <v>570.53016351944405</v>
      </c>
      <c r="I15" s="145">
        <v>643.14710832570529</v>
      </c>
      <c r="J15" s="145">
        <v>789.28425437844942</v>
      </c>
      <c r="K15" s="145">
        <v>886.64103214234115</v>
      </c>
      <c r="L15" s="145">
        <v>939.91093215138972</v>
      </c>
      <c r="M15" s="145">
        <v>943.98610870298967</v>
      </c>
      <c r="N15" s="145">
        <v>959.63277742916205</v>
      </c>
      <c r="O15" s="145">
        <v>987.61763756826633</v>
      </c>
      <c r="P15" s="145">
        <v>1010.9549346972716</v>
      </c>
      <c r="Q15" s="145">
        <v>1021.3692560555531</v>
      </c>
      <c r="R15" s="145">
        <v>1046.3127857729692</v>
      </c>
      <c r="S15" s="145">
        <v>1059.4413200636463</v>
      </c>
      <c r="T15" s="145">
        <v>1085.6310818842537</v>
      </c>
      <c r="U15" s="145">
        <v>1106.2963818213761</v>
      </c>
      <c r="V15" s="145">
        <v>1113.5622827411512</v>
      </c>
      <c r="W15" s="145">
        <v>1122.6821430070934</v>
      </c>
      <c r="X15" s="145">
        <v>1134.7313523564394</v>
      </c>
      <c r="Y15" s="145">
        <v>1134.7313523564394</v>
      </c>
      <c r="Z15" s="145">
        <v>1134.7313523564394</v>
      </c>
      <c r="AA15" s="145">
        <v>1134.7313523564394</v>
      </c>
      <c r="AB15" s="145">
        <v>1134.7313523564394</v>
      </c>
      <c r="AC15" s="145">
        <v>1134.7313523564394</v>
      </c>
      <c r="AD15" s="145">
        <v>1134.7313523564394</v>
      </c>
      <c r="AE15" s="145">
        <v>1134.7313523564394</v>
      </c>
      <c r="AF15" s="145">
        <v>1134.7313523564394</v>
      </c>
      <c r="AG15" s="145">
        <v>1134.7313523564394</v>
      </c>
      <c r="AH15" s="145">
        <v>1134.7313523564394</v>
      </c>
      <c r="AI15" s="145">
        <v>1134.7313523564394</v>
      </c>
      <c r="AJ15" s="145">
        <v>1134.7313523564394</v>
      </c>
    </row>
    <row r="16" spans="1:36">
      <c r="B16" s="122" t="str">
        <v>Cenário 20/03/2025 com IFC</v>
      </c>
      <c r="C16" s="139" t="str">
        <v>Pórticos 1 e 2 (BR-356)</v>
      </c>
      <c r="D16" s="149" t="str">
        <v>2</v>
      </c>
      <c r="E16" s="149">
        <v>2</v>
      </c>
      <c r="F16" s="122" t="str">
        <v xml:space="preserve">Monitoração da rodovia </v>
      </c>
      <c r="G16" s="122">
        <v>0</v>
      </c>
      <c r="H16" s="122">
        <v>0</v>
      </c>
      <c r="I16" s="122">
        <v>0</v>
      </c>
      <c r="J16" s="122">
        <v>0</v>
      </c>
      <c r="K16" s="122">
        <v>0</v>
      </c>
      <c r="L16" s="122">
        <v>0</v>
      </c>
      <c r="M16" s="122">
        <v>0</v>
      </c>
      <c r="N16" s="122">
        <v>0</v>
      </c>
      <c r="O16" s="122">
        <v>0</v>
      </c>
      <c r="P16" s="122">
        <v>0</v>
      </c>
      <c r="Q16" s="122">
        <v>0</v>
      </c>
      <c r="R16" s="122">
        <v>0</v>
      </c>
      <c r="S16" s="122">
        <v>0</v>
      </c>
      <c r="T16" s="122">
        <v>0</v>
      </c>
      <c r="U16" s="122">
        <v>0</v>
      </c>
      <c r="V16" s="122">
        <v>0</v>
      </c>
      <c r="W16" s="122">
        <v>0</v>
      </c>
      <c r="X16" s="122">
        <v>0</v>
      </c>
      <c r="Y16" s="122">
        <v>0</v>
      </c>
      <c r="Z16" s="122">
        <v>0</v>
      </c>
      <c r="AA16" s="122">
        <v>0</v>
      </c>
      <c r="AB16" s="122">
        <v>0</v>
      </c>
      <c r="AC16" s="122">
        <v>0</v>
      </c>
      <c r="AD16" s="122">
        <v>0</v>
      </c>
      <c r="AE16" s="122">
        <v>0</v>
      </c>
      <c r="AF16" s="122">
        <v>0</v>
      </c>
      <c r="AG16" s="122">
        <v>0</v>
      </c>
      <c r="AH16" s="122">
        <v>0</v>
      </c>
      <c r="AI16" s="122">
        <v>0</v>
      </c>
      <c r="AJ16" s="122">
        <v>0</v>
      </c>
    </row>
    <row r="17" spans="2:36">
      <c r="B17" s="122" t="str">
        <v>Cenário 20/03/2025 com IFC</v>
      </c>
      <c r="C17" s="139" t="str">
        <v>Pórticos 1 e 2 (BR-356)</v>
      </c>
      <c r="D17" s="149" t="str">
        <v>2</v>
      </c>
      <c r="E17" s="149" t="str">
        <v>2.1</v>
      </c>
      <c r="F17" s="122" t="str">
        <v xml:space="preserve">Pavimento </v>
      </c>
      <c r="G17" s="145">
        <v>389497.64229766664</v>
      </c>
      <c r="H17" s="145">
        <v>106800.92166666666</v>
      </c>
      <c r="I17" s="145">
        <v>106800.92166666666</v>
      </c>
      <c r="J17" s="145">
        <v>133973.47079766667</v>
      </c>
      <c r="K17" s="145">
        <v>106800.92166666666</v>
      </c>
      <c r="L17" s="145">
        <v>106800.92166666666</v>
      </c>
      <c r="M17" s="145">
        <v>93836.778399999981</v>
      </c>
      <c r="N17" s="145">
        <v>93836.778399999981</v>
      </c>
      <c r="O17" s="145">
        <v>152931.36424119998</v>
      </c>
      <c r="P17" s="145">
        <v>93836.778399999981</v>
      </c>
      <c r="Q17" s="145">
        <v>93836.778399999981</v>
      </c>
      <c r="R17" s="145">
        <v>93836.778399999981</v>
      </c>
      <c r="S17" s="145">
        <v>93836.778399999981</v>
      </c>
      <c r="T17" s="145">
        <v>152931.36424119998</v>
      </c>
      <c r="U17" s="145">
        <v>93836.778399999981</v>
      </c>
      <c r="V17" s="145">
        <v>93836.778399999981</v>
      </c>
      <c r="W17" s="145">
        <v>93836.778399999981</v>
      </c>
      <c r="X17" s="145">
        <v>93836.778399999981</v>
      </c>
      <c r="Y17" s="145">
        <v>152931.36424119998</v>
      </c>
      <c r="Z17" s="145">
        <v>93836.778399999981</v>
      </c>
      <c r="AA17" s="145">
        <v>93836.778399999981</v>
      </c>
      <c r="AB17" s="145">
        <v>93836.778399999981</v>
      </c>
      <c r="AC17" s="145">
        <v>93836.778399999981</v>
      </c>
      <c r="AD17" s="145">
        <v>152931.36424119998</v>
      </c>
      <c r="AE17" s="145">
        <v>93836.778399999981</v>
      </c>
      <c r="AF17" s="145">
        <v>93836.778399999981</v>
      </c>
      <c r="AG17" s="145">
        <v>93836.778399999981</v>
      </c>
      <c r="AH17" s="145">
        <v>93836.778399999981</v>
      </c>
      <c r="AI17" s="145">
        <v>152931.36424119998</v>
      </c>
      <c r="AJ17" s="145">
        <v>93836.778399999981</v>
      </c>
    </row>
    <row r="18" spans="2:36">
      <c r="B18" s="122" t="str">
        <v>Cenário 20/03/2025 com IFC</v>
      </c>
      <c r="C18" s="139" t="str">
        <v>Pórticos 1 e 2 (BR-356)</v>
      </c>
      <c r="D18" s="149" t="str">
        <v>2</v>
      </c>
      <c r="E18" s="149" t="str">
        <v>2.2</v>
      </c>
      <c r="F18" s="122" t="str">
        <v>Elementos de proteção e segurança</v>
      </c>
      <c r="G18" s="145">
        <v>110501.69979939998</v>
      </c>
      <c r="H18" s="145">
        <v>110501.69979939998</v>
      </c>
      <c r="I18" s="145">
        <v>81517.647392999992</v>
      </c>
      <c r="J18" s="145">
        <v>110501.69979939998</v>
      </c>
      <c r="K18" s="145">
        <v>81517.647392999992</v>
      </c>
      <c r="L18" s="145">
        <v>110501.69979939998</v>
      </c>
      <c r="M18" s="145">
        <v>147736.46460299997</v>
      </c>
      <c r="N18" s="145">
        <v>179253.57705163996</v>
      </c>
      <c r="O18" s="145">
        <v>147736.46460299997</v>
      </c>
      <c r="P18" s="145">
        <v>179253.57705163996</v>
      </c>
      <c r="Q18" s="145">
        <v>147736.46460299997</v>
      </c>
      <c r="R18" s="145">
        <v>179253.57705163996</v>
      </c>
      <c r="S18" s="145">
        <v>147736.46460299997</v>
      </c>
      <c r="T18" s="145">
        <v>179253.57705163996</v>
      </c>
      <c r="U18" s="145">
        <v>147736.46460299997</v>
      </c>
      <c r="V18" s="145">
        <v>179253.57705163996</v>
      </c>
      <c r="W18" s="145">
        <v>147736.46460299997</v>
      </c>
      <c r="X18" s="145">
        <v>179253.57705163996</v>
      </c>
      <c r="Y18" s="145">
        <v>147736.46460299997</v>
      </c>
      <c r="Z18" s="145">
        <v>179253.57705163996</v>
      </c>
      <c r="AA18" s="145">
        <v>147736.46460299997</v>
      </c>
      <c r="AB18" s="145">
        <v>179253.57705163996</v>
      </c>
      <c r="AC18" s="145">
        <v>147736.46460299997</v>
      </c>
      <c r="AD18" s="145">
        <v>179253.57705163996</v>
      </c>
      <c r="AE18" s="145">
        <v>147736.46460299997</v>
      </c>
      <c r="AF18" s="145">
        <v>179253.57705163996</v>
      </c>
      <c r="AG18" s="145">
        <v>147736.46460299997</v>
      </c>
      <c r="AH18" s="145">
        <v>179253.57705163996</v>
      </c>
      <c r="AI18" s="145">
        <v>147736.46460299997</v>
      </c>
      <c r="AJ18" s="145">
        <v>179253.57705163996</v>
      </c>
    </row>
    <row r="19" spans="2:36">
      <c r="B19" s="122" t="str">
        <v>Cenário 20/03/2025 com IFC</v>
      </c>
      <c r="C19" s="139" t="str">
        <v>Pórticos 1 e 2 (BR-356)</v>
      </c>
      <c r="D19" s="149" t="str">
        <v>2</v>
      </c>
      <c r="E19" s="149" t="str">
        <v>2.3</v>
      </c>
      <c r="F19" s="122" t="str">
        <v xml:space="preserve">Obras-de-arte especiais </v>
      </c>
      <c r="G19" s="145">
        <v>89052.892110000001</v>
      </c>
      <c r="H19" s="145">
        <v>79158.126319999996</v>
      </c>
      <c r="I19" s="145">
        <v>79158.126319999996</v>
      </c>
      <c r="J19" s="145">
        <v>79158.126319999996</v>
      </c>
      <c r="K19" s="145">
        <v>79158.126319999996</v>
      </c>
      <c r="L19" s="145">
        <v>140048.99271999998</v>
      </c>
      <c r="M19" s="145">
        <v>140048.99271999998</v>
      </c>
      <c r="N19" s="145">
        <v>140048.99271999998</v>
      </c>
      <c r="O19" s="145">
        <v>140048.99271999998</v>
      </c>
      <c r="P19" s="145">
        <v>140048.99271999998</v>
      </c>
      <c r="Q19" s="145">
        <v>140048.99271999998</v>
      </c>
      <c r="R19" s="145">
        <v>140048.99271999998</v>
      </c>
      <c r="S19" s="145">
        <v>140048.99271999998</v>
      </c>
      <c r="T19" s="145">
        <v>140048.99271999998</v>
      </c>
      <c r="U19" s="145">
        <v>140048.99271999998</v>
      </c>
      <c r="V19" s="145">
        <v>140048.99271999998</v>
      </c>
      <c r="W19" s="145">
        <v>140048.99271999998</v>
      </c>
      <c r="X19" s="145">
        <v>140048.99271999998</v>
      </c>
      <c r="Y19" s="145">
        <v>140048.99271999998</v>
      </c>
      <c r="Z19" s="145">
        <v>140048.99271999998</v>
      </c>
      <c r="AA19" s="145">
        <v>140048.99271999998</v>
      </c>
      <c r="AB19" s="145">
        <v>140048.99271999998</v>
      </c>
      <c r="AC19" s="145">
        <v>140048.99271999998</v>
      </c>
      <c r="AD19" s="145">
        <v>140048.99271999998</v>
      </c>
      <c r="AE19" s="145">
        <v>140048.99271999998</v>
      </c>
      <c r="AF19" s="145">
        <v>140048.99271999998</v>
      </c>
      <c r="AG19" s="145">
        <v>140048.99271999998</v>
      </c>
      <c r="AH19" s="145">
        <v>140048.99271999998</v>
      </c>
      <c r="AI19" s="145">
        <v>140048.99271999998</v>
      </c>
      <c r="AJ19" s="145">
        <v>140048.99271999998</v>
      </c>
    </row>
    <row r="20" spans="2:36">
      <c r="B20" s="122" t="str">
        <v>Cenário 20/03/2025 com IFC</v>
      </c>
      <c r="C20" s="139" t="str">
        <v>Pórticos 1 e 2 (BR-356)</v>
      </c>
      <c r="D20" s="149" t="str">
        <v>2</v>
      </c>
      <c r="E20" s="149" t="str">
        <v>2.4</v>
      </c>
      <c r="F20" s="122" t="str">
        <v xml:space="preserve">Sistema de drenagem e obras-de-arte correntes </v>
      </c>
      <c r="G20" s="145">
        <v>63402.614638999992</v>
      </c>
      <c r="H20" s="145">
        <v>63402.614638999992</v>
      </c>
      <c r="I20" s="145">
        <v>63402.614638999992</v>
      </c>
      <c r="J20" s="145">
        <v>63402.614638999992</v>
      </c>
      <c r="K20" s="145">
        <v>63402.614638999992</v>
      </c>
      <c r="L20" s="145">
        <v>63402.614638999992</v>
      </c>
      <c r="M20" s="145">
        <v>68943.683481399989</v>
      </c>
      <c r="N20" s="145">
        <v>68943.683481399989</v>
      </c>
      <c r="O20" s="145">
        <v>68943.683481399989</v>
      </c>
      <c r="P20" s="145">
        <v>68943.683481399989</v>
      </c>
      <c r="Q20" s="145">
        <v>68943.683481399989</v>
      </c>
      <c r="R20" s="145">
        <v>68943.683481399989</v>
      </c>
      <c r="S20" s="145">
        <v>68943.683481399989</v>
      </c>
      <c r="T20" s="145">
        <v>68943.683481399989</v>
      </c>
      <c r="U20" s="145">
        <v>68943.683481399989</v>
      </c>
      <c r="V20" s="145">
        <v>68943.683481399989</v>
      </c>
      <c r="W20" s="145">
        <v>68943.683481399989</v>
      </c>
      <c r="X20" s="145">
        <v>68943.683481399989</v>
      </c>
      <c r="Y20" s="145">
        <v>68943.683481399989</v>
      </c>
      <c r="Z20" s="145">
        <v>68943.683481399989</v>
      </c>
      <c r="AA20" s="145">
        <v>68943.683481399989</v>
      </c>
      <c r="AB20" s="145">
        <v>68943.683481399989</v>
      </c>
      <c r="AC20" s="145">
        <v>68943.683481399989</v>
      </c>
      <c r="AD20" s="145">
        <v>68943.683481399989</v>
      </c>
      <c r="AE20" s="145">
        <v>68943.683481399989</v>
      </c>
      <c r="AF20" s="145">
        <v>68943.683481399989</v>
      </c>
      <c r="AG20" s="145">
        <v>68943.683481399989</v>
      </c>
      <c r="AH20" s="145">
        <v>68943.683481399989</v>
      </c>
      <c r="AI20" s="145">
        <v>68943.683481399989</v>
      </c>
      <c r="AJ20" s="145">
        <v>68943.683481399989</v>
      </c>
    </row>
    <row r="21" spans="2:36">
      <c r="B21" s="122" t="str">
        <v>Cenário 20/03/2025 com IFC</v>
      </c>
      <c r="C21" s="139" t="str">
        <v>Pórticos 1 e 2 (BR-356)</v>
      </c>
      <c r="D21" s="149" t="str">
        <v>2</v>
      </c>
      <c r="E21" s="149" t="str">
        <v>2.5</v>
      </c>
      <c r="F21" s="122" t="str">
        <v xml:space="preserve">Terraplenos e estruturas de contenção </v>
      </c>
      <c r="G21" s="145">
        <v>27172.549130999996</v>
      </c>
      <c r="H21" s="145">
        <v>27172.549130999996</v>
      </c>
      <c r="I21" s="145">
        <v>27172.549130999996</v>
      </c>
      <c r="J21" s="145">
        <v>27172.549130999996</v>
      </c>
      <c r="K21" s="145">
        <v>27172.549130999996</v>
      </c>
      <c r="L21" s="145">
        <v>27172.549130999996</v>
      </c>
      <c r="M21" s="145">
        <v>0</v>
      </c>
      <c r="N21" s="145">
        <v>0</v>
      </c>
      <c r="O21" s="145">
        <v>0</v>
      </c>
      <c r="P21" s="145">
        <v>0</v>
      </c>
      <c r="Q21" s="145">
        <v>0</v>
      </c>
      <c r="R21" s="145">
        <v>0</v>
      </c>
      <c r="S21" s="145">
        <v>0</v>
      </c>
      <c r="T21" s="145">
        <v>0</v>
      </c>
      <c r="U21" s="145">
        <v>0</v>
      </c>
      <c r="V21" s="145">
        <v>0</v>
      </c>
      <c r="W21" s="145">
        <v>0</v>
      </c>
      <c r="X21" s="145">
        <v>0</v>
      </c>
      <c r="Y21" s="145">
        <v>0</v>
      </c>
      <c r="Z21" s="145">
        <v>0</v>
      </c>
      <c r="AA21" s="145">
        <v>0</v>
      </c>
      <c r="AB21" s="145">
        <v>0</v>
      </c>
      <c r="AC21" s="145">
        <v>0</v>
      </c>
      <c r="AD21" s="145">
        <v>0</v>
      </c>
      <c r="AE21" s="145">
        <v>0</v>
      </c>
      <c r="AF21" s="145">
        <v>0</v>
      </c>
      <c r="AG21" s="145">
        <v>0</v>
      </c>
      <c r="AH21" s="145">
        <v>0</v>
      </c>
      <c r="AI21" s="145">
        <v>0</v>
      </c>
      <c r="AJ21" s="145">
        <v>0</v>
      </c>
    </row>
    <row r="22" spans="2:36">
      <c r="B22" s="122" t="str">
        <v>Cenário 20/03/2025 com IFC</v>
      </c>
      <c r="C22" s="139" t="str">
        <v>Pórticos 1 e 2 (BR-356)</v>
      </c>
      <c r="D22" s="149" t="str">
        <v>2</v>
      </c>
      <c r="E22" s="149" t="str">
        <v>2.6</v>
      </c>
      <c r="F22" s="122" t="str">
        <v>Canteiro central e faixa de domínio</v>
      </c>
      <c r="G22" s="145">
        <v>18115.032754</v>
      </c>
      <c r="H22" s="145">
        <v>18115.032754</v>
      </c>
      <c r="I22" s="145">
        <v>18115.032754</v>
      </c>
      <c r="J22" s="145">
        <v>18115.032754</v>
      </c>
      <c r="K22" s="145">
        <v>18115.032754</v>
      </c>
      <c r="L22" s="145">
        <v>18115.032754</v>
      </c>
      <c r="M22" s="145">
        <v>19698.195280399999</v>
      </c>
      <c r="N22" s="145">
        <v>19698.195280399999</v>
      </c>
      <c r="O22" s="145">
        <v>19698.195280399999</v>
      </c>
      <c r="P22" s="145">
        <v>19698.195280399999</v>
      </c>
      <c r="Q22" s="145">
        <v>19698.195280399999</v>
      </c>
      <c r="R22" s="145">
        <v>19698.195280399999</v>
      </c>
      <c r="S22" s="145">
        <v>19698.195280399999</v>
      </c>
      <c r="T22" s="145">
        <v>19698.195280399999</v>
      </c>
      <c r="U22" s="145">
        <v>19698.195280399999</v>
      </c>
      <c r="V22" s="145">
        <v>19698.195280399999</v>
      </c>
      <c r="W22" s="145">
        <v>19698.195280399999</v>
      </c>
      <c r="X22" s="145">
        <v>19698.195280399999</v>
      </c>
      <c r="Y22" s="145">
        <v>19698.195280399999</v>
      </c>
      <c r="Z22" s="145">
        <v>19698.195280399999</v>
      </c>
      <c r="AA22" s="145">
        <v>19698.195280399999</v>
      </c>
      <c r="AB22" s="145">
        <v>19698.195280399999</v>
      </c>
      <c r="AC22" s="145">
        <v>19698.195280399999</v>
      </c>
      <c r="AD22" s="145">
        <v>19698.195280399999</v>
      </c>
      <c r="AE22" s="145">
        <v>19698.195280399999</v>
      </c>
      <c r="AF22" s="145">
        <v>19698.195280399999</v>
      </c>
      <c r="AG22" s="145">
        <v>19698.195280399999</v>
      </c>
      <c r="AH22" s="145">
        <v>19698.195280399999</v>
      </c>
      <c r="AI22" s="145">
        <v>19698.195280399999</v>
      </c>
      <c r="AJ22" s="145">
        <v>19698.195280399999</v>
      </c>
    </row>
    <row r="23" spans="2:36">
      <c r="B23" s="122" t="str">
        <v>Cenário 20/03/2025 com IFC</v>
      </c>
      <c r="C23" s="139" t="str">
        <v>Pórticos 1 e 2 (BR-356)</v>
      </c>
      <c r="D23" s="149" t="str">
        <v>2</v>
      </c>
      <c r="E23" s="149" t="str">
        <v>2.7</v>
      </c>
      <c r="F23" s="122" t="str">
        <v>Edificações e instalações operacionais</v>
      </c>
      <c r="G23" s="145">
        <v>172702.12580000001</v>
      </c>
      <c r="H23" s="145">
        <v>61793.762000000002</v>
      </c>
      <c r="I23" s="145">
        <v>205322.2328</v>
      </c>
      <c r="J23" s="145">
        <v>94413.869000000006</v>
      </c>
      <c r="K23" s="145">
        <v>216195.6018</v>
      </c>
      <c r="L23" s="145">
        <v>94413.869000000006</v>
      </c>
      <c r="M23" s="145">
        <v>216195.6018</v>
      </c>
      <c r="N23" s="145">
        <v>94413.869000000006</v>
      </c>
      <c r="O23" s="145">
        <v>216195.6018</v>
      </c>
      <c r="P23" s="145">
        <v>94413.869000000006</v>
      </c>
      <c r="Q23" s="145">
        <v>216195.6018</v>
      </c>
      <c r="R23" s="145">
        <v>94413.869000000006</v>
      </c>
      <c r="S23" s="145">
        <v>216195.6018</v>
      </c>
      <c r="T23" s="145">
        <v>94413.869000000006</v>
      </c>
      <c r="U23" s="145">
        <v>216195.6018</v>
      </c>
      <c r="V23" s="145">
        <v>94413.869000000006</v>
      </c>
      <c r="W23" s="145">
        <v>216195.6018</v>
      </c>
      <c r="X23" s="145">
        <v>94413.869000000006</v>
      </c>
      <c r="Y23" s="145">
        <v>216195.6018</v>
      </c>
      <c r="Z23" s="145">
        <v>94413.869000000006</v>
      </c>
      <c r="AA23" s="145">
        <v>216195.6018</v>
      </c>
      <c r="AB23" s="145">
        <v>94413.869000000006</v>
      </c>
      <c r="AC23" s="145">
        <v>216195.6018</v>
      </c>
      <c r="AD23" s="145">
        <v>94413.869000000006</v>
      </c>
      <c r="AE23" s="145">
        <v>216195.6018</v>
      </c>
      <c r="AF23" s="145">
        <v>94413.869000000006</v>
      </c>
      <c r="AG23" s="145">
        <v>216195.6018</v>
      </c>
      <c r="AH23" s="145">
        <v>94413.869000000006</v>
      </c>
      <c r="AI23" s="145">
        <v>216195.6018</v>
      </c>
      <c r="AJ23" s="145">
        <v>94413.869000000006</v>
      </c>
    </row>
    <row r="24" spans="2:36">
      <c r="B24" s="122" t="str">
        <v>Cenário 20/03/2025 com IFC</v>
      </c>
      <c r="C24" s="139" t="str">
        <v>Pórticos 1 e 2 (BR-356)</v>
      </c>
      <c r="D24" s="149" t="str">
        <v>2</v>
      </c>
      <c r="E24" s="149" t="str">
        <v>2.8</v>
      </c>
      <c r="F24" s="122" t="str">
        <v>Sistemas elétricos e de iluminação</v>
      </c>
      <c r="G24" s="145">
        <v>40758.823696499996</v>
      </c>
      <c r="H24" s="145">
        <v>40758.823696499996</v>
      </c>
      <c r="I24" s="145">
        <v>40758.823696499996</v>
      </c>
      <c r="J24" s="145">
        <v>40758.823696499996</v>
      </c>
      <c r="K24" s="145">
        <v>40758.823696499996</v>
      </c>
      <c r="L24" s="145">
        <v>40758.823696499996</v>
      </c>
      <c r="M24" s="145">
        <v>44320.939380899996</v>
      </c>
      <c r="N24" s="145">
        <v>44320.939380899996</v>
      </c>
      <c r="O24" s="145">
        <v>44320.939380899996</v>
      </c>
      <c r="P24" s="145">
        <v>44320.939380899996</v>
      </c>
      <c r="Q24" s="145">
        <v>44320.939380899996</v>
      </c>
      <c r="R24" s="145">
        <v>44320.939380899996</v>
      </c>
      <c r="S24" s="145">
        <v>44320.939380899996</v>
      </c>
      <c r="T24" s="145">
        <v>44320.939380899996</v>
      </c>
      <c r="U24" s="145">
        <v>44320.939380899996</v>
      </c>
      <c r="V24" s="145">
        <v>44320.939380899996</v>
      </c>
      <c r="W24" s="145">
        <v>44320.939380899996</v>
      </c>
      <c r="X24" s="145">
        <v>44320.939380899996</v>
      </c>
      <c r="Y24" s="145">
        <v>44320.939380899996</v>
      </c>
      <c r="Z24" s="145">
        <v>44320.939380899996</v>
      </c>
      <c r="AA24" s="145">
        <v>44320.939380899996</v>
      </c>
      <c r="AB24" s="145">
        <v>44320.939380899996</v>
      </c>
      <c r="AC24" s="145">
        <v>44320.939380899996</v>
      </c>
      <c r="AD24" s="145">
        <v>44320.939380899996</v>
      </c>
      <c r="AE24" s="145">
        <v>44320.939380899996</v>
      </c>
      <c r="AF24" s="145">
        <v>44320.939380899996</v>
      </c>
      <c r="AG24" s="145">
        <v>44320.939380899996</v>
      </c>
      <c r="AH24" s="145">
        <v>44320.939380899996</v>
      </c>
      <c r="AI24" s="145">
        <v>44320.939380899996</v>
      </c>
      <c r="AJ24" s="145">
        <v>44320.939380899996</v>
      </c>
    </row>
    <row r="25" spans="2:36">
      <c r="B25" s="122" t="str">
        <v>Cenário 20/03/2025 com IFC</v>
      </c>
      <c r="C25" s="139" t="str">
        <v>Pórtico 3 (MG-262)</v>
      </c>
      <c r="D25" s="149" t="str">
        <v>1</v>
      </c>
      <c r="E25" s="149">
        <v>1</v>
      </c>
      <c r="F25" s="122" t="str">
        <v xml:space="preserve">Conservação da rodovia </v>
      </c>
      <c r="G25" s="122">
        <v>0</v>
      </c>
      <c r="H25" s="122">
        <v>0</v>
      </c>
      <c r="I25" s="122">
        <v>0</v>
      </c>
      <c r="J25" s="122">
        <v>0</v>
      </c>
      <c r="K25" s="122">
        <v>0</v>
      </c>
      <c r="L25" s="122">
        <v>0</v>
      </c>
      <c r="M25" s="122">
        <v>0</v>
      </c>
      <c r="N25" s="122">
        <v>0</v>
      </c>
      <c r="O25" s="122">
        <v>0</v>
      </c>
      <c r="P25" s="122">
        <v>0</v>
      </c>
      <c r="Q25" s="122">
        <v>0</v>
      </c>
      <c r="R25" s="122">
        <v>0</v>
      </c>
      <c r="S25" s="122">
        <v>0</v>
      </c>
      <c r="T25" s="122">
        <v>0</v>
      </c>
      <c r="U25" s="122">
        <v>0</v>
      </c>
      <c r="V25" s="122">
        <v>0</v>
      </c>
      <c r="W25" s="122">
        <v>0</v>
      </c>
      <c r="X25" s="122">
        <v>0</v>
      </c>
      <c r="Y25" s="122">
        <v>0</v>
      </c>
      <c r="Z25" s="122">
        <v>0</v>
      </c>
      <c r="AA25" s="122">
        <v>0</v>
      </c>
      <c r="AB25" s="122">
        <v>0</v>
      </c>
      <c r="AC25" s="122">
        <v>0</v>
      </c>
      <c r="AD25" s="122">
        <v>0</v>
      </c>
      <c r="AE25" s="122">
        <v>0</v>
      </c>
      <c r="AF25" s="122">
        <v>0</v>
      </c>
      <c r="AG25" s="122">
        <v>0</v>
      </c>
      <c r="AH25" s="122">
        <v>0</v>
      </c>
      <c r="AI25" s="122">
        <v>0</v>
      </c>
      <c r="AJ25" s="122">
        <v>0</v>
      </c>
    </row>
    <row r="26" spans="2:36">
      <c r="B26" s="122" t="str">
        <v>Cenário 20/03/2025 com IFC</v>
      </c>
      <c r="C26" s="139" t="str">
        <v>Pórtico 3 (MG-262)</v>
      </c>
      <c r="D26" s="149" t="str">
        <v>1</v>
      </c>
      <c r="E26" s="149" t="str">
        <v>1.1</v>
      </c>
      <c r="F26" s="122" t="str">
        <v>Pavimento</v>
      </c>
      <c r="G26" s="145">
        <v>2458040.1236392562</v>
      </c>
      <c r="H26" s="145">
        <v>2458040.1236392562</v>
      </c>
      <c r="I26" s="145">
        <v>2458040.1236392562</v>
      </c>
      <c r="J26" s="145">
        <v>2458040.1236392562</v>
      </c>
      <c r="K26" s="145">
        <v>2458040.1236392562</v>
      </c>
      <c r="L26" s="145">
        <v>2458040.1236392562</v>
      </c>
      <c r="M26" s="145">
        <v>2458040.1236392562</v>
      </c>
      <c r="N26" s="145">
        <v>2458040.1236392562</v>
      </c>
      <c r="O26" s="145">
        <v>2458040.1236392562</v>
      </c>
      <c r="P26" s="145">
        <v>2458040.1236392562</v>
      </c>
      <c r="Q26" s="145">
        <v>2458040.1236392562</v>
      </c>
      <c r="R26" s="145">
        <v>2458040.1236392562</v>
      </c>
      <c r="S26" s="145">
        <v>2458040.1236392562</v>
      </c>
      <c r="T26" s="145">
        <v>2458040.1236392562</v>
      </c>
      <c r="U26" s="145">
        <v>2657380.2120163757</v>
      </c>
      <c r="V26" s="145">
        <v>2657380.2120163757</v>
      </c>
      <c r="W26" s="145">
        <v>2657380.2120163757</v>
      </c>
      <c r="X26" s="145">
        <v>2657380.2120163757</v>
      </c>
      <c r="Y26" s="145">
        <v>2657380.2120163757</v>
      </c>
      <c r="Z26" s="145">
        <v>2657380.2120163757</v>
      </c>
      <c r="AA26" s="145">
        <v>2657380.2120163757</v>
      </c>
      <c r="AB26" s="145">
        <v>2657380.2120163757</v>
      </c>
      <c r="AC26" s="145">
        <v>2657380.2120163757</v>
      </c>
      <c r="AD26" s="145">
        <v>2657380.2120163757</v>
      </c>
      <c r="AE26" s="145">
        <v>2657380.2120163757</v>
      </c>
      <c r="AF26" s="145">
        <v>2657380.2120163757</v>
      </c>
      <c r="AG26" s="145">
        <v>2657380.2120163757</v>
      </c>
      <c r="AH26" s="145">
        <v>2657380.2120163757</v>
      </c>
      <c r="AI26" s="145">
        <v>2657380.2120163757</v>
      </c>
      <c r="AJ26" s="145">
        <v>2657380.2120163757</v>
      </c>
    </row>
    <row r="27" spans="2:36">
      <c r="B27" s="122" t="str">
        <v>Cenário 20/03/2025 com IFC</v>
      </c>
      <c r="C27" s="139" t="str">
        <v>Pórtico 3 (MG-262)</v>
      </c>
      <c r="D27" s="149" t="str">
        <v>1</v>
      </c>
      <c r="E27" s="149" t="str">
        <v>1.2</v>
      </c>
      <c r="F27" s="122" t="str">
        <v>Elementos de proteção e segurança</v>
      </c>
      <c r="G27" s="145">
        <v>1197405.2822113065</v>
      </c>
      <c r="H27" s="145">
        <v>1213873.5864231167</v>
      </c>
      <c r="I27" s="145">
        <v>1281622.9143481166</v>
      </c>
      <c r="J27" s="145">
        <v>1349031.0692731168</v>
      </c>
      <c r="K27" s="145">
        <v>1416414.8546981167</v>
      </c>
      <c r="L27" s="145">
        <v>1375296.7979603866</v>
      </c>
      <c r="M27" s="145">
        <v>1375906.0354603867</v>
      </c>
      <c r="N27" s="145">
        <v>1376100.9914603867</v>
      </c>
      <c r="O27" s="145">
        <v>1376100.9914603867</v>
      </c>
      <c r="P27" s="145">
        <v>1376100.9914603867</v>
      </c>
      <c r="Q27" s="145">
        <v>1376100.9914603867</v>
      </c>
      <c r="R27" s="145">
        <v>1376100.9914603867</v>
      </c>
      <c r="S27" s="145">
        <v>1376100.9914603867</v>
      </c>
      <c r="T27" s="145">
        <v>1376100.9914603867</v>
      </c>
      <c r="U27" s="145">
        <v>1426700.8034603866</v>
      </c>
      <c r="V27" s="145">
        <v>1426700.8034603866</v>
      </c>
      <c r="W27" s="145">
        <v>1426700.8034603866</v>
      </c>
      <c r="X27" s="145">
        <v>1426700.8034603866</v>
      </c>
      <c r="Y27" s="145">
        <v>1426700.8034603866</v>
      </c>
      <c r="Z27" s="145">
        <v>1426700.8034603866</v>
      </c>
      <c r="AA27" s="145">
        <v>1426700.8034603866</v>
      </c>
      <c r="AB27" s="145">
        <v>1426700.8034603866</v>
      </c>
      <c r="AC27" s="145">
        <v>1426700.8034603866</v>
      </c>
      <c r="AD27" s="145">
        <v>1426700.8034603866</v>
      </c>
      <c r="AE27" s="145">
        <v>1426700.8034603866</v>
      </c>
      <c r="AF27" s="145">
        <v>1426700.8034603866</v>
      </c>
      <c r="AG27" s="145">
        <v>1426700.8034603866</v>
      </c>
      <c r="AH27" s="145">
        <v>1426700.8034603866</v>
      </c>
      <c r="AI27" s="145">
        <v>1426700.8034603866</v>
      </c>
      <c r="AJ27" s="145">
        <v>1426700.8034603866</v>
      </c>
    </row>
    <row r="28" spans="2:36">
      <c r="B28" s="122" t="str">
        <v>Cenário 20/03/2025 com IFC</v>
      </c>
      <c r="C28" s="139" t="str">
        <v>Pórtico 3 (MG-262)</v>
      </c>
      <c r="D28" s="149" t="str">
        <v>1</v>
      </c>
      <c r="E28" s="149" t="str">
        <v>1.3</v>
      </c>
      <c r="F28" s="122" t="str">
        <v>Obras de arte especiais</v>
      </c>
      <c r="G28" s="145">
        <v>20768.913384979998</v>
      </c>
      <c r="H28" s="145">
        <v>24928.082832280001</v>
      </c>
      <c r="I28" s="145">
        <v>24928.082832280001</v>
      </c>
      <c r="J28" s="145">
        <v>24928.082832280001</v>
      </c>
      <c r="K28" s="145">
        <v>43111.830768220003</v>
      </c>
      <c r="L28" s="145">
        <v>41894.842588220003</v>
      </c>
      <c r="M28" s="145">
        <v>41894.842588220003</v>
      </c>
      <c r="N28" s="145">
        <v>41894.842588220003</v>
      </c>
      <c r="O28" s="145">
        <v>41894.842588220003</v>
      </c>
      <c r="P28" s="145">
        <v>41894.842588220003</v>
      </c>
      <c r="Q28" s="145">
        <v>41894.842588220003</v>
      </c>
      <c r="R28" s="145">
        <v>41894.842588220003</v>
      </c>
      <c r="S28" s="145">
        <v>41894.842588220003</v>
      </c>
      <c r="T28" s="145">
        <v>41894.842588220003</v>
      </c>
      <c r="U28" s="145">
        <v>41894.842588220003</v>
      </c>
      <c r="V28" s="145">
        <v>41894.842588220003</v>
      </c>
      <c r="W28" s="145">
        <v>41894.842588220003</v>
      </c>
      <c r="X28" s="145">
        <v>41894.842588220003</v>
      </c>
      <c r="Y28" s="145">
        <v>41894.842588220003</v>
      </c>
      <c r="Z28" s="145">
        <v>41894.842588220003</v>
      </c>
      <c r="AA28" s="145">
        <v>41894.842588220003</v>
      </c>
      <c r="AB28" s="145">
        <v>41894.842588220003</v>
      </c>
      <c r="AC28" s="145">
        <v>41894.842588220003</v>
      </c>
      <c r="AD28" s="145">
        <v>41894.842588220003</v>
      </c>
      <c r="AE28" s="145">
        <v>41894.842588220003</v>
      </c>
      <c r="AF28" s="145">
        <v>41894.842588220003</v>
      </c>
      <c r="AG28" s="145">
        <v>41894.842588220003</v>
      </c>
      <c r="AH28" s="145">
        <v>41894.842588220003</v>
      </c>
      <c r="AI28" s="145">
        <v>41894.842588220003</v>
      </c>
      <c r="AJ28" s="145">
        <v>41894.842588220003</v>
      </c>
    </row>
    <row r="29" spans="2:36">
      <c r="B29" s="122" t="str">
        <v>Cenário 20/03/2025 com IFC</v>
      </c>
      <c r="C29" s="139" t="str">
        <v>Pórtico 3 (MG-262)</v>
      </c>
      <c r="D29" s="149" t="str">
        <v>1</v>
      </c>
      <c r="E29" s="149" t="str">
        <v>1.4</v>
      </c>
      <c r="F29" s="122" t="str">
        <v>Drenagem e obras de arte correntes</v>
      </c>
      <c r="G29" s="145">
        <v>67534.390650718284</v>
      </c>
      <c r="H29" s="145">
        <v>69450.433288038708</v>
      </c>
      <c r="I29" s="145">
        <v>76125.76345012532</v>
      </c>
      <c r="J29" s="145">
        <v>80324.851948835014</v>
      </c>
      <c r="K29" s="145">
        <v>85364.464241609356</v>
      </c>
      <c r="L29" s="145">
        <v>89494.9264035901</v>
      </c>
      <c r="M29" s="145">
        <v>91983.140155151312</v>
      </c>
      <c r="N29" s="145">
        <v>95000.013954594222</v>
      </c>
      <c r="O29" s="145">
        <v>95000.013954594222</v>
      </c>
      <c r="P29" s="145">
        <v>95000.013954594222</v>
      </c>
      <c r="Q29" s="145">
        <v>95000.013954594222</v>
      </c>
      <c r="R29" s="145">
        <v>95000.013954594222</v>
      </c>
      <c r="S29" s="145">
        <v>95000.013954594222</v>
      </c>
      <c r="T29" s="145">
        <v>95000.013954594222</v>
      </c>
      <c r="U29" s="145">
        <v>95000.013954594222</v>
      </c>
      <c r="V29" s="145">
        <v>95000.013954594222</v>
      </c>
      <c r="W29" s="145">
        <v>95000.013954594222</v>
      </c>
      <c r="X29" s="145">
        <v>95000.013954594222</v>
      </c>
      <c r="Y29" s="145">
        <v>95000.013954594222</v>
      </c>
      <c r="Z29" s="145">
        <v>95000.013954594222</v>
      </c>
      <c r="AA29" s="145">
        <v>95000.013954594222</v>
      </c>
      <c r="AB29" s="145">
        <v>95000.013954594222</v>
      </c>
      <c r="AC29" s="145">
        <v>95000.013954594222</v>
      </c>
      <c r="AD29" s="145">
        <v>95000.013954594222</v>
      </c>
      <c r="AE29" s="145">
        <v>95000.013954594222</v>
      </c>
      <c r="AF29" s="145">
        <v>95000.013954594222</v>
      </c>
      <c r="AG29" s="145">
        <v>95000.013954594222</v>
      </c>
      <c r="AH29" s="145">
        <v>95000.013954594222</v>
      </c>
      <c r="AI29" s="145">
        <v>95000.013954594222</v>
      </c>
      <c r="AJ29" s="145">
        <v>95000.013954594222</v>
      </c>
    </row>
    <row r="30" spans="2:36">
      <c r="B30" s="122" t="str">
        <v>Cenário 20/03/2025 com IFC</v>
      </c>
      <c r="C30" s="139" t="str">
        <v>Pórtico 3 (MG-262)</v>
      </c>
      <c r="D30" s="149" t="str">
        <v>1</v>
      </c>
      <c r="E30" s="149" t="str">
        <v>1.5</v>
      </c>
      <c r="F30" s="122" t="str">
        <v>Terraplenos e estruturas de contenção</v>
      </c>
      <c r="G30" s="122">
        <v>109755.79883762635</v>
      </c>
      <c r="H30" s="122">
        <v>95268.598837626356</v>
      </c>
      <c r="I30" s="122">
        <v>95268.598837626356</v>
      </c>
      <c r="J30" s="122">
        <v>95268.598837626356</v>
      </c>
      <c r="K30" s="122">
        <v>115474.28558922636</v>
      </c>
      <c r="L30" s="122">
        <v>115474.28558922636</v>
      </c>
      <c r="M30" s="122">
        <v>115808.56405322638</v>
      </c>
      <c r="N30" s="122">
        <v>115808.56405322638</v>
      </c>
      <c r="O30" s="122">
        <v>179290.29431802637</v>
      </c>
      <c r="P30" s="122">
        <v>179290.29431802637</v>
      </c>
      <c r="Q30" s="122">
        <v>179290.29431802637</v>
      </c>
      <c r="R30" s="122">
        <v>179290.29431802637</v>
      </c>
      <c r="S30" s="122">
        <v>179290.29431802637</v>
      </c>
      <c r="T30" s="122">
        <v>179290.29431802637</v>
      </c>
      <c r="U30" s="122">
        <v>179290.29431802637</v>
      </c>
      <c r="V30" s="122">
        <v>179290.29431802637</v>
      </c>
      <c r="W30" s="122">
        <v>179290.29431802637</v>
      </c>
      <c r="X30" s="122">
        <v>179290.29431802637</v>
      </c>
      <c r="Y30" s="122">
        <v>179290.29431802637</v>
      </c>
      <c r="Z30" s="122">
        <v>179290.29431802637</v>
      </c>
      <c r="AA30" s="122">
        <v>179290.29431802637</v>
      </c>
      <c r="AB30" s="122">
        <v>179290.29431802637</v>
      </c>
      <c r="AC30" s="122">
        <v>179290.29431802637</v>
      </c>
      <c r="AD30" s="122">
        <v>179290.29431802637</v>
      </c>
      <c r="AE30" s="122">
        <v>179290.29431802637</v>
      </c>
      <c r="AF30" s="122">
        <v>179290.29431802637</v>
      </c>
      <c r="AG30" s="122">
        <v>179290.29431802637</v>
      </c>
      <c r="AH30" s="122">
        <v>179290.29431802637</v>
      </c>
      <c r="AI30" s="122">
        <v>179290.29431802637</v>
      </c>
      <c r="AJ30" s="122">
        <v>179290.29431802637</v>
      </c>
    </row>
    <row r="31" spans="2:36">
      <c r="B31" s="122" t="str">
        <v>Cenário 20/03/2025 com IFC</v>
      </c>
      <c r="C31" s="139" t="str">
        <v>Pórtico 3 (MG-262)</v>
      </c>
      <c r="D31" s="149" t="str">
        <v>1</v>
      </c>
      <c r="E31" s="149" t="str">
        <v>1.6</v>
      </c>
      <c r="F31" s="122" t="str">
        <v>Faixa de domínio</v>
      </c>
      <c r="G31" s="145">
        <v>542528.33049344365</v>
      </c>
      <c r="H31" s="145">
        <v>540771.68290238292</v>
      </c>
      <c r="I31" s="145">
        <v>552117.21531132224</v>
      </c>
      <c r="J31" s="145">
        <v>563462.74772026157</v>
      </c>
      <c r="K31" s="145">
        <v>574808.28012920078</v>
      </c>
      <c r="L31" s="145">
        <v>574808.28012920078</v>
      </c>
      <c r="M31" s="145">
        <v>574808.28012920078</v>
      </c>
      <c r="N31" s="145">
        <v>574808.28012920078</v>
      </c>
      <c r="O31" s="145">
        <v>574808.28012920078</v>
      </c>
      <c r="P31" s="145">
        <v>574808.28012920078</v>
      </c>
      <c r="Q31" s="145">
        <v>574808.28012920078</v>
      </c>
      <c r="R31" s="145">
        <v>574808.28012920078</v>
      </c>
      <c r="S31" s="145">
        <v>574808.28012920078</v>
      </c>
      <c r="T31" s="145">
        <v>574808.28012920078</v>
      </c>
      <c r="U31" s="145">
        <v>573692.43512920069</v>
      </c>
      <c r="V31" s="145">
        <v>573692.43512920069</v>
      </c>
      <c r="W31" s="145">
        <v>573692.43512920069</v>
      </c>
      <c r="X31" s="145">
        <v>573692.43512920069</v>
      </c>
      <c r="Y31" s="145">
        <v>573692.43512920069</v>
      </c>
      <c r="Z31" s="145">
        <v>573692.43512920069</v>
      </c>
      <c r="AA31" s="145">
        <v>573692.43512920069</v>
      </c>
      <c r="AB31" s="145">
        <v>573692.43512920069</v>
      </c>
      <c r="AC31" s="145">
        <v>573692.43512920069</v>
      </c>
      <c r="AD31" s="145">
        <v>573692.43512920069</v>
      </c>
      <c r="AE31" s="145">
        <v>573692.43512920069</v>
      </c>
      <c r="AF31" s="145">
        <v>573692.43512920069</v>
      </c>
      <c r="AG31" s="145">
        <v>573692.43512920069</v>
      </c>
      <c r="AH31" s="145">
        <v>573692.43512920069</v>
      </c>
      <c r="AI31" s="145">
        <v>573692.43512920069</v>
      </c>
      <c r="AJ31" s="145">
        <v>573692.43512920069</v>
      </c>
    </row>
    <row r="32" spans="2:36">
      <c r="B32" s="122" t="str">
        <v>Cenário 20/03/2025 com IFC</v>
      </c>
      <c r="C32" s="139" t="str">
        <v>Pórtico 3 (MG-262)</v>
      </c>
      <c r="D32" s="149" t="str">
        <v>1</v>
      </c>
      <c r="E32" s="149" t="str">
        <v>1.7</v>
      </c>
      <c r="F32" s="122" t="str">
        <v>Edificações e instalações operacionais</v>
      </c>
      <c r="G32" s="145">
        <v>27020</v>
      </c>
      <c r="H32" s="145">
        <v>27020</v>
      </c>
      <c r="I32" s="145">
        <v>27020</v>
      </c>
      <c r="J32" s="145">
        <v>27020</v>
      </c>
      <c r="K32" s="145">
        <v>27020</v>
      </c>
      <c r="L32" s="145">
        <v>27020</v>
      </c>
      <c r="M32" s="145">
        <v>27020</v>
      </c>
      <c r="N32" s="145">
        <v>27020</v>
      </c>
      <c r="O32" s="145">
        <v>27020</v>
      </c>
      <c r="P32" s="145">
        <v>27020</v>
      </c>
      <c r="Q32" s="145">
        <v>27020</v>
      </c>
      <c r="R32" s="145">
        <v>27020</v>
      </c>
      <c r="S32" s="145">
        <v>27020</v>
      </c>
      <c r="T32" s="145">
        <v>27020</v>
      </c>
      <c r="U32" s="145">
        <v>27020</v>
      </c>
      <c r="V32" s="145">
        <v>27020</v>
      </c>
      <c r="W32" s="145">
        <v>27020</v>
      </c>
      <c r="X32" s="145">
        <v>27020</v>
      </c>
      <c r="Y32" s="145">
        <v>27020</v>
      </c>
      <c r="Z32" s="145">
        <v>27020</v>
      </c>
      <c r="AA32" s="145">
        <v>27020</v>
      </c>
      <c r="AB32" s="145">
        <v>27020</v>
      </c>
      <c r="AC32" s="145">
        <v>27020</v>
      </c>
      <c r="AD32" s="145">
        <v>27020</v>
      </c>
      <c r="AE32" s="145">
        <v>27020</v>
      </c>
      <c r="AF32" s="145">
        <v>27020</v>
      </c>
      <c r="AG32" s="145">
        <v>27020</v>
      </c>
      <c r="AH32" s="145">
        <v>27020</v>
      </c>
      <c r="AI32" s="145">
        <v>27020</v>
      </c>
      <c r="AJ32" s="145">
        <v>27020</v>
      </c>
    </row>
    <row r="33" spans="2:36">
      <c r="B33" s="122" t="str">
        <v>Cenário 20/03/2025 com IFC</v>
      </c>
      <c r="C33" s="139" t="str">
        <v>Pórtico 3 (MG-262)</v>
      </c>
      <c r="D33" s="149" t="str">
        <v>1</v>
      </c>
      <c r="E33" s="149" t="str">
        <v>1.8</v>
      </c>
      <c r="F33" s="122" t="str">
        <v>Iluminação e instalações elétricas</v>
      </c>
      <c r="G33" s="122">
        <v>110456.684055048</v>
      </c>
      <c r="H33" s="122">
        <v>113276.246255048</v>
      </c>
      <c r="I33" s="122">
        <v>122602.490455048</v>
      </c>
      <c r="J33" s="122">
        <v>131928.734655048</v>
      </c>
      <c r="K33" s="122">
        <v>136917.19085504799</v>
      </c>
      <c r="L33" s="122">
        <v>147761.66085504799</v>
      </c>
      <c r="M33" s="122">
        <v>154268.34285504802</v>
      </c>
      <c r="N33" s="122">
        <v>158606.13085504799</v>
      </c>
      <c r="O33" s="122">
        <v>158606.13085504799</v>
      </c>
      <c r="P33" s="122">
        <v>158606.13085504799</v>
      </c>
      <c r="Q33" s="122">
        <v>158606.13085504799</v>
      </c>
      <c r="R33" s="122">
        <v>158606.13085504799</v>
      </c>
      <c r="S33" s="122">
        <v>158606.13085504799</v>
      </c>
      <c r="T33" s="122">
        <v>158606.13085504799</v>
      </c>
      <c r="U33" s="122">
        <v>158606.13085504799</v>
      </c>
      <c r="V33" s="122">
        <v>158606.13085504799</v>
      </c>
      <c r="W33" s="122">
        <v>158606.13085504799</v>
      </c>
      <c r="X33" s="122">
        <v>158606.13085504799</v>
      </c>
      <c r="Y33" s="122">
        <v>158606.13085504799</v>
      </c>
      <c r="Z33" s="122">
        <v>158606.13085504799</v>
      </c>
      <c r="AA33" s="122">
        <v>158606.13085504799</v>
      </c>
      <c r="AB33" s="122">
        <v>158606.13085504799</v>
      </c>
      <c r="AC33" s="122">
        <v>158606.13085504799</v>
      </c>
      <c r="AD33" s="122">
        <v>158606.13085504799</v>
      </c>
      <c r="AE33" s="122">
        <v>158606.13085504799</v>
      </c>
      <c r="AF33" s="122">
        <v>158606.13085504799</v>
      </c>
      <c r="AG33" s="122">
        <v>158606.13085504799</v>
      </c>
      <c r="AH33" s="122">
        <v>158606.13085504799</v>
      </c>
      <c r="AI33" s="122">
        <v>158606.13085504799</v>
      </c>
      <c r="AJ33" s="122">
        <v>158606.13085504799</v>
      </c>
    </row>
    <row r="34" spans="2:36">
      <c r="B34" s="122" t="str">
        <v>Cenário 20/03/2025 com IFC</v>
      </c>
      <c r="C34" s="139" t="str">
        <v>Pórtico 3 (MG-262)</v>
      </c>
      <c r="D34" s="149" t="str">
        <v>1</v>
      </c>
      <c r="E34" s="149" t="str">
        <v>1.9</v>
      </c>
      <c r="F34" s="122" t="str">
        <v>Administração local</v>
      </c>
      <c r="G34" s="145">
        <v>224408.7214019828</v>
      </c>
      <c r="H34" s="145">
        <v>224860.12333179856</v>
      </c>
      <c r="I34" s="145">
        <v>229567.39684925185</v>
      </c>
      <c r="J34" s="145">
        <v>234135.20834086798</v>
      </c>
      <c r="K34" s="145">
        <v>240428.97598107354</v>
      </c>
      <c r="L34" s="145">
        <v>239074.65039966395</v>
      </c>
      <c r="M34" s="145">
        <v>239566.60177958425</v>
      </c>
      <c r="N34" s="145">
        <v>239940.30786065664</v>
      </c>
      <c r="O34" s="145">
        <v>243082.65350876428</v>
      </c>
      <c r="P34" s="145">
        <v>243082.65350876428</v>
      </c>
      <c r="Q34" s="145">
        <v>243082.65350876428</v>
      </c>
      <c r="R34" s="145">
        <v>243082.65350876428</v>
      </c>
      <c r="S34" s="145">
        <v>243082.65350876428</v>
      </c>
      <c r="T34" s="145">
        <v>243082.65350876428</v>
      </c>
      <c r="U34" s="145">
        <v>255399.44424993164</v>
      </c>
      <c r="V34" s="145">
        <v>255399.44424993164</v>
      </c>
      <c r="W34" s="145">
        <v>255399.44424993164</v>
      </c>
      <c r="X34" s="145">
        <v>255399.44424993164</v>
      </c>
      <c r="Y34" s="145">
        <v>255399.44424993164</v>
      </c>
      <c r="Z34" s="145">
        <v>255399.44424993164</v>
      </c>
      <c r="AA34" s="145">
        <v>255399.44424993164</v>
      </c>
      <c r="AB34" s="145">
        <v>255399.44424993164</v>
      </c>
      <c r="AC34" s="145">
        <v>255399.44424993164</v>
      </c>
      <c r="AD34" s="145">
        <v>255399.44424993164</v>
      </c>
      <c r="AE34" s="145">
        <v>255399.44424993164</v>
      </c>
      <c r="AF34" s="145">
        <v>255399.44424993164</v>
      </c>
      <c r="AG34" s="145">
        <v>255399.44424993164</v>
      </c>
      <c r="AH34" s="145">
        <v>255399.44424993164</v>
      </c>
      <c r="AI34" s="145">
        <v>255399.44424993164</v>
      </c>
      <c r="AJ34" s="145">
        <v>255399.44424993164</v>
      </c>
    </row>
    <row r="35" spans="2:36">
      <c r="B35" s="122" t="str">
        <v>Cenário 20/03/2025 com IFC</v>
      </c>
      <c r="C35" s="139" t="str">
        <v>Pórtico 3 (MG-262)</v>
      </c>
      <c r="D35" s="149" t="str">
        <v>1</v>
      </c>
      <c r="E35" s="149" t="str">
        <v>1.10</v>
      </c>
      <c r="F35" s="122" t="str">
        <v xml:space="preserve">Canteiro de obras </v>
      </c>
      <c r="G35" s="145">
        <v>14053.879522144376</v>
      </c>
      <c r="H35" s="145">
        <v>14082.149137951019</v>
      </c>
      <c r="I35" s="145">
        <v>14376.9480855087</v>
      </c>
      <c r="J35" s="145">
        <v>14663.013047609911</v>
      </c>
      <c r="K35" s="145">
        <v>15057.168192754099</v>
      </c>
      <c r="L35" s="145">
        <v>14972.351843211278</v>
      </c>
      <c r="M35" s="145">
        <v>15003.160919529519</v>
      </c>
      <c r="N35" s="145">
        <v>15026.564734707788</v>
      </c>
      <c r="O35" s="145">
        <v>15223.35809852867</v>
      </c>
      <c r="P35" s="145">
        <v>15223.35809852867</v>
      </c>
      <c r="Q35" s="145">
        <v>15223.35809852867</v>
      </c>
      <c r="R35" s="145">
        <v>15223.35809852867</v>
      </c>
      <c r="S35" s="145">
        <v>15223.35809852867</v>
      </c>
      <c r="T35" s="145">
        <v>15223.35809852867</v>
      </c>
      <c r="U35" s="145">
        <v>15994.712670197738</v>
      </c>
      <c r="V35" s="145">
        <v>15994.712670197738</v>
      </c>
      <c r="W35" s="145">
        <v>15994.712670197738</v>
      </c>
      <c r="X35" s="145">
        <v>15994.712670197738</v>
      </c>
      <c r="Y35" s="145">
        <v>15994.712670197738</v>
      </c>
      <c r="Z35" s="145">
        <v>15994.712670197738</v>
      </c>
      <c r="AA35" s="145">
        <v>15994.712670197738</v>
      </c>
      <c r="AB35" s="145">
        <v>15994.712670197738</v>
      </c>
      <c r="AC35" s="145">
        <v>15994.712670197738</v>
      </c>
      <c r="AD35" s="145">
        <v>15994.712670197738</v>
      </c>
      <c r="AE35" s="145">
        <v>15994.712670197738</v>
      </c>
      <c r="AF35" s="145">
        <v>15994.712670197738</v>
      </c>
      <c r="AG35" s="145">
        <v>15994.712670197738</v>
      </c>
      <c r="AH35" s="145">
        <v>15994.712670197738</v>
      </c>
      <c r="AI35" s="145">
        <v>15994.712670197738</v>
      </c>
      <c r="AJ35" s="145">
        <v>15994.712670197738</v>
      </c>
    </row>
    <row r="36" spans="2:36">
      <c r="B36" s="122" t="str">
        <v>Cenário 20/03/2025 com IFC</v>
      </c>
      <c r="C36" s="139" t="str">
        <v>Pórtico 3 (MG-262)</v>
      </c>
      <c r="D36" s="149" t="str">
        <v>1</v>
      </c>
      <c r="E36" s="149" t="str">
        <v>1.11</v>
      </c>
      <c r="F36" s="122" t="str">
        <v>Mobilização e desmobilização</v>
      </c>
      <c r="G36" s="145">
        <v>453.35095232723796</v>
      </c>
      <c r="H36" s="145">
        <v>454.26287541777486</v>
      </c>
      <c r="I36" s="145">
        <v>463.77251888737749</v>
      </c>
      <c r="J36" s="145">
        <v>473.00042089064237</v>
      </c>
      <c r="K36" s="145">
        <v>485.71510299206778</v>
      </c>
      <c r="L36" s="145">
        <v>482.97909171649286</v>
      </c>
      <c r="M36" s="145">
        <v>483.972932888049</v>
      </c>
      <c r="N36" s="145">
        <v>484.72789466799321</v>
      </c>
      <c r="O36" s="145">
        <v>491.07606769447329</v>
      </c>
      <c r="P36" s="145">
        <v>491.07606769447329</v>
      </c>
      <c r="Q36" s="145">
        <v>491.07606769447329</v>
      </c>
      <c r="R36" s="145">
        <v>491.07606769447329</v>
      </c>
      <c r="S36" s="145">
        <v>491.07606769447329</v>
      </c>
      <c r="T36" s="145">
        <v>491.07606769447329</v>
      </c>
      <c r="U36" s="145">
        <v>515.95847323218516</v>
      </c>
      <c r="V36" s="145">
        <v>515.95847323218516</v>
      </c>
      <c r="W36" s="145">
        <v>515.95847323218516</v>
      </c>
      <c r="X36" s="145">
        <v>515.95847323218516</v>
      </c>
      <c r="Y36" s="145">
        <v>515.95847323218516</v>
      </c>
      <c r="Z36" s="145">
        <v>515.95847323218516</v>
      </c>
      <c r="AA36" s="145">
        <v>515.95847323218516</v>
      </c>
      <c r="AB36" s="145">
        <v>515.95847323218516</v>
      </c>
      <c r="AC36" s="145">
        <v>515.95847323218516</v>
      </c>
      <c r="AD36" s="145">
        <v>515.95847323218516</v>
      </c>
      <c r="AE36" s="145">
        <v>515.95847323218516</v>
      </c>
      <c r="AF36" s="145">
        <v>515.95847323218516</v>
      </c>
      <c r="AG36" s="145">
        <v>515.95847323218516</v>
      </c>
      <c r="AH36" s="145">
        <v>515.95847323218516</v>
      </c>
      <c r="AI36" s="145">
        <v>515.95847323218516</v>
      </c>
      <c r="AJ36" s="145">
        <v>515.95847323218516</v>
      </c>
    </row>
    <row r="37" spans="2:36">
      <c r="B37" s="122" t="str">
        <v>Cenário 20/03/2025 com IFC</v>
      </c>
      <c r="C37" s="139" t="str">
        <v>Pórtico 3 (MG-262)</v>
      </c>
      <c r="D37" s="149" t="str">
        <v>2</v>
      </c>
      <c r="E37" s="149">
        <v>2</v>
      </c>
      <c r="F37" s="122" t="str">
        <v xml:space="preserve">Monitoração da rodovia </v>
      </c>
      <c r="G37" s="145">
        <v>0</v>
      </c>
      <c r="H37" s="145">
        <v>0</v>
      </c>
      <c r="I37" s="145">
        <v>0</v>
      </c>
      <c r="J37" s="145">
        <v>0</v>
      </c>
      <c r="K37" s="145">
        <v>0</v>
      </c>
      <c r="L37" s="145">
        <v>0</v>
      </c>
      <c r="M37" s="145">
        <v>0</v>
      </c>
      <c r="N37" s="145">
        <v>0</v>
      </c>
      <c r="O37" s="145">
        <v>0</v>
      </c>
      <c r="P37" s="145">
        <v>0</v>
      </c>
      <c r="Q37" s="145">
        <v>0</v>
      </c>
      <c r="R37" s="145">
        <v>0</v>
      </c>
      <c r="S37" s="145">
        <v>0</v>
      </c>
      <c r="T37" s="145">
        <v>0</v>
      </c>
      <c r="U37" s="145">
        <v>0</v>
      </c>
      <c r="V37" s="145">
        <v>0</v>
      </c>
      <c r="W37" s="145">
        <v>0</v>
      </c>
      <c r="X37" s="145">
        <v>0</v>
      </c>
      <c r="Y37" s="145">
        <v>0</v>
      </c>
      <c r="Z37" s="145">
        <v>0</v>
      </c>
      <c r="AA37" s="145">
        <v>0</v>
      </c>
      <c r="AB37" s="145">
        <v>0</v>
      </c>
      <c r="AC37" s="145">
        <v>0</v>
      </c>
      <c r="AD37" s="145">
        <v>0</v>
      </c>
      <c r="AE37" s="145">
        <v>0</v>
      </c>
      <c r="AF37" s="145">
        <v>0</v>
      </c>
      <c r="AG37" s="145">
        <v>0</v>
      </c>
      <c r="AH37" s="145">
        <v>0</v>
      </c>
      <c r="AI37" s="145">
        <v>0</v>
      </c>
      <c r="AJ37" s="145">
        <v>0</v>
      </c>
    </row>
    <row r="38" spans="2:36">
      <c r="B38" s="122" t="str">
        <v>Cenário 20/03/2025 com IFC</v>
      </c>
      <c r="C38" s="139" t="str">
        <v>Pórtico 3 (MG-262)</v>
      </c>
      <c r="D38" s="149" t="str">
        <v>2</v>
      </c>
      <c r="E38" s="149" t="str">
        <v>2.1</v>
      </c>
      <c r="F38" s="122" t="str">
        <v xml:space="preserve">Pavimento </v>
      </c>
      <c r="G38" s="145">
        <v>375945.03606266668</v>
      </c>
      <c r="H38" s="145">
        <v>96673.426666666666</v>
      </c>
      <c r="I38" s="145">
        <v>96673.426666666666</v>
      </c>
      <c r="J38" s="145">
        <v>120420.86456266665</v>
      </c>
      <c r="K38" s="145">
        <v>96673.426666666666</v>
      </c>
      <c r="L38" s="145">
        <v>96673.426666666666</v>
      </c>
      <c r="M38" s="145">
        <v>96673.426666666666</v>
      </c>
      <c r="N38" s="145">
        <v>96673.426666666666</v>
      </c>
      <c r="O38" s="145">
        <v>120420.86456266665</v>
      </c>
      <c r="P38" s="145">
        <v>96673.426666666666</v>
      </c>
      <c r="Q38" s="145">
        <v>96673.426666666666</v>
      </c>
      <c r="R38" s="145">
        <v>96673.426666666666</v>
      </c>
      <c r="S38" s="145">
        <v>96673.426666666666</v>
      </c>
      <c r="T38" s="145">
        <v>120420.86456266665</v>
      </c>
      <c r="U38" s="145">
        <v>95305.437999999995</v>
      </c>
      <c r="V38" s="145">
        <v>95305.437999999995</v>
      </c>
      <c r="W38" s="145">
        <v>95305.437999999995</v>
      </c>
      <c r="X38" s="145">
        <v>95305.437999999995</v>
      </c>
      <c r="Y38" s="145">
        <v>121075.32252999999</v>
      </c>
      <c r="Z38" s="145">
        <v>95305.437999999995</v>
      </c>
      <c r="AA38" s="145">
        <v>95305.437999999995</v>
      </c>
      <c r="AB38" s="145">
        <v>95305.437999999995</v>
      </c>
      <c r="AC38" s="145">
        <v>95305.437999999995</v>
      </c>
      <c r="AD38" s="145">
        <v>121075.32252999999</v>
      </c>
      <c r="AE38" s="145">
        <v>95305.437999999995</v>
      </c>
      <c r="AF38" s="145">
        <v>95305.437999999995</v>
      </c>
      <c r="AG38" s="145">
        <v>95305.437999999995</v>
      </c>
      <c r="AH38" s="145">
        <v>95305.437999999995</v>
      </c>
      <c r="AI38" s="145">
        <v>121075.32252999999</v>
      </c>
      <c r="AJ38" s="145">
        <v>95305.437999999995</v>
      </c>
    </row>
    <row r="39" spans="2:36">
      <c r="B39" s="122" t="str">
        <v>Cenário 20/03/2025 com IFC</v>
      </c>
      <c r="C39" s="139" t="str">
        <v>Pórtico 3 (MG-262)</v>
      </c>
      <c r="D39" s="149" t="str">
        <v>2</v>
      </c>
      <c r="E39" s="149" t="str">
        <v>2.2</v>
      </c>
      <c r="F39" s="122" t="str">
        <v>Elementos de proteção e segurança</v>
      </c>
      <c r="G39" s="145">
        <v>96572.914110399986</v>
      </c>
      <c r="H39" s="145">
        <v>96572.914110399986</v>
      </c>
      <c r="I39" s="145">
        <v>71242.313687999995</v>
      </c>
      <c r="J39" s="145">
        <v>96572.914110399986</v>
      </c>
      <c r="K39" s="145">
        <v>71242.313687999995</v>
      </c>
      <c r="L39" s="145">
        <v>96572.914110399986</v>
      </c>
      <c r="M39" s="145">
        <v>71242.313687999995</v>
      </c>
      <c r="N39" s="145">
        <v>96572.914110399986</v>
      </c>
      <c r="O39" s="145">
        <v>71242.313687999995</v>
      </c>
      <c r="P39" s="145">
        <v>96572.914110399986</v>
      </c>
      <c r="Q39" s="145">
        <v>71242.313687999995</v>
      </c>
      <c r="R39" s="145">
        <v>96572.914110399986</v>
      </c>
      <c r="S39" s="145">
        <v>71242.313687999995</v>
      </c>
      <c r="T39" s="145">
        <v>96572.914110399986</v>
      </c>
      <c r="U39" s="145">
        <v>75287.20695599998</v>
      </c>
      <c r="V39" s="145">
        <v>100617.80737839997</v>
      </c>
      <c r="W39" s="145">
        <v>75287.20695599998</v>
      </c>
      <c r="X39" s="145">
        <v>100617.80737839997</v>
      </c>
      <c r="Y39" s="145">
        <v>75287.20695599998</v>
      </c>
      <c r="Z39" s="145">
        <v>100617.80737839997</v>
      </c>
      <c r="AA39" s="145">
        <v>75287.20695599998</v>
      </c>
      <c r="AB39" s="145">
        <v>100617.80737839997</v>
      </c>
      <c r="AC39" s="145">
        <v>75287.20695599998</v>
      </c>
      <c r="AD39" s="145">
        <v>100617.80737839997</v>
      </c>
      <c r="AE39" s="145">
        <v>75287.20695599998</v>
      </c>
      <c r="AF39" s="145">
        <v>100617.80737839997</v>
      </c>
      <c r="AG39" s="145">
        <v>75287.20695599998</v>
      </c>
      <c r="AH39" s="145">
        <v>100617.80737839997</v>
      </c>
      <c r="AI39" s="145">
        <v>75287.20695599998</v>
      </c>
      <c r="AJ39" s="145">
        <v>100617.80737839997</v>
      </c>
    </row>
    <row r="40" spans="2:36">
      <c r="B40" s="122" t="str">
        <v>Cenário 20/03/2025 com IFC</v>
      </c>
      <c r="C40" s="139" t="str">
        <v>Pórtico 3 (MG-262)</v>
      </c>
      <c r="D40" s="149" t="str">
        <v>2</v>
      </c>
      <c r="E40" s="149" t="str">
        <v>2.3</v>
      </c>
      <c r="F40" s="122" t="str">
        <v xml:space="preserve">Obras-de-arte especiais </v>
      </c>
      <c r="G40" s="145">
        <v>47951.557289999997</v>
      </c>
      <c r="H40" s="145">
        <v>42623.606480000002</v>
      </c>
      <c r="I40" s="145">
        <v>42623.606480000002</v>
      </c>
      <c r="J40" s="145">
        <v>42623.606480000002</v>
      </c>
      <c r="K40" s="145">
        <v>42623.606480000002</v>
      </c>
      <c r="L40" s="145">
        <v>42623.606480000002</v>
      </c>
      <c r="M40" s="145">
        <v>42623.606480000002</v>
      </c>
      <c r="N40" s="145">
        <v>42623.606480000002</v>
      </c>
      <c r="O40" s="145">
        <v>42623.606480000002</v>
      </c>
      <c r="P40" s="145">
        <v>42623.606480000002</v>
      </c>
      <c r="Q40" s="145">
        <v>42623.606480000002</v>
      </c>
      <c r="R40" s="145">
        <v>42623.606480000002</v>
      </c>
      <c r="S40" s="145">
        <v>42623.606480000002</v>
      </c>
      <c r="T40" s="145">
        <v>42623.606480000002</v>
      </c>
      <c r="U40" s="145">
        <v>42623.606480000002</v>
      </c>
      <c r="V40" s="145">
        <v>42623.606480000002</v>
      </c>
      <c r="W40" s="145">
        <v>42623.606480000002</v>
      </c>
      <c r="X40" s="145">
        <v>42623.606480000002</v>
      </c>
      <c r="Y40" s="145">
        <v>42623.606480000002</v>
      </c>
      <c r="Z40" s="145">
        <v>42623.606480000002</v>
      </c>
      <c r="AA40" s="145">
        <v>42623.606480000002</v>
      </c>
      <c r="AB40" s="145">
        <v>42623.606480000002</v>
      </c>
      <c r="AC40" s="145">
        <v>42623.606480000002</v>
      </c>
      <c r="AD40" s="145">
        <v>42623.606480000002</v>
      </c>
      <c r="AE40" s="145">
        <v>42623.606480000002</v>
      </c>
      <c r="AF40" s="145">
        <v>42623.606480000002</v>
      </c>
      <c r="AG40" s="145">
        <v>42623.606480000002</v>
      </c>
      <c r="AH40" s="145">
        <v>42623.606480000002</v>
      </c>
      <c r="AI40" s="145">
        <v>42623.606480000002</v>
      </c>
      <c r="AJ40" s="145">
        <v>42623.606480000002</v>
      </c>
    </row>
    <row r="41" spans="2:36">
      <c r="B41" s="122" t="str">
        <v>Cenário 20/03/2025 com IFC</v>
      </c>
      <c r="C41" s="139" t="str">
        <v>Pórtico 3 (MG-262)</v>
      </c>
      <c r="D41" s="149" t="str">
        <v>2</v>
      </c>
      <c r="E41" s="149" t="str">
        <v>2.4</v>
      </c>
      <c r="F41" s="122" t="str">
        <v xml:space="preserve">Sistema de drenagem e obras-de-arte correntes </v>
      </c>
      <c r="G41" s="145">
        <v>55410.688423999993</v>
      </c>
      <c r="H41" s="145">
        <v>55410.688423999993</v>
      </c>
      <c r="I41" s="145">
        <v>55410.688423999993</v>
      </c>
      <c r="J41" s="145">
        <v>55410.688423999993</v>
      </c>
      <c r="K41" s="145">
        <v>55410.688423999993</v>
      </c>
      <c r="L41" s="145">
        <v>55410.688423999993</v>
      </c>
      <c r="M41" s="145">
        <v>55410.688423999993</v>
      </c>
      <c r="N41" s="145">
        <v>55410.688423999993</v>
      </c>
      <c r="O41" s="145">
        <v>55410.688423999993</v>
      </c>
      <c r="P41" s="145">
        <v>55410.688423999993</v>
      </c>
      <c r="Q41" s="145">
        <v>55410.688423999993</v>
      </c>
      <c r="R41" s="145">
        <v>55410.688423999993</v>
      </c>
      <c r="S41" s="145">
        <v>55410.688423999993</v>
      </c>
      <c r="T41" s="145">
        <v>55410.688423999993</v>
      </c>
      <c r="U41" s="145">
        <v>55410.688423999993</v>
      </c>
      <c r="V41" s="145">
        <v>55410.688423999993</v>
      </c>
      <c r="W41" s="145">
        <v>55410.688423999993</v>
      </c>
      <c r="X41" s="145">
        <v>55410.688423999993</v>
      </c>
      <c r="Y41" s="145">
        <v>55410.688423999993</v>
      </c>
      <c r="Z41" s="145">
        <v>55410.688423999993</v>
      </c>
      <c r="AA41" s="145">
        <v>55410.688423999993</v>
      </c>
      <c r="AB41" s="145">
        <v>55410.688423999993</v>
      </c>
      <c r="AC41" s="145">
        <v>55410.688423999993</v>
      </c>
      <c r="AD41" s="145">
        <v>55410.688423999993</v>
      </c>
      <c r="AE41" s="145">
        <v>55410.688423999993</v>
      </c>
      <c r="AF41" s="145">
        <v>55410.688423999993</v>
      </c>
      <c r="AG41" s="145">
        <v>55410.688423999993</v>
      </c>
      <c r="AH41" s="145">
        <v>55410.688423999993</v>
      </c>
      <c r="AI41" s="145">
        <v>55410.688423999993</v>
      </c>
      <c r="AJ41" s="145">
        <v>55410.688423999993</v>
      </c>
    </row>
    <row r="42" spans="2:36">
      <c r="B42" s="122" t="str">
        <v>Cenário 20/03/2025 com IFC</v>
      </c>
      <c r="C42" s="139" t="str">
        <v>Pórtico 3 (MG-262)</v>
      </c>
      <c r="D42" s="149" t="str">
        <v>2</v>
      </c>
      <c r="E42" s="149" t="str">
        <v>2.5</v>
      </c>
      <c r="F42" s="122" t="str">
        <v xml:space="preserve">Terraplenos e estruturas de contenção </v>
      </c>
      <c r="G42" s="145">
        <v>23747.437895999996</v>
      </c>
      <c r="H42" s="145">
        <v>23747.437895999996</v>
      </c>
      <c r="I42" s="145">
        <v>23747.437895999996</v>
      </c>
      <c r="J42" s="145">
        <v>23747.437895999996</v>
      </c>
      <c r="K42" s="145">
        <v>23747.437895999996</v>
      </c>
      <c r="L42" s="145">
        <v>23747.437895999996</v>
      </c>
      <c r="M42" s="145">
        <v>23747.437895999996</v>
      </c>
      <c r="N42" s="145">
        <v>23747.437895999996</v>
      </c>
      <c r="O42" s="145">
        <v>23747.437895999996</v>
      </c>
      <c r="P42" s="145">
        <v>23747.437895999996</v>
      </c>
      <c r="Q42" s="145">
        <v>23747.437895999996</v>
      </c>
      <c r="R42" s="145">
        <v>23747.437895999996</v>
      </c>
      <c r="S42" s="145">
        <v>23747.437895999996</v>
      </c>
      <c r="T42" s="145">
        <v>23747.437895999996</v>
      </c>
      <c r="U42" s="145">
        <v>21724.991261999996</v>
      </c>
      <c r="V42" s="145">
        <v>21724.991261999996</v>
      </c>
      <c r="W42" s="145">
        <v>21724.991261999996</v>
      </c>
      <c r="X42" s="145">
        <v>21724.991261999996</v>
      </c>
      <c r="Y42" s="145">
        <v>21724.991261999996</v>
      </c>
      <c r="Z42" s="145">
        <v>21724.991261999996</v>
      </c>
      <c r="AA42" s="145">
        <v>21724.991261999996</v>
      </c>
      <c r="AB42" s="145">
        <v>21724.991261999996</v>
      </c>
      <c r="AC42" s="145">
        <v>21724.991261999996</v>
      </c>
      <c r="AD42" s="145">
        <v>21724.991261999996</v>
      </c>
      <c r="AE42" s="145">
        <v>21724.991261999996</v>
      </c>
      <c r="AF42" s="145">
        <v>21724.991261999996</v>
      </c>
      <c r="AG42" s="145">
        <v>21724.991261999996</v>
      </c>
      <c r="AH42" s="145">
        <v>21724.991261999996</v>
      </c>
      <c r="AI42" s="145">
        <v>21724.991261999996</v>
      </c>
      <c r="AJ42" s="145">
        <v>21724.991261999996</v>
      </c>
    </row>
    <row r="43" spans="2:36">
      <c r="B43" s="122" t="str">
        <v>Cenário 20/03/2025 com IFC</v>
      </c>
      <c r="C43" s="139" t="str">
        <v>Pórtico 3 (MG-262)</v>
      </c>
      <c r="D43" s="149" t="str">
        <v>2</v>
      </c>
      <c r="E43" s="149" t="str">
        <v>2.6</v>
      </c>
      <c r="F43" s="122" t="str">
        <v>Canteiro central e faixa de domínio</v>
      </c>
      <c r="G43" s="145">
        <v>15831.625263999998</v>
      </c>
      <c r="H43" s="145">
        <v>15831.625263999998</v>
      </c>
      <c r="I43" s="145">
        <v>15831.625263999998</v>
      </c>
      <c r="J43" s="145">
        <v>15831.625263999998</v>
      </c>
      <c r="K43" s="145">
        <v>15831.625263999998</v>
      </c>
      <c r="L43" s="145">
        <v>15831.625263999998</v>
      </c>
      <c r="M43" s="145">
        <v>15831.625263999998</v>
      </c>
      <c r="N43" s="145">
        <v>15831.625263999998</v>
      </c>
      <c r="O43" s="145">
        <v>15831.625263999998</v>
      </c>
      <c r="P43" s="145">
        <v>15831.625263999998</v>
      </c>
      <c r="Q43" s="145">
        <v>15831.625263999998</v>
      </c>
      <c r="R43" s="145">
        <v>15831.625263999998</v>
      </c>
      <c r="S43" s="145">
        <v>15831.625263999998</v>
      </c>
      <c r="T43" s="145">
        <v>15831.625263999998</v>
      </c>
      <c r="U43" s="145">
        <v>15831.625263999998</v>
      </c>
      <c r="V43" s="145">
        <v>15831.625263999998</v>
      </c>
      <c r="W43" s="145">
        <v>15831.625263999998</v>
      </c>
      <c r="X43" s="145">
        <v>15831.625263999998</v>
      </c>
      <c r="Y43" s="145">
        <v>15831.625263999998</v>
      </c>
      <c r="Z43" s="145">
        <v>15831.625263999998</v>
      </c>
      <c r="AA43" s="145">
        <v>15831.625263999998</v>
      </c>
      <c r="AB43" s="145">
        <v>15831.625263999998</v>
      </c>
      <c r="AC43" s="145">
        <v>15831.625263999998</v>
      </c>
      <c r="AD43" s="145">
        <v>15831.625263999998</v>
      </c>
      <c r="AE43" s="145">
        <v>15831.625263999998</v>
      </c>
      <c r="AF43" s="145">
        <v>15831.625263999998</v>
      </c>
      <c r="AG43" s="145">
        <v>15831.625263999998</v>
      </c>
      <c r="AH43" s="145">
        <v>15831.625263999998</v>
      </c>
      <c r="AI43" s="145">
        <v>15831.625263999998</v>
      </c>
      <c r="AJ43" s="145">
        <v>15831.625263999998</v>
      </c>
    </row>
    <row r="44" spans="2:36">
      <c r="B44" s="122" t="str">
        <v>Cenário 20/03/2025 com IFC</v>
      </c>
      <c r="C44" s="139" t="str">
        <v>Pórtico 3 (MG-262)</v>
      </c>
      <c r="D44" s="149" t="str">
        <v>2</v>
      </c>
      <c r="E44" s="149" t="str">
        <v>2.7</v>
      </c>
      <c r="F44" s="122" t="str">
        <v>Edificações e instalações operacionais</v>
      </c>
      <c r="G44" s="145">
        <v>81425.645000000004</v>
      </c>
      <c r="H44" s="145">
        <v>48805.538</v>
      </c>
      <c r="I44" s="145">
        <v>92299.013999999996</v>
      </c>
      <c r="J44" s="145">
        <v>48805.538</v>
      </c>
      <c r="K44" s="145">
        <v>92299.013999999996</v>
      </c>
      <c r="L44" s="145">
        <v>48805.538</v>
      </c>
      <c r="M44" s="145">
        <v>92299.013999999996</v>
      </c>
      <c r="N44" s="145">
        <v>48805.538</v>
      </c>
      <c r="O44" s="145">
        <v>92299.013999999996</v>
      </c>
      <c r="P44" s="145">
        <v>48805.538</v>
      </c>
      <c r="Q44" s="145">
        <v>92299.013999999996</v>
      </c>
      <c r="R44" s="145">
        <v>48805.538</v>
      </c>
      <c r="S44" s="145">
        <v>92299.013999999996</v>
      </c>
      <c r="T44" s="145">
        <v>48805.538</v>
      </c>
      <c r="U44" s="145">
        <v>92299.013999999996</v>
      </c>
      <c r="V44" s="145">
        <v>48805.538</v>
      </c>
      <c r="W44" s="145">
        <v>92299.013999999996</v>
      </c>
      <c r="X44" s="145">
        <v>48805.538</v>
      </c>
      <c r="Y44" s="145">
        <v>92299.013999999996</v>
      </c>
      <c r="Z44" s="145">
        <v>48805.538</v>
      </c>
      <c r="AA44" s="145">
        <v>92299.013999999996</v>
      </c>
      <c r="AB44" s="145">
        <v>48805.538</v>
      </c>
      <c r="AC44" s="145">
        <v>92299.013999999996</v>
      </c>
      <c r="AD44" s="145">
        <v>48805.538</v>
      </c>
      <c r="AE44" s="145">
        <v>92299.013999999996</v>
      </c>
      <c r="AF44" s="145">
        <v>48805.538</v>
      </c>
      <c r="AG44" s="145">
        <v>92299.013999999996</v>
      </c>
      <c r="AH44" s="145">
        <v>48805.538</v>
      </c>
      <c r="AI44" s="145">
        <v>92299.013999999996</v>
      </c>
      <c r="AJ44" s="145">
        <v>48805.538</v>
      </c>
    </row>
    <row r="45" spans="2:36">
      <c r="B45" s="122" t="str">
        <v>Cenário 20/03/2025 com IFC</v>
      </c>
      <c r="C45" s="139" t="str">
        <v>Pórtico 3 (MG-262)</v>
      </c>
      <c r="D45" s="149" t="str">
        <v>2</v>
      </c>
      <c r="E45" s="149" t="str">
        <v>2.8</v>
      </c>
      <c r="F45" s="122" t="str">
        <v>Sistemas elétricos e de iluminação</v>
      </c>
      <c r="G45" s="122">
        <v>35621.156843999997</v>
      </c>
      <c r="H45" s="122">
        <v>35621.156843999997</v>
      </c>
      <c r="I45" s="122">
        <v>35621.156843999997</v>
      </c>
      <c r="J45" s="122">
        <v>35621.156843999997</v>
      </c>
      <c r="K45" s="122">
        <v>35621.156843999997</v>
      </c>
      <c r="L45" s="122">
        <v>35621.156843999997</v>
      </c>
      <c r="M45" s="122">
        <v>35621.156843999997</v>
      </c>
      <c r="N45" s="122">
        <v>35621.156843999997</v>
      </c>
      <c r="O45" s="122">
        <v>35621.156843999997</v>
      </c>
      <c r="P45" s="122">
        <v>35621.156843999997</v>
      </c>
      <c r="Q45" s="122">
        <v>35621.156843999997</v>
      </c>
      <c r="R45" s="122">
        <v>35621.156843999997</v>
      </c>
      <c r="S45" s="122">
        <v>35621.156843999997</v>
      </c>
      <c r="T45" s="122">
        <v>35621.156843999997</v>
      </c>
      <c r="U45" s="122">
        <v>35621.156843999997</v>
      </c>
      <c r="V45" s="122">
        <v>35621.156843999997</v>
      </c>
      <c r="W45" s="122">
        <v>35621.156843999997</v>
      </c>
      <c r="X45" s="122">
        <v>35621.156843999997</v>
      </c>
      <c r="Y45" s="122">
        <v>35621.156843999997</v>
      </c>
      <c r="Z45" s="122">
        <v>35621.156843999997</v>
      </c>
      <c r="AA45" s="122">
        <v>35621.156843999997</v>
      </c>
      <c r="AB45" s="122">
        <v>35621.156843999997</v>
      </c>
      <c r="AC45" s="122">
        <v>35621.156843999997</v>
      </c>
      <c r="AD45" s="122">
        <v>35621.156843999997</v>
      </c>
      <c r="AE45" s="122">
        <v>35621.156843999997</v>
      </c>
      <c r="AF45" s="122">
        <v>35621.156843999997</v>
      </c>
      <c r="AG45" s="122">
        <v>35621.156843999997</v>
      </c>
      <c r="AH45" s="122">
        <v>35621.156843999997</v>
      </c>
      <c r="AI45" s="122">
        <v>35621.156843999997</v>
      </c>
      <c r="AJ45" s="122">
        <v>35621.156843999997</v>
      </c>
    </row>
    <row r="46" spans="2:36">
      <c r="B46" s="122" t="str">
        <v>Cenário 20/03/2025 com IFC</v>
      </c>
      <c r="C46" s="139" t="str">
        <v>Pórtico 4 (MG-329)</v>
      </c>
      <c r="D46" s="149" t="str">
        <v>1</v>
      </c>
      <c r="E46" s="149">
        <v>1</v>
      </c>
      <c r="F46" s="122" t="str">
        <v xml:space="preserve">Conservação da rodovia </v>
      </c>
      <c r="G46" s="145">
        <v>0</v>
      </c>
      <c r="H46" s="145">
        <v>0</v>
      </c>
      <c r="I46" s="145">
        <v>0</v>
      </c>
      <c r="J46" s="145">
        <v>0</v>
      </c>
      <c r="K46" s="145">
        <v>0</v>
      </c>
      <c r="L46" s="145">
        <v>0</v>
      </c>
      <c r="M46" s="145">
        <v>0</v>
      </c>
      <c r="N46" s="145">
        <v>0</v>
      </c>
      <c r="O46" s="145">
        <v>0</v>
      </c>
      <c r="P46" s="145">
        <v>0</v>
      </c>
      <c r="Q46" s="145">
        <v>0</v>
      </c>
      <c r="R46" s="145">
        <v>0</v>
      </c>
      <c r="S46" s="145">
        <v>0</v>
      </c>
      <c r="T46" s="145">
        <v>0</v>
      </c>
      <c r="U46" s="145">
        <v>0</v>
      </c>
      <c r="V46" s="145">
        <v>0</v>
      </c>
      <c r="W46" s="145">
        <v>0</v>
      </c>
      <c r="X46" s="145">
        <v>0</v>
      </c>
      <c r="Y46" s="145">
        <v>0</v>
      </c>
      <c r="Z46" s="145">
        <v>0</v>
      </c>
      <c r="AA46" s="145">
        <v>0</v>
      </c>
      <c r="AB46" s="145">
        <v>0</v>
      </c>
      <c r="AC46" s="145">
        <v>0</v>
      </c>
      <c r="AD46" s="145">
        <v>0</v>
      </c>
      <c r="AE46" s="145">
        <v>0</v>
      </c>
      <c r="AF46" s="145">
        <v>0</v>
      </c>
      <c r="AG46" s="145">
        <v>0</v>
      </c>
      <c r="AH46" s="145">
        <v>0</v>
      </c>
      <c r="AI46" s="145">
        <v>0</v>
      </c>
      <c r="AJ46" s="145">
        <v>0</v>
      </c>
    </row>
    <row r="47" spans="2:36">
      <c r="B47" s="122" t="str">
        <v>Cenário 20/03/2025 com IFC</v>
      </c>
      <c r="C47" s="139" t="str">
        <v>Pórtico 4 (MG-329)</v>
      </c>
      <c r="D47" s="149" t="str">
        <v>1</v>
      </c>
      <c r="E47" s="149" t="str">
        <v>1.1</v>
      </c>
      <c r="F47" s="122" t="str">
        <v>Pavimento</v>
      </c>
      <c r="G47" s="145">
        <v>1047120.3114528001</v>
      </c>
      <c r="H47" s="145">
        <v>1047120.3114528001</v>
      </c>
      <c r="I47" s="145">
        <v>1047120.3114528001</v>
      </c>
      <c r="J47" s="145">
        <v>1047120.3114528001</v>
      </c>
      <c r="K47" s="145">
        <v>1219638.515707352</v>
      </c>
      <c r="L47" s="145">
        <v>1219638.515707352</v>
      </c>
      <c r="M47" s="145">
        <v>1219638.515707352</v>
      </c>
      <c r="N47" s="145">
        <v>1219638.515707352</v>
      </c>
      <c r="O47" s="145">
        <v>1219638.515707352</v>
      </c>
      <c r="P47" s="145">
        <v>1219638.515707352</v>
      </c>
      <c r="Q47" s="145">
        <v>1219638.515707352</v>
      </c>
      <c r="R47" s="145">
        <v>1219638.515707352</v>
      </c>
      <c r="S47" s="145">
        <v>1219638.515707352</v>
      </c>
      <c r="T47" s="145">
        <v>1219638.515707352</v>
      </c>
      <c r="U47" s="145">
        <v>1238117.1094388722</v>
      </c>
      <c r="V47" s="145">
        <v>1745200.5190880001</v>
      </c>
      <c r="W47" s="145">
        <v>1745200.5190880001</v>
      </c>
      <c r="X47" s="145">
        <v>1745200.5190880001</v>
      </c>
      <c r="Y47" s="145">
        <v>1745200.5190880001</v>
      </c>
      <c r="Z47" s="145">
        <v>1745200.5190880001</v>
      </c>
      <c r="AA47" s="145">
        <v>1745200.5190880001</v>
      </c>
      <c r="AB47" s="145">
        <v>1745200.5190880001</v>
      </c>
      <c r="AC47" s="145">
        <v>1745200.5190880001</v>
      </c>
      <c r="AD47" s="145">
        <v>1745200.5190880001</v>
      </c>
      <c r="AE47" s="145">
        <v>1745200.5190880001</v>
      </c>
      <c r="AF47" s="145">
        <v>1745200.5190880001</v>
      </c>
      <c r="AG47" s="145">
        <v>1745200.5190880001</v>
      </c>
      <c r="AH47" s="145">
        <v>1745200.5190880001</v>
      </c>
      <c r="AI47" s="145">
        <v>1745200.5190880001</v>
      </c>
      <c r="AJ47" s="145">
        <v>1745200.5190880001</v>
      </c>
    </row>
    <row r="48" spans="2:36">
      <c r="B48" s="122" t="str">
        <v>Cenário 20/03/2025 com IFC</v>
      </c>
      <c r="C48" s="139" t="str">
        <v>Pórtico 4 (MG-329)</v>
      </c>
      <c r="D48" s="149" t="str">
        <v>1</v>
      </c>
      <c r="E48" s="149" t="str">
        <v>1.2</v>
      </c>
      <c r="F48" s="122" t="str">
        <v>Elementos de proteção e segurança</v>
      </c>
      <c r="G48" s="145">
        <v>581282.12291314709</v>
      </c>
      <c r="H48" s="145">
        <v>591289.92121314711</v>
      </c>
      <c r="I48" s="145">
        <v>623241.31951314711</v>
      </c>
      <c r="J48" s="145">
        <v>970083.11535279511</v>
      </c>
      <c r="K48" s="145">
        <v>1053142.9564527953</v>
      </c>
      <c r="L48" s="145">
        <v>1037903.2572527954</v>
      </c>
      <c r="M48" s="145">
        <v>1037903.2572527954</v>
      </c>
      <c r="N48" s="145">
        <v>1037903.2572527954</v>
      </c>
      <c r="O48" s="145">
        <v>1037903.2572527954</v>
      </c>
      <c r="P48" s="145">
        <v>1037903.2572527954</v>
      </c>
      <c r="Q48" s="145">
        <v>1037903.2572527954</v>
      </c>
      <c r="R48" s="145">
        <v>1037903.2572527954</v>
      </c>
      <c r="S48" s="145">
        <v>1037903.2572527954</v>
      </c>
      <c r="T48" s="145">
        <v>1037903.2572527954</v>
      </c>
      <c r="U48" s="145">
        <v>1045589.3580527953</v>
      </c>
      <c r="V48" s="145">
        <v>1196479.8336527953</v>
      </c>
      <c r="W48" s="145">
        <v>1196479.8336527953</v>
      </c>
      <c r="X48" s="145">
        <v>1196479.8336527953</v>
      </c>
      <c r="Y48" s="145">
        <v>1196479.8336527953</v>
      </c>
      <c r="Z48" s="145">
        <v>1196479.8336527953</v>
      </c>
      <c r="AA48" s="145">
        <v>1196479.8336527953</v>
      </c>
      <c r="AB48" s="145">
        <v>1196479.8336527953</v>
      </c>
      <c r="AC48" s="145">
        <v>1196479.8336527953</v>
      </c>
      <c r="AD48" s="145">
        <v>1196479.8336527953</v>
      </c>
      <c r="AE48" s="145">
        <v>1196479.8336527953</v>
      </c>
      <c r="AF48" s="145">
        <v>1196479.8336527953</v>
      </c>
      <c r="AG48" s="145">
        <v>1196479.8336527953</v>
      </c>
      <c r="AH48" s="145">
        <v>1196479.8336527953</v>
      </c>
      <c r="AI48" s="145">
        <v>1196479.8336527953</v>
      </c>
      <c r="AJ48" s="145">
        <v>1196479.8336527953</v>
      </c>
    </row>
    <row r="49" spans="2:36">
      <c r="B49" s="122" t="str">
        <v>Cenário 20/03/2025 com IFC</v>
      </c>
      <c r="C49" s="139" t="str">
        <v>Pórtico 4 (MG-329)</v>
      </c>
      <c r="D49" s="149" t="str">
        <v>1</v>
      </c>
      <c r="E49" s="149" t="str">
        <v>1.3</v>
      </c>
      <c r="F49" s="122" t="str">
        <v>Obras de arte especiais</v>
      </c>
      <c r="G49" s="145">
        <v>7710.51883404</v>
      </c>
      <c r="H49" s="145">
        <v>16719.893068665002</v>
      </c>
      <c r="I49" s="145">
        <v>16719.893068665002</v>
      </c>
      <c r="J49" s="145">
        <v>16719.893068665002</v>
      </c>
      <c r="K49" s="145">
        <v>25489.640758625006</v>
      </c>
      <c r="L49" s="145">
        <v>25224.322408625005</v>
      </c>
      <c r="M49" s="145">
        <v>25224.322408625005</v>
      </c>
      <c r="N49" s="145">
        <v>25224.322408625005</v>
      </c>
      <c r="O49" s="145">
        <v>25224.322408625005</v>
      </c>
      <c r="P49" s="145">
        <v>25224.322408625005</v>
      </c>
      <c r="Q49" s="145">
        <v>25224.322408625005</v>
      </c>
      <c r="R49" s="145">
        <v>25224.322408625005</v>
      </c>
      <c r="S49" s="145">
        <v>25224.322408625005</v>
      </c>
      <c r="T49" s="145">
        <v>25224.322408625005</v>
      </c>
      <c r="U49" s="145">
        <v>25224.322408625005</v>
      </c>
      <c r="V49" s="145">
        <v>25224.322408625005</v>
      </c>
      <c r="W49" s="145">
        <v>25224.322408625005</v>
      </c>
      <c r="X49" s="145">
        <v>25224.322408625005</v>
      </c>
      <c r="Y49" s="145">
        <v>25224.322408625005</v>
      </c>
      <c r="Z49" s="145">
        <v>25224.322408625005</v>
      </c>
      <c r="AA49" s="145">
        <v>25224.322408625005</v>
      </c>
      <c r="AB49" s="145">
        <v>25224.322408625005</v>
      </c>
      <c r="AC49" s="145">
        <v>25224.322408625005</v>
      </c>
      <c r="AD49" s="145">
        <v>25224.322408625005</v>
      </c>
      <c r="AE49" s="145">
        <v>25224.322408625005</v>
      </c>
      <c r="AF49" s="145">
        <v>25224.322408625005</v>
      </c>
      <c r="AG49" s="145">
        <v>25224.322408625005</v>
      </c>
      <c r="AH49" s="145">
        <v>25224.322408625005</v>
      </c>
      <c r="AI49" s="145">
        <v>25224.322408625005</v>
      </c>
      <c r="AJ49" s="145">
        <v>25224.322408625005</v>
      </c>
    </row>
    <row r="50" spans="2:36">
      <c r="B50" s="122" t="str">
        <v>Cenário 20/03/2025 com IFC</v>
      </c>
      <c r="C50" s="139" t="str">
        <v>Pórtico 4 (MG-329)</v>
      </c>
      <c r="D50" s="149" t="str">
        <v>1</v>
      </c>
      <c r="E50" s="149" t="str">
        <v>1.4</v>
      </c>
      <c r="F50" s="122" t="str">
        <v>Drenagem e obras de arte correntes</v>
      </c>
      <c r="G50" s="145">
        <v>13436.582053157897</v>
      </c>
      <c r="H50" s="145">
        <v>15144.324039868423</v>
      </c>
      <c r="I50" s="145">
        <v>16852.066026578948</v>
      </c>
      <c r="J50" s="145">
        <v>241793.92558440194</v>
      </c>
      <c r="K50" s="145">
        <v>243501.66757111246</v>
      </c>
      <c r="L50" s="145">
        <v>243501.66757111246</v>
      </c>
      <c r="M50" s="145">
        <v>243501.66757111246</v>
      </c>
      <c r="N50" s="145">
        <v>243501.66757111246</v>
      </c>
      <c r="O50" s="145">
        <v>243501.66757111246</v>
      </c>
      <c r="P50" s="145">
        <v>243501.66757111246</v>
      </c>
      <c r="Q50" s="145">
        <v>243501.66757111246</v>
      </c>
      <c r="R50" s="145">
        <v>243501.66757111246</v>
      </c>
      <c r="S50" s="145">
        <v>243501.66757111246</v>
      </c>
      <c r="T50" s="145">
        <v>243501.66757111246</v>
      </c>
      <c r="U50" s="145">
        <v>243501.66757111246</v>
      </c>
      <c r="V50" s="145">
        <v>243501.66757111246</v>
      </c>
      <c r="W50" s="145">
        <v>243501.66757111246</v>
      </c>
      <c r="X50" s="145">
        <v>243501.66757111246</v>
      </c>
      <c r="Y50" s="145">
        <v>243501.66757111246</v>
      </c>
      <c r="Z50" s="145">
        <v>243501.66757111246</v>
      </c>
      <c r="AA50" s="145">
        <v>243501.66757111246</v>
      </c>
      <c r="AB50" s="145">
        <v>243501.66757111246</v>
      </c>
      <c r="AC50" s="145">
        <v>243501.66757111246</v>
      </c>
      <c r="AD50" s="145">
        <v>243501.66757111246</v>
      </c>
      <c r="AE50" s="145">
        <v>243501.66757111246</v>
      </c>
      <c r="AF50" s="145">
        <v>243501.66757111246</v>
      </c>
      <c r="AG50" s="145">
        <v>243501.66757111246</v>
      </c>
      <c r="AH50" s="145">
        <v>243501.66757111246</v>
      </c>
      <c r="AI50" s="145">
        <v>243501.66757111246</v>
      </c>
      <c r="AJ50" s="145">
        <v>243501.66757111246</v>
      </c>
    </row>
    <row r="51" spans="2:36">
      <c r="B51" s="122" t="str">
        <v>Cenário 20/03/2025 com IFC</v>
      </c>
      <c r="C51" s="139" t="str">
        <v>Pórtico 4 (MG-329)</v>
      </c>
      <c r="D51" s="149" t="str">
        <v>1</v>
      </c>
      <c r="E51" s="149" t="str">
        <v>1.5</v>
      </c>
      <c r="F51" s="122" t="str">
        <v>Terraplenos e estruturas de contenção</v>
      </c>
      <c r="G51" s="145">
        <v>45114.599999999991</v>
      </c>
      <c r="H51" s="145">
        <v>38348.6</v>
      </c>
      <c r="I51" s="145">
        <v>38348.6</v>
      </c>
      <c r="J51" s="145">
        <v>38348.6</v>
      </c>
      <c r="K51" s="145">
        <v>50749.578887855991</v>
      </c>
      <c r="L51" s="145">
        <v>50749.578887855991</v>
      </c>
      <c r="M51" s="145">
        <v>50749.578887855991</v>
      </c>
      <c r="N51" s="145">
        <v>50749.578887855991</v>
      </c>
      <c r="O51" s="145">
        <v>50749.578887855991</v>
      </c>
      <c r="P51" s="145">
        <v>50749.578887855991</v>
      </c>
      <c r="Q51" s="145">
        <v>50749.578887855991</v>
      </c>
      <c r="R51" s="145">
        <v>50749.578887855991</v>
      </c>
      <c r="S51" s="145">
        <v>50749.578887855991</v>
      </c>
      <c r="T51" s="145">
        <v>50749.578887855991</v>
      </c>
      <c r="U51" s="145">
        <v>51562.794787855993</v>
      </c>
      <c r="V51" s="145">
        <v>50749.578887855991</v>
      </c>
      <c r="W51" s="145">
        <v>50749.578887855991</v>
      </c>
      <c r="X51" s="145">
        <v>50749.578887855991</v>
      </c>
      <c r="Y51" s="145">
        <v>50749.578887855991</v>
      </c>
      <c r="Z51" s="145">
        <v>50749.578887855991</v>
      </c>
      <c r="AA51" s="145">
        <v>50749.578887855991</v>
      </c>
      <c r="AB51" s="145">
        <v>50749.578887855991</v>
      </c>
      <c r="AC51" s="145">
        <v>50749.578887855991</v>
      </c>
      <c r="AD51" s="145">
        <v>50749.578887855991</v>
      </c>
      <c r="AE51" s="145">
        <v>50749.578887855991</v>
      </c>
      <c r="AF51" s="145">
        <v>50749.578887855991</v>
      </c>
      <c r="AG51" s="145">
        <v>50749.578887855991</v>
      </c>
      <c r="AH51" s="145">
        <v>50749.578887855991</v>
      </c>
      <c r="AI51" s="145">
        <v>50749.578887855991</v>
      </c>
      <c r="AJ51" s="145">
        <v>50749.578887855991</v>
      </c>
    </row>
    <row r="52" spans="2:36">
      <c r="B52" s="122" t="str">
        <v>Cenário 20/03/2025 com IFC</v>
      </c>
      <c r="C52" s="139" t="str">
        <v>Pórtico 4 (MG-329)</v>
      </c>
      <c r="D52" s="149" t="str">
        <v>1</v>
      </c>
      <c r="E52" s="149" t="str">
        <v>1.6</v>
      </c>
      <c r="F52" s="122" t="str">
        <v>Faixa de domínio</v>
      </c>
      <c r="G52" s="145">
        <v>171995.7014365661</v>
      </c>
      <c r="H52" s="145">
        <v>174013.54880257571</v>
      </c>
      <c r="I52" s="145">
        <v>182150.54616858534</v>
      </c>
      <c r="J52" s="145">
        <v>190287.54353459494</v>
      </c>
      <c r="K52" s="145">
        <v>188960.9614341277</v>
      </c>
      <c r="L52" s="145">
        <v>188960.9614341277</v>
      </c>
      <c r="M52" s="145">
        <v>188960.9614341277</v>
      </c>
      <c r="N52" s="145">
        <v>188960.9614341277</v>
      </c>
      <c r="O52" s="145">
        <v>188960.9614341277</v>
      </c>
      <c r="P52" s="145">
        <v>188960.9614341277</v>
      </c>
      <c r="Q52" s="145">
        <v>188960.9614341277</v>
      </c>
      <c r="R52" s="145">
        <v>188960.9614341277</v>
      </c>
      <c r="S52" s="145">
        <v>188960.9614341277</v>
      </c>
      <c r="T52" s="145">
        <v>188960.9614341277</v>
      </c>
      <c r="U52" s="145">
        <v>189240.51143412769</v>
      </c>
      <c r="V52" s="145">
        <v>184051.24343412771</v>
      </c>
      <c r="W52" s="145">
        <v>184051.24343412771</v>
      </c>
      <c r="X52" s="145">
        <v>184051.24343412771</v>
      </c>
      <c r="Y52" s="145">
        <v>184051.24343412771</v>
      </c>
      <c r="Z52" s="145">
        <v>184051.24343412771</v>
      </c>
      <c r="AA52" s="145">
        <v>184051.24343412771</v>
      </c>
      <c r="AB52" s="145">
        <v>184051.24343412771</v>
      </c>
      <c r="AC52" s="145">
        <v>184051.24343412771</v>
      </c>
      <c r="AD52" s="145">
        <v>184051.24343412771</v>
      </c>
      <c r="AE52" s="145">
        <v>184051.24343412771</v>
      </c>
      <c r="AF52" s="145">
        <v>184051.24343412771</v>
      </c>
      <c r="AG52" s="145">
        <v>184051.24343412771</v>
      </c>
      <c r="AH52" s="145">
        <v>184051.24343412771</v>
      </c>
      <c r="AI52" s="145">
        <v>184051.24343412771</v>
      </c>
      <c r="AJ52" s="145">
        <v>184051.24343412771</v>
      </c>
    </row>
    <row r="53" spans="2:36">
      <c r="B53" s="122" t="str">
        <v>Cenário 20/03/2025 com IFC</v>
      </c>
      <c r="C53" s="139" t="str">
        <v>Pórtico 4 (MG-329)</v>
      </c>
      <c r="D53" s="149" t="str">
        <v>1</v>
      </c>
      <c r="E53" s="149" t="str">
        <v>1.7</v>
      </c>
      <c r="F53" s="122" t="str">
        <v>Edificações e instalações operacionais</v>
      </c>
      <c r="G53" s="145">
        <v>59991.666666666664</v>
      </c>
      <c r="H53" s="145">
        <v>59991.666666666664</v>
      </c>
      <c r="I53" s="145">
        <v>59991.666666666664</v>
      </c>
      <c r="J53" s="145">
        <v>59991.666666666664</v>
      </c>
      <c r="K53" s="145">
        <v>59991.666666666664</v>
      </c>
      <c r="L53" s="145">
        <v>59991.666666666664</v>
      </c>
      <c r="M53" s="145">
        <v>59991.666666666664</v>
      </c>
      <c r="N53" s="145">
        <v>59991.666666666664</v>
      </c>
      <c r="O53" s="145">
        <v>59991.666666666664</v>
      </c>
      <c r="P53" s="145">
        <v>59991.666666666664</v>
      </c>
      <c r="Q53" s="145">
        <v>59991.666666666664</v>
      </c>
      <c r="R53" s="145">
        <v>59991.666666666664</v>
      </c>
      <c r="S53" s="145">
        <v>59991.666666666664</v>
      </c>
      <c r="T53" s="145">
        <v>59991.666666666664</v>
      </c>
      <c r="U53" s="145">
        <v>59991.666666666664</v>
      </c>
      <c r="V53" s="145">
        <v>59991.666666666664</v>
      </c>
      <c r="W53" s="145">
        <v>59991.666666666664</v>
      </c>
      <c r="X53" s="145">
        <v>59991.666666666664</v>
      </c>
      <c r="Y53" s="145">
        <v>59991.666666666664</v>
      </c>
      <c r="Z53" s="145">
        <v>59991.666666666664</v>
      </c>
      <c r="AA53" s="145">
        <v>59991.666666666664</v>
      </c>
      <c r="AB53" s="145">
        <v>59991.666666666664</v>
      </c>
      <c r="AC53" s="145">
        <v>59991.666666666664</v>
      </c>
      <c r="AD53" s="145">
        <v>59991.666666666664</v>
      </c>
      <c r="AE53" s="145">
        <v>59991.666666666664</v>
      </c>
      <c r="AF53" s="145">
        <v>59991.666666666664</v>
      </c>
      <c r="AG53" s="145">
        <v>59991.666666666664</v>
      </c>
      <c r="AH53" s="145">
        <v>59991.666666666664</v>
      </c>
      <c r="AI53" s="145">
        <v>59991.666666666664</v>
      </c>
      <c r="AJ53" s="145">
        <v>59991.666666666664</v>
      </c>
    </row>
    <row r="54" spans="2:36">
      <c r="B54" s="122" t="str">
        <v>Cenário 20/03/2025 com IFC</v>
      </c>
      <c r="C54" s="139" t="str">
        <v>Pórtico 4 (MG-329)</v>
      </c>
      <c r="D54" s="149" t="str">
        <v>1</v>
      </c>
      <c r="E54" s="149" t="str">
        <v>1.8</v>
      </c>
      <c r="F54" s="122" t="str">
        <v>Iluminação e instalações elétricas</v>
      </c>
      <c r="G54" s="122">
        <v>146480.31760673068</v>
      </c>
      <c r="H54" s="122">
        <v>146480.31760673068</v>
      </c>
      <c r="I54" s="122">
        <v>146480.31760673068</v>
      </c>
      <c r="J54" s="122">
        <v>166000.36360673065</v>
      </c>
      <c r="K54" s="122">
        <v>166000.36360673065</v>
      </c>
      <c r="L54" s="122">
        <v>166000.36360673065</v>
      </c>
      <c r="M54" s="122">
        <v>166000.36360673065</v>
      </c>
      <c r="N54" s="122">
        <v>166000.36360673065</v>
      </c>
      <c r="O54" s="122">
        <v>166000.36360673065</v>
      </c>
      <c r="P54" s="122">
        <v>166000.36360673065</v>
      </c>
      <c r="Q54" s="122">
        <v>166000.36360673065</v>
      </c>
      <c r="R54" s="122">
        <v>166000.36360673065</v>
      </c>
      <c r="S54" s="122">
        <v>166000.36360673065</v>
      </c>
      <c r="T54" s="122">
        <v>166000.36360673065</v>
      </c>
      <c r="U54" s="122">
        <v>166000.36360673065</v>
      </c>
      <c r="V54" s="122">
        <v>166000.36360673065</v>
      </c>
      <c r="W54" s="122">
        <v>166000.36360673065</v>
      </c>
      <c r="X54" s="122">
        <v>166000.36360673065</v>
      </c>
      <c r="Y54" s="122">
        <v>166000.36360673065</v>
      </c>
      <c r="Z54" s="122">
        <v>166000.36360673065</v>
      </c>
      <c r="AA54" s="122">
        <v>166000.36360673065</v>
      </c>
      <c r="AB54" s="122">
        <v>166000.36360673065</v>
      </c>
      <c r="AC54" s="122">
        <v>166000.36360673065</v>
      </c>
      <c r="AD54" s="122">
        <v>166000.36360673065</v>
      </c>
      <c r="AE54" s="122">
        <v>166000.36360673065</v>
      </c>
      <c r="AF54" s="122">
        <v>166000.36360673065</v>
      </c>
      <c r="AG54" s="122">
        <v>166000.36360673065</v>
      </c>
      <c r="AH54" s="122">
        <v>166000.36360673065</v>
      </c>
      <c r="AI54" s="122">
        <v>166000.36360673065</v>
      </c>
      <c r="AJ54" s="122">
        <v>166000.36360673065</v>
      </c>
    </row>
    <row r="55" spans="2:36">
      <c r="B55" s="122" t="str">
        <v>Cenário 20/03/2025 com IFC</v>
      </c>
      <c r="C55" s="139" t="str">
        <v>Pórtico 4 (MG-329)</v>
      </c>
      <c r="D55" s="149" t="str">
        <v>1</v>
      </c>
      <c r="E55" s="149" t="str">
        <v>1.9</v>
      </c>
      <c r="F55" s="122" t="str">
        <v>Administração local</v>
      </c>
      <c r="G55" s="145">
        <v>102620.02513767389</v>
      </c>
      <c r="H55" s="145">
        <v>103410.87485109745</v>
      </c>
      <c r="I55" s="145">
        <v>105479.78366490711</v>
      </c>
      <c r="J55" s="145">
        <v>135152.0982536994</v>
      </c>
      <c r="K55" s="145">
        <v>148870.02987872067</v>
      </c>
      <c r="L55" s="145">
        <v>148102.53150999566</v>
      </c>
      <c r="M55" s="145">
        <v>148102.53150999566</v>
      </c>
      <c r="N55" s="145">
        <v>148102.53150999566</v>
      </c>
      <c r="O55" s="145">
        <v>148102.53150999566</v>
      </c>
      <c r="P55" s="145">
        <v>148102.53150999566</v>
      </c>
      <c r="Q55" s="145">
        <v>148102.53150999566</v>
      </c>
      <c r="R55" s="145">
        <v>148102.53150999566</v>
      </c>
      <c r="S55" s="145">
        <v>148102.53150999566</v>
      </c>
      <c r="T55" s="145">
        <v>148102.53150999566</v>
      </c>
      <c r="U55" s="145">
        <v>149451.77580135589</v>
      </c>
      <c r="V55" s="145">
        <v>181724.36016813773</v>
      </c>
      <c r="W55" s="145">
        <v>181724.36016813773</v>
      </c>
      <c r="X55" s="145">
        <v>181724.36016813773</v>
      </c>
      <c r="Y55" s="145">
        <v>181724.36016813773</v>
      </c>
      <c r="Z55" s="145">
        <v>181724.36016813773</v>
      </c>
      <c r="AA55" s="145">
        <v>181724.36016813773</v>
      </c>
      <c r="AB55" s="145">
        <v>181724.36016813773</v>
      </c>
      <c r="AC55" s="145">
        <v>181724.36016813773</v>
      </c>
      <c r="AD55" s="145">
        <v>181724.36016813773</v>
      </c>
      <c r="AE55" s="145">
        <v>181724.36016813773</v>
      </c>
      <c r="AF55" s="145">
        <v>181724.36016813773</v>
      </c>
      <c r="AG55" s="145">
        <v>181724.36016813773</v>
      </c>
      <c r="AH55" s="145">
        <v>181724.36016813773</v>
      </c>
      <c r="AI55" s="145">
        <v>181724.36016813773</v>
      </c>
      <c r="AJ55" s="145">
        <v>181724.36016813773</v>
      </c>
    </row>
    <row r="56" spans="2:36">
      <c r="B56" s="122" t="str">
        <v>Cenário 20/03/2025 com IFC</v>
      </c>
      <c r="C56" s="139" t="str">
        <v>Pórtico 4 (MG-329)</v>
      </c>
      <c r="D56" s="149" t="str">
        <v>1</v>
      </c>
      <c r="E56" s="149" t="str">
        <v>1.10</v>
      </c>
      <c r="F56" s="122" t="str">
        <v xml:space="preserve">Canteiro de obras </v>
      </c>
      <c r="G56" s="145">
        <v>6426.708644985637</v>
      </c>
      <c r="H56" s="145">
        <v>6476.2366068364063</v>
      </c>
      <c r="I56" s="145">
        <v>6605.8046335598383</v>
      </c>
      <c r="J56" s="145">
        <v>8464.0707997266272</v>
      </c>
      <c r="K56" s="145">
        <v>9323.173588364325</v>
      </c>
      <c r="L56" s="145">
        <v>9275.1080339593227</v>
      </c>
      <c r="M56" s="145">
        <v>9275.1080339593227</v>
      </c>
      <c r="N56" s="145">
        <v>9275.1080339593227</v>
      </c>
      <c r="O56" s="145">
        <v>9275.1080339593227</v>
      </c>
      <c r="P56" s="145">
        <v>9275.1080339593227</v>
      </c>
      <c r="Q56" s="145">
        <v>9275.1080339593227</v>
      </c>
      <c r="R56" s="145">
        <v>9275.1080339593227</v>
      </c>
      <c r="S56" s="145">
        <v>9275.1080339593227</v>
      </c>
      <c r="T56" s="145">
        <v>9275.1080339593227</v>
      </c>
      <c r="U56" s="145">
        <v>9359.6061612970352</v>
      </c>
      <c r="V56" s="145">
        <v>11380.717505479332</v>
      </c>
      <c r="W56" s="145">
        <v>11380.717505479332</v>
      </c>
      <c r="X56" s="145">
        <v>11380.717505479332</v>
      </c>
      <c r="Y56" s="145">
        <v>11380.717505479332</v>
      </c>
      <c r="Z56" s="145">
        <v>11380.717505479332</v>
      </c>
      <c r="AA56" s="145">
        <v>11380.717505479332</v>
      </c>
      <c r="AB56" s="145">
        <v>11380.717505479332</v>
      </c>
      <c r="AC56" s="145">
        <v>11380.717505479332</v>
      </c>
      <c r="AD56" s="145">
        <v>11380.717505479332</v>
      </c>
      <c r="AE56" s="145">
        <v>11380.717505479332</v>
      </c>
      <c r="AF56" s="145">
        <v>11380.717505479332</v>
      </c>
      <c r="AG56" s="145">
        <v>11380.717505479332</v>
      </c>
      <c r="AH56" s="145">
        <v>11380.717505479332</v>
      </c>
      <c r="AI56" s="145">
        <v>11380.717505479332</v>
      </c>
      <c r="AJ56" s="145">
        <v>11380.717505479332</v>
      </c>
    </row>
    <row r="57" spans="2:36">
      <c r="B57" s="122" t="str">
        <v>Cenário 20/03/2025 com IFC</v>
      </c>
      <c r="C57" s="139" t="str">
        <v>Pórtico 4 (MG-329)</v>
      </c>
      <c r="D57" s="149" t="str">
        <v>1</v>
      </c>
      <c r="E57" s="149" t="str">
        <v>1.11</v>
      </c>
      <c r="F57" s="122" t="str">
        <v>Mobilização e desmobilização</v>
      </c>
      <c r="G57" s="145">
        <v>207.3131820963109</v>
      </c>
      <c r="H57" s="145">
        <v>208.91085828504538</v>
      </c>
      <c r="I57" s="145">
        <v>213.09047205031737</v>
      </c>
      <c r="J57" s="145">
        <v>273.03454192666544</v>
      </c>
      <c r="K57" s="145">
        <v>300.74753510852662</v>
      </c>
      <c r="L57" s="145">
        <v>299.19703335352659</v>
      </c>
      <c r="M57" s="145">
        <v>299.19703335352659</v>
      </c>
      <c r="N57" s="145">
        <v>299.19703335352659</v>
      </c>
      <c r="O57" s="145">
        <v>299.19703335352659</v>
      </c>
      <c r="P57" s="145">
        <v>299.19703335352659</v>
      </c>
      <c r="Q57" s="145">
        <v>299.19703335352659</v>
      </c>
      <c r="R57" s="145">
        <v>299.19703335352659</v>
      </c>
      <c r="S57" s="145">
        <v>299.19703335352659</v>
      </c>
      <c r="T57" s="145">
        <v>299.19703335352659</v>
      </c>
      <c r="U57" s="145">
        <v>301.92277939667855</v>
      </c>
      <c r="V57" s="145">
        <v>367.11991953159139</v>
      </c>
      <c r="W57" s="145">
        <v>367.11991953159139</v>
      </c>
      <c r="X57" s="145">
        <v>367.11991953159139</v>
      </c>
      <c r="Y57" s="145">
        <v>367.11991953159139</v>
      </c>
      <c r="Z57" s="145">
        <v>367.11991953159139</v>
      </c>
      <c r="AA57" s="145">
        <v>367.11991953159139</v>
      </c>
      <c r="AB57" s="145">
        <v>367.11991953159139</v>
      </c>
      <c r="AC57" s="145">
        <v>367.11991953159139</v>
      </c>
      <c r="AD57" s="145">
        <v>367.11991953159139</v>
      </c>
      <c r="AE57" s="145">
        <v>367.11991953159139</v>
      </c>
      <c r="AF57" s="145">
        <v>367.11991953159139</v>
      </c>
      <c r="AG57" s="145">
        <v>367.11991953159139</v>
      </c>
      <c r="AH57" s="145">
        <v>367.11991953159139</v>
      </c>
      <c r="AI57" s="145">
        <v>367.11991953159139</v>
      </c>
      <c r="AJ57" s="145">
        <v>367.11991953159139</v>
      </c>
    </row>
    <row r="58" spans="2:36">
      <c r="B58" s="122" t="str">
        <v>Cenário 20/03/2025 com IFC</v>
      </c>
      <c r="C58" s="139" t="str">
        <v>Pórtico 4 (MG-329)</v>
      </c>
      <c r="D58" s="149" t="str">
        <v>2</v>
      </c>
      <c r="E58" s="149">
        <v>2</v>
      </c>
      <c r="F58" s="122" t="str">
        <v xml:space="preserve">Monitoração da rodovia </v>
      </c>
      <c r="G58" s="145">
        <v>0</v>
      </c>
      <c r="H58" s="145">
        <v>0</v>
      </c>
      <c r="I58" s="145">
        <v>0</v>
      </c>
      <c r="J58" s="145">
        <v>0</v>
      </c>
      <c r="K58" s="145">
        <v>0</v>
      </c>
      <c r="L58" s="145">
        <v>0</v>
      </c>
      <c r="M58" s="145">
        <v>0</v>
      </c>
      <c r="N58" s="145">
        <v>0</v>
      </c>
      <c r="O58" s="145">
        <v>0</v>
      </c>
      <c r="P58" s="145">
        <v>0</v>
      </c>
      <c r="Q58" s="145">
        <v>0</v>
      </c>
      <c r="R58" s="145">
        <v>0</v>
      </c>
      <c r="S58" s="145">
        <v>0</v>
      </c>
      <c r="T58" s="145">
        <v>0</v>
      </c>
      <c r="U58" s="145">
        <v>0</v>
      </c>
      <c r="V58" s="145">
        <v>0</v>
      </c>
      <c r="W58" s="145">
        <v>0</v>
      </c>
      <c r="X58" s="145">
        <v>0</v>
      </c>
      <c r="Y58" s="145">
        <v>0</v>
      </c>
      <c r="Z58" s="145">
        <v>0</v>
      </c>
      <c r="AA58" s="145">
        <v>0</v>
      </c>
      <c r="AB58" s="145">
        <v>0</v>
      </c>
      <c r="AC58" s="145">
        <v>0</v>
      </c>
      <c r="AD58" s="145">
        <v>0</v>
      </c>
      <c r="AE58" s="145">
        <v>0</v>
      </c>
      <c r="AF58" s="145">
        <v>0</v>
      </c>
      <c r="AG58" s="145">
        <v>0</v>
      </c>
      <c r="AH58" s="145">
        <v>0</v>
      </c>
      <c r="AI58" s="145">
        <v>0</v>
      </c>
      <c r="AJ58" s="145">
        <v>0</v>
      </c>
    </row>
    <row r="59" spans="2:36">
      <c r="B59" s="122" t="str">
        <v>Cenário 20/03/2025 com IFC</v>
      </c>
      <c r="C59" s="139" t="str">
        <v>Pórtico 4 (MG-329)</v>
      </c>
      <c r="D59" s="149" t="str">
        <v>2</v>
      </c>
      <c r="E59" s="149" t="str">
        <v>2.1</v>
      </c>
      <c r="F59" s="122" t="str">
        <v xml:space="preserve">Pavimento </v>
      </c>
      <c r="G59" s="122">
        <v>325864.92921333329</v>
      </c>
      <c r="H59" s="122">
        <v>59249.921333333332</v>
      </c>
      <c r="I59" s="122">
        <v>59249.921333333332</v>
      </c>
      <c r="J59" s="122">
        <v>70340.757713333325</v>
      </c>
      <c r="K59" s="122">
        <v>57766.977490000005</v>
      </c>
      <c r="L59" s="122">
        <v>57766.977490000005</v>
      </c>
      <c r="M59" s="122">
        <v>57766.977490000005</v>
      </c>
      <c r="N59" s="122">
        <v>57766.977490000005</v>
      </c>
      <c r="O59" s="122">
        <v>71050.211261470002</v>
      </c>
      <c r="P59" s="122">
        <v>57766.977490000005</v>
      </c>
      <c r="Q59" s="122">
        <v>57766.977490000005</v>
      </c>
      <c r="R59" s="122">
        <v>57766.977490000005</v>
      </c>
      <c r="S59" s="122">
        <v>57766.977490000005</v>
      </c>
      <c r="T59" s="122">
        <v>71050.211261470002</v>
      </c>
      <c r="U59" s="122">
        <v>57766.977490000005</v>
      </c>
      <c r="V59" s="122">
        <v>51748.047999999995</v>
      </c>
      <c r="W59" s="122">
        <v>51748.047999999995</v>
      </c>
      <c r="X59" s="122">
        <v>51748.047999999995</v>
      </c>
      <c r="Y59" s="122">
        <v>73929.720759999997</v>
      </c>
      <c r="Z59" s="122">
        <v>51748.047999999995</v>
      </c>
      <c r="AA59" s="122">
        <v>51748.047999999995</v>
      </c>
      <c r="AB59" s="122">
        <v>51748.047999999995</v>
      </c>
      <c r="AC59" s="122">
        <v>51748.047999999995</v>
      </c>
      <c r="AD59" s="122">
        <v>73929.720759999997</v>
      </c>
      <c r="AE59" s="122">
        <v>51748.047999999995</v>
      </c>
      <c r="AF59" s="122">
        <v>51748.047999999995</v>
      </c>
      <c r="AG59" s="122">
        <v>51748.047999999995</v>
      </c>
      <c r="AH59" s="122">
        <v>51748.047999999995</v>
      </c>
      <c r="AI59" s="122">
        <v>73929.720759999997</v>
      </c>
      <c r="AJ59" s="122">
        <v>51748.047999999995</v>
      </c>
    </row>
    <row r="60" spans="2:36">
      <c r="B60" s="122" t="str">
        <v>Cenário 20/03/2025 com IFC</v>
      </c>
      <c r="C60" s="139" t="str">
        <v>Pórtico 4 (MG-329)</v>
      </c>
      <c r="D60" s="149" t="str">
        <v>2</v>
      </c>
      <c r="E60" s="149" t="str">
        <v>2.2</v>
      </c>
      <c r="F60" s="122" t="str">
        <v>Elementos de proteção e segurança</v>
      </c>
      <c r="G60" s="145">
        <v>45102.734612</v>
      </c>
      <c r="H60" s="145">
        <v>45102.734612</v>
      </c>
      <c r="I60" s="145">
        <v>33272.509139999995</v>
      </c>
      <c r="J60" s="145">
        <v>45102.734612</v>
      </c>
      <c r="K60" s="145">
        <v>37657.303922939995</v>
      </c>
      <c r="L60" s="145">
        <v>49487.52939494</v>
      </c>
      <c r="M60" s="145">
        <v>37657.303922939995</v>
      </c>
      <c r="N60" s="145">
        <v>49487.52939494</v>
      </c>
      <c r="O60" s="145">
        <v>37657.303922939995</v>
      </c>
      <c r="P60" s="145">
        <v>49487.52939494</v>
      </c>
      <c r="Q60" s="145">
        <v>37657.303922939995</v>
      </c>
      <c r="R60" s="145">
        <v>49487.52939494</v>
      </c>
      <c r="S60" s="145">
        <v>37657.303922939995</v>
      </c>
      <c r="T60" s="145">
        <v>49487.52939494</v>
      </c>
      <c r="U60" s="145">
        <v>37657.303922939995</v>
      </c>
      <c r="V60" s="145">
        <v>67284.407371999987</v>
      </c>
      <c r="W60" s="145">
        <v>55454.181899999996</v>
      </c>
      <c r="X60" s="145">
        <v>67284.407371999987</v>
      </c>
      <c r="Y60" s="145">
        <v>55454.181899999996</v>
      </c>
      <c r="Z60" s="145">
        <v>67284.407371999987</v>
      </c>
      <c r="AA60" s="145">
        <v>55454.181899999996</v>
      </c>
      <c r="AB60" s="145">
        <v>67284.407371999987</v>
      </c>
      <c r="AC60" s="145">
        <v>55454.181899999996</v>
      </c>
      <c r="AD60" s="145">
        <v>67284.407371999987</v>
      </c>
      <c r="AE60" s="145">
        <v>55454.181899999996</v>
      </c>
      <c r="AF60" s="145">
        <v>67284.407371999987</v>
      </c>
      <c r="AG60" s="145">
        <v>55454.181899999996</v>
      </c>
      <c r="AH60" s="145">
        <v>67284.407371999987</v>
      </c>
      <c r="AI60" s="145">
        <v>55454.181899999996</v>
      </c>
      <c r="AJ60" s="145">
        <v>67284.407371999987</v>
      </c>
    </row>
    <row r="61" spans="2:36">
      <c r="B61" s="122" t="str">
        <v>Cenário 20/03/2025 com IFC</v>
      </c>
      <c r="C61" s="139" t="str">
        <v>Pórtico 4 (MG-329)</v>
      </c>
      <c r="D61" s="149" t="str">
        <v>2</v>
      </c>
      <c r="E61" s="149" t="str">
        <v>2.3</v>
      </c>
      <c r="F61" s="122" t="str">
        <v xml:space="preserve">Obras-de-arte especiais </v>
      </c>
      <c r="G61" s="145">
        <v>13700.444940000001</v>
      </c>
      <c r="H61" s="145">
        <v>12178.173280000001</v>
      </c>
      <c r="I61" s="145">
        <v>12178.173280000001</v>
      </c>
      <c r="J61" s="145">
        <v>12178.173280000001</v>
      </c>
      <c r="K61" s="145">
        <v>12178.173280000001</v>
      </c>
      <c r="L61" s="145">
        <v>12178.173280000001</v>
      </c>
      <c r="M61" s="145">
        <v>12178.173280000001</v>
      </c>
      <c r="N61" s="145">
        <v>12178.173280000001</v>
      </c>
      <c r="O61" s="145">
        <v>12178.173280000001</v>
      </c>
      <c r="P61" s="145">
        <v>12178.173280000001</v>
      </c>
      <c r="Q61" s="145">
        <v>12178.173280000001</v>
      </c>
      <c r="R61" s="145">
        <v>12178.173280000001</v>
      </c>
      <c r="S61" s="145">
        <v>12178.173280000001</v>
      </c>
      <c r="T61" s="145">
        <v>12178.173280000001</v>
      </c>
      <c r="U61" s="145">
        <v>12178.173280000001</v>
      </c>
      <c r="V61" s="145">
        <v>12178.173280000001</v>
      </c>
      <c r="W61" s="145">
        <v>12178.173280000001</v>
      </c>
      <c r="X61" s="145">
        <v>12178.173280000001</v>
      </c>
      <c r="Y61" s="145">
        <v>12178.173280000001</v>
      </c>
      <c r="Z61" s="145">
        <v>12178.173280000001</v>
      </c>
      <c r="AA61" s="145">
        <v>12178.173280000001</v>
      </c>
      <c r="AB61" s="145">
        <v>12178.173280000001</v>
      </c>
      <c r="AC61" s="145">
        <v>12178.173280000001</v>
      </c>
      <c r="AD61" s="145">
        <v>12178.173280000001</v>
      </c>
      <c r="AE61" s="145">
        <v>12178.173280000001</v>
      </c>
      <c r="AF61" s="145">
        <v>12178.173280000001</v>
      </c>
      <c r="AG61" s="145">
        <v>12178.173280000001</v>
      </c>
      <c r="AH61" s="145">
        <v>12178.173280000001</v>
      </c>
      <c r="AI61" s="145">
        <v>12178.173280000001</v>
      </c>
      <c r="AJ61" s="145">
        <v>12178.173280000001</v>
      </c>
    </row>
    <row r="62" spans="2:36">
      <c r="B62" s="122" t="str">
        <v>Cenário 20/03/2025 com IFC</v>
      </c>
      <c r="C62" s="139" t="str">
        <v>Pórtico 4 (MG-329)</v>
      </c>
      <c r="D62" s="149" t="str">
        <v>2</v>
      </c>
      <c r="E62" s="149" t="str">
        <v>2.4</v>
      </c>
      <c r="F62" s="122" t="str">
        <v xml:space="preserve">Sistema de drenagem e obras-de-arte correntes </v>
      </c>
      <c r="G62" s="122">
        <v>25878.618219999997</v>
      </c>
      <c r="H62" s="122">
        <v>25878.618219999997</v>
      </c>
      <c r="I62" s="122">
        <v>25878.618219999997</v>
      </c>
      <c r="J62" s="122">
        <v>25878.618219999997</v>
      </c>
      <c r="K62" s="122">
        <v>25878.618219999997</v>
      </c>
      <c r="L62" s="122">
        <v>25878.618219999997</v>
      </c>
      <c r="M62" s="122">
        <v>25878.618219999997</v>
      </c>
      <c r="N62" s="122">
        <v>25878.618219999997</v>
      </c>
      <c r="O62" s="122">
        <v>25878.618219999997</v>
      </c>
      <c r="P62" s="122">
        <v>25878.618219999997</v>
      </c>
      <c r="Q62" s="122">
        <v>25878.618219999997</v>
      </c>
      <c r="R62" s="122">
        <v>25878.618219999997</v>
      </c>
      <c r="S62" s="122">
        <v>25878.618219999997</v>
      </c>
      <c r="T62" s="122">
        <v>25878.618219999997</v>
      </c>
      <c r="U62" s="122">
        <v>25878.618219999997</v>
      </c>
      <c r="V62" s="122">
        <v>25878.618219999997</v>
      </c>
      <c r="W62" s="122">
        <v>25878.618219999997</v>
      </c>
      <c r="X62" s="122">
        <v>25878.618219999997</v>
      </c>
      <c r="Y62" s="122">
        <v>25878.618219999997</v>
      </c>
      <c r="Z62" s="122">
        <v>25878.618219999997</v>
      </c>
      <c r="AA62" s="122">
        <v>25878.618219999997</v>
      </c>
      <c r="AB62" s="122">
        <v>25878.618219999997</v>
      </c>
      <c r="AC62" s="122">
        <v>25878.618219999997</v>
      </c>
      <c r="AD62" s="122">
        <v>25878.618219999997</v>
      </c>
      <c r="AE62" s="122">
        <v>25878.618219999997</v>
      </c>
      <c r="AF62" s="122">
        <v>25878.618219999997</v>
      </c>
      <c r="AG62" s="122">
        <v>25878.618219999997</v>
      </c>
      <c r="AH62" s="122">
        <v>25878.618219999997</v>
      </c>
      <c r="AI62" s="122">
        <v>25878.618219999997</v>
      </c>
      <c r="AJ62" s="122">
        <v>25878.618219999997</v>
      </c>
    </row>
    <row r="63" spans="2:36">
      <c r="B63" s="122" t="str">
        <v>Cenário 20/03/2025 com IFC</v>
      </c>
      <c r="C63" s="139" t="str">
        <v>Pórtico 4 (MG-329)</v>
      </c>
      <c r="D63" s="149" t="str">
        <v>2</v>
      </c>
      <c r="E63" s="149" t="str">
        <v>2.5</v>
      </c>
      <c r="F63" s="122" t="str">
        <v xml:space="preserve">Terraplenos e estruturas de contenção </v>
      </c>
      <c r="G63" s="145">
        <v>11090.836379999999</v>
      </c>
      <c r="H63" s="145">
        <v>11090.836379999999</v>
      </c>
      <c r="I63" s="145">
        <v>11090.836379999999</v>
      </c>
      <c r="J63" s="145">
        <v>11090.836379999999</v>
      </c>
      <c r="K63" s="145">
        <v>8898.4389885299988</v>
      </c>
      <c r="L63" s="145">
        <v>8898.4389885299988</v>
      </c>
      <c r="M63" s="145">
        <v>8898.4389885299988</v>
      </c>
      <c r="N63" s="145">
        <v>8898.4389885299988</v>
      </c>
      <c r="O63" s="145">
        <v>8898.4389885299988</v>
      </c>
      <c r="P63" s="145">
        <v>8898.4389885299988</v>
      </c>
      <c r="Q63" s="145">
        <v>8898.4389885299988</v>
      </c>
      <c r="R63" s="145">
        <v>8898.4389885299988</v>
      </c>
      <c r="S63" s="145">
        <v>8898.4389885299988</v>
      </c>
      <c r="T63" s="145">
        <v>8898.4389885299988</v>
      </c>
      <c r="U63" s="145">
        <v>8898.4389885299988</v>
      </c>
      <c r="V63" s="145">
        <v>0</v>
      </c>
      <c r="W63" s="145">
        <v>0</v>
      </c>
      <c r="X63" s="145">
        <v>0</v>
      </c>
      <c r="Y63" s="145">
        <v>0</v>
      </c>
      <c r="Z63" s="145">
        <v>0</v>
      </c>
      <c r="AA63" s="145">
        <v>0</v>
      </c>
      <c r="AB63" s="145">
        <v>0</v>
      </c>
      <c r="AC63" s="145">
        <v>0</v>
      </c>
      <c r="AD63" s="145">
        <v>0</v>
      </c>
      <c r="AE63" s="145">
        <v>0</v>
      </c>
      <c r="AF63" s="145">
        <v>0</v>
      </c>
      <c r="AG63" s="145">
        <v>0</v>
      </c>
      <c r="AH63" s="145">
        <v>0</v>
      </c>
      <c r="AI63" s="145">
        <v>0</v>
      </c>
      <c r="AJ63" s="145">
        <v>0</v>
      </c>
    </row>
    <row r="64" spans="2:36">
      <c r="B64" s="122" t="str">
        <v>Cenário 20/03/2025 com IFC</v>
      </c>
      <c r="C64" s="139" t="str">
        <v>Pórtico 4 (MG-329)</v>
      </c>
      <c r="D64" s="149" t="str">
        <v>2</v>
      </c>
      <c r="E64" s="149" t="str">
        <v>2.6</v>
      </c>
      <c r="F64" s="122" t="str">
        <v>Canteiro central e faixa de domínio</v>
      </c>
      <c r="G64" s="145">
        <v>7393.8909199999998</v>
      </c>
      <c r="H64" s="145">
        <v>7393.8909199999998</v>
      </c>
      <c r="I64" s="145">
        <v>7393.8909199999998</v>
      </c>
      <c r="J64" s="145">
        <v>7393.8909199999998</v>
      </c>
      <c r="K64" s="145">
        <v>7393.8909199999998</v>
      </c>
      <c r="L64" s="145">
        <v>7393.8909199999998</v>
      </c>
      <c r="M64" s="145">
        <v>7393.8909199999998</v>
      </c>
      <c r="N64" s="145">
        <v>7393.8909199999998</v>
      </c>
      <c r="O64" s="145">
        <v>7393.8909199999998</v>
      </c>
      <c r="P64" s="145">
        <v>7393.8909199999998</v>
      </c>
      <c r="Q64" s="145">
        <v>7393.8909199999998</v>
      </c>
      <c r="R64" s="145">
        <v>7393.8909199999998</v>
      </c>
      <c r="S64" s="145">
        <v>7393.8909199999998</v>
      </c>
      <c r="T64" s="145">
        <v>7393.8909199999998</v>
      </c>
      <c r="U64" s="145">
        <v>7393.8909199999998</v>
      </c>
      <c r="V64" s="145">
        <v>7393.8909199999998</v>
      </c>
      <c r="W64" s="145">
        <v>7393.8909199999998</v>
      </c>
      <c r="X64" s="145">
        <v>7393.8909199999998</v>
      </c>
      <c r="Y64" s="145">
        <v>7393.8909199999998</v>
      </c>
      <c r="Z64" s="145">
        <v>7393.8909199999998</v>
      </c>
      <c r="AA64" s="145">
        <v>7393.8909199999998</v>
      </c>
      <c r="AB64" s="145">
        <v>7393.8909199999998</v>
      </c>
      <c r="AC64" s="145">
        <v>7393.8909199999998</v>
      </c>
      <c r="AD64" s="145">
        <v>7393.8909199999998</v>
      </c>
      <c r="AE64" s="145">
        <v>7393.8909199999998</v>
      </c>
      <c r="AF64" s="145">
        <v>7393.8909199999998</v>
      </c>
      <c r="AG64" s="145">
        <v>7393.8909199999998</v>
      </c>
      <c r="AH64" s="145">
        <v>7393.8909199999998</v>
      </c>
      <c r="AI64" s="145">
        <v>7393.8909199999998</v>
      </c>
      <c r="AJ64" s="145">
        <v>7393.8909199999998</v>
      </c>
    </row>
    <row r="65" spans="2:16383">
      <c r="B65" s="122" t="str">
        <v>Cenário 20/03/2025 com IFC</v>
      </c>
      <c r="C65" s="139" t="str">
        <v>Pórtico 4 (MG-329)</v>
      </c>
      <c r="D65" s="149" t="str">
        <v>2</v>
      </c>
      <c r="E65" s="149" t="str">
        <v>2.7</v>
      </c>
      <c r="F65" s="122" t="str">
        <v>Edificações e instalações operacionais</v>
      </c>
      <c r="G65" s="145">
        <v>81425.645000000004</v>
      </c>
      <c r="H65" s="145">
        <v>48805.538</v>
      </c>
      <c r="I65" s="145">
        <v>92299.013999999996</v>
      </c>
      <c r="J65" s="145">
        <v>48805.538</v>
      </c>
      <c r="K65" s="145">
        <v>92299.013999999996</v>
      </c>
      <c r="L65" s="145">
        <v>48805.538</v>
      </c>
      <c r="M65" s="145">
        <v>92299.013999999996</v>
      </c>
      <c r="N65" s="145">
        <v>48805.538</v>
      </c>
      <c r="O65" s="145">
        <v>92299.013999999996</v>
      </c>
      <c r="P65" s="145">
        <v>48805.538</v>
      </c>
      <c r="Q65" s="145">
        <v>92299.013999999996</v>
      </c>
      <c r="R65" s="145">
        <v>48805.538</v>
      </c>
      <c r="S65" s="145">
        <v>92299.013999999996</v>
      </c>
      <c r="T65" s="145">
        <v>48805.538</v>
      </c>
      <c r="U65" s="145">
        <v>92299.013999999996</v>
      </c>
      <c r="V65" s="145">
        <v>48805.538</v>
      </c>
      <c r="W65" s="145">
        <v>92299.013999999996</v>
      </c>
      <c r="X65" s="145">
        <v>48805.538</v>
      </c>
      <c r="Y65" s="145">
        <v>92299.013999999996</v>
      </c>
      <c r="Z65" s="145">
        <v>48805.538</v>
      </c>
      <c r="AA65" s="145">
        <v>92299.013999999996</v>
      </c>
      <c r="AB65" s="145">
        <v>48805.538</v>
      </c>
      <c r="AC65" s="145">
        <v>92299.013999999996</v>
      </c>
      <c r="AD65" s="145">
        <v>48805.538</v>
      </c>
      <c r="AE65" s="145">
        <v>92299.013999999996</v>
      </c>
      <c r="AF65" s="145">
        <v>48805.538</v>
      </c>
      <c r="AG65" s="145">
        <v>92299.013999999996</v>
      </c>
      <c r="AH65" s="145">
        <v>48805.538</v>
      </c>
      <c r="AI65" s="145">
        <v>92299.013999999996</v>
      </c>
      <c r="AJ65" s="145">
        <v>48805.538</v>
      </c>
    </row>
    <row r="66" spans="2:16383">
      <c r="B66" s="122" t="str">
        <v>Cenário 20/03/2025 com IFC</v>
      </c>
      <c r="C66" s="139" t="str">
        <v>Pórtico 4 (MG-329)</v>
      </c>
      <c r="D66" s="149" t="str">
        <v>2</v>
      </c>
      <c r="E66" s="149" t="str">
        <v>2.8</v>
      </c>
      <c r="F66" s="122" t="str">
        <v>Sistemas elétricos e de iluminação</v>
      </c>
      <c r="G66" s="145">
        <v>16636.254570000001</v>
      </c>
      <c r="H66" s="145">
        <v>16636.254570000001</v>
      </c>
      <c r="I66" s="145">
        <v>16636.254570000001</v>
      </c>
      <c r="J66" s="145">
        <v>16636.254570000001</v>
      </c>
      <c r="K66" s="145">
        <v>16636.254570000001</v>
      </c>
      <c r="L66" s="145">
        <v>16636.254570000001</v>
      </c>
      <c r="M66" s="145">
        <v>16636.254570000001</v>
      </c>
      <c r="N66" s="145">
        <v>16636.254570000001</v>
      </c>
      <c r="O66" s="145">
        <v>16636.254570000001</v>
      </c>
      <c r="P66" s="145">
        <v>16636.254570000001</v>
      </c>
      <c r="Q66" s="145">
        <v>16636.254570000001</v>
      </c>
      <c r="R66" s="145">
        <v>16636.254570000001</v>
      </c>
      <c r="S66" s="145">
        <v>16636.254570000001</v>
      </c>
      <c r="T66" s="145">
        <v>16636.254570000001</v>
      </c>
      <c r="U66" s="145">
        <v>16636.254570000001</v>
      </c>
      <c r="V66" s="145">
        <v>16636.254570000001</v>
      </c>
      <c r="W66" s="145">
        <v>16636.254570000001</v>
      </c>
      <c r="X66" s="145">
        <v>16636.254570000001</v>
      </c>
      <c r="Y66" s="145">
        <v>16636.254570000001</v>
      </c>
      <c r="Z66" s="145">
        <v>16636.254570000001</v>
      </c>
      <c r="AA66" s="145">
        <v>16636.254570000001</v>
      </c>
      <c r="AB66" s="145">
        <v>16636.254570000001</v>
      </c>
      <c r="AC66" s="145">
        <v>16636.254570000001</v>
      </c>
      <c r="AD66" s="145">
        <v>16636.254570000001</v>
      </c>
      <c r="AE66" s="145">
        <v>16636.254570000001</v>
      </c>
      <c r="AF66" s="145">
        <v>16636.254570000001</v>
      </c>
      <c r="AG66" s="145">
        <v>16636.254570000001</v>
      </c>
      <c r="AH66" s="145">
        <v>16636.254570000001</v>
      </c>
      <c r="AI66" s="145">
        <v>16636.254570000001</v>
      </c>
      <c r="AJ66" s="145">
        <v>16636.254570000001</v>
      </c>
    </row>
    <row r="67" spans="2:16383">
      <c r="B67" s="122" t="str">
        <v>Cenário 20/03/2025 com IFC</v>
      </c>
      <c r="C67" s="139" t="str">
        <v>Operação Geral</v>
      </c>
      <c r="D67" s="149" t="str">
        <v>3</v>
      </c>
      <c r="E67" s="149">
        <v>3</v>
      </c>
      <c r="F67" s="122" t="str">
        <v>Administração e operação da rodovia</v>
      </c>
      <c r="G67" s="145">
        <v>0</v>
      </c>
      <c r="H67" s="145">
        <v>0</v>
      </c>
      <c r="I67" s="145">
        <v>0</v>
      </c>
      <c r="J67" s="145">
        <v>0</v>
      </c>
      <c r="K67" s="145">
        <v>0</v>
      </c>
      <c r="L67" s="145">
        <v>0</v>
      </c>
      <c r="M67" s="145">
        <v>0</v>
      </c>
      <c r="N67" s="145">
        <v>0</v>
      </c>
      <c r="O67" s="145">
        <v>0</v>
      </c>
      <c r="P67" s="145">
        <v>0</v>
      </c>
      <c r="Q67" s="145">
        <v>0</v>
      </c>
      <c r="R67" s="145">
        <v>0</v>
      </c>
      <c r="S67" s="145">
        <v>0</v>
      </c>
      <c r="T67" s="145">
        <v>0</v>
      </c>
      <c r="U67" s="145">
        <v>0</v>
      </c>
      <c r="V67" s="145">
        <v>0</v>
      </c>
      <c r="W67" s="145">
        <v>0</v>
      </c>
      <c r="X67" s="145">
        <v>0</v>
      </c>
      <c r="Y67" s="145">
        <v>0</v>
      </c>
      <c r="Z67" s="145">
        <v>0</v>
      </c>
      <c r="AA67" s="145">
        <v>0</v>
      </c>
      <c r="AB67" s="145">
        <v>0</v>
      </c>
      <c r="AC67" s="145">
        <v>0</v>
      </c>
      <c r="AD67" s="145">
        <v>0</v>
      </c>
      <c r="AE67" s="145">
        <v>0</v>
      </c>
      <c r="AF67" s="145">
        <v>0</v>
      </c>
      <c r="AG67" s="145">
        <v>0</v>
      </c>
      <c r="AH67" s="145">
        <v>0</v>
      </c>
      <c r="AI67" s="145">
        <v>0</v>
      </c>
      <c r="AJ67" s="145">
        <v>0</v>
      </c>
    </row>
    <row r="68" spans="2:16383">
      <c r="B68" s="122" t="str">
        <v>Cenário 20/03/2025 com IFC</v>
      </c>
      <c r="C68" s="139" t="str">
        <v>Operação Geral</v>
      </c>
      <c r="D68" s="149" t="str">
        <v>3</v>
      </c>
      <c r="E68" s="149" t="str">
        <v>3.1</v>
      </c>
      <c r="F68" s="122" t="str">
        <v>Administração</v>
      </c>
      <c r="G68" s="145">
        <v>12994834.528017685</v>
      </c>
      <c r="H68" s="145">
        <v>12994834.528017685</v>
      </c>
      <c r="I68" s="145">
        <v>12994834.528017685</v>
      </c>
      <c r="J68" s="145">
        <v>12994834.528017685</v>
      </c>
      <c r="K68" s="145">
        <v>12994834.528017685</v>
      </c>
      <c r="L68" s="145">
        <v>11466659.091504419</v>
      </c>
      <c r="M68" s="145">
        <v>12994834.528017685</v>
      </c>
      <c r="N68" s="145">
        <v>12994834.528017685</v>
      </c>
      <c r="O68" s="145">
        <v>12994834.528017685</v>
      </c>
      <c r="P68" s="145">
        <v>12994834.528017685</v>
      </c>
      <c r="Q68" s="145">
        <v>12994834.528017685</v>
      </c>
      <c r="R68" s="145">
        <v>12994834.528017685</v>
      </c>
      <c r="S68" s="145">
        <v>12994834.528017685</v>
      </c>
      <c r="T68" s="145">
        <v>12994834.528017685</v>
      </c>
      <c r="U68" s="145">
        <v>12994834.528017685</v>
      </c>
      <c r="V68" s="145">
        <v>12994834.528017685</v>
      </c>
      <c r="W68" s="145">
        <v>12994834.528017685</v>
      </c>
      <c r="X68" s="145">
        <v>12994834.528017685</v>
      </c>
      <c r="Y68" s="145">
        <v>12994834.528017685</v>
      </c>
      <c r="Z68" s="145">
        <v>11466659.091504419</v>
      </c>
      <c r="AA68" s="145">
        <v>11466659.091504419</v>
      </c>
      <c r="AB68" s="145">
        <v>11466659.091504419</v>
      </c>
      <c r="AC68" s="145">
        <v>11466659.091504419</v>
      </c>
      <c r="AD68" s="145">
        <v>11466659.091504419</v>
      </c>
      <c r="AE68" s="145">
        <v>11466659.091504419</v>
      </c>
      <c r="AF68" s="145">
        <v>11466659.091504419</v>
      </c>
      <c r="AG68" s="145">
        <v>11466659.091504419</v>
      </c>
      <c r="AH68" s="145">
        <v>11466659.091504419</v>
      </c>
      <c r="AI68" s="145">
        <v>11466659.091504419</v>
      </c>
      <c r="AJ68" s="145">
        <v>11466659.091504419</v>
      </c>
    </row>
    <row r="69" spans="2:16383">
      <c r="B69" s="122" t="str">
        <v>Cenário 20/03/2025 com IFC</v>
      </c>
      <c r="C69" s="139" t="str">
        <v>Operação Geral</v>
      </c>
      <c r="D69" s="149" t="str">
        <v>3</v>
      </c>
      <c r="E69" s="149" t="str">
        <v>3.2</v>
      </c>
      <c r="F69" s="122" t="str">
        <v>Operação</v>
      </c>
      <c r="G69" s="145">
        <v>1623518.9113100001</v>
      </c>
      <c r="H69" s="145">
        <v>7370953.3437349601</v>
      </c>
      <c r="I69" s="145">
        <v>7614530.4849835597</v>
      </c>
      <c r="J69" s="145">
        <v>7614530.4849835597</v>
      </c>
      <c r="K69" s="145">
        <v>7614530.4849835597</v>
      </c>
      <c r="L69" s="145">
        <v>7614530.4849835597</v>
      </c>
      <c r="M69" s="145">
        <v>7614530.4849835597</v>
      </c>
      <c r="N69" s="145">
        <v>7614530.4849835597</v>
      </c>
      <c r="O69" s="145">
        <v>7614530.4849835597</v>
      </c>
      <c r="P69" s="145">
        <v>7614530.4849835597</v>
      </c>
      <c r="Q69" s="145">
        <v>7614530.4849835597</v>
      </c>
      <c r="R69" s="145">
        <v>7614530.4849835597</v>
      </c>
      <c r="S69" s="145">
        <v>7614530.4849835597</v>
      </c>
      <c r="T69" s="145">
        <v>7614530.4849835597</v>
      </c>
      <c r="U69" s="145">
        <v>7614530.4849835597</v>
      </c>
      <c r="V69" s="145">
        <v>7614530.4849835597</v>
      </c>
      <c r="W69" s="145">
        <v>7614530.4849835597</v>
      </c>
      <c r="X69" s="145">
        <v>7614530.4849835597</v>
      </c>
      <c r="Y69" s="145">
        <v>7614530.4849835597</v>
      </c>
      <c r="Z69" s="145">
        <v>7614530.4849835597</v>
      </c>
      <c r="AA69" s="145">
        <v>7614530.4849835597</v>
      </c>
      <c r="AB69" s="145">
        <v>7614530.4849835597</v>
      </c>
      <c r="AC69" s="145">
        <v>7614530.4849835597</v>
      </c>
      <c r="AD69" s="145">
        <v>7614530.4849835597</v>
      </c>
      <c r="AE69" s="145">
        <v>7614530.4849835597</v>
      </c>
      <c r="AF69" s="145">
        <v>7614530.4849835597</v>
      </c>
      <c r="AG69" s="145">
        <v>7614530.4849835597</v>
      </c>
      <c r="AH69" s="145">
        <v>7614530.4849835597</v>
      </c>
      <c r="AI69" s="145">
        <v>7614530.4849835597</v>
      </c>
      <c r="AJ69" s="145">
        <v>7614530.4849835597</v>
      </c>
    </row>
    <row r="70" spans="2:16383">
      <c r="B70" s="122" t="str">
        <v>Cenário 20/03/2025 com IFC</v>
      </c>
      <c r="C70" s="139" t="str">
        <v>Operação Geral</v>
      </c>
      <c r="D70" s="149" t="str">
        <v>3</v>
      </c>
      <c r="E70" s="149" t="str">
        <v>3.3</v>
      </c>
      <c r="F70" s="122" t="str">
        <v>Despesas diversas</v>
      </c>
      <c r="G70" s="145">
        <v>2018545.1656652358</v>
      </c>
      <c r="H70" s="145">
        <v>1989348.1003796519</v>
      </c>
      <c r="I70" s="145">
        <v>2143360.8042991585</v>
      </c>
      <c r="J70" s="145">
        <v>2221315.7170326537</v>
      </c>
      <c r="K70" s="145">
        <v>2316244.6833452159</v>
      </c>
      <c r="L70" s="145">
        <v>2302580.283345216</v>
      </c>
      <c r="M70" s="145">
        <v>2366538.1754313414</v>
      </c>
      <c r="N70" s="145">
        <v>2416831.6675174674</v>
      </c>
      <c r="O70" s="145">
        <v>2699732.5605019252</v>
      </c>
      <c r="P70" s="145">
        <v>2750026.0525880507</v>
      </c>
      <c r="Q70" s="145">
        <v>2825466.290717239</v>
      </c>
      <c r="R70" s="145">
        <v>3097051.1479823184</v>
      </c>
      <c r="S70" s="145">
        <v>3172491.3861115067</v>
      </c>
      <c r="T70" s="145">
        <v>3247931.6242406955</v>
      </c>
      <c r="U70" s="145">
        <v>3335945.2353914157</v>
      </c>
      <c r="V70" s="145">
        <v>3517001.8069014684</v>
      </c>
      <c r="W70" s="145">
        <v>3579868.6720091258</v>
      </c>
      <c r="X70" s="145">
        <v>3700573.0530158277</v>
      </c>
      <c r="Y70" s="145">
        <v>3700573.0530158277</v>
      </c>
      <c r="Z70" s="145">
        <v>3686108.6530158278</v>
      </c>
      <c r="AA70" s="145">
        <v>3686108.6530158278</v>
      </c>
      <c r="AB70" s="145">
        <v>3686108.6530158278</v>
      </c>
      <c r="AC70" s="145">
        <v>3686108.6530158278</v>
      </c>
      <c r="AD70" s="145">
        <v>3686108.6530158278</v>
      </c>
      <c r="AE70" s="145">
        <v>3686108.6530158278</v>
      </c>
      <c r="AF70" s="145">
        <v>3686108.6530158278</v>
      </c>
      <c r="AG70" s="145">
        <v>3686108.6530158278</v>
      </c>
      <c r="AH70" s="145">
        <v>3686108.6530158278</v>
      </c>
      <c r="AI70" s="145">
        <v>3686108.6530158278</v>
      </c>
      <c r="AJ70" s="145">
        <v>3686108.6530158278</v>
      </c>
    </row>
    <row r="71" spans="2:16383">
      <c r="B71" s="122" t="str">
        <v>Cenário 20/03/2025 com IFC</v>
      </c>
      <c r="C71" s="139" t="str">
        <v>Operação Geral</v>
      </c>
      <c r="D71" s="149" t="str">
        <v>3</v>
      </c>
      <c r="E71" s="149" t="str">
        <v>3.4</v>
      </c>
      <c r="F71" s="122" t="str">
        <v>Conservação dos equipamentos e sistemas</v>
      </c>
      <c r="G71" s="145">
        <v>2271403.9651625608</v>
      </c>
      <c r="H71" s="145">
        <v>2556677.1883508223</v>
      </c>
      <c r="I71" s="145">
        <v>2562727.4118414824</v>
      </c>
      <c r="J71" s="145">
        <v>2574945.4118414824</v>
      </c>
      <c r="K71" s="145">
        <v>2563208.7686548331</v>
      </c>
      <c r="L71" s="145">
        <v>2448764.292051069</v>
      </c>
      <c r="M71" s="145">
        <v>2688443.9345363518</v>
      </c>
      <c r="N71" s="145">
        <v>2676225.9345363518</v>
      </c>
      <c r="O71" s="145">
        <v>2680960.4234854635</v>
      </c>
      <c r="P71" s="145">
        <v>2693178.423485464</v>
      </c>
      <c r="Q71" s="145">
        <v>2680960.4234854635</v>
      </c>
      <c r="R71" s="145">
        <v>2680960.4234854635</v>
      </c>
      <c r="S71" s="145">
        <v>2693178.423485464</v>
      </c>
      <c r="T71" s="145">
        <v>2680960.4234854635</v>
      </c>
      <c r="U71" s="145">
        <v>2685694.9124345751</v>
      </c>
      <c r="V71" s="145">
        <v>2697912.9124345756</v>
      </c>
      <c r="W71" s="145">
        <v>2685694.9124345751</v>
      </c>
      <c r="X71" s="145">
        <v>2685694.9124345751</v>
      </c>
      <c r="Y71" s="145">
        <v>2697912.9124345756</v>
      </c>
      <c r="Z71" s="145">
        <v>2458233.2699492923</v>
      </c>
      <c r="AA71" s="145">
        <v>2458233.2699492923</v>
      </c>
      <c r="AB71" s="145">
        <v>2470451.2699492928</v>
      </c>
      <c r="AC71" s="145">
        <v>2458233.2699492923</v>
      </c>
      <c r="AD71" s="145">
        <v>2458233.2699492923</v>
      </c>
      <c r="AE71" s="145">
        <v>2470451.2699492928</v>
      </c>
      <c r="AF71" s="145">
        <v>823183.608128989</v>
      </c>
      <c r="AG71" s="145">
        <v>823183.608128989</v>
      </c>
      <c r="AH71" s="145">
        <v>835401.60812898912</v>
      </c>
      <c r="AI71" s="145">
        <v>823183.608128989</v>
      </c>
      <c r="AJ71" s="145">
        <v>823183.608128989</v>
      </c>
    </row>
    <row r="72" spans="2:16383">
      <c r="B72" s="122" t="str">
        <v>Cenário 20/03/2025 com IFC</v>
      </c>
      <c r="C72" s="139" t="str">
        <v>Socioambiental</v>
      </c>
      <c r="D72" s="149" t="str">
        <v>5</v>
      </c>
      <c r="E72" s="149">
        <v>5</v>
      </c>
      <c r="F72" s="122" t="str">
        <v>Gestão ambiental do sistema rodoviário - opex</v>
      </c>
      <c r="G72" s="145">
        <v>0</v>
      </c>
      <c r="H72" s="145">
        <v>0</v>
      </c>
      <c r="I72" s="145">
        <v>0</v>
      </c>
      <c r="J72" s="145">
        <v>0</v>
      </c>
      <c r="K72" s="145">
        <v>0</v>
      </c>
      <c r="L72" s="145">
        <v>0</v>
      </c>
      <c r="M72" s="145">
        <v>0</v>
      </c>
      <c r="N72" s="145">
        <v>0</v>
      </c>
      <c r="O72" s="145">
        <v>0</v>
      </c>
      <c r="P72" s="145">
        <v>0</v>
      </c>
      <c r="Q72" s="145">
        <v>0</v>
      </c>
      <c r="R72" s="145">
        <v>0</v>
      </c>
      <c r="S72" s="145">
        <v>0</v>
      </c>
      <c r="T72" s="145">
        <v>0</v>
      </c>
      <c r="U72" s="145">
        <v>0</v>
      </c>
      <c r="V72" s="145">
        <v>0</v>
      </c>
      <c r="W72" s="145">
        <v>0</v>
      </c>
      <c r="X72" s="145">
        <v>0</v>
      </c>
      <c r="Y72" s="145">
        <v>0</v>
      </c>
      <c r="Z72" s="145">
        <v>0</v>
      </c>
      <c r="AA72" s="145">
        <v>0</v>
      </c>
      <c r="AB72" s="145">
        <v>0</v>
      </c>
      <c r="AC72" s="145">
        <v>0</v>
      </c>
      <c r="AD72" s="145">
        <v>0</v>
      </c>
      <c r="AE72" s="145">
        <v>0</v>
      </c>
      <c r="AF72" s="145">
        <v>0</v>
      </c>
      <c r="AG72" s="145">
        <v>0</v>
      </c>
      <c r="AH72" s="145">
        <v>0</v>
      </c>
      <c r="AI72" s="145">
        <v>0</v>
      </c>
      <c r="AJ72" s="145">
        <v>0</v>
      </c>
    </row>
    <row r="73" spans="2:16383">
      <c r="B73" s="122" t="str">
        <v>Cenário 20/03/2025 com IFC</v>
      </c>
      <c r="C73" s="139" t="str">
        <v>Socioambiental</v>
      </c>
      <c r="D73" s="149" t="str">
        <v>5</v>
      </c>
      <c r="E73" s="149" t="str">
        <v>5.1</v>
      </c>
      <c r="F73" s="122" t="str">
        <v>Gestão ambiental da implantação</v>
      </c>
      <c r="G73" s="147">
        <v>0</v>
      </c>
      <c r="H73" s="147">
        <v>0</v>
      </c>
      <c r="I73" s="147">
        <v>2679993.9246020853</v>
      </c>
      <c r="J73" s="147">
        <v>2679993.9246020853</v>
      </c>
      <c r="K73" s="147">
        <v>2679993.9246020853</v>
      </c>
      <c r="L73" s="147">
        <v>2679993.9246020853</v>
      </c>
      <c r="M73" s="147">
        <v>2679993.9246020853</v>
      </c>
      <c r="N73" s="147">
        <v>2679993.9246020853</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v>0</v>
      </c>
    </row>
    <row r="74" spans="2:16383">
      <c r="B74" s="122" t="str">
        <v>Cenário 20/03/2025 com IFC</v>
      </c>
      <c r="C74" s="139" t="str">
        <v>Socioambiental</v>
      </c>
      <c r="D74" s="149" t="str">
        <v>5</v>
      </c>
      <c r="E74" s="149" t="str">
        <v>5.2</v>
      </c>
      <c r="F74" s="122" t="str">
        <v>Gestão ambiental da operação</v>
      </c>
      <c r="G74" s="147">
        <v>779335.85735448718</v>
      </c>
      <c r="H74" s="147">
        <v>1163833.9353101032</v>
      </c>
      <c r="I74" s="147">
        <v>1163833.9353101032</v>
      </c>
      <c r="J74" s="147">
        <v>2028564.8428904954</v>
      </c>
      <c r="K74" s="147">
        <v>2097250.6734166807</v>
      </c>
      <c r="L74" s="147">
        <v>2028564.8428904954</v>
      </c>
      <c r="M74" s="147">
        <v>2028564.8428904954</v>
      </c>
      <c r="N74" s="147">
        <v>2103173.5964585906</v>
      </c>
      <c r="O74" s="147">
        <v>2171859.4269847758</v>
      </c>
      <c r="P74" s="147">
        <v>2103173.5964585906</v>
      </c>
      <c r="Q74" s="147">
        <v>2103173.5964585906</v>
      </c>
      <c r="R74" s="147">
        <v>2103173.5964585906</v>
      </c>
      <c r="S74" s="147">
        <v>2171859.4269847758</v>
      </c>
      <c r="T74" s="147">
        <v>2103173.5964585906</v>
      </c>
      <c r="U74" s="147">
        <v>2103173.5964585906</v>
      </c>
      <c r="V74" s="147">
        <v>2103173.5964585906</v>
      </c>
      <c r="W74" s="147">
        <v>2171859.4269847758</v>
      </c>
      <c r="X74" s="147">
        <v>2103173.5964585906</v>
      </c>
      <c r="Y74" s="147">
        <v>2103173.5964585906</v>
      </c>
      <c r="Z74" s="147">
        <v>2103173.5964585906</v>
      </c>
      <c r="AA74" s="147">
        <v>2171859.4269847758</v>
      </c>
      <c r="AB74" s="147">
        <v>2103173.5964585906</v>
      </c>
      <c r="AC74" s="147">
        <v>2103173.5964585906</v>
      </c>
      <c r="AD74" s="147">
        <v>2103173.5964585906</v>
      </c>
      <c r="AE74" s="147">
        <v>2171859.4269847758</v>
      </c>
      <c r="AF74" s="147">
        <v>2103173.5964585906</v>
      </c>
      <c r="AG74" s="147">
        <v>2103173.5964585906</v>
      </c>
      <c r="AH74" s="147">
        <v>2103173.5964585906</v>
      </c>
      <c r="AI74" s="147">
        <v>2171859.4269847758</v>
      </c>
      <c r="AJ74" s="147">
        <v>2103173.5964585906</v>
      </c>
    </row>
    <row r="75" spans="2:16383">
      <c r="B75" s="385" t="s">
        <v>106</v>
      </c>
      <c r="C75" s="550"/>
      <c r="D75" s="345" t="str">
        <f>LEFT(E75,1)</f>
        <v/>
      </c>
      <c r="E75" s="455"/>
      <c r="F75" s="146"/>
      <c r="G75" s="144">
        <f t="shared" ref="G75:AJ75" si="0">SUM(G4:G74)</f>
        <v>34795902.606316827</v>
      </c>
      <c r="H75" s="144">
        <f t="shared" si="0"/>
        <v>40212173.912858956</v>
      </c>
      <c r="I75" s="144">
        <f t="shared" si="0"/>
        <v>44368723.83950606</v>
      </c>
      <c r="J75" s="144">
        <f t="shared" si="0"/>
        <v>47520447.130201668</v>
      </c>
      <c r="K75" s="144">
        <f t="shared" si="0"/>
        <v>49204104.657721743</v>
      </c>
      <c r="L75" s="144">
        <f t="shared" si="0"/>
        <v>47913049.688701719</v>
      </c>
      <c r="M75" s="144">
        <f t="shared" si="0"/>
        <v>49977616.487722784</v>
      </c>
      <c r="N75" s="144">
        <f t="shared" si="0"/>
        <v>50122869.951257944</v>
      </c>
      <c r="O75" s="144">
        <f t="shared" si="0"/>
        <v>48396837.083215356</v>
      </c>
      <c r="P75" s="144">
        <f t="shared" si="0"/>
        <v>48400118.467686698</v>
      </c>
      <c r="Q75" s="144">
        <f t="shared" si="0"/>
        <v>48713063.013211466</v>
      </c>
      <c r="R75" s="144">
        <f t="shared" si="0"/>
        <v>49107137.661354832</v>
      </c>
      <c r="S75" s="144">
        <f t="shared" si="0"/>
        <v>49541776.556945115</v>
      </c>
      <c r="T75" s="144">
        <f t="shared" si="0"/>
        <v>49768047.098285362</v>
      </c>
      <c r="U75" s="144">
        <f t="shared" si="0"/>
        <v>50413589.769430682</v>
      </c>
      <c r="V75" s="144">
        <f t="shared" si="0"/>
        <v>51232471.537165008</v>
      </c>
      <c r="W75" s="144">
        <f t="shared" si="0"/>
        <v>51587901.748275369</v>
      </c>
      <c r="X75" s="144">
        <f t="shared" si="0"/>
        <v>51626671.579119496</v>
      </c>
      <c r="Y75" s="144">
        <f t="shared" si="0"/>
        <v>51886026.468707658</v>
      </c>
      <c r="Z75" s="144">
        <f t="shared" si="0"/>
        <v>49856570.100120954</v>
      </c>
      <c r="AA75" s="144">
        <f t="shared" si="0"/>
        <v>50065346.677104086</v>
      </c>
      <c r="AB75" s="144">
        <f t="shared" si="0"/>
        <v>49868788.100120954</v>
      </c>
      <c r="AC75" s="144">
        <f t="shared" si="0"/>
        <v>49996660.846577905</v>
      </c>
      <c r="AD75" s="144">
        <f t="shared" si="0"/>
        <v>49963616.243252151</v>
      </c>
      <c r="AE75" s="144">
        <f t="shared" si="0"/>
        <v>50077564.677104086</v>
      </c>
      <c r="AF75" s="144">
        <f t="shared" si="0"/>
        <v>48221520.438300647</v>
      </c>
      <c r="AG75" s="144">
        <f t="shared" si="0"/>
        <v>48361611.184757598</v>
      </c>
      <c r="AH75" s="144">
        <f t="shared" si="0"/>
        <v>48233738.438300647</v>
      </c>
      <c r="AI75" s="144">
        <f t="shared" si="0"/>
        <v>48537343.158414975</v>
      </c>
      <c r="AJ75" s="144">
        <f t="shared" si="0"/>
        <v>48221520.438300647</v>
      </c>
      <c r="AK75" s="134"/>
      <c r="AL75" s="134"/>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c r="BT75" s="134"/>
      <c r="BU75" s="134"/>
      <c r="BV75" s="134"/>
      <c r="BW75" s="134"/>
      <c r="BX75" s="134"/>
      <c r="BY75" s="134"/>
      <c r="BZ75" s="134"/>
      <c r="CA75" s="134"/>
      <c r="CB75" s="134"/>
      <c r="CC75" s="134"/>
      <c r="CD75" s="134"/>
      <c r="CE75" s="134"/>
      <c r="CF75" s="134"/>
      <c r="CG75" s="134"/>
      <c r="CH75" s="134"/>
      <c r="CI75" s="134"/>
      <c r="CJ75" s="134"/>
      <c r="CK75" s="134"/>
      <c r="CL75" s="134"/>
      <c r="CM75" s="134"/>
      <c r="CN75" s="134"/>
      <c r="CO75" s="134"/>
      <c r="CP75" s="134"/>
      <c r="CQ75" s="134"/>
      <c r="CR75" s="134"/>
      <c r="CS75" s="134"/>
      <c r="CT75" s="134"/>
      <c r="CU75" s="134"/>
      <c r="CV75" s="134"/>
      <c r="CW75" s="134"/>
      <c r="CX75" s="134"/>
      <c r="CY75" s="134"/>
      <c r="CZ75" s="134"/>
      <c r="DA75" s="134"/>
      <c r="DB75" s="134"/>
      <c r="DC75" s="134"/>
      <c r="DD75" s="134"/>
      <c r="DE75" s="134"/>
      <c r="DF75" s="134"/>
      <c r="DG75" s="134"/>
      <c r="DH75" s="134"/>
      <c r="DI75" s="134"/>
      <c r="DJ75" s="134"/>
      <c r="DK75" s="134"/>
      <c r="DL75" s="134"/>
      <c r="DM75" s="134"/>
      <c r="DN75" s="134"/>
      <c r="DO75" s="134"/>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4"/>
      <c r="ES75" s="134"/>
      <c r="ET75" s="134"/>
      <c r="EU75" s="134"/>
      <c r="EV75" s="134"/>
      <c r="EW75" s="134"/>
      <c r="EX75" s="134"/>
      <c r="EY75" s="134"/>
      <c r="EZ75" s="134"/>
      <c r="FA75" s="134"/>
      <c r="FB75" s="134"/>
      <c r="FC75" s="134"/>
      <c r="FD75" s="134"/>
      <c r="FE75" s="134"/>
      <c r="FF75" s="134"/>
      <c r="FG75" s="134"/>
      <c r="FH75" s="134"/>
      <c r="FI75" s="134"/>
      <c r="FJ75" s="134"/>
      <c r="FK75" s="134"/>
      <c r="FL75" s="134"/>
      <c r="FM75" s="134"/>
      <c r="FN75" s="134"/>
      <c r="FO75" s="134"/>
      <c r="FP75" s="134"/>
      <c r="FQ75" s="134"/>
      <c r="FR75" s="134"/>
      <c r="FS75" s="134"/>
      <c r="FT75" s="134"/>
      <c r="FU75" s="134"/>
      <c r="FV75" s="134"/>
      <c r="FW75" s="134"/>
      <c r="FX75" s="134"/>
      <c r="FY75" s="134"/>
      <c r="FZ75" s="134"/>
      <c r="GA75" s="134"/>
      <c r="GB75" s="134"/>
      <c r="GC75" s="134"/>
      <c r="GD75" s="134"/>
      <c r="GE75" s="134"/>
      <c r="GF75" s="134"/>
      <c r="GG75" s="134"/>
      <c r="GH75" s="134"/>
      <c r="GI75" s="134"/>
      <c r="GJ75" s="134"/>
      <c r="GK75" s="134"/>
      <c r="GL75" s="134"/>
      <c r="GM75" s="134"/>
      <c r="GN75" s="134"/>
      <c r="GO75" s="134"/>
      <c r="GP75" s="134"/>
      <c r="GQ75" s="134"/>
      <c r="GR75" s="134"/>
      <c r="GS75" s="134"/>
      <c r="GT75" s="134"/>
      <c r="GU75" s="134"/>
      <c r="GV75" s="134"/>
      <c r="GW75" s="134"/>
      <c r="GX75" s="134"/>
      <c r="GY75" s="134"/>
      <c r="GZ75" s="134"/>
      <c r="HA75" s="134"/>
      <c r="HB75" s="134"/>
      <c r="HC75" s="134"/>
      <c r="HD75" s="134"/>
      <c r="HE75" s="134"/>
      <c r="HF75" s="134"/>
      <c r="HG75" s="134"/>
      <c r="HH75" s="134"/>
      <c r="HI75" s="134"/>
      <c r="HJ75" s="134"/>
      <c r="HK75" s="134"/>
      <c r="HL75" s="134"/>
      <c r="HM75" s="134"/>
      <c r="HN75" s="134"/>
      <c r="HO75" s="134"/>
      <c r="HP75" s="134"/>
      <c r="HQ75" s="134"/>
      <c r="HR75" s="134"/>
      <c r="HS75" s="134"/>
      <c r="HT75" s="134"/>
      <c r="HU75" s="134"/>
      <c r="HV75" s="134"/>
      <c r="HW75" s="134"/>
      <c r="HX75" s="134"/>
      <c r="HY75" s="134"/>
      <c r="HZ75" s="134"/>
      <c r="IA75" s="134"/>
      <c r="IB75" s="134"/>
      <c r="IC75" s="134"/>
      <c r="ID75" s="134"/>
      <c r="IE75" s="134"/>
      <c r="IF75" s="134"/>
      <c r="IG75" s="134"/>
      <c r="IH75" s="134"/>
      <c r="II75" s="134"/>
      <c r="IJ75" s="134"/>
      <c r="IK75" s="134"/>
      <c r="IL75" s="134"/>
      <c r="IM75" s="134"/>
      <c r="IN75" s="134"/>
      <c r="IO75" s="134"/>
      <c r="IP75" s="134"/>
      <c r="IQ75" s="134"/>
      <c r="IR75" s="134"/>
      <c r="IS75" s="134"/>
      <c r="IT75" s="134"/>
      <c r="IU75" s="134"/>
      <c r="IV75" s="134"/>
      <c r="IW75" s="134"/>
      <c r="IX75" s="134"/>
      <c r="IY75" s="134"/>
      <c r="IZ75" s="134"/>
      <c r="JA75" s="134"/>
      <c r="JB75" s="134"/>
      <c r="JC75" s="134"/>
      <c r="JD75" s="134"/>
      <c r="JE75" s="134"/>
      <c r="JF75" s="134"/>
      <c r="JG75" s="134"/>
      <c r="JH75" s="134"/>
      <c r="JI75" s="134"/>
      <c r="JJ75" s="134"/>
      <c r="JK75" s="134"/>
      <c r="JL75" s="134"/>
      <c r="JM75" s="134"/>
      <c r="JN75" s="134"/>
      <c r="JO75" s="134"/>
      <c r="JP75" s="134"/>
      <c r="JQ75" s="134"/>
      <c r="JR75" s="134"/>
      <c r="JS75" s="134"/>
      <c r="JT75" s="134"/>
      <c r="JU75" s="134"/>
      <c r="JV75" s="134"/>
      <c r="JW75" s="134"/>
      <c r="JX75" s="134"/>
      <c r="JY75" s="134"/>
      <c r="JZ75" s="134"/>
      <c r="KA75" s="134"/>
      <c r="KB75" s="134"/>
      <c r="KC75" s="134"/>
      <c r="KD75" s="134"/>
      <c r="KE75" s="134"/>
      <c r="KF75" s="134"/>
      <c r="KG75" s="134"/>
      <c r="KH75" s="134"/>
      <c r="KI75" s="134"/>
      <c r="KJ75" s="134"/>
      <c r="KK75" s="134"/>
      <c r="KL75" s="134"/>
      <c r="KM75" s="134"/>
      <c r="KN75" s="134"/>
      <c r="KO75" s="134"/>
      <c r="KP75" s="134"/>
      <c r="KQ75" s="134"/>
      <c r="KR75" s="134"/>
      <c r="KS75" s="134"/>
      <c r="KT75" s="134"/>
      <c r="KU75" s="134"/>
      <c r="KV75" s="134"/>
      <c r="KW75" s="134"/>
      <c r="KX75" s="134"/>
      <c r="KY75" s="134"/>
      <c r="KZ75" s="134"/>
      <c r="LA75" s="134"/>
      <c r="LB75" s="134"/>
      <c r="LC75" s="134"/>
      <c r="LD75" s="134"/>
      <c r="LE75" s="134"/>
      <c r="LF75" s="134"/>
      <c r="LG75" s="134"/>
      <c r="LH75" s="134"/>
      <c r="LI75" s="134"/>
      <c r="LJ75" s="134"/>
      <c r="LK75" s="134"/>
      <c r="LL75" s="134"/>
      <c r="LM75" s="134"/>
      <c r="LN75" s="134"/>
      <c r="LO75" s="134"/>
      <c r="LP75" s="134"/>
      <c r="LQ75" s="134"/>
      <c r="LR75" s="134"/>
      <c r="LS75" s="134"/>
      <c r="LT75" s="134"/>
      <c r="LU75" s="134"/>
      <c r="LV75" s="134"/>
      <c r="LW75" s="134"/>
      <c r="LX75" s="134"/>
      <c r="LY75" s="134"/>
      <c r="LZ75" s="134"/>
      <c r="MA75" s="134"/>
      <c r="MB75" s="134"/>
      <c r="MC75" s="134"/>
      <c r="MD75" s="134"/>
      <c r="ME75" s="134"/>
      <c r="MF75" s="134"/>
      <c r="MG75" s="134"/>
      <c r="MH75" s="134"/>
      <c r="MI75" s="134"/>
      <c r="MJ75" s="134"/>
      <c r="MK75" s="134"/>
      <c r="ML75" s="134"/>
      <c r="MM75" s="134"/>
      <c r="MN75" s="134"/>
      <c r="MO75" s="134"/>
      <c r="MP75" s="134"/>
      <c r="MQ75" s="134"/>
      <c r="MR75" s="134"/>
      <c r="MS75" s="134"/>
      <c r="MT75" s="134"/>
      <c r="MU75" s="134"/>
      <c r="MV75" s="134"/>
      <c r="MW75" s="134"/>
      <c r="MX75" s="134"/>
      <c r="MY75" s="134"/>
      <c r="MZ75" s="134"/>
      <c r="NA75" s="134"/>
      <c r="NB75" s="134"/>
      <c r="NC75" s="134"/>
      <c r="ND75" s="134"/>
      <c r="NE75" s="134"/>
      <c r="NF75" s="134"/>
      <c r="NG75" s="134"/>
      <c r="NH75" s="134"/>
      <c r="NI75" s="134"/>
      <c r="NJ75" s="134"/>
      <c r="NK75" s="134"/>
      <c r="NL75" s="134"/>
      <c r="NM75" s="134"/>
      <c r="NN75" s="134"/>
      <c r="NO75" s="134"/>
      <c r="NP75" s="134"/>
      <c r="NQ75" s="134"/>
      <c r="NR75" s="134"/>
      <c r="NS75" s="134"/>
      <c r="NT75" s="134"/>
      <c r="NU75" s="134"/>
      <c r="NV75" s="134"/>
      <c r="NW75" s="134"/>
      <c r="NX75" s="134"/>
      <c r="NY75" s="134"/>
      <c r="NZ75" s="134"/>
      <c r="OA75" s="134"/>
      <c r="OB75" s="134"/>
      <c r="OC75" s="134"/>
      <c r="OD75" s="134"/>
      <c r="OE75" s="134"/>
      <c r="OF75" s="134"/>
      <c r="OG75" s="134"/>
      <c r="OH75" s="134"/>
      <c r="OI75" s="134"/>
      <c r="OJ75" s="134"/>
      <c r="OK75" s="134"/>
      <c r="OL75" s="134"/>
      <c r="OM75" s="134"/>
      <c r="ON75" s="134"/>
      <c r="OO75" s="134"/>
      <c r="OP75" s="134"/>
      <c r="OQ75" s="134"/>
      <c r="OR75" s="134"/>
      <c r="OS75" s="134"/>
      <c r="OT75" s="134"/>
      <c r="OU75" s="134"/>
      <c r="OV75" s="134"/>
      <c r="OW75" s="134"/>
      <c r="OX75" s="134"/>
      <c r="OY75" s="134"/>
      <c r="OZ75" s="134"/>
      <c r="PA75" s="134"/>
      <c r="PB75" s="134"/>
      <c r="PC75" s="134"/>
      <c r="PD75" s="134"/>
      <c r="PE75" s="134"/>
      <c r="PF75" s="134"/>
      <c r="PG75" s="134"/>
      <c r="PH75" s="134"/>
      <c r="PI75" s="134"/>
      <c r="PJ75" s="134"/>
      <c r="PK75" s="134"/>
      <c r="PL75" s="134"/>
      <c r="PM75" s="134"/>
      <c r="PN75" s="134"/>
      <c r="PO75" s="134"/>
      <c r="PP75" s="134"/>
      <c r="PQ75" s="134"/>
      <c r="PR75" s="134"/>
      <c r="PS75" s="134"/>
      <c r="PT75" s="134"/>
      <c r="PU75" s="134"/>
      <c r="PV75" s="134"/>
      <c r="PW75" s="134"/>
      <c r="PX75" s="134"/>
      <c r="PY75" s="134"/>
      <c r="PZ75" s="134"/>
      <c r="QA75" s="134"/>
      <c r="QB75" s="134"/>
      <c r="QC75" s="134"/>
      <c r="QD75" s="134"/>
      <c r="QE75" s="134"/>
      <c r="QF75" s="134"/>
      <c r="QG75" s="134"/>
      <c r="QH75" s="134"/>
      <c r="QI75" s="134"/>
      <c r="QJ75" s="134"/>
      <c r="QK75" s="134"/>
      <c r="QL75" s="134"/>
      <c r="QM75" s="134"/>
      <c r="QN75" s="134"/>
      <c r="QO75" s="134"/>
      <c r="QP75" s="134"/>
      <c r="QQ75" s="134"/>
      <c r="QR75" s="134"/>
      <c r="QS75" s="134"/>
      <c r="QT75" s="134"/>
      <c r="QU75" s="134"/>
      <c r="QV75" s="134"/>
      <c r="QW75" s="134"/>
      <c r="QX75" s="134"/>
      <c r="QY75" s="134"/>
      <c r="QZ75" s="134"/>
      <c r="RA75" s="134"/>
      <c r="RB75" s="134"/>
      <c r="RC75" s="134"/>
      <c r="RD75" s="134"/>
      <c r="RE75" s="134"/>
      <c r="RF75" s="134"/>
      <c r="RG75" s="134"/>
      <c r="RH75" s="134"/>
      <c r="RI75" s="134"/>
      <c r="RJ75" s="134"/>
      <c r="RK75" s="134"/>
      <c r="RL75" s="134"/>
      <c r="RM75" s="134"/>
      <c r="RN75" s="134"/>
      <c r="RO75" s="134"/>
      <c r="RP75" s="134"/>
      <c r="RQ75" s="134"/>
      <c r="RR75" s="134"/>
      <c r="RS75" s="134"/>
      <c r="RT75" s="134"/>
      <c r="RU75" s="134"/>
      <c r="RV75" s="134"/>
      <c r="RW75" s="134"/>
      <c r="RX75" s="134"/>
      <c r="RY75" s="134"/>
      <c r="RZ75" s="134"/>
      <c r="SA75" s="134"/>
      <c r="SB75" s="134"/>
      <c r="SC75" s="134"/>
      <c r="SD75" s="134"/>
      <c r="SE75" s="134"/>
      <c r="SF75" s="134"/>
      <c r="SG75" s="134"/>
      <c r="SH75" s="134"/>
      <c r="SI75" s="134"/>
      <c r="SJ75" s="134"/>
      <c r="SK75" s="134"/>
      <c r="SL75" s="134"/>
      <c r="SM75" s="134"/>
      <c r="SN75" s="134"/>
      <c r="SO75" s="134"/>
      <c r="SP75" s="134"/>
      <c r="SQ75" s="134"/>
      <c r="SR75" s="134"/>
      <c r="SS75" s="134"/>
      <c r="ST75" s="134"/>
      <c r="SU75" s="134"/>
      <c r="SV75" s="134"/>
      <c r="SW75" s="134"/>
      <c r="SX75" s="134"/>
      <c r="SY75" s="134"/>
      <c r="SZ75" s="134"/>
      <c r="TA75" s="134"/>
      <c r="TB75" s="134"/>
      <c r="TC75" s="134"/>
      <c r="TD75" s="134"/>
      <c r="TE75" s="134"/>
      <c r="TF75" s="134"/>
      <c r="TG75" s="134"/>
      <c r="TH75" s="134"/>
      <c r="TI75" s="134"/>
      <c r="TJ75" s="134"/>
      <c r="TK75" s="134"/>
      <c r="TL75" s="134"/>
      <c r="TM75" s="134"/>
      <c r="TN75" s="134"/>
      <c r="TO75" s="134"/>
      <c r="TP75" s="134"/>
      <c r="TQ75" s="134"/>
      <c r="TR75" s="134"/>
      <c r="TS75" s="134"/>
      <c r="TT75" s="134"/>
      <c r="TU75" s="134"/>
      <c r="TV75" s="134"/>
      <c r="TW75" s="134"/>
      <c r="TX75" s="134"/>
      <c r="TY75" s="134"/>
      <c r="TZ75" s="134"/>
      <c r="UA75" s="134"/>
      <c r="UB75" s="134"/>
      <c r="UC75" s="134"/>
      <c r="UD75" s="134"/>
      <c r="UE75" s="134"/>
      <c r="UF75" s="134"/>
      <c r="UG75" s="134"/>
      <c r="UH75" s="134"/>
      <c r="UI75" s="134"/>
      <c r="UJ75" s="134"/>
      <c r="UK75" s="134"/>
      <c r="UL75" s="134"/>
      <c r="UM75" s="134"/>
      <c r="UN75" s="134"/>
      <c r="UO75" s="134"/>
      <c r="UP75" s="134"/>
      <c r="UQ75" s="134"/>
      <c r="UR75" s="134"/>
      <c r="US75" s="134"/>
      <c r="UT75" s="134"/>
      <c r="UU75" s="134"/>
      <c r="UV75" s="134"/>
      <c r="UW75" s="134"/>
      <c r="UX75" s="134"/>
      <c r="UY75" s="134"/>
      <c r="UZ75" s="134"/>
      <c r="VA75" s="134"/>
      <c r="VB75" s="134"/>
      <c r="VC75" s="134"/>
      <c r="VD75" s="134"/>
      <c r="VE75" s="134"/>
      <c r="VF75" s="134"/>
      <c r="VG75" s="134"/>
      <c r="VH75" s="134"/>
      <c r="VI75" s="134"/>
      <c r="VJ75" s="134"/>
      <c r="VK75" s="134"/>
      <c r="VL75" s="134"/>
      <c r="VM75" s="134"/>
      <c r="VN75" s="134"/>
      <c r="VO75" s="134"/>
      <c r="VP75" s="134"/>
      <c r="VQ75" s="134"/>
      <c r="VR75" s="134"/>
      <c r="VS75" s="134"/>
      <c r="VT75" s="134"/>
      <c r="VU75" s="134"/>
      <c r="VV75" s="134"/>
      <c r="VW75" s="134"/>
      <c r="VX75" s="134"/>
      <c r="VY75" s="134"/>
      <c r="VZ75" s="134"/>
      <c r="WA75" s="134"/>
      <c r="WB75" s="134"/>
      <c r="WC75" s="134"/>
      <c r="WD75" s="134"/>
      <c r="WE75" s="134"/>
      <c r="WF75" s="134"/>
      <c r="WG75" s="134"/>
      <c r="WH75" s="134"/>
      <c r="WI75" s="134"/>
      <c r="WJ75" s="134"/>
      <c r="WK75" s="134"/>
      <c r="WL75" s="134"/>
      <c r="WM75" s="134"/>
      <c r="WN75" s="134"/>
      <c r="WO75" s="134"/>
      <c r="WP75" s="134"/>
      <c r="WQ75" s="134"/>
      <c r="WR75" s="134"/>
      <c r="WS75" s="134"/>
      <c r="WT75" s="134"/>
      <c r="WU75" s="134"/>
      <c r="WV75" s="134"/>
      <c r="WW75" s="134"/>
      <c r="WX75" s="134"/>
      <c r="WY75" s="134"/>
      <c r="WZ75" s="134"/>
      <c r="XA75" s="134"/>
      <c r="XB75" s="134"/>
      <c r="XC75" s="134"/>
      <c r="XD75" s="134"/>
      <c r="XE75" s="134"/>
      <c r="XF75" s="134"/>
      <c r="XG75" s="134"/>
      <c r="XH75" s="134"/>
      <c r="XI75" s="134"/>
      <c r="XJ75" s="134"/>
      <c r="XK75" s="134"/>
      <c r="XL75" s="134"/>
      <c r="XM75" s="134"/>
      <c r="XN75" s="134"/>
      <c r="XO75" s="134"/>
      <c r="XP75" s="134"/>
      <c r="XQ75" s="134"/>
      <c r="XR75" s="134"/>
      <c r="XS75" s="134"/>
      <c r="XT75" s="134"/>
      <c r="XU75" s="134"/>
      <c r="XV75" s="134"/>
      <c r="XW75" s="134"/>
      <c r="XX75" s="134"/>
      <c r="XY75" s="134"/>
      <c r="XZ75" s="134"/>
      <c r="YA75" s="134"/>
      <c r="YB75" s="134"/>
      <c r="YC75" s="134"/>
      <c r="YD75" s="134"/>
      <c r="YE75" s="134"/>
      <c r="YF75" s="134"/>
      <c r="YG75" s="134"/>
      <c r="YH75" s="134"/>
      <c r="YI75" s="134"/>
      <c r="YJ75" s="134"/>
      <c r="YK75" s="134"/>
      <c r="YL75" s="134"/>
      <c r="YM75" s="134"/>
      <c r="YN75" s="134"/>
      <c r="YO75" s="134"/>
      <c r="YP75" s="134"/>
      <c r="YQ75" s="134"/>
      <c r="YR75" s="134"/>
      <c r="YS75" s="134"/>
      <c r="YT75" s="134"/>
      <c r="YU75" s="134"/>
      <c r="YV75" s="134"/>
      <c r="YW75" s="134"/>
      <c r="YX75" s="134"/>
      <c r="YY75" s="134"/>
      <c r="YZ75" s="134"/>
      <c r="ZA75" s="134"/>
      <c r="ZB75" s="134"/>
      <c r="ZC75" s="134"/>
      <c r="ZD75" s="134"/>
      <c r="ZE75" s="134"/>
      <c r="ZF75" s="134"/>
      <c r="ZG75" s="134"/>
      <c r="ZH75" s="134"/>
      <c r="ZI75" s="134"/>
      <c r="ZJ75" s="134"/>
      <c r="ZK75" s="134"/>
      <c r="ZL75" s="134"/>
      <c r="ZM75" s="134"/>
      <c r="ZN75" s="134"/>
      <c r="ZO75" s="134"/>
      <c r="ZP75" s="134"/>
      <c r="ZQ75" s="134"/>
      <c r="ZR75" s="134"/>
      <c r="ZS75" s="134"/>
      <c r="ZT75" s="134"/>
      <c r="ZU75" s="134"/>
      <c r="ZV75" s="134"/>
      <c r="ZW75" s="134"/>
      <c r="ZX75" s="134"/>
      <c r="ZY75" s="134"/>
      <c r="ZZ75" s="134"/>
      <c r="AAA75" s="134"/>
      <c r="AAB75" s="134"/>
      <c r="AAC75" s="134"/>
      <c r="AAD75" s="134"/>
      <c r="AAE75" s="134"/>
      <c r="AAF75" s="134"/>
      <c r="AAG75" s="134"/>
      <c r="AAH75" s="134"/>
      <c r="AAI75" s="134"/>
      <c r="AAJ75" s="134"/>
      <c r="AAK75" s="134"/>
      <c r="AAL75" s="134"/>
      <c r="AAM75" s="134"/>
      <c r="AAN75" s="134"/>
      <c r="AAO75" s="134"/>
      <c r="AAP75" s="134"/>
      <c r="AAQ75" s="134"/>
      <c r="AAR75" s="134"/>
      <c r="AAS75" s="134"/>
      <c r="AAT75" s="134"/>
      <c r="AAU75" s="134"/>
      <c r="AAV75" s="134"/>
      <c r="AAW75" s="134"/>
      <c r="AAX75" s="134"/>
      <c r="AAY75" s="134"/>
      <c r="AAZ75" s="134"/>
      <c r="ABA75" s="134"/>
      <c r="ABB75" s="134"/>
      <c r="ABC75" s="134"/>
      <c r="ABD75" s="134"/>
      <c r="ABE75" s="134"/>
      <c r="ABF75" s="134"/>
      <c r="ABG75" s="134"/>
      <c r="ABH75" s="134"/>
      <c r="ABI75" s="134"/>
      <c r="ABJ75" s="134"/>
      <c r="ABK75" s="134"/>
      <c r="ABL75" s="134"/>
      <c r="ABM75" s="134"/>
      <c r="ABN75" s="134"/>
      <c r="ABO75" s="134"/>
      <c r="ABP75" s="134"/>
      <c r="ABQ75" s="134"/>
      <c r="ABR75" s="134"/>
      <c r="ABS75" s="134"/>
      <c r="ABT75" s="134"/>
      <c r="ABU75" s="134"/>
      <c r="ABV75" s="134"/>
      <c r="ABW75" s="134"/>
      <c r="ABX75" s="134"/>
      <c r="ABY75" s="134"/>
      <c r="ABZ75" s="134"/>
      <c r="ACA75" s="134"/>
      <c r="ACB75" s="134"/>
      <c r="ACC75" s="134"/>
      <c r="ACD75" s="134"/>
      <c r="ACE75" s="134"/>
      <c r="ACF75" s="134"/>
      <c r="ACG75" s="134"/>
      <c r="ACH75" s="134"/>
      <c r="ACI75" s="134"/>
      <c r="ACJ75" s="134"/>
      <c r="ACK75" s="134"/>
      <c r="ACL75" s="134"/>
      <c r="ACM75" s="134"/>
      <c r="ACN75" s="134"/>
      <c r="ACO75" s="134"/>
      <c r="ACP75" s="134"/>
      <c r="ACQ75" s="134"/>
      <c r="ACR75" s="134"/>
      <c r="ACS75" s="134"/>
      <c r="ACT75" s="134"/>
      <c r="ACU75" s="134"/>
      <c r="ACV75" s="134"/>
      <c r="ACW75" s="134"/>
      <c r="ACX75" s="134"/>
      <c r="ACY75" s="134"/>
      <c r="ACZ75" s="134"/>
      <c r="ADA75" s="134"/>
      <c r="ADB75" s="134"/>
      <c r="ADC75" s="134"/>
      <c r="ADD75" s="134"/>
      <c r="ADE75" s="134"/>
      <c r="ADF75" s="134"/>
      <c r="ADG75" s="134"/>
      <c r="ADH75" s="134"/>
      <c r="ADI75" s="134"/>
      <c r="ADJ75" s="134"/>
      <c r="ADK75" s="134"/>
      <c r="ADL75" s="134"/>
      <c r="ADM75" s="134"/>
      <c r="ADN75" s="134"/>
      <c r="ADO75" s="134"/>
      <c r="ADP75" s="134"/>
      <c r="ADQ75" s="134"/>
      <c r="ADR75" s="134"/>
      <c r="ADS75" s="134"/>
      <c r="ADT75" s="134"/>
      <c r="ADU75" s="134"/>
      <c r="ADV75" s="134"/>
      <c r="ADW75" s="134"/>
      <c r="ADX75" s="134"/>
      <c r="ADY75" s="134"/>
      <c r="ADZ75" s="134"/>
      <c r="AEA75" s="134"/>
      <c r="AEB75" s="134"/>
      <c r="AEC75" s="134"/>
      <c r="AED75" s="134"/>
      <c r="AEE75" s="134"/>
      <c r="AEF75" s="134"/>
      <c r="AEG75" s="134"/>
      <c r="AEH75" s="134"/>
      <c r="AEI75" s="134"/>
      <c r="AEJ75" s="134"/>
      <c r="AEK75" s="134"/>
      <c r="AEL75" s="134"/>
      <c r="AEM75" s="134"/>
      <c r="AEN75" s="134"/>
      <c r="AEO75" s="134"/>
      <c r="AEP75" s="134"/>
      <c r="AEQ75" s="134"/>
      <c r="AER75" s="134"/>
      <c r="AES75" s="134"/>
      <c r="AET75" s="134"/>
      <c r="AEU75" s="134"/>
      <c r="AEV75" s="134"/>
      <c r="AEW75" s="134"/>
      <c r="AEX75" s="134"/>
      <c r="AEY75" s="134"/>
      <c r="AEZ75" s="134"/>
      <c r="AFA75" s="134"/>
      <c r="AFB75" s="134"/>
      <c r="AFC75" s="134"/>
      <c r="AFD75" s="134"/>
      <c r="AFE75" s="134"/>
      <c r="AFF75" s="134"/>
      <c r="AFG75" s="134"/>
      <c r="AFH75" s="134"/>
      <c r="AFI75" s="134"/>
      <c r="AFJ75" s="134"/>
      <c r="AFK75" s="134"/>
      <c r="AFL75" s="134"/>
      <c r="AFM75" s="134"/>
      <c r="AFN75" s="134"/>
      <c r="AFO75" s="134"/>
      <c r="AFP75" s="134"/>
      <c r="AFQ75" s="134"/>
      <c r="AFR75" s="134"/>
      <c r="AFS75" s="134"/>
      <c r="AFT75" s="134"/>
      <c r="AFU75" s="134"/>
      <c r="AFV75" s="134"/>
      <c r="AFW75" s="134"/>
      <c r="AFX75" s="134"/>
      <c r="AFY75" s="134"/>
      <c r="AFZ75" s="134"/>
      <c r="AGA75" s="134"/>
      <c r="AGB75" s="134"/>
      <c r="AGC75" s="134"/>
      <c r="AGD75" s="134"/>
      <c r="AGE75" s="134"/>
      <c r="AGF75" s="134"/>
      <c r="AGG75" s="134"/>
      <c r="AGH75" s="134"/>
      <c r="AGI75" s="134"/>
      <c r="AGJ75" s="134"/>
      <c r="AGK75" s="134"/>
      <c r="AGL75" s="134"/>
      <c r="AGM75" s="134"/>
      <c r="AGN75" s="134"/>
      <c r="AGO75" s="134"/>
      <c r="AGP75" s="134"/>
      <c r="AGQ75" s="134"/>
      <c r="AGR75" s="134"/>
      <c r="AGS75" s="134"/>
      <c r="AGT75" s="134"/>
      <c r="AGU75" s="134"/>
      <c r="AGV75" s="134"/>
      <c r="AGW75" s="134"/>
      <c r="AGX75" s="134"/>
      <c r="AGY75" s="134"/>
      <c r="AGZ75" s="134"/>
      <c r="AHA75" s="134"/>
      <c r="AHB75" s="134"/>
      <c r="AHC75" s="134"/>
      <c r="AHD75" s="134"/>
      <c r="AHE75" s="134"/>
      <c r="AHF75" s="134"/>
      <c r="AHG75" s="134"/>
      <c r="AHH75" s="134"/>
      <c r="AHI75" s="134"/>
      <c r="AHJ75" s="134"/>
      <c r="AHK75" s="134"/>
      <c r="AHL75" s="134"/>
      <c r="AHM75" s="134"/>
      <c r="AHN75" s="134"/>
      <c r="AHO75" s="134"/>
      <c r="AHP75" s="134"/>
      <c r="AHQ75" s="134"/>
      <c r="AHR75" s="134"/>
      <c r="AHS75" s="134"/>
      <c r="AHT75" s="134"/>
      <c r="AHU75" s="134"/>
      <c r="AHV75" s="134"/>
      <c r="AHW75" s="134"/>
      <c r="AHX75" s="134"/>
      <c r="AHY75" s="134"/>
      <c r="AHZ75" s="134"/>
      <c r="AIA75" s="134"/>
      <c r="AIB75" s="134"/>
      <c r="AIC75" s="134"/>
      <c r="AID75" s="134"/>
      <c r="AIE75" s="134"/>
      <c r="AIF75" s="134"/>
      <c r="AIG75" s="134"/>
      <c r="AIH75" s="134"/>
      <c r="AII75" s="134"/>
      <c r="AIJ75" s="134"/>
      <c r="AIK75" s="134"/>
      <c r="AIL75" s="134"/>
      <c r="AIM75" s="134"/>
      <c r="AIN75" s="134"/>
      <c r="AIO75" s="134"/>
      <c r="AIP75" s="134"/>
      <c r="AIQ75" s="134"/>
      <c r="AIR75" s="134"/>
      <c r="AIS75" s="134"/>
      <c r="AIT75" s="134"/>
      <c r="AIU75" s="134"/>
      <c r="AIV75" s="134"/>
      <c r="AIW75" s="134"/>
      <c r="AIX75" s="134"/>
      <c r="AIY75" s="134"/>
      <c r="AIZ75" s="134"/>
      <c r="AJA75" s="134"/>
      <c r="AJB75" s="134"/>
      <c r="AJC75" s="134"/>
      <c r="AJD75" s="134"/>
      <c r="AJE75" s="134"/>
      <c r="AJF75" s="134"/>
      <c r="AJG75" s="134"/>
      <c r="AJH75" s="134"/>
      <c r="AJI75" s="134"/>
      <c r="AJJ75" s="134"/>
      <c r="AJK75" s="134"/>
      <c r="AJL75" s="134"/>
      <c r="AJM75" s="134"/>
      <c r="AJN75" s="134"/>
      <c r="AJO75" s="134"/>
      <c r="AJP75" s="134"/>
      <c r="AJQ75" s="134"/>
      <c r="AJR75" s="134"/>
      <c r="AJS75" s="134"/>
      <c r="AJT75" s="134"/>
      <c r="AJU75" s="134"/>
      <c r="AJV75" s="134"/>
      <c r="AJW75" s="134"/>
      <c r="AJX75" s="134"/>
      <c r="AJY75" s="134"/>
      <c r="AJZ75" s="134"/>
      <c r="AKA75" s="134"/>
      <c r="AKB75" s="134"/>
      <c r="AKC75" s="134"/>
      <c r="AKD75" s="134"/>
      <c r="AKE75" s="134"/>
      <c r="AKF75" s="134"/>
      <c r="AKG75" s="134"/>
      <c r="AKH75" s="134"/>
      <c r="AKI75" s="134"/>
      <c r="AKJ75" s="134"/>
      <c r="AKK75" s="134"/>
      <c r="AKL75" s="134"/>
      <c r="AKM75" s="134"/>
      <c r="AKN75" s="134"/>
      <c r="AKO75" s="134"/>
      <c r="AKP75" s="134"/>
      <c r="AKQ75" s="134"/>
      <c r="AKR75" s="134"/>
      <c r="AKS75" s="134"/>
      <c r="AKT75" s="134"/>
      <c r="AKU75" s="134"/>
      <c r="AKV75" s="134"/>
      <c r="AKW75" s="134"/>
      <c r="AKX75" s="134"/>
      <c r="AKY75" s="134"/>
      <c r="AKZ75" s="134"/>
      <c r="ALA75" s="134"/>
      <c r="ALB75" s="134"/>
      <c r="ALC75" s="134"/>
      <c r="ALD75" s="134"/>
      <c r="ALE75" s="134"/>
      <c r="ALF75" s="134"/>
      <c r="ALG75" s="134"/>
      <c r="ALH75" s="134"/>
      <c r="ALI75" s="134"/>
      <c r="ALJ75" s="134"/>
      <c r="ALK75" s="134"/>
      <c r="ALL75" s="134"/>
      <c r="ALM75" s="134"/>
      <c r="ALN75" s="134"/>
      <c r="ALO75" s="134"/>
      <c r="ALP75" s="134"/>
      <c r="ALQ75" s="134"/>
      <c r="ALR75" s="134"/>
      <c r="ALS75" s="134"/>
      <c r="ALT75" s="134"/>
      <c r="ALU75" s="134"/>
      <c r="ALV75" s="134"/>
      <c r="ALW75" s="134"/>
      <c r="ALX75" s="134"/>
      <c r="ALY75" s="134"/>
      <c r="ALZ75" s="134"/>
      <c r="AMA75" s="134"/>
      <c r="AMB75" s="134"/>
      <c r="AMC75" s="134"/>
      <c r="AMD75" s="134"/>
      <c r="AME75" s="134"/>
      <c r="AMF75" s="134"/>
      <c r="AMG75" s="134"/>
      <c r="AMH75" s="134"/>
      <c r="AMI75" s="134"/>
      <c r="AMJ75" s="134"/>
      <c r="AMK75" s="134"/>
      <c r="AML75" s="134"/>
      <c r="AMM75" s="134"/>
      <c r="AMN75" s="134"/>
      <c r="AMO75" s="134"/>
      <c r="AMP75" s="134"/>
      <c r="AMQ75" s="134"/>
      <c r="AMR75" s="134"/>
      <c r="AMS75" s="134"/>
      <c r="AMT75" s="134"/>
      <c r="AMU75" s="134"/>
      <c r="AMV75" s="134"/>
      <c r="AMW75" s="134"/>
      <c r="AMX75" s="134"/>
      <c r="AMY75" s="134"/>
      <c r="AMZ75" s="134"/>
      <c r="ANA75" s="134"/>
      <c r="ANB75" s="134"/>
      <c r="ANC75" s="134"/>
      <c r="AND75" s="134"/>
      <c r="ANE75" s="134"/>
      <c r="ANF75" s="134"/>
      <c r="ANG75" s="134"/>
      <c r="ANH75" s="134"/>
      <c r="ANI75" s="134"/>
      <c r="ANJ75" s="134"/>
      <c r="ANK75" s="134"/>
      <c r="ANL75" s="134"/>
      <c r="ANM75" s="134"/>
      <c r="ANN75" s="134"/>
      <c r="ANO75" s="134"/>
      <c r="ANP75" s="134"/>
      <c r="ANQ75" s="134"/>
      <c r="ANR75" s="134"/>
      <c r="ANS75" s="134"/>
      <c r="ANT75" s="134"/>
      <c r="ANU75" s="134"/>
      <c r="ANV75" s="134"/>
      <c r="ANW75" s="134"/>
      <c r="ANX75" s="134"/>
      <c r="ANY75" s="134"/>
      <c r="ANZ75" s="134"/>
      <c r="AOA75" s="134"/>
      <c r="AOB75" s="134"/>
      <c r="AOC75" s="134"/>
      <c r="AOD75" s="134"/>
      <c r="AOE75" s="134"/>
      <c r="AOF75" s="134"/>
      <c r="AOG75" s="134"/>
      <c r="AOH75" s="134"/>
      <c r="AOI75" s="134"/>
      <c r="AOJ75" s="134"/>
      <c r="AOK75" s="134"/>
      <c r="AOL75" s="134"/>
      <c r="AOM75" s="134"/>
      <c r="AON75" s="134"/>
      <c r="AOO75" s="134"/>
      <c r="AOP75" s="134"/>
      <c r="AOQ75" s="134"/>
      <c r="AOR75" s="134"/>
      <c r="AOS75" s="134"/>
      <c r="AOT75" s="134"/>
      <c r="AOU75" s="134"/>
      <c r="AOV75" s="134"/>
      <c r="AOW75" s="134"/>
      <c r="AOX75" s="134"/>
      <c r="AOY75" s="134"/>
      <c r="AOZ75" s="134"/>
      <c r="APA75" s="134"/>
      <c r="APB75" s="134"/>
      <c r="APC75" s="134"/>
      <c r="APD75" s="134"/>
      <c r="APE75" s="134"/>
      <c r="APF75" s="134"/>
      <c r="APG75" s="134"/>
      <c r="APH75" s="134"/>
      <c r="API75" s="134"/>
      <c r="APJ75" s="134"/>
      <c r="APK75" s="134"/>
      <c r="APL75" s="134"/>
      <c r="APM75" s="134"/>
      <c r="APN75" s="134"/>
      <c r="APO75" s="134"/>
      <c r="APP75" s="134"/>
      <c r="APQ75" s="134"/>
      <c r="APR75" s="134"/>
      <c r="APS75" s="134"/>
      <c r="APT75" s="134"/>
      <c r="APU75" s="134"/>
      <c r="APV75" s="134"/>
      <c r="APW75" s="134"/>
      <c r="APX75" s="134"/>
      <c r="APY75" s="134"/>
      <c r="APZ75" s="134"/>
      <c r="AQA75" s="134"/>
      <c r="AQB75" s="134"/>
      <c r="AQC75" s="134"/>
      <c r="AQD75" s="134"/>
      <c r="AQE75" s="134"/>
      <c r="AQF75" s="134"/>
      <c r="AQG75" s="134"/>
      <c r="AQH75" s="134"/>
      <c r="AQI75" s="134"/>
      <c r="AQJ75" s="134"/>
      <c r="AQK75" s="134"/>
      <c r="AQL75" s="134"/>
      <c r="AQM75" s="134"/>
      <c r="AQN75" s="134"/>
      <c r="AQO75" s="134"/>
      <c r="AQP75" s="134"/>
      <c r="AQQ75" s="134"/>
      <c r="AQR75" s="134"/>
      <c r="AQS75" s="134"/>
      <c r="AQT75" s="134"/>
      <c r="AQU75" s="134"/>
      <c r="AQV75" s="134"/>
      <c r="AQW75" s="134"/>
      <c r="AQX75" s="134"/>
      <c r="AQY75" s="134"/>
      <c r="AQZ75" s="134"/>
      <c r="ARA75" s="134"/>
      <c r="ARB75" s="134"/>
      <c r="ARC75" s="134"/>
      <c r="ARD75" s="134"/>
      <c r="ARE75" s="134"/>
      <c r="ARF75" s="134"/>
      <c r="ARG75" s="134"/>
      <c r="ARH75" s="134"/>
      <c r="ARI75" s="134"/>
      <c r="ARJ75" s="134"/>
      <c r="ARK75" s="134"/>
      <c r="ARL75" s="134"/>
      <c r="ARM75" s="134"/>
      <c r="ARN75" s="134"/>
      <c r="ARO75" s="134"/>
      <c r="ARP75" s="134"/>
      <c r="ARQ75" s="134"/>
      <c r="ARR75" s="134"/>
      <c r="ARS75" s="134"/>
      <c r="ART75" s="134"/>
      <c r="ARU75" s="134"/>
      <c r="ARV75" s="134"/>
      <c r="ARW75" s="134"/>
      <c r="ARX75" s="134"/>
      <c r="ARY75" s="134"/>
      <c r="ARZ75" s="134"/>
      <c r="ASA75" s="134"/>
      <c r="ASB75" s="134"/>
      <c r="ASC75" s="134"/>
      <c r="ASD75" s="134"/>
      <c r="ASE75" s="134"/>
      <c r="ASF75" s="134"/>
      <c r="ASG75" s="134"/>
      <c r="ASH75" s="134"/>
      <c r="ASI75" s="134"/>
      <c r="ASJ75" s="134"/>
      <c r="ASK75" s="134"/>
      <c r="ASL75" s="134"/>
      <c r="ASM75" s="134"/>
      <c r="ASN75" s="134"/>
      <c r="ASO75" s="134"/>
      <c r="ASP75" s="134"/>
      <c r="ASQ75" s="134"/>
      <c r="ASR75" s="134"/>
      <c r="ASS75" s="134"/>
      <c r="AST75" s="134"/>
      <c r="ASU75" s="134"/>
      <c r="ASV75" s="134"/>
      <c r="ASW75" s="134"/>
      <c r="ASX75" s="134"/>
      <c r="ASY75" s="134"/>
      <c r="ASZ75" s="134"/>
      <c r="ATA75" s="134"/>
      <c r="ATB75" s="134"/>
      <c r="ATC75" s="134"/>
      <c r="ATD75" s="134"/>
      <c r="ATE75" s="134"/>
      <c r="ATF75" s="134"/>
      <c r="ATG75" s="134"/>
      <c r="ATH75" s="134"/>
      <c r="ATI75" s="134"/>
      <c r="ATJ75" s="134"/>
      <c r="ATK75" s="134"/>
      <c r="ATL75" s="134"/>
      <c r="ATM75" s="134"/>
      <c r="ATN75" s="134"/>
      <c r="ATO75" s="134"/>
      <c r="ATP75" s="134"/>
      <c r="ATQ75" s="134"/>
      <c r="ATR75" s="134"/>
      <c r="ATS75" s="134"/>
      <c r="ATT75" s="134"/>
      <c r="ATU75" s="134"/>
      <c r="ATV75" s="134"/>
      <c r="ATW75" s="134"/>
      <c r="ATX75" s="134"/>
      <c r="ATY75" s="134"/>
      <c r="ATZ75" s="134"/>
      <c r="AUA75" s="134"/>
      <c r="AUB75" s="134"/>
      <c r="AUC75" s="134"/>
      <c r="AUD75" s="134"/>
      <c r="AUE75" s="134"/>
      <c r="AUF75" s="134"/>
      <c r="AUG75" s="134"/>
      <c r="AUH75" s="134"/>
      <c r="AUI75" s="134"/>
      <c r="AUJ75" s="134"/>
      <c r="AUK75" s="134"/>
      <c r="AUL75" s="134"/>
      <c r="AUM75" s="134"/>
      <c r="AUN75" s="134"/>
      <c r="AUO75" s="134"/>
      <c r="AUP75" s="134"/>
      <c r="AUQ75" s="134"/>
      <c r="AUR75" s="134"/>
      <c r="AUS75" s="134"/>
      <c r="AUT75" s="134"/>
      <c r="AUU75" s="134"/>
      <c r="AUV75" s="134"/>
      <c r="AUW75" s="134"/>
      <c r="AUX75" s="134"/>
      <c r="AUY75" s="134"/>
      <c r="AUZ75" s="134"/>
      <c r="AVA75" s="134"/>
      <c r="AVB75" s="134"/>
      <c r="AVC75" s="134"/>
      <c r="AVD75" s="134"/>
      <c r="AVE75" s="134"/>
      <c r="AVF75" s="134"/>
      <c r="AVG75" s="134"/>
      <c r="AVH75" s="134"/>
      <c r="AVI75" s="134"/>
      <c r="AVJ75" s="134"/>
      <c r="AVK75" s="134"/>
      <c r="AVL75" s="134"/>
      <c r="AVM75" s="134"/>
      <c r="AVN75" s="134"/>
      <c r="AVO75" s="134"/>
      <c r="AVP75" s="134"/>
      <c r="AVQ75" s="134"/>
      <c r="AVR75" s="134"/>
      <c r="AVS75" s="134"/>
      <c r="AVT75" s="134"/>
      <c r="AVU75" s="134"/>
      <c r="AVV75" s="134"/>
      <c r="AVW75" s="134"/>
      <c r="AVX75" s="134"/>
      <c r="AVY75" s="134"/>
      <c r="AVZ75" s="134"/>
      <c r="AWA75" s="134"/>
      <c r="AWB75" s="134"/>
      <c r="AWC75" s="134"/>
      <c r="AWD75" s="134"/>
      <c r="AWE75" s="134"/>
      <c r="AWF75" s="134"/>
      <c r="AWG75" s="134"/>
      <c r="AWH75" s="134"/>
      <c r="AWI75" s="134"/>
      <c r="AWJ75" s="134"/>
      <c r="AWK75" s="134"/>
      <c r="AWL75" s="134"/>
      <c r="AWM75" s="134"/>
      <c r="AWN75" s="134"/>
      <c r="AWO75" s="134"/>
      <c r="AWP75" s="134"/>
      <c r="AWQ75" s="134"/>
      <c r="AWR75" s="134"/>
      <c r="AWS75" s="134"/>
      <c r="AWT75" s="134"/>
      <c r="AWU75" s="134"/>
      <c r="AWV75" s="134"/>
      <c r="AWW75" s="134"/>
      <c r="AWX75" s="134"/>
      <c r="AWY75" s="134"/>
      <c r="AWZ75" s="134"/>
      <c r="AXA75" s="134"/>
      <c r="AXB75" s="134"/>
      <c r="AXC75" s="134"/>
      <c r="AXD75" s="134"/>
      <c r="AXE75" s="134"/>
      <c r="AXF75" s="134"/>
      <c r="AXG75" s="134"/>
      <c r="AXH75" s="134"/>
      <c r="AXI75" s="134"/>
      <c r="AXJ75" s="134"/>
      <c r="AXK75" s="134"/>
      <c r="AXL75" s="134"/>
      <c r="AXM75" s="134"/>
      <c r="AXN75" s="134"/>
      <c r="AXO75" s="134"/>
      <c r="AXP75" s="134"/>
      <c r="AXQ75" s="134"/>
      <c r="AXR75" s="134"/>
      <c r="AXS75" s="134"/>
      <c r="AXT75" s="134"/>
      <c r="AXU75" s="134"/>
      <c r="AXV75" s="134"/>
      <c r="AXW75" s="134"/>
      <c r="AXX75" s="134"/>
      <c r="AXY75" s="134"/>
      <c r="AXZ75" s="134"/>
      <c r="AYA75" s="134"/>
      <c r="AYB75" s="134"/>
      <c r="AYC75" s="134"/>
      <c r="AYD75" s="134"/>
      <c r="AYE75" s="134"/>
      <c r="AYF75" s="134"/>
      <c r="AYG75" s="134"/>
      <c r="AYH75" s="134"/>
      <c r="AYI75" s="134"/>
      <c r="AYJ75" s="134"/>
      <c r="AYK75" s="134"/>
      <c r="AYL75" s="134"/>
      <c r="AYM75" s="134"/>
      <c r="AYN75" s="134"/>
      <c r="AYO75" s="134"/>
      <c r="AYP75" s="134"/>
      <c r="AYQ75" s="134"/>
      <c r="AYR75" s="134"/>
      <c r="AYS75" s="134"/>
      <c r="AYT75" s="134"/>
      <c r="AYU75" s="134"/>
      <c r="AYV75" s="134"/>
      <c r="AYW75" s="134"/>
      <c r="AYX75" s="134"/>
      <c r="AYY75" s="134"/>
      <c r="AYZ75" s="134"/>
      <c r="AZA75" s="134"/>
      <c r="AZB75" s="134"/>
      <c r="AZC75" s="134"/>
      <c r="AZD75" s="134"/>
      <c r="AZE75" s="134"/>
      <c r="AZF75" s="134"/>
      <c r="AZG75" s="134"/>
      <c r="AZH75" s="134"/>
      <c r="AZI75" s="134"/>
      <c r="AZJ75" s="134"/>
      <c r="AZK75" s="134"/>
      <c r="AZL75" s="134"/>
      <c r="AZM75" s="134"/>
      <c r="AZN75" s="134"/>
      <c r="AZO75" s="134"/>
      <c r="AZP75" s="134"/>
      <c r="AZQ75" s="134"/>
      <c r="AZR75" s="134"/>
      <c r="AZS75" s="134"/>
      <c r="AZT75" s="134"/>
      <c r="AZU75" s="134"/>
      <c r="AZV75" s="134"/>
      <c r="AZW75" s="134"/>
      <c r="AZX75" s="134"/>
      <c r="AZY75" s="134"/>
      <c r="AZZ75" s="134"/>
      <c r="BAA75" s="134"/>
      <c r="BAB75" s="134"/>
      <c r="BAC75" s="134"/>
      <c r="BAD75" s="134"/>
      <c r="BAE75" s="134"/>
      <c r="BAF75" s="134"/>
      <c r="BAG75" s="134"/>
      <c r="BAH75" s="134"/>
      <c r="BAI75" s="134"/>
      <c r="BAJ75" s="134"/>
      <c r="BAK75" s="134"/>
      <c r="BAL75" s="134"/>
      <c r="BAM75" s="134"/>
      <c r="BAN75" s="134"/>
      <c r="BAO75" s="134"/>
      <c r="BAP75" s="134"/>
      <c r="BAQ75" s="134"/>
      <c r="BAR75" s="134"/>
      <c r="BAS75" s="134"/>
      <c r="BAT75" s="134"/>
      <c r="BAU75" s="134"/>
      <c r="BAV75" s="134"/>
      <c r="BAW75" s="134"/>
      <c r="BAX75" s="134"/>
      <c r="BAY75" s="134"/>
      <c r="BAZ75" s="134"/>
      <c r="BBA75" s="134"/>
      <c r="BBB75" s="134"/>
      <c r="BBC75" s="134"/>
      <c r="BBD75" s="134"/>
      <c r="BBE75" s="134"/>
      <c r="BBF75" s="134"/>
      <c r="BBG75" s="134"/>
      <c r="BBH75" s="134"/>
      <c r="BBI75" s="134"/>
      <c r="BBJ75" s="134"/>
      <c r="BBK75" s="134"/>
      <c r="BBL75" s="134"/>
      <c r="BBM75" s="134"/>
      <c r="BBN75" s="134"/>
      <c r="BBO75" s="134"/>
      <c r="BBP75" s="134"/>
      <c r="BBQ75" s="134"/>
      <c r="BBR75" s="134"/>
      <c r="BBS75" s="134"/>
      <c r="BBT75" s="134"/>
      <c r="BBU75" s="134"/>
      <c r="BBV75" s="134"/>
      <c r="BBW75" s="134"/>
      <c r="BBX75" s="134"/>
      <c r="BBY75" s="134"/>
      <c r="BBZ75" s="134"/>
      <c r="BCA75" s="134"/>
      <c r="BCB75" s="134"/>
      <c r="BCC75" s="134"/>
      <c r="BCD75" s="134"/>
      <c r="BCE75" s="134"/>
      <c r="BCF75" s="134"/>
      <c r="BCG75" s="134"/>
      <c r="BCH75" s="134"/>
      <c r="BCI75" s="134"/>
      <c r="BCJ75" s="134"/>
      <c r="BCK75" s="134"/>
      <c r="BCL75" s="134"/>
      <c r="BCM75" s="134"/>
      <c r="BCN75" s="134"/>
      <c r="BCO75" s="134"/>
      <c r="BCP75" s="134"/>
      <c r="BCQ75" s="134"/>
      <c r="BCR75" s="134"/>
      <c r="BCS75" s="134"/>
      <c r="BCT75" s="134"/>
      <c r="BCU75" s="134"/>
      <c r="BCV75" s="134"/>
      <c r="BCW75" s="134"/>
      <c r="BCX75" s="134"/>
      <c r="BCY75" s="134"/>
      <c r="BCZ75" s="134"/>
      <c r="BDA75" s="134"/>
      <c r="BDB75" s="134"/>
      <c r="BDC75" s="134"/>
      <c r="BDD75" s="134"/>
      <c r="BDE75" s="134"/>
      <c r="BDF75" s="134"/>
      <c r="BDG75" s="134"/>
      <c r="BDH75" s="134"/>
      <c r="BDI75" s="134"/>
      <c r="BDJ75" s="134"/>
      <c r="BDK75" s="134"/>
      <c r="BDL75" s="134"/>
      <c r="BDM75" s="134"/>
      <c r="BDN75" s="134"/>
      <c r="BDO75" s="134"/>
      <c r="BDP75" s="134"/>
      <c r="BDQ75" s="134"/>
      <c r="BDR75" s="134"/>
      <c r="BDS75" s="134"/>
      <c r="BDT75" s="134"/>
      <c r="BDU75" s="134"/>
      <c r="BDV75" s="134"/>
      <c r="BDW75" s="134"/>
      <c r="BDX75" s="134"/>
      <c r="BDY75" s="134"/>
      <c r="BDZ75" s="134"/>
      <c r="BEA75" s="134"/>
      <c r="BEB75" s="134"/>
      <c r="BEC75" s="134"/>
      <c r="BED75" s="134"/>
      <c r="BEE75" s="134"/>
      <c r="BEF75" s="134"/>
      <c r="BEG75" s="134"/>
      <c r="BEH75" s="134"/>
      <c r="BEI75" s="134"/>
      <c r="BEJ75" s="134"/>
      <c r="BEK75" s="134"/>
      <c r="BEL75" s="134"/>
      <c r="BEM75" s="134"/>
      <c r="BEN75" s="134"/>
      <c r="BEO75" s="134"/>
      <c r="BEP75" s="134"/>
      <c r="BEQ75" s="134"/>
      <c r="BER75" s="134"/>
      <c r="BES75" s="134"/>
      <c r="BET75" s="134"/>
      <c r="BEU75" s="134"/>
      <c r="BEV75" s="134"/>
      <c r="BEW75" s="134"/>
      <c r="BEX75" s="134"/>
      <c r="BEY75" s="134"/>
      <c r="BEZ75" s="134"/>
      <c r="BFA75" s="134"/>
      <c r="BFB75" s="134"/>
      <c r="BFC75" s="134"/>
      <c r="BFD75" s="134"/>
      <c r="BFE75" s="134"/>
      <c r="BFF75" s="134"/>
      <c r="BFG75" s="134"/>
      <c r="BFH75" s="134"/>
      <c r="BFI75" s="134"/>
      <c r="BFJ75" s="134"/>
      <c r="BFK75" s="134"/>
      <c r="BFL75" s="134"/>
      <c r="BFM75" s="134"/>
      <c r="BFN75" s="134"/>
      <c r="BFO75" s="134"/>
      <c r="BFP75" s="134"/>
      <c r="BFQ75" s="134"/>
      <c r="BFR75" s="134"/>
      <c r="BFS75" s="134"/>
      <c r="BFT75" s="134"/>
      <c r="BFU75" s="134"/>
      <c r="BFV75" s="134"/>
      <c r="BFW75" s="134"/>
      <c r="BFX75" s="134"/>
      <c r="BFY75" s="134"/>
      <c r="BFZ75" s="134"/>
      <c r="BGA75" s="134"/>
      <c r="BGB75" s="134"/>
      <c r="BGC75" s="134"/>
      <c r="BGD75" s="134"/>
      <c r="BGE75" s="134"/>
      <c r="BGF75" s="134"/>
      <c r="BGG75" s="134"/>
      <c r="BGH75" s="134"/>
      <c r="BGI75" s="134"/>
      <c r="BGJ75" s="134"/>
      <c r="BGK75" s="134"/>
      <c r="BGL75" s="134"/>
      <c r="BGM75" s="134"/>
      <c r="BGN75" s="134"/>
      <c r="BGO75" s="134"/>
      <c r="BGP75" s="134"/>
      <c r="BGQ75" s="134"/>
      <c r="BGR75" s="134"/>
      <c r="BGS75" s="134"/>
      <c r="BGT75" s="134"/>
      <c r="BGU75" s="134"/>
      <c r="BGV75" s="134"/>
      <c r="BGW75" s="134"/>
      <c r="BGX75" s="134"/>
      <c r="BGY75" s="134"/>
      <c r="BGZ75" s="134"/>
      <c r="BHA75" s="134"/>
      <c r="BHB75" s="134"/>
      <c r="BHC75" s="134"/>
      <c r="BHD75" s="134"/>
      <c r="BHE75" s="134"/>
      <c r="BHF75" s="134"/>
      <c r="BHG75" s="134"/>
      <c r="BHH75" s="134"/>
      <c r="BHI75" s="134"/>
      <c r="BHJ75" s="134"/>
      <c r="BHK75" s="134"/>
      <c r="BHL75" s="134"/>
      <c r="BHM75" s="134"/>
      <c r="BHN75" s="134"/>
      <c r="BHO75" s="134"/>
      <c r="BHP75" s="134"/>
      <c r="BHQ75" s="134"/>
      <c r="BHR75" s="134"/>
      <c r="BHS75" s="134"/>
      <c r="BHT75" s="134"/>
      <c r="BHU75" s="134"/>
      <c r="BHV75" s="134"/>
      <c r="BHW75" s="134"/>
      <c r="BHX75" s="134"/>
      <c r="BHY75" s="134"/>
      <c r="BHZ75" s="134"/>
      <c r="BIA75" s="134"/>
      <c r="BIB75" s="134"/>
      <c r="BIC75" s="134"/>
      <c r="BID75" s="134"/>
      <c r="BIE75" s="134"/>
      <c r="BIF75" s="134"/>
      <c r="BIG75" s="134"/>
      <c r="BIH75" s="134"/>
      <c r="BII75" s="134"/>
      <c r="BIJ75" s="134"/>
      <c r="BIK75" s="134"/>
      <c r="BIL75" s="134"/>
      <c r="BIM75" s="134"/>
      <c r="BIN75" s="134"/>
      <c r="BIO75" s="134"/>
      <c r="BIP75" s="134"/>
      <c r="BIQ75" s="134"/>
      <c r="BIR75" s="134"/>
      <c r="BIS75" s="134"/>
      <c r="BIT75" s="134"/>
      <c r="BIU75" s="134"/>
      <c r="BIV75" s="134"/>
      <c r="BIW75" s="134"/>
      <c r="BIX75" s="134"/>
      <c r="BIY75" s="134"/>
      <c r="BIZ75" s="134"/>
      <c r="BJA75" s="134"/>
      <c r="BJB75" s="134"/>
      <c r="BJC75" s="134"/>
      <c r="BJD75" s="134"/>
      <c r="BJE75" s="134"/>
      <c r="BJF75" s="134"/>
      <c r="BJG75" s="134"/>
      <c r="BJH75" s="134"/>
      <c r="BJI75" s="134"/>
      <c r="BJJ75" s="134"/>
      <c r="BJK75" s="134"/>
      <c r="BJL75" s="134"/>
      <c r="BJM75" s="134"/>
      <c r="BJN75" s="134"/>
      <c r="BJO75" s="134"/>
      <c r="BJP75" s="134"/>
      <c r="BJQ75" s="134"/>
      <c r="BJR75" s="134"/>
      <c r="BJS75" s="134"/>
      <c r="BJT75" s="134"/>
      <c r="BJU75" s="134"/>
      <c r="BJV75" s="134"/>
      <c r="BJW75" s="134"/>
      <c r="BJX75" s="134"/>
      <c r="BJY75" s="134"/>
      <c r="BJZ75" s="134"/>
      <c r="BKA75" s="134"/>
      <c r="BKB75" s="134"/>
      <c r="BKC75" s="134"/>
      <c r="BKD75" s="134"/>
      <c r="BKE75" s="134"/>
      <c r="BKF75" s="134"/>
      <c r="BKG75" s="134"/>
      <c r="BKH75" s="134"/>
      <c r="BKI75" s="134"/>
      <c r="BKJ75" s="134"/>
      <c r="BKK75" s="134"/>
      <c r="BKL75" s="134"/>
      <c r="BKM75" s="134"/>
      <c r="BKN75" s="134"/>
      <c r="BKO75" s="134"/>
      <c r="BKP75" s="134"/>
      <c r="BKQ75" s="134"/>
      <c r="BKR75" s="134"/>
      <c r="BKS75" s="134"/>
      <c r="BKT75" s="134"/>
      <c r="BKU75" s="134"/>
      <c r="BKV75" s="134"/>
      <c r="BKW75" s="134"/>
      <c r="BKX75" s="134"/>
      <c r="BKY75" s="134"/>
      <c r="BKZ75" s="134"/>
      <c r="BLA75" s="134"/>
      <c r="BLB75" s="134"/>
      <c r="BLC75" s="134"/>
      <c r="BLD75" s="134"/>
      <c r="BLE75" s="134"/>
      <c r="BLF75" s="134"/>
      <c r="BLG75" s="134"/>
      <c r="BLH75" s="134"/>
      <c r="BLI75" s="134"/>
      <c r="BLJ75" s="134"/>
      <c r="BLK75" s="134"/>
      <c r="BLL75" s="134"/>
      <c r="BLM75" s="134"/>
      <c r="BLN75" s="134"/>
      <c r="BLO75" s="134"/>
      <c r="BLP75" s="134"/>
      <c r="BLQ75" s="134"/>
      <c r="BLR75" s="134"/>
      <c r="BLS75" s="134"/>
      <c r="BLT75" s="134"/>
      <c r="BLU75" s="134"/>
      <c r="BLV75" s="134"/>
      <c r="BLW75" s="134"/>
      <c r="BLX75" s="134"/>
      <c r="BLY75" s="134"/>
      <c r="BLZ75" s="134"/>
      <c r="BMA75" s="134"/>
      <c r="BMB75" s="134"/>
      <c r="BMC75" s="134"/>
      <c r="BMD75" s="134"/>
      <c r="BME75" s="134"/>
      <c r="BMF75" s="134"/>
      <c r="BMG75" s="134"/>
      <c r="BMH75" s="134"/>
      <c r="BMI75" s="134"/>
      <c r="BMJ75" s="134"/>
      <c r="BMK75" s="134"/>
      <c r="BML75" s="134"/>
      <c r="BMM75" s="134"/>
      <c r="BMN75" s="134"/>
      <c r="BMO75" s="134"/>
      <c r="BMP75" s="134"/>
      <c r="BMQ75" s="134"/>
      <c r="BMR75" s="134"/>
      <c r="BMS75" s="134"/>
      <c r="BMT75" s="134"/>
      <c r="BMU75" s="134"/>
      <c r="BMV75" s="134"/>
      <c r="BMW75" s="134"/>
      <c r="BMX75" s="134"/>
      <c r="BMY75" s="134"/>
      <c r="BMZ75" s="134"/>
      <c r="BNA75" s="134"/>
      <c r="BNB75" s="134"/>
      <c r="BNC75" s="134"/>
      <c r="BND75" s="134"/>
      <c r="BNE75" s="134"/>
      <c r="BNF75" s="134"/>
      <c r="BNG75" s="134"/>
      <c r="BNH75" s="134"/>
      <c r="BNI75" s="134"/>
      <c r="BNJ75" s="134"/>
      <c r="BNK75" s="134"/>
      <c r="BNL75" s="134"/>
      <c r="BNM75" s="134"/>
      <c r="BNN75" s="134"/>
      <c r="BNO75" s="134"/>
      <c r="BNP75" s="134"/>
      <c r="BNQ75" s="134"/>
      <c r="BNR75" s="134"/>
      <c r="BNS75" s="134"/>
      <c r="BNT75" s="134"/>
      <c r="BNU75" s="134"/>
      <c r="BNV75" s="134"/>
      <c r="BNW75" s="134"/>
      <c r="BNX75" s="134"/>
      <c r="BNY75" s="134"/>
      <c r="BNZ75" s="134"/>
      <c r="BOA75" s="134"/>
      <c r="BOB75" s="134"/>
      <c r="BOC75" s="134"/>
      <c r="BOD75" s="134"/>
      <c r="BOE75" s="134"/>
      <c r="BOF75" s="134"/>
      <c r="BOG75" s="134"/>
      <c r="BOH75" s="134"/>
      <c r="BOI75" s="134"/>
      <c r="BOJ75" s="134"/>
      <c r="BOK75" s="134"/>
      <c r="BOL75" s="134"/>
      <c r="BOM75" s="134"/>
      <c r="BON75" s="134"/>
      <c r="BOO75" s="134"/>
      <c r="BOP75" s="134"/>
      <c r="BOQ75" s="134"/>
      <c r="BOR75" s="134"/>
      <c r="BOS75" s="134"/>
      <c r="BOT75" s="134"/>
      <c r="BOU75" s="134"/>
      <c r="BOV75" s="134"/>
      <c r="BOW75" s="134"/>
      <c r="BOX75" s="134"/>
      <c r="BOY75" s="134"/>
      <c r="BOZ75" s="134"/>
      <c r="BPA75" s="134"/>
      <c r="BPB75" s="134"/>
      <c r="BPC75" s="134"/>
      <c r="BPD75" s="134"/>
      <c r="BPE75" s="134"/>
      <c r="BPF75" s="134"/>
      <c r="BPG75" s="134"/>
      <c r="BPH75" s="134"/>
      <c r="BPI75" s="134"/>
      <c r="BPJ75" s="134"/>
      <c r="BPK75" s="134"/>
      <c r="BPL75" s="134"/>
      <c r="BPM75" s="134"/>
      <c r="BPN75" s="134"/>
      <c r="BPO75" s="134"/>
      <c r="BPP75" s="134"/>
      <c r="BPQ75" s="134"/>
      <c r="BPR75" s="134"/>
      <c r="BPS75" s="134"/>
      <c r="BPT75" s="134"/>
      <c r="BPU75" s="134"/>
      <c r="BPV75" s="134"/>
      <c r="BPW75" s="134"/>
      <c r="BPX75" s="134"/>
      <c r="BPY75" s="134"/>
      <c r="BPZ75" s="134"/>
      <c r="BQA75" s="134"/>
      <c r="BQB75" s="134"/>
      <c r="BQC75" s="134"/>
      <c r="BQD75" s="134"/>
      <c r="BQE75" s="134"/>
      <c r="BQF75" s="134"/>
      <c r="BQG75" s="134"/>
      <c r="BQH75" s="134"/>
      <c r="BQI75" s="134"/>
      <c r="BQJ75" s="134"/>
      <c r="BQK75" s="134"/>
      <c r="BQL75" s="134"/>
      <c r="BQM75" s="134"/>
      <c r="BQN75" s="134"/>
      <c r="BQO75" s="134"/>
      <c r="BQP75" s="134"/>
      <c r="BQQ75" s="134"/>
      <c r="BQR75" s="134"/>
      <c r="BQS75" s="134"/>
      <c r="BQT75" s="134"/>
      <c r="BQU75" s="134"/>
      <c r="BQV75" s="134"/>
      <c r="BQW75" s="134"/>
      <c r="BQX75" s="134"/>
      <c r="BQY75" s="134"/>
      <c r="BQZ75" s="134"/>
      <c r="BRA75" s="134"/>
      <c r="BRB75" s="134"/>
      <c r="BRC75" s="134"/>
      <c r="BRD75" s="134"/>
      <c r="BRE75" s="134"/>
      <c r="BRF75" s="134"/>
      <c r="BRG75" s="134"/>
      <c r="BRH75" s="134"/>
      <c r="BRI75" s="134"/>
      <c r="BRJ75" s="134"/>
      <c r="BRK75" s="134"/>
      <c r="BRL75" s="134"/>
      <c r="BRM75" s="134"/>
      <c r="BRN75" s="134"/>
      <c r="BRO75" s="134"/>
      <c r="BRP75" s="134"/>
      <c r="BRQ75" s="134"/>
      <c r="BRR75" s="134"/>
      <c r="BRS75" s="134"/>
      <c r="BRT75" s="134"/>
      <c r="BRU75" s="134"/>
      <c r="BRV75" s="134"/>
      <c r="BRW75" s="134"/>
      <c r="BRX75" s="134"/>
      <c r="BRY75" s="134"/>
      <c r="BRZ75" s="134"/>
      <c r="BSA75" s="134"/>
      <c r="BSB75" s="134"/>
      <c r="BSC75" s="134"/>
      <c r="BSD75" s="134"/>
      <c r="BSE75" s="134"/>
      <c r="BSF75" s="134"/>
      <c r="BSG75" s="134"/>
      <c r="BSH75" s="134"/>
      <c r="BSI75" s="134"/>
      <c r="BSJ75" s="134"/>
      <c r="BSK75" s="134"/>
      <c r="BSL75" s="134"/>
      <c r="BSM75" s="134"/>
      <c r="BSN75" s="134"/>
      <c r="BSO75" s="134"/>
      <c r="BSP75" s="134"/>
      <c r="BSQ75" s="134"/>
      <c r="BSR75" s="134"/>
      <c r="BSS75" s="134"/>
      <c r="BST75" s="134"/>
      <c r="BSU75" s="134"/>
      <c r="BSV75" s="134"/>
      <c r="BSW75" s="134"/>
      <c r="BSX75" s="134"/>
      <c r="BSY75" s="134"/>
      <c r="BSZ75" s="134"/>
      <c r="BTA75" s="134"/>
      <c r="BTB75" s="134"/>
      <c r="BTC75" s="134"/>
      <c r="BTD75" s="134"/>
      <c r="BTE75" s="134"/>
      <c r="BTF75" s="134"/>
      <c r="BTG75" s="134"/>
      <c r="BTH75" s="134"/>
      <c r="BTI75" s="134"/>
      <c r="BTJ75" s="134"/>
      <c r="BTK75" s="134"/>
      <c r="BTL75" s="134"/>
      <c r="BTM75" s="134"/>
      <c r="BTN75" s="134"/>
      <c r="BTO75" s="134"/>
      <c r="BTP75" s="134"/>
      <c r="BTQ75" s="134"/>
      <c r="BTR75" s="134"/>
      <c r="BTS75" s="134"/>
      <c r="BTT75" s="134"/>
      <c r="BTU75" s="134"/>
      <c r="BTV75" s="134"/>
      <c r="BTW75" s="134"/>
      <c r="BTX75" s="134"/>
      <c r="BTY75" s="134"/>
      <c r="BTZ75" s="134"/>
      <c r="BUA75" s="134"/>
      <c r="BUB75" s="134"/>
      <c r="BUC75" s="134"/>
      <c r="BUD75" s="134"/>
      <c r="BUE75" s="134"/>
      <c r="BUF75" s="134"/>
      <c r="BUG75" s="134"/>
      <c r="BUH75" s="134"/>
      <c r="BUI75" s="134"/>
      <c r="BUJ75" s="134"/>
      <c r="BUK75" s="134"/>
      <c r="BUL75" s="134"/>
      <c r="BUM75" s="134"/>
      <c r="BUN75" s="134"/>
      <c r="BUO75" s="134"/>
      <c r="BUP75" s="134"/>
      <c r="BUQ75" s="134"/>
      <c r="BUR75" s="134"/>
      <c r="BUS75" s="134"/>
      <c r="BUT75" s="134"/>
      <c r="BUU75" s="134"/>
      <c r="BUV75" s="134"/>
      <c r="BUW75" s="134"/>
      <c r="BUX75" s="134"/>
      <c r="BUY75" s="134"/>
      <c r="BUZ75" s="134"/>
      <c r="BVA75" s="134"/>
      <c r="BVB75" s="134"/>
      <c r="BVC75" s="134"/>
      <c r="BVD75" s="134"/>
      <c r="BVE75" s="134"/>
      <c r="BVF75" s="134"/>
      <c r="BVG75" s="134"/>
      <c r="BVH75" s="134"/>
      <c r="BVI75" s="134"/>
      <c r="BVJ75" s="134"/>
      <c r="BVK75" s="134"/>
      <c r="BVL75" s="134"/>
      <c r="BVM75" s="134"/>
      <c r="BVN75" s="134"/>
      <c r="BVO75" s="134"/>
      <c r="BVP75" s="134"/>
      <c r="BVQ75" s="134"/>
      <c r="BVR75" s="134"/>
      <c r="BVS75" s="134"/>
      <c r="BVT75" s="134"/>
      <c r="BVU75" s="134"/>
      <c r="BVV75" s="134"/>
      <c r="BVW75" s="134"/>
      <c r="BVX75" s="134"/>
      <c r="BVY75" s="134"/>
      <c r="BVZ75" s="134"/>
      <c r="BWA75" s="134"/>
      <c r="BWB75" s="134"/>
      <c r="BWC75" s="134"/>
      <c r="BWD75" s="134"/>
      <c r="BWE75" s="134"/>
      <c r="BWF75" s="134"/>
      <c r="BWG75" s="134"/>
      <c r="BWH75" s="134"/>
      <c r="BWI75" s="134"/>
      <c r="BWJ75" s="134"/>
      <c r="BWK75" s="134"/>
      <c r="BWL75" s="134"/>
      <c r="BWM75" s="134"/>
      <c r="BWN75" s="134"/>
      <c r="BWO75" s="134"/>
      <c r="BWP75" s="134"/>
      <c r="BWQ75" s="134"/>
      <c r="BWR75" s="134"/>
      <c r="BWS75" s="134"/>
      <c r="BWT75" s="134"/>
      <c r="BWU75" s="134"/>
      <c r="BWV75" s="134"/>
      <c r="BWW75" s="134"/>
      <c r="BWX75" s="134"/>
      <c r="BWY75" s="134"/>
      <c r="BWZ75" s="134"/>
      <c r="BXA75" s="134"/>
      <c r="BXB75" s="134"/>
      <c r="BXC75" s="134"/>
      <c r="BXD75" s="134"/>
      <c r="BXE75" s="134"/>
      <c r="BXF75" s="134"/>
      <c r="BXG75" s="134"/>
      <c r="BXH75" s="134"/>
      <c r="BXI75" s="134"/>
      <c r="BXJ75" s="134"/>
      <c r="BXK75" s="134"/>
      <c r="BXL75" s="134"/>
      <c r="BXM75" s="134"/>
      <c r="BXN75" s="134"/>
      <c r="BXO75" s="134"/>
      <c r="BXP75" s="134"/>
      <c r="BXQ75" s="134"/>
      <c r="BXR75" s="134"/>
      <c r="BXS75" s="134"/>
      <c r="BXT75" s="134"/>
      <c r="BXU75" s="134"/>
      <c r="BXV75" s="134"/>
      <c r="BXW75" s="134"/>
      <c r="BXX75" s="134"/>
      <c r="BXY75" s="134"/>
      <c r="BXZ75" s="134"/>
      <c r="BYA75" s="134"/>
      <c r="BYB75" s="134"/>
      <c r="BYC75" s="134"/>
      <c r="BYD75" s="134"/>
      <c r="BYE75" s="134"/>
      <c r="BYF75" s="134"/>
      <c r="BYG75" s="134"/>
      <c r="BYH75" s="134"/>
      <c r="BYI75" s="134"/>
      <c r="BYJ75" s="134"/>
      <c r="BYK75" s="134"/>
      <c r="BYL75" s="134"/>
      <c r="BYM75" s="134"/>
      <c r="BYN75" s="134"/>
      <c r="BYO75" s="134"/>
      <c r="BYP75" s="134"/>
      <c r="BYQ75" s="134"/>
      <c r="BYR75" s="134"/>
      <c r="BYS75" s="134"/>
      <c r="BYT75" s="134"/>
      <c r="BYU75" s="134"/>
      <c r="BYV75" s="134"/>
      <c r="BYW75" s="134"/>
      <c r="BYX75" s="134"/>
      <c r="BYY75" s="134"/>
      <c r="BYZ75" s="134"/>
      <c r="BZA75" s="134"/>
      <c r="BZB75" s="134"/>
      <c r="BZC75" s="134"/>
      <c r="BZD75" s="134"/>
      <c r="BZE75" s="134"/>
      <c r="BZF75" s="134"/>
      <c r="BZG75" s="134"/>
      <c r="BZH75" s="134"/>
      <c r="BZI75" s="134"/>
      <c r="BZJ75" s="134"/>
      <c r="BZK75" s="134"/>
      <c r="BZL75" s="134"/>
      <c r="BZM75" s="134"/>
      <c r="BZN75" s="134"/>
      <c r="BZO75" s="134"/>
      <c r="BZP75" s="134"/>
      <c r="BZQ75" s="134"/>
      <c r="BZR75" s="134"/>
      <c r="BZS75" s="134"/>
      <c r="BZT75" s="134"/>
      <c r="BZU75" s="134"/>
      <c r="BZV75" s="134"/>
      <c r="BZW75" s="134"/>
      <c r="BZX75" s="134"/>
      <c r="BZY75" s="134"/>
      <c r="BZZ75" s="134"/>
      <c r="CAA75" s="134"/>
      <c r="CAB75" s="134"/>
      <c r="CAC75" s="134"/>
      <c r="CAD75" s="134"/>
      <c r="CAE75" s="134"/>
      <c r="CAF75" s="134"/>
      <c r="CAG75" s="134"/>
      <c r="CAH75" s="134"/>
      <c r="CAI75" s="134"/>
      <c r="CAJ75" s="134"/>
      <c r="CAK75" s="134"/>
      <c r="CAL75" s="134"/>
      <c r="CAM75" s="134"/>
      <c r="CAN75" s="134"/>
      <c r="CAO75" s="134"/>
      <c r="CAP75" s="134"/>
      <c r="CAQ75" s="134"/>
      <c r="CAR75" s="134"/>
      <c r="CAS75" s="134"/>
      <c r="CAT75" s="134"/>
      <c r="CAU75" s="134"/>
      <c r="CAV75" s="134"/>
      <c r="CAW75" s="134"/>
      <c r="CAX75" s="134"/>
      <c r="CAY75" s="134"/>
      <c r="CAZ75" s="134"/>
      <c r="CBA75" s="134"/>
      <c r="CBB75" s="134"/>
      <c r="CBC75" s="134"/>
      <c r="CBD75" s="134"/>
      <c r="CBE75" s="134"/>
      <c r="CBF75" s="134"/>
      <c r="CBG75" s="134"/>
      <c r="CBH75" s="134"/>
      <c r="CBI75" s="134"/>
      <c r="CBJ75" s="134"/>
      <c r="CBK75" s="134"/>
      <c r="CBL75" s="134"/>
      <c r="CBM75" s="134"/>
      <c r="CBN75" s="134"/>
      <c r="CBO75" s="134"/>
      <c r="CBP75" s="134"/>
      <c r="CBQ75" s="134"/>
      <c r="CBR75" s="134"/>
      <c r="CBS75" s="134"/>
      <c r="CBT75" s="134"/>
      <c r="CBU75" s="134"/>
      <c r="CBV75" s="134"/>
      <c r="CBW75" s="134"/>
      <c r="CBX75" s="134"/>
      <c r="CBY75" s="134"/>
      <c r="CBZ75" s="134"/>
      <c r="CCA75" s="134"/>
      <c r="CCB75" s="134"/>
      <c r="CCC75" s="134"/>
      <c r="CCD75" s="134"/>
      <c r="CCE75" s="134"/>
      <c r="CCF75" s="134"/>
      <c r="CCG75" s="134"/>
      <c r="CCH75" s="134"/>
      <c r="CCI75" s="134"/>
      <c r="CCJ75" s="134"/>
      <c r="CCK75" s="134"/>
      <c r="CCL75" s="134"/>
      <c r="CCM75" s="134"/>
      <c r="CCN75" s="134"/>
      <c r="CCO75" s="134"/>
      <c r="CCP75" s="134"/>
      <c r="CCQ75" s="134"/>
      <c r="CCR75" s="134"/>
      <c r="CCS75" s="134"/>
      <c r="CCT75" s="134"/>
      <c r="CCU75" s="134"/>
      <c r="CCV75" s="134"/>
      <c r="CCW75" s="134"/>
      <c r="CCX75" s="134"/>
      <c r="CCY75" s="134"/>
      <c r="CCZ75" s="134"/>
      <c r="CDA75" s="134"/>
      <c r="CDB75" s="134"/>
      <c r="CDC75" s="134"/>
      <c r="CDD75" s="134"/>
      <c r="CDE75" s="134"/>
      <c r="CDF75" s="134"/>
      <c r="CDG75" s="134"/>
      <c r="CDH75" s="134"/>
      <c r="CDI75" s="134"/>
      <c r="CDJ75" s="134"/>
      <c r="CDK75" s="134"/>
      <c r="CDL75" s="134"/>
      <c r="CDM75" s="134"/>
      <c r="CDN75" s="134"/>
      <c r="CDO75" s="134"/>
      <c r="CDP75" s="134"/>
      <c r="CDQ75" s="134"/>
      <c r="CDR75" s="134"/>
      <c r="CDS75" s="134"/>
      <c r="CDT75" s="134"/>
      <c r="CDU75" s="134"/>
      <c r="CDV75" s="134"/>
      <c r="CDW75" s="134"/>
      <c r="CDX75" s="134"/>
      <c r="CDY75" s="134"/>
      <c r="CDZ75" s="134"/>
      <c r="CEA75" s="134"/>
      <c r="CEB75" s="134"/>
      <c r="CEC75" s="134"/>
      <c r="CED75" s="134"/>
      <c r="CEE75" s="134"/>
      <c r="CEF75" s="134"/>
      <c r="CEG75" s="134"/>
      <c r="CEH75" s="134"/>
      <c r="CEI75" s="134"/>
      <c r="CEJ75" s="134"/>
      <c r="CEK75" s="134"/>
      <c r="CEL75" s="134"/>
      <c r="CEM75" s="134"/>
      <c r="CEN75" s="134"/>
      <c r="CEO75" s="134"/>
      <c r="CEP75" s="134"/>
      <c r="CEQ75" s="134"/>
      <c r="CER75" s="134"/>
      <c r="CES75" s="134"/>
      <c r="CET75" s="134"/>
      <c r="CEU75" s="134"/>
      <c r="CEV75" s="134"/>
      <c r="CEW75" s="134"/>
      <c r="CEX75" s="134"/>
      <c r="CEY75" s="134"/>
      <c r="CEZ75" s="134"/>
      <c r="CFA75" s="134"/>
      <c r="CFB75" s="134"/>
      <c r="CFC75" s="134"/>
      <c r="CFD75" s="134"/>
      <c r="CFE75" s="134"/>
      <c r="CFF75" s="134"/>
      <c r="CFG75" s="134"/>
      <c r="CFH75" s="134"/>
      <c r="CFI75" s="134"/>
      <c r="CFJ75" s="134"/>
      <c r="CFK75" s="134"/>
      <c r="CFL75" s="134"/>
      <c r="CFM75" s="134"/>
      <c r="CFN75" s="134"/>
      <c r="CFO75" s="134"/>
      <c r="CFP75" s="134"/>
      <c r="CFQ75" s="134"/>
      <c r="CFR75" s="134"/>
      <c r="CFS75" s="134"/>
      <c r="CFT75" s="134"/>
      <c r="CFU75" s="134"/>
      <c r="CFV75" s="134"/>
      <c r="CFW75" s="134"/>
      <c r="CFX75" s="134"/>
      <c r="CFY75" s="134"/>
      <c r="CFZ75" s="134"/>
      <c r="CGA75" s="134"/>
      <c r="CGB75" s="134"/>
      <c r="CGC75" s="134"/>
      <c r="CGD75" s="134"/>
      <c r="CGE75" s="134"/>
      <c r="CGF75" s="134"/>
      <c r="CGG75" s="134"/>
      <c r="CGH75" s="134"/>
      <c r="CGI75" s="134"/>
      <c r="CGJ75" s="134"/>
      <c r="CGK75" s="134"/>
      <c r="CGL75" s="134"/>
      <c r="CGM75" s="134"/>
      <c r="CGN75" s="134"/>
      <c r="CGO75" s="134"/>
      <c r="CGP75" s="134"/>
      <c r="CGQ75" s="134"/>
      <c r="CGR75" s="134"/>
      <c r="CGS75" s="134"/>
      <c r="CGT75" s="134"/>
      <c r="CGU75" s="134"/>
      <c r="CGV75" s="134"/>
      <c r="CGW75" s="134"/>
      <c r="CGX75" s="134"/>
      <c r="CGY75" s="134"/>
      <c r="CGZ75" s="134"/>
      <c r="CHA75" s="134"/>
      <c r="CHB75" s="134"/>
      <c r="CHC75" s="134"/>
      <c r="CHD75" s="134"/>
      <c r="CHE75" s="134"/>
      <c r="CHF75" s="134"/>
      <c r="CHG75" s="134"/>
      <c r="CHH75" s="134"/>
      <c r="CHI75" s="134"/>
      <c r="CHJ75" s="134"/>
      <c r="CHK75" s="134"/>
      <c r="CHL75" s="134"/>
      <c r="CHM75" s="134"/>
      <c r="CHN75" s="134"/>
      <c r="CHO75" s="134"/>
      <c r="CHP75" s="134"/>
      <c r="CHQ75" s="134"/>
      <c r="CHR75" s="134"/>
      <c r="CHS75" s="134"/>
      <c r="CHT75" s="134"/>
      <c r="CHU75" s="134"/>
      <c r="CHV75" s="134"/>
      <c r="CHW75" s="134"/>
      <c r="CHX75" s="134"/>
      <c r="CHY75" s="134"/>
      <c r="CHZ75" s="134"/>
      <c r="CIA75" s="134"/>
      <c r="CIB75" s="134"/>
      <c r="CIC75" s="134"/>
      <c r="CID75" s="134"/>
      <c r="CIE75" s="134"/>
      <c r="CIF75" s="134"/>
      <c r="CIG75" s="134"/>
      <c r="CIH75" s="134"/>
      <c r="CII75" s="134"/>
      <c r="CIJ75" s="134"/>
      <c r="CIK75" s="134"/>
      <c r="CIL75" s="134"/>
      <c r="CIM75" s="134"/>
      <c r="CIN75" s="134"/>
      <c r="CIO75" s="134"/>
      <c r="CIP75" s="134"/>
      <c r="CIQ75" s="134"/>
      <c r="CIR75" s="134"/>
      <c r="CIS75" s="134"/>
      <c r="CIT75" s="134"/>
      <c r="CIU75" s="134"/>
      <c r="CIV75" s="134"/>
      <c r="CIW75" s="134"/>
      <c r="CIX75" s="134"/>
      <c r="CIY75" s="134"/>
      <c r="CIZ75" s="134"/>
      <c r="CJA75" s="134"/>
      <c r="CJB75" s="134"/>
      <c r="CJC75" s="134"/>
      <c r="CJD75" s="134"/>
      <c r="CJE75" s="134"/>
      <c r="CJF75" s="134"/>
      <c r="CJG75" s="134"/>
      <c r="CJH75" s="134"/>
      <c r="CJI75" s="134"/>
      <c r="CJJ75" s="134"/>
      <c r="CJK75" s="134"/>
      <c r="CJL75" s="134"/>
      <c r="CJM75" s="134"/>
      <c r="CJN75" s="134"/>
      <c r="CJO75" s="134"/>
      <c r="CJP75" s="134"/>
      <c r="CJQ75" s="134"/>
      <c r="CJR75" s="134"/>
      <c r="CJS75" s="134"/>
      <c r="CJT75" s="134"/>
      <c r="CJU75" s="134"/>
      <c r="CJV75" s="134"/>
      <c r="CJW75" s="134"/>
      <c r="CJX75" s="134"/>
      <c r="CJY75" s="134"/>
      <c r="CJZ75" s="134"/>
      <c r="CKA75" s="134"/>
      <c r="CKB75" s="134"/>
      <c r="CKC75" s="134"/>
      <c r="CKD75" s="134"/>
      <c r="CKE75" s="134"/>
      <c r="CKF75" s="134"/>
      <c r="CKG75" s="134"/>
      <c r="CKH75" s="134"/>
      <c r="CKI75" s="134"/>
      <c r="CKJ75" s="134"/>
      <c r="CKK75" s="134"/>
      <c r="CKL75" s="134"/>
      <c r="CKM75" s="134"/>
      <c r="CKN75" s="134"/>
      <c r="CKO75" s="134"/>
      <c r="CKP75" s="134"/>
      <c r="CKQ75" s="134"/>
      <c r="CKR75" s="134"/>
      <c r="CKS75" s="134"/>
      <c r="CKT75" s="134"/>
      <c r="CKU75" s="134"/>
      <c r="CKV75" s="134"/>
      <c r="CKW75" s="134"/>
      <c r="CKX75" s="134"/>
      <c r="CKY75" s="134"/>
      <c r="CKZ75" s="134"/>
      <c r="CLA75" s="134"/>
      <c r="CLB75" s="134"/>
      <c r="CLC75" s="134"/>
      <c r="CLD75" s="134"/>
      <c r="CLE75" s="134"/>
      <c r="CLF75" s="134"/>
      <c r="CLG75" s="134"/>
      <c r="CLH75" s="134"/>
      <c r="CLI75" s="134"/>
      <c r="CLJ75" s="134"/>
      <c r="CLK75" s="134"/>
      <c r="CLL75" s="134"/>
      <c r="CLM75" s="134"/>
      <c r="CLN75" s="134"/>
      <c r="CLO75" s="134"/>
      <c r="CLP75" s="134"/>
      <c r="CLQ75" s="134"/>
      <c r="CLR75" s="134"/>
      <c r="CLS75" s="134"/>
      <c r="CLT75" s="134"/>
      <c r="CLU75" s="134"/>
      <c r="CLV75" s="134"/>
      <c r="CLW75" s="134"/>
      <c r="CLX75" s="134"/>
      <c r="CLY75" s="134"/>
      <c r="CLZ75" s="134"/>
      <c r="CMA75" s="134"/>
      <c r="CMB75" s="134"/>
      <c r="CMC75" s="134"/>
      <c r="CMD75" s="134"/>
      <c r="CME75" s="134"/>
      <c r="CMF75" s="134"/>
      <c r="CMG75" s="134"/>
      <c r="CMH75" s="134"/>
      <c r="CMI75" s="134"/>
      <c r="CMJ75" s="134"/>
      <c r="CMK75" s="134"/>
      <c r="CML75" s="134"/>
      <c r="CMM75" s="134"/>
      <c r="CMN75" s="134"/>
      <c r="CMO75" s="134"/>
      <c r="CMP75" s="134"/>
      <c r="CMQ75" s="134"/>
      <c r="CMR75" s="134"/>
      <c r="CMS75" s="134"/>
      <c r="CMT75" s="134"/>
      <c r="CMU75" s="134"/>
      <c r="CMV75" s="134"/>
      <c r="CMW75" s="134"/>
      <c r="CMX75" s="134"/>
      <c r="CMY75" s="134"/>
      <c r="CMZ75" s="134"/>
      <c r="CNA75" s="134"/>
      <c r="CNB75" s="134"/>
      <c r="CNC75" s="134"/>
      <c r="CND75" s="134"/>
      <c r="CNE75" s="134"/>
      <c r="CNF75" s="134"/>
      <c r="CNG75" s="134"/>
      <c r="CNH75" s="134"/>
      <c r="CNI75" s="134"/>
      <c r="CNJ75" s="134"/>
      <c r="CNK75" s="134"/>
      <c r="CNL75" s="134"/>
      <c r="CNM75" s="134"/>
      <c r="CNN75" s="134"/>
      <c r="CNO75" s="134"/>
      <c r="CNP75" s="134"/>
      <c r="CNQ75" s="134"/>
      <c r="CNR75" s="134"/>
      <c r="CNS75" s="134"/>
      <c r="CNT75" s="134"/>
      <c r="CNU75" s="134"/>
      <c r="CNV75" s="134"/>
      <c r="CNW75" s="134"/>
      <c r="CNX75" s="134"/>
      <c r="CNY75" s="134"/>
      <c r="CNZ75" s="134"/>
      <c r="COA75" s="134"/>
      <c r="COB75" s="134"/>
      <c r="COC75" s="134"/>
      <c r="COD75" s="134"/>
      <c r="COE75" s="134"/>
      <c r="COF75" s="134"/>
      <c r="COG75" s="134"/>
      <c r="COH75" s="134"/>
      <c r="COI75" s="134"/>
      <c r="COJ75" s="134"/>
      <c r="COK75" s="134"/>
      <c r="COL75" s="134"/>
      <c r="COM75" s="134"/>
      <c r="CON75" s="134"/>
      <c r="COO75" s="134"/>
      <c r="COP75" s="134"/>
      <c r="COQ75" s="134"/>
      <c r="COR75" s="134"/>
      <c r="COS75" s="134"/>
      <c r="COT75" s="134"/>
      <c r="COU75" s="134"/>
      <c r="COV75" s="134"/>
      <c r="COW75" s="134"/>
      <c r="COX75" s="134"/>
      <c r="COY75" s="134"/>
      <c r="COZ75" s="134"/>
      <c r="CPA75" s="134"/>
      <c r="CPB75" s="134"/>
      <c r="CPC75" s="134"/>
      <c r="CPD75" s="134"/>
      <c r="CPE75" s="134"/>
      <c r="CPF75" s="134"/>
      <c r="CPG75" s="134"/>
      <c r="CPH75" s="134"/>
      <c r="CPI75" s="134"/>
      <c r="CPJ75" s="134"/>
      <c r="CPK75" s="134"/>
      <c r="CPL75" s="134"/>
      <c r="CPM75" s="134"/>
      <c r="CPN75" s="134"/>
      <c r="CPO75" s="134"/>
      <c r="CPP75" s="134"/>
      <c r="CPQ75" s="134"/>
      <c r="CPR75" s="134"/>
      <c r="CPS75" s="134"/>
      <c r="CPT75" s="134"/>
      <c r="CPU75" s="134"/>
      <c r="CPV75" s="134"/>
      <c r="CPW75" s="134"/>
      <c r="CPX75" s="134"/>
      <c r="CPY75" s="134"/>
      <c r="CPZ75" s="134"/>
      <c r="CQA75" s="134"/>
      <c r="CQB75" s="134"/>
      <c r="CQC75" s="134"/>
      <c r="CQD75" s="134"/>
      <c r="CQE75" s="134"/>
      <c r="CQF75" s="134"/>
      <c r="CQG75" s="134"/>
      <c r="CQH75" s="134"/>
      <c r="CQI75" s="134"/>
      <c r="CQJ75" s="134"/>
      <c r="CQK75" s="134"/>
      <c r="CQL75" s="134"/>
      <c r="CQM75" s="134"/>
      <c r="CQN75" s="134"/>
      <c r="CQO75" s="134"/>
      <c r="CQP75" s="134"/>
      <c r="CQQ75" s="134"/>
      <c r="CQR75" s="134"/>
      <c r="CQS75" s="134"/>
      <c r="CQT75" s="134"/>
      <c r="CQU75" s="134"/>
      <c r="CQV75" s="134"/>
      <c r="CQW75" s="134"/>
      <c r="CQX75" s="134"/>
      <c r="CQY75" s="134"/>
      <c r="CQZ75" s="134"/>
      <c r="CRA75" s="134"/>
      <c r="CRB75" s="134"/>
      <c r="CRC75" s="134"/>
      <c r="CRD75" s="134"/>
      <c r="CRE75" s="134"/>
      <c r="CRF75" s="134"/>
      <c r="CRG75" s="134"/>
      <c r="CRH75" s="134"/>
      <c r="CRI75" s="134"/>
      <c r="CRJ75" s="134"/>
      <c r="CRK75" s="134"/>
      <c r="CRL75" s="134"/>
      <c r="CRM75" s="134"/>
      <c r="CRN75" s="134"/>
      <c r="CRO75" s="134"/>
      <c r="CRP75" s="134"/>
      <c r="CRQ75" s="134"/>
      <c r="CRR75" s="134"/>
      <c r="CRS75" s="134"/>
      <c r="CRT75" s="134"/>
      <c r="CRU75" s="134"/>
      <c r="CRV75" s="134"/>
      <c r="CRW75" s="134"/>
      <c r="CRX75" s="134"/>
      <c r="CRY75" s="134"/>
      <c r="CRZ75" s="134"/>
      <c r="CSA75" s="134"/>
      <c r="CSB75" s="134"/>
      <c r="CSC75" s="134"/>
      <c r="CSD75" s="134"/>
      <c r="CSE75" s="134"/>
      <c r="CSF75" s="134"/>
      <c r="CSG75" s="134"/>
      <c r="CSH75" s="134"/>
      <c r="CSI75" s="134"/>
      <c r="CSJ75" s="134"/>
      <c r="CSK75" s="134"/>
      <c r="CSL75" s="134"/>
      <c r="CSM75" s="134"/>
      <c r="CSN75" s="134"/>
      <c r="CSO75" s="134"/>
      <c r="CSP75" s="134"/>
      <c r="CSQ75" s="134"/>
      <c r="CSR75" s="134"/>
      <c r="CSS75" s="134"/>
      <c r="CST75" s="134"/>
      <c r="CSU75" s="134"/>
      <c r="CSV75" s="134"/>
      <c r="CSW75" s="134"/>
      <c r="CSX75" s="134"/>
      <c r="CSY75" s="134"/>
      <c r="CSZ75" s="134"/>
      <c r="CTA75" s="134"/>
      <c r="CTB75" s="134"/>
      <c r="CTC75" s="134"/>
      <c r="CTD75" s="134"/>
      <c r="CTE75" s="134"/>
      <c r="CTF75" s="134"/>
      <c r="CTG75" s="134"/>
      <c r="CTH75" s="134"/>
      <c r="CTI75" s="134"/>
      <c r="CTJ75" s="134"/>
      <c r="CTK75" s="134"/>
      <c r="CTL75" s="134"/>
      <c r="CTM75" s="134"/>
      <c r="CTN75" s="134"/>
      <c r="CTO75" s="134"/>
      <c r="CTP75" s="134"/>
      <c r="CTQ75" s="134"/>
      <c r="CTR75" s="134"/>
      <c r="CTS75" s="134"/>
      <c r="CTT75" s="134"/>
      <c r="CTU75" s="134"/>
      <c r="CTV75" s="134"/>
      <c r="CTW75" s="134"/>
      <c r="CTX75" s="134"/>
      <c r="CTY75" s="134"/>
      <c r="CTZ75" s="134"/>
      <c r="CUA75" s="134"/>
      <c r="CUB75" s="134"/>
      <c r="CUC75" s="134"/>
      <c r="CUD75" s="134"/>
      <c r="CUE75" s="134"/>
      <c r="CUF75" s="134"/>
      <c r="CUG75" s="134"/>
      <c r="CUH75" s="134"/>
      <c r="CUI75" s="134"/>
      <c r="CUJ75" s="134"/>
      <c r="CUK75" s="134"/>
      <c r="CUL75" s="134"/>
      <c r="CUM75" s="134"/>
      <c r="CUN75" s="134"/>
      <c r="CUO75" s="134"/>
      <c r="CUP75" s="134"/>
      <c r="CUQ75" s="134"/>
      <c r="CUR75" s="134"/>
      <c r="CUS75" s="134"/>
      <c r="CUT75" s="134"/>
      <c r="CUU75" s="134"/>
      <c r="CUV75" s="134"/>
      <c r="CUW75" s="134"/>
      <c r="CUX75" s="134"/>
      <c r="CUY75" s="134"/>
      <c r="CUZ75" s="134"/>
      <c r="CVA75" s="134"/>
      <c r="CVB75" s="134"/>
      <c r="CVC75" s="134"/>
      <c r="CVD75" s="134"/>
      <c r="CVE75" s="134"/>
      <c r="CVF75" s="134"/>
      <c r="CVG75" s="134"/>
      <c r="CVH75" s="134"/>
      <c r="CVI75" s="134"/>
      <c r="CVJ75" s="134"/>
      <c r="CVK75" s="134"/>
      <c r="CVL75" s="134"/>
      <c r="CVM75" s="134"/>
      <c r="CVN75" s="134"/>
      <c r="CVO75" s="134"/>
      <c r="CVP75" s="134"/>
      <c r="CVQ75" s="134"/>
      <c r="CVR75" s="134"/>
      <c r="CVS75" s="134"/>
      <c r="CVT75" s="134"/>
      <c r="CVU75" s="134"/>
      <c r="CVV75" s="134"/>
      <c r="CVW75" s="134"/>
      <c r="CVX75" s="134"/>
      <c r="CVY75" s="134"/>
      <c r="CVZ75" s="134"/>
      <c r="CWA75" s="134"/>
      <c r="CWB75" s="134"/>
      <c r="CWC75" s="134"/>
      <c r="CWD75" s="134"/>
      <c r="CWE75" s="134"/>
      <c r="CWF75" s="134"/>
      <c r="CWG75" s="134"/>
      <c r="CWH75" s="134"/>
      <c r="CWI75" s="134"/>
      <c r="CWJ75" s="134"/>
      <c r="CWK75" s="134"/>
      <c r="CWL75" s="134"/>
      <c r="CWM75" s="134"/>
      <c r="CWN75" s="134"/>
      <c r="CWO75" s="134"/>
      <c r="CWP75" s="134"/>
      <c r="CWQ75" s="134"/>
      <c r="CWR75" s="134"/>
      <c r="CWS75" s="134"/>
      <c r="CWT75" s="134"/>
      <c r="CWU75" s="134"/>
      <c r="CWV75" s="134"/>
      <c r="CWW75" s="134"/>
      <c r="CWX75" s="134"/>
      <c r="CWY75" s="134"/>
      <c r="CWZ75" s="134"/>
      <c r="CXA75" s="134"/>
      <c r="CXB75" s="134"/>
      <c r="CXC75" s="134"/>
      <c r="CXD75" s="134"/>
      <c r="CXE75" s="134"/>
      <c r="CXF75" s="134"/>
      <c r="CXG75" s="134"/>
      <c r="CXH75" s="134"/>
      <c r="CXI75" s="134"/>
      <c r="CXJ75" s="134"/>
      <c r="CXK75" s="134"/>
      <c r="CXL75" s="134"/>
      <c r="CXM75" s="134"/>
      <c r="CXN75" s="134"/>
      <c r="CXO75" s="134"/>
      <c r="CXP75" s="134"/>
      <c r="CXQ75" s="134"/>
      <c r="CXR75" s="134"/>
      <c r="CXS75" s="134"/>
      <c r="CXT75" s="134"/>
      <c r="CXU75" s="134"/>
      <c r="CXV75" s="134"/>
      <c r="CXW75" s="134"/>
      <c r="CXX75" s="134"/>
      <c r="CXY75" s="134"/>
      <c r="CXZ75" s="134"/>
      <c r="CYA75" s="134"/>
      <c r="CYB75" s="134"/>
      <c r="CYC75" s="134"/>
      <c r="CYD75" s="134"/>
      <c r="CYE75" s="134"/>
      <c r="CYF75" s="134"/>
      <c r="CYG75" s="134"/>
      <c r="CYH75" s="134"/>
      <c r="CYI75" s="134"/>
      <c r="CYJ75" s="134"/>
      <c r="CYK75" s="134"/>
      <c r="CYL75" s="134"/>
      <c r="CYM75" s="134"/>
      <c r="CYN75" s="134"/>
      <c r="CYO75" s="134"/>
      <c r="CYP75" s="134"/>
      <c r="CYQ75" s="134"/>
      <c r="CYR75" s="134"/>
      <c r="CYS75" s="134"/>
      <c r="CYT75" s="134"/>
      <c r="CYU75" s="134"/>
      <c r="CYV75" s="134"/>
      <c r="CYW75" s="134"/>
      <c r="CYX75" s="134"/>
      <c r="CYY75" s="134"/>
      <c r="CYZ75" s="134"/>
      <c r="CZA75" s="134"/>
      <c r="CZB75" s="134"/>
      <c r="CZC75" s="134"/>
      <c r="CZD75" s="134"/>
      <c r="CZE75" s="134"/>
      <c r="CZF75" s="134"/>
      <c r="CZG75" s="134"/>
      <c r="CZH75" s="134"/>
      <c r="CZI75" s="134"/>
      <c r="CZJ75" s="134"/>
      <c r="CZK75" s="134"/>
      <c r="CZL75" s="134"/>
      <c r="CZM75" s="134"/>
      <c r="CZN75" s="134"/>
      <c r="CZO75" s="134"/>
      <c r="CZP75" s="134"/>
      <c r="CZQ75" s="134"/>
      <c r="CZR75" s="134"/>
      <c r="CZS75" s="134"/>
      <c r="CZT75" s="134"/>
      <c r="CZU75" s="134"/>
      <c r="CZV75" s="134"/>
      <c r="CZW75" s="134"/>
      <c r="CZX75" s="134"/>
      <c r="CZY75" s="134"/>
      <c r="CZZ75" s="134"/>
      <c r="DAA75" s="134"/>
      <c r="DAB75" s="134"/>
      <c r="DAC75" s="134"/>
      <c r="DAD75" s="134"/>
      <c r="DAE75" s="134"/>
      <c r="DAF75" s="134"/>
      <c r="DAG75" s="134"/>
      <c r="DAH75" s="134"/>
      <c r="DAI75" s="134"/>
      <c r="DAJ75" s="134"/>
      <c r="DAK75" s="134"/>
      <c r="DAL75" s="134"/>
      <c r="DAM75" s="134"/>
      <c r="DAN75" s="134"/>
      <c r="DAO75" s="134"/>
      <c r="DAP75" s="134"/>
      <c r="DAQ75" s="134"/>
      <c r="DAR75" s="134"/>
      <c r="DAS75" s="134"/>
      <c r="DAT75" s="134"/>
      <c r="DAU75" s="134"/>
      <c r="DAV75" s="134"/>
      <c r="DAW75" s="134"/>
      <c r="DAX75" s="134"/>
      <c r="DAY75" s="134"/>
      <c r="DAZ75" s="134"/>
      <c r="DBA75" s="134"/>
      <c r="DBB75" s="134"/>
      <c r="DBC75" s="134"/>
      <c r="DBD75" s="134"/>
      <c r="DBE75" s="134"/>
      <c r="DBF75" s="134"/>
      <c r="DBG75" s="134"/>
      <c r="DBH75" s="134"/>
      <c r="DBI75" s="134"/>
      <c r="DBJ75" s="134"/>
      <c r="DBK75" s="134"/>
      <c r="DBL75" s="134"/>
      <c r="DBM75" s="134"/>
      <c r="DBN75" s="134"/>
      <c r="DBO75" s="134"/>
      <c r="DBP75" s="134"/>
      <c r="DBQ75" s="134"/>
      <c r="DBR75" s="134"/>
      <c r="DBS75" s="134"/>
      <c r="DBT75" s="134"/>
      <c r="DBU75" s="134"/>
      <c r="DBV75" s="134"/>
      <c r="DBW75" s="134"/>
      <c r="DBX75" s="134"/>
      <c r="DBY75" s="134"/>
      <c r="DBZ75" s="134"/>
      <c r="DCA75" s="134"/>
      <c r="DCB75" s="134"/>
      <c r="DCC75" s="134"/>
      <c r="DCD75" s="134"/>
      <c r="DCE75" s="134"/>
      <c r="DCF75" s="134"/>
      <c r="DCG75" s="134"/>
      <c r="DCH75" s="134"/>
      <c r="DCI75" s="134"/>
      <c r="DCJ75" s="134"/>
      <c r="DCK75" s="134"/>
      <c r="DCL75" s="134"/>
      <c r="DCM75" s="134"/>
      <c r="DCN75" s="134"/>
      <c r="DCO75" s="134"/>
      <c r="DCP75" s="134"/>
      <c r="DCQ75" s="134"/>
      <c r="DCR75" s="134"/>
      <c r="DCS75" s="134"/>
      <c r="DCT75" s="134"/>
      <c r="DCU75" s="134"/>
      <c r="DCV75" s="134"/>
      <c r="DCW75" s="134"/>
      <c r="DCX75" s="134"/>
      <c r="DCY75" s="134"/>
      <c r="DCZ75" s="134"/>
      <c r="DDA75" s="134"/>
      <c r="DDB75" s="134"/>
      <c r="DDC75" s="134"/>
      <c r="DDD75" s="134"/>
      <c r="DDE75" s="134"/>
      <c r="DDF75" s="134"/>
      <c r="DDG75" s="134"/>
      <c r="DDH75" s="134"/>
      <c r="DDI75" s="134"/>
      <c r="DDJ75" s="134"/>
      <c r="DDK75" s="134"/>
      <c r="DDL75" s="134"/>
      <c r="DDM75" s="134"/>
      <c r="DDN75" s="134"/>
      <c r="DDO75" s="134"/>
      <c r="DDP75" s="134"/>
      <c r="DDQ75" s="134"/>
      <c r="DDR75" s="134"/>
      <c r="DDS75" s="134"/>
      <c r="DDT75" s="134"/>
      <c r="DDU75" s="134"/>
      <c r="DDV75" s="134"/>
      <c r="DDW75" s="134"/>
      <c r="DDX75" s="134"/>
      <c r="DDY75" s="134"/>
      <c r="DDZ75" s="134"/>
      <c r="DEA75" s="134"/>
      <c r="DEB75" s="134"/>
      <c r="DEC75" s="134"/>
      <c r="DED75" s="134"/>
      <c r="DEE75" s="134"/>
      <c r="DEF75" s="134"/>
      <c r="DEG75" s="134"/>
      <c r="DEH75" s="134"/>
      <c r="DEI75" s="134"/>
      <c r="DEJ75" s="134"/>
      <c r="DEK75" s="134"/>
      <c r="DEL75" s="134"/>
      <c r="DEM75" s="134"/>
      <c r="DEN75" s="134"/>
      <c r="DEO75" s="134"/>
      <c r="DEP75" s="134"/>
      <c r="DEQ75" s="134"/>
      <c r="DER75" s="134"/>
      <c r="DES75" s="134"/>
      <c r="DET75" s="134"/>
      <c r="DEU75" s="134"/>
      <c r="DEV75" s="134"/>
      <c r="DEW75" s="134"/>
      <c r="DEX75" s="134"/>
      <c r="DEY75" s="134"/>
      <c r="DEZ75" s="134"/>
      <c r="DFA75" s="134"/>
      <c r="DFB75" s="134"/>
      <c r="DFC75" s="134"/>
      <c r="DFD75" s="134"/>
      <c r="DFE75" s="134"/>
      <c r="DFF75" s="134"/>
      <c r="DFG75" s="134"/>
      <c r="DFH75" s="134"/>
      <c r="DFI75" s="134"/>
      <c r="DFJ75" s="134"/>
      <c r="DFK75" s="134"/>
      <c r="DFL75" s="134"/>
      <c r="DFM75" s="134"/>
      <c r="DFN75" s="134"/>
      <c r="DFO75" s="134"/>
      <c r="DFP75" s="134"/>
      <c r="DFQ75" s="134"/>
      <c r="DFR75" s="134"/>
      <c r="DFS75" s="134"/>
      <c r="DFT75" s="134"/>
      <c r="DFU75" s="134"/>
      <c r="DFV75" s="134"/>
      <c r="DFW75" s="134"/>
      <c r="DFX75" s="134"/>
      <c r="DFY75" s="134"/>
      <c r="DFZ75" s="134"/>
      <c r="DGA75" s="134"/>
      <c r="DGB75" s="134"/>
      <c r="DGC75" s="134"/>
      <c r="DGD75" s="134"/>
      <c r="DGE75" s="134"/>
      <c r="DGF75" s="134"/>
      <c r="DGG75" s="134"/>
      <c r="DGH75" s="134"/>
      <c r="DGI75" s="134"/>
      <c r="DGJ75" s="134"/>
      <c r="DGK75" s="134"/>
      <c r="DGL75" s="134"/>
      <c r="DGM75" s="134"/>
      <c r="DGN75" s="134"/>
      <c r="DGO75" s="134"/>
      <c r="DGP75" s="134"/>
      <c r="DGQ75" s="134"/>
      <c r="DGR75" s="134"/>
      <c r="DGS75" s="134"/>
      <c r="DGT75" s="134"/>
      <c r="DGU75" s="134"/>
      <c r="DGV75" s="134"/>
      <c r="DGW75" s="134"/>
      <c r="DGX75" s="134"/>
      <c r="DGY75" s="134"/>
      <c r="DGZ75" s="134"/>
      <c r="DHA75" s="134"/>
      <c r="DHB75" s="134"/>
      <c r="DHC75" s="134"/>
      <c r="DHD75" s="134"/>
      <c r="DHE75" s="134"/>
      <c r="DHF75" s="134"/>
      <c r="DHG75" s="134"/>
      <c r="DHH75" s="134"/>
      <c r="DHI75" s="134"/>
      <c r="DHJ75" s="134"/>
      <c r="DHK75" s="134"/>
      <c r="DHL75" s="134"/>
      <c r="DHM75" s="134"/>
      <c r="DHN75" s="134"/>
      <c r="DHO75" s="134"/>
      <c r="DHP75" s="134"/>
      <c r="DHQ75" s="134"/>
      <c r="DHR75" s="134"/>
      <c r="DHS75" s="134"/>
      <c r="DHT75" s="134"/>
      <c r="DHU75" s="134"/>
      <c r="DHV75" s="134"/>
      <c r="DHW75" s="134"/>
      <c r="DHX75" s="134"/>
      <c r="DHY75" s="134"/>
      <c r="DHZ75" s="134"/>
      <c r="DIA75" s="134"/>
      <c r="DIB75" s="134"/>
      <c r="DIC75" s="134"/>
      <c r="DID75" s="134"/>
      <c r="DIE75" s="134"/>
      <c r="DIF75" s="134"/>
      <c r="DIG75" s="134"/>
      <c r="DIH75" s="134"/>
      <c r="DII75" s="134"/>
      <c r="DIJ75" s="134"/>
      <c r="DIK75" s="134"/>
      <c r="DIL75" s="134"/>
      <c r="DIM75" s="134"/>
      <c r="DIN75" s="134"/>
      <c r="DIO75" s="134"/>
      <c r="DIP75" s="134"/>
      <c r="DIQ75" s="134"/>
      <c r="DIR75" s="134"/>
      <c r="DIS75" s="134"/>
      <c r="DIT75" s="134"/>
      <c r="DIU75" s="134"/>
      <c r="DIV75" s="134"/>
      <c r="DIW75" s="134"/>
      <c r="DIX75" s="134"/>
      <c r="DIY75" s="134"/>
      <c r="DIZ75" s="134"/>
      <c r="DJA75" s="134"/>
      <c r="DJB75" s="134"/>
      <c r="DJC75" s="134"/>
      <c r="DJD75" s="134"/>
      <c r="DJE75" s="134"/>
      <c r="DJF75" s="134"/>
      <c r="DJG75" s="134"/>
      <c r="DJH75" s="134"/>
      <c r="DJI75" s="134"/>
      <c r="DJJ75" s="134"/>
      <c r="DJK75" s="134"/>
      <c r="DJL75" s="134"/>
      <c r="DJM75" s="134"/>
      <c r="DJN75" s="134"/>
      <c r="DJO75" s="134"/>
      <c r="DJP75" s="134"/>
      <c r="DJQ75" s="134"/>
      <c r="DJR75" s="134"/>
      <c r="DJS75" s="134"/>
      <c r="DJT75" s="134"/>
      <c r="DJU75" s="134"/>
      <c r="DJV75" s="134"/>
      <c r="DJW75" s="134"/>
      <c r="DJX75" s="134"/>
      <c r="DJY75" s="134"/>
      <c r="DJZ75" s="134"/>
      <c r="DKA75" s="134"/>
      <c r="DKB75" s="134"/>
      <c r="DKC75" s="134"/>
      <c r="DKD75" s="134"/>
      <c r="DKE75" s="134"/>
      <c r="DKF75" s="134"/>
      <c r="DKG75" s="134"/>
      <c r="DKH75" s="134"/>
      <c r="DKI75" s="134"/>
      <c r="DKJ75" s="134"/>
      <c r="DKK75" s="134"/>
      <c r="DKL75" s="134"/>
      <c r="DKM75" s="134"/>
      <c r="DKN75" s="134"/>
      <c r="DKO75" s="134"/>
      <c r="DKP75" s="134"/>
      <c r="DKQ75" s="134"/>
      <c r="DKR75" s="134"/>
      <c r="DKS75" s="134"/>
      <c r="DKT75" s="134"/>
      <c r="DKU75" s="134"/>
      <c r="DKV75" s="134"/>
      <c r="DKW75" s="134"/>
      <c r="DKX75" s="134"/>
      <c r="DKY75" s="134"/>
      <c r="DKZ75" s="134"/>
      <c r="DLA75" s="134"/>
      <c r="DLB75" s="134"/>
      <c r="DLC75" s="134"/>
      <c r="DLD75" s="134"/>
      <c r="DLE75" s="134"/>
      <c r="DLF75" s="134"/>
      <c r="DLG75" s="134"/>
      <c r="DLH75" s="134"/>
      <c r="DLI75" s="134"/>
      <c r="DLJ75" s="134"/>
      <c r="DLK75" s="134"/>
      <c r="DLL75" s="134"/>
      <c r="DLM75" s="134"/>
      <c r="DLN75" s="134"/>
      <c r="DLO75" s="134"/>
      <c r="DLP75" s="134"/>
      <c r="DLQ75" s="134"/>
      <c r="DLR75" s="134"/>
      <c r="DLS75" s="134"/>
      <c r="DLT75" s="134"/>
      <c r="DLU75" s="134"/>
      <c r="DLV75" s="134"/>
      <c r="DLW75" s="134"/>
      <c r="DLX75" s="134"/>
      <c r="DLY75" s="134"/>
      <c r="DLZ75" s="134"/>
      <c r="DMA75" s="134"/>
      <c r="DMB75" s="134"/>
      <c r="DMC75" s="134"/>
      <c r="DMD75" s="134"/>
      <c r="DME75" s="134"/>
      <c r="DMF75" s="134"/>
      <c r="DMG75" s="134"/>
      <c r="DMH75" s="134"/>
      <c r="DMI75" s="134"/>
      <c r="DMJ75" s="134"/>
      <c r="DMK75" s="134"/>
      <c r="DML75" s="134"/>
      <c r="DMM75" s="134"/>
      <c r="DMN75" s="134"/>
      <c r="DMO75" s="134"/>
      <c r="DMP75" s="134"/>
      <c r="DMQ75" s="134"/>
      <c r="DMR75" s="134"/>
      <c r="DMS75" s="134"/>
      <c r="DMT75" s="134"/>
      <c r="DMU75" s="134"/>
      <c r="DMV75" s="134"/>
      <c r="DMW75" s="134"/>
      <c r="DMX75" s="134"/>
      <c r="DMY75" s="134"/>
      <c r="DMZ75" s="134"/>
      <c r="DNA75" s="134"/>
      <c r="DNB75" s="134"/>
      <c r="DNC75" s="134"/>
      <c r="DND75" s="134"/>
      <c r="DNE75" s="134"/>
      <c r="DNF75" s="134"/>
      <c r="DNG75" s="134"/>
      <c r="DNH75" s="134"/>
      <c r="DNI75" s="134"/>
      <c r="DNJ75" s="134"/>
      <c r="DNK75" s="134"/>
      <c r="DNL75" s="134"/>
      <c r="DNM75" s="134"/>
      <c r="DNN75" s="134"/>
      <c r="DNO75" s="134"/>
      <c r="DNP75" s="134"/>
      <c r="DNQ75" s="134"/>
      <c r="DNR75" s="134"/>
      <c r="DNS75" s="134"/>
      <c r="DNT75" s="134"/>
      <c r="DNU75" s="134"/>
      <c r="DNV75" s="134"/>
      <c r="DNW75" s="134"/>
      <c r="DNX75" s="134"/>
      <c r="DNY75" s="134"/>
      <c r="DNZ75" s="134"/>
      <c r="DOA75" s="134"/>
      <c r="DOB75" s="134"/>
      <c r="DOC75" s="134"/>
      <c r="DOD75" s="134"/>
      <c r="DOE75" s="134"/>
      <c r="DOF75" s="134"/>
      <c r="DOG75" s="134"/>
      <c r="DOH75" s="134"/>
      <c r="DOI75" s="134"/>
      <c r="DOJ75" s="134"/>
      <c r="DOK75" s="134"/>
      <c r="DOL75" s="134"/>
      <c r="DOM75" s="134"/>
      <c r="DON75" s="134"/>
      <c r="DOO75" s="134"/>
      <c r="DOP75" s="134"/>
      <c r="DOQ75" s="134"/>
      <c r="DOR75" s="134"/>
      <c r="DOS75" s="134"/>
      <c r="DOT75" s="134"/>
      <c r="DOU75" s="134"/>
      <c r="DOV75" s="134"/>
      <c r="DOW75" s="134"/>
      <c r="DOX75" s="134"/>
      <c r="DOY75" s="134"/>
      <c r="DOZ75" s="134"/>
      <c r="DPA75" s="134"/>
      <c r="DPB75" s="134"/>
      <c r="DPC75" s="134"/>
      <c r="DPD75" s="134"/>
      <c r="DPE75" s="134"/>
      <c r="DPF75" s="134"/>
      <c r="DPG75" s="134"/>
      <c r="DPH75" s="134"/>
      <c r="DPI75" s="134"/>
      <c r="DPJ75" s="134"/>
      <c r="DPK75" s="134"/>
      <c r="DPL75" s="134"/>
      <c r="DPM75" s="134"/>
      <c r="DPN75" s="134"/>
      <c r="DPO75" s="134"/>
      <c r="DPP75" s="134"/>
      <c r="DPQ75" s="134"/>
      <c r="DPR75" s="134"/>
      <c r="DPS75" s="134"/>
      <c r="DPT75" s="134"/>
      <c r="DPU75" s="134"/>
      <c r="DPV75" s="134"/>
      <c r="DPW75" s="134"/>
      <c r="DPX75" s="134"/>
      <c r="DPY75" s="134"/>
      <c r="DPZ75" s="134"/>
      <c r="DQA75" s="134"/>
      <c r="DQB75" s="134"/>
      <c r="DQC75" s="134"/>
      <c r="DQD75" s="134"/>
      <c r="DQE75" s="134"/>
      <c r="DQF75" s="134"/>
      <c r="DQG75" s="134"/>
      <c r="DQH75" s="134"/>
      <c r="DQI75" s="134"/>
      <c r="DQJ75" s="134"/>
      <c r="DQK75" s="134"/>
      <c r="DQL75" s="134"/>
      <c r="DQM75" s="134"/>
      <c r="DQN75" s="134"/>
      <c r="DQO75" s="134"/>
      <c r="DQP75" s="134"/>
      <c r="DQQ75" s="134"/>
      <c r="DQR75" s="134"/>
      <c r="DQS75" s="134"/>
      <c r="DQT75" s="134"/>
      <c r="DQU75" s="134"/>
      <c r="DQV75" s="134"/>
      <c r="DQW75" s="134"/>
      <c r="DQX75" s="134"/>
      <c r="DQY75" s="134"/>
      <c r="DQZ75" s="134"/>
      <c r="DRA75" s="134"/>
      <c r="DRB75" s="134"/>
      <c r="DRC75" s="134"/>
      <c r="DRD75" s="134"/>
      <c r="DRE75" s="134"/>
      <c r="DRF75" s="134"/>
      <c r="DRG75" s="134"/>
      <c r="DRH75" s="134"/>
      <c r="DRI75" s="134"/>
      <c r="DRJ75" s="134"/>
      <c r="DRK75" s="134"/>
      <c r="DRL75" s="134"/>
      <c r="DRM75" s="134"/>
      <c r="DRN75" s="134"/>
      <c r="DRO75" s="134"/>
      <c r="DRP75" s="134"/>
      <c r="DRQ75" s="134"/>
      <c r="DRR75" s="134"/>
      <c r="DRS75" s="134"/>
      <c r="DRT75" s="134"/>
      <c r="DRU75" s="134"/>
      <c r="DRV75" s="134"/>
      <c r="DRW75" s="134"/>
      <c r="DRX75" s="134"/>
      <c r="DRY75" s="134"/>
      <c r="DRZ75" s="134"/>
      <c r="DSA75" s="134"/>
      <c r="DSB75" s="134"/>
      <c r="DSC75" s="134"/>
      <c r="DSD75" s="134"/>
      <c r="DSE75" s="134"/>
      <c r="DSF75" s="134"/>
      <c r="DSG75" s="134"/>
      <c r="DSH75" s="134"/>
      <c r="DSI75" s="134"/>
      <c r="DSJ75" s="134"/>
      <c r="DSK75" s="134"/>
      <c r="DSL75" s="134"/>
      <c r="DSM75" s="134"/>
      <c r="DSN75" s="134"/>
      <c r="DSO75" s="134"/>
      <c r="DSP75" s="134"/>
      <c r="DSQ75" s="134"/>
      <c r="DSR75" s="134"/>
      <c r="DSS75" s="134"/>
      <c r="DST75" s="134"/>
      <c r="DSU75" s="134"/>
      <c r="DSV75" s="134"/>
      <c r="DSW75" s="134"/>
      <c r="DSX75" s="134"/>
      <c r="DSY75" s="134"/>
      <c r="DSZ75" s="134"/>
      <c r="DTA75" s="134"/>
      <c r="DTB75" s="134"/>
      <c r="DTC75" s="134"/>
      <c r="DTD75" s="134"/>
      <c r="DTE75" s="134"/>
      <c r="DTF75" s="134"/>
      <c r="DTG75" s="134"/>
      <c r="DTH75" s="134"/>
      <c r="DTI75" s="134"/>
      <c r="DTJ75" s="134"/>
      <c r="DTK75" s="134"/>
      <c r="DTL75" s="134"/>
      <c r="DTM75" s="134"/>
      <c r="DTN75" s="134"/>
      <c r="DTO75" s="134"/>
      <c r="DTP75" s="134"/>
      <c r="DTQ75" s="134"/>
      <c r="DTR75" s="134"/>
      <c r="DTS75" s="134"/>
      <c r="DTT75" s="134"/>
      <c r="DTU75" s="134"/>
      <c r="DTV75" s="134"/>
      <c r="DTW75" s="134"/>
      <c r="DTX75" s="134"/>
      <c r="DTY75" s="134"/>
      <c r="DTZ75" s="134"/>
      <c r="DUA75" s="134"/>
      <c r="DUB75" s="134"/>
      <c r="DUC75" s="134"/>
      <c r="DUD75" s="134"/>
      <c r="DUE75" s="134"/>
      <c r="DUF75" s="134"/>
      <c r="DUG75" s="134"/>
      <c r="DUH75" s="134"/>
      <c r="DUI75" s="134"/>
      <c r="DUJ75" s="134"/>
      <c r="DUK75" s="134"/>
      <c r="DUL75" s="134"/>
      <c r="DUM75" s="134"/>
      <c r="DUN75" s="134"/>
      <c r="DUO75" s="134"/>
      <c r="DUP75" s="134"/>
      <c r="DUQ75" s="134"/>
      <c r="DUR75" s="134"/>
      <c r="DUS75" s="134"/>
      <c r="DUT75" s="134"/>
      <c r="DUU75" s="134"/>
      <c r="DUV75" s="134"/>
      <c r="DUW75" s="134"/>
      <c r="DUX75" s="134"/>
      <c r="DUY75" s="134"/>
      <c r="DUZ75" s="134"/>
      <c r="DVA75" s="134"/>
      <c r="DVB75" s="134"/>
      <c r="DVC75" s="134"/>
      <c r="DVD75" s="134"/>
      <c r="DVE75" s="134"/>
      <c r="DVF75" s="134"/>
      <c r="DVG75" s="134"/>
      <c r="DVH75" s="134"/>
      <c r="DVI75" s="134"/>
      <c r="DVJ75" s="134"/>
      <c r="DVK75" s="134"/>
      <c r="DVL75" s="134"/>
      <c r="DVM75" s="134"/>
      <c r="DVN75" s="134"/>
      <c r="DVO75" s="134"/>
      <c r="DVP75" s="134"/>
      <c r="DVQ75" s="134"/>
      <c r="DVR75" s="134"/>
      <c r="DVS75" s="134"/>
      <c r="DVT75" s="134"/>
      <c r="DVU75" s="134"/>
      <c r="DVV75" s="134"/>
      <c r="DVW75" s="134"/>
      <c r="DVX75" s="134"/>
      <c r="DVY75" s="134"/>
      <c r="DVZ75" s="134"/>
      <c r="DWA75" s="134"/>
      <c r="DWB75" s="134"/>
      <c r="DWC75" s="134"/>
      <c r="DWD75" s="134"/>
      <c r="DWE75" s="134"/>
      <c r="DWF75" s="134"/>
      <c r="DWG75" s="134"/>
      <c r="DWH75" s="134"/>
      <c r="DWI75" s="134"/>
      <c r="DWJ75" s="134"/>
      <c r="DWK75" s="134"/>
      <c r="DWL75" s="134"/>
      <c r="DWM75" s="134"/>
      <c r="DWN75" s="134"/>
      <c r="DWO75" s="134"/>
      <c r="DWP75" s="134"/>
      <c r="DWQ75" s="134"/>
      <c r="DWR75" s="134"/>
      <c r="DWS75" s="134"/>
      <c r="DWT75" s="134"/>
      <c r="DWU75" s="134"/>
      <c r="DWV75" s="134"/>
      <c r="DWW75" s="134"/>
      <c r="DWX75" s="134"/>
      <c r="DWY75" s="134"/>
      <c r="DWZ75" s="134"/>
      <c r="DXA75" s="134"/>
      <c r="DXB75" s="134"/>
      <c r="DXC75" s="134"/>
      <c r="DXD75" s="134"/>
      <c r="DXE75" s="134"/>
      <c r="DXF75" s="134"/>
      <c r="DXG75" s="134"/>
      <c r="DXH75" s="134"/>
      <c r="DXI75" s="134"/>
      <c r="DXJ75" s="134"/>
      <c r="DXK75" s="134"/>
      <c r="DXL75" s="134"/>
      <c r="DXM75" s="134"/>
      <c r="DXN75" s="134"/>
      <c r="DXO75" s="134"/>
      <c r="DXP75" s="134"/>
      <c r="DXQ75" s="134"/>
      <c r="DXR75" s="134"/>
      <c r="DXS75" s="134"/>
      <c r="DXT75" s="134"/>
      <c r="DXU75" s="134"/>
      <c r="DXV75" s="134"/>
      <c r="DXW75" s="134"/>
      <c r="DXX75" s="134"/>
      <c r="DXY75" s="134"/>
      <c r="DXZ75" s="134"/>
      <c r="DYA75" s="134"/>
      <c r="DYB75" s="134"/>
      <c r="DYC75" s="134"/>
      <c r="DYD75" s="134"/>
      <c r="DYE75" s="134"/>
      <c r="DYF75" s="134"/>
      <c r="DYG75" s="134"/>
      <c r="DYH75" s="134"/>
      <c r="DYI75" s="134"/>
      <c r="DYJ75" s="134"/>
      <c r="DYK75" s="134"/>
      <c r="DYL75" s="134"/>
      <c r="DYM75" s="134"/>
      <c r="DYN75" s="134"/>
      <c r="DYO75" s="134"/>
      <c r="DYP75" s="134"/>
      <c r="DYQ75" s="134"/>
      <c r="DYR75" s="134"/>
      <c r="DYS75" s="134"/>
      <c r="DYT75" s="134"/>
      <c r="DYU75" s="134"/>
      <c r="DYV75" s="134"/>
      <c r="DYW75" s="134"/>
      <c r="DYX75" s="134"/>
      <c r="DYY75" s="134"/>
      <c r="DYZ75" s="134"/>
      <c r="DZA75" s="134"/>
      <c r="DZB75" s="134"/>
      <c r="DZC75" s="134"/>
      <c r="DZD75" s="134"/>
      <c r="DZE75" s="134"/>
      <c r="DZF75" s="134"/>
      <c r="DZG75" s="134"/>
      <c r="DZH75" s="134"/>
      <c r="DZI75" s="134"/>
      <c r="DZJ75" s="134"/>
      <c r="DZK75" s="134"/>
      <c r="DZL75" s="134"/>
      <c r="DZM75" s="134"/>
      <c r="DZN75" s="134"/>
      <c r="DZO75" s="134"/>
      <c r="DZP75" s="134"/>
      <c r="DZQ75" s="134"/>
      <c r="DZR75" s="134"/>
      <c r="DZS75" s="134"/>
      <c r="DZT75" s="134"/>
      <c r="DZU75" s="134"/>
      <c r="DZV75" s="134"/>
      <c r="DZW75" s="134"/>
      <c r="DZX75" s="134"/>
      <c r="DZY75" s="134"/>
      <c r="DZZ75" s="134"/>
      <c r="EAA75" s="134"/>
      <c r="EAB75" s="134"/>
      <c r="EAC75" s="134"/>
      <c r="EAD75" s="134"/>
      <c r="EAE75" s="134"/>
      <c r="EAF75" s="134"/>
      <c r="EAG75" s="134"/>
      <c r="EAH75" s="134"/>
      <c r="EAI75" s="134"/>
      <c r="EAJ75" s="134"/>
      <c r="EAK75" s="134"/>
      <c r="EAL75" s="134"/>
      <c r="EAM75" s="134"/>
      <c r="EAN75" s="134"/>
      <c r="EAO75" s="134"/>
      <c r="EAP75" s="134"/>
      <c r="EAQ75" s="134"/>
      <c r="EAR75" s="134"/>
      <c r="EAS75" s="134"/>
      <c r="EAT75" s="134"/>
      <c r="EAU75" s="134"/>
      <c r="EAV75" s="134"/>
      <c r="EAW75" s="134"/>
      <c r="EAX75" s="134"/>
      <c r="EAY75" s="134"/>
      <c r="EAZ75" s="134"/>
      <c r="EBA75" s="134"/>
      <c r="EBB75" s="134"/>
      <c r="EBC75" s="134"/>
      <c r="EBD75" s="134"/>
      <c r="EBE75" s="134"/>
      <c r="EBF75" s="134"/>
      <c r="EBG75" s="134"/>
      <c r="EBH75" s="134"/>
      <c r="EBI75" s="134"/>
      <c r="EBJ75" s="134"/>
      <c r="EBK75" s="134"/>
      <c r="EBL75" s="134"/>
      <c r="EBM75" s="134"/>
      <c r="EBN75" s="134"/>
      <c r="EBO75" s="134"/>
      <c r="EBP75" s="134"/>
      <c r="EBQ75" s="134"/>
      <c r="EBR75" s="134"/>
      <c r="EBS75" s="134"/>
      <c r="EBT75" s="134"/>
      <c r="EBU75" s="134"/>
      <c r="EBV75" s="134"/>
      <c r="EBW75" s="134"/>
      <c r="EBX75" s="134"/>
      <c r="EBY75" s="134"/>
      <c r="EBZ75" s="134"/>
      <c r="ECA75" s="134"/>
      <c r="ECB75" s="134"/>
      <c r="ECC75" s="134"/>
      <c r="ECD75" s="134"/>
      <c r="ECE75" s="134"/>
      <c r="ECF75" s="134"/>
      <c r="ECG75" s="134"/>
      <c r="ECH75" s="134"/>
      <c r="ECI75" s="134"/>
      <c r="ECJ75" s="134"/>
      <c r="ECK75" s="134"/>
      <c r="ECL75" s="134"/>
      <c r="ECM75" s="134"/>
      <c r="ECN75" s="134"/>
      <c r="ECO75" s="134"/>
      <c r="ECP75" s="134"/>
      <c r="ECQ75" s="134"/>
      <c r="ECR75" s="134"/>
      <c r="ECS75" s="134"/>
      <c r="ECT75" s="134"/>
      <c r="ECU75" s="134"/>
      <c r="ECV75" s="134"/>
      <c r="ECW75" s="134"/>
      <c r="ECX75" s="134"/>
      <c r="ECY75" s="134"/>
      <c r="ECZ75" s="134"/>
      <c r="EDA75" s="134"/>
      <c r="EDB75" s="134"/>
      <c r="EDC75" s="134"/>
      <c r="EDD75" s="134"/>
      <c r="EDE75" s="134"/>
      <c r="EDF75" s="134"/>
      <c r="EDG75" s="134"/>
      <c r="EDH75" s="134"/>
      <c r="EDI75" s="134"/>
      <c r="EDJ75" s="134"/>
      <c r="EDK75" s="134"/>
      <c r="EDL75" s="134"/>
      <c r="EDM75" s="134"/>
      <c r="EDN75" s="134"/>
      <c r="EDO75" s="134"/>
      <c r="EDP75" s="134"/>
      <c r="EDQ75" s="134"/>
      <c r="EDR75" s="134"/>
      <c r="EDS75" s="134"/>
      <c r="EDT75" s="134"/>
      <c r="EDU75" s="134"/>
      <c r="EDV75" s="134"/>
      <c r="EDW75" s="134"/>
      <c r="EDX75" s="134"/>
      <c r="EDY75" s="134"/>
      <c r="EDZ75" s="134"/>
      <c r="EEA75" s="134"/>
      <c r="EEB75" s="134"/>
      <c r="EEC75" s="134"/>
      <c r="EED75" s="134"/>
      <c r="EEE75" s="134"/>
      <c r="EEF75" s="134"/>
      <c r="EEG75" s="134"/>
      <c r="EEH75" s="134"/>
      <c r="EEI75" s="134"/>
      <c r="EEJ75" s="134"/>
      <c r="EEK75" s="134"/>
      <c r="EEL75" s="134"/>
      <c r="EEM75" s="134"/>
      <c r="EEN75" s="134"/>
      <c r="EEO75" s="134"/>
      <c r="EEP75" s="134"/>
      <c r="EEQ75" s="134"/>
      <c r="EER75" s="134"/>
      <c r="EES75" s="134"/>
      <c r="EET75" s="134"/>
      <c r="EEU75" s="134"/>
      <c r="EEV75" s="134"/>
      <c r="EEW75" s="134"/>
      <c r="EEX75" s="134"/>
      <c r="EEY75" s="134"/>
      <c r="EEZ75" s="134"/>
      <c r="EFA75" s="134"/>
      <c r="EFB75" s="134"/>
      <c r="EFC75" s="134"/>
      <c r="EFD75" s="134"/>
      <c r="EFE75" s="134"/>
      <c r="EFF75" s="134"/>
      <c r="EFG75" s="134"/>
      <c r="EFH75" s="134"/>
      <c r="EFI75" s="134"/>
      <c r="EFJ75" s="134"/>
      <c r="EFK75" s="134"/>
      <c r="EFL75" s="134"/>
      <c r="EFM75" s="134"/>
      <c r="EFN75" s="134"/>
      <c r="EFO75" s="134"/>
      <c r="EFP75" s="134"/>
      <c r="EFQ75" s="134"/>
      <c r="EFR75" s="134"/>
      <c r="EFS75" s="134"/>
      <c r="EFT75" s="134"/>
      <c r="EFU75" s="134"/>
      <c r="EFV75" s="134"/>
      <c r="EFW75" s="134"/>
      <c r="EFX75" s="134"/>
      <c r="EFY75" s="134"/>
      <c r="EFZ75" s="134"/>
      <c r="EGA75" s="134"/>
      <c r="EGB75" s="134"/>
      <c r="EGC75" s="134"/>
      <c r="EGD75" s="134"/>
      <c r="EGE75" s="134"/>
      <c r="EGF75" s="134"/>
      <c r="EGG75" s="134"/>
      <c r="EGH75" s="134"/>
      <c r="EGI75" s="134"/>
      <c r="EGJ75" s="134"/>
      <c r="EGK75" s="134"/>
      <c r="EGL75" s="134"/>
      <c r="EGM75" s="134"/>
      <c r="EGN75" s="134"/>
      <c r="EGO75" s="134"/>
      <c r="EGP75" s="134"/>
      <c r="EGQ75" s="134"/>
      <c r="EGR75" s="134"/>
      <c r="EGS75" s="134"/>
      <c r="EGT75" s="134"/>
      <c r="EGU75" s="134"/>
      <c r="EGV75" s="134"/>
      <c r="EGW75" s="134"/>
      <c r="EGX75" s="134"/>
      <c r="EGY75" s="134"/>
      <c r="EGZ75" s="134"/>
      <c r="EHA75" s="134"/>
      <c r="EHB75" s="134"/>
      <c r="EHC75" s="134"/>
      <c r="EHD75" s="134"/>
      <c r="EHE75" s="134"/>
      <c r="EHF75" s="134"/>
      <c r="EHG75" s="134"/>
      <c r="EHH75" s="134"/>
      <c r="EHI75" s="134"/>
      <c r="EHJ75" s="134"/>
      <c r="EHK75" s="134"/>
      <c r="EHL75" s="134"/>
      <c r="EHM75" s="134"/>
      <c r="EHN75" s="134"/>
      <c r="EHO75" s="134"/>
      <c r="EHP75" s="134"/>
      <c r="EHQ75" s="134"/>
      <c r="EHR75" s="134"/>
      <c r="EHS75" s="134"/>
      <c r="EHT75" s="134"/>
      <c r="EHU75" s="134"/>
      <c r="EHV75" s="134"/>
      <c r="EHW75" s="134"/>
      <c r="EHX75" s="134"/>
      <c r="EHY75" s="134"/>
      <c r="EHZ75" s="134"/>
      <c r="EIA75" s="134"/>
      <c r="EIB75" s="134"/>
      <c r="EIC75" s="134"/>
      <c r="EID75" s="134"/>
      <c r="EIE75" s="134"/>
      <c r="EIF75" s="134"/>
      <c r="EIG75" s="134"/>
      <c r="EIH75" s="134"/>
      <c r="EII75" s="134"/>
      <c r="EIJ75" s="134"/>
      <c r="EIK75" s="134"/>
      <c r="EIL75" s="134"/>
      <c r="EIM75" s="134"/>
      <c r="EIN75" s="134"/>
      <c r="EIO75" s="134"/>
      <c r="EIP75" s="134"/>
      <c r="EIQ75" s="134"/>
      <c r="EIR75" s="134"/>
      <c r="EIS75" s="134"/>
      <c r="EIT75" s="134"/>
      <c r="EIU75" s="134"/>
      <c r="EIV75" s="134"/>
      <c r="EIW75" s="134"/>
      <c r="EIX75" s="134"/>
      <c r="EIY75" s="134"/>
      <c r="EIZ75" s="134"/>
      <c r="EJA75" s="134"/>
      <c r="EJB75" s="134"/>
      <c r="EJC75" s="134"/>
      <c r="EJD75" s="134"/>
      <c r="EJE75" s="134"/>
      <c r="EJF75" s="134"/>
      <c r="EJG75" s="134"/>
      <c r="EJH75" s="134"/>
      <c r="EJI75" s="134"/>
      <c r="EJJ75" s="134"/>
      <c r="EJK75" s="134"/>
      <c r="EJL75" s="134"/>
      <c r="EJM75" s="134"/>
      <c r="EJN75" s="134"/>
      <c r="EJO75" s="134"/>
      <c r="EJP75" s="134"/>
      <c r="EJQ75" s="134"/>
      <c r="EJR75" s="134"/>
      <c r="EJS75" s="134"/>
      <c r="EJT75" s="134"/>
      <c r="EJU75" s="134"/>
      <c r="EJV75" s="134"/>
      <c r="EJW75" s="134"/>
      <c r="EJX75" s="134"/>
      <c r="EJY75" s="134"/>
      <c r="EJZ75" s="134"/>
      <c r="EKA75" s="134"/>
      <c r="EKB75" s="134"/>
      <c r="EKC75" s="134"/>
      <c r="EKD75" s="134"/>
      <c r="EKE75" s="134"/>
      <c r="EKF75" s="134"/>
      <c r="EKG75" s="134"/>
      <c r="EKH75" s="134"/>
      <c r="EKI75" s="134"/>
      <c r="EKJ75" s="134"/>
      <c r="EKK75" s="134"/>
      <c r="EKL75" s="134"/>
      <c r="EKM75" s="134"/>
      <c r="EKN75" s="134"/>
      <c r="EKO75" s="134"/>
      <c r="EKP75" s="134"/>
      <c r="EKQ75" s="134"/>
      <c r="EKR75" s="134"/>
      <c r="EKS75" s="134"/>
      <c r="EKT75" s="134"/>
      <c r="EKU75" s="134"/>
      <c r="EKV75" s="134"/>
      <c r="EKW75" s="134"/>
      <c r="EKX75" s="134"/>
      <c r="EKY75" s="134"/>
      <c r="EKZ75" s="134"/>
      <c r="ELA75" s="134"/>
      <c r="ELB75" s="134"/>
      <c r="ELC75" s="134"/>
      <c r="ELD75" s="134"/>
      <c r="ELE75" s="134"/>
      <c r="ELF75" s="134"/>
      <c r="ELG75" s="134"/>
      <c r="ELH75" s="134"/>
      <c r="ELI75" s="134"/>
      <c r="ELJ75" s="134"/>
      <c r="ELK75" s="134"/>
      <c r="ELL75" s="134"/>
      <c r="ELM75" s="134"/>
      <c r="ELN75" s="134"/>
      <c r="ELO75" s="134"/>
      <c r="ELP75" s="134"/>
      <c r="ELQ75" s="134"/>
      <c r="ELR75" s="134"/>
      <c r="ELS75" s="134"/>
      <c r="ELT75" s="134"/>
      <c r="ELU75" s="134"/>
      <c r="ELV75" s="134"/>
      <c r="ELW75" s="134"/>
      <c r="ELX75" s="134"/>
      <c r="ELY75" s="134"/>
      <c r="ELZ75" s="134"/>
      <c r="EMA75" s="134"/>
      <c r="EMB75" s="134"/>
      <c r="EMC75" s="134"/>
      <c r="EMD75" s="134"/>
      <c r="EME75" s="134"/>
      <c r="EMF75" s="134"/>
      <c r="EMG75" s="134"/>
      <c r="EMH75" s="134"/>
      <c r="EMI75" s="134"/>
      <c r="EMJ75" s="134"/>
      <c r="EMK75" s="134"/>
      <c r="EML75" s="134"/>
      <c r="EMM75" s="134"/>
      <c r="EMN75" s="134"/>
      <c r="EMO75" s="134"/>
      <c r="EMP75" s="134"/>
      <c r="EMQ75" s="134"/>
      <c r="EMR75" s="134"/>
      <c r="EMS75" s="134"/>
      <c r="EMT75" s="134"/>
      <c r="EMU75" s="134"/>
      <c r="EMV75" s="134"/>
      <c r="EMW75" s="134"/>
      <c r="EMX75" s="134"/>
      <c r="EMY75" s="134"/>
      <c r="EMZ75" s="134"/>
      <c r="ENA75" s="134"/>
      <c r="ENB75" s="134"/>
      <c r="ENC75" s="134"/>
      <c r="END75" s="134"/>
      <c r="ENE75" s="134"/>
      <c r="ENF75" s="134"/>
      <c r="ENG75" s="134"/>
      <c r="ENH75" s="134"/>
      <c r="ENI75" s="134"/>
      <c r="ENJ75" s="134"/>
      <c r="ENK75" s="134"/>
      <c r="ENL75" s="134"/>
      <c r="ENM75" s="134"/>
      <c r="ENN75" s="134"/>
      <c r="ENO75" s="134"/>
      <c r="ENP75" s="134"/>
      <c r="ENQ75" s="134"/>
      <c r="ENR75" s="134"/>
      <c r="ENS75" s="134"/>
      <c r="ENT75" s="134"/>
      <c r="ENU75" s="134"/>
      <c r="ENV75" s="134"/>
      <c r="ENW75" s="134"/>
      <c r="ENX75" s="134"/>
      <c r="ENY75" s="134"/>
      <c r="ENZ75" s="134"/>
      <c r="EOA75" s="134"/>
      <c r="EOB75" s="134"/>
      <c r="EOC75" s="134"/>
      <c r="EOD75" s="134"/>
      <c r="EOE75" s="134"/>
      <c r="EOF75" s="134"/>
      <c r="EOG75" s="134"/>
      <c r="EOH75" s="134"/>
      <c r="EOI75" s="134"/>
      <c r="EOJ75" s="134"/>
      <c r="EOK75" s="134"/>
      <c r="EOL75" s="134"/>
      <c r="EOM75" s="134"/>
      <c r="EON75" s="134"/>
      <c r="EOO75" s="134"/>
      <c r="EOP75" s="134"/>
      <c r="EOQ75" s="134"/>
      <c r="EOR75" s="134"/>
      <c r="EOS75" s="134"/>
      <c r="EOT75" s="134"/>
      <c r="EOU75" s="134"/>
      <c r="EOV75" s="134"/>
      <c r="EOW75" s="134"/>
      <c r="EOX75" s="134"/>
      <c r="EOY75" s="134"/>
      <c r="EOZ75" s="134"/>
      <c r="EPA75" s="134"/>
      <c r="EPB75" s="134"/>
      <c r="EPC75" s="134"/>
      <c r="EPD75" s="134"/>
      <c r="EPE75" s="134"/>
      <c r="EPF75" s="134"/>
      <c r="EPG75" s="134"/>
      <c r="EPH75" s="134"/>
      <c r="EPI75" s="134"/>
      <c r="EPJ75" s="134"/>
      <c r="EPK75" s="134"/>
      <c r="EPL75" s="134"/>
      <c r="EPM75" s="134"/>
      <c r="EPN75" s="134"/>
      <c r="EPO75" s="134"/>
      <c r="EPP75" s="134"/>
      <c r="EPQ75" s="134"/>
      <c r="EPR75" s="134"/>
      <c r="EPS75" s="134"/>
      <c r="EPT75" s="134"/>
      <c r="EPU75" s="134"/>
      <c r="EPV75" s="134"/>
      <c r="EPW75" s="134"/>
      <c r="EPX75" s="134"/>
      <c r="EPY75" s="134"/>
      <c r="EPZ75" s="134"/>
      <c r="EQA75" s="134"/>
      <c r="EQB75" s="134"/>
      <c r="EQC75" s="134"/>
      <c r="EQD75" s="134"/>
      <c r="EQE75" s="134"/>
      <c r="EQF75" s="134"/>
      <c r="EQG75" s="134"/>
      <c r="EQH75" s="134"/>
      <c r="EQI75" s="134"/>
      <c r="EQJ75" s="134"/>
      <c r="EQK75" s="134"/>
      <c r="EQL75" s="134"/>
      <c r="EQM75" s="134"/>
      <c r="EQN75" s="134"/>
      <c r="EQO75" s="134"/>
      <c r="EQP75" s="134"/>
      <c r="EQQ75" s="134"/>
      <c r="EQR75" s="134"/>
      <c r="EQS75" s="134"/>
      <c r="EQT75" s="134"/>
      <c r="EQU75" s="134"/>
      <c r="EQV75" s="134"/>
      <c r="EQW75" s="134"/>
      <c r="EQX75" s="134"/>
      <c r="EQY75" s="134"/>
      <c r="EQZ75" s="134"/>
      <c r="ERA75" s="134"/>
      <c r="ERB75" s="134"/>
      <c r="ERC75" s="134"/>
      <c r="ERD75" s="134"/>
      <c r="ERE75" s="134"/>
      <c r="ERF75" s="134"/>
      <c r="ERG75" s="134"/>
      <c r="ERH75" s="134"/>
      <c r="ERI75" s="134"/>
      <c r="ERJ75" s="134"/>
      <c r="ERK75" s="134"/>
      <c r="ERL75" s="134"/>
      <c r="ERM75" s="134"/>
      <c r="ERN75" s="134"/>
      <c r="ERO75" s="134"/>
      <c r="ERP75" s="134"/>
      <c r="ERQ75" s="134"/>
      <c r="ERR75" s="134"/>
      <c r="ERS75" s="134"/>
      <c r="ERT75" s="134"/>
      <c r="ERU75" s="134"/>
      <c r="ERV75" s="134"/>
      <c r="ERW75" s="134"/>
      <c r="ERX75" s="134"/>
      <c r="ERY75" s="134"/>
      <c r="ERZ75" s="134"/>
      <c r="ESA75" s="134"/>
      <c r="ESB75" s="134"/>
      <c r="ESC75" s="134"/>
      <c r="ESD75" s="134"/>
      <c r="ESE75" s="134"/>
      <c r="ESF75" s="134"/>
      <c r="ESG75" s="134"/>
      <c r="ESH75" s="134"/>
      <c r="ESI75" s="134"/>
      <c r="ESJ75" s="134"/>
      <c r="ESK75" s="134"/>
      <c r="ESL75" s="134"/>
      <c r="ESM75" s="134"/>
      <c r="ESN75" s="134"/>
      <c r="ESO75" s="134"/>
      <c r="ESP75" s="134"/>
      <c r="ESQ75" s="134"/>
      <c r="ESR75" s="134"/>
      <c r="ESS75" s="134"/>
      <c r="EST75" s="134"/>
      <c r="ESU75" s="134"/>
      <c r="ESV75" s="134"/>
      <c r="ESW75" s="134"/>
      <c r="ESX75" s="134"/>
      <c r="ESY75" s="134"/>
      <c r="ESZ75" s="134"/>
      <c r="ETA75" s="134"/>
      <c r="ETB75" s="134"/>
      <c r="ETC75" s="134"/>
      <c r="ETD75" s="134"/>
      <c r="ETE75" s="134"/>
      <c r="ETF75" s="134"/>
      <c r="ETG75" s="134"/>
      <c r="ETH75" s="134"/>
      <c r="ETI75" s="134"/>
      <c r="ETJ75" s="134"/>
      <c r="ETK75" s="134"/>
      <c r="ETL75" s="134"/>
      <c r="ETM75" s="134"/>
      <c r="ETN75" s="134"/>
      <c r="ETO75" s="134"/>
      <c r="ETP75" s="134"/>
      <c r="ETQ75" s="134"/>
      <c r="ETR75" s="134"/>
      <c r="ETS75" s="134"/>
      <c r="ETT75" s="134"/>
      <c r="ETU75" s="134"/>
      <c r="ETV75" s="134"/>
      <c r="ETW75" s="134"/>
      <c r="ETX75" s="134"/>
      <c r="ETY75" s="134"/>
      <c r="ETZ75" s="134"/>
      <c r="EUA75" s="134"/>
      <c r="EUB75" s="134"/>
      <c r="EUC75" s="134"/>
      <c r="EUD75" s="134"/>
      <c r="EUE75" s="134"/>
      <c r="EUF75" s="134"/>
      <c r="EUG75" s="134"/>
      <c r="EUH75" s="134"/>
      <c r="EUI75" s="134"/>
      <c r="EUJ75" s="134"/>
      <c r="EUK75" s="134"/>
      <c r="EUL75" s="134"/>
      <c r="EUM75" s="134"/>
      <c r="EUN75" s="134"/>
      <c r="EUO75" s="134"/>
      <c r="EUP75" s="134"/>
      <c r="EUQ75" s="134"/>
      <c r="EUR75" s="134"/>
      <c r="EUS75" s="134"/>
      <c r="EUT75" s="134"/>
      <c r="EUU75" s="134"/>
      <c r="EUV75" s="134"/>
      <c r="EUW75" s="134"/>
      <c r="EUX75" s="134"/>
      <c r="EUY75" s="134"/>
      <c r="EUZ75" s="134"/>
      <c r="EVA75" s="134"/>
      <c r="EVB75" s="134"/>
      <c r="EVC75" s="134"/>
      <c r="EVD75" s="134"/>
      <c r="EVE75" s="134"/>
      <c r="EVF75" s="134"/>
      <c r="EVG75" s="134"/>
      <c r="EVH75" s="134"/>
      <c r="EVI75" s="134"/>
      <c r="EVJ75" s="134"/>
      <c r="EVK75" s="134"/>
      <c r="EVL75" s="134"/>
      <c r="EVM75" s="134"/>
      <c r="EVN75" s="134"/>
      <c r="EVO75" s="134"/>
      <c r="EVP75" s="134"/>
      <c r="EVQ75" s="134"/>
      <c r="EVR75" s="134"/>
      <c r="EVS75" s="134"/>
      <c r="EVT75" s="134"/>
      <c r="EVU75" s="134"/>
      <c r="EVV75" s="134"/>
      <c r="EVW75" s="134"/>
      <c r="EVX75" s="134"/>
      <c r="EVY75" s="134"/>
      <c r="EVZ75" s="134"/>
      <c r="EWA75" s="134"/>
      <c r="EWB75" s="134"/>
      <c r="EWC75" s="134"/>
      <c r="EWD75" s="134"/>
      <c r="EWE75" s="134"/>
      <c r="EWF75" s="134"/>
      <c r="EWG75" s="134"/>
      <c r="EWH75" s="134"/>
      <c r="EWI75" s="134"/>
      <c r="EWJ75" s="134"/>
      <c r="EWK75" s="134"/>
      <c r="EWL75" s="134"/>
      <c r="EWM75" s="134"/>
      <c r="EWN75" s="134"/>
      <c r="EWO75" s="134"/>
      <c r="EWP75" s="134"/>
      <c r="EWQ75" s="134"/>
      <c r="EWR75" s="134"/>
      <c r="EWS75" s="134"/>
      <c r="EWT75" s="134"/>
      <c r="EWU75" s="134"/>
      <c r="EWV75" s="134"/>
      <c r="EWW75" s="134"/>
      <c r="EWX75" s="134"/>
      <c r="EWY75" s="134"/>
      <c r="EWZ75" s="134"/>
      <c r="EXA75" s="134"/>
      <c r="EXB75" s="134"/>
      <c r="EXC75" s="134"/>
      <c r="EXD75" s="134"/>
      <c r="EXE75" s="134"/>
      <c r="EXF75" s="134"/>
      <c r="EXG75" s="134"/>
      <c r="EXH75" s="134"/>
      <c r="EXI75" s="134"/>
      <c r="EXJ75" s="134"/>
      <c r="EXK75" s="134"/>
      <c r="EXL75" s="134"/>
      <c r="EXM75" s="134"/>
      <c r="EXN75" s="134"/>
      <c r="EXO75" s="134"/>
      <c r="EXP75" s="134"/>
      <c r="EXQ75" s="134"/>
      <c r="EXR75" s="134"/>
      <c r="EXS75" s="134"/>
      <c r="EXT75" s="134"/>
      <c r="EXU75" s="134"/>
      <c r="EXV75" s="134"/>
      <c r="EXW75" s="134"/>
      <c r="EXX75" s="134"/>
      <c r="EXY75" s="134"/>
      <c r="EXZ75" s="134"/>
      <c r="EYA75" s="134"/>
      <c r="EYB75" s="134"/>
      <c r="EYC75" s="134"/>
      <c r="EYD75" s="134"/>
      <c r="EYE75" s="134"/>
      <c r="EYF75" s="134"/>
      <c r="EYG75" s="134"/>
      <c r="EYH75" s="134"/>
      <c r="EYI75" s="134"/>
      <c r="EYJ75" s="134"/>
      <c r="EYK75" s="134"/>
      <c r="EYL75" s="134"/>
      <c r="EYM75" s="134"/>
      <c r="EYN75" s="134"/>
      <c r="EYO75" s="134"/>
      <c r="EYP75" s="134"/>
      <c r="EYQ75" s="134"/>
      <c r="EYR75" s="134"/>
      <c r="EYS75" s="134"/>
      <c r="EYT75" s="134"/>
      <c r="EYU75" s="134"/>
      <c r="EYV75" s="134"/>
      <c r="EYW75" s="134"/>
      <c r="EYX75" s="134"/>
      <c r="EYY75" s="134"/>
      <c r="EYZ75" s="134"/>
      <c r="EZA75" s="134"/>
      <c r="EZB75" s="134"/>
      <c r="EZC75" s="134"/>
      <c r="EZD75" s="134"/>
      <c r="EZE75" s="134"/>
      <c r="EZF75" s="134"/>
      <c r="EZG75" s="134"/>
      <c r="EZH75" s="134"/>
      <c r="EZI75" s="134"/>
      <c r="EZJ75" s="134"/>
      <c r="EZK75" s="134"/>
      <c r="EZL75" s="134"/>
      <c r="EZM75" s="134"/>
      <c r="EZN75" s="134"/>
      <c r="EZO75" s="134"/>
      <c r="EZP75" s="134"/>
      <c r="EZQ75" s="134"/>
      <c r="EZR75" s="134"/>
      <c r="EZS75" s="134"/>
      <c r="EZT75" s="134"/>
      <c r="EZU75" s="134"/>
      <c r="EZV75" s="134"/>
      <c r="EZW75" s="134"/>
      <c r="EZX75" s="134"/>
      <c r="EZY75" s="134"/>
      <c r="EZZ75" s="134"/>
      <c r="FAA75" s="134"/>
      <c r="FAB75" s="134"/>
      <c r="FAC75" s="134"/>
      <c r="FAD75" s="134"/>
      <c r="FAE75" s="134"/>
      <c r="FAF75" s="134"/>
      <c r="FAG75" s="134"/>
      <c r="FAH75" s="134"/>
      <c r="FAI75" s="134"/>
      <c r="FAJ75" s="134"/>
      <c r="FAK75" s="134"/>
      <c r="FAL75" s="134"/>
      <c r="FAM75" s="134"/>
      <c r="FAN75" s="134"/>
      <c r="FAO75" s="134"/>
      <c r="FAP75" s="134"/>
      <c r="FAQ75" s="134"/>
      <c r="FAR75" s="134"/>
      <c r="FAS75" s="134"/>
      <c r="FAT75" s="134"/>
      <c r="FAU75" s="134"/>
      <c r="FAV75" s="134"/>
      <c r="FAW75" s="134"/>
      <c r="FAX75" s="134"/>
      <c r="FAY75" s="134"/>
      <c r="FAZ75" s="134"/>
      <c r="FBA75" s="134"/>
      <c r="FBB75" s="134"/>
      <c r="FBC75" s="134"/>
      <c r="FBD75" s="134"/>
      <c r="FBE75" s="134"/>
      <c r="FBF75" s="134"/>
      <c r="FBG75" s="134"/>
      <c r="FBH75" s="134"/>
      <c r="FBI75" s="134"/>
      <c r="FBJ75" s="134"/>
      <c r="FBK75" s="134"/>
      <c r="FBL75" s="134"/>
      <c r="FBM75" s="134"/>
      <c r="FBN75" s="134"/>
      <c r="FBO75" s="134"/>
      <c r="FBP75" s="134"/>
      <c r="FBQ75" s="134"/>
      <c r="FBR75" s="134"/>
      <c r="FBS75" s="134"/>
      <c r="FBT75" s="134"/>
      <c r="FBU75" s="134"/>
      <c r="FBV75" s="134"/>
      <c r="FBW75" s="134"/>
      <c r="FBX75" s="134"/>
      <c r="FBY75" s="134"/>
      <c r="FBZ75" s="134"/>
      <c r="FCA75" s="134"/>
      <c r="FCB75" s="134"/>
      <c r="FCC75" s="134"/>
      <c r="FCD75" s="134"/>
      <c r="FCE75" s="134"/>
      <c r="FCF75" s="134"/>
      <c r="FCG75" s="134"/>
      <c r="FCH75" s="134"/>
      <c r="FCI75" s="134"/>
      <c r="FCJ75" s="134"/>
      <c r="FCK75" s="134"/>
      <c r="FCL75" s="134"/>
      <c r="FCM75" s="134"/>
      <c r="FCN75" s="134"/>
      <c r="FCO75" s="134"/>
      <c r="FCP75" s="134"/>
      <c r="FCQ75" s="134"/>
      <c r="FCR75" s="134"/>
      <c r="FCS75" s="134"/>
      <c r="FCT75" s="134"/>
      <c r="FCU75" s="134"/>
      <c r="FCV75" s="134"/>
      <c r="FCW75" s="134"/>
      <c r="FCX75" s="134"/>
      <c r="FCY75" s="134"/>
      <c r="FCZ75" s="134"/>
      <c r="FDA75" s="134"/>
      <c r="FDB75" s="134"/>
      <c r="FDC75" s="134"/>
      <c r="FDD75" s="134"/>
      <c r="FDE75" s="134"/>
      <c r="FDF75" s="134"/>
      <c r="FDG75" s="134"/>
      <c r="FDH75" s="134"/>
      <c r="FDI75" s="134"/>
      <c r="FDJ75" s="134"/>
      <c r="FDK75" s="134"/>
      <c r="FDL75" s="134"/>
      <c r="FDM75" s="134"/>
      <c r="FDN75" s="134"/>
      <c r="FDO75" s="134"/>
      <c r="FDP75" s="134"/>
      <c r="FDQ75" s="134"/>
      <c r="FDR75" s="134"/>
      <c r="FDS75" s="134"/>
      <c r="FDT75" s="134"/>
      <c r="FDU75" s="134"/>
      <c r="FDV75" s="134"/>
      <c r="FDW75" s="134"/>
      <c r="FDX75" s="134"/>
      <c r="FDY75" s="134"/>
      <c r="FDZ75" s="134"/>
      <c r="FEA75" s="134"/>
      <c r="FEB75" s="134"/>
      <c r="FEC75" s="134"/>
      <c r="FED75" s="134"/>
      <c r="FEE75" s="134"/>
      <c r="FEF75" s="134"/>
      <c r="FEG75" s="134"/>
      <c r="FEH75" s="134"/>
      <c r="FEI75" s="134"/>
      <c r="FEJ75" s="134"/>
      <c r="FEK75" s="134"/>
      <c r="FEL75" s="134"/>
      <c r="FEM75" s="134"/>
      <c r="FEN75" s="134"/>
      <c r="FEO75" s="134"/>
      <c r="FEP75" s="134"/>
      <c r="FEQ75" s="134"/>
      <c r="FER75" s="134"/>
      <c r="FES75" s="134"/>
      <c r="FET75" s="134"/>
      <c r="FEU75" s="134"/>
      <c r="FEV75" s="134"/>
      <c r="FEW75" s="134"/>
      <c r="FEX75" s="134"/>
      <c r="FEY75" s="134"/>
      <c r="FEZ75" s="134"/>
      <c r="FFA75" s="134"/>
      <c r="FFB75" s="134"/>
      <c r="FFC75" s="134"/>
      <c r="FFD75" s="134"/>
      <c r="FFE75" s="134"/>
      <c r="FFF75" s="134"/>
      <c r="FFG75" s="134"/>
      <c r="FFH75" s="134"/>
      <c r="FFI75" s="134"/>
      <c r="FFJ75" s="134"/>
      <c r="FFK75" s="134"/>
      <c r="FFL75" s="134"/>
      <c r="FFM75" s="134"/>
      <c r="FFN75" s="134"/>
      <c r="FFO75" s="134"/>
      <c r="FFP75" s="134"/>
      <c r="FFQ75" s="134"/>
      <c r="FFR75" s="134"/>
      <c r="FFS75" s="134"/>
      <c r="FFT75" s="134"/>
      <c r="FFU75" s="134"/>
      <c r="FFV75" s="134"/>
      <c r="FFW75" s="134"/>
      <c r="FFX75" s="134"/>
      <c r="FFY75" s="134"/>
      <c r="FFZ75" s="134"/>
      <c r="FGA75" s="134"/>
      <c r="FGB75" s="134"/>
      <c r="FGC75" s="134"/>
      <c r="FGD75" s="134"/>
      <c r="FGE75" s="134"/>
      <c r="FGF75" s="134"/>
      <c r="FGG75" s="134"/>
      <c r="FGH75" s="134"/>
      <c r="FGI75" s="134"/>
      <c r="FGJ75" s="134"/>
      <c r="FGK75" s="134"/>
      <c r="FGL75" s="134"/>
      <c r="FGM75" s="134"/>
      <c r="FGN75" s="134"/>
      <c r="FGO75" s="134"/>
      <c r="FGP75" s="134"/>
      <c r="FGQ75" s="134"/>
      <c r="FGR75" s="134"/>
      <c r="FGS75" s="134"/>
      <c r="FGT75" s="134"/>
      <c r="FGU75" s="134"/>
      <c r="FGV75" s="134"/>
      <c r="FGW75" s="134"/>
      <c r="FGX75" s="134"/>
      <c r="FGY75" s="134"/>
      <c r="FGZ75" s="134"/>
      <c r="FHA75" s="134"/>
      <c r="FHB75" s="134"/>
      <c r="FHC75" s="134"/>
      <c r="FHD75" s="134"/>
      <c r="FHE75" s="134"/>
      <c r="FHF75" s="134"/>
      <c r="FHG75" s="134"/>
      <c r="FHH75" s="134"/>
      <c r="FHI75" s="134"/>
      <c r="FHJ75" s="134"/>
      <c r="FHK75" s="134"/>
      <c r="FHL75" s="134"/>
      <c r="FHM75" s="134"/>
      <c r="FHN75" s="134"/>
      <c r="FHO75" s="134"/>
      <c r="FHP75" s="134"/>
      <c r="FHQ75" s="134"/>
      <c r="FHR75" s="134"/>
      <c r="FHS75" s="134"/>
      <c r="FHT75" s="134"/>
      <c r="FHU75" s="134"/>
      <c r="FHV75" s="134"/>
      <c r="FHW75" s="134"/>
      <c r="FHX75" s="134"/>
      <c r="FHY75" s="134"/>
      <c r="FHZ75" s="134"/>
      <c r="FIA75" s="134"/>
      <c r="FIB75" s="134"/>
      <c r="FIC75" s="134"/>
      <c r="FID75" s="134"/>
      <c r="FIE75" s="134"/>
      <c r="FIF75" s="134"/>
      <c r="FIG75" s="134"/>
      <c r="FIH75" s="134"/>
      <c r="FII75" s="134"/>
      <c r="FIJ75" s="134"/>
      <c r="FIK75" s="134"/>
      <c r="FIL75" s="134"/>
      <c r="FIM75" s="134"/>
      <c r="FIN75" s="134"/>
      <c r="FIO75" s="134"/>
      <c r="FIP75" s="134"/>
      <c r="FIQ75" s="134"/>
      <c r="FIR75" s="134"/>
      <c r="FIS75" s="134"/>
      <c r="FIT75" s="134"/>
      <c r="FIU75" s="134"/>
      <c r="FIV75" s="134"/>
      <c r="FIW75" s="134"/>
      <c r="FIX75" s="134"/>
      <c r="FIY75" s="134"/>
      <c r="FIZ75" s="134"/>
      <c r="FJA75" s="134"/>
      <c r="FJB75" s="134"/>
      <c r="FJC75" s="134"/>
      <c r="FJD75" s="134"/>
      <c r="FJE75" s="134"/>
      <c r="FJF75" s="134"/>
      <c r="FJG75" s="134"/>
      <c r="FJH75" s="134"/>
      <c r="FJI75" s="134"/>
      <c r="FJJ75" s="134"/>
      <c r="FJK75" s="134"/>
      <c r="FJL75" s="134"/>
      <c r="FJM75" s="134"/>
      <c r="FJN75" s="134"/>
      <c r="FJO75" s="134"/>
      <c r="FJP75" s="134"/>
      <c r="FJQ75" s="134"/>
      <c r="FJR75" s="134"/>
      <c r="FJS75" s="134"/>
      <c r="FJT75" s="134"/>
      <c r="FJU75" s="134"/>
      <c r="FJV75" s="134"/>
      <c r="FJW75" s="134"/>
      <c r="FJX75" s="134"/>
      <c r="FJY75" s="134"/>
      <c r="FJZ75" s="134"/>
      <c r="FKA75" s="134"/>
      <c r="FKB75" s="134"/>
      <c r="FKC75" s="134"/>
      <c r="FKD75" s="134"/>
      <c r="FKE75" s="134"/>
      <c r="FKF75" s="134"/>
      <c r="FKG75" s="134"/>
      <c r="FKH75" s="134"/>
      <c r="FKI75" s="134"/>
      <c r="FKJ75" s="134"/>
      <c r="FKK75" s="134"/>
      <c r="FKL75" s="134"/>
      <c r="FKM75" s="134"/>
      <c r="FKN75" s="134"/>
      <c r="FKO75" s="134"/>
      <c r="FKP75" s="134"/>
      <c r="FKQ75" s="134"/>
      <c r="FKR75" s="134"/>
      <c r="FKS75" s="134"/>
      <c r="FKT75" s="134"/>
      <c r="FKU75" s="134"/>
      <c r="FKV75" s="134"/>
      <c r="FKW75" s="134"/>
      <c r="FKX75" s="134"/>
      <c r="FKY75" s="134"/>
      <c r="FKZ75" s="134"/>
      <c r="FLA75" s="134"/>
      <c r="FLB75" s="134"/>
      <c r="FLC75" s="134"/>
      <c r="FLD75" s="134"/>
      <c r="FLE75" s="134"/>
      <c r="FLF75" s="134"/>
      <c r="FLG75" s="134"/>
      <c r="FLH75" s="134"/>
      <c r="FLI75" s="134"/>
      <c r="FLJ75" s="134"/>
      <c r="FLK75" s="134"/>
      <c r="FLL75" s="134"/>
      <c r="FLM75" s="134"/>
      <c r="FLN75" s="134"/>
      <c r="FLO75" s="134"/>
      <c r="FLP75" s="134"/>
      <c r="FLQ75" s="134"/>
      <c r="FLR75" s="134"/>
      <c r="FLS75" s="134"/>
      <c r="FLT75" s="134"/>
      <c r="FLU75" s="134"/>
      <c r="FLV75" s="134"/>
      <c r="FLW75" s="134"/>
      <c r="FLX75" s="134"/>
      <c r="FLY75" s="134"/>
      <c r="FLZ75" s="134"/>
      <c r="FMA75" s="134"/>
      <c r="FMB75" s="134"/>
      <c r="FMC75" s="134"/>
      <c r="FMD75" s="134"/>
      <c r="FME75" s="134"/>
      <c r="FMF75" s="134"/>
      <c r="FMG75" s="134"/>
      <c r="FMH75" s="134"/>
      <c r="FMI75" s="134"/>
      <c r="FMJ75" s="134"/>
      <c r="FMK75" s="134"/>
      <c r="FML75" s="134"/>
      <c r="FMM75" s="134"/>
      <c r="FMN75" s="134"/>
      <c r="FMO75" s="134"/>
      <c r="FMP75" s="134"/>
      <c r="FMQ75" s="134"/>
      <c r="FMR75" s="134"/>
      <c r="FMS75" s="134"/>
      <c r="FMT75" s="134"/>
      <c r="FMU75" s="134"/>
      <c r="FMV75" s="134"/>
      <c r="FMW75" s="134"/>
      <c r="FMX75" s="134"/>
      <c r="FMY75" s="134"/>
      <c r="FMZ75" s="134"/>
      <c r="FNA75" s="134"/>
      <c r="FNB75" s="134"/>
      <c r="FNC75" s="134"/>
      <c r="FND75" s="134"/>
      <c r="FNE75" s="134"/>
      <c r="FNF75" s="134"/>
      <c r="FNG75" s="134"/>
      <c r="FNH75" s="134"/>
      <c r="FNI75" s="134"/>
      <c r="FNJ75" s="134"/>
      <c r="FNK75" s="134"/>
      <c r="FNL75" s="134"/>
      <c r="FNM75" s="134"/>
      <c r="FNN75" s="134"/>
      <c r="FNO75" s="134"/>
      <c r="FNP75" s="134"/>
      <c r="FNQ75" s="134"/>
      <c r="FNR75" s="134"/>
      <c r="FNS75" s="134"/>
      <c r="FNT75" s="134"/>
      <c r="FNU75" s="134"/>
      <c r="FNV75" s="134"/>
      <c r="FNW75" s="134"/>
      <c r="FNX75" s="134"/>
      <c r="FNY75" s="134"/>
      <c r="FNZ75" s="134"/>
      <c r="FOA75" s="134"/>
      <c r="FOB75" s="134"/>
      <c r="FOC75" s="134"/>
      <c r="FOD75" s="134"/>
      <c r="FOE75" s="134"/>
      <c r="FOF75" s="134"/>
      <c r="FOG75" s="134"/>
      <c r="FOH75" s="134"/>
      <c r="FOI75" s="134"/>
      <c r="FOJ75" s="134"/>
      <c r="FOK75" s="134"/>
      <c r="FOL75" s="134"/>
      <c r="FOM75" s="134"/>
      <c r="FON75" s="134"/>
      <c r="FOO75" s="134"/>
      <c r="FOP75" s="134"/>
      <c r="FOQ75" s="134"/>
      <c r="FOR75" s="134"/>
      <c r="FOS75" s="134"/>
      <c r="FOT75" s="134"/>
      <c r="FOU75" s="134"/>
      <c r="FOV75" s="134"/>
      <c r="FOW75" s="134"/>
      <c r="FOX75" s="134"/>
      <c r="FOY75" s="134"/>
      <c r="FOZ75" s="134"/>
      <c r="FPA75" s="134"/>
      <c r="FPB75" s="134"/>
      <c r="FPC75" s="134"/>
      <c r="FPD75" s="134"/>
      <c r="FPE75" s="134"/>
      <c r="FPF75" s="134"/>
      <c r="FPG75" s="134"/>
      <c r="FPH75" s="134"/>
      <c r="FPI75" s="134"/>
      <c r="FPJ75" s="134"/>
      <c r="FPK75" s="134"/>
      <c r="FPL75" s="134"/>
      <c r="FPM75" s="134"/>
      <c r="FPN75" s="134"/>
      <c r="FPO75" s="134"/>
      <c r="FPP75" s="134"/>
      <c r="FPQ75" s="134"/>
      <c r="FPR75" s="134"/>
      <c r="FPS75" s="134"/>
      <c r="FPT75" s="134"/>
      <c r="FPU75" s="134"/>
      <c r="FPV75" s="134"/>
      <c r="FPW75" s="134"/>
      <c r="FPX75" s="134"/>
      <c r="FPY75" s="134"/>
      <c r="FPZ75" s="134"/>
      <c r="FQA75" s="134"/>
      <c r="FQB75" s="134"/>
      <c r="FQC75" s="134"/>
      <c r="FQD75" s="134"/>
      <c r="FQE75" s="134"/>
      <c r="FQF75" s="134"/>
      <c r="FQG75" s="134"/>
      <c r="FQH75" s="134"/>
      <c r="FQI75" s="134"/>
      <c r="FQJ75" s="134"/>
      <c r="FQK75" s="134"/>
      <c r="FQL75" s="134"/>
      <c r="FQM75" s="134"/>
      <c r="FQN75" s="134"/>
      <c r="FQO75" s="134"/>
      <c r="FQP75" s="134"/>
      <c r="FQQ75" s="134"/>
      <c r="FQR75" s="134"/>
      <c r="FQS75" s="134"/>
      <c r="FQT75" s="134"/>
      <c r="FQU75" s="134"/>
      <c r="FQV75" s="134"/>
      <c r="FQW75" s="134"/>
      <c r="FQX75" s="134"/>
      <c r="FQY75" s="134"/>
      <c r="FQZ75" s="134"/>
      <c r="FRA75" s="134"/>
      <c r="FRB75" s="134"/>
      <c r="FRC75" s="134"/>
      <c r="FRD75" s="134"/>
      <c r="FRE75" s="134"/>
      <c r="FRF75" s="134"/>
      <c r="FRG75" s="134"/>
      <c r="FRH75" s="134"/>
      <c r="FRI75" s="134"/>
      <c r="FRJ75" s="134"/>
      <c r="FRK75" s="134"/>
      <c r="FRL75" s="134"/>
      <c r="FRM75" s="134"/>
      <c r="FRN75" s="134"/>
      <c r="FRO75" s="134"/>
      <c r="FRP75" s="134"/>
      <c r="FRQ75" s="134"/>
      <c r="FRR75" s="134"/>
      <c r="FRS75" s="134"/>
      <c r="FRT75" s="134"/>
      <c r="FRU75" s="134"/>
      <c r="FRV75" s="134"/>
      <c r="FRW75" s="134"/>
      <c r="FRX75" s="134"/>
      <c r="FRY75" s="134"/>
      <c r="FRZ75" s="134"/>
      <c r="FSA75" s="134"/>
      <c r="FSB75" s="134"/>
      <c r="FSC75" s="134"/>
      <c r="FSD75" s="134"/>
      <c r="FSE75" s="134"/>
      <c r="FSF75" s="134"/>
      <c r="FSG75" s="134"/>
      <c r="FSH75" s="134"/>
      <c r="FSI75" s="134"/>
      <c r="FSJ75" s="134"/>
      <c r="FSK75" s="134"/>
      <c r="FSL75" s="134"/>
      <c r="FSM75" s="134"/>
      <c r="FSN75" s="134"/>
      <c r="FSO75" s="134"/>
      <c r="FSP75" s="134"/>
      <c r="FSQ75" s="134"/>
      <c r="FSR75" s="134"/>
      <c r="FSS75" s="134"/>
      <c r="FST75" s="134"/>
      <c r="FSU75" s="134"/>
      <c r="FSV75" s="134"/>
      <c r="FSW75" s="134"/>
      <c r="FSX75" s="134"/>
      <c r="FSY75" s="134"/>
      <c r="FSZ75" s="134"/>
      <c r="FTA75" s="134"/>
      <c r="FTB75" s="134"/>
      <c r="FTC75" s="134"/>
      <c r="FTD75" s="134"/>
      <c r="FTE75" s="134"/>
      <c r="FTF75" s="134"/>
      <c r="FTG75" s="134"/>
      <c r="FTH75" s="134"/>
      <c r="FTI75" s="134"/>
      <c r="FTJ75" s="134"/>
      <c r="FTK75" s="134"/>
      <c r="FTL75" s="134"/>
      <c r="FTM75" s="134"/>
      <c r="FTN75" s="134"/>
      <c r="FTO75" s="134"/>
      <c r="FTP75" s="134"/>
      <c r="FTQ75" s="134"/>
      <c r="FTR75" s="134"/>
      <c r="FTS75" s="134"/>
      <c r="FTT75" s="134"/>
      <c r="FTU75" s="134"/>
      <c r="FTV75" s="134"/>
      <c r="FTW75" s="134"/>
      <c r="FTX75" s="134"/>
      <c r="FTY75" s="134"/>
      <c r="FTZ75" s="134"/>
      <c r="FUA75" s="134"/>
      <c r="FUB75" s="134"/>
      <c r="FUC75" s="134"/>
      <c r="FUD75" s="134"/>
      <c r="FUE75" s="134"/>
      <c r="FUF75" s="134"/>
      <c r="FUG75" s="134"/>
      <c r="FUH75" s="134"/>
      <c r="FUI75" s="134"/>
      <c r="FUJ75" s="134"/>
      <c r="FUK75" s="134"/>
      <c r="FUL75" s="134"/>
      <c r="FUM75" s="134"/>
      <c r="FUN75" s="134"/>
      <c r="FUO75" s="134"/>
      <c r="FUP75" s="134"/>
      <c r="FUQ75" s="134"/>
      <c r="FUR75" s="134"/>
      <c r="FUS75" s="134"/>
      <c r="FUT75" s="134"/>
      <c r="FUU75" s="134"/>
      <c r="FUV75" s="134"/>
      <c r="FUW75" s="134"/>
      <c r="FUX75" s="134"/>
      <c r="FUY75" s="134"/>
      <c r="FUZ75" s="134"/>
      <c r="FVA75" s="134"/>
      <c r="FVB75" s="134"/>
      <c r="FVC75" s="134"/>
      <c r="FVD75" s="134"/>
      <c r="FVE75" s="134"/>
      <c r="FVF75" s="134"/>
      <c r="FVG75" s="134"/>
      <c r="FVH75" s="134"/>
      <c r="FVI75" s="134"/>
      <c r="FVJ75" s="134"/>
      <c r="FVK75" s="134"/>
      <c r="FVL75" s="134"/>
      <c r="FVM75" s="134"/>
      <c r="FVN75" s="134"/>
      <c r="FVO75" s="134"/>
      <c r="FVP75" s="134"/>
      <c r="FVQ75" s="134"/>
      <c r="FVR75" s="134"/>
      <c r="FVS75" s="134"/>
      <c r="FVT75" s="134"/>
      <c r="FVU75" s="134"/>
      <c r="FVV75" s="134"/>
      <c r="FVW75" s="134"/>
      <c r="FVX75" s="134"/>
      <c r="FVY75" s="134"/>
      <c r="FVZ75" s="134"/>
      <c r="FWA75" s="134"/>
      <c r="FWB75" s="134"/>
      <c r="FWC75" s="134"/>
      <c r="FWD75" s="134"/>
      <c r="FWE75" s="134"/>
      <c r="FWF75" s="134"/>
      <c r="FWG75" s="134"/>
      <c r="FWH75" s="134"/>
      <c r="FWI75" s="134"/>
      <c r="FWJ75" s="134"/>
      <c r="FWK75" s="134"/>
      <c r="FWL75" s="134"/>
      <c r="FWM75" s="134"/>
      <c r="FWN75" s="134"/>
      <c r="FWO75" s="134"/>
      <c r="FWP75" s="134"/>
      <c r="FWQ75" s="134"/>
      <c r="FWR75" s="134"/>
      <c r="FWS75" s="134"/>
      <c r="FWT75" s="134"/>
      <c r="FWU75" s="134"/>
      <c r="FWV75" s="134"/>
      <c r="FWW75" s="134"/>
      <c r="FWX75" s="134"/>
      <c r="FWY75" s="134"/>
      <c r="FWZ75" s="134"/>
      <c r="FXA75" s="134"/>
      <c r="FXB75" s="134"/>
      <c r="FXC75" s="134"/>
      <c r="FXD75" s="134"/>
      <c r="FXE75" s="134"/>
      <c r="FXF75" s="134"/>
      <c r="FXG75" s="134"/>
      <c r="FXH75" s="134"/>
      <c r="FXI75" s="134"/>
      <c r="FXJ75" s="134"/>
      <c r="FXK75" s="134"/>
      <c r="FXL75" s="134"/>
      <c r="FXM75" s="134"/>
      <c r="FXN75" s="134"/>
      <c r="FXO75" s="134"/>
      <c r="FXP75" s="134"/>
      <c r="FXQ75" s="134"/>
      <c r="FXR75" s="134"/>
      <c r="FXS75" s="134"/>
      <c r="FXT75" s="134"/>
      <c r="FXU75" s="134"/>
      <c r="FXV75" s="134"/>
      <c r="FXW75" s="134"/>
      <c r="FXX75" s="134"/>
      <c r="FXY75" s="134"/>
      <c r="FXZ75" s="134"/>
      <c r="FYA75" s="134"/>
      <c r="FYB75" s="134"/>
      <c r="FYC75" s="134"/>
      <c r="FYD75" s="134"/>
      <c r="FYE75" s="134"/>
      <c r="FYF75" s="134"/>
      <c r="FYG75" s="134"/>
      <c r="FYH75" s="134"/>
      <c r="FYI75" s="134"/>
      <c r="FYJ75" s="134"/>
      <c r="FYK75" s="134"/>
      <c r="FYL75" s="134"/>
      <c r="FYM75" s="134"/>
      <c r="FYN75" s="134"/>
      <c r="FYO75" s="134"/>
      <c r="FYP75" s="134"/>
      <c r="FYQ75" s="134"/>
      <c r="FYR75" s="134"/>
      <c r="FYS75" s="134"/>
      <c r="FYT75" s="134"/>
      <c r="FYU75" s="134"/>
      <c r="FYV75" s="134"/>
      <c r="FYW75" s="134"/>
      <c r="FYX75" s="134"/>
      <c r="FYY75" s="134"/>
      <c r="FYZ75" s="134"/>
      <c r="FZA75" s="134"/>
      <c r="FZB75" s="134"/>
      <c r="FZC75" s="134"/>
      <c r="FZD75" s="134"/>
      <c r="FZE75" s="134"/>
      <c r="FZF75" s="134"/>
      <c r="FZG75" s="134"/>
      <c r="FZH75" s="134"/>
      <c r="FZI75" s="134"/>
      <c r="FZJ75" s="134"/>
      <c r="FZK75" s="134"/>
      <c r="FZL75" s="134"/>
      <c r="FZM75" s="134"/>
      <c r="FZN75" s="134"/>
      <c r="FZO75" s="134"/>
      <c r="FZP75" s="134"/>
      <c r="FZQ75" s="134"/>
      <c r="FZR75" s="134"/>
      <c r="FZS75" s="134"/>
      <c r="FZT75" s="134"/>
      <c r="FZU75" s="134"/>
      <c r="FZV75" s="134"/>
      <c r="FZW75" s="134"/>
      <c r="FZX75" s="134"/>
      <c r="FZY75" s="134"/>
      <c r="FZZ75" s="134"/>
      <c r="GAA75" s="134"/>
      <c r="GAB75" s="134"/>
      <c r="GAC75" s="134"/>
      <c r="GAD75" s="134"/>
      <c r="GAE75" s="134"/>
      <c r="GAF75" s="134"/>
      <c r="GAG75" s="134"/>
      <c r="GAH75" s="134"/>
      <c r="GAI75" s="134"/>
      <c r="GAJ75" s="134"/>
      <c r="GAK75" s="134"/>
      <c r="GAL75" s="134"/>
      <c r="GAM75" s="134"/>
      <c r="GAN75" s="134"/>
      <c r="GAO75" s="134"/>
      <c r="GAP75" s="134"/>
      <c r="GAQ75" s="134"/>
      <c r="GAR75" s="134"/>
      <c r="GAS75" s="134"/>
      <c r="GAT75" s="134"/>
      <c r="GAU75" s="134"/>
      <c r="GAV75" s="134"/>
      <c r="GAW75" s="134"/>
      <c r="GAX75" s="134"/>
      <c r="GAY75" s="134"/>
      <c r="GAZ75" s="134"/>
      <c r="GBA75" s="134"/>
      <c r="GBB75" s="134"/>
      <c r="GBC75" s="134"/>
      <c r="GBD75" s="134"/>
      <c r="GBE75" s="134"/>
      <c r="GBF75" s="134"/>
      <c r="GBG75" s="134"/>
      <c r="GBH75" s="134"/>
      <c r="GBI75" s="134"/>
      <c r="GBJ75" s="134"/>
      <c r="GBK75" s="134"/>
      <c r="GBL75" s="134"/>
      <c r="GBM75" s="134"/>
      <c r="GBN75" s="134"/>
      <c r="GBO75" s="134"/>
      <c r="GBP75" s="134"/>
      <c r="GBQ75" s="134"/>
      <c r="GBR75" s="134"/>
      <c r="GBS75" s="134"/>
      <c r="GBT75" s="134"/>
      <c r="GBU75" s="134"/>
      <c r="GBV75" s="134"/>
      <c r="GBW75" s="134"/>
      <c r="GBX75" s="134"/>
      <c r="GBY75" s="134"/>
      <c r="GBZ75" s="134"/>
      <c r="GCA75" s="134"/>
      <c r="GCB75" s="134"/>
      <c r="GCC75" s="134"/>
      <c r="GCD75" s="134"/>
      <c r="GCE75" s="134"/>
      <c r="GCF75" s="134"/>
      <c r="GCG75" s="134"/>
      <c r="GCH75" s="134"/>
      <c r="GCI75" s="134"/>
      <c r="GCJ75" s="134"/>
      <c r="GCK75" s="134"/>
      <c r="GCL75" s="134"/>
      <c r="GCM75" s="134"/>
      <c r="GCN75" s="134"/>
      <c r="GCO75" s="134"/>
      <c r="GCP75" s="134"/>
      <c r="GCQ75" s="134"/>
      <c r="GCR75" s="134"/>
      <c r="GCS75" s="134"/>
      <c r="GCT75" s="134"/>
      <c r="GCU75" s="134"/>
      <c r="GCV75" s="134"/>
      <c r="GCW75" s="134"/>
      <c r="GCX75" s="134"/>
      <c r="GCY75" s="134"/>
      <c r="GCZ75" s="134"/>
      <c r="GDA75" s="134"/>
      <c r="GDB75" s="134"/>
      <c r="GDC75" s="134"/>
      <c r="GDD75" s="134"/>
      <c r="GDE75" s="134"/>
      <c r="GDF75" s="134"/>
      <c r="GDG75" s="134"/>
      <c r="GDH75" s="134"/>
      <c r="GDI75" s="134"/>
      <c r="GDJ75" s="134"/>
      <c r="GDK75" s="134"/>
      <c r="GDL75" s="134"/>
      <c r="GDM75" s="134"/>
      <c r="GDN75" s="134"/>
      <c r="GDO75" s="134"/>
      <c r="GDP75" s="134"/>
      <c r="GDQ75" s="134"/>
      <c r="GDR75" s="134"/>
      <c r="GDS75" s="134"/>
      <c r="GDT75" s="134"/>
      <c r="GDU75" s="134"/>
      <c r="GDV75" s="134"/>
      <c r="GDW75" s="134"/>
      <c r="GDX75" s="134"/>
      <c r="GDY75" s="134"/>
      <c r="GDZ75" s="134"/>
      <c r="GEA75" s="134"/>
      <c r="GEB75" s="134"/>
      <c r="GEC75" s="134"/>
      <c r="GED75" s="134"/>
      <c r="GEE75" s="134"/>
      <c r="GEF75" s="134"/>
      <c r="GEG75" s="134"/>
      <c r="GEH75" s="134"/>
      <c r="GEI75" s="134"/>
      <c r="GEJ75" s="134"/>
      <c r="GEK75" s="134"/>
      <c r="GEL75" s="134"/>
      <c r="GEM75" s="134"/>
      <c r="GEN75" s="134"/>
      <c r="GEO75" s="134"/>
      <c r="GEP75" s="134"/>
      <c r="GEQ75" s="134"/>
      <c r="GER75" s="134"/>
      <c r="GES75" s="134"/>
      <c r="GET75" s="134"/>
      <c r="GEU75" s="134"/>
      <c r="GEV75" s="134"/>
      <c r="GEW75" s="134"/>
      <c r="GEX75" s="134"/>
      <c r="GEY75" s="134"/>
      <c r="GEZ75" s="134"/>
      <c r="GFA75" s="134"/>
      <c r="GFB75" s="134"/>
      <c r="GFC75" s="134"/>
      <c r="GFD75" s="134"/>
      <c r="GFE75" s="134"/>
      <c r="GFF75" s="134"/>
      <c r="GFG75" s="134"/>
      <c r="GFH75" s="134"/>
      <c r="GFI75" s="134"/>
      <c r="GFJ75" s="134"/>
      <c r="GFK75" s="134"/>
      <c r="GFL75" s="134"/>
      <c r="GFM75" s="134"/>
      <c r="GFN75" s="134"/>
      <c r="GFO75" s="134"/>
      <c r="GFP75" s="134"/>
      <c r="GFQ75" s="134"/>
      <c r="GFR75" s="134"/>
      <c r="GFS75" s="134"/>
      <c r="GFT75" s="134"/>
      <c r="GFU75" s="134"/>
      <c r="GFV75" s="134"/>
      <c r="GFW75" s="134"/>
      <c r="GFX75" s="134"/>
      <c r="GFY75" s="134"/>
      <c r="GFZ75" s="134"/>
      <c r="GGA75" s="134"/>
      <c r="GGB75" s="134"/>
      <c r="GGC75" s="134"/>
      <c r="GGD75" s="134"/>
      <c r="GGE75" s="134"/>
      <c r="GGF75" s="134"/>
      <c r="GGG75" s="134"/>
      <c r="GGH75" s="134"/>
      <c r="GGI75" s="134"/>
      <c r="GGJ75" s="134"/>
      <c r="GGK75" s="134"/>
      <c r="GGL75" s="134"/>
      <c r="GGM75" s="134"/>
      <c r="GGN75" s="134"/>
      <c r="GGO75" s="134"/>
      <c r="GGP75" s="134"/>
      <c r="GGQ75" s="134"/>
      <c r="GGR75" s="134"/>
      <c r="GGS75" s="134"/>
      <c r="GGT75" s="134"/>
      <c r="GGU75" s="134"/>
      <c r="GGV75" s="134"/>
      <c r="GGW75" s="134"/>
      <c r="GGX75" s="134"/>
      <c r="GGY75" s="134"/>
      <c r="GGZ75" s="134"/>
      <c r="GHA75" s="134"/>
      <c r="GHB75" s="134"/>
      <c r="GHC75" s="134"/>
      <c r="GHD75" s="134"/>
      <c r="GHE75" s="134"/>
      <c r="GHF75" s="134"/>
      <c r="GHG75" s="134"/>
      <c r="GHH75" s="134"/>
      <c r="GHI75" s="134"/>
      <c r="GHJ75" s="134"/>
      <c r="GHK75" s="134"/>
      <c r="GHL75" s="134"/>
      <c r="GHM75" s="134"/>
      <c r="GHN75" s="134"/>
      <c r="GHO75" s="134"/>
      <c r="GHP75" s="134"/>
      <c r="GHQ75" s="134"/>
      <c r="GHR75" s="134"/>
      <c r="GHS75" s="134"/>
      <c r="GHT75" s="134"/>
      <c r="GHU75" s="134"/>
      <c r="GHV75" s="134"/>
      <c r="GHW75" s="134"/>
      <c r="GHX75" s="134"/>
      <c r="GHY75" s="134"/>
      <c r="GHZ75" s="134"/>
      <c r="GIA75" s="134"/>
      <c r="GIB75" s="134"/>
      <c r="GIC75" s="134"/>
      <c r="GID75" s="134"/>
      <c r="GIE75" s="134"/>
      <c r="GIF75" s="134"/>
      <c r="GIG75" s="134"/>
      <c r="GIH75" s="134"/>
      <c r="GII75" s="134"/>
      <c r="GIJ75" s="134"/>
      <c r="GIK75" s="134"/>
      <c r="GIL75" s="134"/>
      <c r="GIM75" s="134"/>
      <c r="GIN75" s="134"/>
      <c r="GIO75" s="134"/>
      <c r="GIP75" s="134"/>
      <c r="GIQ75" s="134"/>
      <c r="GIR75" s="134"/>
      <c r="GIS75" s="134"/>
      <c r="GIT75" s="134"/>
      <c r="GIU75" s="134"/>
      <c r="GIV75" s="134"/>
      <c r="GIW75" s="134"/>
      <c r="GIX75" s="134"/>
      <c r="GIY75" s="134"/>
      <c r="GIZ75" s="134"/>
      <c r="GJA75" s="134"/>
      <c r="GJB75" s="134"/>
      <c r="GJC75" s="134"/>
      <c r="GJD75" s="134"/>
      <c r="GJE75" s="134"/>
      <c r="GJF75" s="134"/>
      <c r="GJG75" s="134"/>
      <c r="GJH75" s="134"/>
      <c r="GJI75" s="134"/>
      <c r="GJJ75" s="134"/>
      <c r="GJK75" s="134"/>
      <c r="GJL75" s="134"/>
      <c r="GJM75" s="134"/>
      <c r="GJN75" s="134"/>
      <c r="GJO75" s="134"/>
      <c r="GJP75" s="134"/>
      <c r="GJQ75" s="134"/>
      <c r="GJR75" s="134"/>
      <c r="GJS75" s="134"/>
      <c r="GJT75" s="134"/>
      <c r="GJU75" s="134"/>
      <c r="GJV75" s="134"/>
      <c r="GJW75" s="134"/>
      <c r="GJX75" s="134"/>
      <c r="GJY75" s="134"/>
      <c r="GJZ75" s="134"/>
      <c r="GKA75" s="134"/>
      <c r="GKB75" s="134"/>
      <c r="GKC75" s="134"/>
      <c r="GKD75" s="134"/>
      <c r="GKE75" s="134"/>
      <c r="GKF75" s="134"/>
      <c r="GKG75" s="134"/>
      <c r="GKH75" s="134"/>
      <c r="GKI75" s="134"/>
      <c r="GKJ75" s="134"/>
      <c r="GKK75" s="134"/>
      <c r="GKL75" s="134"/>
      <c r="GKM75" s="134"/>
      <c r="GKN75" s="134"/>
      <c r="GKO75" s="134"/>
      <c r="GKP75" s="134"/>
      <c r="GKQ75" s="134"/>
      <c r="GKR75" s="134"/>
      <c r="GKS75" s="134"/>
      <c r="GKT75" s="134"/>
      <c r="GKU75" s="134"/>
      <c r="GKV75" s="134"/>
      <c r="GKW75" s="134"/>
      <c r="GKX75" s="134"/>
      <c r="GKY75" s="134"/>
      <c r="GKZ75" s="134"/>
      <c r="GLA75" s="134"/>
      <c r="GLB75" s="134"/>
      <c r="GLC75" s="134"/>
      <c r="GLD75" s="134"/>
      <c r="GLE75" s="134"/>
      <c r="GLF75" s="134"/>
      <c r="GLG75" s="134"/>
      <c r="GLH75" s="134"/>
      <c r="GLI75" s="134"/>
      <c r="GLJ75" s="134"/>
      <c r="GLK75" s="134"/>
      <c r="GLL75" s="134"/>
      <c r="GLM75" s="134"/>
      <c r="GLN75" s="134"/>
      <c r="GLO75" s="134"/>
      <c r="GLP75" s="134"/>
      <c r="GLQ75" s="134"/>
      <c r="GLR75" s="134"/>
      <c r="GLS75" s="134"/>
      <c r="GLT75" s="134"/>
      <c r="GLU75" s="134"/>
      <c r="GLV75" s="134"/>
      <c r="GLW75" s="134"/>
      <c r="GLX75" s="134"/>
      <c r="GLY75" s="134"/>
      <c r="GLZ75" s="134"/>
      <c r="GMA75" s="134"/>
      <c r="GMB75" s="134"/>
      <c r="GMC75" s="134"/>
      <c r="GMD75" s="134"/>
      <c r="GME75" s="134"/>
      <c r="GMF75" s="134"/>
      <c r="GMG75" s="134"/>
      <c r="GMH75" s="134"/>
      <c r="GMI75" s="134"/>
      <c r="GMJ75" s="134"/>
      <c r="GMK75" s="134"/>
      <c r="GML75" s="134"/>
      <c r="GMM75" s="134"/>
      <c r="GMN75" s="134"/>
      <c r="GMO75" s="134"/>
      <c r="GMP75" s="134"/>
      <c r="GMQ75" s="134"/>
      <c r="GMR75" s="134"/>
      <c r="GMS75" s="134"/>
      <c r="GMT75" s="134"/>
      <c r="GMU75" s="134"/>
      <c r="GMV75" s="134"/>
      <c r="GMW75" s="134"/>
      <c r="GMX75" s="134"/>
      <c r="GMY75" s="134"/>
      <c r="GMZ75" s="134"/>
      <c r="GNA75" s="134"/>
      <c r="GNB75" s="134"/>
      <c r="GNC75" s="134"/>
      <c r="GND75" s="134"/>
      <c r="GNE75" s="134"/>
      <c r="GNF75" s="134"/>
      <c r="GNG75" s="134"/>
      <c r="GNH75" s="134"/>
      <c r="GNI75" s="134"/>
      <c r="GNJ75" s="134"/>
      <c r="GNK75" s="134"/>
      <c r="GNL75" s="134"/>
      <c r="GNM75" s="134"/>
      <c r="GNN75" s="134"/>
      <c r="GNO75" s="134"/>
      <c r="GNP75" s="134"/>
      <c r="GNQ75" s="134"/>
      <c r="GNR75" s="134"/>
      <c r="GNS75" s="134"/>
      <c r="GNT75" s="134"/>
      <c r="GNU75" s="134"/>
      <c r="GNV75" s="134"/>
      <c r="GNW75" s="134"/>
      <c r="GNX75" s="134"/>
      <c r="GNY75" s="134"/>
      <c r="GNZ75" s="134"/>
      <c r="GOA75" s="134"/>
      <c r="GOB75" s="134"/>
      <c r="GOC75" s="134"/>
      <c r="GOD75" s="134"/>
      <c r="GOE75" s="134"/>
      <c r="GOF75" s="134"/>
      <c r="GOG75" s="134"/>
      <c r="GOH75" s="134"/>
      <c r="GOI75" s="134"/>
      <c r="GOJ75" s="134"/>
      <c r="GOK75" s="134"/>
      <c r="GOL75" s="134"/>
      <c r="GOM75" s="134"/>
      <c r="GON75" s="134"/>
      <c r="GOO75" s="134"/>
      <c r="GOP75" s="134"/>
      <c r="GOQ75" s="134"/>
      <c r="GOR75" s="134"/>
      <c r="GOS75" s="134"/>
      <c r="GOT75" s="134"/>
      <c r="GOU75" s="134"/>
      <c r="GOV75" s="134"/>
      <c r="GOW75" s="134"/>
      <c r="GOX75" s="134"/>
      <c r="GOY75" s="134"/>
      <c r="GOZ75" s="134"/>
      <c r="GPA75" s="134"/>
      <c r="GPB75" s="134"/>
      <c r="GPC75" s="134"/>
      <c r="GPD75" s="134"/>
      <c r="GPE75" s="134"/>
      <c r="GPF75" s="134"/>
      <c r="GPG75" s="134"/>
      <c r="GPH75" s="134"/>
      <c r="GPI75" s="134"/>
      <c r="GPJ75" s="134"/>
      <c r="GPK75" s="134"/>
      <c r="GPL75" s="134"/>
      <c r="GPM75" s="134"/>
      <c r="GPN75" s="134"/>
      <c r="GPO75" s="134"/>
      <c r="GPP75" s="134"/>
      <c r="GPQ75" s="134"/>
      <c r="GPR75" s="134"/>
      <c r="GPS75" s="134"/>
      <c r="GPT75" s="134"/>
      <c r="GPU75" s="134"/>
      <c r="GPV75" s="134"/>
      <c r="GPW75" s="134"/>
      <c r="GPX75" s="134"/>
      <c r="GPY75" s="134"/>
      <c r="GPZ75" s="134"/>
      <c r="GQA75" s="134"/>
      <c r="GQB75" s="134"/>
      <c r="GQC75" s="134"/>
      <c r="GQD75" s="134"/>
      <c r="GQE75" s="134"/>
      <c r="GQF75" s="134"/>
      <c r="GQG75" s="134"/>
      <c r="GQH75" s="134"/>
      <c r="GQI75" s="134"/>
      <c r="GQJ75" s="134"/>
      <c r="GQK75" s="134"/>
      <c r="GQL75" s="134"/>
      <c r="GQM75" s="134"/>
      <c r="GQN75" s="134"/>
      <c r="GQO75" s="134"/>
      <c r="GQP75" s="134"/>
      <c r="GQQ75" s="134"/>
      <c r="GQR75" s="134"/>
      <c r="GQS75" s="134"/>
      <c r="GQT75" s="134"/>
      <c r="GQU75" s="134"/>
      <c r="GQV75" s="134"/>
      <c r="GQW75" s="134"/>
      <c r="GQX75" s="134"/>
      <c r="GQY75" s="134"/>
      <c r="GQZ75" s="134"/>
      <c r="GRA75" s="134"/>
      <c r="GRB75" s="134"/>
      <c r="GRC75" s="134"/>
      <c r="GRD75" s="134"/>
      <c r="GRE75" s="134"/>
      <c r="GRF75" s="134"/>
      <c r="GRG75" s="134"/>
      <c r="GRH75" s="134"/>
      <c r="GRI75" s="134"/>
      <c r="GRJ75" s="134"/>
      <c r="GRK75" s="134"/>
      <c r="GRL75" s="134"/>
      <c r="GRM75" s="134"/>
      <c r="GRN75" s="134"/>
      <c r="GRO75" s="134"/>
      <c r="GRP75" s="134"/>
      <c r="GRQ75" s="134"/>
      <c r="GRR75" s="134"/>
      <c r="GRS75" s="134"/>
      <c r="GRT75" s="134"/>
      <c r="GRU75" s="134"/>
      <c r="GRV75" s="134"/>
      <c r="GRW75" s="134"/>
      <c r="GRX75" s="134"/>
      <c r="GRY75" s="134"/>
      <c r="GRZ75" s="134"/>
      <c r="GSA75" s="134"/>
      <c r="GSB75" s="134"/>
      <c r="GSC75" s="134"/>
      <c r="GSD75" s="134"/>
      <c r="GSE75" s="134"/>
      <c r="GSF75" s="134"/>
      <c r="GSG75" s="134"/>
      <c r="GSH75" s="134"/>
      <c r="GSI75" s="134"/>
      <c r="GSJ75" s="134"/>
      <c r="GSK75" s="134"/>
      <c r="GSL75" s="134"/>
      <c r="GSM75" s="134"/>
      <c r="GSN75" s="134"/>
      <c r="GSO75" s="134"/>
      <c r="GSP75" s="134"/>
      <c r="GSQ75" s="134"/>
      <c r="GSR75" s="134"/>
      <c r="GSS75" s="134"/>
      <c r="GST75" s="134"/>
      <c r="GSU75" s="134"/>
      <c r="GSV75" s="134"/>
      <c r="GSW75" s="134"/>
      <c r="GSX75" s="134"/>
      <c r="GSY75" s="134"/>
      <c r="GSZ75" s="134"/>
      <c r="GTA75" s="134"/>
      <c r="GTB75" s="134"/>
      <c r="GTC75" s="134"/>
      <c r="GTD75" s="134"/>
      <c r="GTE75" s="134"/>
      <c r="GTF75" s="134"/>
      <c r="GTG75" s="134"/>
      <c r="GTH75" s="134"/>
      <c r="GTI75" s="134"/>
      <c r="GTJ75" s="134"/>
      <c r="GTK75" s="134"/>
      <c r="GTL75" s="134"/>
      <c r="GTM75" s="134"/>
      <c r="GTN75" s="134"/>
      <c r="GTO75" s="134"/>
      <c r="GTP75" s="134"/>
      <c r="GTQ75" s="134"/>
      <c r="GTR75" s="134"/>
      <c r="GTS75" s="134"/>
      <c r="GTT75" s="134"/>
      <c r="GTU75" s="134"/>
      <c r="GTV75" s="134"/>
      <c r="GTW75" s="134"/>
      <c r="GTX75" s="134"/>
      <c r="GTY75" s="134"/>
      <c r="GTZ75" s="134"/>
      <c r="GUA75" s="134"/>
      <c r="GUB75" s="134"/>
      <c r="GUC75" s="134"/>
      <c r="GUD75" s="134"/>
      <c r="GUE75" s="134"/>
      <c r="GUF75" s="134"/>
      <c r="GUG75" s="134"/>
      <c r="GUH75" s="134"/>
      <c r="GUI75" s="134"/>
      <c r="GUJ75" s="134"/>
      <c r="GUK75" s="134"/>
      <c r="GUL75" s="134"/>
      <c r="GUM75" s="134"/>
      <c r="GUN75" s="134"/>
      <c r="GUO75" s="134"/>
      <c r="GUP75" s="134"/>
      <c r="GUQ75" s="134"/>
      <c r="GUR75" s="134"/>
      <c r="GUS75" s="134"/>
      <c r="GUT75" s="134"/>
      <c r="GUU75" s="134"/>
      <c r="GUV75" s="134"/>
      <c r="GUW75" s="134"/>
      <c r="GUX75" s="134"/>
      <c r="GUY75" s="134"/>
      <c r="GUZ75" s="134"/>
      <c r="GVA75" s="134"/>
      <c r="GVB75" s="134"/>
      <c r="GVC75" s="134"/>
      <c r="GVD75" s="134"/>
      <c r="GVE75" s="134"/>
      <c r="GVF75" s="134"/>
      <c r="GVG75" s="134"/>
      <c r="GVH75" s="134"/>
      <c r="GVI75" s="134"/>
      <c r="GVJ75" s="134"/>
      <c r="GVK75" s="134"/>
      <c r="GVL75" s="134"/>
      <c r="GVM75" s="134"/>
      <c r="GVN75" s="134"/>
      <c r="GVO75" s="134"/>
      <c r="GVP75" s="134"/>
      <c r="GVQ75" s="134"/>
      <c r="GVR75" s="134"/>
      <c r="GVS75" s="134"/>
      <c r="GVT75" s="134"/>
      <c r="GVU75" s="134"/>
      <c r="GVV75" s="134"/>
      <c r="GVW75" s="134"/>
      <c r="GVX75" s="134"/>
      <c r="GVY75" s="134"/>
      <c r="GVZ75" s="134"/>
      <c r="GWA75" s="134"/>
      <c r="GWB75" s="134"/>
      <c r="GWC75" s="134"/>
      <c r="GWD75" s="134"/>
      <c r="GWE75" s="134"/>
      <c r="GWF75" s="134"/>
      <c r="GWG75" s="134"/>
      <c r="GWH75" s="134"/>
      <c r="GWI75" s="134"/>
      <c r="GWJ75" s="134"/>
      <c r="GWK75" s="134"/>
      <c r="GWL75" s="134"/>
      <c r="GWM75" s="134"/>
      <c r="GWN75" s="134"/>
      <c r="GWO75" s="134"/>
      <c r="GWP75" s="134"/>
      <c r="GWQ75" s="134"/>
      <c r="GWR75" s="134"/>
      <c r="GWS75" s="134"/>
      <c r="GWT75" s="134"/>
      <c r="GWU75" s="134"/>
      <c r="GWV75" s="134"/>
      <c r="GWW75" s="134"/>
      <c r="GWX75" s="134"/>
      <c r="GWY75" s="134"/>
      <c r="GWZ75" s="134"/>
      <c r="GXA75" s="134"/>
      <c r="GXB75" s="134"/>
      <c r="GXC75" s="134"/>
      <c r="GXD75" s="134"/>
      <c r="GXE75" s="134"/>
      <c r="GXF75" s="134"/>
      <c r="GXG75" s="134"/>
      <c r="GXH75" s="134"/>
      <c r="GXI75" s="134"/>
      <c r="GXJ75" s="134"/>
      <c r="GXK75" s="134"/>
      <c r="GXL75" s="134"/>
      <c r="GXM75" s="134"/>
      <c r="GXN75" s="134"/>
      <c r="GXO75" s="134"/>
      <c r="GXP75" s="134"/>
      <c r="GXQ75" s="134"/>
      <c r="GXR75" s="134"/>
      <c r="GXS75" s="134"/>
      <c r="GXT75" s="134"/>
      <c r="GXU75" s="134"/>
      <c r="GXV75" s="134"/>
      <c r="GXW75" s="134"/>
      <c r="GXX75" s="134"/>
      <c r="GXY75" s="134"/>
      <c r="GXZ75" s="134"/>
      <c r="GYA75" s="134"/>
      <c r="GYB75" s="134"/>
      <c r="GYC75" s="134"/>
      <c r="GYD75" s="134"/>
      <c r="GYE75" s="134"/>
      <c r="GYF75" s="134"/>
      <c r="GYG75" s="134"/>
      <c r="GYH75" s="134"/>
      <c r="GYI75" s="134"/>
      <c r="GYJ75" s="134"/>
      <c r="GYK75" s="134"/>
      <c r="GYL75" s="134"/>
      <c r="GYM75" s="134"/>
      <c r="GYN75" s="134"/>
      <c r="GYO75" s="134"/>
      <c r="GYP75" s="134"/>
      <c r="GYQ75" s="134"/>
      <c r="GYR75" s="134"/>
      <c r="GYS75" s="134"/>
      <c r="GYT75" s="134"/>
      <c r="GYU75" s="134"/>
      <c r="GYV75" s="134"/>
      <c r="GYW75" s="134"/>
      <c r="GYX75" s="134"/>
      <c r="GYY75" s="134"/>
      <c r="GYZ75" s="134"/>
      <c r="GZA75" s="134"/>
      <c r="GZB75" s="134"/>
      <c r="GZC75" s="134"/>
      <c r="GZD75" s="134"/>
      <c r="GZE75" s="134"/>
      <c r="GZF75" s="134"/>
      <c r="GZG75" s="134"/>
      <c r="GZH75" s="134"/>
      <c r="GZI75" s="134"/>
      <c r="GZJ75" s="134"/>
      <c r="GZK75" s="134"/>
      <c r="GZL75" s="134"/>
      <c r="GZM75" s="134"/>
      <c r="GZN75" s="134"/>
      <c r="GZO75" s="134"/>
      <c r="GZP75" s="134"/>
      <c r="GZQ75" s="134"/>
      <c r="GZR75" s="134"/>
      <c r="GZS75" s="134"/>
      <c r="GZT75" s="134"/>
      <c r="GZU75" s="134"/>
      <c r="GZV75" s="134"/>
      <c r="GZW75" s="134"/>
      <c r="GZX75" s="134"/>
      <c r="GZY75" s="134"/>
      <c r="GZZ75" s="134"/>
      <c r="HAA75" s="134"/>
      <c r="HAB75" s="134"/>
      <c r="HAC75" s="134"/>
      <c r="HAD75" s="134"/>
      <c r="HAE75" s="134"/>
      <c r="HAF75" s="134"/>
      <c r="HAG75" s="134"/>
      <c r="HAH75" s="134"/>
      <c r="HAI75" s="134"/>
      <c r="HAJ75" s="134"/>
      <c r="HAK75" s="134"/>
      <c r="HAL75" s="134"/>
      <c r="HAM75" s="134"/>
      <c r="HAN75" s="134"/>
      <c r="HAO75" s="134"/>
      <c r="HAP75" s="134"/>
      <c r="HAQ75" s="134"/>
      <c r="HAR75" s="134"/>
      <c r="HAS75" s="134"/>
      <c r="HAT75" s="134"/>
      <c r="HAU75" s="134"/>
      <c r="HAV75" s="134"/>
      <c r="HAW75" s="134"/>
      <c r="HAX75" s="134"/>
      <c r="HAY75" s="134"/>
      <c r="HAZ75" s="134"/>
      <c r="HBA75" s="134"/>
      <c r="HBB75" s="134"/>
      <c r="HBC75" s="134"/>
      <c r="HBD75" s="134"/>
      <c r="HBE75" s="134"/>
      <c r="HBF75" s="134"/>
      <c r="HBG75" s="134"/>
      <c r="HBH75" s="134"/>
      <c r="HBI75" s="134"/>
      <c r="HBJ75" s="134"/>
      <c r="HBK75" s="134"/>
      <c r="HBL75" s="134"/>
      <c r="HBM75" s="134"/>
      <c r="HBN75" s="134"/>
      <c r="HBO75" s="134"/>
      <c r="HBP75" s="134"/>
      <c r="HBQ75" s="134"/>
      <c r="HBR75" s="134"/>
      <c r="HBS75" s="134"/>
      <c r="HBT75" s="134"/>
      <c r="HBU75" s="134"/>
      <c r="HBV75" s="134"/>
      <c r="HBW75" s="134"/>
      <c r="HBX75" s="134"/>
      <c r="HBY75" s="134"/>
      <c r="HBZ75" s="134"/>
      <c r="HCA75" s="134"/>
      <c r="HCB75" s="134"/>
      <c r="HCC75" s="134"/>
      <c r="HCD75" s="134"/>
      <c r="HCE75" s="134"/>
      <c r="HCF75" s="134"/>
      <c r="HCG75" s="134"/>
      <c r="HCH75" s="134"/>
      <c r="HCI75" s="134"/>
      <c r="HCJ75" s="134"/>
      <c r="HCK75" s="134"/>
      <c r="HCL75" s="134"/>
      <c r="HCM75" s="134"/>
      <c r="HCN75" s="134"/>
      <c r="HCO75" s="134"/>
      <c r="HCP75" s="134"/>
      <c r="HCQ75" s="134"/>
      <c r="HCR75" s="134"/>
      <c r="HCS75" s="134"/>
      <c r="HCT75" s="134"/>
      <c r="HCU75" s="134"/>
      <c r="HCV75" s="134"/>
      <c r="HCW75" s="134"/>
      <c r="HCX75" s="134"/>
      <c r="HCY75" s="134"/>
      <c r="HCZ75" s="134"/>
      <c r="HDA75" s="134"/>
      <c r="HDB75" s="134"/>
      <c r="HDC75" s="134"/>
      <c r="HDD75" s="134"/>
      <c r="HDE75" s="134"/>
      <c r="HDF75" s="134"/>
      <c r="HDG75" s="134"/>
      <c r="HDH75" s="134"/>
      <c r="HDI75" s="134"/>
      <c r="HDJ75" s="134"/>
      <c r="HDK75" s="134"/>
      <c r="HDL75" s="134"/>
      <c r="HDM75" s="134"/>
      <c r="HDN75" s="134"/>
      <c r="HDO75" s="134"/>
      <c r="HDP75" s="134"/>
      <c r="HDQ75" s="134"/>
      <c r="HDR75" s="134"/>
      <c r="HDS75" s="134"/>
      <c r="HDT75" s="134"/>
      <c r="HDU75" s="134"/>
      <c r="HDV75" s="134"/>
      <c r="HDW75" s="134"/>
      <c r="HDX75" s="134"/>
      <c r="HDY75" s="134"/>
      <c r="HDZ75" s="134"/>
      <c r="HEA75" s="134"/>
      <c r="HEB75" s="134"/>
      <c r="HEC75" s="134"/>
      <c r="HED75" s="134"/>
      <c r="HEE75" s="134"/>
      <c r="HEF75" s="134"/>
      <c r="HEG75" s="134"/>
      <c r="HEH75" s="134"/>
      <c r="HEI75" s="134"/>
      <c r="HEJ75" s="134"/>
      <c r="HEK75" s="134"/>
      <c r="HEL75" s="134"/>
      <c r="HEM75" s="134"/>
      <c r="HEN75" s="134"/>
      <c r="HEO75" s="134"/>
      <c r="HEP75" s="134"/>
      <c r="HEQ75" s="134"/>
      <c r="HER75" s="134"/>
      <c r="HES75" s="134"/>
      <c r="HET75" s="134"/>
      <c r="HEU75" s="134"/>
      <c r="HEV75" s="134"/>
      <c r="HEW75" s="134"/>
      <c r="HEX75" s="134"/>
      <c r="HEY75" s="134"/>
      <c r="HEZ75" s="134"/>
      <c r="HFA75" s="134"/>
      <c r="HFB75" s="134"/>
      <c r="HFC75" s="134"/>
      <c r="HFD75" s="134"/>
      <c r="HFE75" s="134"/>
      <c r="HFF75" s="134"/>
      <c r="HFG75" s="134"/>
      <c r="HFH75" s="134"/>
      <c r="HFI75" s="134"/>
      <c r="HFJ75" s="134"/>
      <c r="HFK75" s="134"/>
      <c r="HFL75" s="134"/>
      <c r="HFM75" s="134"/>
      <c r="HFN75" s="134"/>
      <c r="HFO75" s="134"/>
      <c r="HFP75" s="134"/>
      <c r="HFQ75" s="134"/>
      <c r="HFR75" s="134"/>
      <c r="HFS75" s="134"/>
      <c r="HFT75" s="134"/>
      <c r="HFU75" s="134"/>
      <c r="HFV75" s="134"/>
      <c r="HFW75" s="134"/>
      <c r="HFX75" s="134"/>
      <c r="HFY75" s="134"/>
      <c r="HFZ75" s="134"/>
      <c r="HGA75" s="134"/>
      <c r="HGB75" s="134"/>
      <c r="HGC75" s="134"/>
      <c r="HGD75" s="134"/>
      <c r="HGE75" s="134"/>
      <c r="HGF75" s="134"/>
      <c r="HGG75" s="134"/>
      <c r="HGH75" s="134"/>
      <c r="HGI75" s="134"/>
      <c r="HGJ75" s="134"/>
      <c r="HGK75" s="134"/>
      <c r="HGL75" s="134"/>
      <c r="HGM75" s="134"/>
      <c r="HGN75" s="134"/>
      <c r="HGO75" s="134"/>
      <c r="HGP75" s="134"/>
      <c r="HGQ75" s="134"/>
      <c r="HGR75" s="134"/>
      <c r="HGS75" s="134"/>
      <c r="HGT75" s="134"/>
      <c r="HGU75" s="134"/>
      <c r="HGV75" s="134"/>
      <c r="HGW75" s="134"/>
      <c r="HGX75" s="134"/>
      <c r="HGY75" s="134"/>
      <c r="HGZ75" s="134"/>
      <c r="HHA75" s="134"/>
      <c r="HHB75" s="134"/>
      <c r="HHC75" s="134"/>
      <c r="HHD75" s="134"/>
      <c r="HHE75" s="134"/>
      <c r="HHF75" s="134"/>
      <c r="HHG75" s="134"/>
      <c r="HHH75" s="134"/>
      <c r="HHI75" s="134"/>
      <c r="HHJ75" s="134"/>
      <c r="HHK75" s="134"/>
      <c r="HHL75" s="134"/>
      <c r="HHM75" s="134"/>
      <c r="HHN75" s="134"/>
      <c r="HHO75" s="134"/>
      <c r="HHP75" s="134"/>
      <c r="HHQ75" s="134"/>
      <c r="HHR75" s="134"/>
      <c r="HHS75" s="134"/>
      <c r="HHT75" s="134"/>
      <c r="HHU75" s="134"/>
      <c r="HHV75" s="134"/>
      <c r="HHW75" s="134"/>
      <c r="HHX75" s="134"/>
      <c r="HHY75" s="134"/>
      <c r="HHZ75" s="134"/>
      <c r="HIA75" s="134"/>
      <c r="HIB75" s="134"/>
      <c r="HIC75" s="134"/>
      <c r="HID75" s="134"/>
      <c r="HIE75" s="134"/>
      <c r="HIF75" s="134"/>
      <c r="HIG75" s="134"/>
      <c r="HIH75" s="134"/>
      <c r="HII75" s="134"/>
      <c r="HIJ75" s="134"/>
      <c r="HIK75" s="134"/>
      <c r="HIL75" s="134"/>
      <c r="HIM75" s="134"/>
      <c r="HIN75" s="134"/>
      <c r="HIO75" s="134"/>
      <c r="HIP75" s="134"/>
      <c r="HIQ75" s="134"/>
      <c r="HIR75" s="134"/>
      <c r="HIS75" s="134"/>
      <c r="HIT75" s="134"/>
      <c r="HIU75" s="134"/>
      <c r="HIV75" s="134"/>
      <c r="HIW75" s="134"/>
      <c r="HIX75" s="134"/>
      <c r="HIY75" s="134"/>
      <c r="HIZ75" s="134"/>
      <c r="HJA75" s="134"/>
      <c r="HJB75" s="134"/>
      <c r="HJC75" s="134"/>
      <c r="HJD75" s="134"/>
      <c r="HJE75" s="134"/>
      <c r="HJF75" s="134"/>
      <c r="HJG75" s="134"/>
      <c r="HJH75" s="134"/>
      <c r="HJI75" s="134"/>
      <c r="HJJ75" s="134"/>
      <c r="HJK75" s="134"/>
      <c r="HJL75" s="134"/>
      <c r="HJM75" s="134"/>
      <c r="HJN75" s="134"/>
      <c r="HJO75" s="134"/>
      <c r="HJP75" s="134"/>
      <c r="HJQ75" s="134"/>
      <c r="HJR75" s="134"/>
      <c r="HJS75" s="134"/>
      <c r="HJT75" s="134"/>
      <c r="HJU75" s="134"/>
      <c r="HJV75" s="134"/>
      <c r="HJW75" s="134"/>
      <c r="HJX75" s="134"/>
      <c r="HJY75" s="134"/>
      <c r="HJZ75" s="134"/>
      <c r="HKA75" s="134"/>
      <c r="HKB75" s="134"/>
      <c r="HKC75" s="134"/>
      <c r="HKD75" s="134"/>
      <c r="HKE75" s="134"/>
      <c r="HKF75" s="134"/>
      <c r="HKG75" s="134"/>
      <c r="HKH75" s="134"/>
      <c r="HKI75" s="134"/>
      <c r="HKJ75" s="134"/>
      <c r="HKK75" s="134"/>
      <c r="HKL75" s="134"/>
      <c r="HKM75" s="134"/>
      <c r="HKN75" s="134"/>
      <c r="HKO75" s="134"/>
      <c r="HKP75" s="134"/>
      <c r="HKQ75" s="134"/>
      <c r="HKR75" s="134"/>
      <c r="HKS75" s="134"/>
      <c r="HKT75" s="134"/>
      <c r="HKU75" s="134"/>
      <c r="HKV75" s="134"/>
      <c r="HKW75" s="134"/>
      <c r="HKX75" s="134"/>
      <c r="HKY75" s="134"/>
      <c r="HKZ75" s="134"/>
      <c r="HLA75" s="134"/>
      <c r="HLB75" s="134"/>
      <c r="HLC75" s="134"/>
      <c r="HLD75" s="134"/>
      <c r="HLE75" s="134"/>
      <c r="HLF75" s="134"/>
      <c r="HLG75" s="134"/>
      <c r="HLH75" s="134"/>
      <c r="HLI75" s="134"/>
      <c r="HLJ75" s="134"/>
      <c r="HLK75" s="134"/>
      <c r="HLL75" s="134"/>
      <c r="HLM75" s="134"/>
      <c r="HLN75" s="134"/>
      <c r="HLO75" s="134"/>
      <c r="HLP75" s="134"/>
      <c r="HLQ75" s="134"/>
      <c r="HLR75" s="134"/>
      <c r="HLS75" s="134"/>
      <c r="HLT75" s="134"/>
      <c r="HLU75" s="134"/>
      <c r="HLV75" s="134"/>
      <c r="HLW75" s="134"/>
      <c r="HLX75" s="134"/>
      <c r="HLY75" s="134"/>
      <c r="HLZ75" s="134"/>
      <c r="HMA75" s="134"/>
      <c r="HMB75" s="134"/>
      <c r="HMC75" s="134"/>
      <c r="HMD75" s="134"/>
      <c r="HME75" s="134"/>
      <c r="HMF75" s="134"/>
      <c r="HMG75" s="134"/>
      <c r="HMH75" s="134"/>
      <c r="HMI75" s="134"/>
      <c r="HMJ75" s="134"/>
      <c r="HMK75" s="134"/>
      <c r="HML75" s="134"/>
      <c r="HMM75" s="134"/>
      <c r="HMN75" s="134"/>
      <c r="HMO75" s="134"/>
      <c r="HMP75" s="134"/>
      <c r="HMQ75" s="134"/>
      <c r="HMR75" s="134"/>
      <c r="HMS75" s="134"/>
      <c r="HMT75" s="134"/>
      <c r="HMU75" s="134"/>
      <c r="HMV75" s="134"/>
      <c r="HMW75" s="134"/>
      <c r="HMX75" s="134"/>
      <c r="HMY75" s="134"/>
      <c r="HMZ75" s="134"/>
      <c r="HNA75" s="134"/>
      <c r="HNB75" s="134"/>
      <c r="HNC75" s="134"/>
      <c r="HND75" s="134"/>
      <c r="HNE75" s="134"/>
      <c r="HNF75" s="134"/>
      <c r="HNG75" s="134"/>
      <c r="HNH75" s="134"/>
      <c r="HNI75" s="134"/>
      <c r="HNJ75" s="134"/>
      <c r="HNK75" s="134"/>
      <c r="HNL75" s="134"/>
      <c r="HNM75" s="134"/>
      <c r="HNN75" s="134"/>
      <c r="HNO75" s="134"/>
      <c r="HNP75" s="134"/>
      <c r="HNQ75" s="134"/>
      <c r="HNR75" s="134"/>
      <c r="HNS75" s="134"/>
      <c r="HNT75" s="134"/>
      <c r="HNU75" s="134"/>
      <c r="HNV75" s="134"/>
      <c r="HNW75" s="134"/>
      <c r="HNX75" s="134"/>
      <c r="HNY75" s="134"/>
      <c r="HNZ75" s="134"/>
      <c r="HOA75" s="134"/>
      <c r="HOB75" s="134"/>
      <c r="HOC75" s="134"/>
      <c r="HOD75" s="134"/>
      <c r="HOE75" s="134"/>
      <c r="HOF75" s="134"/>
      <c r="HOG75" s="134"/>
      <c r="HOH75" s="134"/>
      <c r="HOI75" s="134"/>
      <c r="HOJ75" s="134"/>
      <c r="HOK75" s="134"/>
      <c r="HOL75" s="134"/>
      <c r="HOM75" s="134"/>
      <c r="HON75" s="134"/>
      <c r="HOO75" s="134"/>
      <c r="HOP75" s="134"/>
      <c r="HOQ75" s="134"/>
      <c r="HOR75" s="134"/>
      <c r="HOS75" s="134"/>
      <c r="HOT75" s="134"/>
      <c r="HOU75" s="134"/>
      <c r="HOV75" s="134"/>
      <c r="HOW75" s="134"/>
      <c r="HOX75" s="134"/>
      <c r="HOY75" s="134"/>
      <c r="HOZ75" s="134"/>
      <c r="HPA75" s="134"/>
      <c r="HPB75" s="134"/>
      <c r="HPC75" s="134"/>
      <c r="HPD75" s="134"/>
      <c r="HPE75" s="134"/>
      <c r="HPF75" s="134"/>
      <c r="HPG75" s="134"/>
      <c r="HPH75" s="134"/>
      <c r="HPI75" s="134"/>
      <c r="HPJ75" s="134"/>
      <c r="HPK75" s="134"/>
      <c r="HPL75" s="134"/>
      <c r="HPM75" s="134"/>
      <c r="HPN75" s="134"/>
      <c r="HPO75" s="134"/>
      <c r="HPP75" s="134"/>
      <c r="HPQ75" s="134"/>
      <c r="HPR75" s="134"/>
      <c r="HPS75" s="134"/>
      <c r="HPT75" s="134"/>
      <c r="HPU75" s="134"/>
      <c r="HPV75" s="134"/>
      <c r="HPW75" s="134"/>
      <c r="HPX75" s="134"/>
      <c r="HPY75" s="134"/>
      <c r="HPZ75" s="134"/>
      <c r="HQA75" s="134"/>
      <c r="HQB75" s="134"/>
      <c r="HQC75" s="134"/>
      <c r="HQD75" s="134"/>
      <c r="HQE75" s="134"/>
      <c r="HQF75" s="134"/>
      <c r="HQG75" s="134"/>
      <c r="HQH75" s="134"/>
      <c r="HQI75" s="134"/>
      <c r="HQJ75" s="134"/>
      <c r="HQK75" s="134"/>
      <c r="HQL75" s="134"/>
      <c r="HQM75" s="134"/>
      <c r="HQN75" s="134"/>
      <c r="HQO75" s="134"/>
      <c r="HQP75" s="134"/>
      <c r="HQQ75" s="134"/>
      <c r="HQR75" s="134"/>
      <c r="HQS75" s="134"/>
      <c r="HQT75" s="134"/>
      <c r="HQU75" s="134"/>
      <c r="HQV75" s="134"/>
      <c r="HQW75" s="134"/>
      <c r="HQX75" s="134"/>
      <c r="HQY75" s="134"/>
      <c r="HQZ75" s="134"/>
      <c r="HRA75" s="134"/>
      <c r="HRB75" s="134"/>
      <c r="HRC75" s="134"/>
      <c r="HRD75" s="134"/>
      <c r="HRE75" s="134"/>
      <c r="HRF75" s="134"/>
      <c r="HRG75" s="134"/>
      <c r="HRH75" s="134"/>
      <c r="HRI75" s="134"/>
      <c r="HRJ75" s="134"/>
      <c r="HRK75" s="134"/>
      <c r="HRL75" s="134"/>
      <c r="HRM75" s="134"/>
      <c r="HRN75" s="134"/>
      <c r="HRO75" s="134"/>
      <c r="HRP75" s="134"/>
      <c r="HRQ75" s="134"/>
      <c r="HRR75" s="134"/>
      <c r="HRS75" s="134"/>
      <c r="HRT75" s="134"/>
      <c r="HRU75" s="134"/>
      <c r="HRV75" s="134"/>
      <c r="HRW75" s="134"/>
      <c r="HRX75" s="134"/>
      <c r="HRY75" s="134"/>
      <c r="HRZ75" s="134"/>
      <c r="HSA75" s="134"/>
      <c r="HSB75" s="134"/>
      <c r="HSC75" s="134"/>
      <c r="HSD75" s="134"/>
      <c r="HSE75" s="134"/>
      <c r="HSF75" s="134"/>
      <c r="HSG75" s="134"/>
      <c r="HSH75" s="134"/>
      <c r="HSI75" s="134"/>
      <c r="HSJ75" s="134"/>
      <c r="HSK75" s="134"/>
      <c r="HSL75" s="134"/>
      <c r="HSM75" s="134"/>
      <c r="HSN75" s="134"/>
      <c r="HSO75" s="134"/>
      <c r="HSP75" s="134"/>
      <c r="HSQ75" s="134"/>
      <c r="HSR75" s="134"/>
      <c r="HSS75" s="134"/>
      <c r="HST75" s="134"/>
      <c r="HSU75" s="134"/>
      <c r="HSV75" s="134"/>
      <c r="HSW75" s="134"/>
      <c r="HSX75" s="134"/>
      <c r="HSY75" s="134"/>
      <c r="HSZ75" s="134"/>
      <c r="HTA75" s="134"/>
      <c r="HTB75" s="134"/>
      <c r="HTC75" s="134"/>
      <c r="HTD75" s="134"/>
      <c r="HTE75" s="134"/>
      <c r="HTF75" s="134"/>
      <c r="HTG75" s="134"/>
      <c r="HTH75" s="134"/>
      <c r="HTI75" s="134"/>
      <c r="HTJ75" s="134"/>
      <c r="HTK75" s="134"/>
      <c r="HTL75" s="134"/>
      <c r="HTM75" s="134"/>
      <c r="HTN75" s="134"/>
      <c r="HTO75" s="134"/>
      <c r="HTP75" s="134"/>
      <c r="HTQ75" s="134"/>
      <c r="HTR75" s="134"/>
      <c r="HTS75" s="134"/>
      <c r="HTT75" s="134"/>
      <c r="HTU75" s="134"/>
      <c r="HTV75" s="134"/>
      <c r="HTW75" s="134"/>
      <c r="HTX75" s="134"/>
      <c r="HTY75" s="134"/>
      <c r="HTZ75" s="134"/>
      <c r="HUA75" s="134"/>
      <c r="HUB75" s="134"/>
      <c r="HUC75" s="134"/>
      <c r="HUD75" s="134"/>
      <c r="HUE75" s="134"/>
      <c r="HUF75" s="134"/>
      <c r="HUG75" s="134"/>
      <c r="HUH75" s="134"/>
      <c r="HUI75" s="134"/>
      <c r="HUJ75" s="134"/>
      <c r="HUK75" s="134"/>
      <c r="HUL75" s="134"/>
      <c r="HUM75" s="134"/>
      <c r="HUN75" s="134"/>
      <c r="HUO75" s="134"/>
      <c r="HUP75" s="134"/>
      <c r="HUQ75" s="134"/>
      <c r="HUR75" s="134"/>
      <c r="HUS75" s="134"/>
      <c r="HUT75" s="134"/>
      <c r="HUU75" s="134"/>
      <c r="HUV75" s="134"/>
      <c r="HUW75" s="134"/>
      <c r="HUX75" s="134"/>
      <c r="HUY75" s="134"/>
      <c r="HUZ75" s="134"/>
      <c r="HVA75" s="134"/>
      <c r="HVB75" s="134"/>
      <c r="HVC75" s="134"/>
      <c r="HVD75" s="134"/>
      <c r="HVE75" s="134"/>
      <c r="HVF75" s="134"/>
      <c r="HVG75" s="134"/>
      <c r="HVH75" s="134"/>
      <c r="HVI75" s="134"/>
      <c r="HVJ75" s="134"/>
      <c r="HVK75" s="134"/>
      <c r="HVL75" s="134"/>
      <c r="HVM75" s="134"/>
      <c r="HVN75" s="134"/>
      <c r="HVO75" s="134"/>
      <c r="HVP75" s="134"/>
      <c r="HVQ75" s="134"/>
      <c r="HVR75" s="134"/>
      <c r="HVS75" s="134"/>
      <c r="HVT75" s="134"/>
      <c r="HVU75" s="134"/>
      <c r="HVV75" s="134"/>
      <c r="HVW75" s="134"/>
      <c r="HVX75" s="134"/>
      <c r="HVY75" s="134"/>
      <c r="HVZ75" s="134"/>
      <c r="HWA75" s="134"/>
      <c r="HWB75" s="134"/>
      <c r="HWC75" s="134"/>
      <c r="HWD75" s="134"/>
      <c r="HWE75" s="134"/>
      <c r="HWF75" s="134"/>
      <c r="HWG75" s="134"/>
      <c r="HWH75" s="134"/>
      <c r="HWI75" s="134"/>
      <c r="HWJ75" s="134"/>
      <c r="HWK75" s="134"/>
      <c r="HWL75" s="134"/>
      <c r="HWM75" s="134"/>
      <c r="HWN75" s="134"/>
      <c r="HWO75" s="134"/>
      <c r="HWP75" s="134"/>
      <c r="HWQ75" s="134"/>
      <c r="HWR75" s="134"/>
      <c r="HWS75" s="134"/>
      <c r="HWT75" s="134"/>
      <c r="HWU75" s="134"/>
      <c r="HWV75" s="134"/>
      <c r="HWW75" s="134"/>
      <c r="HWX75" s="134"/>
      <c r="HWY75" s="134"/>
      <c r="HWZ75" s="134"/>
      <c r="HXA75" s="134"/>
      <c r="HXB75" s="134"/>
      <c r="HXC75" s="134"/>
      <c r="HXD75" s="134"/>
      <c r="HXE75" s="134"/>
      <c r="HXF75" s="134"/>
      <c r="HXG75" s="134"/>
      <c r="HXH75" s="134"/>
      <c r="HXI75" s="134"/>
      <c r="HXJ75" s="134"/>
      <c r="HXK75" s="134"/>
      <c r="HXL75" s="134"/>
      <c r="HXM75" s="134"/>
      <c r="HXN75" s="134"/>
      <c r="HXO75" s="134"/>
      <c r="HXP75" s="134"/>
      <c r="HXQ75" s="134"/>
      <c r="HXR75" s="134"/>
      <c r="HXS75" s="134"/>
      <c r="HXT75" s="134"/>
      <c r="HXU75" s="134"/>
      <c r="HXV75" s="134"/>
      <c r="HXW75" s="134"/>
      <c r="HXX75" s="134"/>
      <c r="HXY75" s="134"/>
      <c r="HXZ75" s="134"/>
      <c r="HYA75" s="134"/>
      <c r="HYB75" s="134"/>
      <c r="HYC75" s="134"/>
      <c r="HYD75" s="134"/>
      <c r="HYE75" s="134"/>
      <c r="HYF75" s="134"/>
      <c r="HYG75" s="134"/>
      <c r="HYH75" s="134"/>
      <c r="HYI75" s="134"/>
      <c r="HYJ75" s="134"/>
      <c r="HYK75" s="134"/>
      <c r="HYL75" s="134"/>
      <c r="HYM75" s="134"/>
      <c r="HYN75" s="134"/>
      <c r="HYO75" s="134"/>
      <c r="HYP75" s="134"/>
      <c r="HYQ75" s="134"/>
      <c r="HYR75" s="134"/>
      <c r="HYS75" s="134"/>
      <c r="HYT75" s="134"/>
      <c r="HYU75" s="134"/>
      <c r="HYV75" s="134"/>
      <c r="HYW75" s="134"/>
      <c r="HYX75" s="134"/>
      <c r="HYY75" s="134"/>
      <c r="HYZ75" s="134"/>
      <c r="HZA75" s="134"/>
      <c r="HZB75" s="134"/>
      <c r="HZC75" s="134"/>
      <c r="HZD75" s="134"/>
      <c r="HZE75" s="134"/>
      <c r="HZF75" s="134"/>
      <c r="HZG75" s="134"/>
      <c r="HZH75" s="134"/>
      <c r="HZI75" s="134"/>
      <c r="HZJ75" s="134"/>
      <c r="HZK75" s="134"/>
      <c r="HZL75" s="134"/>
      <c r="HZM75" s="134"/>
      <c r="HZN75" s="134"/>
      <c r="HZO75" s="134"/>
      <c r="HZP75" s="134"/>
      <c r="HZQ75" s="134"/>
      <c r="HZR75" s="134"/>
      <c r="HZS75" s="134"/>
      <c r="HZT75" s="134"/>
      <c r="HZU75" s="134"/>
      <c r="HZV75" s="134"/>
      <c r="HZW75" s="134"/>
      <c r="HZX75" s="134"/>
      <c r="HZY75" s="134"/>
      <c r="HZZ75" s="134"/>
      <c r="IAA75" s="134"/>
      <c r="IAB75" s="134"/>
      <c r="IAC75" s="134"/>
      <c r="IAD75" s="134"/>
      <c r="IAE75" s="134"/>
      <c r="IAF75" s="134"/>
      <c r="IAG75" s="134"/>
      <c r="IAH75" s="134"/>
      <c r="IAI75" s="134"/>
      <c r="IAJ75" s="134"/>
      <c r="IAK75" s="134"/>
      <c r="IAL75" s="134"/>
      <c r="IAM75" s="134"/>
      <c r="IAN75" s="134"/>
      <c r="IAO75" s="134"/>
      <c r="IAP75" s="134"/>
      <c r="IAQ75" s="134"/>
      <c r="IAR75" s="134"/>
      <c r="IAS75" s="134"/>
      <c r="IAT75" s="134"/>
      <c r="IAU75" s="134"/>
      <c r="IAV75" s="134"/>
      <c r="IAW75" s="134"/>
      <c r="IAX75" s="134"/>
      <c r="IAY75" s="134"/>
      <c r="IAZ75" s="134"/>
      <c r="IBA75" s="134"/>
      <c r="IBB75" s="134"/>
      <c r="IBC75" s="134"/>
      <c r="IBD75" s="134"/>
      <c r="IBE75" s="134"/>
      <c r="IBF75" s="134"/>
      <c r="IBG75" s="134"/>
      <c r="IBH75" s="134"/>
      <c r="IBI75" s="134"/>
      <c r="IBJ75" s="134"/>
      <c r="IBK75" s="134"/>
      <c r="IBL75" s="134"/>
      <c r="IBM75" s="134"/>
      <c r="IBN75" s="134"/>
      <c r="IBO75" s="134"/>
      <c r="IBP75" s="134"/>
      <c r="IBQ75" s="134"/>
      <c r="IBR75" s="134"/>
      <c r="IBS75" s="134"/>
      <c r="IBT75" s="134"/>
      <c r="IBU75" s="134"/>
      <c r="IBV75" s="134"/>
      <c r="IBW75" s="134"/>
      <c r="IBX75" s="134"/>
      <c r="IBY75" s="134"/>
      <c r="IBZ75" s="134"/>
      <c r="ICA75" s="134"/>
      <c r="ICB75" s="134"/>
      <c r="ICC75" s="134"/>
      <c r="ICD75" s="134"/>
      <c r="ICE75" s="134"/>
      <c r="ICF75" s="134"/>
      <c r="ICG75" s="134"/>
      <c r="ICH75" s="134"/>
      <c r="ICI75" s="134"/>
      <c r="ICJ75" s="134"/>
      <c r="ICK75" s="134"/>
      <c r="ICL75" s="134"/>
      <c r="ICM75" s="134"/>
      <c r="ICN75" s="134"/>
      <c r="ICO75" s="134"/>
      <c r="ICP75" s="134"/>
      <c r="ICQ75" s="134"/>
      <c r="ICR75" s="134"/>
      <c r="ICS75" s="134"/>
      <c r="ICT75" s="134"/>
      <c r="ICU75" s="134"/>
      <c r="ICV75" s="134"/>
      <c r="ICW75" s="134"/>
      <c r="ICX75" s="134"/>
      <c r="ICY75" s="134"/>
      <c r="ICZ75" s="134"/>
      <c r="IDA75" s="134"/>
      <c r="IDB75" s="134"/>
      <c r="IDC75" s="134"/>
      <c r="IDD75" s="134"/>
      <c r="IDE75" s="134"/>
      <c r="IDF75" s="134"/>
      <c r="IDG75" s="134"/>
      <c r="IDH75" s="134"/>
      <c r="IDI75" s="134"/>
      <c r="IDJ75" s="134"/>
      <c r="IDK75" s="134"/>
      <c r="IDL75" s="134"/>
      <c r="IDM75" s="134"/>
      <c r="IDN75" s="134"/>
      <c r="IDO75" s="134"/>
      <c r="IDP75" s="134"/>
      <c r="IDQ75" s="134"/>
      <c r="IDR75" s="134"/>
      <c r="IDS75" s="134"/>
      <c r="IDT75" s="134"/>
      <c r="IDU75" s="134"/>
      <c r="IDV75" s="134"/>
      <c r="IDW75" s="134"/>
      <c r="IDX75" s="134"/>
      <c r="IDY75" s="134"/>
      <c r="IDZ75" s="134"/>
      <c r="IEA75" s="134"/>
      <c r="IEB75" s="134"/>
      <c r="IEC75" s="134"/>
      <c r="IED75" s="134"/>
      <c r="IEE75" s="134"/>
      <c r="IEF75" s="134"/>
      <c r="IEG75" s="134"/>
      <c r="IEH75" s="134"/>
      <c r="IEI75" s="134"/>
      <c r="IEJ75" s="134"/>
      <c r="IEK75" s="134"/>
      <c r="IEL75" s="134"/>
      <c r="IEM75" s="134"/>
      <c r="IEN75" s="134"/>
      <c r="IEO75" s="134"/>
      <c r="IEP75" s="134"/>
      <c r="IEQ75" s="134"/>
      <c r="IER75" s="134"/>
      <c r="IES75" s="134"/>
      <c r="IET75" s="134"/>
      <c r="IEU75" s="134"/>
      <c r="IEV75" s="134"/>
      <c r="IEW75" s="134"/>
      <c r="IEX75" s="134"/>
      <c r="IEY75" s="134"/>
      <c r="IEZ75" s="134"/>
      <c r="IFA75" s="134"/>
      <c r="IFB75" s="134"/>
      <c r="IFC75" s="134"/>
      <c r="IFD75" s="134"/>
      <c r="IFE75" s="134"/>
      <c r="IFF75" s="134"/>
      <c r="IFG75" s="134"/>
      <c r="IFH75" s="134"/>
      <c r="IFI75" s="134"/>
      <c r="IFJ75" s="134"/>
      <c r="IFK75" s="134"/>
      <c r="IFL75" s="134"/>
      <c r="IFM75" s="134"/>
      <c r="IFN75" s="134"/>
      <c r="IFO75" s="134"/>
      <c r="IFP75" s="134"/>
      <c r="IFQ75" s="134"/>
      <c r="IFR75" s="134"/>
      <c r="IFS75" s="134"/>
      <c r="IFT75" s="134"/>
      <c r="IFU75" s="134"/>
      <c r="IFV75" s="134"/>
      <c r="IFW75" s="134"/>
      <c r="IFX75" s="134"/>
      <c r="IFY75" s="134"/>
      <c r="IFZ75" s="134"/>
      <c r="IGA75" s="134"/>
      <c r="IGB75" s="134"/>
      <c r="IGC75" s="134"/>
      <c r="IGD75" s="134"/>
      <c r="IGE75" s="134"/>
      <c r="IGF75" s="134"/>
      <c r="IGG75" s="134"/>
      <c r="IGH75" s="134"/>
      <c r="IGI75" s="134"/>
      <c r="IGJ75" s="134"/>
      <c r="IGK75" s="134"/>
      <c r="IGL75" s="134"/>
      <c r="IGM75" s="134"/>
      <c r="IGN75" s="134"/>
      <c r="IGO75" s="134"/>
      <c r="IGP75" s="134"/>
      <c r="IGQ75" s="134"/>
      <c r="IGR75" s="134"/>
      <c r="IGS75" s="134"/>
      <c r="IGT75" s="134"/>
      <c r="IGU75" s="134"/>
      <c r="IGV75" s="134"/>
      <c r="IGW75" s="134"/>
      <c r="IGX75" s="134"/>
      <c r="IGY75" s="134"/>
      <c r="IGZ75" s="134"/>
      <c r="IHA75" s="134"/>
      <c r="IHB75" s="134"/>
      <c r="IHC75" s="134"/>
      <c r="IHD75" s="134"/>
      <c r="IHE75" s="134"/>
      <c r="IHF75" s="134"/>
      <c r="IHG75" s="134"/>
      <c r="IHH75" s="134"/>
      <c r="IHI75" s="134"/>
      <c r="IHJ75" s="134"/>
      <c r="IHK75" s="134"/>
      <c r="IHL75" s="134"/>
      <c r="IHM75" s="134"/>
      <c r="IHN75" s="134"/>
      <c r="IHO75" s="134"/>
      <c r="IHP75" s="134"/>
      <c r="IHQ75" s="134"/>
      <c r="IHR75" s="134"/>
      <c r="IHS75" s="134"/>
      <c r="IHT75" s="134"/>
      <c r="IHU75" s="134"/>
      <c r="IHV75" s="134"/>
      <c r="IHW75" s="134"/>
      <c r="IHX75" s="134"/>
      <c r="IHY75" s="134"/>
      <c r="IHZ75" s="134"/>
      <c r="IIA75" s="134"/>
      <c r="IIB75" s="134"/>
      <c r="IIC75" s="134"/>
      <c r="IID75" s="134"/>
      <c r="IIE75" s="134"/>
      <c r="IIF75" s="134"/>
      <c r="IIG75" s="134"/>
      <c r="IIH75" s="134"/>
      <c r="III75" s="134"/>
      <c r="IIJ75" s="134"/>
      <c r="IIK75" s="134"/>
      <c r="IIL75" s="134"/>
      <c r="IIM75" s="134"/>
      <c r="IIN75" s="134"/>
      <c r="IIO75" s="134"/>
      <c r="IIP75" s="134"/>
      <c r="IIQ75" s="134"/>
      <c r="IIR75" s="134"/>
      <c r="IIS75" s="134"/>
      <c r="IIT75" s="134"/>
      <c r="IIU75" s="134"/>
      <c r="IIV75" s="134"/>
      <c r="IIW75" s="134"/>
      <c r="IIX75" s="134"/>
      <c r="IIY75" s="134"/>
      <c r="IIZ75" s="134"/>
      <c r="IJA75" s="134"/>
      <c r="IJB75" s="134"/>
      <c r="IJC75" s="134"/>
      <c r="IJD75" s="134"/>
      <c r="IJE75" s="134"/>
      <c r="IJF75" s="134"/>
      <c r="IJG75" s="134"/>
      <c r="IJH75" s="134"/>
      <c r="IJI75" s="134"/>
      <c r="IJJ75" s="134"/>
      <c r="IJK75" s="134"/>
      <c r="IJL75" s="134"/>
      <c r="IJM75" s="134"/>
      <c r="IJN75" s="134"/>
      <c r="IJO75" s="134"/>
      <c r="IJP75" s="134"/>
      <c r="IJQ75" s="134"/>
      <c r="IJR75" s="134"/>
      <c r="IJS75" s="134"/>
      <c r="IJT75" s="134"/>
      <c r="IJU75" s="134"/>
      <c r="IJV75" s="134"/>
      <c r="IJW75" s="134"/>
      <c r="IJX75" s="134"/>
      <c r="IJY75" s="134"/>
      <c r="IJZ75" s="134"/>
      <c r="IKA75" s="134"/>
      <c r="IKB75" s="134"/>
      <c r="IKC75" s="134"/>
      <c r="IKD75" s="134"/>
      <c r="IKE75" s="134"/>
      <c r="IKF75" s="134"/>
      <c r="IKG75" s="134"/>
      <c r="IKH75" s="134"/>
      <c r="IKI75" s="134"/>
      <c r="IKJ75" s="134"/>
      <c r="IKK75" s="134"/>
      <c r="IKL75" s="134"/>
      <c r="IKM75" s="134"/>
      <c r="IKN75" s="134"/>
      <c r="IKO75" s="134"/>
      <c r="IKP75" s="134"/>
      <c r="IKQ75" s="134"/>
      <c r="IKR75" s="134"/>
      <c r="IKS75" s="134"/>
      <c r="IKT75" s="134"/>
      <c r="IKU75" s="134"/>
      <c r="IKV75" s="134"/>
      <c r="IKW75" s="134"/>
      <c r="IKX75" s="134"/>
      <c r="IKY75" s="134"/>
      <c r="IKZ75" s="134"/>
      <c r="ILA75" s="134"/>
      <c r="ILB75" s="134"/>
      <c r="ILC75" s="134"/>
      <c r="ILD75" s="134"/>
      <c r="ILE75" s="134"/>
      <c r="ILF75" s="134"/>
      <c r="ILG75" s="134"/>
      <c r="ILH75" s="134"/>
      <c r="ILI75" s="134"/>
      <c r="ILJ75" s="134"/>
      <c r="ILK75" s="134"/>
      <c r="ILL75" s="134"/>
      <c r="ILM75" s="134"/>
      <c r="ILN75" s="134"/>
      <c r="ILO75" s="134"/>
      <c r="ILP75" s="134"/>
      <c r="ILQ75" s="134"/>
      <c r="ILR75" s="134"/>
      <c r="ILS75" s="134"/>
      <c r="ILT75" s="134"/>
      <c r="ILU75" s="134"/>
      <c r="ILV75" s="134"/>
      <c r="ILW75" s="134"/>
      <c r="ILX75" s="134"/>
      <c r="ILY75" s="134"/>
      <c r="ILZ75" s="134"/>
      <c r="IMA75" s="134"/>
      <c r="IMB75" s="134"/>
      <c r="IMC75" s="134"/>
      <c r="IMD75" s="134"/>
      <c r="IME75" s="134"/>
      <c r="IMF75" s="134"/>
      <c r="IMG75" s="134"/>
      <c r="IMH75" s="134"/>
      <c r="IMI75" s="134"/>
      <c r="IMJ75" s="134"/>
      <c r="IMK75" s="134"/>
      <c r="IML75" s="134"/>
      <c r="IMM75" s="134"/>
      <c r="IMN75" s="134"/>
      <c r="IMO75" s="134"/>
      <c r="IMP75" s="134"/>
      <c r="IMQ75" s="134"/>
      <c r="IMR75" s="134"/>
      <c r="IMS75" s="134"/>
      <c r="IMT75" s="134"/>
      <c r="IMU75" s="134"/>
      <c r="IMV75" s="134"/>
      <c r="IMW75" s="134"/>
      <c r="IMX75" s="134"/>
      <c r="IMY75" s="134"/>
      <c r="IMZ75" s="134"/>
      <c r="INA75" s="134"/>
      <c r="INB75" s="134"/>
      <c r="INC75" s="134"/>
      <c r="IND75" s="134"/>
      <c r="INE75" s="134"/>
      <c r="INF75" s="134"/>
      <c r="ING75" s="134"/>
      <c r="INH75" s="134"/>
      <c r="INI75" s="134"/>
      <c r="INJ75" s="134"/>
      <c r="INK75" s="134"/>
      <c r="INL75" s="134"/>
      <c r="INM75" s="134"/>
      <c r="INN75" s="134"/>
      <c r="INO75" s="134"/>
      <c r="INP75" s="134"/>
      <c r="INQ75" s="134"/>
      <c r="INR75" s="134"/>
      <c r="INS75" s="134"/>
      <c r="INT75" s="134"/>
      <c r="INU75" s="134"/>
      <c r="INV75" s="134"/>
      <c r="INW75" s="134"/>
      <c r="INX75" s="134"/>
      <c r="INY75" s="134"/>
      <c r="INZ75" s="134"/>
      <c r="IOA75" s="134"/>
      <c r="IOB75" s="134"/>
      <c r="IOC75" s="134"/>
      <c r="IOD75" s="134"/>
      <c r="IOE75" s="134"/>
      <c r="IOF75" s="134"/>
      <c r="IOG75" s="134"/>
      <c r="IOH75" s="134"/>
      <c r="IOI75" s="134"/>
      <c r="IOJ75" s="134"/>
      <c r="IOK75" s="134"/>
      <c r="IOL75" s="134"/>
      <c r="IOM75" s="134"/>
      <c r="ION75" s="134"/>
      <c r="IOO75" s="134"/>
      <c r="IOP75" s="134"/>
      <c r="IOQ75" s="134"/>
      <c r="IOR75" s="134"/>
      <c r="IOS75" s="134"/>
      <c r="IOT75" s="134"/>
      <c r="IOU75" s="134"/>
      <c r="IOV75" s="134"/>
      <c r="IOW75" s="134"/>
      <c r="IOX75" s="134"/>
      <c r="IOY75" s="134"/>
      <c r="IOZ75" s="134"/>
      <c r="IPA75" s="134"/>
      <c r="IPB75" s="134"/>
      <c r="IPC75" s="134"/>
      <c r="IPD75" s="134"/>
      <c r="IPE75" s="134"/>
      <c r="IPF75" s="134"/>
      <c r="IPG75" s="134"/>
      <c r="IPH75" s="134"/>
      <c r="IPI75" s="134"/>
      <c r="IPJ75" s="134"/>
      <c r="IPK75" s="134"/>
      <c r="IPL75" s="134"/>
      <c r="IPM75" s="134"/>
      <c r="IPN75" s="134"/>
      <c r="IPO75" s="134"/>
      <c r="IPP75" s="134"/>
      <c r="IPQ75" s="134"/>
      <c r="IPR75" s="134"/>
      <c r="IPS75" s="134"/>
      <c r="IPT75" s="134"/>
      <c r="IPU75" s="134"/>
      <c r="IPV75" s="134"/>
      <c r="IPW75" s="134"/>
      <c r="IPX75" s="134"/>
      <c r="IPY75" s="134"/>
      <c r="IPZ75" s="134"/>
      <c r="IQA75" s="134"/>
      <c r="IQB75" s="134"/>
      <c r="IQC75" s="134"/>
      <c r="IQD75" s="134"/>
      <c r="IQE75" s="134"/>
      <c r="IQF75" s="134"/>
      <c r="IQG75" s="134"/>
      <c r="IQH75" s="134"/>
      <c r="IQI75" s="134"/>
      <c r="IQJ75" s="134"/>
      <c r="IQK75" s="134"/>
      <c r="IQL75" s="134"/>
      <c r="IQM75" s="134"/>
      <c r="IQN75" s="134"/>
      <c r="IQO75" s="134"/>
      <c r="IQP75" s="134"/>
      <c r="IQQ75" s="134"/>
      <c r="IQR75" s="134"/>
      <c r="IQS75" s="134"/>
      <c r="IQT75" s="134"/>
      <c r="IQU75" s="134"/>
      <c r="IQV75" s="134"/>
      <c r="IQW75" s="134"/>
      <c r="IQX75" s="134"/>
      <c r="IQY75" s="134"/>
      <c r="IQZ75" s="134"/>
      <c r="IRA75" s="134"/>
      <c r="IRB75" s="134"/>
      <c r="IRC75" s="134"/>
      <c r="IRD75" s="134"/>
      <c r="IRE75" s="134"/>
      <c r="IRF75" s="134"/>
      <c r="IRG75" s="134"/>
      <c r="IRH75" s="134"/>
      <c r="IRI75" s="134"/>
      <c r="IRJ75" s="134"/>
      <c r="IRK75" s="134"/>
      <c r="IRL75" s="134"/>
      <c r="IRM75" s="134"/>
      <c r="IRN75" s="134"/>
      <c r="IRO75" s="134"/>
      <c r="IRP75" s="134"/>
      <c r="IRQ75" s="134"/>
      <c r="IRR75" s="134"/>
      <c r="IRS75" s="134"/>
      <c r="IRT75" s="134"/>
      <c r="IRU75" s="134"/>
      <c r="IRV75" s="134"/>
      <c r="IRW75" s="134"/>
      <c r="IRX75" s="134"/>
      <c r="IRY75" s="134"/>
      <c r="IRZ75" s="134"/>
      <c r="ISA75" s="134"/>
      <c r="ISB75" s="134"/>
      <c r="ISC75" s="134"/>
      <c r="ISD75" s="134"/>
      <c r="ISE75" s="134"/>
      <c r="ISF75" s="134"/>
      <c r="ISG75" s="134"/>
      <c r="ISH75" s="134"/>
      <c r="ISI75" s="134"/>
      <c r="ISJ75" s="134"/>
      <c r="ISK75" s="134"/>
      <c r="ISL75" s="134"/>
      <c r="ISM75" s="134"/>
      <c r="ISN75" s="134"/>
      <c r="ISO75" s="134"/>
      <c r="ISP75" s="134"/>
      <c r="ISQ75" s="134"/>
      <c r="ISR75" s="134"/>
      <c r="ISS75" s="134"/>
      <c r="IST75" s="134"/>
      <c r="ISU75" s="134"/>
      <c r="ISV75" s="134"/>
      <c r="ISW75" s="134"/>
      <c r="ISX75" s="134"/>
      <c r="ISY75" s="134"/>
      <c r="ISZ75" s="134"/>
      <c r="ITA75" s="134"/>
      <c r="ITB75" s="134"/>
      <c r="ITC75" s="134"/>
      <c r="ITD75" s="134"/>
      <c r="ITE75" s="134"/>
      <c r="ITF75" s="134"/>
      <c r="ITG75" s="134"/>
      <c r="ITH75" s="134"/>
      <c r="ITI75" s="134"/>
      <c r="ITJ75" s="134"/>
      <c r="ITK75" s="134"/>
      <c r="ITL75" s="134"/>
      <c r="ITM75" s="134"/>
      <c r="ITN75" s="134"/>
      <c r="ITO75" s="134"/>
      <c r="ITP75" s="134"/>
      <c r="ITQ75" s="134"/>
      <c r="ITR75" s="134"/>
      <c r="ITS75" s="134"/>
      <c r="ITT75" s="134"/>
      <c r="ITU75" s="134"/>
      <c r="ITV75" s="134"/>
      <c r="ITW75" s="134"/>
      <c r="ITX75" s="134"/>
      <c r="ITY75" s="134"/>
      <c r="ITZ75" s="134"/>
      <c r="IUA75" s="134"/>
      <c r="IUB75" s="134"/>
      <c r="IUC75" s="134"/>
      <c r="IUD75" s="134"/>
      <c r="IUE75" s="134"/>
      <c r="IUF75" s="134"/>
      <c r="IUG75" s="134"/>
      <c r="IUH75" s="134"/>
      <c r="IUI75" s="134"/>
      <c r="IUJ75" s="134"/>
      <c r="IUK75" s="134"/>
      <c r="IUL75" s="134"/>
      <c r="IUM75" s="134"/>
      <c r="IUN75" s="134"/>
      <c r="IUO75" s="134"/>
      <c r="IUP75" s="134"/>
      <c r="IUQ75" s="134"/>
      <c r="IUR75" s="134"/>
      <c r="IUS75" s="134"/>
      <c r="IUT75" s="134"/>
      <c r="IUU75" s="134"/>
      <c r="IUV75" s="134"/>
      <c r="IUW75" s="134"/>
      <c r="IUX75" s="134"/>
      <c r="IUY75" s="134"/>
      <c r="IUZ75" s="134"/>
      <c r="IVA75" s="134"/>
      <c r="IVB75" s="134"/>
      <c r="IVC75" s="134"/>
      <c r="IVD75" s="134"/>
      <c r="IVE75" s="134"/>
      <c r="IVF75" s="134"/>
      <c r="IVG75" s="134"/>
      <c r="IVH75" s="134"/>
      <c r="IVI75" s="134"/>
      <c r="IVJ75" s="134"/>
      <c r="IVK75" s="134"/>
      <c r="IVL75" s="134"/>
      <c r="IVM75" s="134"/>
      <c r="IVN75" s="134"/>
      <c r="IVO75" s="134"/>
      <c r="IVP75" s="134"/>
      <c r="IVQ75" s="134"/>
      <c r="IVR75" s="134"/>
      <c r="IVS75" s="134"/>
      <c r="IVT75" s="134"/>
      <c r="IVU75" s="134"/>
      <c r="IVV75" s="134"/>
      <c r="IVW75" s="134"/>
      <c r="IVX75" s="134"/>
      <c r="IVY75" s="134"/>
      <c r="IVZ75" s="134"/>
      <c r="IWA75" s="134"/>
      <c r="IWB75" s="134"/>
      <c r="IWC75" s="134"/>
      <c r="IWD75" s="134"/>
      <c r="IWE75" s="134"/>
      <c r="IWF75" s="134"/>
      <c r="IWG75" s="134"/>
      <c r="IWH75" s="134"/>
      <c r="IWI75" s="134"/>
      <c r="IWJ75" s="134"/>
      <c r="IWK75" s="134"/>
      <c r="IWL75" s="134"/>
      <c r="IWM75" s="134"/>
      <c r="IWN75" s="134"/>
      <c r="IWO75" s="134"/>
      <c r="IWP75" s="134"/>
      <c r="IWQ75" s="134"/>
      <c r="IWR75" s="134"/>
      <c r="IWS75" s="134"/>
      <c r="IWT75" s="134"/>
      <c r="IWU75" s="134"/>
      <c r="IWV75" s="134"/>
      <c r="IWW75" s="134"/>
      <c r="IWX75" s="134"/>
      <c r="IWY75" s="134"/>
      <c r="IWZ75" s="134"/>
      <c r="IXA75" s="134"/>
      <c r="IXB75" s="134"/>
      <c r="IXC75" s="134"/>
      <c r="IXD75" s="134"/>
      <c r="IXE75" s="134"/>
      <c r="IXF75" s="134"/>
      <c r="IXG75" s="134"/>
      <c r="IXH75" s="134"/>
      <c r="IXI75" s="134"/>
      <c r="IXJ75" s="134"/>
      <c r="IXK75" s="134"/>
      <c r="IXL75" s="134"/>
      <c r="IXM75" s="134"/>
      <c r="IXN75" s="134"/>
      <c r="IXO75" s="134"/>
      <c r="IXP75" s="134"/>
      <c r="IXQ75" s="134"/>
      <c r="IXR75" s="134"/>
      <c r="IXS75" s="134"/>
      <c r="IXT75" s="134"/>
      <c r="IXU75" s="134"/>
      <c r="IXV75" s="134"/>
      <c r="IXW75" s="134"/>
      <c r="IXX75" s="134"/>
      <c r="IXY75" s="134"/>
      <c r="IXZ75" s="134"/>
      <c r="IYA75" s="134"/>
      <c r="IYB75" s="134"/>
      <c r="IYC75" s="134"/>
      <c r="IYD75" s="134"/>
      <c r="IYE75" s="134"/>
      <c r="IYF75" s="134"/>
      <c r="IYG75" s="134"/>
      <c r="IYH75" s="134"/>
      <c r="IYI75" s="134"/>
      <c r="IYJ75" s="134"/>
      <c r="IYK75" s="134"/>
      <c r="IYL75" s="134"/>
      <c r="IYM75" s="134"/>
      <c r="IYN75" s="134"/>
      <c r="IYO75" s="134"/>
      <c r="IYP75" s="134"/>
      <c r="IYQ75" s="134"/>
      <c r="IYR75" s="134"/>
      <c r="IYS75" s="134"/>
      <c r="IYT75" s="134"/>
      <c r="IYU75" s="134"/>
      <c r="IYV75" s="134"/>
      <c r="IYW75" s="134"/>
      <c r="IYX75" s="134"/>
      <c r="IYY75" s="134"/>
      <c r="IYZ75" s="134"/>
      <c r="IZA75" s="134"/>
      <c r="IZB75" s="134"/>
      <c r="IZC75" s="134"/>
      <c r="IZD75" s="134"/>
      <c r="IZE75" s="134"/>
      <c r="IZF75" s="134"/>
      <c r="IZG75" s="134"/>
      <c r="IZH75" s="134"/>
      <c r="IZI75" s="134"/>
      <c r="IZJ75" s="134"/>
      <c r="IZK75" s="134"/>
      <c r="IZL75" s="134"/>
      <c r="IZM75" s="134"/>
      <c r="IZN75" s="134"/>
      <c r="IZO75" s="134"/>
      <c r="IZP75" s="134"/>
      <c r="IZQ75" s="134"/>
      <c r="IZR75" s="134"/>
      <c r="IZS75" s="134"/>
      <c r="IZT75" s="134"/>
      <c r="IZU75" s="134"/>
      <c r="IZV75" s="134"/>
      <c r="IZW75" s="134"/>
      <c r="IZX75" s="134"/>
      <c r="IZY75" s="134"/>
      <c r="IZZ75" s="134"/>
      <c r="JAA75" s="134"/>
      <c r="JAB75" s="134"/>
      <c r="JAC75" s="134"/>
      <c r="JAD75" s="134"/>
      <c r="JAE75" s="134"/>
      <c r="JAF75" s="134"/>
      <c r="JAG75" s="134"/>
      <c r="JAH75" s="134"/>
      <c r="JAI75" s="134"/>
      <c r="JAJ75" s="134"/>
      <c r="JAK75" s="134"/>
      <c r="JAL75" s="134"/>
      <c r="JAM75" s="134"/>
      <c r="JAN75" s="134"/>
      <c r="JAO75" s="134"/>
      <c r="JAP75" s="134"/>
      <c r="JAQ75" s="134"/>
      <c r="JAR75" s="134"/>
      <c r="JAS75" s="134"/>
      <c r="JAT75" s="134"/>
      <c r="JAU75" s="134"/>
      <c r="JAV75" s="134"/>
      <c r="JAW75" s="134"/>
      <c r="JAX75" s="134"/>
      <c r="JAY75" s="134"/>
      <c r="JAZ75" s="134"/>
      <c r="JBA75" s="134"/>
      <c r="JBB75" s="134"/>
      <c r="JBC75" s="134"/>
      <c r="JBD75" s="134"/>
      <c r="JBE75" s="134"/>
      <c r="JBF75" s="134"/>
      <c r="JBG75" s="134"/>
      <c r="JBH75" s="134"/>
      <c r="JBI75" s="134"/>
      <c r="JBJ75" s="134"/>
      <c r="JBK75" s="134"/>
      <c r="JBL75" s="134"/>
      <c r="JBM75" s="134"/>
      <c r="JBN75" s="134"/>
      <c r="JBO75" s="134"/>
      <c r="JBP75" s="134"/>
      <c r="JBQ75" s="134"/>
      <c r="JBR75" s="134"/>
      <c r="JBS75" s="134"/>
      <c r="JBT75" s="134"/>
      <c r="JBU75" s="134"/>
      <c r="JBV75" s="134"/>
      <c r="JBW75" s="134"/>
      <c r="JBX75" s="134"/>
      <c r="JBY75" s="134"/>
      <c r="JBZ75" s="134"/>
      <c r="JCA75" s="134"/>
      <c r="JCB75" s="134"/>
      <c r="JCC75" s="134"/>
      <c r="JCD75" s="134"/>
      <c r="JCE75" s="134"/>
      <c r="JCF75" s="134"/>
      <c r="JCG75" s="134"/>
      <c r="JCH75" s="134"/>
      <c r="JCI75" s="134"/>
      <c r="JCJ75" s="134"/>
      <c r="JCK75" s="134"/>
      <c r="JCL75" s="134"/>
      <c r="JCM75" s="134"/>
      <c r="JCN75" s="134"/>
      <c r="JCO75" s="134"/>
      <c r="JCP75" s="134"/>
      <c r="JCQ75" s="134"/>
      <c r="JCR75" s="134"/>
      <c r="JCS75" s="134"/>
      <c r="JCT75" s="134"/>
      <c r="JCU75" s="134"/>
      <c r="JCV75" s="134"/>
      <c r="JCW75" s="134"/>
      <c r="JCX75" s="134"/>
      <c r="JCY75" s="134"/>
      <c r="JCZ75" s="134"/>
      <c r="JDA75" s="134"/>
      <c r="JDB75" s="134"/>
      <c r="JDC75" s="134"/>
      <c r="JDD75" s="134"/>
      <c r="JDE75" s="134"/>
      <c r="JDF75" s="134"/>
      <c r="JDG75" s="134"/>
      <c r="JDH75" s="134"/>
      <c r="JDI75" s="134"/>
      <c r="JDJ75" s="134"/>
      <c r="JDK75" s="134"/>
      <c r="JDL75" s="134"/>
      <c r="JDM75" s="134"/>
      <c r="JDN75" s="134"/>
      <c r="JDO75" s="134"/>
      <c r="JDP75" s="134"/>
      <c r="JDQ75" s="134"/>
      <c r="JDR75" s="134"/>
      <c r="JDS75" s="134"/>
      <c r="JDT75" s="134"/>
      <c r="JDU75" s="134"/>
      <c r="JDV75" s="134"/>
      <c r="JDW75" s="134"/>
      <c r="JDX75" s="134"/>
      <c r="JDY75" s="134"/>
      <c r="JDZ75" s="134"/>
      <c r="JEA75" s="134"/>
      <c r="JEB75" s="134"/>
      <c r="JEC75" s="134"/>
      <c r="JED75" s="134"/>
      <c r="JEE75" s="134"/>
      <c r="JEF75" s="134"/>
      <c r="JEG75" s="134"/>
      <c r="JEH75" s="134"/>
      <c r="JEI75" s="134"/>
      <c r="JEJ75" s="134"/>
      <c r="JEK75" s="134"/>
      <c r="JEL75" s="134"/>
      <c r="JEM75" s="134"/>
      <c r="JEN75" s="134"/>
      <c r="JEO75" s="134"/>
      <c r="JEP75" s="134"/>
      <c r="JEQ75" s="134"/>
      <c r="JER75" s="134"/>
      <c r="JES75" s="134"/>
      <c r="JET75" s="134"/>
      <c r="JEU75" s="134"/>
      <c r="JEV75" s="134"/>
      <c r="JEW75" s="134"/>
      <c r="JEX75" s="134"/>
      <c r="JEY75" s="134"/>
      <c r="JEZ75" s="134"/>
      <c r="JFA75" s="134"/>
      <c r="JFB75" s="134"/>
      <c r="JFC75" s="134"/>
      <c r="JFD75" s="134"/>
      <c r="JFE75" s="134"/>
      <c r="JFF75" s="134"/>
      <c r="JFG75" s="134"/>
      <c r="JFH75" s="134"/>
      <c r="JFI75" s="134"/>
      <c r="JFJ75" s="134"/>
      <c r="JFK75" s="134"/>
      <c r="JFL75" s="134"/>
      <c r="JFM75" s="134"/>
      <c r="JFN75" s="134"/>
      <c r="JFO75" s="134"/>
      <c r="JFP75" s="134"/>
      <c r="JFQ75" s="134"/>
      <c r="JFR75" s="134"/>
      <c r="JFS75" s="134"/>
      <c r="JFT75" s="134"/>
      <c r="JFU75" s="134"/>
      <c r="JFV75" s="134"/>
      <c r="JFW75" s="134"/>
      <c r="JFX75" s="134"/>
      <c r="JFY75" s="134"/>
      <c r="JFZ75" s="134"/>
      <c r="JGA75" s="134"/>
      <c r="JGB75" s="134"/>
      <c r="JGC75" s="134"/>
      <c r="JGD75" s="134"/>
      <c r="JGE75" s="134"/>
      <c r="JGF75" s="134"/>
      <c r="JGG75" s="134"/>
      <c r="JGH75" s="134"/>
      <c r="JGI75" s="134"/>
      <c r="JGJ75" s="134"/>
      <c r="JGK75" s="134"/>
      <c r="JGL75" s="134"/>
      <c r="JGM75" s="134"/>
      <c r="JGN75" s="134"/>
      <c r="JGO75" s="134"/>
      <c r="JGP75" s="134"/>
      <c r="JGQ75" s="134"/>
      <c r="JGR75" s="134"/>
      <c r="JGS75" s="134"/>
      <c r="JGT75" s="134"/>
      <c r="JGU75" s="134"/>
      <c r="JGV75" s="134"/>
      <c r="JGW75" s="134"/>
      <c r="JGX75" s="134"/>
      <c r="JGY75" s="134"/>
      <c r="JGZ75" s="134"/>
      <c r="JHA75" s="134"/>
      <c r="JHB75" s="134"/>
      <c r="JHC75" s="134"/>
      <c r="JHD75" s="134"/>
      <c r="JHE75" s="134"/>
      <c r="JHF75" s="134"/>
      <c r="JHG75" s="134"/>
      <c r="JHH75" s="134"/>
      <c r="JHI75" s="134"/>
      <c r="JHJ75" s="134"/>
      <c r="JHK75" s="134"/>
      <c r="JHL75" s="134"/>
      <c r="JHM75" s="134"/>
      <c r="JHN75" s="134"/>
      <c r="JHO75" s="134"/>
      <c r="JHP75" s="134"/>
      <c r="JHQ75" s="134"/>
      <c r="JHR75" s="134"/>
      <c r="JHS75" s="134"/>
      <c r="JHT75" s="134"/>
      <c r="JHU75" s="134"/>
      <c r="JHV75" s="134"/>
      <c r="JHW75" s="134"/>
      <c r="JHX75" s="134"/>
      <c r="JHY75" s="134"/>
      <c r="JHZ75" s="134"/>
      <c r="JIA75" s="134"/>
      <c r="JIB75" s="134"/>
      <c r="JIC75" s="134"/>
      <c r="JID75" s="134"/>
      <c r="JIE75" s="134"/>
      <c r="JIF75" s="134"/>
      <c r="JIG75" s="134"/>
      <c r="JIH75" s="134"/>
      <c r="JII75" s="134"/>
      <c r="JIJ75" s="134"/>
      <c r="JIK75" s="134"/>
      <c r="JIL75" s="134"/>
      <c r="JIM75" s="134"/>
      <c r="JIN75" s="134"/>
      <c r="JIO75" s="134"/>
      <c r="JIP75" s="134"/>
      <c r="JIQ75" s="134"/>
      <c r="JIR75" s="134"/>
      <c r="JIS75" s="134"/>
      <c r="JIT75" s="134"/>
      <c r="JIU75" s="134"/>
      <c r="JIV75" s="134"/>
      <c r="JIW75" s="134"/>
      <c r="JIX75" s="134"/>
      <c r="JIY75" s="134"/>
      <c r="JIZ75" s="134"/>
      <c r="JJA75" s="134"/>
      <c r="JJB75" s="134"/>
      <c r="JJC75" s="134"/>
      <c r="JJD75" s="134"/>
      <c r="JJE75" s="134"/>
      <c r="JJF75" s="134"/>
      <c r="JJG75" s="134"/>
      <c r="JJH75" s="134"/>
      <c r="JJI75" s="134"/>
      <c r="JJJ75" s="134"/>
      <c r="JJK75" s="134"/>
      <c r="JJL75" s="134"/>
      <c r="JJM75" s="134"/>
      <c r="JJN75" s="134"/>
      <c r="JJO75" s="134"/>
      <c r="JJP75" s="134"/>
      <c r="JJQ75" s="134"/>
      <c r="JJR75" s="134"/>
      <c r="JJS75" s="134"/>
      <c r="JJT75" s="134"/>
      <c r="JJU75" s="134"/>
      <c r="JJV75" s="134"/>
      <c r="JJW75" s="134"/>
      <c r="JJX75" s="134"/>
      <c r="JJY75" s="134"/>
      <c r="JJZ75" s="134"/>
      <c r="JKA75" s="134"/>
      <c r="JKB75" s="134"/>
      <c r="JKC75" s="134"/>
      <c r="JKD75" s="134"/>
      <c r="JKE75" s="134"/>
      <c r="JKF75" s="134"/>
      <c r="JKG75" s="134"/>
      <c r="JKH75" s="134"/>
      <c r="JKI75" s="134"/>
      <c r="JKJ75" s="134"/>
      <c r="JKK75" s="134"/>
      <c r="JKL75" s="134"/>
      <c r="JKM75" s="134"/>
      <c r="JKN75" s="134"/>
      <c r="JKO75" s="134"/>
      <c r="JKP75" s="134"/>
      <c r="JKQ75" s="134"/>
      <c r="JKR75" s="134"/>
      <c r="JKS75" s="134"/>
      <c r="JKT75" s="134"/>
      <c r="JKU75" s="134"/>
      <c r="JKV75" s="134"/>
      <c r="JKW75" s="134"/>
      <c r="JKX75" s="134"/>
      <c r="JKY75" s="134"/>
      <c r="JKZ75" s="134"/>
      <c r="JLA75" s="134"/>
      <c r="JLB75" s="134"/>
      <c r="JLC75" s="134"/>
      <c r="JLD75" s="134"/>
      <c r="JLE75" s="134"/>
      <c r="JLF75" s="134"/>
      <c r="JLG75" s="134"/>
      <c r="JLH75" s="134"/>
      <c r="JLI75" s="134"/>
      <c r="JLJ75" s="134"/>
      <c r="JLK75" s="134"/>
      <c r="JLL75" s="134"/>
      <c r="JLM75" s="134"/>
      <c r="JLN75" s="134"/>
      <c r="JLO75" s="134"/>
      <c r="JLP75" s="134"/>
      <c r="JLQ75" s="134"/>
      <c r="JLR75" s="134"/>
      <c r="JLS75" s="134"/>
      <c r="JLT75" s="134"/>
      <c r="JLU75" s="134"/>
      <c r="JLV75" s="134"/>
      <c r="JLW75" s="134"/>
      <c r="JLX75" s="134"/>
      <c r="JLY75" s="134"/>
      <c r="JLZ75" s="134"/>
      <c r="JMA75" s="134"/>
      <c r="JMB75" s="134"/>
      <c r="JMC75" s="134"/>
      <c r="JMD75" s="134"/>
      <c r="JME75" s="134"/>
      <c r="JMF75" s="134"/>
      <c r="JMG75" s="134"/>
      <c r="JMH75" s="134"/>
      <c r="JMI75" s="134"/>
      <c r="JMJ75" s="134"/>
      <c r="JMK75" s="134"/>
      <c r="JML75" s="134"/>
      <c r="JMM75" s="134"/>
      <c r="JMN75" s="134"/>
      <c r="JMO75" s="134"/>
      <c r="JMP75" s="134"/>
      <c r="JMQ75" s="134"/>
      <c r="JMR75" s="134"/>
      <c r="JMS75" s="134"/>
      <c r="JMT75" s="134"/>
      <c r="JMU75" s="134"/>
      <c r="JMV75" s="134"/>
      <c r="JMW75" s="134"/>
      <c r="JMX75" s="134"/>
      <c r="JMY75" s="134"/>
      <c r="JMZ75" s="134"/>
      <c r="JNA75" s="134"/>
      <c r="JNB75" s="134"/>
      <c r="JNC75" s="134"/>
      <c r="JND75" s="134"/>
      <c r="JNE75" s="134"/>
      <c r="JNF75" s="134"/>
      <c r="JNG75" s="134"/>
      <c r="JNH75" s="134"/>
      <c r="JNI75" s="134"/>
      <c r="JNJ75" s="134"/>
      <c r="JNK75" s="134"/>
      <c r="JNL75" s="134"/>
      <c r="JNM75" s="134"/>
      <c r="JNN75" s="134"/>
      <c r="JNO75" s="134"/>
      <c r="JNP75" s="134"/>
      <c r="JNQ75" s="134"/>
      <c r="JNR75" s="134"/>
      <c r="JNS75" s="134"/>
      <c r="JNT75" s="134"/>
      <c r="JNU75" s="134"/>
      <c r="JNV75" s="134"/>
      <c r="JNW75" s="134"/>
      <c r="JNX75" s="134"/>
      <c r="JNY75" s="134"/>
      <c r="JNZ75" s="134"/>
      <c r="JOA75" s="134"/>
      <c r="JOB75" s="134"/>
      <c r="JOC75" s="134"/>
      <c r="JOD75" s="134"/>
      <c r="JOE75" s="134"/>
      <c r="JOF75" s="134"/>
      <c r="JOG75" s="134"/>
      <c r="JOH75" s="134"/>
      <c r="JOI75" s="134"/>
      <c r="JOJ75" s="134"/>
      <c r="JOK75" s="134"/>
      <c r="JOL75" s="134"/>
      <c r="JOM75" s="134"/>
      <c r="JON75" s="134"/>
      <c r="JOO75" s="134"/>
      <c r="JOP75" s="134"/>
      <c r="JOQ75" s="134"/>
      <c r="JOR75" s="134"/>
      <c r="JOS75" s="134"/>
      <c r="JOT75" s="134"/>
      <c r="JOU75" s="134"/>
      <c r="JOV75" s="134"/>
      <c r="JOW75" s="134"/>
      <c r="JOX75" s="134"/>
      <c r="JOY75" s="134"/>
      <c r="JOZ75" s="134"/>
      <c r="JPA75" s="134"/>
      <c r="JPB75" s="134"/>
      <c r="JPC75" s="134"/>
      <c r="JPD75" s="134"/>
      <c r="JPE75" s="134"/>
      <c r="JPF75" s="134"/>
      <c r="JPG75" s="134"/>
      <c r="JPH75" s="134"/>
      <c r="JPI75" s="134"/>
      <c r="JPJ75" s="134"/>
      <c r="JPK75" s="134"/>
      <c r="JPL75" s="134"/>
      <c r="JPM75" s="134"/>
      <c r="JPN75" s="134"/>
      <c r="JPO75" s="134"/>
      <c r="JPP75" s="134"/>
      <c r="JPQ75" s="134"/>
      <c r="JPR75" s="134"/>
      <c r="JPS75" s="134"/>
      <c r="JPT75" s="134"/>
      <c r="JPU75" s="134"/>
      <c r="JPV75" s="134"/>
      <c r="JPW75" s="134"/>
      <c r="JPX75" s="134"/>
      <c r="JPY75" s="134"/>
      <c r="JPZ75" s="134"/>
      <c r="JQA75" s="134"/>
      <c r="JQB75" s="134"/>
      <c r="JQC75" s="134"/>
      <c r="JQD75" s="134"/>
      <c r="JQE75" s="134"/>
      <c r="JQF75" s="134"/>
      <c r="JQG75" s="134"/>
      <c r="JQH75" s="134"/>
      <c r="JQI75" s="134"/>
      <c r="JQJ75" s="134"/>
      <c r="JQK75" s="134"/>
      <c r="JQL75" s="134"/>
      <c r="JQM75" s="134"/>
      <c r="JQN75" s="134"/>
      <c r="JQO75" s="134"/>
      <c r="JQP75" s="134"/>
      <c r="JQQ75" s="134"/>
      <c r="JQR75" s="134"/>
      <c r="JQS75" s="134"/>
      <c r="JQT75" s="134"/>
      <c r="JQU75" s="134"/>
      <c r="JQV75" s="134"/>
      <c r="JQW75" s="134"/>
      <c r="JQX75" s="134"/>
      <c r="JQY75" s="134"/>
      <c r="JQZ75" s="134"/>
      <c r="JRA75" s="134"/>
      <c r="JRB75" s="134"/>
      <c r="JRC75" s="134"/>
      <c r="JRD75" s="134"/>
      <c r="JRE75" s="134"/>
      <c r="JRF75" s="134"/>
      <c r="JRG75" s="134"/>
      <c r="JRH75" s="134"/>
      <c r="JRI75" s="134"/>
      <c r="JRJ75" s="134"/>
      <c r="JRK75" s="134"/>
      <c r="JRL75" s="134"/>
      <c r="JRM75" s="134"/>
      <c r="JRN75" s="134"/>
      <c r="JRO75" s="134"/>
      <c r="JRP75" s="134"/>
      <c r="JRQ75" s="134"/>
      <c r="JRR75" s="134"/>
      <c r="JRS75" s="134"/>
      <c r="JRT75" s="134"/>
      <c r="JRU75" s="134"/>
      <c r="JRV75" s="134"/>
      <c r="JRW75" s="134"/>
      <c r="JRX75" s="134"/>
      <c r="JRY75" s="134"/>
      <c r="JRZ75" s="134"/>
      <c r="JSA75" s="134"/>
      <c r="JSB75" s="134"/>
      <c r="JSC75" s="134"/>
      <c r="JSD75" s="134"/>
      <c r="JSE75" s="134"/>
      <c r="JSF75" s="134"/>
      <c r="JSG75" s="134"/>
      <c r="JSH75" s="134"/>
      <c r="JSI75" s="134"/>
      <c r="JSJ75" s="134"/>
      <c r="JSK75" s="134"/>
      <c r="JSL75" s="134"/>
      <c r="JSM75" s="134"/>
      <c r="JSN75" s="134"/>
      <c r="JSO75" s="134"/>
      <c r="JSP75" s="134"/>
      <c r="JSQ75" s="134"/>
      <c r="JSR75" s="134"/>
      <c r="JSS75" s="134"/>
      <c r="JST75" s="134"/>
      <c r="JSU75" s="134"/>
      <c r="JSV75" s="134"/>
      <c r="JSW75" s="134"/>
      <c r="JSX75" s="134"/>
      <c r="JSY75" s="134"/>
      <c r="JSZ75" s="134"/>
      <c r="JTA75" s="134"/>
      <c r="JTB75" s="134"/>
      <c r="JTC75" s="134"/>
      <c r="JTD75" s="134"/>
      <c r="JTE75" s="134"/>
      <c r="JTF75" s="134"/>
      <c r="JTG75" s="134"/>
      <c r="JTH75" s="134"/>
      <c r="JTI75" s="134"/>
      <c r="JTJ75" s="134"/>
      <c r="JTK75" s="134"/>
      <c r="JTL75" s="134"/>
      <c r="JTM75" s="134"/>
      <c r="JTN75" s="134"/>
      <c r="JTO75" s="134"/>
      <c r="JTP75" s="134"/>
      <c r="JTQ75" s="134"/>
      <c r="JTR75" s="134"/>
      <c r="JTS75" s="134"/>
      <c r="JTT75" s="134"/>
      <c r="JTU75" s="134"/>
      <c r="JTV75" s="134"/>
      <c r="JTW75" s="134"/>
      <c r="JTX75" s="134"/>
      <c r="JTY75" s="134"/>
      <c r="JTZ75" s="134"/>
      <c r="JUA75" s="134"/>
      <c r="JUB75" s="134"/>
      <c r="JUC75" s="134"/>
      <c r="JUD75" s="134"/>
      <c r="JUE75" s="134"/>
      <c r="JUF75" s="134"/>
      <c r="JUG75" s="134"/>
      <c r="JUH75" s="134"/>
      <c r="JUI75" s="134"/>
      <c r="JUJ75" s="134"/>
      <c r="JUK75" s="134"/>
      <c r="JUL75" s="134"/>
      <c r="JUM75" s="134"/>
      <c r="JUN75" s="134"/>
      <c r="JUO75" s="134"/>
      <c r="JUP75" s="134"/>
      <c r="JUQ75" s="134"/>
      <c r="JUR75" s="134"/>
      <c r="JUS75" s="134"/>
      <c r="JUT75" s="134"/>
      <c r="JUU75" s="134"/>
      <c r="JUV75" s="134"/>
      <c r="JUW75" s="134"/>
      <c r="JUX75" s="134"/>
      <c r="JUY75" s="134"/>
      <c r="JUZ75" s="134"/>
      <c r="JVA75" s="134"/>
      <c r="JVB75" s="134"/>
      <c r="JVC75" s="134"/>
      <c r="JVD75" s="134"/>
      <c r="JVE75" s="134"/>
      <c r="JVF75" s="134"/>
      <c r="JVG75" s="134"/>
      <c r="JVH75" s="134"/>
      <c r="JVI75" s="134"/>
      <c r="JVJ75" s="134"/>
      <c r="JVK75" s="134"/>
      <c r="JVL75" s="134"/>
      <c r="JVM75" s="134"/>
      <c r="JVN75" s="134"/>
      <c r="JVO75" s="134"/>
      <c r="JVP75" s="134"/>
      <c r="JVQ75" s="134"/>
      <c r="JVR75" s="134"/>
      <c r="JVS75" s="134"/>
      <c r="JVT75" s="134"/>
      <c r="JVU75" s="134"/>
      <c r="JVV75" s="134"/>
      <c r="JVW75" s="134"/>
      <c r="JVX75" s="134"/>
      <c r="JVY75" s="134"/>
      <c r="JVZ75" s="134"/>
      <c r="JWA75" s="134"/>
      <c r="JWB75" s="134"/>
      <c r="JWC75" s="134"/>
      <c r="JWD75" s="134"/>
      <c r="JWE75" s="134"/>
      <c r="JWF75" s="134"/>
      <c r="JWG75" s="134"/>
      <c r="JWH75" s="134"/>
      <c r="JWI75" s="134"/>
      <c r="JWJ75" s="134"/>
      <c r="JWK75" s="134"/>
      <c r="JWL75" s="134"/>
      <c r="JWM75" s="134"/>
      <c r="JWN75" s="134"/>
      <c r="JWO75" s="134"/>
      <c r="JWP75" s="134"/>
      <c r="JWQ75" s="134"/>
      <c r="JWR75" s="134"/>
      <c r="JWS75" s="134"/>
      <c r="JWT75" s="134"/>
      <c r="JWU75" s="134"/>
      <c r="JWV75" s="134"/>
      <c r="JWW75" s="134"/>
      <c r="JWX75" s="134"/>
      <c r="JWY75" s="134"/>
      <c r="JWZ75" s="134"/>
      <c r="JXA75" s="134"/>
      <c r="JXB75" s="134"/>
      <c r="JXC75" s="134"/>
      <c r="JXD75" s="134"/>
      <c r="JXE75" s="134"/>
      <c r="JXF75" s="134"/>
      <c r="JXG75" s="134"/>
      <c r="JXH75" s="134"/>
      <c r="JXI75" s="134"/>
      <c r="JXJ75" s="134"/>
      <c r="JXK75" s="134"/>
      <c r="JXL75" s="134"/>
      <c r="JXM75" s="134"/>
      <c r="JXN75" s="134"/>
      <c r="JXO75" s="134"/>
      <c r="JXP75" s="134"/>
      <c r="JXQ75" s="134"/>
      <c r="JXR75" s="134"/>
      <c r="JXS75" s="134"/>
      <c r="JXT75" s="134"/>
      <c r="JXU75" s="134"/>
      <c r="JXV75" s="134"/>
      <c r="JXW75" s="134"/>
      <c r="JXX75" s="134"/>
      <c r="JXY75" s="134"/>
      <c r="JXZ75" s="134"/>
      <c r="JYA75" s="134"/>
      <c r="JYB75" s="134"/>
      <c r="JYC75" s="134"/>
      <c r="JYD75" s="134"/>
      <c r="JYE75" s="134"/>
      <c r="JYF75" s="134"/>
      <c r="JYG75" s="134"/>
      <c r="JYH75" s="134"/>
      <c r="JYI75" s="134"/>
      <c r="JYJ75" s="134"/>
      <c r="JYK75" s="134"/>
      <c r="JYL75" s="134"/>
      <c r="JYM75" s="134"/>
      <c r="JYN75" s="134"/>
      <c r="JYO75" s="134"/>
      <c r="JYP75" s="134"/>
      <c r="JYQ75" s="134"/>
      <c r="JYR75" s="134"/>
      <c r="JYS75" s="134"/>
      <c r="JYT75" s="134"/>
      <c r="JYU75" s="134"/>
      <c r="JYV75" s="134"/>
      <c r="JYW75" s="134"/>
      <c r="JYX75" s="134"/>
      <c r="JYY75" s="134"/>
      <c r="JYZ75" s="134"/>
      <c r="JZA75" s="134"/>
      <c r="JZB75" s="134"/>
      <c r="JZC75" s="134"/>
      <c r="JZD75" s="134"/>
      <c r="JZE75" s="134"/>
      <c r="JZF75" s="134"/>
      <c r="JZG75" s="134"/>
      <c r="JZH75" s="134"/>
      <c r="JZI75" s="134"/>
      <c r="JZJ75" s="134"/>
      <c r="JZK75" s="134"/>
      <c r="JZL75" s="134"/>
      <c r="JZM75" s="134"/>
      <c r="JZN75" s="134"/>
      <c r="JZO75" s="134"/>
      <c r="JZP75" s="134"/>
      <c r="JZQ75" s="134"/>
      <c r="JZR75" s="134"/>
      <c r="JZS75" s="134"/>
      <c r="JZT75" s="134"/>
      <c r="JZU75" s="134"/>
      <c r="JZV75" s="134"/>
      <c r="JZW75" s="134"/>
      <c r="JZX75" s="134"/>
      <c r="JZY75" s="134"/>
      <c r="JZZ75" s="134"/>
      <c r="KAA75" s="134"/>
      <c r="KAB75" s="134"/>
      <c r="KAC75" s="134"/>
      <c r="KAD75" s="134"/>
      <c r="KAE75" s="134"/>
      <c r="KAF75" s="134"/>
      <c r="KAG75" s="134"/>
      <c r="KAH75" s="134"/>
      <c r="KAI75" s="134"/>
      <c r="KAJ75" s="134"/>
      <c r="KAK75" s="134"/>
      <c r="KAL75" s="134"/>
      <c r="KAM75" s="134"/>
      <c r="KAN75" s="134"/>
      <c r="KAO75" s="134"/>
      <c r="KAP75" s="134"/>
      <c r="KAQ75" s="134"/>
      <c r="KAR75" s="134"/>
      <c r="KAS75" s="134"/>
      <c r="KAT75" s="134"/>
      <c r="KAU75" s="134"/>
      <c r="KAV75" s="134"/>
      <c r="KAW75" s="134"/>
      <c r="KAX75" s="134"/>
      <c r="KAY75" s="134"/>
      <c r="KAZ75" s="134"/>
      <c r="KBA75" s="134"/>
      <c r="KBB75" s="134"/>
      <c r="KBC75" s="134"/>
      <c r="KBD75" s="134"/>
      <c r="KBE75" s="134"/>
      <c r="KBF75" s="134"/>
      <c r="KBG75" s="134"/>
      <c r="KBH75" s="134"/>
      <c r="KBI75" s="134"/>
      <c r="KBJ75" s="134"/>
      <c r="KBK75" s="134"/>
      <c r="KBL75" s="134"/>
      <c r="KBM75" s="134"/>
      <c r="KBN75" s="134"/>
      <c r="KBO75" s="134"/>
      <c r="KBP75" s="134"/>
      <c r="KBQ75" s="134"/>
      <c r="KBR75" s="134"/>
      <c r="KBS75" s="134"/>
      <c r="KBT75" s="134"/>
      <c r="KBU75" s="134"/>
      <c r="KBV75" s="134"/>
      <c r="KBW75" s="134"/>
      <c r="KBX75" s="134"/>
      <c r="KBY75" s="134"/>
      <c r="KBZ75" s="134"/>
      <c r="KCA75" s="134"/>
      <c r="KCB75" s="134"/>
      <c r="KCC75" s="134"/>
      <c r="KCD75" s="134"/>
      <c r="KCE75" s="134"/>
      <c r="KCF75" s="134"/>
      <c r="KCG75" s="134"/>
      <c r="KCH75" s="134"/>
      <c r="KCI75" s="134"/>
      <c r="KCJ75" s="134"/>
      <c r="KCK75" s="134"/>
      <c r="KCL75" s="134"/>
      <c r="KCM75" s="134"/>
      <c r="KCN75" s="134"/>
      <c r="KCO75" s="134"/>
      <c r="KCP75" s="134"/>
      <c r="KCQ75" s="134"/>
      <c r="KCR75" s="134"/>
      <c r="KCS75" s="134"/>
      <c r="KCT75" s="134"/>
      <c r="KCU75" s="134"/>
      <c r="KCV75" s="134"/>
      <c r="KCW75" s="134"/>
      <c r="KCX75" s="134"/>
      <c r="KCY75" s="134"/>
      <c r="KCZ75" s="134"/>
      <c r="KDA75" s="134"/>
      <c r="KDB75" s="134"/>
      <c r="KDC75" s="134"/>
      <c r="KDD75" s="134"/>
      <c r="KDE75" s="134"/>
      <c r="KDF75" s="134"/>
      <c r="KDG75" s="134"/>
      <c r="KDH75" s="134"/>
      <c r="KDI75" s="134"/>
      <c r="KDJ75" s="134"/>
      <c r="KDK75" s="134"/>
      <c r="KDL75" s="134"/>
      <c r="KDM75" s="134"/>
      <c r="KDN75" s="134"/>
      <c r="KDO75" s="134"/>
      <c r="KDP75" s="134"/>
      <c r="KDQ75" s="134"/>
      <c r="KDR75" s="134"/>
      <c r="KDS75" s="134"/>
      <c r="KDT75" s="134"/>
      <c r="KDU75" s="134"/>
      <c r="KDV75" s="134"/>
      <c r="KDW75" s="134"/>
      <c r="KDX75" s="134"/>
      <c r="KDY75" s="134"/>
      <c r="KDZ75" s="134"/>
      <c r="KEA75" s="134"/>
      <c r="KEB75" s="134"/>
      <c r="KEC75" s="134"/>
      <c r="KED75" s="134"/>
      <c r="KEE75" s="134"/>
      <c r="KEF75" s="134"/>
      <c r="KEG75" s="134"/>
      <c r="KEH75" s="134"/>
      <c r="KEI75" s="134"/>
      <c r="KEJ75" s="134"/>
      <c r="KEK75" s="134"/>
      <c r="KEL75" s="134"/>
      <c r="KEM75" s="134"/>
      <c r="KEN75" s="134"/>
      <c r="KEO75" s="134"/>
      <c r="KEP75" s="134"/>
      <c r="KEQ75" s="134"/>
      <c r="KER75" s="134"/>
      <c r="KES75" s="134"/>
      <c r="KET75" s="134"/>
      <c r="KEU75" s="134"/>
      <c r="KEV75" s="134"/>
      <c r="KEW75" s="134"/>
      <c r="KEX75" s="134"/>
      <c r="KEY75" s="134"/>
      <c r="KEZ75" s="134"/>
      <c r="KFA75" s="134"/>
      <c r="KFB75" s="134"/>
      <c r="KFC75" s="134"/>
      <c r="KFD75" s="134"/>
      <c r="KFE75" s="134"/>
      <c r="KFF75" s="134"/>
      <c r="KFG75" s="134"/>
      <c r="KFH75" s="134"/>
      <c r="KFI75" s="134"/>
      <c r="KFJ75" s="134"/>
      <c r="KFK75" s="134"/>
      <c r="KFL75" s="134"/>
      <c r="KFM75" s="134"/>
      <c r="KFN75" s="134"/>
      <c r="KFO75" s="134"/>
      <c r="KFP75" s="134"/>
      <c r="KFQ75" s="134"/>
      <c r="KFR75" s="134"/>
      <c r="KFS75" s="134"/>
      <c r="KFT75" s="134"/>
      <c r="KFU75" s="134"/>
      <c r="KFV75" s="134"/>
      <c r="KFW75" s="134"/>
      <c r="KFX75" s="134"/>
      <c r="KFY75" s="134"/>
      <c r="KFZ75" s="134"/>
      <c r="KGA75" s="134"/>
      <c r="KGB75" s="134"/>
      <c r="KGC75" s="134"/>
      <c r="KGD75" s="134"/>
      <c r="KGE75" s="134"/>
      <c r="KGF75" s="134"/>
      <c r="KGG75" s="134"/>
      <c r="KGH75" s="134"/>
      <c r="KGI75" s="134"/>
      <c r="KGJ75" s="134"/>
      <c r="KGK75" s="134"/>
      <c r="KGL75" s="134"/>
      <c r="KGM75" s="134"/>
      <c r="KGN75" s="134"/>
      <c r="KGO75" s="134"/>
      <c r="KGP75" s="134"/>
      <c r="KGQ75" s="134"/>
      <c r="KGR75" s="134"/>
      <c r="KGS75" s="134"/>
      <c r="KGT75" s="134"/>
      <c r="KGU75" s="134"/>
      <c r="KGV75" s="134"/>
      <c r="KGW75" s="134"/>
      <c r="KGX75" s="134"/>
      <c r="KGY75" s="134"/>
      <c r="KGZ75" s="134"/>
      <c r="KHA75" s="134"/>
      <c r="KHB75" s="134"/>
      <c r="KHC75" s="134"/>
      <c r="KHD75" s="134"/>
      <c r="KHE75" s="134"/>
      <c r="KHF75" s="134"/>
      <c r="KHG75" s="134"/>
      <c r="KHH75" s="134"/>
      <c r="KHI75" s="134"/>
      <c r="KHJ75" s="134"/>
      <c r="KHK75" s="134"/>
      <c r="KHL75" s="134"/>
      <c r="KHM75" s="134"/>
      <c r="KHN75" s="134"/>
      <c r="KHO75" s="134"/>
      <c r="KHP75" s="134"/>
      <c r="KHQ75" s="134"/>
      <c r="KHR75" s="134"/>
      <c r="KHS75" s="134"/>
      <c r="KHT75" s="134"/>
      <c r="KHU75" s="134"/>
      <c r="KHV75" s="134"/>
      <c r="KHW75" s="134"/>
      <c r="KHX75" s="134"/>
      <c r="KHY75" s="134"/>
      <c r="KHZ75" s="134"/>
      <c r="KIA75" s="134"/>
      <c r="KIB75" s="134"/>
      <c r="KIC75" s="134"/>
      <c r="KID75" s="134"/>
      <c r="KIE75" s="134"/>
      <c r="KIF75" s="134"/>
      <c r="KIG75" s="134"/>
      <c r="KIH75" s="134"/>
      <c r="KII75" s="134"/>
      <c r="KIJ75" s="134"/>
      <c r="KIK75" s="134"/>
      <c r="KIL75" s="134"/>
      <c r="KIM75" s="134"/>
      <c r="KIN75" s="134"/>
      <c r="KIO75" s="134"/>
      <c r="KIP75" s="134"/>
      <c r="KIQ75" s="134"/>
      <c r="KIR75" s="134"/>
      <c r="KIS75" s="134"/>
      <c r="KIT75" s="134"/>
      <c r="KIU75" s="134"/>
      <c r="KIV75" s="134"/>
      <c r="KIW75" s="134"/>
      <c r="KIX75" s="134"/>
      <c r="KIY75" s="134"/>
      <c r="KIZ75" s="134"/>
      <c r="KJA75" s="134"/>
      <c r="KJB75" s="134"/>
      <c r="KJC75" s="134"/>
      <c r="KJD75" s="134"/>
      <c r="KJE75" s="134"/>
      <c r="KJF75" s="134"/>
      <c r="KJG75" s="134"/>
      <c r="KJH75" s="134"/>
      <c r="KJI75" s="134"/>
      <c r="KJJ75" s="134"/>
      <c r="KJK75" s="134"/>
      <c r="KJL75" s="134"/>
      <c r="KJM75" s="134"/>
      <c r="KJN75" s="134"/>
      <c r="KJO75" s="134"/>
      <c r="KJP75" s="134"/>
      <c r="KJQ75" s="134"/>
      <c r="KJR75" s="134"/>
      <c r="KJS75" s="134"/>
      <c r="KJT75" s="134"/>
      <c r="KJU75" s="134"/>
      <c r="KJV75" s="134"/>
      <c r="KJW75" s="134"/>
      <c r="KJX75" s="134"/>
      <c r="KJY75" s="134"/>
      <c r="KJZ75" s="134"/>
      <c r="KKA75" s="134"/>
      <c r="KKB75" s="134"/>
      <c r="KKC75" s="134"/>
      <c r="KKD75" s="134"/>
      <c r="KKE75" s="134"/>
      <c r="KKF75" s="134"/>
      <c r="KKG75" s="134"/>
      <c r="KKH75" s="134"/>
      <c r="KKI75" s="134"/>
      <c r="KKJ75" s="134"/>
      <c r="KKK75" s="134"/>
      <c r="KKL75" s="134"/>
      <c r="KKM75" s="134"/>
      <c r="KKN75" s="134"/>
      <c r="KKO75" s="134"/>
      <c r="KKP75" s="134"/>
      <c r="KKQ75" s="134"/>
      <c r="KKR75" s="134"/>
      <c r="KKS75" s="134"/>
      <c r="KKT75" s="134"/>
      <c r="KKU75" s="134"/>
      <c r="KKV75" s="134"/>
      <c r="KKW75" s="134"/>
      <c r="KKX75" s="134"/>
      <c r="KKY75" s="134"/>
      <c r="KKZ75" s="134"/>
      <c r="KLA75" s="134"/>
      <c r="KLB75" s="134"/>
      <c r="KLC75" s="134"/>
      <c r="KLD75" s="134"/>
      <c r="KLE75" s="134"/>
      <c r="KLF75" s="134"/>
      <c r="KLG75" s="134"/>
      <c r="KLH75" s="134"/>
      <c r="KLI75" s="134"/>
      <c r="KLJ75" s="134"/>
      <c r="KLK75" s="134"/>
      <c r="KLL75" s="134"/>
      <c r="KLM75" s="134"/>
      <c r="KLN75" s="134"/>
      <c r="KLO75" s="134"/>
      <c r="KLP75" s="134"/>
      <c r="KLQ75" s="134"/>
      <c r="KLR75" s="134"/>
      <c r="KLS75" s="134"/>
      <c r="KLT75" s="134"/>
      <c r="KLU75" s="134"/>
      <c r="KLV75" s="134"/>
      <c r="KLW75" s="134"/>
      <c r="KLX75" s="134"/>
      <c r="KLY75" s="134"/>
      <c r="KLZ75" s="134"/>
      <c r="KMA75" s="134"/>
      <c r="KMB75" s="134"/>
      <c r="KMC75" s="134"/>
      <c r="KMD75" s="134"/>
      <c r="KME75" s="134"/>
      <c r="KMF75" s="134"/>
      <c r="KMG75" s="134"/>
      <c r="KMH75" s="134"/>
      <c r="KMI75" s="134"/>
      <c r="KMJ75" s="134"/>
      <c r="KMK75" s="134"/>
      <c r="KML75" s="134"/>
      <c r="KMM75" s="134"/>
      <c r="KMN75" s="134"/>
      <c r="KMO75" s="134"/>
      <c r="KMP75" s="134"/>
      <c r="KMQ75" s="134"/>
      <c r="KMR75" s="134"/>
      <c r="KMS75" s="134"/>
      <c r="KMT75" s="134"/>
      <c r="KMU75" s="134"/>
      <c r="KMV75" s="134"/>
      <c r="KMW75" s="134"/>
      <c r="KMX75" s="134"/>
      <c r="KMY75" s="134"/>
      <c r="KMZ75" s="134"/>
      <c r="KNA75" s="134"/>
      <c r="KNB75" s="134"/>
      <c r="KNC75" s="134"/>
      <c r="KND75" s="134"/>
      <c r="KNE75" s="134"/>
      <c r="KNF75" s="134"/>
      <c r="KNG75" s="134"/>
      <c r="KNH75" s="134"/>
      <c r="KNI75" s="134"/>
      <c r="KNJ75" s="134"/>
      <c r="KNK75" s="134"/>
      <c r="KNL75" s="134"/>
      <c r="KNM75" s="134"/>
      <c r="KNN75" s="134"/>
      <c r="KNO75" s="134"/>
      <c r="KNP75" s="134"/>
      <c r="KNQ75" s="134"/>
      <c r="KNR75" s="134"/>
      <c r="KNS75" s="134"/>
      <c r="KNT75" s="134"/>
      <c r="KNU75" s="134"/>
      <c r="KNV75" s="134"/>
      <c r="KNW75" s="134"/>
      <c r="KNX75" s="134"/>
      <c r="KNY75" s="134"/>
      <c r="KNZ75" s="134"/>
      <c r="KOA75" s="134"/>
      <c r="KOB75" s="134"/>
      <c r="KOC75" s="134"/>
      <c r="KOD75" s="134"/>
      <c r="KOE75" s="134"/>
      <c r="KOF75" s="134"/>
      <c r="KOG75" s="134"/>
      <c r="KOH75" s="134"/>
      <c r="KOI75" s="134"/>
      <c r="KOJ75" s="134"/>
      <c r="KOK75" s="134"/>
      <c r="KOL75" s="134"/>
      <c r="KOM75" s="134"/>
      <c r="KON75" s="134"/>
      <c r="KOO75" s="134"/>
      <c r="KOP75" s="134"/>
      <c r="KOQ75" s="134"/>
      <c r="KOR75" s="134"/>
      <c r="KOS75" s="134"/>
      <c r="KOT75" s="134"/>
      <c r="KOU75" s="134"/>
      <c r="KOV75" s="134"/>
      <c r="KOW75" s="134"/>
      <c r="KOX75" s="134"/>
      <c r="KOY75" s="134"/>
      <c r="KOZ75" s="134"/>
      <c r="KPA75" s="134"/>
      <c r="KPB75" s="134"/>
      <c r="KPC75" s="134"/>
      <c r="KPD75" s="134"/>
      <c r="KPE75" s="134"/>
      <c r="KPF75" s="134"/>
      <c r="KPG75" s="134"/>
      <c r="KPH75" s="134"/>
      <c r="KPI75" s="134"/>
      <c r="KPJ75" s="134"/>
      <c r="KPK75" s="134"/>
      <c r="KPL75" s="134"/>
      <c r="KPM75" s="134"/>
      <c r="KPN75" s="134"/>
      <c r="KPO75" s="134"/>
      <c r="KPP75" s="134"/>
      <c r="KPQ75" s="134"/>
      <c r="KPR75" s="134"/>
      <c r="KPS75" s="134"/>
      <c r="KPT75" s="134"/>
      <c r="KPU75" s="134"/>
      <c r="KPV75" s="134"/>
      <c r="KPW75" s="134"/>
      <c r="KPX75" s="134"/>
      <c r="KPY75" s="134"/>
      <c r="KPZ75" s="134"/>
      <c r="KQA75" s="134"/>
      <c r="KQB75" s="134"/>
      <c r="KQC75" s="134"/>
      <c r="KQD75" s="134"/>
      <c r="KQE75" s="134"/>
      <c r="KQF75" s="134"/>
      <c r="KQG75" s="134"/>
      <c r="KQH75" s="134"/>
      <c r="KQI75" s="134"/>
      <c r="KQJ75" s="134"/>
      <c r="KQK75" s="134"/>
      <c r="KQL75" s="134"/>
      <c r="KQM75" s="134"/>
      <c r="KQN75" s="134"/>
      <c r="KQO75" s="134"/>
      <c r="KQP75" s="134"/>
      <c r="KQQ75" s="134"/>
      <c r="KQR75" s="134"/>
      <c r="KQS75" s="134"/>
      <c r="KQT75" s="134"/>
      <c r="KQU75" s="134"/>
      <c r="KQV75" s="134"/>
      <c r="KQW75" s="134"/>
      <c r="KQX75" s="134"/>
      <c r="KQY75" s="134"/>
      <c r="KQZ75" s="134"/>
      <c r="KRA75" s="134"/>
      <c r="KRB75" s="134"/>
      <c r="KRC75" s="134"/>
      <c r="KRD75" s="134"/>
      <c r="KRE75" s="134"/>
      <c r="KRF75" s="134"/>
      <c r="KRG75" s="134"/>
      <c r="KRH75" s="134"/>
      <c r="KRI75" s="134"/>
      <c r="KRJ75" s="134"/>
      <c r="KRK75" s="134"/>
      <c r="KRL75" s="134"/>
      <c r="KRM75" s="134"/>
      <c r="KRN75" s="134"/>
      <c r="KRO75" s="134"/>
      <c r="KRP75" s="134"/>
      <c r="KRQ75" s="134"/>
      <c r="KRR75" s="134"/>
      <c r="KRS75" s="134"/>
      <c r="KRT75" s="134"/>
      <c r="KRU75" s="134"/>
      <c r="KRV75" s="134"/>
      <c r="KRW75" s="134"/>
      <c r="KRX75" s="134"/>
      <c r="KRY75" s="134"/>
      <c r="KRZ75" s="134"/>
      <c r="KSA75" s="134"/>
      <c r="KSB75" s="134"/>
      <c r="KSC75" s="134"/>
      <c r="KSD75" s="134"/>
      <c r="KSE75" s="134"/>
      <c r="KSF75" s="134"/>
      <c r="KSG75" s="134"/>
      <c r="KSH75" s="134"/>
      <c r="KSI75" s="134"/>
      <c r="KSJ75" s="134"/>
      <c r="KSK75" s="134"/>
      <c r="KSL75" s="134"/>
      <c r="KSM75" s="134"/>
      <c r="KSN75" s="134"/>
      <c r="KSO75" s="134"/>
      <c r="KSP75" s="134"/>
      <c r="KSQ75" s="134"/>
      <c r="KSR75" s="134"/>
      <c r="KSS75" s="134"/>
      <c r="KST75" s="134"/>
      <c r="KSU75" s="134"/>
      <c r="KSV75" s="134"/>
      <c r="KSW75" s="134"/>
      <c r="KSX75" s="134"/>
      <c r="KSY75" s="134"/>
      <c r="KSZ75" s="134"/>
      <c r="KTA75" s="134"/>
      <c r="KTB75" s="134"/>
      <c r="KTC75" s="134"/>
      <c r="KTD75" s="134"/>
      <c r="KTE75" s="134"/>
      <c r="KTF75" s="134"/>
      <c r="KTG75" s="134"/>
      <c r="KTH75" s="134"/>
      <c r="KTI75" s="134"/>
      <c r="KTJ75" s="134"/>
      <c r="KTK75" s="134"/>
      <c r="KTL75" s="134"/>
      <c r="KTM75" s="134"/>
      <c r="KTN75" s="134"/>
      <c r="KTO75" s="134"/>
      <c r="KTP75" s="134"/>
      <c r="KTQ75" s="134"/>
      <c r="KTR75" s="134"/>
      <c r="KTS75" s="134"/>
      <c r="KTT75" s="134"/>
      <c r="KTU75" s="134"/>
      <c r="KTV75" s="134"/>
      <c r="KTW75" s="134"/>
      <c r="KTX75" s="134"/>
      <c r="KTY75" s="134"/>
      <c r="KTZ75" s="134"/>
      <c r="KUA75" s="134"/>
      <c r="KUB75" s="134"/>
      <c r="KUC75" s="134"/>
      <c r="KUD75" s="134"/>
      <c r="KUE75" s="134"/>
      <c r="KUF75" s="134"/>
      <c r="KUG75" s="134"/>
      <c r="KUH75" s="134"/>
      <c r="KUI75" s="134"/>
      <c r="KUJ75" s="134"/>
      <c r="KUK75" s="134"/>
      <c r="KUL75" s="134"/>
      <c r="KUM75" s="134"/>
      <c r="KUN75" s="134"/>
      <c r="KUO75" s="134"/>
      <c r="KUP75" s="134"/>
      <c r="KUQ75" s="134"/>
      <c r="KUR75" s="134"/>
      <c r="KUS75" s="134"/>
      <c r="KUT75" s="134"/>
      <c r="KUU75" s="134"/>
      <c r="KUV75" s="134"/>
      <c r="KUW75" s="134"/>
      <c r="KUX75" s="134"/>
      <c r="KUY75" s="134"/>
      <c r="KUZ75" s="134"/>
      <c r="KVA75" s="134"/>
      <c r="KVB75" s="134"/>
      <c r="KVC75" s="134"/>
      <c r="KVD75" s="134"/>
      <c r="KVE75" s="134"/>
      <c r="KVF75" s="134"/>
      <c r="KVG75" s="134"/>
      <c r="KVH75" s="134"/>
      <c r="KVI75" s="134"/>
      <c r="KVJ75" s="134"/>
      <c r="KVK75" s="134"/>
      <c r="KVL75" s="134"/>
      <c r="KVM75" s="134"/>
      <c r="KVN75" s="134"/>
      <c r="KVO75" s="134"/>
      <c r="KVP75" s="134"/>
      <c r="KVQ75" s="134"/>
      <c r="KVR75" s="134"/>
      <c r="KVS75" s="134"/>
      <c r="KVT75" s="134"/>
      <c r="KVU75" s="134"/>
      <c r="KVV75" s="134"/>
      <c r="KVW75" s="134"/>
      <c r="KVX75" s="134"/>
      <c r="KVY75" s="134"/>
      <c r="KVZ75" s="134"/>
      <c r="KWA75" s="134"/>
      <c r="KWB75" s="134"/>
      <c r="KWC75" s="134"/>
      <c r="KWD75" s="134"/>
      <c r="KWE75" s="134"/>
      <c r="KWF75" s="134"/>
      <c r="KWG75" s="134"/>
      <c r="KWH75" s="134"/>
      <c r="KWI75" s="134"/>
      <c r="KWJ75" s="134"/>
      <c r="KWK75" s="134"/>
      <c r="KWL75" s="134"/>
      <c r="KWM75" s="134"/>
      <c r="KWN75" s="134"/>
      <c r="KWO75" s="134"/>
      <c r="KWP75" s="134"/>
      <c r="KWQ75" s="134"/>
      <c r="KWR75" s="134"/>
      <c r="KWS75" s="134"/>
      <c r="KWT75" s="134"/>
      <c r="KWU75" s="134"/>
      <c r="KWV75" s="134"/>
      <c r="KWW75" s="134"/>
      <c r="KWX75" s="134"/>
      <c r="KWY75" s="134"/>
      <c r="KWZ75" s="134"/>
      <c r="KXA75" s="134"/>
      <c r="KXB75" s="134"/>
      <c r="KXC75" s="134"/>
      <c r="KXD75" s="134"/>
      <c r="KXE75" s="134"/>
      <c r="KXF75" s="134"/>
      <c r="KXG75" s="134"/>
      <c r="KXH75" s="134"/>
      <c r="KXI75" s="134"/>
      <c r="KXJ75" s="134"/>
      <c r="KXK75" s="134"/>
      <c r="KXL75" s="134"/>
      <c r="KXM75" s="134"/>
      <c r="KXN75" s="134"/>
      <c r="KXO75" s="134"/>
      <c r="KXP75" s="134"/>
      <c r="KXQ75" s="134"/>
      <c r="KXR75" s="134"/>
      <c r="KXS75" s="134"/>
      <c r="KXT75" s="134"/>
      <c r="KXU75" s="134"/>
      <c r="KXV75" s="134"/>
      <c r="KXW75" s="134"/>
      <c r="KXX75" s="134"/>
      <c r="KXY75" s="134"/>
      <c r="KXZ75" s="134"/>
      <c r="KYA75" s="134"/>
      <c r="KYB75" s="134"/>
      <c r="KYC75" s="134"/>
      <c r="KYD75" s="134"/>
      <c r="KYE75" s="134"/>
      <c r="KYF75" s="134"/>
      <c r="KYG75" s="134"/>
      <c r="KYH75" s="134"/>
      <c r="KYI75" s="134"/>
      <c r="KYJ75" s="134"/>
      <c r="KYK75" s="134"/>
      <c r="KYL75" s="134"/>
      <c r="KYM75" s="134"/>
      <c r="KYN75" s="134"/>
      <c r="KYO75" s="134"/>
      <c r="KYP75" s="134"/>
      <c r="KYQ75" s="134"/>
      <c r="KYR75" s="134"/>
      <c r="KYS75" s="134"/>
      <c r="KYT75" s="134"/>
      <c r="KYU75" s="134"/>
      <c r="KYV75" s="134"/>
      <c r="KYW75" s="134"/>
      <c r="KYX75" s="134"/>
      <c r="KYY75" s="134"/>
      <c r="KYZ75" s="134"/>
      <c r="KZA75" s="134"/>
      <c r="KZB75" s="134"/>
      <c r="KZC75" s="134"/>
      <c r="KZD75" s="134"/>
      <c r="KZE75" s="134"/>
      <c r="KZF75" s="134"/>
      <c r="KZG75" s="134"/>
      <c r="KZH75" s="134"/>
      <c r="KZI75" s="134"/>
      <c r="KZJ75" s="134"/>
      <c r="KZK75" s="134"/>
      <c r="KZL75" s="134"/>
      <c r="KZM75" s="134"/>
      <c r="KZN75" s="134"/>
      <c r="KZO75" s="134"/>
      <c r="KZP75" s="134"/>
      <c r="KZQ75" s="134"/>
      <c r="KZR75" s="134"/>
      <c r="KZS75" s="134"/>
      <c r="KZT75" s="134"/>
      <c r="KZU75" s="134"/>
      <c r="KZV75" s="134"/>
      <c r="KZW75" s="134"/>
      <c r="KZX75" s="134"/>
      <c r="KZY75" s="134"/>
      <c r="KZZ75" s="134"/>
      <c r="LAA75" s="134"/>
      <c r="LAB75" s="134"/>
      <c r="LAC75" s="134"/>
      <c r="LAD75" s="134"/>
      <c r="LAE75" s="134"/>
      <c r="LAF75" s="134"/>
      <c r="LAG75" s="134"/>
      <c r="LAH75" s="134"/>
      <c r="LAI75" s="134"/>
      <c r="LAJ75" s="134"/>
      <c r="LAK75" s="134"/>
      <c r="LAL75" s="134"/>
      <c r="LAM75" s="134"/>
      <c r="LAN75" s="134"/>
      <c r="LAO75" s="134"/>
      <c r="LAP75" s="134"/>
      <c r="LAQ75" s="134"/>
      <c r="LAR75" s="134"/>
      <c r="LAS75" s="134"/>
      <c r="LAT75" s="134"/>
      <c r="LAU75" s="134"/>
      <c r="LAV75" s="134"/>
      <c r="LAW75" s="134"/>
      <c r="LAX75" s="134"/>
      <c r="LAY75" s="134"/>
      <c r="LAZ75" s="134"/>
      <c r="LBA75" s="134"/>
      <c r="LBB75" s="134"/>
      <c r="LBC75" s="134"/>
      <c r="LBD75" s="134"/>
      <c r="LBE75" s="134"/>
      <c r="LBF75" s="134"/>
      <c r="LBG75" s="134"/>
      <c r="LBH75" s="134"/>
      <c r="LBI75" s="134"/>
      <c r="LBJ75" s="134"/>
      <c r="LBK75" s="134"/>
      <c r="LBL75" s="134"/>
      <c r="LBM75" s="134"/>
      <c r="LBN75" s="134"/>
      <c r="LBO75" s="134"/>
      <c r="LBP75" s="134"/>
      <c r="LBQ75" s="134"/>
      <c r="LBR75" s="134"/>
      <c r="LBS75" s="134"/>
      <c r="LBT75" s="134"/>
      <c r="LBU75" s="134"/>
      <c r="LBV75" s="134"/>
      <c r="LBW75" s="134"/>
      <c r="LBX75" s="134"/>
      <c r="LBY75" s="134"/>
      <c r="LBZ75" s="134"/>
      <c r="LCA75" s="134"/>
      <c r="LCB75" s="134"/>
      <c r="LCC75" s="134"/>
      <c r="LCD75" s="134"/>
      <c r="LCE75" s="134"/>
      <c r="LCF75" s="134"/>
      <c r="LCG75" s="134"/>
      <c r="LCH75" s="134"/>
      <c r="LCI75" s="134"/>
      <c r="LCJ75" s="134"/>
      <c r="LCK75" s="134"/>
      <c r="LCL75" s="134"/>
      <c r="LCM75" s="134"/>
      <c r="LCN75" s="134"/>
      <c r="LCO75" s="134"/>
      <c r="LCP75" s="134"/>
      <c r="LCQ75" s="134"/>
      <c r="LCR75" s="134"/>
      <c r="LCS75" s="134"/>
      <c r="LCT75" s="134"/>
      <c r="LCU75" s="134"/>
      <c r="LCV75" s="134"/>
      <c r="LCW75" s="134"/>
      <c r="LCX75" s="134"/>
      <c r="LCY75" s="134"/>
      <c r="LCZ75" s="134"/>
      <c r="LDA75" s="134"/>
      <c r="LDB75" s="134"/>
      <c r="LDC75" s="134"/>
      <c r="LDD75" s="134"/>
      <c r="LDE75" s="134"/>
      <c r="LDF75" s="134"/>
      <c r="LDG75" s="134"/>
      <c r="LDH75" s="134"/>
      <c r="LDI75" s="134"/>
      <c r="LDJ75" s="134"/>
      <c r="LDK75" s="134"/>
      <c r="LDL75" s="134"/>
      <c r="LDM75" s="134"/>
      <c r="LDN75" s="134"/>
      <c r="LDO75" s="134"/>
      <c r="LDP75" s="134"/>
      <c r="LDQ75" s="134"/>
      <c r="LDR75" s="134"/>
      <c r="LDS75" s="134"/>
      <c r="LDT75" s="134"/>
      <c r="LDU75" s="134"/>
      <c r="LDV75" s="134"/>
      <c r="LDW75" s="134"/>
      <c r="LDX75" s="134"/>
      <c r="LDY75" s="134"/>
      <c r="LDZ75" s="134"/>
      <c r="LEA75" s="134"/>
      <c r="LEB75" s="134"/>
      <c r="LEC75" s="134"/>
      <c r="LED75" s="134"/>
      <c r="LEE75" s="134"/>
      <c r="LEF75" s="134"/>
      <c r="LEG75" s="134"/>
      <c r="LEH75" s="134"/>
      <c r="LEI75" s="134"/>
      <c r="LEJ75" s="134"/>
      <c r="LEK75" s="134"/>
      <c r="LEL75" s="134"/>
      <c r="LEM75" s="134"/>
      <c r="LEN75" s="134"/>
      <c r="LEO75" s="134"/>
      <c r="LEP75" s="134"/>
      <c r="LEQ75" s="134"/>
      <c r="LER75" s="134"/>
      <c r="LES75" s="134"/>
      <c r="LET75" s="134"/>
      <c r="LEU75" s="134"/>
      <c r="LEV75" s="134"/>
      <c r="LEW75" s="134"/>
      <c r="LEX75" s="134"/>
      <c r="LEY75" s="134"/>
      <c r="LEZ75" s="134"/>
      <c r="LFA75" s="134"/>
      <c r="LFB75" s="134"/>
      <c r="LFC75" s="134"/>
      <c r="LFD75" s="134"/>
      <c r="LFE75" s="134"/>
      <c r="LFF75" s="134"/>
      <c r="LFG75" s="134"/>
      <c r="LFH75" s="134"/>
      <c r="LFI75" s="134"/>
      <c r="LFJ75" s="134"/>
      <c r="LFK75" s="134"/>
      <c r="LFL75" s="134"/>
      <c r="LFM75" s="134"/>
      <c r="LFN75" s="134"/>
      <c r="LFO75" s="134"/>
      <c r="LFP75" s="134"/>
      <c r="LFQ75" s="134"/>
      <c r="LFR75" s="134"/>
      <c r="LFS75" s="134"/>
      <c r="LFT75" s="134"/>
      <c r="LFU75" s="134"/>
      <c r="LFV75" s="134"/>
      <c r="LFW75" s="134"/>
      <c r="LFX75" s="134"/>
      <c r="LFY75" s="134"/>
      <c r="LFZ75" s="134"/>
      <c r="LGA75" s="134"/>
      <c r="LGB75" s="134"/>
      <c r="LGC75" s="134"/>
      <c r="LGD75" s="134"/>
      <c r="LGE75" s="134"/>
      <c r="LGF75" s="134"/>
      <c r="LGG75" s="134"/>
      <c r="LGH75" s="134"/>
      <c r="LGI75" s="134"/>
      <c r="LGJ75" s="134"/>
      <c r="LGK75" s="134"/>
      <c r="LGL75" s="134"/>
      <c r="LGM75" s="134"/>
      <c r="LGN75" s="134"/>
      <c r="LGO75" s="134"/>
      <c r="LGP75" s="134"/>
      <c r="LGQ75" s="134"/>
      <c r="LGR75" s="134"/>
      <c r="LGS75" s="134"/>
      <c r="LGT75" s="134"/>
      <c r="LGU75" s="134"/>
      <c r="LGV75" s="134"/>
      <c r="LGW75" s="134"/>
      <c r="LGX75" s="134"/>
      <c r="LGY75" s="134"/>
      <c r="LGZ75" s="134"/>
      <c r="LHA75" s="134"/>
      <c r="LHB75" s="134"/>
      <c r="LHC75" s="134"/>
      <c r="LHD75" s="134"/>
      <c r="LHE75" s="134"/>
      <c r="LHF75" s="134"/>
      <c r="LHG75" s="134"/>
      <c r="LHH75" s="134"/>
      <c r="LHI75" s="134"/>
      <c r="LHJ75" s="134"/>
      <c r="LHK75" s="134"/>
      <c r="LHL75" s="134"/>
      <c r="LHM75" s="134"/>
      <c r="LHN75" s="134"/>
      <c r="LHO75" s="134"/>
      <c r="LHP75" s="134"/>
      <c r="LHQ75" s="134"/>
      <c r="LHR75" s="134"/>
      <c r="LHS75" s="134"/>
      <c r="LHT75" s="134"/>
      <c r="LHU75" s="134"/>
      <c r="LHV75" s="134"/>
      <c r="LHW75" s="134"/>
      <c r="LHX75" s="134"/>
      <c r="LHY75" s="134"/>
      <c r="LHZ75" s="134"/>
      <c r="LIA75" s="134"/>
      <c r="LIB75" s="134"/>
      <c r="LIC75" s="134"/>
      <c r="LID75" s="134"/>
      <c r="LIE75" s="134"/>
      <c r="LIF75" s="134"/>
      <c r="LIG75" s="134"/>
      <c r="LIH75" s="134"/>
      <c r="LII75" s="134"/>
      <c r="LIJ75" s="134"/>
      <c r="LIK75" s="134"/>
      <c r="LIL75" s="134"/>
      <c r="LIM75" s="134"/>
      <c r="LIN75" s="134"/>
      <c r="LIO75" s="134"/>
      <c r="LIP75" s="134"/>
      <c r="LIQ75" s="134"/>
      <c r="LIR75" s="134"/>
      <c r="LIS75" s="134"/>
      <c r="LIT75" s="134"/>
      <c r="LIU75" s="134"/>
      <c r="LIV75" s="134"/>
      <c r="LIW75" s="134"/>
      <c r="LIX75" s="134"/>
      <c r="LIY75" s="134"/>
      <c r="LIZ75" s="134"/>
      <c r="LJA75" s="134"/>
      <c r="LJB75" s="134"/>
      <c r="LJC75" s="134"/>
      <c r="LJD75" s="134"/>
      <c r="LJE75" s="134"/>
      <c r="LJF75" s="134"/>
      <c r="LJG75" s="134"/>
      <c r="LJH75" s="134"/>
      <c r="LJI75" s="134"/>
      <c r="LJJ75" s="134"/>
      <c r="LJK75" s="134"/>
      <c r="LJL75" s="134"/>
      <c r="LJM75" s="134"/>
      <c r="LJN75" s="134"/>
      <c r="LJO75" s="134"/>
      <c r="LJP75" s="134"/>
      <c r="LJQ75" s="134"/>
      <c r="LJR75" s="134"/>
      <c r="LJS75" s="134"/>
      <c r="LJT75" s="134"/>
      <c r="LJU75" s="134"/>
      <c r="LJV75" s="134"/>
      <c r="LJW75" s="134"/>
      <c r="LJX75" s="134"/>
      <c r="LJY75" s="134"/>
      <c r="LJZ75" s="134"/>
      <c r="LKA75" s="134"/>
      <c r="LKB75" s="134"/>
      <c r="LKC75" s="134"/>
      <c r="LKD75" s="134"/>
      <c r="LKE75" s="134"/>
      <c r="LKF75" s="134"/>
      <c r="LKG75" s="134"/>
      <c r="LKH75" s="134"/>
      <c r="LKI75" s="134"/>
      <c r="LKJ75" s="134"/>
      <c r="LKK75" s="134"/>
      <c r="LKL75" s="134"/>
      <c r="LKM75" s="134"/>
      <c r="LKN75" s="134"/>
      <c r="LKO75" s="134"/>
      <c r="LKP75" s="134"/>
      <c r="LKQ75" s="134"/>
      <c r="LKR75" s="134"/>
      <c r="LKS75" s="134"/>
      <c r="LKT75" s="134"/>
      <c r="LKU75" s="134"/>
      <c r="LKV75" s="134"/>
      <c r="LKW75" s="134"/>
      <c r="LKX75" s="134"/>
      <c r="LKY75" s="134"/>
      <c r="LKZ75" s="134"/>
      <c r="LLA75" s="134"/>
      <c r="LLB75" s="134"/>
      <c r="LLC75" s="134"/>
      <c r="LLD75" s="134"/>
      <c r="LLE75" s="134"/>
      <c r="LLF75" s="134"/>
      <c r="LLG75" s="134"/>
      <c r="LLH75" s="134"/>
      <c r="LLI75" s="134"/>
      <c r="LLJ75" s="134"/>
      <c r="LLK75" s="134"/>
      <c r="LLL75" s="134"/>
      <c r="LLM75" s="134"/>
      <c r="LLN75" s="134"/>
      <c r="LLO75" s="134"/>
      <c r="LLP75" s="134"/>
      <c r="LLQ75" s="134"/>
      <c r="LLR75" s="134"/>
      <c r="LLS75" s="134"/>
      <c r="LLT75" s="134"/>
      <c r="LLU75" s="134"/>
      <c r="LLV75" s="134"/>
      <c r="LLW75" s="134"/>
      <c r="LLX75" s="134"/>
      <c r="LLY75" s="134"/>
      <c r="LLZ75" s="134"/>
      <c r="LMA75" s="134"/>
      <c r="LMB75" s="134"/>
      <c r="LMC75" s="134"/>
      <c r="LMD75" s="134"/>
      <c r="LME75" s="134"/>
      <c r="LMF75" s="134"/>
      <c r="LMG75" s="134"/>
      <c r="LMH75" s="134"/>
      <c r="LMI75" s="134"/>
      <c r="LMJ75" s="134"/>
      <c r="LMK75" s="134"/>
      <c r="LML75" s="134"/>
      <c r="LMM75" s="134"/>
      <c r="LMN75" s="134"/>
      <c r="LMO75" s="134"/>
      <c r="LMP75" s="134"/>
      <c r="LMQ75" s="134"/>
      <c r="LMR75" s="134"/>
      <c r="LMS75" s="134"/>
      <c r="LMT75" s="134"/>
      <c r="LMU75" s="134"/>
      <c r="LMV75" s="134"/>
      <c r="LMW75" s="134"/>
      <c r="LMX75" s="134"/>
      <c r="LMY75" s="134"/>
      <c r="LMZ75" s="134"/>
      <c r="LNA75" s="134"/>
      <c r="LNB75" s="134"/>
      <c r="LNC75" s="134"/>
      <c r="LND75" s="134"/>
      <c r="LNE75" s="134"/>
      <c r="LNF75" s="134"/>
      <c r="LNG75" s="134"/>
      <c r="LNH75" s="134"/>
      <c r="LNI75" s="134"/>
      <c r="LNJ75" s="134"/>
      <c r="LNK75" s="134"/>
      <c r="LNL75" s="134"/>
      <c r="LNM75" s="134"/>
      <c r="LNN75" s="134"/>
      <c r="LNO75" s="134"/>
      <c r="LNP75" s="134"/>
      <c r="LNQ75" s="134"/>
      <c r="LNR75" s="134"/>
      <c r="LNS75" s="134"/>
      <c r="LNT75" s="134"/>
      <c r="LNU75" s="134"/>
      <c r="LNV75" s="134"/>
      <c r="LNW75" s="134"/>
      <c r="LNX75" s="134"/>
      <c r="LNY75" s="134"/>
      <c r="LNZ75" s="134"/>
      <c r="LOA75" s="134"/>
      <c r="LOB75" s="134"/>
      <c r="LOC75" s="134"/>
      <c r="LOD75" s="134"/>
      <c r="LOE75" s="134"/>
      <c r="LOF75" s="134"/>
      <c r="LOG75" s="134"/>
      <c r="LOH75" s="134"/>
      <c r="LOI75" s="134"/>
      <c r="LOJ75" s="134"/>
      <c r="LOK75" s="134"/>
      <c r="LOL75" s="134"/>
      <c r="LOM75" s="134"/>
      <c r="LON75" s="134"/>
      <c r="LOO75" s="134"/>
      <c r="LOP75" s="134"/>
      <c r="LOQ75" s="134"/>
      <c r="LOR75" s="134"/>
      <c r="LOS75" s="134"/>
      <c r="LOT75" s="134"/>
      <c r="LOU75" s="134"/>
      <c r="LOV75" s="134"/>
      <c r="LOW75" s="134"/>
      <c r="LOX75" s="134"/>
      <c r="LOY75" s="134"/>
      <c r="LOZ75" s="134"/>
      <c r="LPA75" s="134"/>
      <c r="LPB75" s="134"/>
      <c r="LPC75" s="134"/>
      <c r="LPD75" s="134"/>
      <c r="LPE75" s="134"/>
      <c r="LPF75" s="134"/>
      <c r="LPG75" s="134"/>
      <c r="LPH75" s="134"/>
      <c r="LPI75" s="134"/>
      <c r="LPJ75" s="134"/>
      <c r="LPK75" s="134"/>
      <c r="LPL75" s="134"/>
      <c r="LPM75" s="134"/>
      <c r="LPN75" s="134"/>
      <c r="LPO75" s="134"/>
      <c r="LPP75" s="134"/>
      <c r="LPQ75" s="134"/>
      <c r="LPR75" s="134"/>
      <c r="LPS75" s="134"/>
      <c r="LPT75" s="134"/>
      <c r="LPU75" s="134"/>
      <c r="LPV75" s="134"/>
      <c r="LPW75" s="134"/>
      <c r="LPX75" s="134"/>
      <c r="LPY75" s="134"/>
      <c r="LPZ75" s="134"/>
      <c r="LQA75" s="134"/>
      <c r="LQB75" s="134"/>
      <c r="LQC75" s="134"/>
      <c r="LQD75" s="134"/>
      <c r="LQE75" s="134"/>
      <c r="LQF75" s="134"/>
      <c r="LQG75" s="134"/>
      <c r="LQH75" s="134"/>
      <c r="LQI75" s="134"/>
      <c r="LQJ75" s="134"/>
      <c r="LQK75" s="134"/>
      <c r="LQL75" s="134"/>
      <c r="LQM75" s="134"/>
      <c r="LQN75" s="134"/>
      <c r="LQO75" s="134"/>
      <c r="LQP75" s="134"/>
      <c r="LQQ75" s="134"/>
      <c r="LQR75" s="134"/>
      <c r="LQS75" s="134"/>
      <c r="LQT75" s="134"/>
      <c r="LQU75" s="134"/>
      <c r="LQV75" s="134"/>
      <c r="LQW75" s="134"/>
      <c r="LQX75" s="134"/>
      <c r="LQY75" s="134"/>
      <c r="LQZ75" s="134"/>
      <c r="LRA75" s="134"/>
      <c r="LRB75" s="134"/>
      <c r="LRC75" s="134"/>
      <c r="LRD75" s="134"/>
      <c r="LRE75" s="134"/>
      <c r="LRF75" s="134"/>
      <c r="LRG75" s="134"/>
      <c r="LRH75" s="134"/>
      <c r="LRI75" s="134"/>
      <c r="LRJ75" s="134"/>
      <c r="LRK75" s="134"/>
      <c r="LRL75" s="134"/>
      <c r="LRM75" s="134"/>
      <c r="LRN75" s="134"/>
      <c r="LRO75" s="134"/>
      <c r="LRP75" s="134"/>
      <c r="LRQ75" s="134"/>
      <c r="LRR75" s="134"/>
      <c r="LRS75" s="134"/>
      <c r="LRT75" s="134"/>
      <c r="LRU75" s="134"/>
      <c r="LRV75" s="134"/>
      <c r="LRW75" s="134"/>
      <c r="LRX75" s="134"/>
      <c r="LRY75" s="134"/>
      <c r="LRZ75" s="134"/>
      <c r="LSA75" s="134"/>
      <c r="LSB75" s="134"/>
      <c r="LSC75" s="134"/>
      <c r="LSD75" s="134"/>
      <c r="LSE75" s="134"/>
      <c r="LSF75" s="134"/>
      <c r="LSG75" s="134"/>
      <c r="LSH75" s="134"/>
      <c r="LSI75" s="134"/>
      <c r="LSJ75" s="134"/>
      <c r="LSK75" s="134"/>
      <c r="LSL75" s="134"/>
      <c r="LSM75" s="134"/>
      <c r="LSN75" s="134"/>
      <c r="LSO75" s="134"/>
      <c r="LSP75" s="134"/>
      <c r="LSQ75" s="134"/>
      <c r="LSR75" s="134"/>
      <c r="LSS75" s="134"/>
      <c r="LST75" s="134"/>
      <c r="LSU75" s="134"/>
      <c r="LSV75" s="134"/>
      <c r="LSW75" s="134"/>
      <c r="LSX75" s="134"/>
      <c r="LSY75" s="134"/>
      <c r="LSZ75" s="134"/>
      <c r="LTA75" s="134"/>
      <c r="LTB75" s="134"/>
      <c r="LTC75" s="134"/>
      <c r="LTD75" s="134"/>
      <c r="LTE75" s="134"/>
      <c r="LTF75" s="134"/>
      <c r="LTG75" s="134"/>
      <c r="LTH75" s="134"/>
      <c r="LTI75" s="134"/>
      <c r="LTJ75" s="134"/>
      <c r="LTK75" s="134"/>
      <c r="LTL75" s="134"/>
      <c r="LTM75" s="134"/>
      <c r="LTN75" s="134"/>
      <c r="LTO75" s="134"/>
      <c r="LTP75" s="134"/>
      <c r="LTQ75" s="134"/>
      <c r="LTR75" s="134"/>
      <c r="LTS75" s="134"/>
      <c r="LTT75" s="134"/>
      <c r="LTU75" s="134"/>
      <c r="LTV75" s="134"/>
      <c r="LTW75" s="134"/>
      <c r="LTX75" s="134"/>
      <c r="LTY75" s="134"/>
      <c r="LTZ75" s="134"/>
      <c r="LUA75" s="134"/>
      <c r="LUB75" s="134"/>
      <c r="LUC75" s="134"/>
      <c r="LUD75" s="134"/>
      <c r="LUE75" s="134"/>
      <c r="LUF75" s="134"/>
      <c r="LUG75" s="134"/>
      <c r="LUH75" s="134"/>
      <c r="LUI75" s="134"/>
      <c r="LUJ75" s="134"/>
      <c r="LUK75" s="134"/>
      <c r="LUL75" s="134"/>
      <c r="LUM75" s="134"/>
      <c r="LUN75" s="134"/>
      <c r="LUO75" s="134"/>
      <c r="LUP75" s="134"/>
      <c r="LUQ75" s="134"/>
      <c r="LUR75" s="134"/>
      <c r="LUS75" s="134"/>
      <c r="LUT75" s="134"/>
      <c r="LUU75" s="134"/>
      <c r="LUV75" s="134"/>
      <c r="LUW75" s="134"/>
      <c r="LUX75" s="134"/>
      <c r="LUY75" s="134"/>
      <c r="LUZ75" s="134"/>
      <c r="LVA75" s="134"/>
      <c r="LVB75" s="134"/>
      <c r="LVC75" s="134"/>
      <c r="LVD75" s="134"/>
      <c r="LVE75" s="134"/>
      <c r="LVF75" s="134"/>
      <c r="LVG75" s="134"/>
      <c r="LVH75" s="134"/>
      <c r="LVI75" s="134"/>
      <c r="LVJ75" s="134"/>
      <c r="LVK75" s="134"/>
      <c r="LVL75" s="134"/>
      <c r="LVM75" s="134"/>
      <c r="LVN75" s="134"/>
      <c r="LVO75" s="134"/>
      <c r="LVP75" s="134"/>
      <c r="LVQ75" s="134"/>
      <c r="LVR75" s="134"/>
      <c r="LVS75" s="134"/>
      <c r="LVT75" s="134"/>
      <c r="LVU75" s="134"/>
      <c r="LVV75" s="134"/>
      <c r="LVW75" s="134"/>
      <c r="LVX75" s="134"/>
      <c r="LVY75" s="134"/>
      <c r="LVZ75" s="134"/>
      <c r="LWA75" s="134"/>
      <c r="LWB75" s="134"/>
      <c r="LWC75" s="134"/>
      <c r="LWD75" s="134"/>
      <c r="LWE75" s="134"/>
      <c r="LWF75" s="134"/>
      <c r="LWG75" s="134"/>
      <c r="LWH75" s="134"/>
      <c r="LWI75" s="134"/>
      <c r="LWJ75" s="134"/>
      <c r="LWK75" s="134"/>
      <c r="LWL75" s="134"/>
      <c r="LWM75" s="134"/>
      <c r="LWN75" s="134"/>
      <c r="LWO75" s="134"/>
      <c r="LWP75" s="134"/>
      <c r="LWQ75" s="134"/>
      <c r="LWR75" s="134"/>
      <c r="LWS75" s="134"/>
      <c r="LWT75" s="134"/>
      <c r="LWU75" s="134"/>
      <c r="LWV75" s="134"/>
      <c r="LWW75" s="134"/>
      <c r="LWX75" s="134"/>
      <c r="LWY75" s="134"/>
      <c r="LWZ75" s="134"/>
      <c r="LXA75" s="134"/>
      <c r="LXB75" s="134"/>
      <c r="LXC75" s="134"/>
      <c r="LXD75" s="134"/>
      <c r="LXE75" s="134"/>
      <c r="LXF75" s="134"/>
      <c r="LXG75" s="134"/>
      <c r="LXH75" s="134"/>
      <c r="LXI75" s="134"/>
      <c r="LXJ75" s="134"/>
      <c r="LXK75" s="134"/>
      <c r="LXL75" s="134"/>
      <c r="LXM75" s="134"/>
      <c r="LXN75" s="134"/>
      <c r="LXO75" s="134"/>
      <c r="LXP75" s="134"/>
      <c r="LXQ75" s="134"/>
      <c r="LXR75" s="134"/>
      <c r="LXS75" s="134"/>
      <c r="LXT75" s="134"/>
      <c r="LXU75" s="134"/>
      <c r="LXV75" s="134"/>
      <c r="LXW75" s="134"/>
      <c r="LXX75" s="134"/>
      <c r="LXY75" s="134"/>
      <c r="LXZ75" s="134"/>
      <c r="LYA75" s="134"/>
      <c r="LYB75" s="134"/>
      <c r="LYC75" s="134"/>
      <c r="LYD75" s="134"/>
      <c r="LYE75" s="134"/>
      <c r="LYF75" s="134"/>
      <c r="LYG75" s="134"/>
      <c r="LYH75" s="134"/>
      <c r="LYI75" s="134"/>
      <c r="LYJ75" s="134"/>
      <c r="LYK75" s="134"/>
      <c r="LYL75" s="134"/>
      <c r="LYM75" s="134"/>
      <c r="LYN75" s="134"/>
      <c r="LYO75" s="134"/>
      <c r="LYP75" s="134"/>
      <c r="LYQ75" s="134"/>
      <c r="LYR75" s="134"/>
      <c r="LYS75" s="134"/>
      <c r="LYT75" s="134"/>
      <c r="LYU75" s="134"/>
      <c r="LYV75" s="134"/>
      <c r="LYW75" s="134"/>
      <c r="LYX75" s="134"/>
      <c r="LYY75" s="134"/>
      <c r="LYZ75" s="134"/>
      <c r="LZA75" s="134"/>
      <c r="LZB75" s="134"/>
      <c r="LZC75" s="134"/>
      <c r="LZD75" s="134"/>
      <c r="LZE75" s="134"/>
      <c r="LZF75" s="134"/>
      <c r="LZG75" s="134"/>
      <c r="LZH75" s="134"/>
      <c r="LZI75" s="134"/>
      <c r="LZJ75" s="134"/>
      <c r="LZK75" s="134"/>
      <c r="LZL75" s="134"/>
      <c r="LZM75" s="134"/>
      <c r="LZN75" s="134"/>
      <c r="LZO75" s="134"/>
      <c r="LZP75" s="134"/>
      <c r="LZQ75" s="134"/>
      <c r="LZR75" s="134"/>
      <c r="LZS75" s="134"/>
      <c r="LZT75" s="134"/>
      <c r="LZU75" s="134"/>
      <c r="LZV75" s="134"/>
      <c r="LZW75" s="134"/>
      <c r="LZX75" s="134"/>
      <c r="LZY75" s="134"/>
      <c r="LZZ75" s="134"/>
      <c r="MAA75" s="134"/>
      <c r="MAB75" s="134"/>
      <c r="MAC75" s="134"/>
      <c r="MAD75" s="134"/>
      <c r="MAE75" s="134"/>
      <c r="MAF75" s="134"/>
      <c r="MAG75" s="134"/>
      <c r="MAH75" s="134"/>
      <c r="MAI75" s="134"/>
      <c r="MAJ75" s="134"/>
      <c r="MAK75" s="134"/>
      <c r="MAL75" s="134"/>
      <c r="MAM75" s="134"/>
      <c r="MAN75" s="134"/>
      <c r="MAO75" s="134"/>
      <c r="MAP75" s="134"/>
      <c r="MAQ75" s="134"/>
      <c r="MAR75" s="134"/>
      <c r="MAS75" s="134"/>
      <c r="MAT75" s="134"/>
      <c r="MAU75" s="134"/>
      <c r="MAV75" s="134"/>
      <c r="MAW75" s="134"/>
      <c r="MAX75" s="134"/>
      <c r="MAY75" s="134"/>
      <c r="MAZ75" s="134"/>
      <c r="MBA75" s="134"/>
      <c r="MBB75" s="134"/>
      <c r="MBC75" s="134"/>
      <c r="MBD75" s="134"/>
      <c r="MBE75" s="134"/>
      <c r="MBF75" s="134"/>
      <c r="MBG75" s="134"/>
      <c r="MBH75" s="134"/>
      <c r="MBI75" s="134"/>
      <c r="MBJ75" s="134"/>
      <c r="MBK75" s="134"/>
      <c r="MBL75" s="134"/>
      <c r="MBM75" s="134"/>
      <c r="MBN75" s="134"/>
      <c r="MBO75" s="134"/>
      <c r="MBP75" s="134"/>
      <c r="MBQ75" s="134"/>
      <c r="MBR75" s="134"/>
      <c r="MBS75" s="134"/>
      <c r="MBT75" s="134"/>
      <c r="MBU75" s="134"/>
      <c r="MBV75" s="134"/>
      <c r="MBW75" s="134"/>
      <c r="MBX75" s="134"/>
      <c r="MBY75" s="134"/>
      <c r="MBZ75" s="134"/>
      <c r="MCA75" s="134"/>
      <c r="MCB75" s="134"/>
      <c r="MCC75" s="134"/>
      <c r="MCD75" s="134"/>
      <c r="MCE75" s="134"/>
      <c r="MCF75" s="134"/>
      <c r="MCG75" s="134"/>
      <c r="MCH75" s="134"/>
      <c r="MCI75" s="134"/>
      <c r="MCJ75" s="134"/>
      <c r="MCK75" s="134"/>
      <c r="MCL75" s="134"/>
      <c r="MCM75" s="134"/>
      <c r="MCN75" s="134"/>
      <c r="MCO75" s="134"/>
      <c r="MCP75" s="134"/>
      <c r="MCQ75" s="134"/>
      <c r="MCR75" s="134"/>
      <c r="MCS75" s="134"/>
      <c r="MCT75" s="134"/>
      <c r="MCU75" s="134"/>
      <c r="MCV75" s="134"/>
      <c r="MCW75" s="134"/>
      <c r="MCX75" s="134"/>
      <c r="MCY75" s="134"/>
      <c r="MCZ75" s="134"/>
      <c r="MDA75" s="134"/>
      <c r="MDB75" s="134"/>
      <c r="MDC75" s="134"/>
      <c r="MDD75" s="134"/>
      <c r="MDE75" s="134"/>
      <c r="MDF75" s="134"/>
      <c r="MDG75" s="134"/>
      <c r="MDH75" s="134"/>
      <c r="MDI75" s="134"/>
      <c r="MDJ75" s="134"/>
      <c r="MDK75" s="134"/>
      <c r="MDL75" s="134"/>
      <c r="MDM75" s="134"/>
      <c r="MDN75" s="134"/>
      <c r="MDO75" s="134"/>
      <c r="MDP75" s="134"/>
      <c r="MDQ75" s="134"/>
      <c r="MDR75" s="134"/>
      <c r="MDS75" s="134"/>
      <c r="MDT75" s="134"/>
      <c r="MDU75" s="134"/>
      <c r="MDV75" s="134"/>
      <c r="MDW75" s="134"/>
      <c r="MDX75" s="134"/>
      <c r="MDY75" s="134"/>
      <c r="MDZ75" s="134"/>
      <c r="MEA75" s="134"/>
      <c r="MEB75" s="134"/>
      <c r="MEC75" s="134"/>
      <c r="MED75" s="134"/>
      <c r="MEE75" s="134"/>
      <c r="MEF75" s="134"/>
      <c r="MEG75" s="134"/>
      <c r="MEH75" s="134"/>
      <c r="MEI75" s="134"/>
      <c r="MEJ75" s="134"/>
      <c r="MEK75" s="134"/>
      <c r="MEL75" s="134"/>
      <c r="MEM75" s="134"/>
      <c r="MEN75" s="134"/>
      <c r="MEO75" s="134"/>
      <c r="MEP75" s="134"/>
      <c r="MEQ75" s="134"/>
      <c r="MER75" s="134"/>
      <c r="MES75" s="134"/>
      <c r="MET75" s="134"/>
      <c r="MEU75" s="134"/>
      <c r="MEV75" s="134"/>
      <c r="MEW75" s="134"/>
      <c r="MEX75" s="134"/>
      <c r="MEY75" s="134"/>
      <c r="MEZ75" s="134"/>
      <c r="MFA75" s="134"/>
      <c r="MFB75" s="134"/>
      <c r="MFC75" s="134"/>
      <c r="MFD75" s="134"/>
      <c r="MFE75" s="134"/>
      <c r="MFF75" s="134"/>
      <c r="MFG75" s="134"/>
      <c r="MFH75" s="134"/>
      <c r="MFI75" s="134"/>
      <c r="MFJ75" s="134"/>
      <c r="MFK75" s="134"/>
      <c r="MFL75" s="134"/>
      <c r="MFM75" s="134"/>
      <c r="MFN75" s="134"/>
      <c r="MFO75" s="134"/>
      <c r="MFP75" s="134"/>
      <c r="MFQ75" s="134"/>
      <c r="MFR75" s="134"/>
      <c r="MFS75" s="134"/>
      <c r="MFT75" s="134"/>
      <c r="MFU75" s="134"/>
      <c r="MFV75" s="134"/>
      <c r="MFW75" s="134"/>
      <c r="MFX75" s="134"/>
      <c r="MFY75" s="134"/>
      <c r="MFZ75" s="134"/>
      <c r="MGA75" s="134"/>
      <c r="MGB75" s="134"/>
      <c r="MGC75" s="134"/>
      <c r="MGD75" s="134"/>
      <c r="MGE75" s="134"/>
      <c r="MGF75" s="134"/>
      <c r="MGG75" s="134"/>
      <c r="MGH75" s="134"/>
      <c r="MGI75" s="134"/>
      <c r="MGJ75" s="134"/>
      <c r="MGK75" s="134"/>
      <c r="MGL75" s="134"/>
      <c r="MGM75" s="134"/>
      <c r="MGN75" s="134"/>
      <c r="MGO75" s="134"/>
      <c r="MGP75" s="134"/>
      <c r="MGQ75" s="134"/>
      <c r="MGR75" s="134"/>
      <c r="MGS75" s="134"/>
      <c r="MGT75" s="134"/>
      <c r="MGU75" s="134"/>
      <c r="MGV75" s="134"/>
      <c r="MGW75" s="134"/>
      <c r="MGX75" s="134"/>
      <c r="MGY75" s="134"/>
      <c r="MGZ75" s="134"/>
      <c r="MHA75" s="134"/>
      <c r="MHB75" s="134"/>
      <c r="MHC75" s="134"/>
      <c r="MHD75" s="134"/>
      <c r="MHE75" s="134"/>
      <c r="MHF75" s="134"/>
      <c r="MHG75" s="134"/>
      <c r="MHH75" s="134"/>
      <c r="MHI75" s="134"/>
      <c r="MHJ75" s="134"/>
      <c r="MHK75" s="134"/>
      <c r="MHL75" s="134"/>
      <c r="MHM75" s="134"/>
      <c r="MHN75" s="134"/>
      <c r="MHO75" s="134"/>
      <c r="MHP75" s="134"/>
      <c r="MHQ75" s="134"/>
      <c r="MHR75" s="134"/>
      <c r="MHS75" s="134"/>
      <c r="MHT75" s="134"/>
      <c r="MHU75" s="134"/>
      <c r="MHV75" s="134"/>
      <c r="MHW75" s="134"/>
      <c r="MHX75" s="134"/>
      <c r="MHY75" s="134"/>
      <c r="MHZ75" s="134"/>
      <c r="MIA75" s="134"/>
      <c r="MIB75" s="134"/>
      <c r="MIC75" s="134"/>
      <c r="MID75" s="134"/>
      <c r="MIE75" s="134"/>
      <c r="MIF75" s="134"/>
      <c r="MIG75" s="134"/>
      <c r="MIH75" s="134"/>
      <c r="MII75" s="134"/>
      <c r="MIJ75" s="134"/>
      <c r="MIK75" s="134"/>
      <c r="MIL75" s="134"/>
      <c r="MIM75" s="134"/>
      <c r="MIN75" s="134"/>
      <c r="MIO75" s="134"/>
      <c r="MIP75" s="134"/>
      <c r="MIQ75" s="134"/>
      <c r="MIR75" s="134"/>
      <c r="MIS75" s="134"/>
      <c r="MIT75" s="134"/>
      <c r="MIU75" s="134"/>
      <c r="MIV75" s="134"/>
      <c r="MIW75" s="134"/>
      <c r="MIX75" s="134"/>
      <c r="MIY75" s="134"/>
      <c r="MIZ75" s="134"/>
      <c r="MJA75" s="134"/>
      <c r="MJB75" s="134"/>
      <c r="MJC75" s="134"/>
      <c r="MJD75" s="134"/>
      <c r="MJE75" s="134"/>
      <c r="MJF75" s="134"/>
      <c r="MJG75" s="134"/>
      <c r="MJH75" s="134"/>
      <c r="MJI75" s="134"/>
      <c r="MJJ75" s="134"/>
      <c r="MJK75" s="134"/>
      <c r="MJL75" s="134"/>
      <c r="MJM75" s="134"/>
      <c r="MJN75" s="134"/>
      <c r="MJO75" s="134"/>
      <c r="MJP75" s="134"/>
      <c r="MJQ75" s="134"/>
      <c r="MJR75" s="134"/>
      <c r="MJS75" s="134"/>
      <c r="MJT75" s="134"/>
      <c r="MJU75" s="134"/>
      <c r="MJV75" s="134"/>
      <c r="MJW75" s="134"/>
      <c r="MJX75" s="134"/>
      <c r="MJY75" s="134"/>
      <c r="MJZ75" s="134"/>
      <c r="MKA75" s="134"/>
      <c r="MKB75" s="134"/>
      <c r="MKC75" s="134"/>
      <c r="MKD75" s="134"/>
      <c r="MKE75" s="134"/>
      <c r="MKF75" s="134"/>
      <c r="MKG75" s="134"/>
      <c r="MKH75" s="134"/>
      <c r="MKI75" s="134"/>
      <c r="MKJ75" s="134"/>
      <c r="MKK75" s="134"/>
      <c r="MKL75" s="134"/>
      <c r="MKM75" s="134"/>
      <c r="MKN75" s="134"/>
      <c r="MKO75" s="134"/>
      <c r="MKP75" s="134"/>
      <c r="MKQ75" s="134"/>
      <c r="MKR75" s="134"/>
      <c r="MKS75" s="134"/>
      <c r="MKT75" s="134"/>
      <c r="MKU75" s="134"/>
      <c r="MKV75" s="134"/>
      <c r="MKW75" s="134"/>
      <c r="MKX75" s="134"/>
      <c r="MKY75" s="134"/>
      <c r="MKZ75" s="134"/>
      <c r="MLA75" s="134"/>
      <c r="MLB75" s="134"/>
      <c r="MLC75" s="134"/>
      <c r="MLD75" s="134"/>
      <c r="MLE75" s="134"/>
      <c r="MLF75" s="134"/>
      <c r="MLG75" s="134"/>
      <c r="MLH75" s="134"/>
      <c r="MLI75" s="134"/>
      <c r="MLJ75" s="134"/>
      <c r="MLK75" s="134"/>
      <c r="MLL75" s="134"/>
      <c r="MLM75" s="134"/>
      <c r="MLN75" s="134"/>
      <c r="MLO75" s="134"/>
      <c r="MLP75" s="134"/>
      <c r="MLQ75" s="134"/>
      <c r="MLR75" s="134"/>
      <c r="MLS75" s="134"/>
      <c r="MLT75" s="134"/>
      <c r="MLU75" s="134"/>
      <c r="MLV75" s="134"/>
      <c r="MLW75" s="134"/>
      <c r="MLX75" s="134"/>
      <c r="MLY75" s="134"/>
      <c r="MLZ75" s="134"/>
      <c r="MMA75" s="134"/>
      <c r="MMB75" s="134"/>
      <c r="MMC75" s="134"/>
      <c r="MMD75" s="134"/>
      <c r="MME75" s="134"/>
      <c r="MMF75" s="134"/>
      <c r="MMG75" s="134"/>
      <c r="MMH75" s="134"/>
      <c r="MMI75" s="134"/>
      <c r="MMJ75" s="134"/>
      <c r="MMK75" s="134"/>
      <c r="MML75" s="134"/>
      <c r="MMM75" s="134"/>
      <c r="MMN75" s="134"/>
      <c r="MMO75" s="134"/>
      <c r="MMP75" s="134"/>
      <c r="MMQ75" s="134"/>
      <c r="MMR75" s="134"/>
      <c r="MMS75" s="134"/>
      <c r="MMT75" s="134"/>
      <c r="MMU75" s="134"/>
      <c r="MMV75" s="134"/>
      <c r="MMW75" s="134"/>
      <c r="MMX75" s="134"/>
      <c r="MMY75" s="134"/>
      <c r="MMZ75" s="134"/>
      <c r="MNA75" s="134"/>
      <c r="MNB75" s="134"/>
      <c r="MNC75" s="134"/>
      <c r="MND75" s="134"/>
      <c r="MNE75" s="134"/>
      <c r="MNF75" s="134"/>
      <c r="MNG75" s="134"/>
      <c r="MNH75" s="134"/>
      <c r="MNI75" s="134"/>
      <c r="MNJ75" s="134"/>
      <c r="MNK75" s="134"/>
      <c r="MNL75" s="134"/>
      <c r="MNM75" s="134"/>
      <c r="MNN75" s="134"/>
      <c r="MNO75" s="134"/>
      <c r="MNP75" s="134"/>
      <c r="MNQ75" s="134"/>
      <c r="MNR75" s="134"/>
      <c r="MNS75" s="134"/>
      <c r="MNT75" s="134"/>
      <c r="MNU75" s="134"/>
      <c r="MNV75" s="134"/>
      <c r="MNW75" s="134"/>
      <c r="MNX75" s="134"/>
      <c r="MNY75" s="134"/>
      <c r="MNZ75" s="134"/>
      <c r="MOA75" s="134"/>
      <c r="MOB75" s="134"/>
      <c r="MOC75" s="134"/>
      <c r="MOD75" s="134"/>
      <c r="MOE75" s="134"/>
      <c r="MOF75" s="134"/>
      <c r="MOG75" s="134"/>
      <c r="MOH75" s="134"/>
      <c r="MOI75" s="134"/>
      <c r="MOJ75" s="134"/>
      <c r="MOK75" s="134"/>
      <c r="MOL75" s="134"/>
      <c r="MOM75" s="134"/>
      <c r="MON75" s="134"/>
      <c r="MOO75" s="134"/>
      <c r="MOP75" s="134"/>
      <c r="MOQ75" s="134"/>
      <c r="MOR75" s="134"/>
      <c r="MOS75" s="134"/>
      <c r="MOT75" s="134"/>
      <c r="MOU75" s="134"/>
      <c r="MOV75" s="134"/>
      <c r="MOW75" s="134"/>
      <c r="MOX75" s="134"/>
      <c r="MOY75" s="134"/>
      <c r="MOZ75" s="134"/>
      <c r="MPA75" s="134"/>
      <c r="MPB75" s="134"/>
      <c r="MPC75" s="134"/>
      <c r="MPD75" s="134"/>
      <c r="MPE75" s="134"/>
      <c r="MPF75" s="134"/>
      <c r="MPG75" s="134"/>
      <c r="MPH75" s="134"/>
      <c r="MPI75" s="134"/>
      <c r="MPJ75" s="134"/>
      <c r="MPK75" s="134"/>
      <c r="MPL75" s="134"/>
      <c r="MPM75" s="134"/>
      <c r="MPN75" s="134"/>
      <c r="MPO75" s="134"/>
      <c r="MPP75" s="134"/>
      <c r="MPQ75" s="134"/>
      <c r="MPR75" s="134"/>
      <c r="MPS75" s="134"/>
      <c r="MPT75" s="134"/>
      <c r="MPU75" s="134"/>
      <c r="MPV75" s="134"/>
      <c r="MPW75" s="134"/>
      <c r="MPX75" s="134"/>
      <c r="MPY75" s="134"/>
      <c r="MPZ75" s="134"/>
      <c r="MQA75" s="134"/>
      <c r="MQB75" s="134"/>
      <c r="MQC75" s="134"/>
      <c r="MQD75" s="134"/>
      <c r="MQE75" s="134"/>
      <c r="MQF75" s="134"/>
      <c r="MQG75" s="134"/>
      <c r="MQH75" s="134"/>
      <c r="MQI75" s="134"/>
      <c r="MQJ75" s="134"/>
      <c r="MQK75" s="134"/>
      <c r="MQL75" s="134"/>
      <c r="MQM75" s="134"/>
      <c r="MQN75" s="134"/>
      <c r="MQO75" s="134"/>
      <c r="MQP75" s="134"/>
      <c r="MQQ75" s="134"/>
      <c r="MQR75" s="134"/>
      <c r="MQS75" s="134"/>
      <c r="MQT75" s="134"/>
      <c r="MQU75" s="134"/>
      <c r="MQV75" s="134"/>
      <c r="MQW75" s="134"/>
      <c r="MQX75" s="134"/>
      <c r="MQY75" s="134"/>
      <c r="MQZ75" s="134"/>
      <c r="MRA75" s="134"/>
      <c r="MRB75" s="134"/>
      <c r="MRC75" s="134"/>
      <c r="MRD75" s="134"/>
      <c r="MRE75" s="134"/>
      <c r="MRF75" s="134"/>
      <c r="MRG75" s="134"/>
      <c r="MRH75" s="134"/>
      <c r="MRI75" s="134"/>
      <c r="MRJ75" s="134"/>
      <c r="MRK75" s="134"/>
      <c r="MRL75" s="134"/>
      <c r="MRM75" s="134"/>
      <c r="MRN75" s="134"/>
      <c r="MRO75" s="134"/>
      <c r="MRP75" s="134"/>
      <c r="MRQ75" s="134"/>
      <c r="MRR75" s="134"/>
      <c r="MRS75" s="134"/>
      <c r="MRT75" s="134"/>
      <c r="MRU75" s="134"/>
      <c r="MRV75" s="134"/>
      <c r="MRW75" s="134"/>
      <c r="MRX75" s="134"/>
      <c r="MRY75" s="134"/>
      <c r="MRZ75" s="134"/>
      <c r="MSA75" s="134"/>
      <c r="MSB75" s="134"/>
      <c r="MSC75" s="134"/>
      <c r="MSD75" s="134"/>
      <c r="MSE75" s="134"/>
      <c r="MSF75" s="134"/>
      <c r="MSG75" s="134"/>
      <c r="MSH75" s="134"/>
      <c r="MSI75" s="134"/>
      <c r="MSJ75" s="134"/>
      <c r="MSK75" s="134"/>
      <c r="MSL75" s="134"/>
      <c r="MSM75" s="134"/>
      <c r="MSN75" s="134"/>
      <c r="MSO75" s="134"/>
      <c r="MSP75" s="134"/>
      <c r="MSQ75" s="134"/>
      <c r="MSR75" s="134"/>
      <c r="MSS75" s="134"/>
      <c r="MST75" s="134"/>
      <c r="MSU75" s="134"/>
      <c r="MSV75" s="134"/>
      <c r="MSW75" s="134"/>
      <c r="MSX75" s="134"/>
      <c r="MSY75" s="134"/>
      <c r="MSZ75" s="134"/>
      <c r="MTA75" s="134"/>
      <c r="MTB75" s="134"/>
      <c r="MTC75" s="134"/>
      <c r="MTD75" s="134"/>
      <c r="MTE75" s="134"/>
      <c r="MTF75" s="134"/>
      <c r="MTG75" s="134"/>
      <c r="MTH75" s="134"/>
      <c r="MTI75" s="134"/>
      <c r="MTJ75" s="134"/>
      <c r="MTK75" s="134"/>
      <c r="MTL75" s="134"/>
      <c r="MTM75" s="134"/>
      <c r="MTN75" s="134"/>
      <c r="MTO75" s="134"/>
      <c r="MTP75" s="134"/>
      <c r="MTQ75" s="134"/>
      <c r="MTR75" s="134"/>
      <c r="MTS75" s="134"/>
      <c r="MTT75" s="134"/>
      <c r="MTU75" s="134"/>
      <c r="MTV75" s="134"/>
      <c r="MTW75" s="134"/>
      <c r="MTX75" s="134"/>
      <c r="MTY75" s="134"/>
      <c r="MTZ75" s="134"/>
      <c r="MUA75" s="134"/>
      <c r="MUB75" s="134"/>
      <c r="MUC75" s="134"/>
      <c r="MUD75" s="134"/>
      <c r="MUE75" s="134"/>
      <c r="MUF75" s="134"/>
      <c r="MUG75" s="134"/>
      <c r="MUH75" s="134"/>
      <c r="MUI75" s="134"/>
      <c r="MUJ75" s="134"/>
      <c r="MUK75" s="134"/>
      <c r="MUL75" s="134"/>
      <c r="MUM75" s="134"/>
      <c r="MUN75" s="134"/>
      <c r="MUO75" s="134"/>
      <c r="MUP75" s="134"/>
      <c r="MUQ75" s="134"/>
      <c r="MUR75" s="134"/>
      <c r="MUS75" s="134"/>
      <c r="MUT75" s="134"/>
      <c r="MUU75" s="134"/>
      <c r="MUV75" s="134"/>
      <c r="MUW75" s="134"/>
      <c r="MUX75" s="134"/>
      <c r="MUY75" s="134"/>
      <c r="MUZ75" s="134"/>
      <c r="MVA75" s="134"/>
      <c r="MVB75" s="134"/>
      <c r="MVC75" s="134"/>
      <c r="MVD75" s="134"/>
      <c r="MVE75" s="134"/>
      <c r="MVF75" s="134"/>
      <c r="MVG75" s="134"/>
      <c r="MVH75" s="134"/>
      <c r="MVI75" s="134"/>
      <c r="MVJ75" s="134"/>
      <c r="MVK75" s="134"/>
      <c r="MVL75" s="134"/>
      <c r="MVM75" s="134"/>
      <c r="MVN75" s="134"/>
      <c r="MVO75" s="134"/>
      <c r="MVP75" s="134"/>
      <c r="MVQ75" s="134"/>
      <c r="MVR75" s="134"/>
      <c r="MVS75" s="134"/>
      <c r="MVT75" s="134"/>
      <c r="MVU75" s="134"/>
      <c r="MVV75" s="134"/>
      <c r="MVW75" s="134"/>
      <c r="MVX75" s="134"/>
      <c r="MVY75" s="134"/>
      <c r="MVZ75" s="134"/>
      <c r="MWA75" s="134"/>
      <c r="MWB75" s="134"/>
      <c r="MWC75" s="134"/>
      <c r="MWD75" s="134"/>
      <c r="MWE75" s="134"/>
      <c r="MWF75" s="134"/>
      <c r="MWG75" s="134"/>
      <c r="MWH75" s="134"/>
      <c r="MWI75" s="134"/>
      <c r="MWJ75" s="134"/>
      <c r="MWK75" s="134"/>
      <c r="MWL75" s="134"/>
      <c r="MWM75" s="134"/>
      <c r="MWN75" s="134"/>
      <c r="MWO75" s="134"/>
      <c r="MWP75" s="134"/>
      <c r="MWQ75" s="134"/>
      <c r="MWR75" s="134"/>
      <c r="MWS75" s="134"/>
      <c r="MWT75" s="134"/>
      <c r="MWU75" s="134"/>
      <c r="MWV75" s="134"/>
      <c r="MWW75" s="134"/>
      <c r="MWX75" s="134"/>
      <c r="MWY75" s="134"/>
      <c r="MWZ75" s="134"/>
      <c r="MXA75" s="134"/>
      <c r="MXB75" s="134"/>
      <c r="MXC75" s="134"/>
      <c r="MXD75" s="134"/>
      <c r="MXE75" s="134"/>
      <c r="MXF75" s="134"/>
      <c r="MXG75" s="134"/>
      <c r="MXH75" s="134"/>
      <c r="MXI75" s="134"/>
      <c r="MXJ75" s="134"/>
      <c r="MXK75" s="134"/>
      <c r="MXL75" s="134"/>
      <c r="MXM75" s="134"/>
      <c r="MXN75" s="134"/>
      <c r="MXO75" s="134"/>
      <c r="MXP75" s="134"/>
      <c r="MXQ75" s="134"/>
      <c r="MXR75" s="134"/>
      <c r="MXS75" s="134"/>
      <c r="MXT75" s="134"/>
      <c r="MXU75" s="134"/>
      <c r="MXV75" s="134"/>
      <c r="MXW75" s="134"/>
      <c r="MXX75" s="134"/>
      <c r="MXY75" s="134"/>
      <c r="MXZ75" s="134"/>
      <c r="MYA75" s="134"/>
      <c r="MYB75" s="134"/>
      <c r="MYC75" s="134"/>
      <c r="MYD75" s="134"/>
      <c r="MYE75" s="134"/>
      <c r="MYF75" s="134"/>
      <c r="MYG75" s="134"/>
      <c r="MYH75" s="134"/>
      <c r="MYI75" s="134"/>
      <c r="MYJ75" s="134"/>
      <c r="MYK75" s="134"/>
      <c r="MYL75" s="134"/>
      <c r="MYM75" s="134"/>
      <c r="MYN75" s="134"/>
      <c r="MYO75" s="134"/>
      <c r="MYP75" s="134"/>
      <c r="MYQ75" s="134"/>
      <c r="MYR75" s="134"/>
      <c r="MYS75" s="134"/>
      <c r="MYT75" s="134"/>
      <c r="MYU75" s="134"/>
      <c r="MYV75" s="134"/>
      <c r="MYW75" s="134"/>
      <c r="MYX75" s="134"/>
      <c r="MYY75" s="134"/>
      <c r="MYZ75" s="134"/>
      <c r="MZA75" s="134"/>
      <c r="MZB75" s="134"/>
      <c r="MZC75" s="134"/>
      <c r="MZD75" s="134"/>
      <c r="MZE75" s="134"/>
      <c r="MZF75" s="134"/>
      <c r="MZG75" s="134"/>
      <c r="MZH75" s="134"/>
      <c r="MZI75" s="134"/>
      <c r="MZJ75" s="134"/>
      <c r="MZK75" s="134"/>
      <c r="MZL75" s="134"/>
      <c r="MZM75" s="134"/>
      <c r="MZN75" s="134"/>
      <c r="MZO75" s="134"/>
      <c r="MZP75" s="134"/>
      <c r="MZQ75" s="134"/>
      <c r="MZR75" s="134"/>
      <c r="MZS75" s="134"/>
      <c r="MZT75" s="134"/>
      <c r="MZU75" s="134"/>
      <c r="MZV75" s="134"/>
      <c r="MZW75" s="134"/>
      <c r="MZX75" s="134"/>
      <c r="MZY75" s="134"/>
      <c r="MZZ75" s="134"/>
      <c r="NAA75" s="134"/>
      <c r="NAB75" s="134"/>
      <c r="NAC75" s="134"/>
      <c r="NAD75" s="134"/>
      <c r="NAE75" s="134"/>
      <c r="NAF75" s="134"/>
      <c r="NAG75" s="134"/>
      <c r="NAH75" s="134"/>
      <c r="NAI75" s="134"/>
      <c r="NAJ75" s="134"/>
      <c r="NAK75" s="134"/>
      <c r="NAL75" s="134"/>
      <c r="NAM75" s="134"/>
      <c r="NAN75" s="134"/>
      <c r="NAO75" s="134"/>
      <c r="NAP75" s="134"/>
      <c r="NAQ75" s="134"/>
      <c r="NAR75" s="134"/>
      <c r="NAS75" s="134"/>
      <c r="NAT75" s="134"/>
      <c r="NAU75" s="134"/>
      <c r="NAV75" s="134"/>
      <c r="NAW75" s="134"/>
      <c r="NAX75" s="134"/>
      <c r="NAY75" s="134"/>
      <c r="NAZ75" s="134"/>
      <c r="NBA75" s="134"/>
      <c r="NBB75" s="134"/>
      <c r="NBC75" s="134"/>
      <c r="NBD75" s="134"/>
      <c r="NBE75" s="134"/>
      <c r="NBF75" s="134"/>
      <c r="NBG75" s="134"/>
      <c r="NBH75" s="134"/>
      <c r="NBI75" s="134"/>
      <c r="NBJ75" s="134"/>
      <c r="NBK75" s="134"/>
      <c r="NBL75" s="134"/>
      <c r="NBM75" s="134"/>
      <c r="NBN75" s="134"/>
      <c r="NBO75" s="134"/>
      <c r="NBP75" s="134"/>
      <c r="NBQ75" s="134"/>
      <c r="NBR75" s="134"/>
      <c r="NBS75" s="134"/>
      <c r="NBT75" s="134"/>
      <c r="NBU75" s="134"/>
      <c r="NBV75" s="134"/>
      <c r="NBW75" s="134"/>
      <c r="NBX75" s="134"/>
      <c r="NBY75" s="134"/>
      <c r="NBZ75" s="134"/>
      <c r="NCA75" s="134"/>
      <c r="NCB75" s="134"/>
      <c r="NCC75" s="134"/>
      <c r="NCD75" s="134"/>
      <c r="NCE75" s="134"/>
      <c r="NCF75" s="134"/>
      <c r="NCG75" s="134"/>
      <c r="NCH75" s="134"/>
      <c r="NCI75" s="134"/>
      <c r="NCJ75" s="134"/>
      <c r="NCK75" s="134"/>
      <c r="NCL75" s="134"/>
      <c r="NCM75" s="134"/>
      <c r="NCN75" s="134"/>
      <c r="NCO75" s="134"/>
      <c r="NCP75" s="134"/>
      <c r="NCQ75" s="134"/>
      <c r="NCR75" s="134"/>
      <c r="NCS75" s="134"/>
      <c r="NCT75" s="134"/>
      <c r="NCU75" s="134"/>
      <c r="NCV75" s="134"/>
      <c r="NCW75" s="134"/>
      <c r="NCX75" s="134"/>
      <c r="NCY75" s="134"/>
      <c r="NCZ75" s="134"/>
      <c r="NDA75" s="134"/>
      <c r="NDB75" s="134"/>
      <c r="NDC75" s="134"/>
      <c r="NDD75" s="134"/>
      <c r="NDE75" s="134"/>
      <c r="NDF75" s="134"/>
      <c r="NDG75" s="134"/>
      <c r="NDH75" s="134"/>
      <c r="NDI75" s="134"/>
      <c r="NDJ75" s="134"/>
      <c r="NDK75" s="134"/>
      <c r="NDL75" s="134"/>
      <c r="NDM75" s="134"/>
      <c r="NDN75" s="134"/>
      <c r="NDO75" s="134"/>
      <c r="NDP75" s="134"/>
      <c r="NDQ75" s="134"/>
      <c r="NDR75" s="134"/>
      <c r="NDS75" s="134"/>
      <c r="NDT75" s="134"/>
      <c r="NDU75" s="134"/>
      <c r="NDV75" s="134"/>
      <c r="NDW75" s="134"/>
      <c r="NDX75" s="134"/>
      <c r="NDY75" s="134"/>
      <c r="NDZ75" s="134"/>
      <c r="NEA75" s="134"/>
      <c r="NEB75" s="134"/>
      <c r="NEC75" s="134"/>
      <c r="NED75" s="134"/>
      <c r="NEE75" s="134"/>
      <c r="NEF75" s="134"/>
      <c r="NEG75" s="134"/>
      <c r="NEH75" s="134"/>
      <c r="NEI75" s="134"/>
      <c r="NEJ75" s="134"/>
      <c r="NEK75" s="134"/>
      <c r="NEL75" s="134"/>
      <c r="NEM75" s="134"/>
      <c r="NEN75" s="134"/>
      <c r="NEO75" s="134"/>
      <c r="NEP75" s="134"/>
      <c r="NEQ75" s="134"/>
      <c r="NER75" s="134"/>
      <c r="NES75" s="134"/>
      <c r="NET75" s="134"/>
      <c r="NEU75" s="134"/>
      <c r="NEV75" s="134"/>
      <c r="NEW75" s="134"/>
      <c r="NEX75" s="134"/>
      <c r="NEY75" s="134"/>
      <c r="NEZ75" s="134"/>
      <c r="NFA75" s="134"/>
      <c r="NFB75" s="134"/>
      <c r="NFC75" s="134"/>
      <c r="NFD75" s="134"/>
      <c r="NFE75" s="134"/>
      <c r="NFF75" s="134"/>
      <c r="NFG75" s="134"/>
      <c r="NFH75" s="134"/>
      <c r="NFI75" s="134"/>
      <c r="NFJ75" s="134"/>
      <c r="NFK75" s="134"/>
      <c r="NFL75" s="134"/>
      <c r="NFM75" s="134"/>
      <c r="NFN75" s="134"/>
      <c r="NFO75" s="134"/>
      <c r="NFP75" s="134"/>
      <c r="NFQ75" s="134"/>
      <c r="NFR75" s="134"/>
      <c r="NFS75" s="134"/>
      <c r="NFT75" s="134"/>
      <c r="NFU75" s="134"/>
      <c r="NFV75" s="134"/>
      <c r="NFW75" s="134"/>
      <c r="NFX75" s="134"/>
      <c r="NFY75" s="134"/>
      <c r="NFZ75" s="134"/>
      <c r="NGA75" s="134"/>
      <c r="NGB75" s="134"/>
      <c r="NGC75" s="134"/>
      <c r="NGD75" s="134"/>
      <c r="NGE75" s="134"/>
      <c r="NGF75" s="134"/>
      <c r="NGG75" s="134"/>
      <c r="NGH75" s="134"/>
      <c r="NGI75" s="134"/>
      <c r="NGJ75" s="134"/>
      <c r="NGK75" s="134"/>
      <c r="NGL75" s="134"/>
      <c r="NGM75" s="134"/>
      <c r="NGN75" s="134"/>
      <c r="NGO75" s="134"/>
      <c r="NGP75" s="134"/>
      <c r="NGQ75" s="134"/>
      <c r="NGR75" s="134"/>
      <c r="NGS75" s="134"/>
      <c r="NGT75" s="134"/>
      <c r="NGU75" s="134"/>
      <c r="NGV75" s="134"/>
      <c r="NGW75" s="134"/>
      <c r="NGX75" s="134"/>
      <c r="NGY75" s="134"/>
      <c r="NGZ75" s="134"/>
      <c r="NHA75" s="134"/>
      <c r="NHB75" s="134"/>
      <c r="NHC75" s="134"/>
      <c r="NHD75" s="134"/>
      <c r="NHE75" s="134"/>
      <c r="NHF75" s="134"/>
      <c r="NHG75" s="134"/>
      <c r="NHH75" s="134"/>
      <c r="NHI75" s="134"/>
      <c r="NHJ75" s="134"/>
      <c r="NHK75" s="134"/>
      <c r="NHL75" s="134"/>
      <c r="NHM75" s="134"/>
      <c r="NHN75" s="134"/>
      <c r="NHO75" s="134"/>
      <c r="NHP75" s="134"/>
      <c r="NHQ75" s="134"/>
      <c r="NHR75" s="134"/>
      <c r="NHS75" s="134"/>
      <c r="NHT75" s="134"/>
      <c r="NHU75" s="134"/>
      <c r="NHV75" s="134"/>
      <c r="NHW75" s="134"/>
      <c r="NHX75" s="134"/>
      <c r="NHY75" s="134"/>
      <c r="NHZ75" s="134"/>
      <c r="NIA75" s="134"/>
      <c r="NIB75" s="134"/>
      <c r="NIC75" s="134"/>
      <c r="NID75" s="134"/>
      <c r="NIE75" s="134"/>
      <c r="NIF75" s="134"/>
      <c r="NIG75" s="134"/>
      <c r="NIH75" s="134"/>
      <c r="NII75" s="134"/>
      <c r="NIJ75" s="134"/>
      <c r="NIK75" s="134"/>
      <c r="NIL75" s="134"/>
      <c r="NIM75" s="134"/>
      <c r="NIN75" s="134"/>
      <c r="NIO75" s="134"/>
      <c r="NIP75" s="134"/>
      <c r="NIQ75" s="134"/>
      <c r="NIR75" s="134"/>
      <c r="NIS75" s="134"/>
      <c r="NIT75" s="134"/>
      <c r="NIU75" s="134"/>
      <c r="NIV75" s="134"/>
      <c r="NIW75" s="134"/>
      <c r="NIX75" s="134"/>
      <c r="NIY75" s="134"/>
      <c r="NIZ75" s="134"/>
      <c r="NJA75" s="134"/>
      <c r="NJB75" s="134"/>
      <c r="NJC75" s="134"/>
      <c r="NJD75" s="134"/>
      <c r="NJE75" s="134"/>
      <c r="NJF75" s="134"/>
      <c r="NJG75" s="134"/>
      <c r="NJH75" s="134"/>
      <c r="NJI75" s="134"/>
      <c r="NJJ75" s="134"/>
      <c r="NJK75" s="134"/>
      <c r="NJL75" s="134"/>
      <c r="NJM75" s="134"/>
      <c r="NJN75" s="134"/>
      <c r="NJO75" s="134"/>
      <c r="NJP75" s="134"/>
      <c r="NJQ75" s="134"/>
      <c r="NJR75" s="134"/>
      <c r="NJS75" s="134"/>
      <c r="NJT75" s="134"/>
      <c r="NJU75" s="134"/>
      <c r="NJV75" s="134"/>
      <c r="NJW75" s="134"/>
      <c r="NJX75" s="134"/>
      <c r="NJY75" s="134"/>
      <c r="NJZ75" s="134"/>
      <c r="NKA75" s="134"/>
      <c r="NKB75" s="134"/>
      <c r="NKC75" s="134"/>
      <c r="NKD75" s="134"/>
      <c r="NKE75" s="134"/>
      <c r="NKF75" s="134"/>
      <c r="NKG75" s="134"/>
      <c r="NKH75" s="134"/>
      <c r="NKI75" s="134"/>
      <c r="NKJ75" s="134"/>
      <c r="NKK75" s="134"/>
      <c r="NKL75" s="134"/>
      <c r="NKM75" s="134"/>
      <c r="NKN75" s="134"/>
      <c r="NKO75" s="134"/>
      <c r="NKP75" s="134"/>
      <c r="NKQ75" s="134"/>
      <c r="NKR75" s="134"/>
      <c r="NKS75" s="134"/>
      <c r="NKT75" s="134"/>
      <c r="NKU75" s="134"/>
      <c r="NKV75" s="134"/>
      <c r="NKW75" s="134"/>
      <c r="NKX75" s="134"/>
      <c r="NKY75" s="134"/>
      <c r="NKZ75" s="134"/>
      <c r="NLA75" s="134"/>
      <c r="NLB75" s="134"/>
      <c r="NLC75" s="134"/>
      <c r="NLD75" s="134"/>
      <c r="NLE75" s="134"/>
      <c r="NLF75" s="134"/>
      <c r="NLG75" s="134"/>
      <c r="NLH75" s="134"/>
      <c r="NLI75" s="134"/>
      <c r="NLJ75" s="134"/>
      <c r="NLK75" s="134"/>
      <c r="NLL75" s="134"/>
      <c r="NLM75" s="134"/>
      <c r="NLN75" s="134"/>
      <c r="NLO75" s="134"/>
      <c r="NLP75" s="134"/>
      <c r="NLQ75" s="134"/>
      <c r="NLR75" s="134"/>
      <c r="NLS75" s="134"/>
      <c r="NLT75" s="134"/>
      <c r="NLU75" s="134"/>
      <c r="NLV75" s="134"/>
      <c r="NLW75" s="134"/>
      <c r="NLX75" s="134"/>
      <c r="NLY75" s="134"/>
      <c r="NLZ75" s="134"/>
      <c r="NMA75" s="134"/>
      <c r="NMB75" s="134"/>
      <c r="NMC75" s="134"/>
      <c r="NMD75" s="134"/>
      <c r="NME75" s="134"/>
      <c r="NMF75" s="134"/>
      <c r="NMG75" s="134"/>
      <c r="NMH75" s="134"/>
      <c r="NMI75" s="134"/>
      <c r="NMJ75" s="134"/>
      <c r="NMK75" s="134"/>
      <c r="NML75" s="134"/>
      <c r="NMM75" s="134"/>
      <c r="NMN75" s="134"/>
      <c r="NMO75" s="134"/>
      <c r="NMP75" s="134"/>
      <c r="NMQ75" s="134"/>
      <c r="NMR75" s="134"/>
      <c r="NMS75" s="134"/>
      <c r="NMT75" s="134"/>
      <c r="NMU75" s="134"/>
      <c r="NMV75" s="134"/>
      <c r="NMW75" s="134"/>
      <c r="NMX75" s="134"/>
      <c r="NMY75" s="134"/>
      <c r="NMZ75" s="134"/>
      <c r="NNA75" s="134"/>
      <c r="NNB75" s="134"/>
      <c r="NNC75" s="134"/>
      <c r="NND75" s="134"/>
      <c r="NNE75" s="134"/>
      <c r="NNF75" s="134"/>
      <c r="NNG75" s="134"/>
      <c r="NNH75" s="134"/>
      <c r="NNI75" s="134"/>
      <c r="NNJ75" s="134"/>
      <c r="NNK75" s="134"/>
      <c r="NNL75" s="134"/>
      <c r="NNM75" s="134"/>
      <c r="NNN75" s="134"/>
      <c r="NNO75" s="134"/>
      <c r="NNP75" s="134"/>
      <c r="NNQ75" s="134"/>
      <c r="NNR75" s="134"/>
      <c r="NNS75" s="134"/>
      <c r="NNT75" s="134"/>
      <c r="NNU75" s="134"/>
      <c r="NNV75" s="134"/>
      <c r="NNW75" s="134"/>
      <c r="NNX75" s="134"/>
      <c r="NNY75" s="134"/>
      <c r="NNZ75" s="134"/>
      <c r="NOA75" s="134"/>
      <c r="NOB75" s="134"/>
      <c r="NOC75" s="134"/>
      <c r="NOD75" s="134"/>
      <c r="NOE75" s="134"/>
      <c r="NOF75" s="134"/>
      <c r="NOG75" s="134"/>
      <c r="NOH75" s="134"/>
      <c r="NOI75" s="134"/>
      <c r="NOJ75" s="134"/>
      <c r="NOK75" s="134"/>
      <c r="NOL75" s="134"/>
      <c r="NOM75" s="134"/>
      <c r="NON75" s="134"/>
      <c r="NOO75" s="134"/>
      <c r="NOP75" s="134"/>
      <c r="NOQ75" s="134"/>
      <c r="NOR75" s="134"/>
      <c r="NOS75" s="134"/>
      <c r="NOT75" s="134"/>
      <c r="NOU75" s="134"/>
      <c r="NOV75" s="134"/>
      <c r="NOW75" s="134"/>
      <c r="NOX75" s="134"/>
      <c r="NOY75" s="134"/>
      <c r="NOZ75" s="134"/>
      <c r="NPA75" s="134"/>
      <c r="NPB75" s="134"/>
      <c r="NPC75" s="134"/>
      <c r="NPD75" s="134"/>
      <c r="NPE75" s="134"/>
      <c r="NPF75" s="134"/>
      <c r="NPG75" s="134"/>
      <c r="NPH75" s="134"/>
      <c r="NPI75" s="134"/>
      <c r="NPJ75" s="134"/>
      <c r="NPK75" s="134"/>
      <c r="NPL75" s="134"/>
      <c r="NPM75" s="134"/>
      <c r="NPN75" s="134"/>
      <c r="NPO75" s="134"/>
      <c r="NPP75" s="134"/>
      <c r="NPQ75" s="134"/>
      <c r="NPR75" s="134"/>
      <c r="NPS75" s="134"/>
      <c r="NPT75" s="134"/>
      <c r="NPU75" s="134"/>
      <c r="NPV75" s="134"/>
      <c r="NPW75" s="134"/>
      <c r="NPX75" s="134"/>
      <c r="NPY75" s="134"/>
      <c r="NPZ75" s="134"/>
      <c r="NQA75" s="134"/>
      <c r="NQB75" s="134"/>
      <c r="NQC75" s="134"/>
      <c r="NQD75" s="134"/>
      <c r="NQE75" s="134"/>
      <c r="NQF75" s="134"/>
      <c r="NQG75" s="134"/>
      <c r="NQH75" s="134"/>
      <c r="NQI75" s="134"/>
      <c r="NQJ75" s="134"/>
      <c r="NQK75" s="134"/>
      <c r="NQL75" s="134"/>
      <c r="NQM75" s="134"/>
      <c r="NQN75" s="134"/>
      <c r="NQO75" s="134"/>
      <c r="NQP75" s="134"/>
      <c r="NQQ75" s="134"/>
      <c r="NQR75" s="134"/>
      <c r="NQS75" s="134"/>
      <c r="NQT75" s="134"/>
      <c r="NQU75" s="134"/>
      <c r="NQV75" s="134"/>
      <c r="NQW75" s="134"/>
      <c r="NQX75" s="134"/>
      <c r="NQY75" s="134"/>
      <c r="NQZ75" s="134"/>
      <c r="NRA75" s="134"/>
      <c r="NRB75" s="134"/>
      <c r="NRC75" s="134"/>
      <c r="NRD75" s="134"/>
      <c r="NRE75" s="134"/>
      <c r="NRF75" s="134"/>
      <c r="NRG75" s="134"/>
      <c r="NRH75" s="134"/>
      <c r="NRI75" s="134"/>
      <c r="NRJ75" s="134"/>
      <c r="NRK75" s="134"/>
      <c r="NRL75" s="134"/>
      <c r="NRM75" s="134"/>
      <c r="NRN75" s="134"/>
      <c r="NRO75" s="134"/>
      <c r="NRP75" s="134"/>
      <c r="NRQ75" s="134"/>
      <c r="NRR75" s="134"/>
      <c r="NRS75" s="134"/>
      <c r="NRT75" s="134"/>
      <c r="NRU75" s="134"/>
      <c r="NRV75" s="134"/>
      <c r="NRW75" s="134"/>
      <c r="NRX75" s="134"/>
      <c r="NRY75" s="134"/>
      <c r="NRZ75" s="134"/>
      <c r="NSA75" s="134"/>
      <c r="NSB75" s="134"/>
      <c r="NSC75" s="134"/>
      <c r="NSD75" s="134"/>
      <c r="NSE75" s="134"/>
      <c r="NSF75" s="134"/>
      <c r="NSG75" s="134"/>
      <c r="NSH75" s="134"/>
      <c r="NSI75" s="134"/>
      <c r="NSJ75" s="134"/>
      <c r="NSK75" s="134"/>
      <c r="NSL75" s="134"/>
      <c r="NSM75" s="134"/>
      <c r="NSN75" s="134"/>
      <c r="NSO75" s="134"/>
      <c r="NSP75" s="134"/>
      <c r="NSQ75" s="134"/>
      <c r="NSR75" s="134"/>
      <c r="NSS75" s="134"/>
      <c r="NST75" s="134"/>
      <c r="NSU75" s="134"/>
      <c r="NSV75" s="134"/>
      <c r="NSW75" s="134"/>
      <c r="NSX75" s="134"/>
      <c r="NSY75" s="134"/>
      <c r="NSZ75" s="134"/>
      <c r="NTA75" s="134"/>
      <c r="NTB75" s="134"/>
      <c r="NTC75" s="134"/>
      <c r="NTD75" s="134"/>
      <c r="NTE75" s="134"/>
      <c r="NTF75" s="134"/>
      <c r="NTG75" s="134"/>
      <c r="NTH75" s="134"/>
      <c r="NTI75" s="134"/>
      <c r="NTJ75" s="134"/>
      <c r="NTK75" s="134"/>
      <c r="NTL75" s="134"/>
      <c r="NTM75" s="134"/>
      <c r="NTN75" s="134"/>
      <c r="NTO75" s="134"/>
      <c r="NTP75" s="134"/>
      <c r="NTQ75" s="134"/>
      <c r="NTR75" s="134"/>
      <c r="NTS75" s="134"/>
      <c r="NTT75" s="134"/>
      <c r="NTU75" s="134"/>
      <c r="NTV75" s="134"/>
      <c r="NTW75" s="134"/>
      <c r="NTX75" s="134"/>
      <c r="NTY75" s="134"/>
      <c r="NTZ75" s="134"/>
      <c r="NUA75" s="134"/>
      <c r="NUB75" s="134"/>
      <c r="NUC75" s="134"/>
      <c r="NUD75" s="134"/>
      <c r="NUE75" s="134"/>
      <c r="NUF75" s="134"/>
      <c r="NUG75" s="134"/>
      <c r="NUH75" s="134"/>
      <c r="NUI75" s="134"/>
      <c r="NUJ75" s="134"/>
      <c r="NUK75" s="134"/>
      <c r="NUL75" s="134"/>
      <c r="NUM75" s="134"/>
      <c r="NUN75" s="134"/>
      <c r="NUO75" s="134"/>
      <c r="NUP75" s="134"/>
      <c r="NUQ75" s="134"/>
      <c r="NUR75" s="134"/>
      <c r="NUS75" s="134"/>
      <c r="NUT75" s="134"/>
      <c r="NUU75" s="134"/>
      <c r="NUV75" s="134"/>
      <c r="NUW75" s="134"/>
      <c r="NUX75" s="134"/>
      <c r="NUY75" s="134"/>
      <c r="NUZ75" s="134"/>
      <c r="NVA75" s="134"/>
      <c r="NVB75" s="134"/>
      <c r="NVC75" s="134"/>
      <c r="NVD75" s="134"/>
      <c r="NVE75" s="134"/>
      <c r="NVF75" s="134"/>
      <c r="NVG75" s="134"/>
      <c r="NVH75" s="134"/>
      <c r="NVI75" s="134"/>
      <c r="NVJ75" s="134"/>
      <c r="NVK75" s="134"/>
      <c r="NVL75" s="134"/>
      <c r="NVM75" s="134"/>
      <c r="NVN75" s="134"/>
      <c r="NVO75" s="134"/>
      <c r="NVP75" s="134"/>
      <c r="NVQ75" s="134"/>
      <c r="NVR75" s="134"/>
      <c r="NVS75" s="134"/>
      <c r="NVT75" s="134"/>
      <c r="NVU75" s="134"/>
      <c r="NVV75" s="134"/>
      <c r="NVW75" s="134"/>
      <c r="NVX75" s="134"/>
      <c r="NVY75" s="134"/>
      <c r="NVZ75" s="134"/>
      <c r="NWA75" s="134"/>
      <c r="NWB75" s="134"/>
      <c r="NWC75" s="134"/>
      <c r="NWD75" s="134"/>
      <c r="NWE75" s="134"/>
      <c r="NWF75" s="134"/>
      <c r="NWG75" s="134"/>
      <c r="NWH75" s="134"/>
      <c r="NWI75" s="134"/>
      <c r="NWJ75" s="134"/>
      <c r="NWK75" s="134"/>
      <c r="NWL75" s="134"/>
      <c r="NWM75" s="134"/>
      <c r="NWN75" s="134"/>
      <c r="NWO75" s="134"/>
      <c r="NWP75" s="134"/>
      <c r="NWQ75" s="134"/>
      <c r="NWR75" s="134"/>
      <c r="NWS75" s="134"/>
      <c r="NWT75" s="134"/>
      <c r="NWU75" s="134"/>
      <c r="NWV75" s="134"/>
      <c r="NWW75" s="134"/>
      <c r="NWX75" s="134"/>
      <c r="NWY75" s="134"/>
      <c r="NWZ75" s="134"/>
      <c r="NXA75" s="134"/>
      <c r="NXB75" s="134"/>
      <c r="NXC75" s="134"/>
      <c r="NXD75" s="134"/>
      <c r="NXE75" s="134"/>
      <c r="NXF75" s="134"/>
      <c r="NXG75" s="134"/>
      <c r="NXH75" s="134"/>
      <c r="NXI75" s="134"/>
      <c r="NXJ75" s="134"/>
      <c r="NXK75" s="134"/>
      <c r="NXL75" s="134"/>
      <c r="NXM75" s="134"/>
      <c r="NXN75" s="134"/>
      <c r="NXO75" s="134"/>
      <c r="NXP75" s="134"/>
      <c r="NXQ75" s="134"/>
      <c r="NXR75" s="134"/>
      <c r="NXS75" s="134"/>
      <c r="NXT75" s="134"/>
      <c r="NXU75" s="134"/>
      <c r="NXV75" s="134"/>
      <c r="NXW75" s="134"/>
      <c r="NXX75" s="134"/>
      <c r="NXY75" s="134"/>
      <c r="NXZ75" s="134"/>
      <c r="NYA75" s="134"/>
      <c r="NYB75" s="134"/>
      <c r="NYC75" s="134"/>
      <c r="NYD75" s="134"/>
      <c r="NYE75" s="134"/>
      <c r="NYF75" s="134"/>
      <c r="NYG75" s="134"/>
      <c r="NYH75" s="134"/>
      <c r="NYI75" s="134"/>
      <c r="NYJ75" s="134"/>
      <c r="NYK75" s="134"/>
      <c r="NYL75" s="134"/>
      <c r="NYM75" s="134"/>
      <c r="NYN75" s="134"/>
      <c r="NYO75" s="134"/>
      <c r="NYP75" s="134"/>
      <c r="NYQ75" s="134"/>
      <c r="NYR75" s="134"/>
      <c r="NYS75" s="134"/>
      <c r="NYT75" s="134"/>
      <c r="NYU75" s="134"/>
      <c r="NYV75" s="134"/>
      <c r="NYW75" s="134"/>
      <c r="NYX75" s="134"/>
      <c r="NYY75" s="134"/>
      <c r="NYZ75" s="134"/>
      <c r="NZA75" s="134"/>
      <c r="NZB75" s="134"/>
      <c r="NZC75" s="134"/>
      <c r="NZD75" s="134"/>
      <c r="NZE75" s="134"/>
      <c r="NZF75" s="134"/>
      <c r="NZG75" s="134"/>
      <c r="NZH75" s="134"/>
      <c r="NZI75" s="134"/>
      <c r="NZJ75" s="134"/>
      <c r="NZK75" s="134"/>
      <c r="NZL75" s="134"/>
      <c r="NZM75" s="134"/>
      <c r="NZN75" s="134"/>
      <c r="NZO75" s="134"/>
      <c r="NZP75" s="134"/>
      <c r="NZQ75" s="134"/>
      <c r="NZR75" s="134"/>
      <c r="NZS75" s="134"/>
      <c r="NZT75" s="134"/>
      <c r="NZU75" s="134"/>
      <c r="NZV75" s="134"/>
      <c r="NZW75" s="134"/>
      <c r="NZX75" s="134"/>
      <c r="NZY75" s="134"/>
      <c r="NZZ75" s="134"/>
      <c r="OAA75" s="134"/>
      <c r="OAB75" s="134"/>
      <c r="OAC75" s="134"/>
      <c r="OAD75" s="134"/>
      <c r="OAE75" s="134"/>
      <c r="OAF75" s="134"/>
      <c r="OAG75" s="134"/>
      <c r="OAH75" s="134"/>
      <c r="OAI75" s="134"/>
      <c r="OAJ75" s="134"/>
      <c r="OAK75" s="134"/>
      <c r="OAL75" s="134"/>
      <c r="OAM75" s="134"/>
      <c r="OAN75" s="134"/>
      <c r="OAO75" s="134"/>
      <c r="OAP75" s="134"/>
      <c r="OAQ75" s="134"/>
      <c r="OAR75" s="134"/>
      <c r="OAS75" s="134"/>
      <c r="OAT75" s="134"/>
      <c r="OAU75" s="134"/>
      <c r="OAV75" s="134"/>
      <c r="OAW75" s="134"/>
      <c r="OAX75" s="134"/>
      <c r="OAY75" s="134"/>
      <c r="OAZ75" s="134"/>
      <c r="OBA75" s="134"/>
      <c r="OBB75" s="134"/>
      <c r="OBC75" s="134"/>
      <c r="OBD75" s="134"/>
      <c r="OBE75" s="134"/>
      <c r="OBF75" s="134"/>
      <c r="OBG75" s="134"/>
      <c r="OBH75" s="134"/>
      <c r="OBI75" s="134"/>
      <c r="OBJ75" s="134"/>
      <c r="OBK75" s="134"/>
      <c r="OBL75" s="134"/>
      <c r="OBM75" s="134"/>
      <c r="OBN75" s="134"/>
      <c r="OBO75" s="134"/>
      <c r="OBP75" s="134"/>
      <c r="OBQ75" s="134"/>
      <c r="OBR75" s="134"/>
      <c r="OBS75" s="134"/>
      <c r="OBT75" s="134"/>
      <c r="OBU75" s="134"/>
      <c r="OBV75" s="134"/>
      <c r="OBW75" s="134"/>
      <c r="OBX75" s="134"/>
      <c r="OBY75" s="134"/>
      <c r="OBZ75" s="134"/>
      <c r="OCA75" s="134"/>
      <c r="OCB75" s="134"/>
      <c r="OCC75" s="134"/>
      <c r="OCD75" s="134"/>
      <c r="OCE75" s="134"/>
      <c r="OCF75" s="134"/>
      <c r="OCG75" s="134"/>
      <c r="OCH75" s="134"/>
      <c r="OCI75" s="134"/>
      <c r="OCJ75" s="134"/>
      <c r="OCK75" s="134"/>
      <c r="OCL75" s="134"/>
      <c r="OCM75" s="134"/>
      <c r="OCN75" s="134"/>
      <c r="OCO75" s="134"/>
      <c r="OCP75" s="134"/>
      <c r="OCQ75" s="134"/>
      <c r="OCR75" s="134"/>
      <c r="OCS75" s="134"/>
      <c r="OCT75" s="134"/>
      <c r="OCU75" s="134"/>
      <c r="OCV75" s="134"/>
      <c r="OCW75" s="134"/>
      <c r="OCX75" s="134"/>
      <c r="OCY75" s="134"/>
      <c r="OCZ75" s="134"/>
      <c r="ODA75" s="134"/>
      <c r="ODB75" s="134"/>
      <c r="ODC75" s="134"/>
      <c r="ODD75" s="134"/>
      <c r="ODE75" s="134"/>
      <c r="ODF75" s="134"/>
      <c r="ODG75" s="134"/>
      <c r="ODH75" s="134"/>
      <c r="ODI75" s="134"/>
      <c r="ODJ75" s="134"/>
      <c r="ODK75" s="134"/>
      <c r="ODL75" s="134"/>
      <c r="ODM75" s="134"/>
      <c r="ODN75" s="134"/>
      <c r="ODO75" s="134"/>
      <c r="ODP75" s="134"/>
      <c r="ODQ75" s="134"/>
      <c r="ODR75" s="134"/>
      <c r="ODS75" s="134"/>
      <c r="ODT75" s="134"/>
      <c r="ODU75" s="134"/>
      <c r="ODV75" s="134"/>
      <c r="ODW75" s="134"/>
      <c r="ODX75" s="134"/>
      <c r="ODY75" s="134"/>
      <c r="ODZ75" s="134"/>
      <c r="OEA75" s="134"/>
      <c r="OEB75" s="134"/>
      <c r="OEC75" s="134"/>
      <c r="OED75" s="134"/>
      <c r="OEE75" s="134"/>
      <c r="OEF75" s="134"/>
      <c r="OEG75" s="134"/>
      <c r="OEH75" s="134"/>
      <c r="OEI75" s="134"/>
      <c r="OEJ75" s="134"/>
      <c r="OEK75" s="134"/>
      <c r="OEL75" s="134"/>
      <c r="OEM75" s="134"/>
      <c r="OEN75" s="134"/>
      <c r="OEO75" s="134"/>
      <c r="OEP75" s="134"/>
      <c r="OEQ75" s="134"/>
      <c r="OER75" s="134"/>
      <c r="OES75" s="134"/>
      <c r="OET75" s="134"/>
      <c r="OEU75" s="134"/>
      <c r="OEV75" s="134"/>
      <c r="OEW75" s="134"/>
      <c r="OEX75" s="134"/>
      <c r="OEY75" s="134"/>
      <c r="OEZ75" s="134"/>
      <c r="OFA75" s="134"/>
      <c r="OFB75" s="134"/>
      <c r="OFC75" s="134"/>
      <c r="OFD75" s="134"/>
      <c r="OFE75" s="134"/>
      <c r="OFF75" s="134"/>
      <c r="OFG75" s="134"/>
      <c r="OFH75" s="134"/>
      <c r="OFI75" s="134"/>
      <c r="OFJ75" s="134"/>
      <c r="OFK75" s="134"/>
      <c r="OFL75" s="134"/>
      <c r="OFM75" s="134"/>
      <c r="OFN75" s="134"/>
      <c r="OFO75" s="134"/>
      <c r="OFP75" s="134"/>
      <c r="OFQ75" s="134"/>
      <c r="OFR75" s="134"/>
      <c r="OFS75" s="134"/>
      <c r="OFT75" s="134"/>
      <c r="OFU75" s="134"/>
      <c r="OFV75" s="134"/>
      <c r="OFW75" s="134"/>
      <c r="OFX75" s="134"/>
      <c r="OFY75" s="134"/>
      <c r="OFZ75" s="134"/>
      <c r="OGA75" s="134"/>
      <c r="OGB75" s="134"/>
      <c r="OGC75" s="134"/>
      <c r="OGD75" s="134"/>
      <c r="OGE75" s="134"/>
      <c r="OGF75" s="134"/>
      <c r="OGG75" s="134"/>
      <c r="OGH75" s="134"/>
      <c r="OGI75" s="134"/>
      <c r="OGJ75" s="134"/>
      <c r="OGK75" s="134"/>
      <c r="OGL75" s="134"/>
      <c r="OGM75" s="134"/>
      <c r="OGN75" s="134"/>
      <c r="OGO75" s="134"/>
      <c r="OGP75" s="134"/>
      <c r="OGQ75" s="134"/>
      <c r="OGR75" s="134"/>
      <c r="OGS75" s="134"/>
      <c r="OGT75" s="134"/>
      <c r="OGU75" s="134"/>
      <c r="OGV75" s="134"/>
      <c r="OGW75" s="134"/>
      <c r="OGX75" s="134"/>
      <c r="OGY75" s="134"/>
      <c r="OGZ75" s="134"/>
      <c r="OHA75" s="134"/>
      <c r="OHB75" s="134"/>
      <c r="OHC75" s="134"/>
      <c r="OHD75" s="134"/>
      <c r="OHE75" s="134"/>
      <c r="OHF75" s="134"/>
      <c r="OHG75" s="134"/>
      <c r="OHH75" s="134"/>
      <c r="OHI75" s="134"/>
      <c r="OHJ75" s="134"/>
      <c r="OHK75" s="134"/>
      <c r="OHL75" s="134"/>
      <c r="OHM75" s="134"/>
      <c r="OHN75" s="134"/>
      <c r="OHO75" s="134"/>
      <c r="OHP75" s="134"/>
      <c r="OHQ75" s="134"/>
      <c r="OHR75" s="134"/>
      <c r="OHS75" s="134"/>
      <c r="OHT75" s="134"/>
      <c r="OHU75" s="134"/>
      <c r="OHV75" s="134"/>
      <c r="OHW75" s="134"/>
      <c r="OHX75" s="134"/>
      <c r="OHY75" s="134"/>
      <c r="OHZ75" s="134"/>
      <c r="OIA75" s="134"/>
      <c r="OIB75" s="134"/>
      <c r="OIC75" s="134"/>
      <c r="OID75" s="134"/>
      <c r="OIE75" s="134"/>
      <c r="OIF75" s="134"/>
      <c r="OIG75" s="134"/>
      <c r="OIH75" s="134"/>
      <c r="OII75" s="134"/>
      <c r="OIJ75" s="134"/>
      <c r="OIK75" s="134"/>
      <c r="OIL75" s="134"/>
      <c r="OIM75" s="134"/>
      <c r="OIN75" s="134"/>
      <c r="OIO75" s="134"/>
      <c r="OIP75" s="134"/>
      <c r="OIQ75" s="134"/>
      <c r="OIR75" s="134"/>
      <c r="OIS75" s="134"/>
      <c r="OIT75" s="134"/>
      <c r="OIU75" s="134"/>
      <c r="OIV75" s="134"/>
      <c r="OIW75" s="134"/>
      <c r="OIX75" s="134"/>
      <c r="OIY75" s="134"/>
      <c r="OIZ75" s="134"/>
      <c r="OJA75" s="134"/>
      <c r="OJB75" s="134"/>
      <c r="OJC75" s="134"/>
      <c r="OJD75" s="134"/>
      <c r="OJE75" s="134"/>
      <c r="OJF75" s="134"/>
      <c r="OJG75" s="134"/>
      <c r="OJH75" s="134"/>
      <c r="OJI75" s="134"/>
      <c r="OJJ75" s="134"/>
      <c r="OJK75" s="134"/>
      <c r="OJL75" s="134"/>
      <c r="OJM75" s="134"/>
      <c r="OJN75" s="134"/>
      <c r="OJO75" s="134"/>
      <c r="OJP75" s="134"/>
      <c r="OJQ75" s="134"/>
      <c r="OJR75" s="134"/>
      <c r="OJS75" s="134"/>
      <c r="OJT75" s="134"/>
      <c r="OJU75" s="134"/>
      <c r="OJV75" s="134"/>
      <c r="OJW75" s="134"/>
      <c r="OJX75" s="134"/>
      <c r="OJY75" s="134"/>
      <c r="OJZ75" s="134"/>
      <c r="OKA75" s="134"/>
      <c r="OKB75" s="134"/>
      <c r="OKC75" s="134"/>
      <c r="OKD75" s="134"/>
      <c r="OKE75" s="134"/>
      <c r="OKF75" s="134"/>
      <c r="OKG75" s="134"/>
      <c r="OKH75" s="134"/>
      <c r="OKI75" s="134"/>
      <c r="OKJ75" s="134"/>
      <c r="OKK75" s="134"/>
      <c r="OKL75" s="134"/>
      <c r="OKM75" s="134"/>
      <c r="OKN75" s="134"/>
      <c r="OKO75" s="134"/>
      <c r="OKP75" s="134"/>
      <c r="OKQ75" s="134"/>
      <c r="OKR75" s="134"/>
      <c r="OKS75" s="134"/>
      <c r="OKT75" s="134"/>
      <c r="OKU75" s="134"/>
      <c r="OKV75" s="134"/>
      <c r="OKW75" s="134"/>
      <c r="OKX75" s="134"/>
      <c r="OKY75" s="134"/>
      <c r="OKZ75" s="134"/>
      <c r="OLA75" s="134"/>
      <c r="OLB75" s="134"/>
      <c r="OLC75" s="134"/>
      <c r="OLD75" s="134"/>
      <c r="OLE75" s="134"/>
      <c r="OLF75" s="134"/>
      <c r="OLG75" s="134"/>
      <c r="OLH75" s="134"/>
      <c r="OLI75" s="134"/>
      <c r="OLJ75" s="134"/>
      <c r="OLK75" s="134"/>
      <c r="OLL75" s="134"/>
      <c r="OLM75" s="134"/>
      <c r="OLN75" s="134"/>
      <c r="OLO75" s="134"/>
      <c r="OLP75" s="134"/>
      <c r="OLQ75" s="134"/>
      <c r="OLR75" s="134"/>
      <c r="OLS75" s="134"/>
      <c r="OLT75" s="134"/>
      <c r="OLU75" s="134"/>
      <c r="OLV75" s="134"/>
      <c r="OLW75" s="134"/>
      <c r="OLX75" s="134"/>
      <c r="OLY75" s="134"/>
      <c r="OLZ75" s="134"/>
      <c r="OMA75" s="134"/>
      <c r="OMB75" s="134"/>
      <c r="OMC75" s="134"/>
      <c r="OMD75" s="134"/>
      <c r="OME75" s="134"/>
      <c r="OMF75" s="134"/>
      <c r="OMG75" s="134"/>
      <c r="OMH75" s="134"/>
      <c r="OMI75" s="134"/>
      <c r="OMJ75" s="134"/>
      <c r="OMK75" s="134"/>
      <c r="OML75" s="134"/>
      <c r="OMM75" s="134"/>
      <c r="OMN75" s="134"/>
      <c r="OMO75" s="134"/>
      <c r="OMP75" s="134"/>
      <c r="OMQ75" s="134"/>
      <c r="OMR75" s="134"/>
      <c r="OMS75" s="134"/>
      <c r="OMT75" s="134"/>
      <c r="OMU75" s="134"/>
      <c r="OMV75" s="134"/>
      <c r="OMW75" s="134"/>
      <c r="OMX75" s="134"/>
      <c r="OMY75" s="134"/>
      <c r="OMZ75" s="134"/>
      <c r="ONA75" s="134"/>
      <c r="ONB75" s="134"/>
      <c r="ONC75" s="134"/>
      <c r="OND75" s="134"/>
      <c r="ONE75" s="134"/>
      <c r="ONF75" s="134"/>
      <c r="ONG75" s="134"/>
      <c r="ONH75" s="134"/>
      <c r="ONI75" s="134"/>
      <c r="ONJ75" s="134"/>
      <c r="ONK75" s="134"/>
      <c r="ONL75" s="134"/>
      <c r="ONM75" s="134"/>
      <c r="ONN75" s="134"/>
      <c r="ONO75" s="134"/>
      <c r="ONP75" s="134"/>
      <c r="ONQ75" s="134"/>
      <c r="ONR75" s="134"/>
      <c r="ONS75" s="134"/>
      <c r="ONT75" s="134"/>
      <c r="ONU75" s="134"/>
      <c r="ONV75" s="134"/>
      <c r="ONW75" s="134"/>
      <c r="ONX75" s="134"/>
      <c r="ONY75" s="134"/>
      <c r="ONZ75" s="134"/>
      <c r="OOA75" s="134"/>
      <c r="OOB75" s="134"/>
      <c r="OOC75" s="134"/>
      <c r="OOD75" s="134"/>
      <c r="OOE75" s="134"/>
      <c r="OOF75" s="134"/>
      <c r="OOG75" s="134"/>
      <c r="OOH75" s="134"/>
      <c r="OOI75" s="134"/>
      <c r="OOJ75" s="134"/>
      <c r="OOK75" s="134"/>
      <c r="OOL75" s="134"/>
      <c r="OOM75" s="134"/>
      <c r="OON75" s="134"/>
      <c r="OOO75" s="134"/>
      <c r="OOP75" s="134"/>
      <c r="OOQ75" s="134"/>
      <c r="OOR75" s="134"/>
      <c r="OOS75" s="134"/>
      <c r="OOT75" s="134"/>
      <c r="OOU75" s="134"/>
      <c r="OOV75" s="134"/>
      <c r="OOW75" s="134"/>
      <c r="OOX75" s="134"/>
      <c r="OOY75" s="134"/>
      <c r="OOZ75" s="134"/>
      <c r="OPA75" s="134"/>
      <c r="OPB75" s="134"/>
      <c r="OPC75" s="134"/>
      <c r="OPD75" s="134"/>
      <c r="OPE75" s="134"/>
      <c r="OPF75" s="134"/>
      <c r="OPG75" s="134"/>
      <c r="OPH75" s="134"/>
      <c r="OPI75" s="134"/>
      <c r="OPJ75" s="134"/>
      <c r="OPK75" s="134"/>
      <c r="OPL75" s="134"/>
      <c r="OPM75" s="134"/>
      <c r="OPN75" s="134"/>
      <c r="OPO75" s="134"/>
      <c r="OPP75" s="134"/>
      <c r="OPQ75" s="134"/>
      <c r="OPR75" s="134"/>
      <c r="OPS75" s="134"/>
      <c r="OPT75" s="134"/>
      <c r="OPU75" s="134"/>
      <c r="OPV75" s="134"/>
      <c r="OPW75" s="134"/>
      <c r="OPX75" s="134"/>
      <c r="OPY75" s="134"/>
      <c r="OPZ75" s="134"/>
      <c r="OQA75" s="134"/>
      <c r="OQB75" s="134"/>
      <c r="OQC75" s="134"/>
      <c r="OQD75" s="134"/>
      <c r="OQE75" s="134"/>
      <c r="OQF75" s="134"/>
      <c r="OQG75" s="134"/>
      <c r="OQH75" s="134"/>
      <c r="OQI75" s="134"/>
      <c r="OQJ75" s="134"/>
      <c r="OQK75" s="134"/>
      <c r="OQL75" s="134"/>
      <c r="OQM75" s="134"/>
      <c r="OQN75" s="134"/>
      <c r="OQO75" s="134"/>
      <c r="OQP75" s="134"/>
      <c r="OQQ75" s="134"/>
      <c r="OQR75" s="134"/>
      <c r="OQS75" s="134"/>
      <c r="OQT75" s="134"/>
      <c r="OQU75" s="134"/>
      <c r="OQV75" s="134"/>
      <c r="OQW75" s="134"/>
      <c r="OQX75" s="134"/>
      <c r="OQY75" s="134"/>
      <c r="OQZ75" s="134"/>
      <c r="ORA75" s="134"/>
      <c r="ORB75" s="134"/>
      <c r="ORC75" s="134"/>
      <c r="ORD75" s="134"/>
      <c r="ORE75" s="134"/>
      <c r="ORF75" s="134"/>
      <c r="ORG75" s="134"/>
      <c r="ORH75" s="134"/>
      <c r="ORI75" s="134"/>
      <c r="ORJ75" s="134"/>
      <c r="ORK75" s="134"/>
      <c r="ORL75" s="134"/>
      <c r="ORM75" s="134"/>
      <c r="ORN75" s="134"/>
      <c r="ORO75" s="134"/>
      <c r="ORP75" s="134"/>
      <c r="ORQ75" s="134"/>
      <c r="ORR75" s="134"/>
      <c r="ORS75" s="134"/>
      <c r="ORT75" s="134"/>
      <c r="ORU75" s="134"/>
      <c r="ORV75" s="134"/>
      <c r="ORW75" s="134"/>
      <c r="ORX75" s="134"/>
      <c r="ORY75" s="134"/>
      <c r="ORZ75" s="134"/>
      <c r="OSA75" s="134"/>
      <c r="OSB75" s="134"/>
      <c r="OSC75" s="134"/>
      <c r="OSD75" s="134"/>
      <c r="OSE75" s="134"/>
      <c r="OSF75" s="134"/>
      <c r="OSG75" s="134"/>
      <c r="OSH75" s="134"/>
      <c r="OSI75" s="134"/>
      <c r="OSJ75" s="134"/>
      <c r="OSK75" s="134"/>
      <c r="OSL75" s="134"/>
      <c r="OSM75" s="134"/>
      <c r="OSN75" s="134"/>
      <c r="OSO75" s="134"/>
      <c r="OSP75" s="134"/>
      <c r="OSQ75" s="134"/>
      <c r="OSR75" s="134"/>
      <c r="OSS75" s="134"/>
      <c r="OST75" s="134"/>
      <c r="OSU75" s="134"/>
      <c r="OSV75" s="134"/>
      <c r="OSW75" s="134"/>
      <c r="OSX75" s="134"/>
      <c r="OSY75" s="134"/>
      <c r="OSZ75" s="134"/>
      <c r="OTA75" s="134"/>
      <c r="OTB75" s="134"/>
      <c r="OTC75" s="134"/>
      <c r="OTD75" s="134"/>
      <c r="OTE75" s="134"/>
      <c r="OTF75" s="134"/>
      <c r="OTG75" s="134"/>
      <c r="OTH75" s="134"/>
      <c r="OTI75" s="134"/>
      <c r="OTJ75" s="134"/>
      <c r="OTK75" s="134"/>
      <c r="OTL75" s="134"/>
      <c r="OTM75" s="134"/>
      <c r="OTN75" s="134"/>
      <c r="OTO75" s="134"/>
      <c r="OTP75" s="134"/>
      <c r="OTQ75" s="134"/>
      <c r="OTR75" s="134"/>
      <c r="OTS75" s="134"/>
      <c r="OTT75" s="134"/>
      <c r="OTU75" s="134"/>
      <c r="OTV75" s="134"/>
      <c r="OTW75" s="134"/>
      <c r="OTX75" s="134"/>
      <c r="OTY75" s="134"/>
      <c r="OTZ75" s="134"/>
      <c r="OUA75" s="134"/>
      <c r="OUB75" s="134"/>
      <c r="OUC75" s="134"/>
      <c r="OUD75" s="134"/>
      <c r="OUE75" s="134"/>
      <c r="OUF75" s="134"/>
      <c r="OUG75" s="134"/>
      <c r="OUH75" s="134"/>
      <c r="OUI75" s="134"/>
      <c r="OUJ75" s="134"/>
      <c r="OUK75" s="134"/>
      <c r="OUL75" s="134"/>
      <c r="OUM75" s="134"/>
      <c r="OUN75" s="134"/>
      <c r="OUO75" s="134"/>
      <c r="OUP75" s="134"/>
      <c r="OUQ75" s="134"/>
      <c r="OUR75" s="134"/>
      <c r="OUS75" s="134"/>
      <c r="OUT75" s="134"/>
      <c r="OUU75" s="134"/>
      <c r="OUV75" s="134"/>
      <c r="OUW75" s="134"/>
      <c r="OUX75" s="134"/>
      <c r="OUY75" s="134"/>
      <c r="OUZ75" s="134"/>
      <c r="OVA75" s="134"/>
      <c r="OVB75" s="134"/>
      <c r="OVC75" s="134"/>
      <c r="OVD75" s="134"/>
      <c r="OVE75" s="134"/>
      <c r="OVF75" s="134"/>
      <c r="OVG75" s="134"/>
      <c r="OVH75" s="134"/>
      <c r="OVI75" s="134"/>
      <c r="OVJ75" s="134"/>
      <c r="OVK75" s="134"/>
      <c r="OVL75" s="134"/>
      <c r="OVM75" s="134"/>
      <c r="OVN75" s="134"/>
      <c r="OVO75" s="134"/>
      <c r="OVP75" s="134"/>
      <c r="OVQ75" s="134"/>
      <c r="OVR75" s="134"/>
      <c r="OVS75" s="134"/>
      <c r="OVT75" s="134"/>
      <c r="OVU75" s="134"/>
      <c r="OVV75" s="134"/>
      <c r="OVW75" s="134"/>
      <c r="OVX75" s="134"/>
      <c r="OVY75" s="134"/>
      <c r="OVZ75" s="134"/>
      <c r="OWA75" s="134"/>
      <c r="OWB75" s="134"/>
      <c r="OWC75" s="134"/>
      <c r="OWD75" s="134"/>
      <c r="OWE75" s="134"/>
      <c r="OWF75" s="134"/>
      <c r="OWG75" s="134"/>
      <c r="OWH75" s="134"/>
      <c r="OWI75" s="134"/>
      <c r="OWJ75" s="134"/>
      <c r="OWK75" s="134"/>
      <c r="OWL75" s="134"/>
      <c r="OWM75" s="134"/>
      <c r="OWN75" s="134"/>
      <c r="OWO75" s="134"/>
      <c r="OWP75" s="134"/>
      <c r="OWQ75" s="134"/>
      <c r="OWR75" s="134"/>
      <c r="OWS75" s="134"/>
      <c r="OWT75" s="134"/>
      <c r="OWU75" s="134"/>
      <c r="OWV75" s="134"/>
      <c r="OWW75" s="134"/>
      <c r="OWX75" s="134"/>
      <c r="OWY75" s="134"/>
      <c r="OWZ75" s="134"/>
      <c r="OXA75" s="134"/>
      <c r="OXB75" s="134"/>
      <c r="OXC75" s="134"/>
      <c r="OXD75" s="134"/>
      <c r="OXE75" s="134"/>
      <c r="OXF75" s="134"/>
      <c r="OXG75" s="134"/>
      <c r="OXH75" s="134"/>
      <c r="OXI75" s="134"/>
      <c r="OXJ75" s="134"/>
      <c r="OXK75" s="134"/>
      <c r="OXL75" s="134"/>
      <c r="OXM75" s="134"/>
      <c r="OXN75" s="134"/>
      <c r="OXO75" s="134"/>
      <c r="OXP75" s="134"/>
      <c r="OXQ75" s="134"/>
      <c r="OXR75" s="134"/>
      <c r="OXS75" s="134"/>
      <c r="OXT75" s="134"/>
      <c r="OXU75" s="134"/>
      <c r="OXV75" s="134"/>
      <c r="OXW75" s="134"/>
      <c r="OXX75" s="134"/>
      <c r="OXY75" s="134"/>
      <c r="OXZ75" s="134"/>
      <c r="OYA75" s="134"/>
      <c r="OYB75" s="134"/>
      <c r="OYC75" s="134"/>
      <c r="OYD75" s="134"/>
      <c r="OYE75" s="134"/>
      <c r="OYF75" s="134"/>
      <c r="OYG75" s="134"/>
      <c r="OYH75" s="134"/>
      <c r="OYI75" s="134"/>
      <c r="OYJ75" s="134"/>
      <c r="OYK75" s="134"/>
      <c r="OYL75" s="134"/>
      <c r="OYM75" s="134"/>
      <c r="OYN75" s="134"/>
      <c r="OYO75" s="134"/>
      <c r="OYP75" s="134"/>
      <c r="OYQ75" s="134"/>
      <c r="OYR75" s="134"/>
      <c r="OYS75" s="134"/>
      <c r="OYT75" s="134"/>
      <c r="OYU75" s="134"/>
      <c r="OYV75" s="134"/>
      <c r="OYW75" s="134"/>
      <c r="OYX75" s="134"/>
      <c r="OYY75" s="134"/>
      <c r="OYZ75" s="134"/>
      <c r="OZA75" s="134"/>
      <c r="OZB75" s="134"/>
      <c r="OZC75" s="134"/>
      <c r="OZD75" s="134"/>
      <c r="OZE75" s="134"/>
      <c r="OZF75" s="134"/>
      <c r="OZG75" s="134"/>
      <c r="OZH75" s="134"/>
      <c r="OZI75" s="134"/>
      <c r="OZJ75" s="134"/>
      <c r="OZK75" s="134"/>
      <c r="OZL75" s="134"/>
      <c r="OZM75" s="134"/>
      <c r="OZN75" s="134"/>
      <c r="OZO75" s="134"/>
      <c r="OZP75" s="134"/>
      <c r="OZQ75" s="134"/>
      <c r="OZR75" s="134"/>
      <c r="OZS75" s="134"/>
      <c r="OZT75" s="134"/>
      <c r="OZU75" s="134"/>
      <c r="OZV75" s="134"/>
      <c r="OZW75" s="134"/>
      <c r="OZX75" s="134"/>
      <c r="OZY75" s="134"/>
      <c r="OZZ75" s="134"/>
      <c r="PAA75" s="134"/>
      <c r="PAB75" s="134"/>
      <c r="PAC75" s="134"/>
      <c r="PAD75" s="134"/>
      <c r="PAE75" s="134"/>
      <c r="PAF75" s="134"/>
      <c r="PAG75" s="134"/>
      <c r="PAH75" s="134"/>
      <c r="PAI75" s="134"/>
      <c r="PAJ75" s="134"/>
      <c r="PAK75" s="134"/>
      <c r="PAL75" s="134"/>
      <c r="PAM75" s="134"/>
      <c r="PAN75" s="134"/>
      <c r="PAO75" s="134"/>
      <c r="PAP75" s="134"/>
      <c r="PAQ75" s="134"/>
      <c r="PAR75" s="134"/>
      <c r="PAS75" s="134"/>
      <c r="PAT75" s="134"/>
      <c r="PAU75" s="134"/>
      <c r="PAV75" s="134"/>
      <c r="PAW75" s="134"/>
      <c r="PAX75" s="134"/>
      <c r="PAY75" s="134"/>
      <c r="PAZ75" s="134"/>
      <c r="PBA75" s="134"/>
      <c r="PBB75" s="134"/>
      <c r="PBC75" s="134"/>
      <c r="PBD75" s="134"/>
      <c r="PBE75" s="134"/>
      <c r="PBF75" s="134"/>
      <c r="PBG75" s="134"/>
      <c r="PBH75" s="134"/>
      <c r="PBI75" s="134"/>
      <c r="PBJ75" s="134"/>
      <c r="PBK75" s="134"/>
      <c r="PBL75" s="134"/>
      <c r="PBM75" s="134"/>
      <c r="PBN75" s="134"/>
      <c r="PBO75" s="134"/>
      <c r="PBP75" s="134"/>
      <c r="PBQ75" s="134"/>
      <c r="PBR75" s="134"/>
      <c r="PBS75" s="134"/>
      <c r="PBT75" s="134"/>
      <c r="PBU75" s="134"/>
      <c r="PBV75" s="134"/>
      <c r="PBW75" s="134"/>
      <c r="PBX75" s="134"/>
      <c r="PBY75" s="134"/>
      <c r="PBZ75" s="134"/>
      <c r="PCA75" s="134"/>
      <c r="PCB75" s="134"/>
      <c r="PCC75" s="134"/>
      <c r="PCD75" s="134"/>
      <c r="PCE75" s="134"/>
      <c r="PCF75" s="134"/>
      <c r="PCG75" s="134"/>
      <c r="PCH75" s="134"/>
      <c r="PCI75" s="134"/>
      <c r="PCJ75" s="134"/>
      <c r="PCK75" s="134"/>
      <c r="PCL75" s="134"/>
      <c r="PCM75" s="134"/>
      <c r="PCN75" s="134"/>
      <c r="PCO75" s="134"/>
      <c r="PCP75" s="134"/>
      <c r="PCQ75" s="134"/>
      <c r="PCR75" s="134"/>
      <c r="PCS75" s="134"/>
      <c r="PCT75" s="134"/>
      <c r="PCU75" s="134"/>
      <c r="PCV75" s="134"/>
      <c r="PCW75" s="134"/>
      <c r="PCX75" s="134"/>
      <c r="PCY75" s="134"/>
      <c r="PCZ75" s="134"/>
      <c r="PDA75" s="134"/>
      <c r="PDB75" s="134"/>
      <c r="PDC75" s="134"/>
      <c r="PDD75" s="134"/>
      <c r="PDE75" s="134"/>
      <c r="PDF75" s="134"/>
      <c r="PDG75" s="134"/>
      <c r="PDH75" s="134"/>
      <c r="PDI75" s="134"/>
      <c r="PDJ75" s="134"/>
      <c r="PDK75" s="134"/>
      <c r="PDL75" s="134"/>
      <c r="PDM75" s="134"/>
      <c r="PDN75" s="134"/>
      <c r="PDO75" s="134"/>
      <c r="PDP75" s="134"/>
      <c r="PDQ75" s="134"/>
      <c r="PDR75" s="134"/>
      <c r="PDS75" s="134"/>
      <c r="PDT75" s="134"/>
      <c r="PDU75" s="134"/>
      <c r="PDV75" s="134"/>
      <c r="PDW75" s="134"/>
      <c r="PDX75" s="134"/>
      <c r="PDY75" s="134"/>
      <c r="PDZ75" s="134"/>
      <c r="PEA75" s="134"/>
      <c r="PEB75" s="134"/>
      <c r="PEC75" s="134"/>
      <c r="PED75" s="134"/>
      <c r="PEE75" s="134"/>
      <c r="PEF75" s="134"/>
      <c r="PEG75" s="134"/>
      <c r="PEH75" s="134"/>
      <c r="PEI75" s="134"/>
      <c r="PEJ75" s="134"/>
      <c r="PEK75" s="134"/>
      <c r="PEL75" s="134"/>
      <c r="PEM75" s="134"/>
      <c r="PEN75" s="134"/>
      <c r="PEO75" s="134"/>
      <c r="PEP75" s="134"/>
      <c r="PEQ75" s="134"/>
      <c r="PER75" s="134"/>
      <c r="PES75" s="134"/>
      <c r="PET75" s="134"/>
      <c r="PEU75" s="134"/>
      <c r="PEV75" s="134"/>
      <c r="PEW75" s="134"/>
      <c r="PEX75" s="134"/>
      <c r="PEY75" s="134"/>
      <c r="PEZ75" s="134"/>
      <c r="PFA75" s="134"/>
      <c r="PFB75" s="134"/>
      <c r="PFC75" s="134"/>
      <c r="PFD75" s="134"/>
      <c r="PFE75" s="134"/>
      <c r="PFF75" s="134"/>
      <c r="PFG75" s="134"/>
      <c r="PFH75" s="134"/>
      <c r="PFI75" s="134"/>
      <c r="PFJ75" s="134"/>
      <c r="PFK75" s="134"/>
      <c r="PFL75" s="134"/>
      <c r="PFM75" s="134"/>
      <c r="PFN75" s="134"/>
      <c r="PFO75" s="134"/>
      <c r="PFP75" s="134"/>
      <c r="PFQ75" s="134"/>
      <c r="PFR75" s="134"/>
      <c r="PFS75" s="134"/>
      <c r="PFT75" s="134"/>
      <c r="PFU75" s="134"/>
      <c r="PFV75" s="134"/>
      <c r="PFW75" s="134"/>
      <c r="PFX75" s="134"/>
      <c r="PFY75" s="134"/>
      <c r="PFZ75" s="134"/>
      <c r="PGA75" s="134"/>
      <c r="PGB75" s="134"/>
      <c r="PGC75" s="134"/>
      <c r="PGD75" s="134"/>
      <c r="PGE75" s="134"/>
      <c r="PGF75" s="134"/>
      <c r="PGG75" s="134"/>
      <c r="PGH75" s="134"/>
      <c r="PGI75" s="134"/>
      <c r="PGJ75" s="134"/>
      <c r="PGK75" s="134"/>
      <c r="PGL75" s="134"/>
      <c r="PGM75" s="134"/>
      <c r="PGN75" s="134"/>
      <c r="PGO75" s="134"/>
      <c r="PGP75" s="134"/>
      <c r="PGQ75" s="134"/>
      <c r="PGR75" s="134"/>
      <c r="PGS75" s="134"/>
      <c r="PGT75" s="134"/>
      <c r="PGU75" s="134"/>
      <c r="PGV75" s="134"/>
      <c r="PGW75" s="134"/>
      <c r="PGX75" s="134"/>
      <c r="PGY75" s="134"/>
      <c r="PGZ75" s="134"/>
      <c r="PHA75" s="134"/>
      <c r="PHB75" s="134"/>
      <c r="PHC75" s="134"/>
      <c r="PHD75" s="134"/>
      <c r="PHE75" s="134"/>
      <c r="PHF75" s="134"/>
      <c r="PHG75" s="134"/>
      <c r="PHH75" s="134"/>
      <c r="PHI75" s="134"/>
      <c r="PHJ75" s="134"/>
      <c r="PHK75" s="134"/>
      <c r="PHL75" s="134"/>
      <c r="PHM75" s="134"/>
      <c r="PHN75" s="134"/>
      <c r="PHO75" s="134"/>
      <c r="PHP75" s="134"/>
      <c r="PHQ75" s="134"/>
      <c r="PHR75" s="134"/>
      <c r="PHS75" s="134"/>
      <c r="PHT75" s="134"/>
      <c r="PHU75" s="134"/>
      <c r="PHV75" s="134"/>
      <c r="PHW75" s="134"/>
      <c r="PHX75" s="134"/>
      <c r="PHY75" s="134"/>
      <c r="PHZ75" s="134"/>
      <c r="PIA75" s="134"/>
      <c r="PIB75" s="134"/>
      <c r="PIC75" s="134"/>
      <c r="PID75" s="134"/>
      <c r="PIE75" s="134"/>
      <c r="PIF75" s="134"/>
      <c r="PIG75" s="134"/>
      <c r="PIH75" s="134"/>
      <c r="PII75" s="134"/>
      <c r="PIJ75" s="134"/>
      <c r="PIK75" s="134"/>
      <c r="PIL75" s="134"/>
      <c r="PIM75" s="134"/>
      <c r="PIN75" s="134"/>
      <c r="PIO75" s="134"/>
      <c r="PIP75" s="134"/>
      <c r="PIQ75" s="134"/>
      <c r="PIR75" s="134"/>
      <c r="PIS75" s="134"/>
      <c r="PIT75" s="134"/>
      <c r="PIU75" s="134"/>
      <c r="PIV75" s="134"/>
      <c r="PIW75" s="134"/>
      <c r="PIX75" s="134"/>
      <c r="PIY75" s="134"/>
      <c r="PIZ75" s="134"/>
      <c r="PJA75" s="134"/>
      <c r="PJB75" s="134"/>
      <c r="PJC75" s="134"/>
      <c r="PJD75" s="134"/>
      <c r="PJE75" s="134"/>
      <c r="PJF75" s="134"/>
      <c r="PJG75" s="134"/>
      <c r="PJH75" s="134"/>
      <c r="PJI75" s="134"/>
      <c r="PJJ75" s="134"/>
      <c r="PJK75" s="134"/>
      <c r="PJL75" s="134"/>
      <c r="PJM75" s="134"/>
      <c r="PJN75" s="134"/>
      <c r="PJO75" s="134"/>
      <c r="PJP75" s="134"/>
      <c r="PJQ75" s="134"/>
      <c r="PJR75" s="134"/>
      <c r="PJS75" s="134"/>
      <c r="PJT75" s="134"/>
      <c r="PJU75" s="134"/>
      <c r="PJV75" s="134"/>
      <c r="PJW75" s="134"/>
      <c r="PJX75" s="134"/>
      <c r="PJY75" s="134"/>
      <c r="PJZ75" s="134"/>
      <c r="PKA75" s="134"/>
      <c r="PKB75" s="134"/>
      <c r="PKC75" s="134"/>
      <c r="PKD75" s="134"/>
      <c r="PKE75" s="134"/>
      <c r="PKF75" s="134"/>
      <c r="PKG75" s="134"/>
      <c r="PKH75" s="134"/>
      <c r="PKI75" s="134"/>
      <c r="PKJ75" s="134"/>
      <c r="PKK75" s="134"/>
      <c r="PKL75" s="134"/>
      <c r="PKM75" s="134"/>
      <c r="PKN75" s="134"/>
      <c r="PKO75" s="134"/>
      <c r="PKP75" s="134"/>
      <c r="PKQ75" s="134"/>
      <c r="PKR75" s="134"/>
      <c r="PKS75" s="134"/>
      <c r="PKT75" s="134"/>
      <c r="PKU75" s="134"/>
      <c r="PKV75" s="134"/>
      <c r="PKW75" s="134"/>
      <c r="PKX75" s="134"/>
      <c r="PKY75" s="134"/>
      <c r="PKZ75" s="134"/>
      <c r="PLA75" s="134"/>
      <c r="PLB75" s="134"/>
      <c r="PLC75" s="134"/>
      <c r="PLD75" s="134"/>
      <c r="PLE75" s="134"/>
      <c r="PLF75" s="134"/>
      <c r="PLG75" s="134"/>
      <c r="PLH75" s="134"/>
      <c r="PLI75" s="134"/>
      <c r="PLJ75" s="134"/>
      <c r="PLK75" s="134"/>
      <c r="PLL75" s="134"/>
      <c r="PLM75" s="134"/>
      <c r="PLN75" s="134"/>
      <c r="PLO75" s="134"/>
      <c r="PLP75" s="134"/>
      <c r="PLQ75" s="134"/>
      <c r="PLR75" s="134"/>
      <c r="PLS75" s="134"/>
      <c r="PLT75" s="134"/>
      <c r="PLU75" s="134"/>
      <c r="PLV75" s="134"/>
      <c r="PLW75" s="134"/>
      <c r="PLX75" s="134"/>
      <c r="PLY75" s="134"/>
      <c r="PLZ75" s="134"/>
      <c r="PMA75" s="134"/>
      <c r="PMB75" s="134"/>
      <c r="PMC75" s="134"/>
      <c r="PMD75" s="134"/>
      <c r="PME75" s="134"/>
      <c r="PMF75" s="134"/>
      <c r="PMG75" s="134"/>
      <c r="PMH75" s="134"/>
      <c r="PMI75" s="134"/>
      <c r="PMJ75" s="134"/>
      <c r="PMK75" s="134"/>
      <c r="PML75" s="134"/>
      <c r="PMM75" s="134"/>
      <c r="PMN75" s="134"/>
      <c r="PMO75" s="134"/>
      <c r="PMP75" s="134"/>
      <c r="PMQ75" s="134"/>
      <c r="PMR75" s="134"/>
      <c r="PMS75" s="134"/>
      <c r="PMT75" s="134"/>
      <c r="PMU75" s="134"/>
      <c r="PMV75" s="134"/>
      <c r="PMW75" s="134"/>
      <c r="PMX75" s="134"/>
      <c r="PMY75" s="134"/>
      <c r="PMZ75" s="134"/>
      <c r="PNA75" s="134"/>
      <c r="PNB75" s="134"/>
      <c r="PNC75" s="134"/>
      <c r="PND75" s="134"/>
      <c r="PNE75" s="134"/>
      <c r="PNF75" s="134"/>
      <c r="PNG75" s="134"/>
      <c r="PNH75" s="134"/>
      <c r="PNI75" s="134"/>
      <c r="PNJ75" s="134"/>
      <c r="PNK75" s="134"/>
      <c r="PNL75" s="134"/>
      <c r="PNM75" s="134"/>
      <c r="PNN75" s="134"/>
      <c r="PNO75" s="134"/>
      <c r="PNP75" s="134"/>
      <c r="PNQ75" s="134"/>
      <c r="PNR75" s="134"/>
      <c r="PNS75" s="134"/>
      <c r="PNT75" s="134"/>
      <c r="PNU75" s="134"/>
      <c r="PNV75" s="134"/>
      <c r="PNW75" s="134"/>
      <c r="PNX75" s="134"/>
      <c r="PNY75" s="134"/>
      <c r="PNZ75" s="134"/>
      <c r="POA75" s="134"/>
      <c r="POB75" s="134"/>
      <c r="POC75" s="134"/>
      <c r="POD75" s="134"/>
      <c r="POE75" s="134"/>
      <c r="POF75" s="134"/>
      <c r="POG75" s="134"/>
      <c r="POH75" s="134"/>
      <c r="POI75" s="134"/>
      <c r="POJ75" s="134"/>
      <c r="POK75" s="134"/>
      <c r="POL75" s="134"/>
      <c r="POM75" s="134"/>
      <c r="PON75" s="134"/>
      <c r="POO75" s="134"/>
      <c r="POP75" s="134"/>
      <c r="POQ75" s="134"/>
      <c r="POR75" s="134"/>
      <c r="POS75" s="134"/>
      <c r="POT75" s="134"/>
      <c r="POU75" s="134"/>
      <c r="POV75" s="134"/>
      <c r="POW75" s="134"/>
      <c r="POX75" s="134"/>
      <c r="POY75" s="134"/>
      <c r="POZ75" s="134"/>
      <c r="PPA75" s="134"/>
      <c r="PPB75" s="134"/>
      <c r="PPC75" s="134"/>
      <c r="PPD75" s="134"/>
      <c r="PPE75" s="134"/>
      <c r="PPF75" s="134"/>
      <c r="PPG75" s="134"/>
      <c r="PPH75" s="134"/>
      <c r="PPI75" s="134"/>
      <c r="PPJ75" s="134"/>
      <c r="PPK75" s="134"/>
      <c r="PPL75" s="134"/>
      <c r="PPM75" s="134"/>
      <c r="PPN75" s="134"/>
      <c r="PPO75" s="134"/>
      <c r="PPP75" s="134"/>
      <c r="PPQ75" s="134"/>
      <c r="PPR75" s="134"/>
      <c r="PPS75" s="134"/>
      <c r="PPT75" s="134"/>
      <c r="PPU75" s="134"/>
      <c r="PPV75" s="134"/>
      <c r="PPW75" s="134"/>
      <c r="PPX75" s="134"/>
      <c r="PPY75" s="134"/>
      <c r="PPZ75" s="134"/>
      <c r="PQA75" s="134"/>
      <c r="PQB75" s="134"/>
      <c r="PQC75" s="134"/>
      <c r="PQD75" s="134"/>
      <c r="PQE75" s="134"/>
      <c r="PQF75" s="134"/>
      <c r="PQG75" s="134"/>
      <c r="PQH75" s="134"/>
      <c r="PQI75" s="134"/>
      <c r="PQJ75" s="134"/>
      <c r="PQK75" s="134"/>
      <c r="PQL75" s="134"/>
      <c r="PQM75" s="134"/>
      <c r="PQN75" s="134"/>
      <c r="PQO75" s="134"/>
      <c r="PQP75" s="134"/>
      <c r="PQQ75" s="134"/>
      <c r="PQR75" s="134"/>
      <c r="PQS75" s="134"/>
      <c r="PQT75" s="134"/>
      <c r="PQU75" s="134"/>
      <c r="PQV75" s="134"/>
      <c r="PQW75" s="134"/>
      <c r="PQX75" s="134"/>
      <c r="PQY75" s="134"/>
      <c r="PQZ75" s="134"/>
      <c r="PRA75" s="134"/>
      <c r="PRB75" s="134"/>
      <c r="PRC75" s="134"/>
      <c r="PRD75" s="134"/>
      <c r="PRE75" s="134"/>
      <c r="PRF75" s="134"/>
      <c r="PRG75" s="134"/>
      <c r="PRH75" s="134"/>
      <c r="PRI75" s="134"/>
      <c r="PRJ75" s="134"/>
      <c r="PRK75" s="134"/>
      <c r="PRL75" s="134"/>
      <c r="PRM75" s="134"/>
      <c r="PRN75" s="134"/>
      <c r="PRO75" s="134"/>
      <c r="PRP75" s="134"/>
      <c r="PRQ75" s="134"/>
      <c r="PRR75" s="134"/>
      <c r="PRS75" s="134"/>
      <c r="PRT75" s="134"/>
      <c r="PRU75" s="134"/>
      <c r="PRV75" s="134"/>
      <c r="PRW75" s="134"/>
      <c r="PRX75" s="134"/>
      <c r="PRY75" s="134"/>
      <c r="PRZ75" s="134"/>
      <c r="PSA75" s="134"/>
      <c r="PSB75" s="134"/>
      <c r="PSC75" s="134"/>
      <c r="PSD75" s="134"/>
      <c r="PSE75" s="134"/>
      <c r="PSF75" s="134"/>
      <c r="PSG75" s="134"/>
      <c r="PSH75" s="134"/>
      <c r="PSI75" s="134"/>
      <c r="PSJ75" s="134"/>
      <c r="PSK75" s="134"/>
      <c r="PSL75" s="134"/>
      <c r="PSM75" s="134"/>
      <c r="PSN75" s="134"/>
      <c r="PSO75" s="134"/>
      <c r="PSP75" s="134"/>
      <c r="PSQ75" s="134"/>
      <c r="PSR75" s="134"/>
      <c r="PSS75" s="134"/>
      <c r="PST75" s="134"/>
      <c r="PSU75" s="134"/>
      <c r="PSV75" s="134"/>
      <c r="PSW75" s="134"/>
      <c r="PSX75" s="134"/>
      <c r="PSY75" s="134"/>
      <c r="PSZ75" s="134"/>
      <c r="PTA75" s="134"/>
      <c r="PTB75" s="134"/>
      <c r="PTC75" s="134"/>
      <c r="PTD75" s="134"/>
      <c r="PTE75" s="134"/>
      <c r="PTF75" s="134"/>
      <c r="PTG75" s="134"/>
      <c r="PTH75" s="134"/>
      <c r="PTI75" s="134"/>
      <c r="PTJ75" s="134"/>
      <c r="PTK75" s="134"/>
      <c r="PTL75" s="134"/>
      <c r="PTM75" s="134"/>
      <c r="PTN75" s="134"/>
      <c r="PTO75" s="134"/>
      <c r="PTP75" s="134"/>
      <c r="PTQ75" s="134"/>
      <c r="PTR75" s="134"/>
      <c r="PTS75" s="134"/>
      <c r="PTT75" s="134"/>
      <c r="PTU75" s="134"/>
      <c r="PTV75" s="134"/>
      <c r="PTW75" s="134"/>
      <c r="PTX75" s="134"/>
      <c r="PTY75" s="134"/>
      <c r="PTZ75" s="134"/>
      <c r="PUA75" s="134"/>
      <c r="PUB75" s="134"/>
      <c r="PUC75" s="134"/>
      <c r="PUD75" s="134"/>
      <c r="PUE75" s="134"/>
      <c r="PUF75" s="134"/>
      <c r="PUG75" s="134"/>
      <c r="PUH75" s="134"/>
      <c r="PUI75" s="134"/>
      <c r="PUJ75" s="134"/>
      <c r="PUK75" s="134"/>
      <c r="PUL75" s="134"/>
      <c r="PUM75" s="134"/>
      <c r="PUN75" s="134"/>
      <c r="PUO75" s="134"/>
      <c r="PUP75" s="134"/>
      <c r="PUQ75" s="134"/>
      <c r="PUR75" s="134"/>
      <c r="PUS75" s="134"/>
      <c r="PUT75" s="134"/>
      <c r="PUU75" s="134"/>
      <c r="PUV75" s="134"/>
      <c r="PUW75" s="134"/>
      <c r="PUX75" s="134"/>
      <c r="PUY75" s="134"/>
      <c r="PUZ75" s="134"/>
      <c r="PVA75" s="134"/>
      <c r="PVB75" s="134"/>
      <c r="PVC75" s="134"/>
      <c r="PVD75" s="134"/>
      <c r="PVE75" s="134"/>
      <c r="PVF75" s="134"/>
      <c r="PVG75" s="134"/>
      <c r="PVH75" s="134"/>
      <c r="PVI75" s="134"/>
      <c r="PVJ75" s="134"/>
      <c r="PVK75" s="134"/>
      <c r="PVL75" s="134"/>
      <c r="PVM75" s="134"/>
      <c r="PVN75" s="134"/>
      <c r="PVO75" s="134"/>
      <c r="PVP75" s="134"/>
      <c r="PVQ75" s="134"/>
      <c r="PVR75" s="134"/>
      <c r="PVS75" s="134"/>
      <c r="PVT75" s="134"/>
      <c r="PVU75" s="134"/>
      <c r="PVV75" s="134"/>
      <c r="PVW75" s="134"/>
      <c r="PVX75" s="134"/>
      <c r="PVY75" s="134"/>
      <c r="PVZ75" s="134"/>
      <c r="PWA75" s="134"/>
      <c r="PWB75" s="134"/>
      <c r="PWC75" s="134"/>
      <c r="PWD75" s="134"/>
      <c r="PWE75" s="134"/>
      <c r="PWF75" s="134"/>
      <c r="PWG75" s="134"/>
      <c r="PWH75" s="134"/>
      <c r="PWI75" s="134"/>
      <c r="PWJ75" s="134"/>
      <c r="PWK75" s="134"/>
      <c r="PWL75" s="134"/>
      <c r="PWM75" s="134"/>
      <c r="PWN75" s="134"/>
      <c r="PWO75" s="134"/>
      <c r="PWP75" s="134"/>
      <c r="PWQ75" s="134"/>
      <c r="PWR75" s="134"/>
      <c r="PWS75" s="134"/>
      <c r="PWT75" s="134"/>
      <c r="PWU75" s="134"/>
      <c r="PWV75" s="134"/>
      <c r="PWW75" s="134"/>
      <c r="PWX75" s="134"/>
      <c r="PWY75" s="134"/>
      <c r="PWZ75" s="134"/>
      <c r="PXA75" s="134"/>
      <c r="PXB75" s="134"/>
      <c r="PXC75" s="134"/>
      <c r="PXD75" s="134"/>
      <c r="PXE75" s="134"/>
      <c r="PXF75" s="134"/>
      <c r="PXG75" s="134"/>
      <c r="PXH75" s="134"/>
      <c r="PXI75" s="134"/>
      <c r="PXJ75" s="134"/>
      <c r="PXK75" s="134"/>
      <c r="PXL75" s="134"/>
      <c r="PXM75" s="134"/>
      <c r="PXN75" s="134"/>
      <c r="PXO75" s="134"/>
      <c r="PXP75" s="134"/>
      <c r="PXQ75" s="134"/>
      <c r="PXR75" s="134"/>
      <c r="PXS75" s="134"/>
      <c r="PXT75" s="134"/>
      <c r="PXU75" s="134"/>
      <c r="PXV75" s="134"/>
      <c r="PXW75" s="134"/>
      <c r="PXX75" s="134"/>
      <c r="PXY75" s="134"/>
      <c r="PXZ75" s="134"/>
      <c r="PYA75" s="134"/>
      <c r="PYB75" s="134"/>
      <c r="PYC75" s="134"/>
      <c r="PYD75" s="134"/>
      <c r="PYE75" s="134"/>
      <c r="PYF75" s="134"/>
      <c r="PYG75" s="134"/>
      <c r="PYH75" s="134"/>
      <c r="PYI75" s="134"/>
      <c r="PYJ75" s="134"/>
      <c r="PYK75" s="134"/>
      <c r="PYL75" s="134"/>
      <c r="PYM75" s="134"/>
      <c r="PYN75" s="134"/>
      <c r="PYO75" s="134"/>
      <c r="PYP75" s="134"/>
      <c r="PYQ75" s="134"/>
      <c r="PYR75" s="134"/>
      <c r="PYS75" s="134"/>
      <c r="PYT75" s="134"/>
      <c r="PYU75" s="134"/>
      <c r="PYV75" s="134"/>
      <c r="PYW75" s="134"/>
      <c r="PYX75" s="134"/>
      <c r="PYY75" s="134"/>
      <c r="PYZ75" s="134"/>
      <c r="PZA75" s="134"/>
      <c r="PZB75" s="134"/>
      <c r="PZC75" s="134"/>
      <c r="PZD75" s="134"/>
      <c r="PZE75" s="134"/>
      <c r="PZF75" s="134"/>
      <c r="PZG75" s="134"/>
      <c r="PZH75" s="134"/>
      <c r="PZI75" s="134"/>
      <c r="PZJ75" s="134"/>
      <c r="PZK75" s="134"/>
      <c r="PZL75" s="134"/>
      <c r="PZM75" s="134"/>
      <c r="PZN75" s="134"/>
      <c r="PZO75" s="134"/>
      <c r="PZP75" s="134"/>
      <c r="PZQ75" s="134"/>
      <c r="PZR75" s="134"/>
      <c r="PZS75" s="134"/>
      <c r="PZT75" s="134"/>
      <c r="PZU75" s="134"/>
      <c r="PZV75" s="134"/>
      <c r="PZW75" s="134"/>
      <c r="PZX75" s="134"/>
      <c r="PZY75" s="134"/>
      <c r="PZZ75" s="134"/>
      <c r="QAA75" s="134"/>
      <c r="QAB75" s="134"/>
      <c r="QAC75" s="134"/>
      <c r="QAD75" s="134"/>
      <c r="QAE75" s="134"/>
      <c r="QAF75" s="134"/>
      <c r="QAG75" s="134"/>
      <c r="QAH75" s="134"/>
      <c r="QAI75" s="134"/>
      <c r="QAJ75" s="134"/>
      <c r="QAK75" s="134"/>
      <c r="QAL75" s="134"/>
      <c r="QAM75" s="134"/>
      <c r="QAN75" s="134"/>
      <c r="QAO75" s="134"/>
      <c r="QAP75" s="134"/>
      <c r="QAQ75" s="134"/>
      <c r="QAR75" s="134"/>
      <c r="QAS75" s="134"/>
      <c r="QAT75" s="134"/>
      <c r="QAU75" s="134"/>
      <c r="QAV75" s="134"/>
      <c r="QAW75" s="134"/>
      <c r="QAX75" s="134"/>
      <c r="QAY75" s="134"/>
      <c r="QAZ75" s="134"/>
      <c r="QBA75" s="134"/>
      <c r="QBB75" s="134"/>
      <c r="QBC75" s="134"/>
      <c r="QBD75" s="134"/>
      <c r="QBE75" s="134"/>
      <c r="QBF75" s="134"/>
      <c r="QBG75" s="134"/>
      <c r="QBH75" s="134"/>
      <c r="QBI75" s="134"/>
      <c r="QBJ75" s="134"/>
      <c r="QBK75" s="134"/>
      <c r="QBL75" s="134"/>
      <c r="QBM75" s="134"/>
      <c r="QBN75" s="134"/>
      <c r="QBO75" s="134"/>
      <c r="QBP75" s="134"/>
      <c r="QBQ75" s="134"/>
      <c r="QBR75" s="134"/>
      <c r="QBS75" s="134"/>
      <c r="QBT75" s="134"/>
      <c r="QBU75" s="134"/>
      <c r="QBV75" s="134"/>
      <c r="QBW75" s="134"/>
      <c r="QBX75" s="134"/>
      <c r="QBY75" s="134"/>
      <c r="QBZ75" s="134"/>
      <c r="QCA75" s="134"/>
      <c r="QCB75" s="134"/>
      <c r="QCC75" s="134"/>
      <c r="QCD75" s="134"/>
      <c r="QCE75" s="134"/>
      <c r="QCF75" s="134"/>
      <c r="QCG75" s="134"/>
      <c r="QCH75" s="134"/>
      <c r="QCI75" s="134"/>
      <c r="QCJ75" s="134"/>
      <c r="QCK75" s="134"/>
      <c r="QCL75" s="134"/>
      <c r="QCM75" s="134"/>
      <c r="QCN75" s="134"/>
      <c r="QCO75" s="134"/>
      <c r="QCP75" s="134"/>
      <c r="QCQ75" s="134"/>
      <c r="QCR75" s="134"/>
      <c r="QCS75" s="134"/>
      <c r="QCT75" s="134"/>
      <c r="QCU75" s="134"/>
      <c r="QCV75" s="134"/>
      <c r="QCW75" s="134"/>
      <c r="QCX75" s="134"/>
      <c r="QCY75" s="134"/>
      <c r="QCZ75" s="134"/>
      <c r="QDA75" s="134"/>
      <c r="QDB75" s="134"/>
      <c r="QDC75" s="134"/>
      <c r="QDD75" s="134"/>
      <c r="QDE75" s="134"/>
      <c r="QDF75" s="134"/>
      <c r="QDG75" s="134"/>
      <c r="QDH75" s="134"/>
      <c r="QDI75" s="134"/>
      <c r="QDJ75" s="134"/>
      <c r="QDK75" s="134"/>
      <c r="QDL75" s="134"/>
      <c r="QDM75" s="134"/>
      <c r="QDN75" s="134"/>
      <c r="QDO75" s="134"/>
      <c r="QDP75" s="134"/>
      <c r="QDQ75" s="134"/>
      <c r="QDR75" s="134"/>
      <c r="QDS75" s="134"/>
      <c r="QDT75" s="134"/>
      <c r="QDU75" s="134"/>
      <c r="QDV75" s="134"/>
      <c r="QDW75" s="134"/>
      <c r="QDX75" s="134"/>
      <c r="QDY75" s="134"/>
      <c r="QDZ75" s="134"/>
      <c r="QEA75" s="134"/>
      <c r="QEB75" s="134"/>
      <c r="QEC75" s="134"/>
      <c r="QED75" s="134"/>
      <c r="QEE75" s="134"/>
      <c r="QEF75" s="134"/>
      <c r="QEG75" s="134"/>
      <c r="QEH75" s="134"/>
      <c r="QEI75" s="134"/>
      <c r="QEJ75" s="134"/>
      <c r="QEK75" s="134"/>
      <c r="QEL75" s="134"/>
      <c r="QEM75" s="134"/>
      <c r="QEN75" s="134"/>
      <c r="QEO75" s="134"/>
      <c r="QEP75" s="134"/>
      <c r="QEQ75" s="134"/>
      <c r="QER75" s="134"/>
      <c r="QES75" s="134"/>
      <c r="QET75" s="134"/>
      <c r="QEU75" s="134"/>
      <c r="QEV75" s="134"/>
      <c r="QEW75" s="134"/>
      <c r="QEX75" s="134"/>
      <c r="QEY75" s="134"/>
      <c r="QEZ75" s="134"/>
      <c r="QFA75" s="134"/>
      <c r="QFB75" s="134"/>
      <c r="QFC75" s="134"/>
      <c r="QFD75" s="134"/>
      <c r="QFE75" s="134"/>
      <c r="QFF75" s="134"/>
      <c r="QFG75" s="134"/>
      <c r="QFH75" s="134"/>
      <c r="QFI75" s="134"/>
      <c r="QFJ75" s="134"/>
      <c r="QFK75" s="134"/>
      <c r="QFL75" s="134"/>
      <c r="QFM75" s="134"/>
      <c r="QFN75" s="134"/>
      <c r="QFO75" s="134"/>
      <c r="QFP75" s="134"/>
      <c r="QFQ75" s="134"/>
      <c r="QFR75" s="134"/>
      <c r="QFS75" s="134"/>
      <c r="QFT75" s="134"/>
      <c r="QFU75" s="134"/>
      <c r="QFV75" s="134"/>
      <c r="QFW75" s="134"/>
      <c r="QFX75" s="134"/>
      <c r="QFY75" s="134"/>
      <c r="QFZ75" s="134"/>
      <c r="QGA75" s="134"/>
      <c r="QGB75" s="134"/>
      <c r="QGC75" s="134"/>
      <c r="QGD75" s="134"/>
      <c r="QGE75" s="134"/>
      <c r="QGF75" s="134"/>
      <c r="QGG75" s="134"/>
      <c r="QGH75" s="134"/>
      <c r="QGI75" s="134"/>
      <c r="QGJ75" s="134"/>
      <c r="QGK75" s="134"/>
      <c r="QGL75" s="134"/>
      <c r="QGM75" s="134"/>
      <c r="QGN75" s="134"/>
      <c r="QGO75" s="134"/>
      <c r="QGP75" s="134"/>
      <c r="QGQ75" s="134"/>
      <c r="QGR75" s="134"/>
      <c r="QGS75" s="134"/>
      <c r="QGT75" s="134"/>
      <c r="QGU75" s="134"/>
      <c r="QGV75" s="134"/>
      <c r="QGW75" s="134"/>
      <c r="QGX75" s="134"/>
      <c r="QGY75" s="134"/>
      <c r="QGZ75" s="134"/>
      <c r="QHA75" s="134"/>
      <c r="QHB75" s="134"/>
      <c r="QHC75" s="134"/>
      <c r="QHD75" s="134"/>
      <c r="QHE75" s="134"/>
      <c r="QHF75" s="134"/>
      <c r="QHG75" s="134"/>
      <c r="QHH75" s="134"/>
      <c r="QHI75" s="134"/>
      <c r="QHJ75" s="134"/>
      <c r="QHK75" s="134"/>
      <c r="QHL75" s="134"/>
      <c r="QHM75" s="134"/>
      <c r="QHN75" s="134"/>
      <c r="QHO75" s="134"/>
      <c r="QHP75" s="134"/>
      <c r="QHQ75" s="134"/>
      <c r="QHR75" s="134"/>
      <c r="QHS75" s="134"/>
      <c r="QHT75" s="134"/>
      <c r="QHU75" s="134"/>
      <c r="QHV75" s="134"/>
      <c r="QHW75" s="134"/>
      <c r="QHX75" s="134"/>
      <c r="QHY75" s="134"/>
      <c r="QHZ75" s="134"/>
      <c r="QIA75" s="134"/>
      <c r="QIB75" s="134"/>
      <c r="QIC75" s="134"/>
      <c r="QID75" s="134"/>
      <c r="QIE75" s="134"/>
      <c r="QIF75" s="134"/>
      <c r="QIG75" s="134"/>
      <c r="QIH75" s="134"/>
      <c r="QII75" s="134"/>
      <c r="QIJ75" s="134"/>
      <c r="QIK75" s="134"/>
      <c r="QIL75" s="134"/>
      <c r="QIM75" s="134"/>
      <c r="QIN75" s="134"/>
      <c r="QIO75" s="134"/>
      <c r="QIP75" s="134"/>
      <c r="QIQ75" s="134"/>
      <c r="QIR75" s="134"/>
      <c r="QIS75" s="134"/>
      <c r="QIT75" s="134"/>
      <c r="QIU75" s="134"/>
      <c r="QIV75" s="134"/>
      <c r="QIW75" s="134"/>
      <c r="QIX75" s="134"/>
      <c r="QIY75" s="134"/>
      <c r="QIZ75" s="134"/>
      <c r="QJA75" s="134"/>
      <c r="QJB75" s="134"/>
      <c r="QJC75" s="134"/>
      <c r="QJD75" s="134"/>
      <c r="QJE75" s="134"/>
      <c r="QJF75" s="134"/>
      <c r="QJG75" s="134"/>
      <c r="QJH75" s="134"/>
      <c r="QJI75" s="134"/>
      <c r="QJJ75" s="134"/>
      <c r="QJK75" s="134"/>
      <c r="QJL75" s="134"/>
      <c r="QJM75" s="134"/>
      <c r="QJN75" s="134"/>
      <c r="QJO75" s="134"/>
      <c r="QJP75" s="134"/>
      <c r="QJQ75" s="134"/>
      <c r="QJR75" s="134"/>
      <c r="QJS75" s="134"/>
      <c r="QJT75" s="134"/>
      <c r="QJU75" s="134"/>
      <c r="QJV75" s="134"/>
      <c r="QJW75" s="134"/>
      <c r="QJX75" s="134"/>
      <c r="QJY75" s="134"/>
      <c r="QJZ75" s="134"/>
      <c r="QKA75" s="134"/>
      <c r="QKB75" s="134"/>
      <c r="QKC75" s="134"/>
      <c r="QKD75" s="134"/>
      <c r="QKE75" s="134"/>
      <c r="QKF75" s="134"/>
      <c r="QKG75" s="134"/>
      <c r="QKH75" s="134"/>
      <c r="QKI75" s="134"/>
      <c r="QKJ75" s="134"/>
      <c r="QKK75" s="134"/>
      <c r="QKL75" s="134"/>
      <c r="QKM75" s="134"/>
      <c r="QKN75" s="134"/>
      <c r="QKO75" s="134"/>
      <c r="QKP75" s="134"/>
      <c r="QKQ75" s="134"/>
      <c r="QKR75" s="134"/>
      <c r="QKS75" s="134"/>
      <c r="QKT75" s="134"/>
      <c r="QKU75" s="134"/>
      <c r="QKV75" s="134"/>
      <c r="QKW75" s="134"/>
      <c r="QKX75" s="134"/>
      <c r="QKY75" s="134"/>
      <c r="QKZ75" s="134"/>
      <c r="QLA75" s="134"/>
      <c r="QLB75" s="134"/>
      <c r="QLC75" s="134"/>
      <c r="QLD75" s="134"/>
      <c r="QLE75" s="134"/>
      <c r="QLF75" s="134"/>
      <c r="QLG75" s="134"/>
      <c r="QLH75" s="134"/>
      <c r="QLI75" s="134"/>
      <c r="QLJ75" s="134"/>
      <c r="QLK75" s="134"/>
      <c r="QLL75" s="134"/>
      <c r="QLM75" s="134"/>
      <c r="QLN75" s="134"/>
      <c r="QLO75" s="134"/>
      <c r="QLP75" s="134"/>
      <c r="QLQ75" s="134"/>
      <c r="QLR75" s="134"/>
      <c r="QLS75" s="134"/>
      <c r="QLT75" s="134"/>
      <c r="QLU75" s="134"/>
      <c r="QLV75" s="134"/>
      <c r="QLW75" s="134"/>
      <c r="QLX75" s="134"/>
      <c r="QLY75" s="134"/>
      <c r="QLZ75" s="134"/>
      <c r="QMA75" s="134"/>
      <c r="QMB75" s="134"/>
      <c r="QMC75" s="134"/>
      <c r="QMD75" s="134"/>
      <c r="QME75" s="134"/>
      <c r="QMF75" s="134"/>
      <c r="QMG75" s="134"/>
      <c r="QMH75" s="134"/>
      <c r="QMI75" s="134"/>
      <c r="QMJ75" s="134"/>
      <c r="QMK75" s="134"/>
      <c r="QML75" s="134"/>
      <c r="QMM75" s="134"/>
      <c r="QMN75" s="134"/>
      <c r="QMO75" s="134"/>
      <c r="QMP75" s="134"/>
      <c r="QMQ75" s="134"/>
      <c r="QMR75" s="134"/>
      <c r="QMS75" s="134"/>
      <c r="QMT75" s="134"/>
      <c r="QMU75" s="134"/>
      <c r="QMV75" s="134"/>
      <c r="QMW75" s="134"/>
      <c r="QMX75" s="134"/>
      <c r="QMY75" s="134"/>
      <c r="QMZ75" s="134"/>
      <c r="QNA75" s="134"/>
      <c r="QNB75" s="134"/>
      <c r="QNC75" s="134"/>
      <c r="QND75" s="134"/>
      <c r="QNE75" s="134"/>
      <c r="QNF75" s="134"/>
      <c r="QNG75" s="134"/>
      <c r="QNH75" s="134"/>
      <c r="QNI75" s="134"/>
      <c r="QNJ75" s="134"/>
      <c r="QNK75" s="134"/>
      <c r="QNL75" s="134"/>
      <c r="QNM75" s="134"/>
      <c r="QNN75" s="134"/>
      <c r="QNO75" s="134"/>
      <c r="QNP75" s="134"/>
      <c r="QNQ75" s="134"/>
      <c r="QNR75" s="134"/>
      <c r="QNS75" s="134"/>
      <c r="QNT75" s="134"/>
      <c r="QNU75" s="134"/>
      <c r="QNV75" s="134"/>
      <c r="QNW75" s="134"/>
      <c r="QNX75" s="134"/>
      <c r="QNY75" s="134"/>
      <c r="QNZ75" s="134"/>
      <c r="QOA75" s="134"/>
      <c r="QOB75" s="134"/>
      <c r="QOC75" s="134"/>
      <c r="QOD75" s="134"/>
      <c r="QOE75" s="134"/>
      <c r="QOF75" s="134"/>
      <c r="QOG75" s="134"/>
      <c r="QOH75" s="134"/>
      <c r="QOI75" s="134"/>
      <c r="QOJ75" s="134"/>
      <c r="QOK75" s="134"/>
      <c r="QOL75" s="134"/>
      <c r="QOM75" s="134"/>
      <c r="QON75" s="134"/>
      <c r="QOO75" s="134"/>
      <c r="QOP75" s="134"/>
      <c r="QOQ75" s="134"/>
      <c r="QOR75" s="134"/>
      <c r="QOS75" s="134"/>
      <c r="QOT75" s="134"/>
      <c r="QOU75" s="134"/>
      <c r="QOV75" s="134"/>
      <c r="QOW75" s="134"/>
      <c r="QOX75" s="134"/>
      <c r="QOY75" s="134"/>
      <c r="QOZ75" s="134"/>
      <c r="QPA75" s="134"/>
      <c r="QPB75" s="134"/>
      <c r="QPC75" s="134"/>
      <c r="QPD75" s="134"/>
      <c r="QPE75" s="134"/>
      <c r="QPF75" s="134"/>
      <c r="QPG75" s="134"/>
      <c r="QPH75" s="134"/>
      <c r="QPI75" s="134"/>
      <c r="QPJ75" s="134"/>
      <c r="QPK75" s="134"/>
      <c r="QPL75" s="134"/>
      <c r="QPM75" s="134"/>
      <c r="QPN75" s="134"/>
      <c r="QPO75" s="134"/>
      <c r="QPP75" s="134"/>
      <c r="QPQ75" s="134"/>
      <c r="QPR75" s="134"/>
      <c r="QPS75" s="134"/>
      <c r="QPT75" s="134"/>
      <c r="QPU75" s="134"/>
      <c r="QPV75" s="134"/>
      <c r="QPW75" s="134"/>
      <c r="QPX75" s="134"/>
      <c r="QPY75" s="134"/>
      <c r="QPZ75" s="134"/>
      <c r="QQA75" s="134"/>
      <c r="QQB75" s="134"/>
      <c r="QQC75" s="134"/>
      <c r="QQD75" s="134"/>
      <c r="QQE75" s="134"/>
      <c r="QQF75" s="134"/>
      <c r="QQG75" s="134"/>
      <c r="QQH75" s="134"/>
      <c r="QQI75" s="134"/>
      <c r="QQJ75" s="134"/>
      <c r="QQK75" s="134"/>
      <c r="QQL75" s="134"/>
      <c r="QQM75" s="134"/>
      <c r="QQN75" s="134"/>
      <c r="QQO75" s="134"/>
      <c r="QQP75" s="134"/>
      <c r="QQQ75" s="134"/>
      <c r="QQR75" s="134"/>
      <c r="QQS75" s="134"/>
      <c r="QQT75" s="134"/>
      <c r="QQU75" s="134"/>
      <c r="QQV75" s="134"/>
      <c r="QQW75" s="134"/>
      <c r="QQX75" s="134"/>
      <c r="QQY75" s="134"/>
      <c r="QQZ75" s="134"/>
      <c r="QRA75" s="134"/>
      <c r="QRB75" s="134"/>
      <c r="QRC75" s="134"/>
      <c r="QRD75" s="134"/>
      <c r="QRE75" s="134"/>
      <c r="QRF75" s="134"/>
      <c r="QRG75" s="134"/>
      <c r="QRH75" s="134"/>
      <c r="QRI75" s="134"/>
      <c r="QRJ75" s="134"/>
      <c r="QRK75" s="134"/>
      <c r="QRL75" s="134"/>
      <c r="QRM75" s="134"/>
      <c r="QRN75" s="134"/>
      <c r="QRO75" s="134"/>
      <c r="QRP75" s="134"/>
      <c r="QRQ75" s="134"/>
      <c r="QRR75" s="134"/>
      <c r="QRS75" s="134"/>
      <c r="QRT75" s="134"/>
      <c r="QRU75" s="134"/>
      <c r="QRV75" s="134"/>
      <c r="QRW75" s="134"/>
      <c r="QRX75" s="134"/>
      <c r="QRY75" s="134"/>
      <c r="QRZ75" s="134"/>
      <c r="QSA75" s="134"/>
      <c r="QSB75" s="134"/>
      <c r="QSC75" s="134"/>
      <c r="QSD75" s="134"/>
      <c r="QSE75" s="134"/>
      <c r="QSF75" s="134"/>
      <c r="QSG75" s="134"/>
      <c r="QSH75" s="134"/>
      <c r="QSI75" s="134"/>
      <c r="QSJ75" s="134"/>
      <c r="QSK75" s="134"/>
      <c r="QSL75" s="134"/>
      <c r="QSM75" s="134"/>
      <c r="QSN75" s="134"/>
      <c r="QSO75" s="134"/>
      <c r="QSP75" s="134"/>
      <c r="QSQ75" s="134"/>
      <c r="QSR75" s="134"/>
      <c r="QSS75" s="134"/>
      <c r="QST75" s="134"/>
      <c r="QSU75" s="134"/>
      <c r="QSV75" s="134"/>
      <c r="QSW75" s="134"/>
      <c r="QSX75" s="134"/>
      <c r="QSY75" s="134"/>
      <c r="QSZ75" s="134"/>
      <c r="QTA75" s="134"/>
      <c r="QTB75" s="134"/>
      <c r="QTC75" s="134"/>
      <c r="QTD75" s="134"/>
      <c r="QTE75" s="134"/>
      <c r="QTF75" s="134"/>
      <c r="QTG75" s="134"/>
      <c r="QTH75" s="134"/>
      <c r="QTI75" s="134"/>
      <c r="QTJ75" s="134"/>
      <c r="QTK75" s="134"/>
      <c r="QTL75" s="134"/>
      <c r="QTM75" s="134"/>
      <c r="QTN75" s="134"/>
      <c r="QTO75" s="134"/>
      <c r="QTP75" s="134"/>
      <c r="QTQ75" s="134"/>
      <c r="QTR75" s="134"/>
      <c r="QTS75" s="134"/>
      <c r="QTT75" s="134"/>
      <c r="QTU75" s="134"/>
      <c r="QTV75" s="134"/>
      <c r="QTW75" s="134"/>
      <c r="QTX75" s="134"/>
      <c r="QTY75" s="134"/>
      <c r="QTZ75" s="134"/>
      <c r="QUA75" s="134"/>
      <c r="QUB75" s="134"/>
      <c r="QUC75" s="134"/>
      <c r="QUD75" s="134"/>
      <c r="QUE75" s="134"/>
      <c r="QUF75" s="134"/>
      <c r="QUG75" s="134"/>
      <c r="QUH75" s="134"/>
      <c r="QUI75" s="134"/>
      <c r="QUJ75" s="134"/>
      <c r="QUK75" s="134"/>
      <c r="QUL75" s="134"/>
      <c r="QUM75" s="134"/>
      <c r="QUN75" s="134"/>
      <c r="QUO75" s="134"/>
      <c r="QUP75" s="134"/>
      <c r="QUQ75" s="134"/>
      <c r="QUR75" s="134"/>
      <c r="QUS75" s="134"/>
      <c r="QUT75" s="134"/>
      <c r="QUU75" s="134"/>
      <c r="QUV75" s="134"/>
      <c r="QUW75" s="134"/>
      <c r="QUX75" s="134"/>
      <c r="QUY75" s="134"/>
      <c r="QUZ75" s="134"/>
      <c r="QVA75" s="134"/>
      <c r="QVB75" s="134"/>
      <c r="QVC75" s="134"/>
      <c r="QVD75" s="134"/>
      <c r="QVE75" s="134"/>
      <c r="QVF75" s="134"/>
      <c r="QVG75" s="134"/>
      <c r="QVH75" s="134"/>
      <c r="QVI75" s="134"/>
      <c r="QVJ75" s="134"/>
      <c r="QVK75" s="134"/>
      <c r="QVL75" s="134"/>
      <c r="QVM75" s="134"/>
      <c r="QVN75" s="134"/>
      <c r="QVO75" s="134"/>
      <c r="QVP75" s="134"/>
      <c r="QVQ75" s="134"/>
      <c r="QVR75" s="134"/>
      <c r="QVS75" s="134"/>
      <c r="QVT75" s="134"/>
      <c r="QVU75" s="134"/>
      <c r="QVV75" s="134"/>
      <c r="QVW75" s="134"/>
      <c r="QVX75" s="134"/>
      <c r="QVY75" s="134"/>
      <c r="QVZ75" s="134"/>
      <c r="QWA75" s="134"/>
      <c r="QWB75" s="134"/>
      <c r="QWC75" s="134"/>
      <c r="QWD75" s="134"/>
      <c r="QWE75" s="134"/>
      <c r="QWF75" s="134"/>
      <c r="QWG75" s="134"/>
      <c r="QWH75" s="134"/>
      <c r="QWI75" s="134"/>
      <c r="QWJ75" s="134"/>
      <c r="QWK75" s="134"/>
      <c r="QWL75" s="134"/>
      <c r="QWM75" s="134"/>
      <c r="QWN75" s="134"/>
      <c r="QWO75" s="134"/>
      <c r="QWP75" s="134"/>
      <c r="QWQ75" s="134"/>
      <c r="QWR75" s="134"/>
      <c r="QWS75" s="134"/>
      <c r="QWT75" s="134"/>
      <c r="QWU75" s="134"/>
      <c r="QWV75" s="134"/>
      <c r="QWW75" s="134"/>
      <c r="QWX75" s="134"/>
      <c r="QWY75" s="134"/>
      <c r="QWZ75" s="134"/>
      <c r="QXA75" s="134"/>
      <c r="QXB75" s="134"/>
      <c r="QXC75" s="134"/>
      <c r="QXD75" s="134"/>
      <c r="QXE75" s="134"/>
      <c r="QXF75" s="134"/>
      <c r="QXG75" s="134"/>
      <c r="QXH75" s="134"/>
      <c r="QXI75" s="134"/>
      <c r="QXJ75" s="134"/>
      <c r="QXK75" s="134"/>
      <c r="QXL75" s="134"/>
      <c r="QXM75" s="134"/>
      <c r="QXN75" s="134"/>
      <c r="QXO75" s="134"/>
      <c r="QXP75" s="134"/>
      <c r="QXQ75" s="134"/>
      <c r="QXR75" s="134"/>
      <c r="QXS75" s="134"/>
      <c r="QXT75" s="134"/>
      <c r="QXU75" s="134"/>
      <c r="QXV75" s="134"/>
      <c r="QXW75" s="134"/>
      <c r="QXX75" s="134"/>
      <c r="QXY75" s="134"/>
      <c r="QXZ75" s="134"/>
      <c r="QYA75" s="134"/>
      <c r="QYB75" s="134"/>
      <c r="QYC75" s="134"/>
      <c r="QYD75" s="134"/>
      <c r="QYE75" s="134"/>
      <c r="QYF75" s="134"/>
      <c r="QYG75" s="134"/>
      <c r="QYH75" s="134"/>
      <c r="QYI75" s="134"/>
      <c r="QYJ75" s="134"/>
      <c r="QYK75" s="134"/>
      <c r="QYL75" s="134"/>
      <c r="QYM75" s="134"/>
      <c r="QYN75" s="134"/>
      <c r="QYO75" s="134"/>
      <c r="QYP75" s="134"/>
      <c r="QYQ75" s="134"/>
      <c r="QYR75" s="134"/>
      <c r="QYS75" s="134"/>
      <c r="QYT75" s="134"/>
      <c r="QYU75" s="134"/>
      <c r="QYV75" s="134"/>
      <c r="QYW75" s="134"/>
      <c r="QYX75" s="134"/>
      <c r="QYY75" s="134"/>
      <c r="QYZ75" s="134"/>
      <c r="QZA75" s="134"/>
      <c r="QZB75" s="134"/>
      <c r="QZC75" s="134"/>
      <c r="QZD75" s="134"/>
      <c r="QZE75" s="134"/>
      <c r="QZF75" s="134"/>
      <c r="QZG75" s="134"/>
      <c r="QZH75" s="134"/>
      <c r="QZI75" s="134"/>
      <c r="QZJ75" s="134"/>
      <c r="QZK75" s="134"/>
      <c r="QZL75" s="134"/>
      <c r="QZM75" s="134"/>
      <c r="QZN75" s="134"/>
      <c r="QZO75" s="134"/>
      <c r="QZP75" s="134"/>
      <c r="QZQ75" s="134"/>
      <c r="QZR75" s="134"/>
      <c r="QZS75" s="134"/>
      <c r="QZT75" s="134"/>
      <c r="QZU75" s="134"/>
      <c r="QZV75" s="134"/>
      <c r="QZW75" s="134"/>
      <c r="QZX75" s="134"/>
      <c r="QZY75" s="134"/>
      <c r="QZZ75" s="134"/>
      <c r="RAA75" s="134"/>
      <c r="RAB75" s="134"/>
      <c r="RAC75" s="134"/>
      <c r="RAD75" s="134"/>
      <c r="RAE75" s="134"/>
      <c r="RAF75" s="134"/>
      <c r="RAG75" s="134"/>
      <c r="RAH75" s="134"/>
      <c r="RAI75" s="134"/>
      <c r="RAJ75" s="134"/>
      <c r="RAK75" s="134"/>
      <c r="RAL75" s="134"/>
      <c r="RAM75" s="134"/>
      <c r="RAN75" s="134"/>
      <c r="RAO75" s="134"/>
      <c r="RAP75" s="134"/>
      <c r="RAQ75" s="134"/>
      <c r="RAR75" s="134"/>
      <c r="RAS75" s="134"/>
      <c r="RAT75" s="134"/>
      <c r="RAU75" s="134"/>
      <c r="RAV75" s="134"/>
      <c r="RAW75" s="134"/>
      <c r="RAX75" s="134"/>
      <c r="RAY75" s="134"/>
      <c r="RAZ75" s="134"/>
      <c r="RBA75" s="134"/>
      <c r="RBB75" s="134"/>
      <c r="RBC75" s="134"/>
      <c r="RBD75" s="134"/>
      <c r="RBE75" s="134"/>
      <c r="RBF75" s="134"/>
      <c r="RBG75" s="134"/>
      <c r="RBH75" s="134"/>
      <c r="RBI75" s="134"/>
      <c r="RBJ75" s="134"/>
      <c r="RBK75" s="134"/>
      <c r="RBL75" s="134"/>
      <c r="RBM75" s="134"/>
      <c r="RBN75" s="134"/>
      <c r="RBO75" s="134"/>
      <c r="RBP75" s="134"/>
      <c r="RBQ75" s="134"/>
      <c r="RBR75" s="134"/>
      <c r="RBS75" s="134"/>
      <c r="RBT75" s="134"/>
      <c r="RBU75" s="134"/>
      <c r="RBV75" s="134"/>
      <c r="RBW75" s="134"/>
      <c r="RBX75" s="134"/>
      <c r="RBY75" s="134"/>
      <c r="RBZ75" s="134"/>
      <c r="RCA75" s="134"/>
      <c r="RCB75" s="134"/>
      <c r="RCC75" s="134"/>
      <c r="RCD75" s="134"/>
      <c r="RCE75" s="134"/>
      <c r="RCF75" s="134"/>
      <c r="RCG75" s="134"/>
      <c r="RCH75" s="134"/>
      <c r="RCI75" s="134"/>
      <c r="RCJ75" s="134"/>
      <c r="RCK75" s="134"/>
      <c r="RCL75" s="134"/>
      <c r="RCM75" s="134"/>
      <c r="RCN75" s="134"/>
      <c r="RCO75" s="134"/>
      <c r="RCP75" s="134"/>
      <c r="RCQ75" s="134"/>
      <c r="RCR75" s="134"/>
      <c r="RCS75" s="134"/>
      <c r="RCT75" s="134"/>
      <c r="RCU75" s="134"/>
      <c r="RCV75" s="134"/>
      <c r="RCW75" s="134"/>
      <c r="RCX75" s="134"/>
      <c r="RCY75" s="134"/>
      <c r="RCZ75" s="134"/>
      <c r="RDA75" s="134"/>
      <c r="RDB75" s="134"/>
      <c r="RDC75" s="134"/>
      <c r="RDD75" s="134"/>
      <c r="RDE75" s="134"/>
      <c r="RDF75" s="134"/>
      <c r="RDG75" s="134"/>
      <c r="RDH75" s="134"/>
      <c r="RDI75" s="134"/>
      <c r="RDJ75" s="134"/>
      <c r="RDK75" s="134"/>
      <c r="RDL75" s="134"/>
      <c r="RDM75" s="134"/>
      <c r="RDN75" s="134"/>
      <c r="RDO75" s="134"/>
      <c r="RDP75" s="134"/>
      <c r="RDQ75" s="134"/>
      <c r="RDR75" s="134"/>
      <c r="RDS75" s="134"/>
      <c r="RDT75" s="134"/>
      <c r="RDU75" s="134"/>
      <c r="RDV75" s="134"/>
      <c r="RDW75" s="134"/>
      <c r="RDX75" s="134"/>
      <c r="RDY75" s="134"/>
      <c r="RDZ75" s="134"/>
      <c r="REA75" s="134"/>
      <c r="REB75" s="134"/>
      <c r="REC75" s="134"/>
      <c r="RED75" s="134"/>
      <c r="REE75" s="134"/>
      <c r="REF75" s="134"/>
      <c r="REG75" s="134"/>
      <c r="REH75" s="134"/>
      <c r="REI75" s="134"/>
      <c r="REJ75" s="134"/>
      <c r="REK75" s="134"/>
      <c r="REL75" s="134"/>
      <c r="REM75" s="134"/>
      <c r="REN75" s="134"/>
      <c r="REO75" s="134"/>
      <c r="REP75" s="134"/>
      <c r="REQ75" s="134"/>
      <c r="RER75" s="134"/>
      <c r="RES75" s="134"/>
      <c r="RET75" s="134"/>
      <c r="REU75" s="134"/>
      <c r="REV75" s="134"/>
      <c r="REW75" s="134"/>
      <c r="REX75" s="134"/>
      <c r="REY75" s="134"/>
      <c r="REZ75" s="134"/>
      <c r="RFA75" s="134"/>
      <c r="RFB75" s="134"/>
      <c r="RFC75" s="134"/>
      <c r="RFD75" s="134"/>
      <c r="RFE75" s="134"/>
      <c r="RFF75" s="134"/>
      <c r="RFG75" s="134"/>
      <c r="RFH75" s="134"/>
      <c r="RFI75" s="134"/>
      <c r="RFJ75" s="134"/>
      <c r="RFK75" s="134"/>
      <c r="RFL75" s="134"/>
      <c r="RFM75" s="134"/>
      <c r="RFN75" s="134"/>
      <c r="RFO75" s="134"/>
      <c r="RFP75" s="134"/>
      <c r="RFQ75" s="134"/>
      <c r="RFR75" s="134"/>
      <c r="RFS75" s="134"/>
      <c r="RFT75" s="134"/>
      <c r="RFU75" s="134"/>
      <c r="RFV75" s="134"/>
      <c r="RFW75" s="134"/>
      <c r="RFX75" s="134"/>
      <c r="RFY75" s="134"/>
      <c r="RFZ75" s="134"/>
      <c r="RGA75" s="134"/>
      <c r="RGB75" s="134"/>
      <c r="RGC75" s="134"/>
      <c r="RGD75" s="134"/>
      <c r="RGE75" s="134"/>
      <c r="RGF75" s="134"/>
      <c r="RGG75" s="134"/>
      <c r="RGH75" s="134"/>
      <c r="RGI75" s="134"/>
      <c r="RGJ75" s="134"/>
      <c r="RGK75" s="134"/>
      <c r="RGL75" s="134"/>
      <c r="RGM75" s="134"/>
      <c r="RGN75" s="134"/>
      <c r="RGO75" s="134"/>
      <c r="RGP75" s="134"/>
      <c r="RGQ75" s="134"/>
      <c r="RGR75" s="134"/>
      <c r="RGS75" s="134"/>
      <c r="RGT75" s="134"/>
      <c r="RGU75" s="134"/>
      <c r="RGV75" s="134"/>
      <c r="RGW75" s="134"/>
      <c r="RGX75" s="134"/>
      <c r="RGY75" s="134"/>
      <c r="RGZ75" s="134"/>
      <c r="RHA75" s="134"/>
      <c r="RHB75" s="134"/>
      <c r="RHC75" s="134"/>
      <c r="RHD75" s="134"/>
      <c r="RHE75" s="134"/>
      <c r="RHF75" s="134"/>
      <c r="RHG75" s="134"/>
      <c r="RHH75" s="134"/>
      <c r="RHI75" s="134"/>
      <c r="RHJ75" s="134"/>
      <c r="RHK75" s="134"/>
      <c r="RHL75" s="134"/>
      <c r="RHM75" s="134"/>
      <c r="RHN75" s="134"/>
      <c r="RHO75" s="134"/>
      <c r="RHP75" s="134"/>
      <c r="RHQ75" s="134"/>
      <c r="RHR75" s="134"/>
      <c r="RHS75" s="134"/>
      <c r="RHT75" s="134"/>
      <c r="RHU75" s="134"/>
      <c r="RHV75" s="134"/>
      <c r="RHW75" s="134"/>
      <c r="RHX75" s="134"/>
      <c r="RHY75" s="134"/>
      <c r="RHZ75" s="134"/>
      <c r="RIA75" s="134"/>
      <c r="RIB75" s="134"/>
      <c r="RIC75" s="134"/>
      <c r="RID75" s="134"/>
      <c r="RIE75" s="134"/>
      <c r="RIF75" s="134"/>
      <c r="RIG75" s="134"/>
      <c r="RIH75" s="134"/>
      <c r="RII75" s="134"/>
      <c r="RIJ75" s="134"/>
      <c r="RIK75" s="134"/>
      <c r="RIL75" s="134"/>
      <c r="RIM75" s="134"/>
      <c r="RIN75" s="134"/>
      <c r="RIO75" s="134"/>
      <c r="RIP75" s="134"/>
      <c r="RIQ75" s="134"/>
      <c r="RIR75" s="134"/>
      <c r="RIS75" s="134"/>
      <c r="RIT75" s="134"/>
      <c r="RIU75" s="134"/>
      <c r="RIV75" s="134"/>
      <c r="RIW75" s="134"/>
      <c r="RIX75" s="134"/>
      <c r="RIY75" s="134"/>
      <c r="RIZ75" s="134"/>
      <c r="RJA75" s="134"/>
      <c r="RJB75" s="134"/>
      <c r="RJC75" s="134"/>
      <c r="RJD75" s="134"/>
      <c r="RJE75" s="134"/>
      <c r="RJF75" s="134"/>
      <c r="RJG75" s="134"/>
      <c r="RJH75" s="134"/>
      <c r="RJI75" s="134"/>
      <c r="RJJ75" s="134"/>
      <c r="RJK75" s="134"/>
      <c r="RJL75" s="134"/>
      <c r="RJM75" s="134"/>
      <c r="RJN75" s="134"/>
      <c r="RJO75" s="134"/>
      <c r="RJP75" s="134"/>
      <c r="RJQ75" s="134"/>
      <c r="RJR75" s="134"/>
      <c r="RJS75" s="134"/>
      <c r="RJT75" s="134"/>
      <c r="RJU75" s="134"/>
      <c r="RJV75" s="134"/>
      <c r="RJW75" s="134"/>
      <c r="RJX75" s="134"/>
      <c r="RJY75" s="134"/>
      <c r="RJZ75" s="134"/>
      <c r="RKA75" s="134"/>
      <c r="RKB75" s="134"/>
      <c r="RKC75" s="134"/>
      <c r="RKD75" s="134"/>
      <c r="RKE75" s="134"/>
      <c r="RKF75" s="134"/>
      <c r="RKG75" s="134"/>
      <c r="RKH75" s="134"/>
      <c r="RKI75" s="134"/>
      <c r="RKJ75" s="134"/>
      <c r="RKK75" s="134"/>
      <c r="RKL75" s="134"/>
      <c r="RKM75" s="134"/>
      <c r="RKN75" s="134"/>
      <c r="RKO75" s="134"/>
      <c r="RKP75" s="134"/>
      <c r="RKQ75" s="134"/>
      <c r="RKR75" s="134"/>
      <c r="RKS75" s="134"/>
      <c r="RKT75" s="134"/>
      <c r="RKU75" s="134"/>
      <c r="RKV75" s="134"/>
      <c r="RKW75" s="134"/>
      <c r="RKX75" s="134"/>
      <c r="RKY75" s="134"/>
      <c r="RKZ75" s="134"/>
      <c r="RLA75" s="134"/>
      <c r="RLB75" s="134"/>
      <c r="RLC75" s="134"/>
      <c r="RLD75" s="134"/>
      <c r="RLE75" s="134"/>
      <c r="RLF75" s="134"/>
      <c r="RLG75" s="134"/>
      <c r="RLH75" s="134"/>
      <c r="RLI75" s="134"/>
      <c r="RLJ75" s="134"/>
      <c r="RLK75" s="134"/>
      <c r="RLL75" s="134"/>
      <c r="RLM75" s="134"/>
      <c r="RLN75" s="134"/>
      <c r="RLO75" s="134"/>
      <c r="RLP75" s="134"/>
      <c r="RLQ75" s="134"/>
      <c r="RLR75" s="134"/>
      <c r="RLS75" s="134"/>
      <c r="RLT75" s="134"/>
      <c r="RLU75" s="134"/>
      <c r="RLV75" s="134"/>
      <c r="RLW75" s="134"/>
      <c r="RLX75" s="134"/>
      <c r="RLY75" s="134"/>
      <c r="RLZ75" s="134"/>
      <c r="RMA75" s="134"/>
      <c r="RMB75" s="134"/>
      <c r="RMC75" s="134"/>
      <c r="RMD75" s="134"/>
      <c r="RME75" s="134"/>
      <c r="RMF75" s="134"/>
      <c r="RMG75" s="134"/>
      <c r="RMH75" s="134"/>
      <c r="RMI75" s="134"/>
      <c r="RMJ75" s="134"/>
      <c r="RMK75" s="134"/>
      <c r="RML75" s="134"/>
      <c r="RMM75" s="134"/>
      <c r="RMN75" s="134"/>
      <c r="RMO75" s="134"/>
      <c r="RMP75" s="134"/>
      <c r="RMQ75" s="134"/>
      <c r="RMR75" s="134"/>
      <c r="RMS75" s="134"/>
      <c r="RMT75" s="134"/>
      <c r="RMU75" s="134"/>
      <c r="RMV75" s="134"/>
      <c r="RMW75" s="134"/>
      <c r="RMX75" s="134"/>
      <c r="RMY75" s="134"/>
      <c r="RMZ75" s="134"/>
      <c r="RNA75" s="134"/>
      <c r="RNB75" s="134"/>
      <c r="RNC75" s="134"/>
      <c r="RND75" s="134"/>
      <c r="RNE75" s="134"/>
      <c r="RNF75" s="134"/>
      <c r="RNG75" s="134"/>
      <c r="RNH75" s="134"/>
      <c r="RNI75" s="134"/>
      <c r="RNJ75" s="134"/>
      <c r="RNK75" s="134"/>
      <c r="RNL75" s="134"/>
      <c r="RNM75" s="134"/>
      <c r="RNN75" s="134"/>
      <c r="RNO75" s="134"/>
      <c r="RNP75" s="134"/>
      <c r="RNQ75" s="134"/>
      <c r="RNR75" s="134"/>
      <c r="RNS75" s="134"/>
      <c r="RNT75" s="134"/>
      <c r="RNU75" s="134"/>
      <c r="RNV75" s="134"/>
      <c r="RNW75" s="134"/>
      <c r="RNX75" s="134"/>
      <c r="RNY75" s="134"/>
      <c r="RNZ75" s="134"/>
      <c r="ROA75" s="134"/>
      <c r="ROB75" s="134"/>
      <c r="ROC75" s="134"/>
      <c r="ROD75" s="134"/>
      <c r="ROE75" s="134"/>
      <c r="ROF75" s="134"/>
      <c r="ROG75" s="134"/>
      <c r="ROH75" s="134"/>
      <c r="ROI75" s="134"/>
      <c r="ROJ75" s="134"/>
      <c r="ROK75" s="134"/>
      <c r="ROL75" s="134"/>
      <c r="ROM75" s="134"/>
      <c r="RON75" s="134"/>
      <c r="ROO75" s="134"/>
      <c r="ROP75" s="134"/>
      <c r="ROQ75" s="134"/>
      <c r="ROR75" s="134"/>
      <c r="ROS75" s="134"/>
      <c r="ROT75" s="134"/>
      <c r="ROU75" s="134"/>
      <c r="ROV75" s="134"/>
      <c r="ROW75" s="134"/>
      <c r="ROX75" s="134"/>
      <c r="ROY75" s="134"/>
      <c r="ROZ75" s="134"/>
      <c r="RPA75" s="134"/>
      <c r="RPB75" s="134"/>
      <c r="RPC75" s="134"/>
      <c r="RPD75" s="134"/>
      <c r="RPE75" s="134"/>
      <c r="RPF75" s="134"/>
      <c r="RPG75" s="134"/>
      <c r="RPH75" s="134"/>
      <c r="RPI75" s="134"/>
      <c r="RPJ75" s="134"/>
      <c r="RPK75" s="134"/>
      <c r="RPL75" s="134"/>
      <c r="RPM75" s="134"/>
      <c r="RPN75" s="134"/>
      <c r="RPO75" s="134"/>
      <c r="RPP75" s="134"/>
      <c r="RPQ75" s="134"/>
      <c r="RPR75" s="134"/>
      <c r="RPS75" s="134"/>
      <c r="RPT75" s="134"/>
      <c r="RPU75" s="134"/>
      <c r="RPV75" s="134"/>
      <c r="RPW75" s="134"/>
      <c r="RPX75" s="134"/>
      <c r="RPY75" s="134"/>
      <c r="RPZ75" s="134"/>
      <c r="RQA75" s="134"/>
      <c r="RQB75" s="134"/>
      <c r="RQC75" s="134"/>
      <c r="RQD75" s="134"/>
      <c r="RQE75" s="134"/>
      <c r="RQF75" s="134"/>
      <c r="RQG75" s="134"/>
      <c r="RQH75" s="134"/>
      <c r="RQI75" s="134"/>
      <c r="RQJ75" s="134"/>
      <c r="RQK75" s="134"/>
      <c r="RQL75" s="134"/>
      <c r="RQM75" s="134"/>
      <c r="RQN75" s="134"/>
      <c r="RQO75" s="134"/>
      <c r="RQP75" s="134"/>
      <c r="RQQ75" s="134"/>
      <c r="RQR75" s="134"/>
      <c r="RQS75" s="134"/>
      <c r="RQT75" s="134"/>
      <c r="RQU75" s="134"/>
      <c r="RQV75" s="134"/>
      <c r="RQW75" s="134"/>
      <c r="RQX75" s="134"/>
      <c r="RQY75" s="134"/>
      <c r="RQZ75" s="134"/>
      <c r="RRA75" s="134"/>
      <c r="RRB75" s="134"/>
      <c r="RRC75" s="134"/>
      <c r="RRD75" s="134"/>
      <c r="RRE75" s="134"/>
      <c r="RRF75" s="134"/>
      <c r="RRG75" s="134"/>
      <c r="RRH75" s="134"/>
      <c r="RRI75" s="134"/>
      <c r="RRJ75" s="134"/>
      <c r="RRK75" s="134"/>
      <c r="RRL75" s="134"/>
      <c r="RRM75" s="134"/>
      <c r="RRN75" s="134"/>
      <c r="RRO75" s="134"/>
      <c r="RRP75" s="134"/>
      <c r="RRQ75" s="134"/>
      <c r="RRR75" s="134"/>
      <c r="RRS75" s="134"/>
      <c r="RRT75" s="134"/>
      <c r="RRU75" s="134"/>
      <c r="RRV75" s="134"/>
      <c r="RRW75" s="134"/>
      <c r="RRX75" s="134"/>
      <c r="RRY75" s="134"/>
      <c r="RRZ75" s="134"/>
      <c r="RSA75" s="134"/>
      <c r="RSB75" s="134"/>
      <c r="RSC75" s="134"/>
      <c r="RSD75" s="134"/>
      <c r="RSE75" s="134"/>
      <c r="RSF75" s="134"/>
      <c r="RSG75" s="134"/>
      <c r="RSH75" s="134"/>
      <c r="RSI75" s="134"/>
      <c r="RSJ75" s="134"/>
      <c r="RSK75" s="134"/>
      <c r="RSL75" s="134"/>
      <c r="RSM75" s="134"/>
      <c r="RSN75" s="134"/>
      <c r="RSO75" s="134"/>
      <c r="RSP75" s="134"/>
      <c r="RSQ75" s="134"/>
      <c r="RSR75" s="134"/>
      <c r="RSS75" s="134"/>
      <c r="RST75" s="134"/>
      <c r="RSU75" s="134"/>
      <c r="RSV75" s="134"/>
      <c r="RSW75" s="134"/>
      <c r="RSX75" s="134"/>
      <c r="RSY75" s="134"/>
      <c r="RSZ75" s="134"/>
      <c r="RTA75" s="134"/>
      <c r="RTB75" s="134"/>
      <c r="RTC75" s="134"/>
      <c r="RTD75" s="134"/>
      <c r="RTE75" s="134"/>
      <c r="RTF75" s="134"/>
      <c r="RTG75" s="134"/>
      <c r="RTH75" s="134"/>
      <c r="RTI75" s="134"/>
      <c r="RTJ75" s="134"/>
      <c r="RTK75" s="134"/>
      <c r="RTL75" s="134"/>
      <c r="RTM75" s="134"/>
      <c r="RTN75" s="134"/>
      <c r="RTO75" s="134"/>
      <c r="RTP75" s="134"/>
      <c r="RTQ75" s="134"/>
      <c r="RTR75" s="134"/>
      <c r="RTS75" s="134"/>
      <c r="RTT75" s="134"/>
      <c r="RTU75" s="134"/>
      <c r="RTV75" s="134"/>
      <c r="RTW75" s="134"/>
      <c r="RTX75" s="134"/>
      <c r="RTY75" s="134"/>
      <c r="RTZ75" s="134"/>
      <c r="RUA75" s="134"/>
      <c r="RUB75" s="134"/>
      <c r="RUC75" s="134"/>
      <c r="RUD75" s="134"/>
      <c r="RUE75" s="134"/>
      <c r="RUF75" s="134"/>
      <c r="RUG75" s="134"/>
      <c r="RUH75" s="134"/>
      <c r="RUI75" s="134"/>
      <c r="RUJ75" s="134"/>
      <c r="RUK75" s="134"/>
      <c r="RUL75" s="134"/>
      <c r="RUM75" s="134"/>
      <c r="RUN75" s="134"/>
      <c r="RUO75" s="134"/>
      <c r="RUP75" s="134"/>
      <c r="RUQ75" s="134"/>
      <c r="RUR75" s="134"/>
      <c r="RUS75" s="134"/>
      <c r="RUT75" s="134"/>
      <c r="RUU75" s="134"/>
      <c r="RUV75" s="134"/>
      <c r="RUW75" s="134"/>
      <c r="RUX75" s="134"/>
      <c r="RUY75" s="134"/>
      <c r="RUZ75" s="134"/>
      <c r="RVA75" s="134"/>
      <c r="RVB75" s="134"/>
      <c r="RVC75" s="134"/>
      <c r="RVD75" s="134"/>
      <c r="RVE75" s="134"/>
      <c r="RVF75" s="134"/>
      <c r="RVG75" s="134"/>
      <c r="RVH75" s="134"/>
      <c r="RVI75" s="134"/>
      <c r="RVJ75" s="134"/>
      <c r="RVK75" s="134"/>
      <c r="RVL75" s="134"/>
      <c r="RVM75" s="134"/>
      <c r="RVN75" s="134"/>
      <c r="RVO75" s="134"/>
      <c r="RVP75" s="134"/>
      <c r="RVQ75" s="134"/>
      <c r="RVR75" s="134"/>
      <c r="RVS75" s="134"/>
      <c r="RVT75" s="134"/>
      <c r="RVU75" s="134"/>
      <c r="RVV75" s="134"/>
      <c r="RVW75" s="134"/>
      <c r="RVX75" s="134"/>
      <c r="RVY75" s="134"/>
      <c r="RVZ75" s="134"/>
      <c r="RWA75" s="134"/>
      <c r="RWB75" s="134"/>
      <c r="RWC75" s="134"/>
      <c r="RWD75" s="134"/>
      <c r="RWE75" s="134"/>
      <c r="RWF75" s="134"/>
      <c r="RWG75" s="134"/>
      <c r="RWH75" s="134"/>
      <c r="RWI75" s="134"/>
      <c r="RWJ75" s="134"/>
      <c r="RWK75" s="134"/>
      <c r="RWL75" s="134"/>
      <c r="RWM75" s="134"/>
      <c r="RWN75" s="134"/>
      <c r="RWO75" s="134"/>
      <c r="RWP75" s="134"/>
      <c r="RWQ75" s="134"/>
      <c r="RWR75" s="134"/>
      <c r="RWS75" s="134"/>
      <c r="RWT75" s="134"/>
      <c r="RWU75" s="134"/>
      <c r="RWV75" s="134"/>
      <c r="RWW75" s="134"/>
      <c r="RWX75" s="134"/>
      <c r="RWY75" s="134"/>
      <c r="RWZ75" s="134"/>
      <c r="RXA75" s="134"/>
      <c r="RXB75" s="134"/>
      <c r="RXC75" s="134"/>
      <c r="RXD75" s="134"/>
      <c r="RXE75" s="134"/>
      <c r="RXF75" s="134"/>
      <c r="RXG75" s="134"/>
      <c r="RXH75" s="134"/>
      <c r="RXI75" s="134"/>
      <c r="RXJ75" s="134"/>
      <c r="RXK75" s="134"/>
      <c r="RXL75" s="134"/>
      <c r="RXM75" s="134"/>
      <c r="RXN75" s="134"/>
      <c r="RXO75" s="134"/>
      <c r="RXP75" s="134"/>
      <c r="RXQ75" s="134"/>
      <c r="RXR75" s="134"/>
      <c r="RXS75" s="134"/>
      <c r="RXT75" s="134"/>
      <c r="RXU75" s="134"/>
      <c r="RXV75" s="134"/>
      <c r="RXW75" s="134"/>
      <c r="RXX75" s="134"/>
      <c r="RXY75" s="134"/>
      <c r="RXZ75" s="134"/>
      <c r="RYA75" s="134"/>
      <c r="RYB75" s="134"/>
      <c r="RYC75" s="134"/>
      <c r="RYD75" s="134"/>
      <c r="RYE75" s="134"/>
      <c r="RYF75" s="134"/>
      <c r="RYG75" s="134"/>
      <c r="RYH75" s="134"/>
      <c r="RYI75" s="134"/>
      <c r="RYJ75" s="134"/>
      <c r="RYK75" s="134"/>
      <c r="RYL75" s="134"/>
      <c r="RYM75" s="134"/>
      <c r="RYN75" s="134"/>
      <c r="RYO75" s="134"/>
      <c r="RYP75" s="134"/>
      <c r="RYQ75" s="134"/>
      <c r="RYR75" s="134"/>
      <c r="RYS75" s="134"/>
      <c r="RYT75" s="134"/>
      <c r="RYU75" s="134"/>
      <c r="RYV75" s="134"/>
      <c r="RYW75" s="134"/>
      <c r="RYX75" s="134"/>
      <c r="RYY75" s="134"/>
      <c r="RYZ75" s="134"/>
      <c r="RZA75" s="134"/>
      <c r="RZB75" s="134"/>
      <c r="RZC75" s="134"/>
      <c r="RZD75" s="134"/>
      <c r="RZE75" s="134"/>
      <c r="RZF75" s="134"/>
      <c r="RZG75" s="134"/>
      <c r="RZH75" s="134"/>
      <c r="RZI75" s="134"/>
      <c r="RZJ75" s="134"/>
      <c r="RZK75" s="134"/>
      <c r="RZL75" s="134"/>
      <c r="RZM75" s="134"/>
      <c r="RZN75" s="134"/>
      <c r="RZO75" s="134"/>
      <c r="RZP75" s="134"/>
      <c r="RZQ75" s="134"/>
      <c r="RZR75" s="134"/>
      <c r="RZS75" s="134"/>
      <c r="RZT75" s="134"/>
      <c r="RZU75" s="134"/>
      <c r="RZV75" s="134"/>
      <c r="RZW75" s="134"/>
      <c r="RZX75" s="134"/>
      <c r="RZY75" s="134"/>
      <c r="RZZ75" s="134"/>
      <c r="SAA75" s="134"/>
      <c r="SAB75" s="134"/>
      <c r="SAC75" s="134"/>
      <c r="SAD75" s="134"/>
      <c r="SAE75" s="134"/>
      <c r="SAF75" s="134"/>
      <c r="SAG75" s="134"/>
      <c r="SAH75" s="134"/>
      <c r="SAI75" s="134"/>
      <c r="SAJ75" s="134"/>
      <c r="SAK75" s="134"/>
      <c r="SAL75" s="134"/>
      <c r="SAM75" s="134"/>
      <c r="SAN75" s="134"/>
      <c r="SAO75" s="134"/>
      <c r="SAP75" s="134"/>
      <c r="SAQ75" s="134"/>
      <c r="SAR75" s="134"/>
      <c r="SAS75" s="134"/>
      <c r="SAT75" s="134"/>
      <c r="SAU75" s="134"/>
      <c r="SAV75" s="134"/>
      <c r="SAW75" s="134"/>
      <c r="SAX75" s="134"/>
      <c r="SAY75" s="134"/>
      <c r="SAZ75" s="134"/>
      <c r="SBA75" s="134"/>
      <c r="SBB75" s="134"/>
      <c r="SBC75" s="134"/>
      <c r="SBD75" s="134"/>
      <c r="SBE75" s="134"/>
      <c r="SBF75" s="134"/>
      <c r="SBG75" s="134"/>
      <c r="SBH75" s="134"/>
      <c r="SBI75" s="134"/>
      <c r="SBJ75" s="134"/>
      <c r="SBK75" s="134"/>
      <c r="SBL75" s="134"/>
      <c r="SBM75" s="134"/>
      <c r="SBN75" s="134"/>
      <c r="SBO75" s="134"/>
      <c r="SBP75" s="134"/>
      <c r="SBQ75" s="134"/>
      <c r="SBR75" s="134"/>
      <c r="SBS75" s="134"/>
      <c r="SBT75" s="134"/>
      <c r="SBU75" s="134"/>
      <c r="SBV75" s="134"/>
      <c r="SBW75" s="134"/>
      <c r="SBX75" s="134"/>
      <c r="SBY75" s="134"/>
      <c r="SBZ75" s="134"/>
      <c r="SCA75" s="134"/>
      <c r="SCB75" s="134"/>
      <c r="SCC75" s="134"/>
      <c r="SCD75" s="134"/>
      <c r="SCE75" s="134"/>
      <c r="SCF75" s="134"/>
      <c r="SCG75" s="134"/>
      <c r="SCH75" s="134"/>
      <c r="SCI75" s="134"/>
      <c r="SCJ75" s="134"/>
      <c r="SCK75" s="134"/>
      <c r="SCL75" s="134"/>
      <c r="SCM75" s="134"/>
      <c r="SCN75" s="134"/>
      <c r="SCO75" s="134"/>
      <c r="SCP75" s="134"/>
      <c r="SCQ75" s="134"/>
      <c r="SCR75" s="134"/>
      <c r="SCS75" s="134"/>
      <c r="SCT75" s="134"/>
      <c r="SCU75" s="134"/>
      <c r="SCV75" s="134"/>
      <c r="SCW75" s="134"/>
      <c r="SCX75" s="134"/>
      <c r="SCY75" s="134"/>
      <c r="SCZ75" s="134"/>
      <c r="SDA75" s="134"/>
      <c r="SDB75" s="134"/>
      <c r="SDC75" s="134"/>
      <c r="SDD75" s="134"/>
      <c r="SDE75" s="134"/>
      <c r="SDF75" s="134"/>
      <c r="SDG75" s="134"/>
      <c r="SDH75" s="134"/>
      <c r="SDI75" s="134"/>
      <c r="SDJ75" s="134"/>
      <c r="SDK75" s="134"/>
      <c r="SDL75" s="134"/>
      <c r="SDM75" s="134"/>
      <c r="SDN75" s="134"/>
      <c r="SDO75" s="134"/>
      <c r="SDP75" s="134"/>
      <c r="SDQ75" s="134"/>
      <c r="SDR75" s="134"/>
      <c r="SDS75" s="134"/>
      <c r="SDT75" s="134"/>
      <c r="SDU75" s="134"/>
      <c r="SDV75" s="134"/>
      <c r="SDW75" s="134"/>
      <c r="SDX75" s="134"/>
      <c r="SDY75" s="134"/>
      <c r="SDZ75" s="134"/>
      <c r="SEA75" s="134"/>
      <c r="SEB75" s="134"/>
      <c r="SEC75" s="134"/>
      <c r="SED75" s="134"/>
      <c r="SEE75" s="134"/>
      <c r="SEF75" s="134"/>
      <c r="SEG75" s="134"/>
      <c r="SEH75" s="134"/>
      <c r="SEI75" s="134"/>
      <c r="SEJ75" s="134"/>
      <c r="SEK75" s="134"/>
      <c r="SEL75" s="134"/>
      <c r="SEM75" s="134"/>
      <c r="SEN75" s="134"/>
      <c r="SEO75" s="134"/>
      <c r="SEP75" s="134"/>
      <c r="SEQ75" s="134"/>
      <c r="SER75" s="134"/>
      <c r="SES75" s="134"/>
      <c r="SET75" s="134"/>
      <c r="SEU75" s="134"/>
      <c r="SEV75" s="134"/>
      <c r="SEW75" s="134"/>
      <c r="SEX75" s="134"/>
      <c r="SEY75" s="134"/>
      <c r="SEZ75" s="134"/>
      <c r="SFA75" s="134"/>
      <c r="SFB75" s="134"/>
      <c r="SFC75" s="134"/>
      <c r="SFD75" s="134"/>
      <c r="SFE75" s="134"/>
      <c r="SFF75" s="134"/>
      <c r="SFG75" s="134"/>
      <c r="SFH75" s="134"/>
      <c r="SFI75" s="134"/>
      <c r="SFJ75" s="134"/>
      <c r="SFK75" s="134"/>
      <c r="SFL75" s="134"/>
      <c r="SFM75" s="134"/>
      <c r="SFN75" s="134"/>
      <c r="SFO75" s="134"/>
      <c r="SFP75" s="134"/>
      <c r="SFQ75" s="134"/>
      <c r="SFR75" s="134"/>
      <c r="SFS75" s="134"/>
      <c r="SFT75" s="134"/>
      <c r="SFU75" s="134"/>
      <c r="SFV75" s="134"/>
      <c r="SFW75" s="134"/>
      <c r="SFX75" s="134"/>
      <c r="SFY75" s="134"/>
      <c r="SFZ75" s="134"/>
      <c r="SGA75" s="134"/>
      <c r="SGB75" s="134"/>
      <c r="SGC75" s="134"/>
      <c r="SGD75" s="134"/>
      <c r="SGE75" s="134"/>
      <c r="SGF75" s="134"/>
      <c r="SGG75" s="134"/>
      <c r="SGH75" s="134"/>
      <c r="SGI75" s="134"/>
      <c r="SGJ75" s="134"/>
      <c r="SGK75" s="134"/>
      <c r="SGL75" s="134"/>
      <c r="SGM75" s="134"/>
      <c r="SGN75" s="134"/>
      <c r="SGO75" s="134"/>
      <c r="SGP75" s="134"/>
      <c r="SGQ75" s="134"/>
      <c r="SGR75" s="134"/>
      <c r="SGS75" s="134"/>
      <c r="SGT75" s="134"/>
      <c r="SGU75" s="134"/>
      <c r="SGV75" s="134"/>
      <c r="SGW75" s="134"/>
      <c r="SGX75" s="134"/>
      <c r="SGY75" s="134"/>
      <c r="SGZ75" s="134"/>
      <c r="SHA75" s="134"/>
      <c r="SHB75" s="134"/>
      <c r="SHC75" s="134"/>
      <c r="SHD75" s="134"/>
      <c r="SHE75" s="134"/>
      <c r="SHF75" s="134"/>
      <c r="SHG75" s="134"/>
      <c r="SHH75" s="134"/>
      <c r="SHI75" s="134"/>
      <c r="SHJ75" s="134"/>
      <c r="SHK75" s="134"/>
      <c r="SHL75" s="134"/>
      <c r="SHM75" s="134"/>
      <c r="SHN75" s="134"/>
      <c r="SHO75" s="134"/>
      <c r="SHP75" s="134"/>
      <c r="SHQ75" s="134"/>
      <c r="SHR75" s="134"/>
      <c r="SHS75" s="134"/>
      <c r="SHT75" s="134"/>
      <c r="SHU75" s="134"/>
      <c r="SHV75" s="134"/>
      <c r="SHW75" s="134"/>
      <c r="SHX75" s="134"/>
      <c r="SHY75" s="134"/>
      <c r="SHZ75" s="134"/>
      <c r="SIA75" s="134"/>
      <c r="SIB75" s="134"/>
      <c r="SIC75" s="134"/>
      <c r="SID75" s="134"/>
      <c r="SIE75" s="134"/>
      <c r="SIF75" s="134"/>
      <c r="SIG75" s="134"/>
      <c r="SIH75" s="134"/>
      <c r="SII75" s="134"/>
      <c r="SIJ75" s="134"/>
      <c r="SIK75" s="134"/>
      <c r="SIL75" s="134"/>
      <c r="SIM75" s="134"/>
      <c r="SIN75" s="134"/>
      <c r="SIO75" s="134"/>
      <c r="SIP75" s="134"/>
      <c r="SIQ75" s="134"/>
      <c r="SIR75" s="134"/>
      <c r="SIS75" s="134"/>
      <c r="SIT75" s="134"/>
      <c r="SIU75" s="134"/>
      <c r="SIV75" s="134"/>
      <c r="SIW75" s="134"/>
      <c r="SIX75" s="134"/>
      <c r="SIY75" s="134"/>
      <c r="SIZ75" s="134"/>
      <c r="SJA75" s="134"/>
      <c r="SJB75" s="134"/>
      <c r="SJC75" s="134"/>
      <c r="SJD75" s="134"/>
      <c r="SJE75" s="134"/>
      <c r="SJF75" s="134"/>
      <c r="SJG75" s="134"/>
      <c r="SJH75" s="134"/>
      <c r="SJI75" s="134"/>
      <c r="SJJ75" s="134"/>
      <c r="SJK75" s="134"/>
      <c r="SJL75" s="134"/>
      <c r="SJM75" s="134"/>
      <c r="SJN75" s="134"/>
      <c r="SJO75" s="134"/>
      <c r="SJP75" s="134"/>
      <c r="SJQ75" s="134"/>
      <c r="SJR75" s="134"/>
      <c r="SJS75" s="134"/>
      <c r="SJT75" s="134"/>
      <c r="SJU75" s="134"/>
      <c r="SJV75" s="134"/>
      <c r="SJW75" s="134"/>
      <c r="SJX75" s="134"/>
      <c r="SJY75" s="134"/>
      <c r="SJZ75" s="134"/>
      <c r="SKA75" s="134"/>
      <c r="SKB75" s="134"/>
      <c r="SKC75" s="134"/>
      <c r="SKD75" s="134"/>
      <c r="SKE75" s="134"/>
      <c r="SKF75" s="134"/>
      <c r="SKG75" s="134"/>
      <c r="SKH75" s="134"/>
      <c r="SKI75" s="134"/>
      <c r="SKJ75" s="134"/>
      <c r="SKK75" s="134"/>
      <c r="SKL75" s="134"/>
      <c r="SKM75" s="134"/>
      <c r="SKN75" s="134"/>
      <c r="SKO75" s="134"/>
      <c r="SKP75" s="134"/>
      <c r="SKQ75" s="134"/>
      <c r="SKR75" s="134"/>
      <c r="SKS75" s="134"/>
      <c r="SKT75" s="134"/>
      <c r="SKU75" s="134"/>
      <c r="SKV75" s="134"/>
      <c r="SKW75" s="134"/>
      <c r="SKX75" s="134"/>
      <c r="SKY75" s="134"/>
      <c r="SKZ75" s="134"/>
      <c r="SLA75" s="134"/>
      <c r="SLB75" s="134"/>
      <c r="SLC75" s="134"/>
      <c r="SLD75" s="134"/>
      <c r="SLE75" s="134"/>
      <c r="SLF75" s="134"/>
      <c r="SLG75" s="134"/>
      <c r="SLH75" s="134"/>
      <c r="SLI75" s="134"/>
      <c r="SLJ75" s="134"/>
      <c r="SLK75" s="134"/>
      <c r="SLL75" s="134"/>
      <c r="SLM75" s="134"/>
      <c r="SLN75" s="134"/>
      <c r="SLO75" s="134"/>
      <c r="SLP75" s="134"/>
      <c r="SLQ75" s="134"/>
      <c r="SLR75" s="134"/>
      <c r="SLS75" s="134"/>
      <c r="SLT75" s="134"/>
      <c r="SLU75" s="134"/>
      <c r="SLV75" s="134"/>
      <c r="SLW75" s="134"/>
      <c r="SLX75" s="134"/>
      <c r="SLY75" s="134"/>
      <c r="SLZ75" s="134"/>
      <c r="SMA75" s="134"/>
      <c r="SMB75" s="134"/>
      <c r="SMC75" s="134"/>
      <c r="SMD75" s="134"/>
      <c r="SME75" s="134"/>
      <c r="SMF75" s="134"/>
      <c r="SMG75" s="134"/>
      <c r="SMH75" s="134"/>
      <c r="SMI75" s="134"/>
      <c r="SMJ75" s="134"/>
      <c r="SMK75" s="134"/>
      <c r="SML75" s="134"/>
      <c r="SMM75" s="134"/>
      <c r="SMN75" s="134"/>
      <c r="SMO75" s="134"/>
      <c r="SMP75" s="134"/>
      <c r="SMQ75" s="134"/>
      <c r="SMR75" s="134"/>
      <c r="SMS75" s="134"/>
      <c r="SMT75" s="134"/>
      <c r="SMU75" s="134"/>
      <c r="SMV75" s="134"/>
      <c r="SMW75" s="134"/>
      <c r="SMX75" s="134"/>
      <c r="SMY75" s="134"/>
      <c r="SMZ75" s="134"/>
      <c r="SNA75" s="134"/>
      <c r="SNB75" s="134"/>
      <c r="SNC75" s="134"/>
      <c r="SND75" s="134"/>
      <c r="SNE75" s="134"/>
      <c r="SNF75" s="134"/>
      <c r="SNG75" s="134"/>
      <c r="SNH75" s="134"/>
      <c r="SNI75" s="134"/>
      <c r="SNJ75" s="134"/>
      <c r="SNK75" s="134"/>
      <c r="SNL75" s="134"/>
      <c r="SNM75" s="134"/>
      <c r="SNN75" s="134"/>
      <c r="SNO75" s="134"/>
      <c r="SNP75" s="134"/>
      <c r="SNQ75" s="134"/>
      <c r="SNR75" s="134"/>
      <c r="SNS75" s="134"/>
      <c r="SNT75" s="134"/>
      <c r="SNU75" s="134"/>
      <c r="SNV75" s="134"/>
      <c r="SNW75" s="134"/>
      <c r="SNX75" s="134"/>
      <c r="SNY75" s="134"/>
      <c r="SNZ75" s="134"/>
      <c r="SOA75" s="134"/>
      <c r="SOB75" s="134"/>
      <c r="SOC75" s="134"/>
      <c r="SOD75" s="134"/>
      <c r="SOE75" s="134"/>
      <c r="SOF75" s="134"/>
      <c r="SOG75" s="134"/>
      <c r="SOH75" s="134"/>
      <c r="SOI75" s="134"/>
      <c r="SOJ75" s="134"/>
      <c r="SOK75" s="134"/>
      <c r="SOL75" s="134"/>
      <c r="SOM75" s="134"/>
      <c r="SON75" s="134"/>
      <c r="SOO75" s="134"/>
      <c r="SOP75" s="134"/>
      <c r="SOQ75" s="134"/>
      <c r="SOR75" s="134"/>
      <c r="SOS75" s="134"/>
      <c r="SOT75" s="134"/>
      <c r="SOU75" s="134"/>
      <c r="SOV75" s="134"/>
      <c r="SOW75" s="134"/>
      <c r="SOX75" s="134"/>
      <c r="SOY75" s="134"/>
      <c r="SOZ75" s="134"/>
      <c r="SPA75" s="134"/>
      <c r="SPB75" s="134"/>
      <c r="SPC75" s="134"/>
      <c r="SPD75" s="134"/>
      <c r="SPE75" s="134"/>
      <c r="SPF75" s="134"/>
      <c r="SPG75" s="134"/>
      <c r="SPH75" s="134"/>
      <c r="SPI75" s="134"/>
      <c r="SPJ75" s="134"/>
      <c r="SPK75" s="134"/>
      <c r="SPL75" s="134"/>
      <c r="SPM75" s="134"/>
      <c r="SPN75" s="134"/>
      <c r="SPO75" s="134"/>
      <c r="SPP75" s="134"/>
      <c r="SPQ75" s="134"/>
      <c r="SPR75" s="134"/>
      <c r="SPS75" s="134"/>
      <c r="SPT75" s="134"/>
      <c r="SPU75" s="134"/>
      <c r="SPV75" s="134"/>
      <c r="SPW75" s="134"/>
      <c r="SPX75" s="134"/>
      <c r="SPY75" s="134"/>
      <c r="SPZ75" s="134"/>
      <c r="SQA75" s="134"/>
      <c r="SQB75" s="134"/>
      <c r="SQC75" s="134"/>
      <c r="SQD75" s="134"/>
      <c r="SQE75" s="134"/>
      <c r="SQF75" s="134"/>
      <c r="SQG75" s="134"/>
      <c r="SQH75" s="134"/>
      <c r="SQI75" s="134"/>
      <c r="SQJ75" s="134"/>
      <c r="SQK75" s="134"/>
      <c r="SQL75" s="134"/>
      <c r="SQM75" s="134"/>
      <c r="SQN75" s="134"/>
      <c r="SQO75" s="134"/>
      <c r="SQP75" s="134"/>
      <c r="SQQ75" s="134"/>
      <c r="SQR75" s="134"/>
      <c r="SQS75" s="134"/>
      <c r="SQT75" s="134"/>
      <c r="SQU75" s="134"/>
      <c r="SQV75" s="134"/>
      <c r="SQW75" s="134"/>
      <c r="SQX75" s="134"/>
      <c r="SQY75" s="134"/>
      <c r="SQZ75" s="134"/>
      <c r="SRA75" s="134"/>
      <c r="SRB75" s="134"/>
      <c r="SRC75" s="134"/>
      <c r="SRD75" s="134"/>
      <c r="SRE75" s="134"/>
      <c r="SRF75" s="134"/>
      <c r="SRG75" s="134"/>
      <c r="SRH75" s="134"/>
      <c r="SRI75" s="134"/>
      <c r="SRJ75" s="134"/>
      <c r="SRK75" s="134"/>
      <c r="SRL75" s="134"/>
      <c r="SRM75" s="134"/>
      <c r="SRN75" s="134"/>
      <c r="SRO75" s="134"/>
      <c r="SRP75" s="134"/>
      <c r="SRQ75" s="134"/>
      <c r="SRR75" s="134"/>
      <c r="SRS75" s="134"/>
      <c r="SRT75" s="134"/>
      <c r="SRU75" s="134"/>
      <c r="SRV75" s="134"/>
      <c r="SRW75" s="134"/>
      <c r="SRX75" s="134"/>
      <c r="SRY75" s="134"/>
      <c r="SRZ75" s="134"/>
      <c r="SSA75" s="134"/>
      <c r="SSB75" s="134"/>
      <c r="SSC75" s="134"/>
      <c r="SSD75" s="134"/>
      <c r="SSE75" s="134"/>
      <c r="SSF75" s="134"/>
      <c r="SSG75" s="134"/>
      <c r="SSH75" s="134"/>
      <c r="SSI75" s="134"/>
      <c r="SSJ75" s="134"/>
      <c r="SSK75" s="134"/>
      <c r="SSL75" s="134"/>
      <c r="SSM75" s="134"/>
      <c r="SSN75" s="134"/>
      <c r="SSO75" s="134"/>
      <c r="SSP75" s="134"/>
      <c r="SSQ75" s="134"/>
      <c r="SSR75" s="134"/>
      <c r="SSS75" s="134"/>
      <c r="SST75" s="134"/>
      <c r="SSU75" s="134"/>
      <c r="SSV75" s="134"/>
      <c r="SSW75" s="134"/>
      <c r="SSX75" s="134"/>
      <c r="SSY75" s="134"/>
      <c r="SSZ75" s="134"/>
      <c r="STA75" s="134"/>
      <c r="STB75" s="134"/>
      <c r="STC75" s="134"/>
      <c r="STD75" s="134"/>
      <c r="STE75" s="134"/>
      <c r="STF75" s="134"/>
      <c r="STG75" s="134"/>
      <c r="STH75" s="134"/>
      <c r="STI75" s="134"/>
      <c r="STJ75" s="134"/>
      <c r="STK75" s="134"/>
      <c r="STL75" s="134"/>
      <c r="STM75" s="134"/>
      <c r="STN75" s="134"/>
      <c r="STO75" s="134"/>
      <c r="STP75" s="134"/>
      <c r="STQ75" s="134"/>
      <c r="STR75" s="134"/>
      <c r="STS75" s="134"/>
      <c r="STT75" s="134"/>
      <c r="STU75" s="134"/>
      <c r="STV75" s="134"/>
      <c r="STW75" s="134"/>
      <c r="STX75" s="134"/>
      <c r="STY75" s="134"/>
      <c r="STZ75" s="134"/>
      <c r="SUA75" s="134"/>
      <c r="SUB75" s="134"/>
      <c r="SUC75" s="134"/>
      <c r="SUD75" s="134"/>
      <c r="SUE75" s="134"/>
      <c r="SUF75" s="134"/>
      <c r="SUG75" s="134"/>
      <c r="SUH75" s="134"/>
      <c r="SUI75" s="134"/>
      <c r="SUJ75" s="134"/>
      <c r="SUK75" s="134"/>
      <c r="SUL75" s="134"/>
      <c r="SUM75" s="134"/>
      <c r="SUN75" s="134"/>
      <c r="SUO75" s="134"/>
      <c r="SUP75" s="134"/>
      <c r="SUQ75" s="134"/>
      <c r="SUR75" s="134"/>
      <c r="SUS75" s="134"/>
      <c r="SUT75" s="134"/>
      <c r="SUU75" s="134"/>
      <c r="SUV75" s="134"/>
      <c r="SUW75" s="134"/>
      <c r="SUX75" s="134"/>
      <c r="SUY75" s="134"/>
      <c r="SUZ75" s="134"/>
      <c r="SVA75" s="134"/>
      <c r="SVB75" s="134"/>
      <c r="SVC75" s="134"/>
      <c r="SVD75" s="134"/>
      <c r="SVE75" s="134"/>
      <c r="SVF75" s="134"/>
      <c r="SVG75" s="134"/>
      <c r="SVH75" s="134"/>
      <c r="SVI75" s="134"/>
      <c r="SVJ75" s="134"/>
      <c r="SVK75" s="134"/>
      <c r="SVL75" s="134"/>
      <c r="SVM75" s="134"/>
      <c r="SVN75" s="134"/>
      <c r="SVO75" s="134"/>
      <c r="SVP75" s="134"/>
      <c r="SVQ75" s="134"/>
      <c r="SVR75" s="134"/>
      <c r="SVS75" s="134"/>
      <c r="SVT75" s="134"/>
      <c r="SVU75" s="134"/>
      <c r="SVV75" s="134"/>
      <c r="SVW75" s="134"/>
      <c r="SVX75" s="134"/>
      <c r="SVY75" s="134"/>
      <c r="SVZ75" s="134"/>
      <c r="SWA75" s="134"/>
      <c r="SWB75" s="134"/>
      <c r="SWC75" s="134"/>
      <c r="SWD75" s="134"/>
      <c r="SWE75" s="134"/>
      <c r="SWF75" s="134"/>
      <c r="SWG75" s="134"/>
      <c r="SWH75" s="134"/>
      <c r="SWI75" s="134"/>
      <c r="SWJ75" s="134"/>
      <c r="SWK75" s="134"/>
      <c r="SWL75" s="134"/>
      <c r="SWM75" s="134"/>
      <c r="SWN75" s="134"/>
      <c r="SWO75" s="134"/>
      <c r="SWP75" s="134"/>
      <c r="SWQ75" s="134"/>
      <c r="SWR75" s="134"/>
      <c r="SWS75" s="134"/>
      <c r="SWT75" s="134"/>
      <c r="SWU75" s="134"/>
      <c r="SWV75" s="134"/>
      <c r="SWW75" s="134"/>
      <c r="SWX75" s="134"/>
      <c r="SWY75" s="134"/>
      <c r="SWZ75" s="134"/>
      <c r="SXA75" s="134"/>
      <c r="SXB75" s="134"/>
      <c r="SXC75" s="134"/>
      <c r="SXD75" s="134"/>
      <c r="SXE75" s="134"/>
      <c r="SXF75" s="134"/>
      <c r="SXG75" s="134"/>
      <c r="SXH75" s="134"/>
      <c r="SXI75" s="134"/>
      <c r="SXJ75" s="134"/>
      <c r="SXK75" s="134"/>
      <c r="SXL75" s="134"/>
      <c r="SXM75" s="134"/>
      <c r="SXN75" s="134"/>
      <c r="SXO75" s="134"/>
      <c r="SXP75" s="134"/>
      <c r="SXQ75" s="134"/>
      <c r="SXR75" s="134"/>
      <c r="SXS75" s="134"/>
      <c r="SXT75" s="134"/>
      <c r="SXU75" s="134"/>
      <c r="SXV75" s="134"/>
      <c r="SXW75" s="134"/>
      <c r="SXX75" s="134"/>
      <c r="SXY75" s="134"/>
      <c r="SXZ75" s="134"/>
      <c r="SYA75" s="134"/>
      <c r="SYB75" s="134"/>
      <c r="SYC75" s="134"/>
      <c r="SYD75" s="134"/>
      <c r="SYE75" s="134"/>
      <c r="SYF75" s="134"/>
      <c r="SYG75" s="134"/>
      <c r="SYH75" s="134"/>
      <c r="SYI75" s="134"/>
      <c r="SYJ75" s="134"/>
      <c r="SYK75" s="134"/>
      <c r="SYL75" s="134"/>
      <c r="SYM75" s="134"/>
      <c r="SYN75" s="134"/>
      <c r="SYO75" s="134"/>
      <c r="SYP75" s="134"/>
      <c r="SYQ75" s="134"/>
      <c r="SYR75" s="134"/>
      <c r="SYS75" s="134"/>
      <c r="SYT75" s="134"/>
      <c r="SYU75" s="134"/>
      <c r="SYV75" s="134"/>
      <c r="SYW75" s="134"/>
      <c r="SYX75" s="134"/>
      <c r="SYY75" s="134"/>
      <c r="SYZ75" s="134"/>
      <c r="SZA75" s="134"/>
      <c r="SZB75" s="134"/>
      <c r="SZC75" s="134"/>
      <c r="SZD75" s="134"/>
      <c r="SZE75" s="134"/>
      <c r="SZF75" s="134"/>
      <c r="SZG75" s="134"/>
      <c r="SZH75" s="134"/>
      <c r="SZI75" s="134"/>
      <c r="SZJ75" s="134"/>
      <c r="SZK75" s="134"/>
      <c r="SZL75" s="134"/>
      <c r="SZM75" s="134"/>
      <c r="SZN75" s="134"/>
      <c r="SZO75" s="134"/>
      <c r="SZP75" s="134"/>
      <c r="SZQ75" s="134"/>
      <c r="SZR75" s="134"/>
      <c r="SZS75" s="134"/>
      <c r="SZT75" s="134"/>
      <c r="SZU75" s="134"/>
      <c r="SZV75" s="134"/>
      <c r="SZW75" s="134"/>
      <c r="SZX75" s="134"/>
      <c r="SZY75" s="134"/>
      <c r="SZZ75" s="134"/>
      <c r="TAA75" s="134"/>
      <c r="TAB75" s="134"/>
      <c r="TAC75" s="134"/>
      <c r="TAD75" s="134"/>
      <c r="TAE75" s="134"/>
      <c r="TAF75" s="134"/>
      <c r="TAG75" s="134"/>
      <c r="TAH75" s="134"/>
      <c r="TAI75" s="134"/>
      <c r="TAJ75" s="134"/>
      <c r="TAK75" s="134"/>
      <c r="TAL75" s="134"/>
      <c r="TAM75" s="134"/>
      <c r="TAN75" s="134"/>
      <c r="TAO75" s="134"/>
      <c r="TAP75" s="134"/>
      <c r="TAQ75" s="134"/>
      <c r="TAR75" s="134"/>
      <c r="TAS75" s="134"/>
      <c r="TAT75" s="134"/>
      <c r="TAU75" s="134"/>
      <c r="TAV75" s="134"/>
      <c r="TAW75" s="134"/>
      <c r="TAX75" s="134"/>
      <c r="TAY75" s="134"/>
      <c r="TAZ75" s="134"/>
      <c r="TBA75" s="134"/>
      <c r="TBB75" s="134"/>
      <c r="TBC75" s="134"/>
      <c r="TBD75" s="134"/>
      <c r="TBE75" s="134"/>
      <c r="TBF75" s="134"/>
      <c r="TBG75" s="134"/>
      <c r="TBH75" s="134"/>
      <c r="TBI75" s="134"/>
      <c r="TBJ75" s="134"/>
      <c r="TBK75" s="134"/>
      <c r="TBL75" s="134"/>
      <c r="TBM75" s="134"/>
      <c r="TBN75" s="134"/>
      <c r="TBO75" s="134"/>
      <c r="TBP75" s="134"/>
      <c r="TBQ75" s="134"/>
      <c r="TBR75" s="134"/>
      <c r="TBS75" s="134"/>
      <c r="TBT75" s="134"/>
      <c r="TBU75" s="134"/>
      <c r="TBV75" s="134"/>
      <c r="TBW75" s="134"/>
      <c r="TBX75" s="134"/>
      <c r="TBY75" s="134"/>
      <c r="TBZ75" s="134"/>
      <c r="TCA75" s="134"/>
      <c r="TCB75" s="134"/>
      <c r="TCC75" s="134"/>
      <c r="TCD75" s="134"/>
      <c r="TCE75" s="134"/>
      <c r="TCF75" s="134"/>
      <c r="TCG75" s="134"/>
      <c r="TCH75" s="134"/>
      <c r="TCI75" s="134"/>
      <c r="TCJ75" s="134"/>
      <c r="TCK75" s="134"/>
      <c r="TCL75" s="134"/>
      <c r="TCM75" s="134"/>
      <c r="TCN75" s="134"/>
      <c r="TCO75" s="134"/>
      <c r="TCP75" s="134"/>
      <c r="TCQ75" s="134"/>
      <c r="TCR75" s="134"/>
      <c r="TCS75" s="134"/>
      <c r="TCT75" s="134"/>
      <c r="TCU75" s="134"/>
      <c r="TCV75" s="134"/>
      <c r="TCW75" s="134"/>
      <c r="TCX75" s="134"/>
      <c r="TCY75" s="134"/>
      <c r="TCZ75" s="134"/>
      <c r="TDA75" s="134"/>
      <c r="TDB75" s="134"/>
      <c r="TDC75" s="134"/>
      <c r="TDD75" s="134"/>
      <c r="TDE75" s="134"/>
      <c r="TDF75" s="134"/>
      <c r="TDG75" s="134"/>
      <c r="TDH75" s="134"/>
      <c r="TDI75" s="134"/>
      <c r="TDJ75" s="134"/>
      <c r="TDK75" s="134"/>
      <c r="TDL75" s="134"/>
      <c r="TDM75" s="134"/>
      <c r="TDN75" s="134"/>
      <c r="TDO75" s="134"/>
      <c r="TDP75" s="134"/>
      <c r="TDQ75" s="134"/>
      <c r="TDR75" s="134"/>
      <c r="TDS75" s="134"/>
      <c r="TDT75" s="134"/>
      <c r="TDU75" s="134"/>
      <c r="TDV75" s="134"/>
      <c r="TDW75" s="134"/>
      <c r="TDX75" s="134"/>
      <c r="TDY75" s="134"/>
      <c r="TDZ75" s="134"/>
      <c r="TEA75" s="134"/>
      <c r="TEB75" s="134"/>
      <c r="TEC75" s="134"/>
      <c r="TED75" s="134"/>
      <c r="TEE75" s="134"/>
      <c r="TEF75" s="134"/>
      <c r="TEG75" s="134"/>
      <c r="TEH75" s="134"/>
      <c r="TEI75" s="134"/>
      <c r="TEJ75" s="134"/>
      <c r="TEK75" s="134"/>
      <c r="TEL75" s="134"/>
      <c r="TEM75" s="134"/>
      <c r="TEN75" s="134"/>
      <c r="TEO75" s="134"/>
      <c r="TEP75" s="134"/>
      <c r="TEQ75" s="134"/>
      <c r="TER75" s="134"/>
      <c r="TES75" s="134"/>
      <c r="TET75" s="134"/>
      <c r="TEU75" s="134"/>
      <c r="TEV75" s="134"/>
      <c r="TEW75" s="134"/>
      <c r="TEX75" s="134"/>
      <c r="TEY75" s="134"/>
      <c r="TEZ75" s="134"/>
      <c r="TFA75" s="134"/>
      <c r="TFB75" s="134"/>
      <c r="TFC75" s="134"/>
      <c r="TFD75" s="134"/>
      <c r="TFE75" s="134"/>
      <c r="TFF75" s="134"/>
      <c r="TFG75" s="134"/>
      <c r="TFH75" s="134"/>
      <c r="TFI75" s="134"/>
      <c r="TFJ75" s="134"/>
      <c r="TFK75" s="134"/>
      <c r="TFL75" s="134"/>
      <c r="TFM75" s="134"/>
      <c r="TFN75" s="134"/>
      <c r="TFO75" s="134"/>
      <c r="TFP75" s="134"/>
      <c r="TFQ75" s="134"/>
      <c r="TFR75" s="134"/>
      <c r="TFS75" s="134"/>
      <c r="TFT75" s="134"/>
      <c r="TFU75" s="134"/>
      <c r="TFV75" s="134"/>
      <c r="TFW75" s="134"/>
      <c r="TFX75" s="134"/>
      <c r="TFY75" s="134"/>
      <c r="TFZ75" s="134"/>
      <c r="TGA75" s="134"/>
      <c r="TGB75" s="134"/>
      <c r="TGC75" s="134"/>
      <c r="TGD75" s="134"/>
      <c r="TGE75" s="134"/>
      <c r="TGF75" s="134"/>
      <c r="TGG75" s="134"/>
      <c r="TGH75" s="134"/>
      <c r="TGI75" s="134"/>
      <c r="TGJ75" s="134"/>
      <c r="TGK75" s="134"/>
      <c r="TGL75" s="134"/>
      <c r="TGM75" s="134"/>
      <c r="TGN75" s="134"/>
      <c r="TGO75" s="134"/>
      <c r="TGP75" s="134"/>
      <c r="TGQ75" s="134"/>
      <c r="TGR75" s="134"/>
      <c r="TGS75" s="134"/>
      <c r="TGT75" s="134"/>
      <c r="TGU75" s="134"/>
      <c r="TGV75" s="134"/>
      <c r="TGW75" s="134"/>
      <c r="TGX75" s="134"/>
      <c r="TGY75" s="134"/>
      <c r="TGZ75" s="134"/>
      <c r="THA75" s="134"/>
      <c r="THB75" s="134"/>
      <c r="THC75" s="134"/>
      <c r="THD75" s="134"/>
      <c r="THE75" s="134"/>
      <c r="THF75" s="134"/>
      <c r="THG75" s="134"/>
      <c r="THH75" s="134"/>
      <c r="THI75" s="134"/>
      <c r="THJ75" s="134"/>
      <c r="THK75" s="134"/>
      <c r="THL75" s="134"/>
      <c r="THM75" s="134"/>
      <c r="THN75" s="134"/>
      <c r="THO75" s="134"/>
      <c r="THP75" s="134"/>
      <c r="THQ75" s="134"/>
      <c r="THR75" s="134"/>
      <c r="THS75" s="134"/>
      <c r="THT75" s="134"/>
      <c r="THU75" s="134"/>
      <c r="THV75" s="134"/>
      <c r="THW75" s="134"/>
      <c r="THX75" s="134"/>
      <c r="THY75" s="134"/>
      <c r="THZ75" s="134"/>
      <c r="TIA75" s="134"/>
      <c r="TIB75" s="134"/>
      <c r="TIC75" s="134"/>
      <c r="TID75" s="134"/>
      <c r="TIE75" s="134"/>
      <c r="TIF75" s="134"/>
      <c r="TIG75" s="134"/>
      <c r="TIH75" s="134"/>
      <c r="TII75" s="134"/>
      <c r="TIJ75" s="134"/>
      <c r="TIK75" s="134"/>
      <c r="TIL75" s="134"/>
      <c r="TIM75" s="134"/>
      <c r="TIN75" s="134"/>
      <c r="TIO75" s="134"/>
      <c r="TIP75" s="134"/>
      <c r="TIQ75" s="134"/>
      <c r="TIR75" s="134"/>
      <c r="TIS75" s="134"/>
      <c r="TIT75" s="134"/>
      <c r="TIU75" s="134"/>
      <c r="TIV75" s="134"/>
      <c r="TIW75" s="134"/>
      <c r="TIX75" s="134"/>
      <c r="TIY75" s="134"/>
      <c r="TIZ75" s="134"/>
      <c r="TJA75" s="134"/>
      <c r="TJB75" s="134"/>
      <c r="TJC75" s="134"/>
      <c r="TJD75" s="134"/>
      <c r="TJE75" s="134"/>
      <c r="TJF75" s="134"/>
      <c r="TJG75" s="134"/>
      <c r="TJH75" s="134"/>
      <c r="TJI75" s="134"/>
      <c r="TJJ75" s="134"/>
      <c r="TJK75" s="134"/>
      <c r="TJL75" s="134"/>
      <c r="TJM75" s="134"/>
      <c r="TJN75" s="134"/>
      <c r="TJO75" s="134"/>
      <c r="TJP75" s="134"/>
      <c r="TJQ75" s="134"/>
      <c r="TJR75" s="134"/>
      <c r="TJS75" s="134"/>
      <c r="TJT75" s="134"/>
      <c r="TJU75" s="134"/>
      <c r="TJV75" s="134"/>
      <c r="TJW75" s="134"/>
      <c r="TJX75" s="134"/>
      <c r="TJY75" s="134"/>
      <c r="TJZ75" s="134"/>
      <c r="TKA75" s="134"/>
      <c r="TKB75" s="134"/>
      <c r="TKC75" s="134"/>
      <c r="TKD75" s="134"/>
      <c r="TKE75" s="134"/>
      <c r="TKF75" s="134"/>
      <c r="TKG75" s="134"/>
      <c r="TKH75" s="134"/>
      <c r="TKI75" s="134"/>
      <c r="TKJ75" s="134"/>
      <c r="TKK75" s="134"/>
      <c r="TKL75" s="134"/>
      <c r="TKM75" s="134"/>
      <c r="TKN75" s="134"/>
      <c r="TKO75" s="134"/>
      <c r="TKP75" s="134"/>
      <c r="TKQ75" s="134"/>
      <c r="TKR75" s="134"/>
      <c r="TKS75" s="134"/>
      <c r="TKT75" s="134"/>
      <c r="TKU75" s="134"/>
      <c r="TKV75" s="134"/>
      <c r="TKW75" s="134"/>
      <c r="TKX75" s="134"/>
      <c r="TKY75" s="134"/>
      <c r="TKZ75" s="134"/>
      <c r="TLA75" s="134"/>
      <c r="TLB75" s="134"/>
      <c r="TLC75" s="134"/>
      <c r="TLD75" s="134"/>
      <c r="TLE75" s="134"/>
      <c r="TLF75" s="134"/>
      <c r="TLG75" s="134"/>
      <c r="TLH75" s="134"/>
      <c r="TLI75" s="134"/>
      <c r="TLJ75" s="134"/>
      <c r="TLK75" s="134"/>
      <c r="TLL75" s="134"/>
      <c r="TLM75" s="134"/>
      <c r="TLN75" s="134"/>
      <c r="TLO75" s="134"/>
      <c r="TLP75" s="134"/>
      <c r="TLQ75" s="134"/>
      <c r="TLR75" s="134"/>
      <c r="TLS75" s="134"/>
      <c r="TLT75" s="134"/>
      <c r="TLU75" s="134"/>
      <c r="TLV75" s="134"/>
      <c r="TLW75" s="134"/>
      <c r="TLX75" s="134"/>
      <c r="TLY75" s="134"/>
      <c r="TLZ75" s="134"/>
      <c r="TMA75" s="134"/>
      <c r="TMB75" s="134"/>
      <c r="TMC75" s="134"/>
      <c r="TMD75" s="134"/>
      <c r="TME75" s="134"/>
      <c r="TMF75" s="134"/>
      <c r="TMG75" s="134"/>
      <c r="TMH75" s="134"/>
      <c r="TMI75" s="134"/>
      <c r="TMJ75" s="134"/>
      <c r="TMK75" s="134"/>
      <c r="TML75" s="134"/>
      <c r="TMM75" s="134"/>
      <c r="TMN75" s="134"/>
      <c r="TMO75" s="134"/>
      <c r="TMP75" s="134"/>
      <c r="TMQ75" s="134"/>
      <c r="TMR75" s="134"/>
      <c r="TMS75" s="134"/>
      <c r="TMT75" s="134"/>
      <c r="TMU75" s="134"/>
      <c r="TMV75" s="134"/>
      <c r="TMW75" s="134"/>
      <c r="TMX75" s="134"/>
      <c r="TMY75" s="134"/>
      <c r="TMZ75" s="134"/>
      <c r="TNA75" s="134"/>
      <c r="TNB75" s="134"/>
      <c r="TNC75" s="134"/>
      <c r="TND75" s="134"/>
      <c r="TNE75" s="134"/>
      <c r="TNF75" s="134"/>
      <c r="TNG75" s="134"/>
      <c r="TNH75" s="134"/>
      <c r="TNI75" s="134"/>
      <c r="TNJ75" s="134"/>
      <c r="TNK75" s="134"/>
      <c r="TNL75" s="134"/>
      <c r="TNM75" s="134"/>
      <c r="TNN75" s="134"/>
      <c r="TNO75" s="134"/>
      <c r="TNP75" s="134"/>
      <c r="TNQ75" s="134"/>
      <c r="TNR75" s="134"/>
      <c r="TNS75" s="134"/>
      <c r="TNT75" s="134"/>
      <c r="TNU75" s="134"/>
      <c r="TNV75" s="134"/>
      <c r="TNW75" s="134"/>
      <c r="TNX75" s="134"/>
      <c r="TNY75" s="134"/>
      <c r="TNZ75" s="134"/>
      <c r="TOA75" s="134"/>
      <c r="TOB75" s="134"/>
      <c r="TOC75" s="134"/>
      <c r="TOD75" s="134"/>
      <c r="TOE75" s="134"/>
      <c r="TOF75" s="134"/>
      <c r="TOG75" s="134"/>
      <c r="TOH75" s="134"/>
      <c r="TOI75" s="134"/>
      <c r="TOJ75" s="134"/>
      <c r="TOK75" s="134"/>
      <c r="TOL75" s="134"/>
      <c r="TOM75" s="134"/>
      <c r="TON75" s="134"/>
      <c r="TOO75" s="134"/>
      <c r="TOP75" s="134"/>
      <c r="TOQ75" s="134"/>
      <c r="TOR75" s="134"/>
      <c r="TOS75" s="134"/>
      <c r="TOT75" s="134"/>
      <c r="TOU75" s="134"/>
      <c r="TOV75" s="134"/>
      <c r="TOW75" s="134"/>
      <c r="TOX75" s="134"/>
      <c r="TOY75" s="134"/>
      <c r="TOZ75" s="134"/>
      <c r="TPA75" s="134"/>
      <c r="TPB75" s="134"/>
      <c r="TPC75" s="134"/>
      <c r="TPD75" s="134"/>
      <c r="TPE75" s="134"/>
      <c r="TPF75" s="134"/>
      <c r="TPG75" s="134"/>
      <c r="TPH75" s="134"/>
      <c r="TPI75" s="134"/>
      <c r="TPJ75" s="134"/>
      <c r="TPK75" s="134"/>
      <c r="TPL75" s="134"/>
      <c r="TPM75" s="134"/>
      <c r="TPN75" s="134"/>
      <c r="TPO75" s="134"/>
      <c r="TPP75" s="134"/>
      <c r="TPQ75" s="134"/>
      <c r="TPR75" s="134"/>
      <c r="TPS75" s="134"/>
      <c r="TPT75" s="134"/>
      <c r="TPU75" s="134"/>
      <c r="TPV75" s="134"/>
      <c r="TPW75" s="134"/>
      <c r="TPX75" s="134"/>
      <c r="TPY75" s="134"/>
      <c r="TPZ75" s="134"/>
      <c r="TQA75" s="134"/>
      <c r="TQB75" s="134"/>
      <c r="TQC75" s="134"/>
      <c r="TQD75" s="134"/>
      <c r="TQE75" s="134"/>
      <c r="TQF75" s="134"/>
      <c r="TQG75" s="134"/>
      <c r="TQH75" s="134"/>
      <c r="TQI75" s="134"/>
      <c r="TQJ75" s="134"/>
      <c r="TQK75" s="134"/>
      <c r="TQL75" s="134"/>
      <c r="TQM75" s="134"/>
      <c r="TQN75" s="134"/>
      <c r="TQO75" s="134"/>
      <c r="TQP75" s="134"/>
      <c r="TQQ75" s="134"/>
      <c r="TQR75" s="134"/>
      <c r="TQS75" s="134"/>
      <c r="TQT75" s="134"/>
      <c r="TQU75" s="134"/>
      <c r="TQV75" s="134"/>
      <c r="TQW75" s="134"/>
      <c r="TQX75" s="134"/>
      <c r="TQY75" s="134"/>
      <c r="TQZ75" s="134"/>
      <c r="TRA75" s="134"/>
      <c r="TRB75" s="134"/>
      <c r="TRC75" s="134"/>
      <c r="TRD75" s="134"/>
      <c r="TRE75" s="134"/>
      <c r="TRF75" s="134"/>
      <c r="TRG75" s="134"/>
      <c r="TRH75" s="134"/>
      <c r="TRI75" s="134"/>
      <c r="TRJ75" s="134"/>
      <c r="TRK75" s="134"/>
      <c r="TRL75" s="134"/>
      <c r="TRM75" s="134"/>
      <c r="TRN75" s="134"/>
      <c r="TRO75" s="134"/>
      <c r="TRP75" s="134"/>
      <c r="TRQ75" s="134"/>
      <c r="TRR75" s="134"/>
      <c r="TRS75" s="134"/>
      <c r="TRT75" s="134"/>
      <c r="TRU75" s="134"/>
      <c r="TRV75" s="134"/>
      <c r="TRW75" s="134"/>
      <c r="TRX75" s="134"/>
      <c r="TRY75" s="134"/>
      <c r="TRZ75" s="134"/>
      <c r="TSA75" s="134"/>
      <c r="TSB75" s="134"/>
      <c r="TSC75" s="134"/>
      <c r="TSD75" s="134"/>
      <c r="TSE75" s="134"/>
      <c r="TSF75" s="134"/>
      <c r="TSG75" s="134"/>
      <c r="TSH75" s="134"/>
      <c r="TSI75" s="134"/>
      <c r="TSJ75" s="134"/>
      <c r="TSK75" s="134"/>
      <c r="TSL75" s="134"/>
      <c r="TSM75" s="134"/>
      <c r="TSN75" s="134"/>
      <c r="TSO75" s="134"/>
      <c r="TSP75" s="134"/>
      <c r="TSQ75" s="134"/>
      <c r="TSR75" s="134"/>
      <c r="TSS75" s="134"/>
      <c r="TST75" s="134"/>
      <c r="TSU75" s="134"/>
      <c r="TSV75" s="134"/>
      <c r="TSW75" s="134"/>
      <c r="TSX75" s="134"/>
      <c r="TSY75" s="134"/>
      <c r="TSZ75" s="134"/>
      <c r="TTA75" s="134"/>
      <c r="TTB75" s="134"/>
      <c r="TTC75" s="134"/>
      <c r="TTD75" s="134"/>
      <c r="TTE75" s="134"/>
      <c r="TTF75" s="134"/>
      <c r="TTG75" s="134"/>
      <c r="TTH75" s="134"/>
      <c r="TTI75" s="134"/>
      <c r="TTJ75" s="134"/>
      <c r="TTK75" s="134"/>
      <c r="TTL75" s="134"/>
      <c r="TTM75" s="134"/>
      <c r="TTN75" s="134"/>
      <c r="TTO75" s="134"/>
      <c r="TTP75" s="134"/>
      <c r="TTQ75" s="134"/>
      <c r="TTR75" s="134"/>
      <c r="TTS75" s="134"/>
      <c r="TTT75" s="134"/>
      <c r="TTU75" s="134"/>
      <c r="TTV75" s="134"/>
      <c r="TTW75" s="134"/>
      <c r="TTX75" s="134"/>
      <c r="TTY75" s="134"/>
      <c r="TTZ75" s="134"/>
      <c r="TUA75" s="134"/>
      <c r="TUB75" s="134"/>
      <c r="TUC75" s="134"/>
      <c r="TUD75" s="134"/>
      <c r="TUE75" s="134"/>
      <c r="TUF75" s="134"/>
      <c r="TUG75" s="134"/>
      <c r="TUH75" s="134"/>
      <c r="TUI75" s="134"/>
      <c r="TUJ75" s="134"/>
      <c r="TUK75" s="134"/>
      <c r="TUL75" s="134"/>
      <c r="TUM75" s="134"/>
      <c r="TUN75" s="134"/>
      <c r="TUO75" s="134"/>
      <c r="TUP75" s="134"/>
      <c r="TUQ75" s="134"/>
      <c r="TUR75" s="134"/>
      <c r="TUS75" s="134"/>
      <c r="TUT75" s="134"/>
      <c r="TUU75" s="134"/>
      <c r="TUV75" s="134"/>
      <c r="TUW75" s="134"/>
      <c r="TUX75" s="134"/>
      <c r="TUY75" s="134"/>
      <c r="TUZ75" s="134"/>
      <c r="TVA75" s="134"/>
      <c r="TVB75" s="134"/>
      <c r="TVC75" s="134"/>
      <c r="TVD75" s="134"/>
      <c r="TVE75" s="134"/>
      <c r="TVF75" s="134"/>
      <c r="TVG75" s="134"/>
      <c r="TVH75" s="134"/>
      <c r="TVI75" s="134"/>
      <c r="TVJ75" s="134"/>
      <c r="TVK75" s="134"/>
      <c r="TVL75" s="134"/>
      <c r="TVM75" s="134"/>
      <c r="TVN75" s="134"/>
      <c r="TVO75" s="134"/>
      <c r="TVP75" s="134"/>
      <c r="TVQ75" s="134"/>
      <c r="TVR75" s="134"/>
      <c r="TVS75" s="134"/>
      <c r="TVT75" s="134"/>
      <c r="TVU75" s="134"/>
      <c r="TVV75" s="134"/>
      <c r="TVW75" s="134"/>
      <c r="TVX75" s="134"/>
      <c r="TVY75" s="134"/>
      <c r="TVZ75" s="134"/>
      <c r="TWA75" s="134"/>
      <c r="TWB75" s="134"/>
      <c r="TWC75" s="134"/>
      <c r="TWD75" s="134"/>
      <c r="TWE75" s="134"/>
      <c r="TWF75" s="134"/>
      <c r="TWG75" s="134"/>
      <c r="TWH75" s="134"/>
      <c r="TWI75" s="134"/>
      <c r="TWJ75" s="134"/>
      <c r="TWK75" s="134"/>
      <c r="TWL75" s="134"/>
      <c r="TWM75" s="134"/>
      <c r="TWN75" s="134"/>
      <c r="TWO75" s="134"/>
      <c r="TWP75" s="134"/>
      <c r="TWQ75" s="134"/>
      <c r="TWR75" s="134"/>
      <c r="TWS75" s="134"/>
      <c r="TWT75" s="134"/>
      <c r="TWU75" s="134"/>
      <c r="TWV75" s="134"/>
      <c r="TWW75" s="134"/>
      <c r="TWX75" s="134"/>
      <c r="TWY75" s="134"/>
      <c r="TWZ75" s="134"/>
      <c r="TXA75" s="134"/>
      <c r="TXB75" s="134"/>
      <c r="TXC75" s="134"/>
      <c r="TXD75" s="134"/>
      <c r="TXE75" s="134"/>
      <c r="TXF75" s="134"/>
      <c r="TXG75" s="134"/>
      <c r="TXH75" s="134"/>
      <c r="TXI75" s="134"/>
      <c r="TXJ75" s="134"/>
      <c r="TXK75" s="134"/>
      <c r="TXL75" s="134"/>
      <c r="TXM75" s="134"/>
      <c r="TXN75" s="134"/>
      <c r="TXO75" s="134"/>
      <c r="TXP75" s="134"/>
      <c r="TXQ75" s="134"/>
      <c r="TXR75" s="134"/>
      <c r="TXS75" s="134"/>
      <c r="TXT75" s="134"/>
      <c r="TXU75" s="134"/>
      <c r="TXV75" s="134"/>
      <c r="TXW75" s="134"/>
      <c r="TXX75" s="134"/>
      <c r="TXY75" s="134"/>
      <c r="TXZ75" s="134"/>
      <c r="TYA75" s="134"/>
      <c r="TYB75" s="134"/>
      <c r="TYC75" s="134"/>
      <c r="TYD75" s="134"/>
      <c r="TYE75" s="134"/>
      <c r="TYF75" s="134"/>
      <c r="TYG75" s="134"/>
      <c r="TYH75" s="134"/>
      <c r="TYI75" s="134"/>
      <c r="TYJ75" s="134"/>
      <c r="TYK75" s="134"/>
      <c r="TYL75" s="134"/>
      <c r="TYM75" s="134"/>
      <c r="TYN75" s="134"/>
      <c r="TYO75" s="134"/>
      <c r="TYP75" s="134"/>
      <c r="TYQ75" s="134"/>
      <c r="TYR75" s="134"/>
      <c r="TYS75" s="134"/>
      <c r="TYT75" s="134"/>
      <c r="TYU75" s="134"/>
      <c r="TYV75" s="134"/>
      <c r="TYW75" s="134"/>
      <c r="TYX75" s="134"/>
      <c r="TYY75" s="134"/>
      <c r="TYZ75" s="134"/>
      <c r="TZA75" s="134"/>
      <c r="TZB75" s="134"/>
      <c r="TZC75" s="134"/>
      <c r="TZD75" s="134"/>
      <c r="TZE75" s="134"/>
      <c r="TZF75" s="134"/>
      <c r="TZG75" s="134"/>
      <c r="TZH75" s="134"/>
      <c r="TZI75" s="134"/>
      <c r="TZJ75" s="134"/>
      <c r="TZK75" s="134"/>
      <c r="TZL75" s="134"/>
      <c r="TZM75" s="134"/>
      <c r="TZN75" s="134"/>
      <c r="TZO75" s="134"/>
      <c r="TZP75" s="134"/>
      <c r="TZQ75" s="134"/>
      <c r="TZR75" s="134"/>
      <c r="TZS75" s="134"/>
      <c r="TZT75" s="134"/>
      <c r="TZU75" s="134"/>
      <c r="TZV75" s="134"/>
      <c r="TZW75" s="134"/>
      <c r="TZX75" s="134"/>
      <c r="TZY75" s="134"/>
      <c r="TZZ75" s="134"/>
      <c r="UAA75" s="134"/>
      <c r="UAB75" s="134"/>
      <c r="UAC75" s="134"/>
      <c r="UAD75" s="134"/>
      <c r="UAE75" s="134"/>
      <c r="UAF75" s="134"/>
      <c r="UAG75" s="134"/>
      <c r="UAH75" s="134"/>
      <c r="UAI75" s="134"/>
      <c r="UAJ75" s="134"/>
      <c r="UAK75" s="134"/>
      <c r="UAL75" s="134"/>
      <c r="UAM75" s="134"/>
      <c r="UAN75" s="134"/>
      <c r="UAO75" s="134"/>
      <c r="UAP75" s="134"/>
      <c r="UAQ75" s="134"/>
      <c r="UAR75" s="134"/>
      <c r="UAS75" s="134"/>
      <c r="UAT75" s="134"/>
      <c r="UAU75" s="134"/>
      <c r="UAV75" s="134"/>
      <c r="UAW75" s="134"/>
      <c r="UAX75" s="134"/>
      <c r="UAY75" s="134"/>
      <c r="UAZ75" s="134"/>
      <c r="UBA75" s="134"/>
      <c r="UBB75" s="134"/>
      <c r="UBC75" s="134"/>
      <c r="UBD75" s="134"/>
      <c r="UBE75" s="134"/>
      <c r="UBF75" s="134"/>
      <c r="UBG75" s="134"/>
      <c r="UBH75" s="134"/>
      <c r="UBI75" s="134"/>
      <c r="UBJ75" s="134"/>
      <c r="UBK75" s="134"/>
      <c r="UBL75" s="134"/>
      <c r="UBM75" s="134"/>
      <c r="UBN75" s="134"/>
      <c r="UBO75" s="134"/>
      <c r="UBP75" s="134"/>
      <c r="UBQ75" s="134"/>
      <c r="UBR75" s="134"/>
      <c r="UBS75" s="134"/>
      <c r="UBT75" s="134"/>
      <c r="UBU75" s="134"/>
      <c r="UBV75" s="134"/>
      <c r="UBW75" s="134"/>
      <c r="UBX75" s="134"/>
      <c r="UBY75" s="134"/>
      <c r="UBZ75" s="134"/>
      <c r="UCA75" s="134"/>
      <c r="UCB75" s="134"/>
      <c r="UCC75" s="134"/>
      <c r="UCD75" s="134"/>
      <c r="UCE75" s="134"/>
      <c r="UCF75" s="134"/>
      <c r="UCG75" s="134"/>
      <c r="UCH75" s="134"/>
      <c r="UCI75" s="134"/>
      <c r="UCJ75" s="134"/>
      <c r="UCK75" s="134"/>
      <c r="UCL75" s="134"/>
      <c r="UCM75" s="134"/>
      <c r="UCN75" s="134"/>
      <c r="UCO75" s="134"/>
      <c r="UCP75" s="134"/>
      <c r="UCQ75" s="134"/>
      <c r="UCR75" s="134"/>
      <c r="UCS75" s="134"/>
      <c r="UCT75" s="134"/>
      <c r="UCU75" s="134"/>
      <c r="UCV75" s="134"/>
      <c r="UCW75" s="134"/>
      <c r="UCX75" s="134"/>
      <c r="UCY75" s="134"/>
      <c r="UCZ75" s="134"/>
      <c r="UDA75" s="134"/>
      <c r="UDB75" s="134"/>
      <c r="UDC75" s="134"/>
      <c r="UDD75" s="134"/>
      <c r="UDE75" s="134"/>
      <c r="UDF75" s="134"/>
      <c r="UDG75" s="134"/>
      <c r="UDH75" s="134"/>
      <c r="UDI75" s="134"/>
      <c r="UDJ75" s="134"/>
      <c r="UDK75" s="134"/>
      <c r="UDL75" s="134"/>
      <c r="UDM75" s="134"/>
      <c r="UDN75" s="134"/>
      <c r="UDO75" s="134"/>
      <c r="UDP75" s="134"/>
      <c r="UDQ75" s="134"/>
      <c r="UDR75" s="134"/>
      <c r="UDS75" s="134"/>
      <c r="UDT75" s="134"/>
      <c r="UDU75" s="134"/>
      <c r="UDV75" s="134"/>
      <c r="UDW75" s="134"/>
      <c r="UDX75" s="134"/>
      <c r="UDY75" s="134"/>
      <c r="UDZ75" s="134"/>
      <c r="UEA75" s="134"/>
      <c r="UEB75" s="134"/>
      <c r="UEC75" s="134"/>
      <c r="UED75" s="134"/>
      <c r="UEE75" s="134"/>
      <c r="UEF75" s="134"/>
      <c r="UEG75" s="134"/>
      <c r="UEH75" s="134"/>
      <c r="UEI75" s="134"/>
      <c r="UEJ75" s="134"/>
      <c r="UEK75" s="134"/>
      <c r="UEL75" s="134"/>
      <c r="UEM75" s="134"/>
      <c r="UEN75" s="134"/>
      <c r="UEO75" s="134"/>
      <c r="UEP75" s="134"/>
      <c r="UEQ75" s="134"/>
      <c r="UER75" s="134"/>
      <c r="UES75" s="134"/>
      <c r="UET75" s="134"/>
      <c r="UEU75" s="134"/>
      <c r="UEV75" s="134"/>
      <c r="UEW75" s="134"/>
      <c r="UEX75" s="134"/>
      <c r="UEY75" s="134"/>
      <c r="UEZ75" s="134"/>
      <c r="UFA75" s="134"/>
      <c r="UFB75" s="134"/>
      <c r="UFC75" s="134"/>
      <c r="UFD75" s="134"/>
      <c r="UFE75" s="134"/>
      <c r="UFF75" s="134"/>
      <c r="UFG75" s="134"/>
      <c r="UFH75" s="134"/>
      <c r="UFI75" s="134"/>
      <c r="UFJ75" s="134"/>
      <c r="UFK75" s="134"/>
      <c r="UFL75" s="134"/>
      <c r="UFM75" s="134"/>
      <c r="UFN75" s="134"/>
      <c r="UFO75" s="134"/>
      <c r="UFP75" s="134"/>
      <c r="UFQ75" s="134"/>
      <c r="UFR75" s="134"/>
      <c r="UFS75" s="134"/>
      <c r="UFT75" s="134"/>
      <c r="UFU75" s="134"/>
      <c r="UFV75" s="134"/>
      <c r="UFW75" s="134"/>
      <c r="UFX75" s="134"/>
      <c r="UFY75" s="134"/>
      <c r="UFZ75" s="134"/>
      <c r="UGA75" s="134"/>
      <c r="UGB75" s="134"/>
      <c r="UGC75" s="134"/>
      <c r="UGD75" s="134"/>
      <c r="UGE75" s="134"/>
      <c r="UGF75" s="134"/>
      <c r="UGG75" s="134"/>
      <c r="UGH75" s="134"/>
      <c r="UGI75" s="134"/>
      <c r="UGJ75" s="134"/>
      <c r="UGK75" s="134"/>
      <c r="UGL75" s="134"/>
      <c r="UGM75" s="134"/>
      <c r="UGN75" s="134"/>
      <c r="UGO75" s="134"/>
      <c r="UGP75" s="134"/>
      <c r="UGQ75" s="134"/>
      <c r="UGR75" s="134"/>
      <c r="UGS75" s="134"/>
      <c r="UGT75" s="134"/>
      <c r="UGU75" s="134"/>
      <c r="UGV75" s="134"/>
      <c r="UGW75" s="134"/>
      <c r="UGX75" s="134"/>
      <c r="UGY75" s="134"/>
      <c r="UGZ75" s="134"/>
      <c r="UHA75" s="134"/>
      <c r="UHB75" s="134"/>
      <c r="UHC75" s="134"/>
      <c r="UHD75" s="134"/>
      <c r="UHE75" s="134"/>
      <c r="UHF75" s="134"/>
      <c r="UHG75" s="134"/>
      <c r="UHH75" s="134"/>
      <c r="UHI75" s="134"/>
      <c r="UHJ75" s="134"/>
      <c r="UHK75" s="134"/>
      <c r="UHL75" s="134"/>
      <c r="UHM75" s="134"/>
      <c r="UHN75" s="134"/>
      <c r="UHO75" s="134"/>
      <c r="UHP75" s="134"/>
      <c r="UHQ75" s="134"/>
      <c r="UHR75" s="134"/>
      <c r="UHS75" s="134"/>
      <c r="UHT75" s="134"/>
      <c r="UHU75" s="134"/>
      <c r="UHV75" s="134"/>
      <c r="UHW75" s="134"/>
      <c r="UHX75" s="134"/>
      <c r="UHY75" s="134"/>
      <c r="UHZ75" s="134"/>
      <c r="UIA75" s="134"/>
      <c r="UIB75" s="134"/>
      <c r="UIC75" s="134"/>
      <c r="UID75" s="134"/>
      <c r="UIE75" s="134"/>
      <c r="UIF75" s="134"/>
      <c r="UIG75" s="134"/>
      <c r="UIH75" s="134"/>
      <c r="UII75" s="134"/>
      <c r="UIJ75" s="134"/>
      <c r="UIK75" s="134"/>
      <c r="UIL75" s="134"/>
      <c r="UIM75" s="134"/>
      <c r="UIN75" s="134"/>
      <c r="UIO75" s="134"/>
      <c r="UIP75" s="134"/>
      <c r="UIQ75" s="134"/>
      <c r="UIR75" s="134"/>
      <c r="UIS75" s="134"/>
      <c r="UIT75" s="134"/>
      <c r="UIU75" s="134"/>
      <c r="UIV75" s="134"/>
      <c r="UIW75" s="134"/>
      <c r="UIX75" s="134"/>
      <c r="UIY75" s="134"/>
      <c r="UIZ75" s="134"/>
      <c r="UJA75" s="134"/>
      <c r="UJB75" s="134"/>
      <c r="UJC75" s="134"/>
      <c r="UJD75" s="134"/>
      <c r="UJE75" s="134"/>
      <c r="UJF75" s="134"/>
      <c r="UJG75" s="134"/>
      <c r="UJH75" s="134"/>
      <c r="UJI75" s="134"/>
      <c r="UJJ75" s="134"/>
      <c r="UJK75" s="134"/>
      <c r="UJL75" s="134"/>
      <c r="UJM75" s="134"/>
      <c r="UJN75" s="134"/>
      <c r="UJO75" s="134"/>
      <c r="UJP75" s="134"/>
      <c r="UJQ75" s="134"/>
      <c r="UJR75" s="134"/>
      <c r="UJS75" s="134"/>
      <c r="UJT75" s="134"/>
      <c r="UJU75" s="134"/>
      <c r="UJV75" s="134"/>
      <c r="UJW75" s="134"/>
      <c r="UJX75" s="134"/>
      <c r="UJY75" s="134"/>
      <c r="UJZ75" s="134"/>
      <c r="UKA75" s="134"/>
      <c r="UKB75" s="134"/>
      <c r="UKC75" s="134"/>
      <c r="UKD75" s="134"/>
      <c r="UKE75" s="134"/>
      <c r="UKF75" s="134"/>
      <c r="UKG75" s="134"/>
      <c r="UKH75" s="134"/>
      <c r="UKI75" s="134"/>
      <c r="UKJ75" s="134"/>
      <c r="UKK75" s="134"/>
      <c r="UKL75" s="134"/>
      <c r="UKM75" s="134"/>
      <c r="UKN75" s="134"/>
      <c r="UKO75" s="134"/>
      <c r="UKP75" s="134"/>
      <c r="UKQ75" s="134"/>
      <c r="UKR75" s="134"/>
      <c r="UKS75" s="134"/>
      <c r="UKT75" s="134"/>
      <c r="UKU75" s="134"/>
      <c r="UKV75" s="134"/>
      <c r="UKW75" s="134"/>
      <c r="UKX75" s="134"/>
      <c r="UKY75" s="134"/>
      <c r="UKZ75" s="134"/>
      <c r="ULA75" s="134"/>
      <c r="ULB75" s="134"/>
      <c r="ULC75" s="134"/>
      <c r="ULD75" s="134"/>
      <c r="ULE75" s="134"/>
      <c r="ULF75" s="134"/>
      <c r="ULG75" s="134"/>
      <c r="ULH75" s="134"/>
      <c r="ULI75" s="134"/>
      <c r="ULJ75" s="134"/>
      <c r="ULK75" s="134"/>
      <c r="ULL75" s="134"/>
      <c r="ULM75" s="134"/>
      <c r="ULN75" s="134"/>
      <c r="ULO75" s="134"/>
      <c r="ULP75" s="134"/>
      <c r="ULQ75" s="134"/>
      <c r="ULR75" s="134"/>
      <c r="ULS75" s="134"/>
      <c r="ULT75" s="134"/>
      <c r="ULU75" s="134"/>
      <c r="ULV75" s="134"/>
      <c r="ULW75" s="134"/>
      <c r="ULX75" s="134"/>
      <c r="ULY75" s="134"/>
      <c r="ULZ75" s="134"/>
      <c r="UMA75" s="134"/>
      <c r="UMB75" s="134"/>
      <c r="UMC75" s="134"/>
      <c r="UMD75" s="134"/>
      <c r="UME75" s="134"/>
      <c r="UMF75" s="134"/>
      <c r="UMG75" s="134"/>
      <c r="UMH75" s="134"/>
      <c r="UMI75" s="134"/>
      <c r="UMJ75" s="134"/>
      <c r="UMK75" s="134"/>
      <c r="UML75" s="134"/>
      <c r="UMM75" s="134"/>
      <c r="UMN75" s="134"/>
      <c r="UMO75" s="134"/>
      <c r="UMP75" s="134"/>
      <c r="UMQ75" s="134"/>
      <c r="UMR75" s="134"/>
      <c r="UMS75" s="134"/>
      <c r="UMT75" s="134"/>
      <c r="UMU75" s="134"/>
      <c r="UMV75" s="134"/>
      <c r="UMW75" s="134"/>
      <c r="UMX75" s="134"/>
      <c r="UMY75" s="134"/>
      <c r="UMZ75" s="134"/>
      <c r="UNA75" s="134"/>
      <c r="UNB75" s="134"/>
      <c r="UNC75" s="134"/>
      <c r="UND75" s="134"/>
      <c r="UNE75" s="134"/>
      <c r="UNF75" s="134"/>
      <c r="UNG75" s="134"/>
      <c r="UNH75" s="134"/>
      <c r="UNI75" s="134"/>
      <c r="UNJ75" s="134"/>
      <c r="UNK75" s="134"/>
      <c r="UNL75" s="134"/>
      <c r="UNM75" s="134"/>
      <c r="UNN75" s="134"/>
      <c r="UNO75" s="134"/>
      <c r="UNP75" s="134"/>
      <c r="UNQ75" s="134"/>
      <c r="UNR75" s="134"/>
      <c r="UNS75" s="134"/>
      <c r="UNT75" s="134"/>
      <c r="UNU75" s="134"/>
      <c r="UNV75" s="134"/>
      <c r="UNW75" s="134"/>
      <c r="UNX75" s="134"/>
      <c r="UNY75" s="134"/>
      <c r="UNZ75" s="134"/>
      <c r="UOA75" s="134"/>
      <c r="UOB75" s="134"/>
      <c r="UOC75" s="134"/>
      <c r="UOD75" s="134"/>
      <c r="UOE75" s="134"/>
      <c r="UOF75" s="134"/>
      <c r="UOG75" s="134"/>
      <c r="UOH75" s="134"/>
      <c r="UOI75" s="134"/>
      <c r="UOJ75" s="134"/>
      <c r="UOK75" s="134"/>
      <c r="UOL75" s="134"/>
      <c r="UOM75" s="134"/>
      <c r="UON75" s="134"/>
      <c r="UOO75" s="134"/>
      <c r="UOP75" s="134"/>
      <c r="UOQ75" s="134"/>
      <c r="UOR75" s="134"/>
      <c r="UOS75" s="134"/>
      <c r="UOT75" s="134"/>
      <c r="UOU75" s="134"/>
      <c r="UOV75" s="134"/>
      <c r="UOW75" s="134"/>
      <c r="UOX75" s="134"/>
      <c r="UOY75" s="134"/>
      <c r="UOZ75" s="134"/>
      <c r="UPA75" s="134"/>
      <c r="UPB75" s="134"/>
      <c r="UPC75" s="134"/>
      <c r="UPD75" s="134"/>
      <c r="UPE75" s="134"/>
      <c r="UPF75" s="134"/>
      <c r="UPG75" s="134"/>
      <c r="UPH75" s="134"/>
      <c r="UPI75" s="134"/>
      <c r="UPJ75" s="134"/>
      <c r="UPK75" s="134"/>
      <c r="UPL75" s="134"/>
      <c r="UPM75" s="134"/>
      <c r="UPN75" s="134"/>
      <c r="UPO75" s="134"/>
      <c r="UPP75" s="134"/>
      <c r="UPQ75" s="134"/>
      <c r="UPR75" s="134"/>
      <c r="UPS75" s="134"/>
      <c r="UPT75" s="134"/>
      <c r="UPU75" s="134"/>
      <c r="UPV75" s="134"/>
      <c r="UPW75" s="134"/>
      <c r="UPX75" s="134"/>
      <c r="UPY75" s="134"/>
      <c r="UPZ75" s="134"/>
      <c r="UQA75" s="134"/>
      <c r="UQB75" s="134"/>
      <c r="UQC75" s="134"/>
      <c r="UQD75" s="134"/>
      <c r="UQE75" s="134"/>
      <c r="UQF75" s="134"/>
      <c r="UQG75" s="134"/>
      <c r="UQH75" s="134"/>
      <c r="UQI75" s="134"/>
      <c r="UQJ75" s="134"/>
      <c r="UQK75" s="134"/>
      <c r="UQL75" s="134"/>
      <c r="UQM75" s="134"/>
      <c r="UQN75" s="134"/>
      <c r="UQO75" s="134"/>
      <c r="UQP75" s="134"/>
      <c r="UQQ75" s="134"/>
      <c r="UQR75" s="134"/>
      <c r="UQS75" s="134"/>
      <c r="UQT75" s="134"/>
      <c r="UQU75" s="134"/>
      <c r="UQV75" s="134"/>
      <c r="UQW75" s="134"/>
      <c r="UQX75" s="134"/>
      <c r="UQY75" s="134"/>
      <c r="UQZ75" s="134"/>
      <c r="URA75" s="134"/>
      <c r="URB75" s="134"/>
      <c r="URC75" s="134"/>
      <c r="URD75" s="134"/>
      <c r="URE75" s="134"/>
      <c r="URF75" s="134"/>
      <c r="URG75" s="134"/>
      <c r="URH75" s="134"/>
      <c r="URI75" s="134"/>
      <c r="URJ75" s="134"/>
      <c r="URK75" s="134"/>
      <c r="URL75" s="134"/>
      <c r="URM75" s="134"/>
      <c r="URN75" s="134"/>
      <c r="URO75" s="134"/>
      <c r="URP75" s="134"/>
      <c r="URQ75" s="134"/>
      <c r="URR75" s="134"/>
      <c r="URS75" s="134"/>
      <c r="URT75" s="134"/>
      <c r="URU75" s="134"/>
      <c r="URV75" s="134"/>
      <c r="URW75" s="134"/>
      <c r="URX75" s="134"/>
      <c r="URY75" s="134"/>
      <c r="URZ75" s="134"/>
      <c r="USA75" s="134"/>
      <c r="USB75" s="134"/>
      <c r="USC75" s="134"/>
      <c r="USD75" s="134"/>
      <c r="USE75" s="134"/>
      <c r="USF75" s="134"/>
      <c r="USG75" s="134"/>
      <c r="USH75" s="134"/>
      <c r="USI75" s="134"/>
      <c r="USJ75" s="134"/>
      <c r="USK75" s="134"/>
      <c r="USL75" s="134"/>
      <c r="USM75" s="134"/>
      <c r="USN75" s="134"/>
      <c r="USO75" s="134"/>
      <c r="USP75" s="134"/>
      <c r="USQ75" s="134"/>
      <c r="USR75" s="134"/>
      <c r="USS75" s="134"/>
      <c r="UST75" s="134"/>
      <c r="USU75" s="134"/>
      <c r="USV75" s="134"/>
      <c r="USW75" s="134"/>
      <c r="USX75" s="134"/>
      <c r="USY75" s="134"/>
      <c r="USZ75" s="134"/>
      <c r="UTA75" s="134"/>
      <c r="UTB75" s="134"/>
      <c r="UTC75" s="134"/>
      <c r="UTD75" s="134"/>
      <c r="UTE75" s="134"/>
      <c r="UTF75" s="134"/>
      <c r="UTG75" s="134"/>
      <c r="UTH75" s="134"/>
      <c r="UTI75" s="134"/>
      <c r="UTJ75" s="134"/>
      <c r="UTK75" s="134"/>
      <c r="UTL75" s="134"/>
      <c r="UTM75" s="134"/>
      <c r="UTN75" s="134"/>
      <c r="UTO75" s="134"/>
      <c r="UTP75" s="134"/>
      <c r="UTQ75" s="134"/>
      <c r="UTR75" s="134"/>
      <c r="UTS75" s="134"/>
      <c r="UTT75" s="134"/>
      <c r="UTU75" s="134"/>
      <c r="UTV75" s="134"/>
      <c r="UTW75" s="134"/>
      <c r="UTX75" s="134"/>
      <c r="UTY75" s="134"/>
      <c r="UTZ75" s="134"/>
      <c r="UUA75" s="134"/>
      <c r="UUB75" s="134"/>
      <c r="UUC75" s="134"/>
      <c r="UUD75" s="134"/>
      <c r="UUE75" s="134"/>
      <c r="UUF75" s="134"/>
      <c r="UUG75" s="134"/>
      <c r="UUH75" s="134"/>
      <c r="UUI75" s="134"/>
      <c r="UUJ75" s="134"/>
      <c r="UUK75" s="134"/>
      <c r="UUL75" s="134"/>
      <c r="UUM75" s="134"/>
      <c r="UUN75" s="134"/>
      <c r="UUO75" s="134"/>
      <c r="UUP75" s="134"/>
      <c r="UUQ75" s="134"/>
      <c r="UUR75" s="134"/>
      <c r="UUS75" s="134"/>
      <c r="UUT75" s="134"/>
      <c r="UUU75" s="134"/>
      <c r="UUV75" s="134"/>
      <c r="UUW75" s="134"/>
      <c r="UUX75" s="134"/>
      <c r="UUY75" s="134"/>
      <c r="UUZ75" s="134"/>
      <c r="UVA75" s="134"/>
      <c r="UVB75" s="134"/>
      <c r="UVC75" s="134"/>
      <c r="UVD75" s="134"/>
      <c r="UVE75" s="134"/>
      <c r="UVF75" s="134"/>
      <c r="UVG75" s="134"/>
      <c r="UVH75" s="134"/>
      <c r="UVI75" s="134"/>
      <c r="UVJ75" s="134"/>
      <c r="UVK75" s="134"/>
      <c r="UVL75" s="134"/>
      <c r="UVM75" s="134"/>
      <c r="UVN75" s="134"/>
      <c r="UVO75" s="134"/>
      <c r="UVP75" s="134"/>
      <c r="UVQ75" s="134"/>
      <c r="UVR75" s="134"/>
      <c r="UVS75" s="134"/>
      <c r="UVT75" s="134"/>
      <c r="UVU75" s="134"/>
      <c r="UVV75" s="134"/>
      <c r="UVW75" s="134"/>
      <c r="UVX75" s="134"/>
      <c r="UVY75" s="134"/>
      <c r="UVZ75" s="134"/>
      <c r="UWA75" s="134"/>
      <c r="UWB75" s="134"/>
      <c r="UWC75" s="134"/>
      <c r="UWD75" s="134"/>
      <c r="UWE75" s="134"/>
      <c r="UWF75" s="134"/>
      <c r="UWG75" s="134"/>
      <c r="UWH75" s="134"/>
      <c r="UWI75" s="134"/>
      <c r="UWJ75" s="134"/>
      <c r="UWK75" s="134"/>
      <c r="UWL75" s="134"/>
      <c r="UWM75" s="134"/>
      <c r="UWN75" s="134"/>
      <c r="UWO75" s="134"/>
      <c r="UWP75" s="134"/>
      <c r="UWQ75" s="134"/>
      <c r="UWR75" s="134"/>
      <c r="UWS75" s="134"/>
      <c r="UWT75" s="134"/>
      <c r="UWU75" s="134"/>
      <c r="UWV75" s="134"/>
      <c r="UWW75" s="134"/>
      <c r="UWX75" s="134"/>
      <c r="UWY75" s="134"/>
      <c r="UWZ75" s="134"/>
      <c r="UXA75" s="134"/>
      <c r="UXB75" s="134"/>
      <c r="UXC75" s="134"/>
      <c r="UXD75" s="134"/>
      <c r="UXE75" s="134"/>
      <c r="UXF75" s="134"/>
      <c r="UXG75" s="134"/>
      <c r="UXH75" s="134"/>
      <c r="UXI75" s="134"/>
      <c r="UXJ75" s="134"/>
      <c r="UXK75" s="134"/>
      <c r="UXL75" s="134"/>
      <c r="UXM75" s="134"/>
      <c r="UXN75" s="134"/>
      <c r="UXO75" s="134"/>
      <c r="UXP75" s="134"/>
      <c r="UXQ75" s="134"/>
      <c r="UXR75" s="134"/>
      <c r="UXS75" s="134"/>
      <c r="UXT75" s="134"/>
      <c r="UXU75" s="134"/>
      <c r="UXV75" s="134"/>
      <c r="UXW75" s="134"/>
      <c r="UXX75" s="134"/>
      <c r="UXY75" s="134"/>
      <c r="UXZ75" s="134"/>
      <c r="UYA75" s="134"/>
      <c r="UYB75" s="134"/>
      <c r="UYC75" s="134"/>
      <c r="UYD75" s="134"/>
      <c r="UYE75" s="134"/>
      <c r="UYF75" s="134"/>
      <c r="UYG75" s="134"/>
      <c r="UYH75" s="134"/>
      <c r="UYI75" s="134"/>
      <c r="UYJ75" s="134"/>
      <c r="UYK75" s="134"/>
      <c r="UYL75" s="134"/>
      <c r="UYM75" s="134"/>
      <c r="UYN75" s="134"/>
      <c r="UYO75" s="134"/>
      <c r="UYP75" s="134"/>
      <c r="UYQ75" s="134"/>
      <c r="UYR75" s="134"/>
      <c r="UYS75" s="134"/>
      <c r="UYT75" s="134"/>
      <c r="UYU75" s="134"/>
      <c r="UYV75" s="134"/>
      <c r="UYW75" s="134"/>
      <c r="UYX75" s="134"/>
      <c r="UYY75" s="134"/>
      <c r="UYZ75" s="134"/>
      <c r="UZA75" s="134"/>
      <c r="UZB75" s="134"/>
      <c r="UZC75" s="134"/>
      <c r="UZD75" s="134"/>
      <c r="UZE75" s="134"/>
      <c r="UZF75" s="134"/>
      <c r="UZG75" s="134"/>
      <c r="UZH75" s="134"/>
      <c r="UZI75" s="134"/>
      <c r="UZJ75" s="134"/>
      <c r="UZK75" s="134"/>
      <c r="UZL75" s="134"/>
      <c r="UZM75" s="134"/>
      <c r="UZN75" s="134"/>
      <c r="UZO75" s="134"/>
      <c r="UZP75" s="134"/>
      <c r="UZQ75" s="134"/>
      <c r="UZR75" s="134"/>
      <c r="UZS75" s="134"/>
      <c r="UZT75" s="134"/>
      <c r="UZU75" s="134"/>
      <c r="UZV75" s="134"/>
      <c r="UZW75" s="134"/>
      <c r="UZX75" s="134"/>
      <c r="UZY75" s="134"/>
      <c r="UZZ75" s="134"/>
      <c r="VAA75" s="134"/>
      <c r="VAB75" s="134"/>
      <c r="VAC75" s="134"/>
      <c r="VAD75" s="134"/>
      <c r="VAE75" s="134"/>
      <c r="VAF75" s="134"/>
      <c r="VAG75" s="134"/>
      <c r="VAH75" s="134"/>
      <c r="VAI75" s="134"/>
      <c r="VAJ75" s="134"/>
      <c r="VAK75" s="134"/>
      <c r="VAL75" s="134"/>
      <c r="VAM75" s="134"/>
      <c r="VAN75" s="134"/>
      <c r="VAO75" s="134"/>
      <c r="VAP75" s="134"/>
      <c r="VAQ75" s="134"/>
      <c r="VAR75" s="134"/>
      <c r="VAS75" s="134"/>
      <c r="VAT75" s="134"/>
      <c r="VAU75" s="134"/>
      <c r="VAV75" s="134"/>
      <c r="VAW75" s="134"/>
      <c r="VAX75" s="134"/>
      <c r="VAY75" s="134"/>
      <c r="VAZ75" s="134"/>
      <c r="VBA75" s="134"/>
      <c r="VBB75" s="134"/>
      <c r="VBC75" s="134"/>
      <c r="VBD75" s="134"/>
      <c r="VBE75" s="134"/>
      <c r="VBF75" s="134"/>
      <c r="VBG75" s="134"/>
      <c r="VBH75" s="134"/>
      <c r="VBI75" s="134"/>
      <c r="VBJ75" s="134"/>
      <c r="VBK75" s="134"/>
      <c r="VBL75" s="134"/>
      <c r="VBM75" s="134"/>
      <c r="VBN75" s="134"/>
      <c r="VBO75" s="134"/>
      <c r="VBP75" s="134"/>
      <c r="VBQ75" s="134"/>
      <c r="VBR75" s="134"/>
      <c r="VBS75" s="134"/>
      <c r="VBT75" s="134"/>
      <c r="VBU75" s="134"/>
      <c r="VBV75" s="134"/>
      <c r="VBW75" s="134"/>
      <c r="VBX75" s="134"/>
      <c r="VBY75" s="134"/>
      <c r="VBZ75" s="134"/>
      <c r="VCA75" s="134"/>
      <c r="VCB75" s="134"/>
      <c r="VCC75" s="134"/>
      <c r="VCD75" s="134"/>
      <c r="VCE75" s="134"/>
      <c r="VCF75" s="134"/>
      <c r="VCG75" s="134"/>
      <c r="VCH75" s="134"/>
      <c r="VCI75" s="134"/>
      <c r="VCJ75" s="134"/>
      <c r="VCK75" s="134"/>
      <c r="VCL75" s="134"/>
      <c r="VCM75" s="134"/>
      <c r="VCN75" s="134"/>
      <c r="VCO75" s="134"/>
      <c r="VCP75" s="134"/>
      <c r="VCQ75" s="134"/>
      <c r="VCR75" s="134"/>
      <c r="VCS75" s="134"/>
      <c r="VCT75" s="134"/>
      <c r="VCU75" s="134"/>
      <c r="VCV75" s="134"/>
      <c r="VCW75" s="134"/>
      <c r="VCX75" s="134"/>
      <c r="VCY75" s="134"/>
      <c r="VCZ75" s="134"/>
      <c r="VDA75" s="134"/>
      <c r="VDB75" s="134"/>
      <c r="VDC75" s="134"/>
      <c r="VDD75" s="134"/>
      <c r="VDE75" s="134"/>
      <c r="VDF75" s="134"/>
      <c r="VDG75" s="134"/>
      <c r="VDH75" s="134"/>
      <c r="VDI75" s="134"/>
      <c r="VDJ75" s="134"/>
      <c r="VDK75" s="134"/>
      <c r="VDL75" s="134"/>
      <c r="VDM75" s="134"/>
      <c r="VDN75" s="134"/>
      <c r="VDO75" s="134"/>
      <c r="VDP75" s="134"/>
      <c r="VDQ75" s="134"/>
      <c r="VDR75" s="134"/>
      <c r="VDS75" s="134"/>
      <c r="VDT75" s="134"/>
      <c r="VDU75" s="134"/>
      <c r="VDV75" s="134"/>
      <c r="VDW75" s="134"/>
      <c r="VDX75" s="134"/>
      <c r="VDY75" s="134"/>
      <c r="VDZ75" s="134"/>
      <c r="VEA75" s="134"/>
      <c r="VEB75" s="134"/>
      <c r="VEC75" s="134"/>
      <c r="VED75" s="134"/>
      <c r="VEE75" s="134"/>
      <c r="VEF75" s="134"/>
      <c r="VEG75" s="134"/>
      <c r="VEH75" s="134"/>
      <c r="VEI75" s="134"/>
      <c r="VEJ75" s="134"/>
      <c r="VEK75" s="134"/>
      <c r="VEL75" s="134"/>
      <c r="VEM75" s="134"/>
      <c r="VEN75" s="134"/>
      <c r="VEO75" s="134"/>
      <c r="VEP75" s="134"/>
      <c r="VEQ75" s="134"/>
      <c r="VER75" s="134"/>
      <c r="VES75" s="134"/>
      <c r="VET75" s="134"/>
      <c r="VEU75" s="134"/>
      <c r="VEV75" s="134"/>
      <c r="VEW75" s="134"/>
      <c r="VEX75" s="134"/>
      <c r="VEY75" s="134"/>
      <c r="VEZ75" s="134"/>
      <c r="VFA75" s="134"/>
      <c r="VFB75" s="134"/>
      <c r="VFC75" s="134"/>
      <c r="VFD75" s="134"/>
      <c r="VFE75" s="134"/>
      <c r="VFF75" s="134"/>
      <c r="VFG75" s="134"/>
      <c r="VFH75" s="134"/>
      <c r="VFI75" s="134"/>
      <c r="VFJ75" s="134"/>
      <c r="VFK75" s="134"/>
      <c r="VFL75" s="134"/>
      <c r="VFM75" s="134"/>
      <c r="VFN75" s="134"/>
      <c r="VFO75" s="134"/>
      <c r="VFP75" s="134"/>
      <c r="VFQ75" s="134"/>
      <c r="VFR75" s="134"/>
      <c r="VFS75" s="134"/>
      <c r="VFT75" s="134"/>
      <c r="VFU75" s="134"/>
      <c r="VFV75" s="134"/>
      <c r="VFW75" s="134"/>
      <c r="VFX75" s="134"/>
      <c r="VFY75" s="134"/>
      <c r="VFZ75" s="134"/>
      <c r="VGA75" s="134"/>
      <c r="VGB75" s="134"/>
      <c r="VGC75" s="134"/>
      <c r="VGD75" s="134"/>
      <c r="VGE75" s="134"/>
      <c r="VGF75" s="134"/>
      <c r="VGG75" s="134"/>
      <c r="VGH75" s="134"/>
      <c r="VGI75" s="134"/>
      <c r="VGJ75" s="134"/>
      <c r="VGK75" s="134"/>
      <c r="VGL75" s="134"/>
      <c r="VGM75" s="134"/>
      <c r="VGN75" s="134"/>
      <c r="VGO75" s="134"/>
      <c r="VGP75" s="134"/>
      <c r="VGQ75" s="134"/>
      <c r="VGR75" s="134"/>
      <c r="VGS75" s="134"/>
      <c r="VGT75" s="134"/>
      <c r="VGU75" s="134"/>
      <c r="VGV75" s="134"/>
      <c r="VGW75" s="134"/>
      <c r="VGX75" s="134"/>
      <c r="VGY75" s="134"/>
      <c r="VGZ75" s="134"/>
      <c r="VHA75" s="134"/>
      <c r="VHB75" s="134"/>
      <c r="VHC75" s="134"/>
      <c r="VHD75" s="134"/>
      <c r="VHE75" s="134"/>
      <c r="VHF75" s="134"/>
      <c r="VHG75" s="134"/>
      <c r="VHH75" s="134"/>
      <c r="VHI75" s="134"/>
      <c r="VHJ75" s="134"/>
      <c r="VHK75" s="134"/>
      <c r="VHL75" s="134"/>
      <c r="VHM75" s="134"/>
      <c r="VHN75" s="134"/>
      <c r="VHO75" s="134"/>
      <c r="VHP75" s="134"/>
      <c r="VHQ75" s="134"/>
      <c r="VHR75" s="134"/>
      <c r="VHS75" s="134"/>
      <c r="VHT75" s="134"/>
      <c r="VHU75" s="134"/>
      <c r="VHV75" s="134"/>
      <c r="VHW75" s="134"/>
      <c r="VHX75" s="134"/>
      <c r="VHY75" s="134"/>
      <c r="VHZ75" s="134"/>
      <c r="VIA75" s="134"/>
      <c r="VIB75" s="134"/>
      <c r="VIC75" s="134"/>
      <c r="VID75" s="134"/>
      <c r="VIE75" s="134"/>
      <c r="VIF75" s="134"/>
      <c r="VIG75" s="134"/>
      <c r="VIH75" s="134"/>
      <c r="VII75" s="134"/>
      <c r="VIJ75" s="134"/>
      <c r="VIK75" s="134"/>
      <c r="VIL75" s="134"/>
      <c r="VIM75" s="134"/>
      <c r="VIN75" s="134"/>
      <c r="VIO75" s="134"/>
      <c r="VIP75" s="134"/>
      <c r="VIQ75" s="134"/>
      <c r="VIR75" s="134"/>
      <c r="VIS75" s="134"/>
      <c r="VIT75" s="134"/>
      <c r="VIU75" s="134"/>
      <c r="VIV75" s="134"/>
      <c r="VIW75" s="134"/>
      <c r="VIX75" s="134"/>
      <c r="VIY75" s="134"/>
      <c r="VIZ75" s="134"/>
      <c r="VJA75" s="134"/>
      <c r="VJB75" s="134"/>
      <c r="VJC75" s="134"/>
      <c r="VJD75" s="134"/>
      <c r="VJE75" s="134"/>
      <c r="VJF75" s="134"/>
      <c r="VJG75" s="134"/>
      <c r="VJH75" s="134"/>
      <c r="VJI75" s="134"/>
      <c r="VJJ75" s="134"/>
      <c r="VJK75" s="134"/>
      <c r="VJL75" s="134"/>
      <c r="VJM75" s="134"/>
      <c r="VJN75" s="134"/>
      <c r="VJO75" s="134"/>
      <c r="VJP75" s="134"/>
      <c r="VJQ75" s="134"/>
      <c r="VJR75" s="134"/>
      <c r="VJS75" s="134"/>
      <c r="VJT75" s="134"/>
      <c r="VJU75" s="134"/>
      <c r="VJV75" s="134"/>
      <c r="VJW75" s="134"/>
      <c r="VJX75" s="134"/>
      <c r="VJY75" s="134"/>
      <c r="VJZ75" s="134"/>
      <c r="VKA75" s="134"/>
      <c r="VKB75" s="134"/>
      <c r="VKC75" s="134"/>
      <c r="VKD75" s="134"/>
      <c r="VKE75" s="134"/>
      <c r="VKF75" s="134"/>
      <c r="VKG75" s="134"/>
      <c r="VKH75" s="134"/>
      <c r="VKI75" s="134"/>
      <c r="VKJ75" s="134"/>
      <c r="VKK75" s="134"/>
      <c r="VKL75" s="134"/>
      <c r="VKM75" s="134"/>
      <c r="VKN75" s="134"/>
      <c r="VKO75" s="134"/>
      <c r="VKP75" s="134"/>
      <c r="VKQ75" s="134"/>
      <c r="VKR75" s="134"/>
      <c r="VKS75" s="134"/>
      <c r="VKT75" s="134"/>
      <c r="VKU75" s="134"/>
      <c r="VKV75" s="134"/>
      <c r="VKW75" s="134"/>
      <c r="VKX75" s="134"/>
      <c r="VKY75" s="134"/>
      <c r="VKZ75" s="134"/>
      <c r="VLA75" s="134"/>
      <c r="VLB75" s="134"/>
      <c r="VLC75" s="134"/>
      <c r="VLD75" s="134"/>
      <c r="VLE75" s="134"/>
      <c r="VLF75" s="134"/>
      <c r="VLG75" s="134"/>
      <c r="VLH75" s="134"/>
      <c r="VLI75" s="134"/>
      <c r="VLJ75" s="134"/>
      <c r="VLK75" s="134"/>
      <c r="VLL75" s="134"/>
      <c r="VLM75" s="134"/>
      <c r="VLN75" s="134"/>
      <c r="VLO75" s="134"/>
      <c r="VLP75" s="134"/>
      <c r="VLQ75" s="134"/>
      <c r="VLR75" s="134"/>
      <c r="VLS75" s="134"/>
      <c r="VLT75" s="134"/>
      <c r="VLU75" s="134"/>
      <c r="VLV75" s="134"/>
      <c r="VLW75" s="134"/>
      <c r="VLX75" s="134"/>
      <c r="VLY75" s="134"/>
      <c r="VLZ75" s="134"/>
      <c r="VMA75" s="134"/>
      <c r="VMB75" s="134"/>
      <c r="VMC75" s="134"/>
      <c r="VMD75" s="134"/>
      <c r="VME75" s="134"/>
      <c r="VMF75" s="134"/>
      <c r="VMG75" s="134"/>
      <c r="VMH75" s="134"/>
      <c r="VMI75" s="134"/>
      <c r="VMJ75" s="134"/>
      <c r="VMK75" s="134"/>
      <c r="VML75" s="134"/>
      <c r="VMM75" s="134"/>
      <c r="VMN75" s="134"/>
      <c r="VMO75" s="134"/>
      <c r="VMP75" s="134"/>
      <c r="VMQ75" s="134"/>
      <c r="VMR75" s="134"/>
      <c r="VMS75" s="134"/>
      <c r="VMT75" s="134"/>
      <c r="VMU75" s="134"/>
      <c r="VMV75" s="134"/>
      <c r="VMW75" s="134"/>
      <c r="VMX75" s="134"/>
      <c r="VMY75" s="134"/>
      <c r="VMZ75" s="134"/>
      <c r="VNA75" s="134"/>
      <c r="VNB75" s="134"/>
      <c r="VNC75" s="134"/>
      <c r="VND75" s="134"/>
      <c r="VNE75" s="134"/>
      <c r="VNF75" s="134"/>
      <c r="VNG75" s="134"/>
      <c r="VNH75" s="134"/>
      <c r="VNI75" s="134"/>
      <c r="VNJ75" s="134"/>
      <c r="VNK75" s="134"/>
      <c r="VNL75" s="134"/>
      <c r="VNM75" s="134"/>
      <c r="VNN75" s="134"/>
      <c r="VNO75" s="134"/>
      <c r="VNP75" s="134"/>
      <c r="VNQ75" s="134"/>
      <c r="VNR75" s="134"/>
      <c r="VNS75" s="134"/>
      <c r="VNT75" s="134"/>
      <c r="VNU75" s="134"/>
      <c r="VNV75" s="134"/>
      <c r="VNW75" s="134"/>
      <c r="VNX75" s="134"/>
      <c r="VNY75" s="134"/>
      <c r="VNZ75" s="134"/>
      <c r="VOA75" s="134"/>
      <c r="VOB75" s="134"/>
      <c r="VOC75" s="134"/>
      <c r="VOD75" s="134"/>
      <c r="VOE75" s="134"/>
      <c r="VOF75" s="134"/>
      <c r="VOG75" s="134"/>
      <c r="VOH75" s="134"/>
      <c r="VOI75" s="134"/>
      <c r="VOJ75" s="134"/>
      <c r="VOK75" s="134"/>
      <c r="VOL75" s="134"/>
      <c r="VOM75" s="134"/>
      <c r="VON75" s="134"/>
      <c r="VOO75" s="134"/>
      <c r="VOP75" s="134"/>
      <c r="VOQ75" s="134"/>
      <c r="VOR75" s="134"/>
      <c r="VOS75" s="134"/>
      <c r="VOT75" s="134"/>
      <c r="VOU75" s="134"/>
      <c r="VOV75" s="134"/>
      <c r="VOW75" s="134"/>
      <c r="VOX75" s="134"/>
      <c r="VOY75" s="134"/>
      <c r="VOZ75" s="134"/>
      <c r="VPA75" s="134"/>
      <c r="VPB75" s="134"/>
      <c r="VPC75" s="134"/>
      <c r="VPD75" s="134"/>
      <c r="VPE75" s="134"/>
      <c r="VPF75" s="134"/>
      <c r="VPG75" s="134"/>
      <c r="VPH75" s="134"/>
      <c r="VPI75" s="134"/>
      <c r="VPJ75" s="134"/>
      <c r="VPK75" s="134"/>
      <c r="VPL75" s="134"/>
      <c r="VPM75" s="134"/>
      <c r="VPN75" s="134"/>
      <c r="VPO75" s="134"/>
      <c r="VPP75" s="134"/>
      <c r="VPQ75" s="134"/>
      <c r="VPR75" s="134"/>
      <c r="VPS75" s="134"/>
      <c r="VPT75" s="134"/>
      <c r="VPU75" s="134"/>
      <c r="VPV75" s="134"/>
      <c r="VPW75" s="134"/>
      <c r="VPX75" s="134"/>
      <c r="VPY75" s="134"/>
      <c r="VPZ75" s="134"/>
      <c r="VQA75" s="134"/>
      <c r="VQB75" s="134"/>
      <c r="VQC75" s="134"/>
      <c r="VQD75" s="134"/>
      <c r="VQE75" s="134"/>
      <c r="VQF75" s="134"/>
      <c r="VQG75" s="134"/>
      <c r="VQH75" s="134"/>
      <c r="VQI75" s="134"/>
      <c r="VQJ75" s="134"/>
      <c r="VQK75" s="134"/>
      <c r="VQL75" s="134"/>
      <c r="VQM75" s="134"/>
      <c r="VQN75" s="134"/>
      <c r="VQO75" s="134"/>
      <c r="VQP75" s="134"/>
      <c r="VQQ75" s="134"/>
      <c r="VQR75" s="134"/>
      <c r="VQS75" s="134"/>
      <c r="VQT75" s="134"/>
      <c r="VQU75" s="134"/>
      <c r="VQV75" s="134"/>
      <c r="VQW75" s="134"/>
      <c r="VQX75" s="134"/>
      <c r="VQY75" s="134"/>
      <c r="VQZ75" s="134"/>
      <c r="VRA75" s="134"/>
      <c r="VRB75" s="134"/>
      <c r="VRC75" s="134"/>
      <c r="VRD75" s="134"/>
      <c r="VRE75" s="134"/>
      <c r="VRF75" s="134"/>
      <c r="VRG75" s="134"/>
      <c r="VRH75" s="134"/>
      <c r="VRI75" s="134"/>
      <c r="VRJ75" s="134"/>
      <c r="VRK75" s="134"/>
      <c r="VRL75" s="134"/>
      <c r="VRM75" s="134"/>
      <c r="VRN75" s="134"/>
      <c r="VRO75" s="134"/>
      <c r="VRP75" s="134"/>
      <c r="VRQ75" s="134"/>
      <c r="VRR75" s="134"/>
      <c r="VRS75" s="134"/>
      <c r="VRT75" s="134"/>
      <c r="VRU75" s="134"/>
      <c r="VRV75" s="134"/>
      <c r="VRW75" s="134"/>
      <c r="VRX75" s="134"/>
      <c r="VRY75" s="134"/>
      <c r="VRZ75" s="134"/>
      <c r="VSA75" s="134"/>
      <c r="VSB75" s="134"/>
      <c r="VSC75" s="134"/>
      <c r="VSD75" s="134"/>
      <c r="VSE75" s="134"/>
      <c r="VSF75" s="134"/>
      <c r="VSG75" s="134"/>
      <c r="VSH75" s="134"/>
      <c r="VSI75" s="134"/>
      <c r="VSJ75" s="134"/>
      <c r="VSK75" s="134"/>
      <c r="VSL75" s="134"/>
      <c r="VSM75" s="134"/>
      <c r="VSN75" s="134"/>
      <c r="VSO75" s="134"/>
      <c r="VSP75" s="134"/>
      <c r="VSQ75" s="134"/>
      <c r="VSR75" s="134"/>
      <c r="VSS75" s="134"/>
      <c r="VST75" s="134"/>
      <c r="VSU75" s="134"/>
      <c r="VSV75" s="134"/>
      <c r="VSW75" s="134"/>
      <c r="VSX75" s="134"/>
      <c r="VSY75" s="134"/>
      <c r="VSZ75" s="134"/>
      <c r="VTA75" s="134"/>
      <c r="VTB75" s="134"/>
      <c r="VTC75" s="134"/>
      <c r="VTD75" s="134"/>
      <c r="VTE75" s="134"/>
      <c r="VTF75" s="134"/>
      <c r="VTG75" s="134"/>
      <c r="VTH75" s="134"/>
      <c r="VTI75" s="134"/>
      <c r="VTJ75" s="134"/>
      <c r="VTK75" s="134"/>
      <c r="VTL75" s="134"/>
      <c r="VTM75" s="134"/>
      <c r="VTN75" s="134"/>
      <c r="VTO75" s="134"/>
      <c r="VTP75" s="134"/>
      <c r="VTQ75" s="134"/>
      <c r="VTR75" s="134"/>
      <c r="VTS75" s="134"/>
      <c r="VTT75" s="134"/>
      <c r="VTU75" s="134"/>
      <c r="VTV75" s="134"/>
      <c r="VTW75" s="134"/>
      <c r="VTX75" s="134"/>
      <c r="VTY75" s="134"/>
      <c r="VTZ75" s="134"/>
      <c r="VUA75" s="134"/>
      <c r="VUB75" s="134"/>
      <c r="VUC75" s="134"/>
      <c r="VUD75" s="134"/>
      <c r="VUE75" s="134"/>
      <c r="VUF75" s="134"/>
      <c r="VUG75" s="134"/>
      <c r="VUH75" s="134"/>
      <c r="VUI75" s="134"/>
      <c r="VUJ75" s="134"/>
      <c r="VUK75" s="134"/>
      <c r="VUL75" s="134"/>
      <c r="VUM75" s="134"/>
      <c r="VUN75" s="134"/>
      <c r="VUO75" s="134"/>
      <c r="VUP75" s="134"/>
      <c r="VUQ75" s="134"/>
      <c r="VUR75" s="134"/>
      <c r="VUS75" s="134"/>
      <c r="VUT75" s="134"/>
      <c r="VUU75" s="134"/>
      <c r="VUV75" s="134"/>
      <c r="VUW75" s="134"/>
      <c r="VUX75" s="134"/>
      <c r="VUY75" s="134"/>
      <c r="VUZ75" s="134"/>
      <c r="VVA75" s="134"/>
      <c r="VVB75" s="134"/>
      <c r="VVC75" s="134"/>
      <c r="VVD75" s="134"/>
      <c r="VVE75" s="134"/>
      <c r="VVF75" s="134"/>
      <c r="VVG75" s="134"/>
      <c r="VVH75" s="134"/>
      <c r="VVI75" s="134"/>
      <c r="VVJ75" s="134"/>
      <c r="VVK75" s="134"/>
      <c r="VVL75" s="134"/>
      <c r="VVM75" s="134"/>
      <c r="VVN75" s="134"/>
      <c r="VVO75" s="134"/>
      <c r="VVP75" s="134"/>
      <c r="VVQ75" s="134"/>
      <c r="VVR75" s="134"/>
      <c r="VVS75" s="134"/>
      <c r="VVT75" s="134"/>
      <c r="VVU75" s="134"/>
      <c r="VVV75" s="134"/>
      <c r="VVW75" s="134"/>
      <c r="VVX75" s="134"/>
      <c r="VVY75" s="134"/>
      <c r="VVZ75" s="134"/>
      <c r="VWA75" s="134"/>
      <c r="VWB75" s="134"/>
      <c r="VWC75" s="134"/>
      <c r="VWD75" s="134"/>
      <c r="VWE75" s="134"/>
      <c r="VWF75" s="134"/>
      <c r="VWG75" s="134"/>
      <c r="VWH75" s="134"/>
      <c r="VWI75" s="134"/>
      <c r="VWJ75" s="134"/>
      <c r="VWK75" s="134"/>
      <c r="VWL75" s="134"/>
      <c r="VWM75" s="134"/>
      <c r="VWN75" s="134"/>
      <c r="VWO75" s="134"/>
      <c r="VWP75" s="134"/>
      <c r="VWQ75" s="134"/>
      <c r="VWR75" s="134"/>
      <c r="VWS75" s="134"/>
      <c r="VWT75" s="134"/>
      <c r="VWU75" s="134"/>
      <c r="VWV75" s="134"/>
      <c r="VWW75" s="134"/>
      <c r="VWX75" s="134"/>
      <c r="VWY75" s="134"/>
      <c r="VWZ75" s="134"/>
      <c r="VXA75" s="134"/>
      <c r="VXB75" s="134"/>
      <c r="VXC75" s="134"/>
      <c r="VXD75" s="134"/>
      <c r="VXE75" s="134"/>
      <c r="VXF75" s="134"/>
      <c r="VXG75" s="134"/>
      <c r="VXH75" s="134"/>
      <c r="VXI75" s="134"/>
      <c r="VXJ75" s="134"/>
      <c r="VXK75" s="134"/>
      <c r="VXL75" s="134"/>
      <c r="VXM75" s="134"/>
      <c r="VXN75" s="134"/>
      <c r="VXO75" s="134"/>
      <c r="VXP75" s="134"/>
      <c r="VXQ75" s="134"/>
      <c r="VXR75" s="134"/>
      <c r="VXS75" s="134"/>
      <c r="VXT75" s="134"/>
      <c r="VXU75" s="134"/>
      <c r="VXV75" s="134"/>
      <c r="VXW75" s="134"/>
      <c r="VXX75" s="134"/>
      <c r="VXY75" s="134"/>
      <c r="VXZ75" s="134"/>
      <c r="VYA75" s="134"/>
      <c r="VYB75" s="134"/>
      <c r="VYC75" s="134"/>
      <c r="VYD75" s="134"/>
      <c r="VYE75" s="134"/>
      <c r="VYF75" s="134"/>
      <c r="VYG75" s="134"/>
      <c r="VYH75" s="134"/>
      <c r="VYI75" s="134"/>
      <c r="VYJ75" s="134"/>
      <c r="VYK75" s="134"/>
      <c r="VYL75" s="134"/>
      <c r="VYM75" s="134"/>
      <c r="VYN75" s="134"/>
      <c r="VYO75" s="134"/>
      <c r="VYP75" s="134"/>
      <c r="VYQ75" s="134"/>
      <c r="VYR75" s="134"/>
      <c r="VYS75" s="134"/>
      <c r="VYT75" s="134"/>
      <c r="VYU75" s="134"/>
      <c r="VYV75" s="134"/>
      <c r="VYW75" s="134"/>
      <c r="VYX75" s="134"/>
      <c r="VYY75" s="134"/>
      <c r="VYZ75" s="134"/>
      <c r="VZA75" s="134"/>
      <c r="VZB75" s="134"/>
      <c r="VZC75" s="134"/>
      <c r="VZD75" s="134"/>
      <c r="VZE75" s="134"/>
      <c r="VZF75" s="134"/>
      <c r="VZG75" s="134"/>
      <c r="VZH75" s="134"/>
      <c r="VZI75" s="134"/>
      <c r="VZJ75" s="134"/>
      <c r="VZK75" s="134"/>
      <c r="VZL75" s="134"/>
      <c r="VZM75" s="134"/>
      <c r="VZN75" s="134"/>
      <c r="VZO75" s="134"/>
      <c r="VZP75" s="134"/>
      <c r="VZQ75" s="134"/>
      <c r="VZR75" s="134"/>
      <c r="VZS75" s="134"/>
      <c r="VZT75" s="134"/>
      <c r="VZU75" s="134"/>
      <c r="VZV75" s="134"/>
      <c r="VZW75" s="134"/>
      <c r="VZX75" s="134"/>
      <c r="VZY75" s="134"/>
      <c r="VZZ75" s="134"/>
      <c r="WAA75" s="134"/>
      <c r="WAB75" s="134"/>
      <c r="WAC75" s="134"/>
      <c r="WAD75" s="134"/>
      <c r="WAE75" s="134"/>
      <c r="WAF75" s="134"/>
      <c r="WAG75" s="134"/>
      <c r="WAH75" s="134"/>
      <c r="WAI75" s="134"/>
      <c r="WAJ75" s="134"/>
      <c r="WAK75" s="134"/>
      <c r="WAL75" s="134"/>
      <c r="WAM75" s="134"/>
      <c r="WAN75" s="134"/>
      <c r="WAO75" s="134"/>
      <c r="WAP75" s="134"/>
      <c r="WAQ75" s="134"/>
      <c r="WAR75" s="134"/>
      <c r="WAS75" s="134"/>
      <c r="WAT75" s="134"/>
      <c r="WAU75" s="134"/>
      <c r="WAV75" s="134"/>
      <c r="WAW75" s="134"/>
      <c r="WAX75" s="134"/>
      <c r="WAY75" s="134"/>
      <c r="WAZ75" s="134"/>
      <c r="WBA75" s="134"/>
      <c r="WBB75" s="134"/>
      <c r="WBC75" s="134"/>
      <c r="WBD75" s="134"/>
      <c r="WBE75" s="134"/>
      <c r="WBF75" s="134"/>
      <c r="WBG75" s="134"/>
      <c r="WBH75" s="134"/>
      <c r="WBI75" s="134"/>
      <c r="WBJ75" s="134"/>
      <c r="WBK75" s="134"/>
      <c r="WBL75" s="134"/>
      <c r="WBM75" s="134"/>
      <c r="WBN75" s="134"/>
      <c r="WBO75" s="134"/>
      <c r="WBP75" s="134"/>
      <c r="WBQ75" s="134"/>
      <c r="WBR75" s="134"/>
      <c r="WBS75" s="134"/>
      <c r="WBT75" s="134"/>
      <c r="WBU75" s="134"/>
      <c r="WBV75" s="134"/>
      <c r="WBW75" s="134"/>
      <c r="WBX75" s="134"/>
      <c r="WBY75" s="134"/>
      <c r="WBZ75" s="134"/>
      <c r="WCA75" s="134"/>
      <c r="WCB75" s="134"/>
      <c r="WCC75" s="134"/>
      <c r="WCD75" s="134"/>
      <c r="WCE75" s="134"/>
      <c r="WCF75" s="134"/>
      <c r="WCG75" s="134"/>
      <c r="WCH75" s="134"/>
      <c r="WCI75" s="134"/>
      <c r="WCJ75" s="134"/>
      <c r="WCK75" s="134"/>
      <c r="WCL75" s="134"/>
      <c r="WCM75" s="134"/>
      <c r="WCN75" s="134"/>
      <c r="WCO75" s="134"/>
      <c r="WCP75" s="134"/>
      <c r="WCQ75" s="134"/>
      <c r="WCR75" s="134"/>
      <c r="WCS75" s="134"/>
      <c r="WCT75" s="134"/>
      <c r="WCU75" s="134"/>
      <c r="WCV75" s="134"/>
      <c r="WCW75" s="134"/>
      <c r="WCX75" s="134"/>
      <c r="WCY75" s="134"/>
      <c r="WCZ75" s="134"/>
      <c r="WDA75" s="134"/>
      <c r="WDB75" s="134"/>
      <c r="WDC75" s="134"/>
      <c r="WDD75" s="134"/>
      <c r="WDE75" s="134"/>
      <c r="WDF75" s="134"/>
      <c r="WDG75" s="134"/>
      <c r="WDH75" s="134"/>
      <c r="WDI75" s="134"/>
      <c r="WDJ75" s="134"/>
      <c r="WDK75" s="134"/>
      <c r="WDL75" s="134"/>
      <c r="WDM75" s="134"/>
      <c r="WDN75" s="134"/>
      <c r="WDO75" s="134"/>
      <c r="WDP75" s="134"/>
      <c r="WDQ75" s="134"/>
      <c r="WDR75" s="134"/>
      <c r="WDS75" s="134"/>
      <c r="WDT75" s="134"/>
      <c r="WDU75" s="134"/>
      <c r="WDV75" s="134"/>
      <c r="WDW75" s="134"/>
      <c r="WDX75" s="134"/>
      <c r="WDY75" s="134"/>
      <c r="WDZ75" s="134"/>
      <c r="WEA75" s="134"/>
      <c r="WEB75" s="134"/>
      <c r="WEC75" s="134"/>
      <c r="WED75" s="134"/>
      <c r="WEE75" s="134"/>
      <c r="WEF75" s="134"/>
      <c r="WEG75" s="134"/>
      <c r="WEH75" s="134"/>
      <c r="WEI75" s="134"/>
      <c r="WEJ75" s="134"/>
      <c r="WEK75" s="134"/>
      <c r="WEL75" s="134"/>
      <c r="WEM75" s="134"/>
      <c r="WEN75" s="134"/>
      <c r="WEO75" s="134"/>
      <c r="WEP75" s="134"/>
      <c r="WEQ75" s="134"/>
      <c r="WER75" s="134"/>
      <c r="WES75" s="134"/>
      <c r="WET75" s="134"/>
      <c r="WEU75" s="134"/>
      <c r="WEV75" s="134"/>
      <c r="WEW75" s="134"/>
      <c r="WEX75" s="134"/>
      <c r="WEY75" s="134"/>
      <c r="WEZ75" s="134"/>
      <c r="WFA75" s="134"/>
      <c r="WFB75" s="134"/>
      <c r="WFC75" s="134"/>
      <c r="WFD75" s="134"/>
      <c r="WFE75" s="134"/>
      <c r="WFF75" s="134"/>
      <c r="WFG75" s="134"/>
      <c r="WFH75" s="134"/>
      <c r="WFI75" s="134"/>
      <c r="WFJ75" s="134"/>
      <c r="WFK75" s="134"/>
      <c r="WFL75" s="134"/>
      <c r="WFM75" s="134"/>
      <c r="WFN75" s="134"/>
      <c r="WFO75" s="134"/>
      <c r="WFP75" s="134"/>
      <c r="WFQ75" s="134"/>
      <c r="WFR75" s="134"/>
      <c r="WFS75" s="134"/>
      <c r="WFT75" s="134"/>
      <c r="WFU75" s="134"/>
      <c r="WFV75" s="134"/>
      <c r="WFW75" s="134"/>
      <c r="WFX75" s="134"/>
      <c r="WFY75" s="134"/>
      <c r="WFZ75" s="134"/>
      <c r="WGA75" s="134"/>
      <c r="WGB75" s="134"/>
      <c r="WGC75" s="134"/>
      <c r="WGD75" s="134"/>
      <c r="WGE75" s="134"/>
      <c r="WGF75" s="134"/>
      <c r="WGG75" s="134"/>
      <c r="WGH75" s="134"/>
      <c r="WGI75" s="134"/>
      <c r="WGJ75" s="134"/>
      <c r="WGK75" s="134"/>
      <c r="WGL75" s="134"/>
      <c r="WGM75" s="134"/>
      <c r="WGN75" s="134"/>
      <c r="WGO75" s="134"/>
      <c r="WGP75" s="134"/>
      <c r="WGQ75" s="134"/>
      <c r="WGR75" s="134"/>
      <c r="WGS75" s="134"/>
      <c r="WGT75" s="134"/>
      <c r="WGU75" s="134"/>
      <c r="WGV75" s="134"/>
      <c r="WGW75" s="134"/>
      <c r="WGX75" s="134"/>
      <c r="WGY75" s="134"/>
      <c r="WGZ75" s="134"/>
      <c r="WHA75" s="134"/>
      <c r="WHB75" s="134"/>
      <c r="WHC75" s="134"/>
      <c r="WHD75" s="134"/>
      <c r="WHE75" s="134"/>
      <c r="WHF75" s="134"/>
      <c r="WHG75" s="134"/>
      <c r="WHH75" s="134"/>
      <c r="WHI75" s="134"/>
      <c r="WHJ75" s="134"/>
      <c r="WHK75" s="134"/>
      <c r="WHL75" s="134"/>
      <c r="WHM75" s="134"/>
      <c r="WHN75" s="134"/>
      <c r="WHO75" s="134"/>
      <c r="WHP75" s="134"/>
      <c r="WHQ75" s="134"/>
      <c r="WHR75" s="134"/>
      <c r="WHS75" s="134"/>
      <c r="WHT75" s="134"/>
      <c r="WHU75" s="134"/>
      <c r="WHV75" s="134"/>
      <c r="WHW75" s="134"/>
      <c r="WHX75" s="134"/>
      <c r="WHY75" s="134"/>
      <c r="WHZ75" s="134"/>
      <c r="WIA75" s="134"/>
      <c r="WIB75" s="134"/>
      <c r="WIC75" s="134"/>
      <c r="WID75" s="134"/>
      <c r="WIE75" s="134"/>
      <c r="WIF75" s="134"/>
      <c r="WIG75" s="134"/>
      <c r="WIH75" s="134"/>
      <c r="WII75" s="134"/>
      <c r="WIJ75" s="134"/>
      <c r="WIK75" s="134"/>
      <c r="WIL75" s="134"/>
      <c r="WIM75" s="134"/>
      <c r="WIN75" s="134"/>
      <c r="WIO75" s="134"/>
      <c r="WIP75" s="134"/>
      <c r="WIQ75" s="134"/>
      <c r="WIR75" s="134"/>
      <c r="WIS75" s="134"/>
      <c r="WIT75" s="134"/>
      <c r="WIU75" s="134"/>
      <c r="WIV75" s="134"/>
      <c r="WIW75" s="134"/>
      <c r="WIX75" s="134"/>
      <c r="WIY75" s="134"/>
      <c r="WIZ75" s="134"/>
      <c r="WJA75" s="134"/>
      <c r="WJB75" s="134"/>
      <c r="WJC75" s="134"/>
      <c r="WJD75" s="134"/>
      <c r="WJE75" s="134"/>
      <c r="WJF75" s="134"/>
      <c r="WJG75" s="134"/>
      <c r="WJH75" s="134"/>
      <c r="WJI75" s="134"/>
      <c r="WJJ75" s="134"/>
      <c r="WJK75" s="134"/>
      <c r="WJL75" s="134"/>
      <c r="WJM75" s="134"/>
      <c r="WJN75" s="134"/>
      <c r="WJO75" s="134"/>
      <c r="WJP75" s="134"/>
      <c r="WJQ75" s="134"/>
      <c r="WJR75" s="134"/>
      <c r="WJS75" s="134"/>
      <c r="WJT75" s="134"/>
      <c r="WJU75" s="134"/>
      <c r="WJV75" s="134"/>
      <c r="WJW75" s="134"/>
      <c r="WJX75" s="134"/>
      <c r="WJY75" s="134"/>
      <c r="WJZ75" s="134"/>
      <c r="WKA75" s="134"/>
      <c r="WKB75" s="134"/>
      <c r="WKC75" s="134"/>
      <c r="WKD75" s="134"/>
      <c r="WKE75" s="134"/>
      <c r="WKF75" s="134"/>
      <c r="WKG75" s="134"/>
      <c r="WKH75" s="134"/>
      <c r="WKI75" s="134"/>
      <c r="WKJ75" s="134"/>
      <c r="WKK75" s="134"/>
      <c r="WKL75" s="134"/>
      <c r="WKM75" s="134"/>
      <c r="WKN75" s="134"/>
      <c r="WKO75" s="134"/>
      <c r="WKP75" s="134"/>
      <c r="WKQ75" s="134"/>
      <c r="WKR75" s="134"/>
      <c r="WKS75" s="134"/>
      <c r="WKT75" s="134"/>
      <c r="WKU75" s="134"/>
      <c r="WKV75" s="134"/>
      <c r="WKW75" s="134"/>
      <c r="WKX75" s="134"/>
      <c r="WKY75" s="134"/>
      <c r="WKZ75" s="134"/>
      <c r="WLA75" s="134"/>
      <c r="WLB75" s="134"/>
      <c r="WLC75" s="134"/>
      <c r="WLD75" s="134"/>
      <c r="WLE75" s="134"/>
      <c r="WLF75" s="134"/>
      <c r="WLG75" s="134"/>
      <c r="WLH75" s="134"/>
      <c r="WLI75" s="134"/>
      <c r="WLJ75" s="134"/>
      <c r="WLK75" s="134"/>
      <c r="WLL75" s="134"/>
      <c r="WLM75" s="134"/>
      <c r="WLN75" s="134"/>
      <c r="WLO75" s="134"/>
      <c r="WLP75" s="134"/>
      <c r="WLQ75" s="134"/>
      <c r="WLR75" s="134"/>
      <c r="WLS75" s="134"/>
      <c r="WLT75" s="134"/>
      <c r="WLU75" s="134"/>
      <c r="WLV75" s="134"/>
      <c r="WLW75" s="134"/>
      <c r="WLX75" s="134"/>
      <c r="WLY75" s="134"/>
      <c r="WLZ75" s="134"/>
      <c r="WMA75" s="134"/>
      <c r="WMB75" s="134"/>
      <c r="WMC75" s="134"/>
      <c r="WMD75" s="134"/>
      <c r="WME75" s="134"/>
      <c r="WMF75" s="134"/>
      <c r="WMG75" s="134"/>
      <c r="WMH75" s="134"/>
      <c r="WMI75" s="134"/>
      <c r="WMJ75" s="134"/>
      <c r="WMK75" s="134"/>
      <c r="WML75" s="134"/>
      <c r="WMM75" s="134"/>
      <c r="WMN75" s="134"/>
      <c r="WMO75" s="134"/>
      <c r="WMP75" s="134"/>
      <c r="WMQ75" s="134"/>
      <c r="WMR75" s="134"/>
      <c r="WMS75" s="134"/>
      <c r="WMT75" s="134"/>
      <c r="WMU75" s="134"/>
      <c r="WMV75" s="134"/>
      <c r="WMW75" s="134"/>
      <c r="WMX75" s="134"/>
      <c r="WMY75" s="134"/>
      <c r="WMZ75" s="134"/>
      <c r="WNA75" s="134"/>
      <c r="WNB75" s="134"/>
      <c r="WNC75" s="134"/>
      <c r="WND75" s="134"/>
      <c r="WNE75" s="134"/>
      <c r="WNF75" s="134"/>
      <c r="WNG75" s="134"/>
      <c r="WNH75" s="134"/>
      <c r="WNI75" s="134"/>
      <c r="WNJ75" s="134"/>
      <c r="WNK75" s="134"/>
      <c r="WNL75" s="134"/>
      <c r="WNM75" s="134"/>
      <c r="WNN75" s="134"/>
      <c r="WNO75" s="134"/>
      <c r="WNP75" s="134"/>
      <c r="WNQ75" s="134"/>
      <c r="WNR75" s="134"/>
      <c r="WNS75" s="134"/>
      <c r="WNT75" s="134"/>
      <c r="WNU75" s="134"/>
      <c r="WNV75" s="134"/>
      <c r="WNW75" s="134"/>
      <c r="WNX75" s="134"/>
      <c r="WNY75" s="134"/>
      <c r="WNZ75" s="134"/>
      <c r="WOA75" s="134"/>
      <c r="WOB75" s="134"/>
      <c r="WOC75" s="134"/>
      <c r="WOD75" s="134"/>
      <c r="WOE75" s="134"/>
      <c r="WOF75" s="134"/>
      <c r="WOG75" s="134"/>
      <c r="WOH75" s="134"/>
      <c r="WOI75" s="134"/>
      <c r="WOJ75" s="134"/>
      <c r="WOK75" s="134"/>
      <c r="WOL75" s="134"/>
      <c r="WOM75" s="134"/>
      <c r="WON75" s="134"/>
      <c r="WOO75" s="134"/>
      <c r="WOP75" s="134"/>
      <c r="WOQ75" s="134"/>
      <c r="WOR75" s="134"/>
      <c r="WOS75" s="134"/>
      <c r="WOT75" s="134"/>
      <c r="WOU75" s="134"/>
      <c r="WOV75" s="134"/>
      <c r="WOW75" s="134"/>
      <c r="WOX75" s="134"/>
      <c r="WOY75" s="134"/>
      <c r="WOZ75" s="134"/>
      <c r="WPA75" s="134"/>
      <c r="WPB75" s="134"/>
      <c r="WPC75" s="134"/>
      <c r="WPD75" s="134"/>
      <c r="WPE75" s="134"/>
      <c r="WPF75" s="134"/>
      <c r="WPG75" s="134"/>
      <c r="WPH75" s="134"/>
      <c r="WPI75" s="134"/>
      <c r="WPJ75" s="134"/>
      <c r="WPK75" s="134"/>
      <c r="WPL75" s="134"/>
      <c r="WPM75" s="134"/>
      <c r="WPN75" s="134"/>
      <c r="WPO75" s="134"/>
      <c r="WPP75" s="134"/>
      <c r="WPQ75" s="134"/>
      <c r="WPR75" s="134"/>
      <c r="WPS75" s="134"/>
      <c r="WPT75" s="134"/>
      <c r="WPU75" s="134"/>
      <c r="WPV75" s="134"/>
      <c r="WPW75" s="134"/>
      <c r="WPX75" s="134"/>
      <c r="WPY75" s="134"/>
      <c r="WPZ75" s="134"/>
      <c r="WQA75" s="134"/>
      <c r="WQB75" s="134"/>
      <c r="WQC75" s="134"/>
      <c r="WQD75" s="134"/>
      <c r="WQE75" s="134"/>
      <c r="WQF75" s="134"/>
      <c r="WQG75" s="134"/>
      <c r="WQH75" s="134"/>
      <c r="WQI75" s="134"/>
      <c r="WQJ75" s="134"/>
      <c r="WQK75" s="134"/>
      <c r="WQL75" s="134"/>
      <c r="WQM75" s="134"/>
      <c r="WQN75" s="134"/>
      <c r="WQO75" s="134"/>
      <c r="WQP75" s="134"/>
      <c r="WQQ75" s="134"/>
      <c r="WQR75" s="134"/>
      <c r="WQS75" s="134"/>
      <c r="WQT75" s="134"/>
      <c r="WQU75" s="134"/>
      <c r="WQV75" s="134"/>
      <c r="WQW75" s="134"/>
      <c r="WQX75" s="134"/>
      <c r="WQY75" s="134"/>
      <c r="WQZ75" s="134"/>
      <c r="WRA75" s="134"/>
      <c r="WRB75" s="134"/>
      <c r="WRC75" s="134"/>
      <c r="WRD75" s="134"/>
      <c r="WRE75" s="134"/>
      <c r="WRF75" s="134"/>
      <c r="WRG75" s="134"/>
      <c r="WRH75" s="134"/>
      <c r="WRI75" s="134"/>
      <c r="WRJ75" s="134"/>
      <c r="WRK75" s="134"/>
      <c r="WRL75" s="134"/>
      <c r="WRM75" s="134"/>
      <c r="WRN75" s="134"/>
      <c r="WRO75" s="134"/>
      <c r="WRP75" s="134"/>
      <c r="WRQ75" s="134"/>
      <c r="WRR75" s="134"/>
      <c r="WRS75" s="134"/>
      <c r="WRT75" s="134"/>
      <c r="WRU75" s="134"/>
      <c r="WRV75" s="134"/>
      <c r="WRW75" s="134"/>
      <c r="WRX75" s="134"/>
      <c r="WRY75" s="134"/>
      <c r="WRZ75" s="134"/>
      <c r="WSA75" s="134"/>
      <c r="WSB75" s="134"/>
      <c r="WSC75" s="134"/>
      <c r="WSD75" s="134"/>
      <c r="WSE75" s="134"/>
      <c r="WSF75" s="134"/>
      <c r="WSG75" s="134"/>
      <c r="WSH75" s="134"/>
      <c r="WSI75" s="134"/>
      <c r="WSJ75" s="134"/>
      <c r="WSK75" s="134"/>
      <c r="WSL75" s="134"/>
      <c r="WSM75" s="134"/>
      <c r="WSN75" s="134"/>
      <c r="WSO75" s="134"/>
      <c r="WSP75" s="134"/>
      <c r="WSQ75" s="134"/>
      <c r="WSR75" s="134"/>
      <c r="WSS75" s="134"/>
      <c r="WST75" s="134"/>
      <c r="WSU75" s="134"/>
      <c r="WSV75" s="134"/>
      <c r="WSW75" s="134"/>
      <c r="WSX75" s="134"/>
      <c r="WSY75" s="134"/>
      <c r="WSZ75" s="134"/>
      <c r="WTA75" s="134"/>
      <c r="WTB75" s="134"/>
      <c r="WTC75" s="134"/>
      <c r="WTD75" s="134"/>
      <c r="WTE75" s="134"/>
      <c r="WTF75" s="134"/>
      <c r="WTG75" s="134"/>
      <c r="WTH75" s="134"/>
      <c r="WTI75" s="134"/>
      <c r="WTJ75" s="134"/>
      <c r="WTK75" s="134"/>
      <c r="WTL75" s="134"/>
      <c r="WTM75" s="134"/>
      <c r="WTN75" s="134"/>
      <c r="WTO75" s="134"/>
      <c r="WTP75" s="134"/>
      <c r="WTQ75" s="134"/>
      <c r="WTR75" s="134"/>
      <c r="WTS75" s="134"/>
      <c r="WTT75" s="134"/>
      <c r="WTU75" s="134"/>
      <c r="WTV75" s="134"/>
      <c r="WTW75" s="134"/>
      <c r="WTX75" s="134"/>
      <c r="WTY75" s="134"/>
      <c r="WTZ75" s="134"/>
      <c r="WUA75" s="134"/>
      <c r="WUB75" s="134"/>
      <c r="WUC75" s="134"/>
      <c r="WUD75" s="134"/>
      <c r="WUE75" s="134"/>
      <c r="WUF75" s="134"/>
      <c r="WUG75" s="134"/>
      <c r="WUH75" s="134"/>
      <c r="WUI75" s="134"/>
      <c r="WUJ75" s="134"/>
      <c r="WUK75" s="134"/>
      <c r="WUL75" s="134"/>
      <c r="WUM75" s="134"/>
      <c r="WUN75" s="134"/>
      <c r="WUO75" s="134"/>
      <c r="WUP75" s="134"/>
      <c r="WUQ75" s="134"/>
      <c r="WUR75" s="134"/>
      <c r="WUS75" s="134"/>
      <c r="WUT75" s="134"/>
      <c r="WUU75" s="134"/>
      <c r="WUV75" s="134"/>
      <c r="WUW75" s="134"/>
      <c r="WUX75" s="134"/>
      <c r="WUY75" s="134"/>
      <c r="WUZ75" s="134"/>
      <c r="WVA75" s="134"/>
      <c r="WVB75" s="134"/>
      <c r="WVC75" s="134"/>
      <c r="WVD75" s="134"/>
      <c r="WVE75" s="134"/>
      <c r="WVF75" s="134"/>
      <c r="WVG75" s="134"/>
      <c r="WVH75" s="134"/>
      <c r="WVI75" s="134"/>
      <c r="WVJ75" s="134"/>
      <c r="WVK75" s="134"/>
      <c r="WVL75" s="134"/>
      <c r="WVM75" s="134"/>
      <c r="WVN75" s="134"/>
      <c r="WVO75" s="134"/>
      <c r="WVP75" s="134"/>
      <c r="WVQ75" s="134"/>
      <c r="WVR75" s="134"/>
      <c r="WVS75" s="134"/>
      <c r="WVT75" s="134"/>
      <c r="WVU75" s="134"/>
      <c r="WVV75" s="134"/>
      <c r="WVW75" s="134"/>
      <c r="WVX75" s="134"/>
      <c r="WVY75" s="134"/>
      <c r="WVZ75" s="134"/>
      <c r="WWA75" s="134"/>
      <c r="WWB75" s="134"/>
      <c r="WWC75" s="134"/>
      <c r="WWD75" s="134"/>
      <c r="WWE75" s="134"/>
      <c r="WWF75" s="134"/>
      <c r="WWG75" s="134"/>
      <c r="WWH75" s="134"/>
      <c r="WWI75" s="134"/>
      <c r="WWJ75" s="134"/>
      <c r="WWK75" s="134"/>
      <c r="WWL75" s="134"/>
      <c r="WWM75" s="134"/>
      <c r="WWN75" s="134"/>
      <c r="WWO75" s="134"/>
      <c r="WWP75" s="134"/>
      <c r="WWQ75" s="134"/>
      <c r="WWR75" s="134"/>
      <c r="WWS75" s="134"/>
      <c r="WWT75" s="134"/>
      <c r="WWU75" s="134"/>
      <c r="WWV75" s="134"/>
      <c r="WWW75" s="134"/>
      <c r="WWX75" s="134"/>
      <c r="WWY75" s="134"/>
      <c r="WWZ75" s="134"/>
      <c r="WXA75" s="134"/>
      <c r="WXB75" s="134"/>
      <c r="WXC75" s="134"/>
      <c r="WXD75" s="134"/>
      <c r="WXE75" s="134"/>
      <c r="WXF75" s="134"/>
      <c r="WXG75" s="134"/>
      <c r="WXH75" s="134"/>
      <c r="WXI75" s="134"/>
      <c r="WXJ75" s="134"/>
      <c r="WXK75" s="134"/>
      <c r="WXL75" s="134"/>
      <c r="WXM75" s="134"/>
      <c r="WXN75" s="134"/>
      <c r="WXO75" s="134"/>
      <c r="WXP75" s="134"/>
      <c r="WXQ75" s="134"/>
      <c r="WXR75" s="134"/>
      <c r="WXS75" s="134"/>
      <c r="WXT75" s="134"/>
      <c r="WXU75" s="134"/>
      <c r="WXV75" s="134"/>
      <c r="WXW75" s="134"/>
      <c r="WXX75" s="134"/>
      <c r="WXY75" s="134"/>
      <c r="WXZ75" s="134"/>
      <c r="WYA75" s="134"/>
      <c r="WYB75" s="134"/>
      <c r="WYC75" s="134"/>
      <c r="WYD75" s="134"/>
      <c r="WYE75" s="134"/>
      <c r="WYF75" s="134"/>
      <c r="WYG75" s="134"/>
      <c r="WYH75" s="134"/>
      <c r="WYI75" s="134"/>
      <c r="WYJ75" s="134"/>
      <c r="WYK75" s="134"/>
      <c r="WYL75" s="134"/>
      <c r="WYM75" s="134"/>
      <c r="WYN75" s="134"/>
      <c r="WYO75" s="134"/>
      <c r="WYP75" s="134"/>
      <c r="WYQ75" s="134"/>
      <c r="WYR75" s="134"/>
      <c r="WYS75" s="134"/>
      <c r="WYT75" s="134"/>
      <c r="WYU75" s="134"/>
      <c r="WYV75" s="134"/>
      <c r="WYW75" s="134"/>
      <c r="WYX75" s="134"/>
      <c r="WYY75" s="134"/>
      <c r="WYZ75" s="134"/>
      <c r="WZA75" s="134"/>
      <c r="WZB75" s="134"/>
      <c r="WZC75" s="134"/>
      <c r="WZD75" s="134"/>
      <c r="WZE75" s="134"/>
      <c r="WZF75" s="134"/>
      <c r="WZG75" s="134"/>
      <c r="WZH75" s="134"/>
      <c r="WZI75" s="134"/>
      <c r="WZJ75" s="134"/>
      <c r="WZK75" s="134"/>
      <c r="WZL75" s="134"/>
      <c r="WZM75" s="134"/>
      <c r="WZN75" s="134"/>
      <c r="WZO75" s="134"/>
      <c r="WZP75" s="134"/>
      <c r="WZQ75" s="134"/>
      <c r="WZR75" s="134"/>
      <c r="WZS75" s="134"/>
      <c r="WZT75" s="134"/>
      <c r="WZU75" s="134"/>
      <c r="WZV75" s="134"/>
      <c r="WZW75" s="134"/>
      <c r="WZX75" s="134"/>
      <c r="WZY75" s="134"/>
      <c r="WZZ75" s="134"/>
      <c r="XAA75" s="134"/>
      <c r="XAB75" s="134"/>
      <c r="XAC75" s="134"/>
      <c r="XAD75" s="134"/>
      <c r="XAE75" s="134"/>
      <c r="XAF75" s="134"/>
      <c r="XAG75" s="134"/>
      <c r="XAH75" s="134"/>
      <c r="XAI75" s="134"/>
      <c r="XAJ75" s="134"/>
      <c r="XAK75" s="134"/>
      <c r="XAL75" s="134"/>
      <c r="XAM75" s="134"/>
      <c r="XAN75" s="134"/>
      <c r="XAO75" s="134"/>
      <c r="XAP75" s="134"/>
      <c r="XAQ75" s="134"/>
      <c r="XAR75" s="134"/>
      <c r="XAS75" s="134"/>
      <c r="XAT75" s="134"/>
      <c r="XAU75" s="134"/>
      <c r="XAV75" s="134"/>
      <c r="XAW75" s="134"/>
      <c r="XAX75" s="134"/>
      <c r="XAY75" s="134"/>
      <c r="XAZ75" s="134"/>
      <c r="XBA75" s="134"/>
      <c r="XBB75" s="134"/>
      <c r="XBC75" s="134"/>
      <c r="XBD75" s="134"/>
      <c r="XBE75" s="134"/>
      <c r="XBF75" s="134"/>
      <c r="XBG75" s="134"/>
      <c r="XBH75" s="134"/>
      <c r="XBI75" s="134"/>
      <c r="XBJ75" s="134"/>
      <c r="XBK75" s="134"/>
      <c r="XBL75" s="134"/>
      <c r="XBM75" s="134"/>
      <c r="XBN75" s="134"/>
      <c r="XBO75" s="134"/>
      <c r="XBP75" s="134"/>
      <c r="XBQ75" s="134"/>
      <c r="XBR75" s="134"/>
      <c r="XBS75" s="134"/>
      <c r="XBT75" s="134"/>
      <c r="XBU75" s="134"/>
      <c r="XBV75" s="134"/>
      <c r="XBW75" s="134"/>
      <c r="XBX75" s="134"/>
      <c r="XBY75" s="134"/>
      <c r="XBZ75" s="134"/>
      <c r="XCA75" s="134"/>
      <c r="XCB75" s="134"/>
      <c r="XCC75" s="134"/>
      <c r="XCD75" s="134"/>
      <c r="XCE75" s="134"/>
      <c r="XCF75" s="134"/>
      <c r="XCG75" s="134"/>
      <c r="XCH75" s="134"/>
      <c r="XCI75" s="134"/>
      <c r="XCJ75" s="134"/>
      <c r="XCK75" s="134"/>
      <c r="XCL75" s="134"/>
      <c r="XCM75" s="134"/>
      <c r="XCN75" s="134"/>
      <c r="XCO75" s="134"/>
      <c r="XCP75" s="134"/>
      <c r="XCQ75" s="134"/>
      <c r="XCR75" s="134"/>
      <c r="XCS75" s="134"/>
      <c r="XCT75" s="134"/>
      <c r="XCU75" s="134"/>
      <c r="XCV75" s="134"/>
      <c r="XCW75" s="134"/>
      <c r="XCX75" s="134"/>
      <c r="XCY75" s="134"/>
      <c r="XCZ75" s="134"/>
      <c r="XDA75" s="134"/>
      <c r="XDB75" s="134"/>
      <c r="XDC75" s="134"/>
      <c r="XDD75" s="134"/>
      <c r="XDE75" s="134"/>
      <c r="XDF75" s="134"/>
      <c r="XDG75" s="134"/>
      <c r="XDH75" s="134"/>
      <c r="XDI75" s="134"/>
      <c r="XDJ75" s="134"/>
      <c r="XDK75" s="134"/>
      <c r="XDL75" s="134"/>
      <c r="XDM75" s="134"/>
      <c r="XDN75" s="134"/>
      <c r="XDO75" s="134"/>
      <c r="XDP75" s="134"/>
      <c r="XDQ75" s="134"/>
      <c r="XDR75" s="134"/>
      <c r="XDS75" s="134"/>
      <c r="XDT75" s="134"/>
      <c r="XDU75" s="134"/>
      <c r="XDV75" s="134"/>
      <c r="XDW75" s="134"/>
      <c r="XDX75" s="134"/>
      <c r="XDY75" s="134"/>
      <c r="XDZ75" s="134"/>
      <c r="XEA75" s="134"/>
      <c r="XEB75" s="134"/>
      <c r="XEC75" s="134"/>
      <c r="XED75" s="134"/>
      <c r="XEE75" s="134"/>
      <c r="XEF75" s="134"/>
      <c r="XEG75" s="134"/>
      <c r="XEH75" s="134"/>
      <c r="XEI75" s="134"/>
      <c r="XEJ75" s="134"/>
      <c r="XEK75" s="134"/>
      <c r="XEL75" s="134"/>
      <c r="XEM75" s="134"/>
      <c r="XEN75" s="134"/>
      <c r="XEO75" s="134"/>
      <c r="XEP75" s="134"/>
      <c r="XEQ75" s="134"/>
      <c r="XER75" s="134"/>
      <c r="XES75" s="134"/>
      <c r="XET75" s="134"/>
      <c r="XEU75" s="134"/>
      <c r="XEV75" s="134"/>
      <c r="XEW75" s="134"/>
      <c r="XEX75" s="134"/>
      <c r="XEY75" s="134"/>
      <c r="XEZ75" s="134"/>
      <c r="XFA75" s="134"/>
      <c r="XFB75" s="134"/>
      <c r="XFC75" s="134"/>
    </row>
    <row r="76" spans="2:16383">
      <c r="B76" s="134"/>
      <c r="C76" s="210"/>
      <c r="D76" s="239"/>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row>
    <row r="77" spans="2:16383">
      <c r="B77" s="134"/>
      <c r="C77" s="210"/>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c r="AI77" s="134"/>
      <c r="AJ77" s="134"/>
    </row>
    <row r="78" spans="2:1638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c r="AI78" s="134"/>
      <c r="AJ78" s="134"/>
    </row>
    <row r="79" spans="2:1638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row>
    <row r="80" spans="2:1638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row>
    <row r="81" spans="2:36">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row>
    <row r="82" spans="2:36">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row>
    <row r="83" spans="2:36">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c r="AF83" s="134"/>
      <c r="AG83" s="134"/>
      <c r="AH83" s="134"/>
      <c r="AI83" s="134"/>
      <c r="AJ83" s="134"/>
    </row>
    <row r="84" spans="2:36">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row>
    <row r="85" spans="2:36">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row>
    <row r="86" spans="2:36">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row>
    <row r="87" spans="2:36">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row>
    <row r="88" spans="2:36">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row>
    <row r="89" spans="2:36">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row>
    <row r="90" spans="2:36">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row>
    <row r="91" spans="2:36">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row>
    <row r="92" spans="2:36">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row>
    <row r="93" spans="2:36">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row>
    <row r="94" spans="2:36">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row>
    <row r="95" spans="2:36">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row>
    <row r="96" spans="2:36">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row>
    <row r="97" spans="2:36">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row>
    <row r="98" spans="2:36">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row>
    <row r="99" spans="2:36">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row>
    <row r="100" spans="2:36">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row>
    <row r="101" spans="2:36">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row>
    <row r="102" spans="2:36">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row>
    <row r="103" spans="2:36">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row>
    <row r="104" spans="2:36">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row>
    <row r="105" spans="2:36">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row>
    <row r="106" spans="2:36">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row>
    <row r="107" spans="2:36">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row>
    <row r="108" spans="2:36">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row>
    <row r="109" spans="2:36">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row>
    <row r="110" spans="2:36">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row>
    <row r="111" spans="2:36">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row>
    <row r="112" spans="2:36">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row>
    <row r="113" spans="2:36">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c r="AF113" s="134"/>
      <c r="AG113" s="134"/>
      <c r="AH113" s="134"/>
      <c r="AI113" s="134"/>
      <c r="AJ113" s="134"/>
    </row>
    <row r="114" spans="2:36">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c r="AF114" s="134"/>
      <c r="AG114" s="134"/>
      <c r="AH114" s="134"/>
      <c r="AI114" s="134"/>
      <c r="AJ114" s="134"/>
    </row>
    <row r="115" spans="2:36">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c r="AF115" s="134"/>
      <c r="AG115" s="134"/>
      <c r="AH115" s="134"/>
      <c r="AI115" s="134"/>
      <c r="AJ115" s="134"/>
    </row>
    <row r="116" spans="2:36">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row>
    <row r="117" spans="2:36">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row>
    <row r="118" spans="2:36">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c r="AF118" s="134"/>
      <c r="AG118" s="134"/>
      <c r="AH118" s="134"/>
      <c r="AI118" s="134"/>
      <c r="AJ118" s="134"/>
    </row>
    <row r="119" spans="2:36">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c r="AF119" s="134"/>
      <c r="AG119" s="134"/>
      <c r="AH119" s="134"/>
      <c r="AI119" s="134"/>
      <c r="AJ119" s="134"/>
    </row>
    <row r="120" spans="2:36">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c r="AF120" s="134"/>
      <c r="AG120" s="134"/>
      <c r="AH120" s="134"/>
      <c r="AI120" s="134"/>
      <c r="AJ120" s="134"/>
    </row>
    <row r="121" spans="2:36">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c r="AF121" s="134"/>
      <c r="AG121" s="134"/>
      <c r="AH121" s="134"/>
      <c r="AI121" s="134"/>
      <c r="AJ121" s="134"/>
    </row>
    <row r="122" spans="2:36">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row>
    <row r="123" spans="2:36">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row>
    <row r="124" spans="2:36">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c r="AF124" s="134"/>
      <c r="AG124" s="134"/>
      <c r="AH124" s="134"/>
      <c r="AI124" s="134"/>
      <c r="AJ124" s="134"/>
    </row>
    <row r="125" spans="2:36">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c r="AF125" s="134"/>
      <c r="AG125" s="134"/>
      <c r="AH125" s="134"/>
      <c r="AI125" s="134"/>
      <c r="AJ125" s="134"/>
    </row>
    <row r="126" spans="2:36">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row>
    <row r="127" spans="2:36">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c r="AF127" s="134"/>
      <c r="AG127" s="134"/>
      <c r="AH127" s="134"/>
      <c r="AI127" s="134"/>
      <c r="AJ127" s="134"/>
    </row>
    <row r="128" spans="2:36">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c r="AF128" s="134"/>
      <c r="AG128" s="134"/>
      <c r="AH128" s="134"/>
      <c r="AI128" s="134"/>
      <c r="AJ128" s="134"/>
    </row>
    <row r="129" spans="2:36">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c r="AF129" s="134"/>
      <c r="AG129" s="134"/>
      <c r="AH129" s="134"/>
      <c r="AI129" s="134"/>
      <c r="AJ129" s="134"/>
    </row>
    <row r="130" spans="2:36">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row>
    <row r="131" spans="2:36">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row>
    <row r="132" spans="2:36">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row>
    <row r="133" spans="2:36">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c r="AF133" s="134"/>
      <c r="AG133" s="134"/>
      <c r="AH133" s="134"/>
      <c r="AI133" s="134"/>
      <c r="AJ133" s="134"/>
    </row>
    <row r="134" spans="2:36">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c r="AF134" s="134"/>
      <c r="AG134" s="134"/>
      <c r="AH134" s="134"/>
      <c r="AI134" s="134"/>
      <c r="AJ134" s="134"/>
    </row>
    <row r="135" spans="2:36">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c r="AF135" s="134"/>
      <c r="AG135" s="134"/>
      <c r="AH135" s="134"/>
      <c r="AI135" s="134"/>
      <c r="AJ135" s="134"/>
    </row>
    <row r="136" spans="2:36">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c r="AF136" s="134"/>
      <c r="AG136" s="134"/>
      <c r="AH136" s="134"/>
      <c r="AI136" s="134"/>
      <c r="AJ136" s="134"/>
    </row>
    <row r="137" spans="2:36">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c r="AF137" s="134"/>
      <c r="AG137" s="134"/>
      <c r="AH137" s="134"/>
      <c r="AI137" s="134"/>
      <c r="AJ137" s="134"/>
    </row>
    <row r="138" spans="2:36">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c r="AF138" s="134"/>
      <c r="AG138" s="134"/>
      <c r="AH138" s="134"/>
      <c r="AI138" s="134"/>
      <c r="AJ138" s="134"/>
    </row>
    <row r="139" spans="2:36">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row>
    <row r="140" spans="2:36">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row>
    <row r="141" spans="2:36">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row>
    <row r="142" spans="2:36">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c r="AF142" s="134"/>
      <c r="AG142" s="134"/>
      <c r="AH142" s="134"/>
      <c r="AI142" s="134"/>
      <c r="AJ142" s="134"/>
    </row>
    <row r="143" spans="2:36">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row>
    <row r="144" spans="2:36">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row>
    <row r="145" spans="2:36">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row>
    <row r="146" spans="2:36">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row>
    <row r="147" spans="2:36">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row>
    <row r="148" spans="2:36">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row>
    <row r="149" spans="2:36">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row>
    <row r="150" spans="2:36">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row>
    <row r="151" spans="2:36">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row>
    <row r="152" spans="2:36">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row>
    <row r="153" spans="2:36">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row>
    <row r="154" spans="2:36">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row>
    <row r="155" spans="2:36">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row>
    <row r="156" spans="2:36">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row>
    <row r="157" spans="2:36">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row>
    <row r="158" spans="2:36">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row>
    <row r="159" spans="2:36">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row>
    <row r="160" spans="2:36">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row>
    <row r="161" spans="2:36">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row>
    <row r="162" spans="2:36">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row>
    <row r="163" spans="2:36">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row>
    <row r="164" spans="2:36">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row>
    <row r="165" spans="2:36">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row>
    <row r="166" spans="2:36">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row>
    <row r="167" spans="2:36">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row>
    <row r="168" spans="2:36">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row>
    <row r="169" spans="2:36">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row>
    <row r="170" spans="2:36">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row>
    <row r="171" spans="2:36">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row>
    <row r="172" spans="2:36">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row>
    <row r="173" spans="2:36">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c r="AF173" s="134"/>
      <c r="AG173" s="134"/>
      <c r="AH173" s="134"/>
      <c r="AI173" s="134"/>
      <c r="AJ173" s="134"/>
    </row>
    <row r="174" spans="2:36">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c r="AF174" s="134"/>
      <c r="AG174" s="134"/>
      <c r="AH174" s="134"/>
      <c r="AI174" s="134"/>
      <c r="AJ174" s="134"/>
    </row>
    <row r="175" spans="2:36">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row>
    <row r="176" spans="2:36">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row>
    <row r="177" spans="2:36">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c r="AF177" s="134"/>
      <c r="AG177" s="134"/>
      <c r="AH177" s="134"/>
      <c r="AI177" s="134"/>
      <c r="AJ177" s="134"/>
    </row>
    <row r="178" spans="2:36">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c r="AF178" s="134"/>
      <c r="AG178" s="134"/>
      <c r="AH178" s="134"/>
      <c r="AI178" s="134"/>
      <c r="AJ178" s="134"/>
    </row>
    <row r="179" spans="2:36">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c r="AH179" s="134"/>
      <c r="AI179" s="134"/>
      <c r="AJ179" s="134"/>
    </row>
    <row r="180" spans="2:36">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row>
    <row r="181" spans="2:36">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c r="AF181" s="134"/>
      <c r="AG181" s="134"/>
      <c r="AH181" s="134"/>
      <c r="AI181" s="134"/>
      <c r="AJ181" s="134"/>
    </row>
    <row r="182" spans="2:36">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c r="AH182" s="134"/>
      <c r="AI182" s="134"/>
      <c r="AJ182" s="134"/>
    </row>
    <row r="183" spans="2:36">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c r="AF183" s="134"/>
      <c r="AG183" s="134"/>
      <c r="AH183" s="134"/>
      <c r="AI183" s="134"/>
      <c r="AJ183" s="134"/>
    </row>
    <row r="184" spans="2:36">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c r="AH184" s="134"/>
      <c r="AI184" s="134"/>
      <c r="AJ184" s="134"/>
    </row>
    <row r="185" spans="2:36">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c r="AF185" s="134"/>
      <c r="AG185" s="134"/>
      <c r="AH185" s="134"/>
      <c r="AI185" s="134"/>
      <c r="AJ185" s="134"/>
    </row>
    <row r="186" spans="2:36">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row>
    <row r="187" spans="2:36">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c r="AI187" s="134"/>
      <c r="AJ187" s="134"/>
    </row>
    <row r="188" spans="2:36">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c r="AH188" s="134"/>
      <c r="AI188" s="134"/>
      <c r="AJ188" s="134"/>
    </row>
    <row r="189" spans="2:36">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c r="AF189" s="134"/>
      <c r="AG189" s="134"/>
      <c r="AH189" s="134"/>
      <c r="AI189" s="134"/>
      <c r="AJ189" s="134"/>
    </row>
    <row r="190" spans="2:36">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c r="AH190" s="134"/>
      <c r="AI190" s="134"/>
      <c r="AJ190" s="134"/>
    </row>
    <row r="191" spans="2:36">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c r="AH191" s="134"/>
      <c r="AI191" s="134"/>
      <c r="AJ191" s="134"/>
    </row>
    <row r="192" spans="2:36">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c r="AF192" s="134"/>
      <c r="AG192" s="134"/>
      <c r="AH192" s="134"/>
      <c r="AI192" s="134"/>
      <c r="AJ192" s="134"/>
    </row>
    <row r="193" spans="2:36">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c r="AH193" s="134"/>
      <c r="AI193" s="134"/>
      <c r="AJ193" s="134"/>
    </row>
    <row r="194" spans="2:36">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c r="AF194" s="134"/>
      <c r="AG194" s="134"/>
      <c r="AH194" s="134"/>
      <c r="AI194" s="134"/>
      <c r="AJ194" s="134"/>
    </row>
    <row r="195" spans="2:36">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c r="AH195" s="134"/>
      <c r="AI195" s="134"/>
      <c r="AJ195" s="134"/>
    </row>
    <row r="196" spans="2:36">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c r="AF196" s="134"/>
      <c r="AG196" s="134"/>
      <c r="AH196" s="134"/>
      <c r="AI196" s="134"/>
      <c r="AJ196" s="134"/>
    </row>
    <row r="197" spans="2:36">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row>
    <row r="198" spans="2:36">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row>
    <row r="199" spans="2:36">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row>
    <row r="200" spans="2:36">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row>
    <row r="201" spans="2:36">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row>
    <row r="202" spans="2:36">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row>
    <row r="203" spans="2:36">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row>
    <row r="204" spans="2:36">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row>
    <row r="205" spans="2:36">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row>
    <row r="206" spans="2:36">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c r="AH206" s="134"/>
      <c r="AI206" s="134"/>
      <c r="AJ206" s="134"/>
    </row>
    <row r="207" spans="2:36">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c r="AH207" s="134"/>
      <c r="AI207" s="134"/>
      <c r="AJ207" s="134"/>
    </row>
    <row r="208" spans="2:36">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c r="AH208" s="134"/>
      <c r="AI208" s="134"/>
      <c r="AJ208" s="134"/>
    </row>
    <row r="209" spans="2:36">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row>
    <row r="210" spans="2:36">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c r="AH210" s="134"/>
      <c r="AI210" s="134"/>
      <c r="AJ210" s="134"/>
    </row>
    <row r="211" spans="2:36">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row>
    <row r="212" spans="2:36">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row>
    <row r="213" spans="2:36">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row>
    <row r="214" spans="2:36">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row>
    <row r="215" spans="2:36">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row>
    <row r="216" spans="2:36">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row>
    <row r="217" spans="2:36">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row>
    <row r="218" spans="2:36">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row>
    <row r="219" spans="2:36">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row>
    <row r="220" spans="2:36">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row>
    <row r="221" spans="2:36">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row>
    <row r="222" spans="2:36">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row>
    <row r="223" spans="2:36">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row>
    <row r="224" spans="2:36">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row>
    <row r="225" spans="2:36">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row>
    <row r="226" spans="2:36">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row>
    <row r="227" spans="2:36">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c r="AH227" s="134"/>
      <c r="AI227" s="134"/>
      <c r="AJ227" s="134"/>
    </row>
    <row r="228" spans="2:36">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row>
    <row r="229" spans="2:36">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c r="AF229" s="134"/>
      <c r="AG229" s="134"/>
      <c r="AH229" s="134"/>
      <c r="AI229" s="134"/>
      <c r="AJ229" s="134"/>
    </row>
    <row r="230" spans="2:36">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row>
    <row r="231" spans="2:36">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c r="AH231" s="134"/>
      <c r="AI231" s="134"/>
      <c r="AJ231" s="134"/>
    </row>
    <row r="232" spans="2:36">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row>
    <row r="233" spans="2:36">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c r="AF233" s="134"/>
      <c r="AG233" s="134"/>
      <c r="AH233" s="134"/>
      <c r="AI233" s="134"/>
      <c r="AJ233" s="134"/>
    </row>
    <row r="234" spans="2:36">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c r="AF234" s="134"/>
      <c r="AG234" s="134"/>
      <c r="AH234" s="134"/>
      <c r="AI234" s="134"/>
      <c r="AJ234" s="134"/>
    </row>
    <row r="235" spans="2:36">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c r="AH235" s="134"/>
      <c r="AI235" s="134"/>
      <c r="AJ235" s="134"/>
    </row>
    <row r="236" spans="2:36">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c r="AF236" s="134"/>
      <c r="AG236" s="134"/>
      <c r="AH236" s="134"/>
      <c r="AI236" s="134"/>
      <c r="AJ236" s="134"/>
    </row>
    <row r="237" spans="2:36">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c r="AF237" s="134"/>
      <c r="AG237" s="134"/>
      <c r="AH237" s="134"/>
      <c r="AI237" s="134"/>
      <c r="AJ237" s="134"/>
    </row>
    <row r="238" spans="2:36">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c r="AF238" s="134"/>
      <c r="AG238" s="134"/>
      <c r="AH238" s="134"/>
      <c r="AI238" s="134"/>
      <c r="AJ238" s="134"/>
    </row>
    <row r="239" spans="2:36">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c r="AF239" s="134"/>
      <c r="AG239" s="134"/>
      <c r="AH239" s="134"/>
      <c r="AI239" s="134"/>
      <c r="AJ239" s="134"/>
    </row>
    <row r="240" spans="2:36">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c r="AF240" s="134"/>
      <c r="AG240" s="134"/>
      <c r="AH240" s="134"/>
      <c r="AI240" s="134"/>
      <c r="AJ240" s="134"/>
    </row>
    <row r="241" spans="2:36">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row>
    <row r="242" spans="2:36">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c r="AF242" s="134"/>
      <c r="AG242" s="134"/>
      <c r="AH242" s="134"/>
      <c r="AI242" s="134"/>
      <c r="AJ242" s="134"/>
    </row>
    <row r="243" spans="2:36">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c r="AF243" s="134"/>
      <c r="AG243" s="134"/>
      <c r="AH243" s="134"/>
      <c r="AI243" s="134"/>
      <c r="AJ243" s="134"/>
    </row>
    <row r="244" spans="2:36">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c r="AF244" s="134"/>
      <c r="AG244" s="134"/>
      <c r="AH244" s="134"/>
      <c r="AI244" s="134"/>
      <c r="AJ244" s="134"/>
    </row>
    <row r="245" spans="2:36">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c r="AF245" s="134"/>
      <c r="AG245" s="134"/>
      <c r="AH245" s="134"/>
      <c r="AI245" s="134"/>
      <c r="AJ245" s="134"/>
    </row>
    <row r="246" spans="2:36">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c r="AF246" s="134"/>
      <c r="AG246" s="134"/>
      <c r="AH246" s="134"/>
      <c r="AI246" s="134"/>
      <c r="AJ246" s="134"/>
    </row>
    <row r="247" spans="2:36">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c r="AF247" s="134"/>
      <c r="AG247" s="134"/>
      <c r="AH247" s="134"/>
      <c r="AI247" s="134"/>
      <c r="AJ247" s="134"/>
    </row>
    <row r="248" spans="2:36">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c r="AF248" s="134"/>
      <c r="AG248" s="134"/>
      <c r="AH248" s="134"/>
      <c r="AI248" s="134"/>
      <c r="AJ248" s="134"/>
    </row>
    <row r="249" spans="2:36">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c r="AF249" s="134"/>
      <c r="AG249" s="134"/>
      <c r="AH249" s="134"/>
      <c r="AI249" s="134"/>
      <c r="AJ249" s="134"/>
    </row>
    <row r="250" spans="2:36">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c r="AF250" s="134"/>
      <c r="AG250" s="134"/>
      <c r="AH250" s="134"/>
      <c r="AI250" s="134"/>
      <c r="AJ250" s="134"/>
    </row>
    <row r="251" spans="2:36">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c r="AF251" s="134"/>
      <c r="AG251" s="134"/>
      <c r="AH251" s="134"/>
      <c r="AI251" s="134"/>
      <c r="AJ251" s="134"/>
    </row>
    <row r="252" spans="2:36">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c r="AF252" s="134"/>
      <c r="AG252" s="134"/>
      <c r="AH252" s="134"/>
      <c r="AI252" s="134"/>
      <c r="AJ252" s="134"/>
    </row>
    <row r="253" spans="2:36">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c r="AF253" s="134"/>
      <c r="AG253" s="134"/>
      <c r="AH253" s="134"/>
      <c r="AI253" s="134"/>
      <c r="AJ253" s="134"/>
    </row>
    <row r="254" spans="2:36">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row>
    <row r="255" spans="2:36">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c r="AF255" s="134"/>
      <c r="AG255" s="134"/>
      <c r="AH255" s="134"/>
      <c r="AI255" s="134"/>
      <c r="AJ255" s="134"/>
    </row>
    <row r="256" spans="2:36">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c r="AF256" s="134"/>
      <c r="AG256" s="134"/>
      <c r="AH256" s="134"/>
      <c r="AI256" s="134"/>
      <c r="AJ256" s="134"/>
    </row>
    <row r="257" spans="2:36">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c r="AF257" s="134"/>
      <c r="AG257" s="134"/>
      <c r="AH257" s="134"/>
      <c r="AI257" s="134"/>
      <c r="AJ257" s="134"/>
    </row>
    <row r="258" spans="2:36">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c r="AF258" s="134"/>
      <c r="AG258" s="134"/>
      <c r="AH258" s="134"/>
      <c r="AI258" s="134"/>
      <c r="AJ258" s="134"/>
    </row>
    <row r="259" spans="2:36">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c r="AF259" s="134"/>
      <c r="AG259" s="134"/>
      <c r="AH259" s="134"/>
      <c r="AI259" s="134"/>
      <c r="AJ259" s="134"/>
    </row>
    <row r="260" spans="2:36">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c r="AF260" s="134"/>
      <c r="AG260" s="134"/>
      <c r="AH260" s="134"/>
      <c r="AI260" s="134"/>
      <c r="AJ260" s="134"/>
    </row>
    <row r="261" spans="2:36">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c r="AF261" s="134"/>
      <c r="AG261" s="134"/>
      <c r="AH261" s="134"/>
      <c r="AI261" s="134"/>
      <c r="AJ261" s="134"/>
    </row>
    <row r="262" spans="2:36">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c r="AF262" s="134"/>
      <c r="AG262" s="134"/>
      <c r="AH262" s="134"/>
      <c r="AI262" s="134"/>
      <c r="AJ262" s="134"/>
    </row>
    <row r="263" spans="2:36">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c r="AF263" s="134"/>
      <c r="AG263" s="134"/>
      <c r="AH263" s="134"/>
      <c r="AI263" s="134"/>
      <c r="AJ263" s="134"/>
    </row>
    <row r="264" spans="2:36">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c r="AF264" s="134"/>
      <c r="AG264" s="134"/>
      <c r="AH264" s="134"/>
      <c r="AI264" s="134"/>
      <c r="AJ264" s="134"/>
    </row>
    <row r="265" spans="2:36">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c r="AF265" s="134"/>
      <c r="AG265" s="134"/>
      <c r="AH265" s="134"/>
      <c r="AI265" s="134"/>
      <c r="AJ265" s="134"/>
    </row>
    <row r="266" spans="2:36">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c r="AF266" s="134"/>
      <c r="AG266" s="134"/>
      <c r="AH266" s="134"/>
      <c r="AI266" s="134"/>
      <c r="AJ266" s="134"/>
    </row>
    <row r="267" spans="2:36">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c r="AF267" s="134"/>
      <c r="AG267" s="134"/>
      <c r="AH267" s="134"/>
      <c r="AI267" s="134"/>
      <c r="AJ267" s="134"/>
    </row>
    <row r="268" spans="2:36">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c r="AH268" s="134"/>
      <c r="AI268" s="134"/>
      <c r="AJ268" s="134"/>
    </row>
    <row r="269" spans="2:36">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c r="AF269" s="134"/>
      <c r="AG269" s="134"/>
      <c r="AH269" s="134"/>
      <c r="AI269" s="134"/>
      <c r="AJ269" s="134"/>
    </row>
    <row r="270" spans="2:36">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c r="AF270" s="134"/>
      <c r="AG270" s="134"/>
      <c r="AH270" s="134"/>
      <c r="AI270" s="134"/>
      <c r="AJ270" s="134"/>
    </row>
    <row r="271" spans="2:36">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c r="AH271" s="134"/>
      <c r="AI271" s="134"/>
      <c r="AJ271" s="134"/>
    </row>
    <row r="272" spans="2:36">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c r="AF272" s="134"/>
      <c r="AG272" s="134"/>
      <c r="AH272" s="134"/>
      <c r="AI272" s="134"/>
      <c r="AJ272" s="134"/>
    </row>
    <row r="273" spans="2:36">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c r="AF273" s="134"/>
      <c r="AG273" s="134"/>
      <c r="AH273" s="134"/>
      <c r="AI273" s="134"/>
      <c r="AJ273" s="134"/>
    </row>
    <row r="274" spans="2:36">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c r="AF274" s="134"/>
      <c r="AG274" s="134"/>
      <c r="AH274" s="134"/>
      <c r="AI274" s="134"/>
      <c r="AJ274" s="134"/>
    </row>
    <row r="275" spans="2:36">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c r="AF275" s="134"/>
      <c r="AG275" s="134"/>
      <c r="AH275" s="134"/>
      <c r="AI275" s="134"/>
      <c r="AJ275" s="134"/>
    </row>
    <row r="276" spans="2:36">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c r="AF276" s="134"/>
      <c r="AG276" s="134"/>
      <c r="AH276" s="134"/>
      <c r="AI276" s="134"/>
      <c r="AJ276" s="134"/>
    </row>
    <row r="277" spans="2:36">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c r="AF277" s="134"/>
      <c r="AG277" s="134"/>
      <c r="AH277" s="134"/>
      <c r="AI277" s="134"/>
      <c r="AJ277" s="134"/>
    </row>
    <row r="278" spans="2:36">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c r="AF278" s="134"/>
      <c r="AG278" s="134"/>
      <c r="AH278" s="134"/>
      <c r="AI278" s="134"/>
      <c r="AJ278" s="134"/>
    </row>
    <row r="279" spans="2:36">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c r="AF279" s="134"/>
      <c r="AG279" s="134"/>
      <c r="AH279" s="134"/>
      <c r="AI279" s="134"/>
      <c r="AJ279" s="134"/>
    </row>
    <row r="280" spans="2:36">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c r="AF280" s="134"/>
      <c r="AG280" s="134"/>
      <c r="AH280" s="134"/>
      <c r="AI280" s="134"/>
      <c r="AJ280" s="134"/>
    </row>
    <row r="281" spans="2:36">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c r="AF281" s="134"/>
      <c r="AG281" s="134"/>
      <c r="AH281" s="134"/>
      <c r="AI281" s="134"/>
      <c r="AJ281" s="134"/>
    </row>
    <row r="282" spans="2:36">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c r="AF282" s="134"/>
      <c r="AG282" s="134"/>
      <c r="AH282" s="134"/>
      <c r="AI282" s="134"/>
      <c r="AJ282" s="134"/>
    </row>
    <row r="283" spans="2:36">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c r="AF283" s="134"/>
      <c r="AG283" s="134"/>
      <c r="AH283" s="134"/>
      <c r="AI283" s="134"/>
      <c r="AJ283" s="134"/>
    </row>
    <row r="284" spans="2:36">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c r="AF284" s="134"/>
      <c r="AG284" s="134"/>
      <c r="AH284" s="134"/>
      <c r="AI284" s="134"/>
      <c r="AJ284" s="134"/>
    </row>
    <row r="285" spans="2:36">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c r="AF285" s="134"/>
      <c r="AG285" s="134"/>
      <c r="AH285" s="134"/>
      <c r="AI285" s="134"/>
      <c r="AJ285" s="134"/>
    </row>
    <row r="286" spans="2:36">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c r="AF286" s="134"/>
      <c r="AG286" s="134"/>
      <c r="AH286" s="134"/>
      <c r="AI286" s="134"/>
      <c r="AJ286" s="134"/>
    </row>
    <row r="287" spans="2:36">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c r="AF287" s="134"/>
      <c r="AG287" s="134"/>
      <c r="AH287" s="134"/>
      <c r="AI287" s="134"/>
      <c r="AJ287" s="134"/>
    </row>
    <row r="288" spans="2:36">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c r="AF288" s="134"/>
      <c r="AG288" s="134"/>
      <c r="AH288" s="134"/>
      <c r="AI288" s="134"/>
      <c r="AJ288" s="134"/>
    </row>
    <row r="289" spans="2:36">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c r="AF289" s="134"/>
      <c r="AG289" s="134"/>
      <c r="AH289" s="134"/>
      <c r="AI289" s="134"/>
      <c r="AJ289" s="134"/>
    </row>
    <row r="290" spans="2:36">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c r="AF290" s="134"/>
      <c r="AG290" s="134"/>
      <c r="AH290" s="134"/>
      <c r="AI290" s="134"/>
      <c r="AJ290" s="134"/>
    </row>
    <row r="291" spans="2:36">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c r="AF291" s="134"/>
      <c r="AG291" s="134"/>
      <c r="AH291" s="134"/>
      <c r="AI291" s="134"/>
      <c r="AJ291" s="134"/>
    </row>
    <row r="292" spans="2:36">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c r="AF292" s="134"/>
      <c r="AG292" s="134"/>
      <c r="AH292" s="134"/>
      <c r="AI292" s="134"/>
      <c r="AJ292" s="134"/>
    </row>
    <row r="293" spans="2:36">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c r="AF293" s="134"/>
      <c r="AG293" s="134"/>
      <c r="AH293" s="134"/>
      <c r="AI293" s="134"/>
      <c r="AJ293" s="134"/>
    </row>
    <row r="294" spans="2:36">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c r="AF294" s="134"/>
      <c r="AG294" s="134"/>
      <c r="AH294" s="134"/>
      <c r="AI294" s="134"/>
      <c r="AJ294" s="134"/>
    </row>
    <row r="295" spans="2:36">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c r="AF295" s="134"/>
      <c r="AG295" s="134"/>
      <c r="AH295" s="134"/>
      <c r="AI295" s="134"/>
      <c r="AJ295" s="134"/>
    </row>
    <row r="296" spans="2:36">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c r="AF296" s="134"/>
      <c r="AG296" s="134"/>
      <c r="AH296" s="134"/>
      <c r="AI296" s="134"/>
      <c r="AJ296" s="134"/>
    </row>
    <row r="297" spans="2:36">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c r="AF297" s="134"/>
      <c r="AG297" s="134"/>
      <c r="AH297" s="134"/>
      <c r="AI297" s="134"/>
      <c r="AJ297" s="134"/>
    </row>
    <row r="298" spans="2:36">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c r="AF298" s="134"/>
      <c r="AG298" s="134"/>
      <c r="AH298" s="134"/>
      <c r="AI298" s="134"/>
      <c r="AJ298" s="134"/>
    </row>
    <row r="299" spans="2:36">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c r="AF299" s="134"/>
      <c r="AG299" s="134"/>
      <c r="AH299" s="134"/>
      <c r="AI299" s="134"/>
      <c r="AJ299" s="134"/>
    </row>
    <row r="300" spans="2:36">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c r="AF300" s="134"/>
      <c r="AG300" s="134"/>
      <c r="AH300" s="134"/>
      <c r="AI300" s="134"/>
      <c r="AJ300" s="134"/>
    </row>
    <row r="301" spans="2:36">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c r="AF301" s="134"/>
      <c r="AG301" s="134"/>
      <c r="AH301" s="134"/>
      <c r="AI301" s="134"/>
      <c r="AJ301" s="134"/>
    </row>
    <row r="302" spans="2:36">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c r="AF302" s="134"/>
      <c r="AG302" s="134"/>
      <c r="AH302" s="134"/>
      <c r="AI302" s="134"/>
      <c r="AJ302" s="134"/>
    </row>
    <row r="303" spans="2:36">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c r="AF303" s="134"/>
      <c r="AG303" s="134"/>
      <c r="AH303" s="134"/>
      <c r="AI303" s="134"/>
      <c r="AJ303" s="134"/>
    </row>
    <row r="304" spans="2:36">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c r="AH304" s="134"/>
      <c r="AI304" s="134"/>
      <c r="AJ304" s="134"/>
    </row>
    <row r="305" spans="2:36">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c r="AF305" s="134"/>
      <c r="AG305" s="134"/>
      <c r="AH305" s="134"/>
      <c r="AI305" s="134"/>
      <c r="AJ305" s="134"/>
    </row>
    <row r="306" spans="2:36">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c r="AH306" s="134"/>
      <c r="AI306" s="134"/>
      <c r="AJ306" s="134"/>
    </row>
    <row r="307" spans="2:36">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c r="AF307" s="134"/>
      <c r="AG307" s="134"/>
      <c r="AH307" s="134"/>
      <c r="AI307" s="134"/>
      <c r="AJ307" s="134"/>
    </row>
    <row r="308" spans="2:36">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c r="AF308" s="134"/>
      <c r="AG308" s="134"/>
      <c r="AH308" s="134"/>
      <c r="AI308" s="134"/>
      <c r="AJ308" s="134"/>
    </row>
    <row r="309" spans="2:36">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c r="AF309" s="134"/>
      <c r="AG309" s="134"/>
      <c r="AH309" s="134"/>
      <c r="AI309" s="134"/>
      <c r="AJ309" s="134"/>
    </row>
    <row r="310" spans="2:36">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c r="AF310" s="134"/>
      <c r="AG310" s="134"/>
      <c r="AH310" s="134"/>
      <c r="AI310" s="134"/>
      <c r="AJ310" s="134"/>
    </row>
    <row r="311" spans="2:36">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c r="AH311" s="134"/>
      <c r="AI311" s="134"/>
      <c r="AJ311" s="134"/>
    </row>
    <row r="312" spans="2:36">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c r="AH312" s="134"/>
      <c r="AI312" s="134"/>
      <c r="AJ312" s="134"/>
    </row>
    <row r="313" spans="2:36">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c r="AF313" s="134"/>
      <c r="AG313" s="134"/>
      <c r="AH313" s="134"/>
      <c r="AI313" s="134"/>
      <c r="AJ313" s="134"/>
    </row>
    <row r="314" spans="2:36">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c r="AH314" s="134"/>
      <c r="AI314" s="134"/>
      <c r="AJ314" s="134"/>
    </row>
    <row r="315" spans="2:36">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c r="AF315" s="134"/>
      <c r="AG315" s="134"/>
      <c r="AH315" s="134"/>
      <c r="AI315" s="134"/>
      <c r="AJ315" s="134"/>
    </row>
    <row r="316" spans="2:36">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c r="AF316" s="134"/>
      <c r="AG316" s="134"/>
      <c r="AH316" s="134"/>
      <c r="AI316" s="134"/>
      <c r="AJ316" s="134"/>
    </row>
    <row r="317" spans="2:36">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c r="AF317" s="134"/>
      <c r="AG317" s="134"/>
      <c r="AH317" s="134"/>
      <c r="AI317" s="134"/>
      <c r="AJ317" s="134"/>
    </row>
    <row r="318" spans="2:36">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c r="AF318" s="134"/>
      <c r="AG318" s="134"/>
      <c r="AH318" s="134"/>
      <c r="AI318" s="134"/>
      <c r="AJ318" s="134"/>
    </row>
    <row r="319" spans="2:36">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row>
    <row r="320" spans="2:36">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c r="AF320" s="134"/>
      <c r="AG320" s="134"/>
      <c r="AH320" s="134"/>
      <c r="AI320" s="134"/>
      <c r="AJ320" s="134"/>
    </row>
    <row r="321" spans="2:36">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c r="AF321" s="134"/>
      <c r="AG321" s="134"/>
      <c r="AH321" s="134"/>
      <c r="AI321" s="134"/>
      <c r="AJ321" s="134"/>
    </row>
    <row r="322" spans="2:36">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c r="AF322" s="134"/>
      <c r="AG322" s="134"/>
      <c r="AH322" s="134"/>
      <c r="AI322" s="134"/>
      <c r="AJ322" s="134"/>
    </row>
    <row r="323" spans="2:36">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c r="AF323" s="134"/>
      <c r="AG323" s="134"/>
      <c r="AH323" s="134"/>
      <c r="AI323" s="134"/>
      <c r="AJ323" s="134"/>
    </row>
    <row r="324" spans="2:36">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c r="AF324" s="134"/>
      <c r="AG324" s="134"/>
      <c r="AH324" s="134"/>
      <c r="AI324" s="134"/>
      <c r="AJ324" s="134"/>
    </row>
    <row r="325" spans="2:36">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c r="AF325" s="134"/>
      <c r="AG325" s="134"/>
      <c r="AH325" s="134"/>
      <c r="AI325" s="134"/>
      <c r="AJ325" s="134"/>
    </row>
    <row r="326" spans="2:36">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c r="AF326" s="134"/>
      <c r="AG326" s="134"/>
      <c r="AH326" s="134"/>
      <c r="AI326" s="134"/>
      <c r="AJ326" s="134"/>
    </row>
    <row r="327" spans="2:36">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c r="AF327" s="134"/>
      <c r="AG327" s="134"/>
      <c r="AH327" s="134"/>
      <c r="AI327" s="134"/>
      <c r="AJ327" s="134"/>
    </row>
    <row r="328" spans="2:36">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c r="AH328" s="134"/>
      <c r="AI328" s="134"/>
      <c r="AJ328" s="134"/>
    </row>
    <row r="329" spans="2:36">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c r="AH329" s="134"/>
      <c r="AI329" s="134"/>
      <c r="AJ329" s="134"/>
    </row>
    <row r="330" spans="2:36">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c r="AH330" s="134"/>
      <c r="AI330" s="134"/>
      <c r="AJ330" s="134"/>
    </row>
    <row r="331" spans="2:36">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c r="AF331" s="134"/>
      <c r="AG331" s="134"/>
      <c r="AH331" s="134"/>
      <c r="AI331" s="134"/>
      <c r="AJ331" s="134"/>
    </row>
    <row r="332" spans="2:36">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c r="AF332" s="134"/>
      <c r="AG332" s="134"/>
      <c r="AH332" s="134"/>
      <c r="AI332" s="134"/>
      <c r="AJ332" s="134"/>
    </row>
    <row r="333" spans="2:36">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c r="AF333" s="134"/>
      <c r="AG333" s="134"/>
      <c r="AH333" s="134"/>
      <c r="AI333" s="134"/>
      <c r="AJ333" s="134"/>
    </row>
    <row r="334" spans="2:36">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c r="AF334" s="134"/>
      <c r="AG334" s="134"/>
      <c r="AH334" s="134"/>
      <c r="AI334" s="134"/>
      <c r="AJ334" s="134"/>
    </row>
    <row r="335" spans="2:36">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c r="AF335" s="134"/>
      <c r="AG335" s="134"/>
      <c r="AH335" s="134"/>
      <c r="AI335" s="134"/>
      <c r="AJ335" s="134"/>
    </row>
    <row r="336" spans="2:36">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c r="AF336" s="134"/>
      <c r="AG336" s="134"/>
      <c r="AH336" s="134"/>
      <c r="AI336" s="134"/>
      <c r="AJ336" s="134"/>
    </row>
    <row r="337" spans="2:36">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c r="AF337" s="134"/>
      <c r="AG337" s="134"/>
      <c r="AH337" s="134"/>
      <c r="AI337" s="134"/>
      <c r="AJ337" s="134"/>
    </row>
    <row r="338" spans="2:36">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c r="AF338" s="134"/>
      <c r="AG338" s="134"/>
      <c r="AH338" s="134"/>
      <c r="AI338" s="134"/>
      <c r="AJ338" s="134"/>
    </row>
    <row r="339" spans="2:36">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c r="AF339" s="134"/>
      <c r="AG339" s="134"/>
      <c r="AH339" s="134"/>
      <c r="AI339" s="134"/>
      <c r="AJ339" s="134"/>
    </row>
    <row r="340" spans="2:36">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c r="AF340" s="134"/>
      <c r="AG340" s="134"/>
      <c r="AH340" s="134"/>
      <c r="AI340" s="134"/>
      <c r="AJ340" s="134"/>
    </row>
    <row r="341" spans="2:36">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c r="AF341" s="134"/>
      <c r="AG341" s="134"/>
      <c r="AH341" s="134"/>
      <c r="AI341" s="134"/>
      <c r="AJ341" s="134"/>
    </row>
    <row r="342" spans="2:36">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c r="AF342" s="134"/>
      <c r="AG342" s="134"/>
      <c r="AH342" s="134"/>
      <c r="AI342" s="134"/>
      <c r="AJ342" s="134"/>
    </row>
    <row r="343" spans="2:36">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c r="AF343" s="134"/>
      <c r="AG343" s="134"/>
      <c r="AH343" s="134"/>
      <c r="AI343" s="134"/>
      <c r="AJ343" s="134"/>
    </row>
    <row r="344" spans="2:36">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c r="AF344" s="134"/>
      <c r="AG344" s="134"/>
      <c r="AH344" s="134"/>
      <c r="AI344" s="134"/>
      <c r="AJ344" s="134"/>
    </row>
    <row r="345" spans="2:36">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c r="AF345" s="134"/>
      <c r="AG345" s="134"/>
      <c r="AH345" s="134"/>
      <c r="AI345" s="134"/>
      <c r="AJ345" s="134"/>
    </row>
    <row r="346" spans="2:36">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c r="AF346" s="134"/>
      <c r="AG346" s="134"/>
      <c r="AH346" s="134"/>
      <c r="AI346" s="134"/>
      <c r="AJ346" s="134"/>
    </row>
    <row r="347" spans="2:36">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row>
    <row r="348" spans="2:36">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row>
    <row r="349" spans="2:36">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c r="AF349" s="134"/>
      <c r="AG349" s="134"/>
      <c r="AH349" s="134"/>
      <c r="AI349" s="134"/>
      <c r="AJ349" s="134"/>
    </row>
    <row r="350" spans="2:36">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c r="AF350" s="134"/>
      <c r="AG350" s="134"/>
      <c r="AH350" s="134"/>
      <c r="AI350" s="134"/>
      <c r="AJ350" s="134"/>
    </row>
    <row r="351" spans="2:36">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c r="AF351" s="134"/>
      <c r="AG351" s="134"/>
      <c r="AH351" s="134"/>
      <c r="AI351" s="134"/>
      <c r="AJ351" s="134"/>
    </row>
    <row r="352" spans="2:36">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c r="AF352" s="134"/>
      <c r="AG352" s="134"/>
      <c r="AH352" s="134"/>
      <c r="AI352" s="134"/>
      <c r="AJ352" s="134"/>
    </row>
    <row r="353" spans="2:36">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c r="AF353" s="134"/>
      <c r="AG353" s="134"/>
      <c r="AH353" s="134"/>
      <c r="AI353" s="134"/>
      <c r="AJ353" s="134"/>
    </row>
    <row r="354" spans="2:36">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c r="AF354" s="134"/>
      <c r="AG354" s="134"/>
      <c r="AH354" s="134"/>
      <c r="AI354" s="134"/>
      <c r="AJ354" s="134"/>
    </row>
    <row r="355" spans="2:36">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c r="AF355" s="134"/>
      <c r="AG355" s="134"/>
      <c r="AH355" s="134"/>
      <c r="AI355" s="134"/>
      <c r="AJ355" s="134"/>
    </row>
    <row r="356" spans="2:36">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c r="AF356" s="134"/>
      <c r="AG356" s="134"/>
      <c r="AH356" s="134"/>
      <c r="AI356" s="134"/>
      <c r="AJ356" s="134"/>
    </row>
    <row r="357" spans="2:36">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c r="AF357" s="134"/>
      <c r="AG357" s="134"/>
      <c r="AH357" s="134"/>
      <c r="AI357" s="134"/>
      <c r="AJ357" s="134"/>
    </row>
    <row r="358" spans="2:36">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c r="AF358" s="134"/>
      <c r="AG358" s="134"/>
      <c r="AH358" s="134"/>
      <c r="AI358" s="134"/>
      <c r="AJ358" s="134"/>
    </row>
    <row r="359" spans="2:36">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c r="AF359" s="134"/>
      <c r="AG359" s="134"/>
      <c r="AH359" s="134"/>
      <c r="AI359" s="134"/>
      <c r="AJ359" s="134"/>
    </row>
    <row r="360" spans="2:36">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row>
    <row r="361" spans="2:36">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c r="AH361" s="134"/>
      <c r="AI361" s="134"/>
      <c r="AJ361" s="134"/>
    </row>
    <row r="362" spans="2:36">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row>
    <row r="363" spans="2:36">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row>
    <row r="364" spans="2:36">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row>
    <row r="365" spans="2:36">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row>
    <row r="366" spans="2:36">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row>
    <row r="367" spans="2:36">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row>
    <row r="368" spans="2:36">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row>
    <row r="369" spans="2:36">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row>
    <row r="370" spans="2:36">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row>
    <row r="371" spans="2:36">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row>
    <row r="372" spans="2:36">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row>
    <row r="373" spans="2:36">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row>
    <row r="374" spans="2:36">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row>
    <row r="375" spans="2:36">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row>
    <row r="376" spans="2:36">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c r="AF376" s="134"/>
      <c r="AG376" s="134"/>
      <c r="AH376" s="134"/>
      <c r="AI376" s="134"/>
      <c r="AJ376" s="134"/>
    </row>
    <row r="377" spans="2:36">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c r="AF377" s="134"/>
      <c r="AG377" s="134"/>
      <c r="AH377" s="134"/>
      <c r="AI377" s="134"/>
      <c r="AJ377" s="134"/>
    </row>
    <row r="378" spans="2:36">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c r="AF378" s="134"/>
      <c r="AG378" s="134"/>
      <c r="AH378" s="134"/>
      <c r="AI378" s="134"/>
      <c r="AJ378" s="134"/>
    </row>
    <row r="379" spans="2:36">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c r="AF379" s="134"/>
      <c r="AG379" s="134"/>
      <c r="AH379" s="134"/>
      <c r="AI379" s="134"/>
      <c r="AJ379" s="134"/>
    </row>
    <row r="380" spans="2:36">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row>
    <row r="381" spans="2:36">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row>
    <row r="382" spans="2:36">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row>
    <row r="383" spans="2:36">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c r="AF383" s="134"/>
      <c r="AG383" s="134"/>
      <c r="AH383" s="134"/>
      <c r="AI383" s="134"/>
      <c r="AJ383" s="134"/>
    </row>
    <row r="384" spans="2:36">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c r="AF384" s="134"/>
      <c r="AG384" s="134"/>
      <c r="AH384" s="134"/>
      <c r="AI384" s="134"/>
      <c r="AJ384" s="134"/>
    </row>
    <row r="385" spans="2:36">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c r="AF385" s="134"/>
      <c r="AG385" s="134"/>
      <c r="AH385" s="134"/>
      <c r="AI385" s="134"/>
      <c r="AJ385" s="134"/>
    </row>
    <row r="386" spans="2:36">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c r="AF386" s="134"/>
      <c r="AG386" s="134"/>
      <c r="AH386" s="134"/>
      <c r="AI386" s="134"/>
      <c r="AJ386" s="134"/>
    </row>
    <row r="387" spans="2:36">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c r="AF387" s="134"/>
      <c r="AG387" s="134"/>
      <c r="AH387" s="134"/>
      <c r="AI387" s="134"/>
      <c r="AJ387" s="134"/>
    </row>
    <row r="388" spans="2:36">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c r="AF388" s="134"/>
      <c r="AG388" s="134"/>
      <c r="AH388" s="134"/>
      <c r="AI388" s="134"/>
      <c r="AJ388" s="134"/>
    </row>
    <row r="389" spans="2:36">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c r="AF389" s="134"/>
      <c r="AG389" s="134"/>
      <c r="AH389" s="134"/>
      <c r="AI389" s="134"/>
      <c r="AJ389" s="134"/>
    </row>
    <row r="390" spans="2:36">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c r="AF390" s="134"/>
      <c r="AG390" s="134"/>
      <c r="AH390" s="134"/>
      <c r="AI390" s="134"/>
      <c r="AJ390" s="134"/>
    </row>
    <row r="391" spans="2:36">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c r="AF391" s="134"/>
      <c r="AG391" s="134"/>
      <c r="AH391" s="134"/>
      <c r="AI391" s="134"/>
      <c r="AJ391" s="134"/>
    </row>
    <row r="392" spans="2:36">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row>
    <row r="393" spans="2:36">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row>
    <row r="394" spans="2:36">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c r="AF394" s="134"/>
      <c r="AG394" s="134"/>
      <c r="AH394" s="134"/>
      <c r="AI394" s="134"/>
      <c r="AJ394" s="134"/>
    </row>
    <row r="395" spans="2:36">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row>
    <row r="396" spans="2:36">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row>
    <row r="397" spans="2:36">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row>
    <row r="398" spans="2:36">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c r="AF398" s="134"/>
      <c r="AG398" s="134"/>
      <c r="AH398" s="134"/>
      <c r="AI398" s="134"/>
      <c r="AJ398" s="134"/>
    </row>
    <row r="399" spans="2:36">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row>
    <row r="400" spans="2:36">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row>
    <row r="401" spans="2:36">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row>
    <row r="402" spans="2:36">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c r="AF402" s="134"/>
      <c r="AG402" s="134"/>
      <c r="AH402" s="134"/>
      <c r="AI402" s="134"/>
      <c r="AJ402" s="134"/>
    </row>
    <row r="403" spans="2:36">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row>
    <row r="404" spans="2:36">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row>
    <row r="405" spans="2:36">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row>
    <row r="406" spans="2:36">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row>
    <row r="407" spans="2:36">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c r="AF407" s="134"/>
      <c r="AG407" s="134"/>
      <c r="AH407" s="134"/>
      <c r="AI407" s="134"/>
      <c r="AJ407" s="134"/>
    </row>
    <row r="408" spans="2:36">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row>
    <row r="409" spans="2:36">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c r="AF409" s="134"/>
      <c r="AG409" s="134"/>
      <c r="AH409" s="134"/>
      <c r="AI409" s="134"/>
      <c r="AJ409" s="134"/>
    </row>
    <row r="410" spans="2:36">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c r="AF410" s="134"/>
      <c r="AG410" s="134"/>
      <c r="AH410" s="134"/>
      <c r="AI410" s="134"/>
      <c r="AJ410" s="134"/>
    </row>
    <row r="411" spans="2:36">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row>
    <row r="412" spans="2:36">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c r="AF412" s="134"/>
      <c r="AG412" s="134"/>
      <c r="AH412" s="134"/>
      <c r="AI412" s="134"/>
      <c r="AJ412" s="134"/>
    </row>
    <row r="413" spans="2:36">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c r="AF413" s="134"/>
      <c r="AG413" s="134"/>
      <c r="AH413" s="134"/>
      <c r="AI413" s="134"/>
      <c r="AJ413" s="134"/>
    </row>
    <row r="414" spans="2:36">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c r="AF414" s="134"/>
      <c r="AG414" s="134"/>
      <c r="AH414" s="134"/>
      <c r="AI414" s="134"/>
      <c r="AJ414" s="134"/>
    </row>
    <row r="415" spans="2:36">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c r="AF415" s="134"/>
      <c r="AG415" s="134"/>
      <c r="AH415" s="134"/>
      <c r="AI415" s="134"/>
      <c r="AJ415" s="134"/>
    </row>
    <row r="416" spans="2:36">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c r="AF416" s="134"/>
      <c r="AG416" s="134"/>
      <c r="AH416" s="134"/>
      <c r="AI416" s="134"/>
      <c r="AJ416" s="134"/>
    </row>
    <row r="417" spans="2:36">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c r="AF417" s="134"/>
      <c r="AG417" s="134"/>
      <c r="AH417" s="134"/>
      <c r="AI417" s="134"/>
      <c r="AJ417" s="134"/>
    </row>
    <row r="418" spans="2:36">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c r="AF418" s="134"/>
      <c r="AG418" s="134"/>
      <c r="AH418" s="134"/>
      <c r="AI418" s="134"/>
      <c r="AJ418" s="134"/>
    </row>
    <row r="419" spans="2:36">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c r="AF419" s="134"/>
      <c r="AG419" s="134"/>
      <c r="AH419" s="134"/>
      <c r="AI419" s="134"/>
      <c r="AJ419" s="134"/>
    </row>
    <row r="420" spans="2:36">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c r="AF420" s="134"/>
      <c r="AG420" s="134"/>
      <c r="AH420" s="134"/>
      <c r="AI420" s="134"/>
      <c r="AJ420" s="134"/>
    </row>
    <row r="421" spans="2:36">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c r="AF421" s="134"/>
      <c r="AG421" s="134"/>
      <c r="AH421" s="134"/>
      <c r="AI421" s="134"/>
      <c r="AJ421" s="134"/>
    </row>
    <row r="422" spans="2:36">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c r="AF422" s="134"/>
      <c r="AG422" s="134"/>
      <c r="AH422" s="134"/>
      <c r="AI422" s="134"/>
      <c r="AJ422" s="134"/>
    </row>
    <row r="423" spans="2:36">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c r="AF423" s="134"/>
      <c r="AG423" s="134"/>
      <c r="AH423" s="134"/>
      <c r="AI423" s="134"/>
      <c r="AJ423" s="134"/>
    </row>
    <row r="424" spans="2:36">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c r="AF424" s="134"/>
      <c r="AG424" s="134"/>
      <c r="AH424" s="134"/>
      <c r="AI424" s="134"/>
      <c r="AJ424" s="134"/>
    </row>
    <row r="425" spans="2:36">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row>
    <row r="426" spans="2:36">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c r="AF426" s="134"/>
      <c r="AG426" s="134"/>
      <c r="AH426" s="134"/>
      <c r="AI426" s="134"/>
      <c r="AJ426" s="134"/>
    </row>
    <row r="427" spans="2:36">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c r="AF427" s="134"/>
      <c r="AG427" s="134"/>
      <c r="AH427" s="134"/>
      <c r="AI427" s="134"/>
      <c r="AJ427" s="134"/>
    </row>
    <row r="428" spans="2:36">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c r="AF428" s="134"/>
      <c r="AG428" s="134"/>
      <c r="AH428" s="134"/>
      <c r="AI428" s="134"/>
      <c r="AJ428" s="134"/>
    </row>
    <row r="429" spans="2:36">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c r="AF429" s="134"/>
      <c r="AG429" s="134"/>
      <c r="AH429" s="134"/>
      <c r="AI429" s="134"/>
      <c r="AJ429" s="134"/>
    </row>
    <row r="430" spans="2:36">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c r="AH430" s="134"/>
      <c r="AI430" s="134"/>
      <c r="AJ430" s="134"/>
    </row>
    <row r="431" spans="2:36">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c r="AF431" s="134"/>
      <c r="AG431" s="134"/>
      <c r="AH431" s="134"/>
      <c r="AI431" s="134"/>
      <c r="AJ431" s="134"/>
    </row>
    <row r="432" spans="2:36">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c r="AF432" s="134"/>
      <c r="AG432" s="134"/>
      <c r="AH432" s="134"/>
      <c r="AI432" s="134"/>
      <c r="AJ432" s="134"/>
    </row>
    <row r="433" spans="2:36">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c r="AF433" s="134"/>
      <c r="AG433" s="134"/>
      <c r="AH433" s="134"/>
      <c r="AI433" s="134"/>
      <c r="AJ433" s="134"/>
    </row>
    <row r="434" spans="2:36">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c r="AF434" s="134"/>
      <c r="AG434" s="134"/>
      <c r="AH434" s="134"/>
      <c r="AI434" s="134"/>
      <c r="AJ434" s="134"/>
    </row>
    <row r="435" spans="2:36">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c r="AF435" s="134"/>
      <c r="AG435" s="134"/>
      <c r="AH435" s="134"/>
      <c r="AI435" s="134"/>
      <c r="AJ435" s="134"/>
    </row>
    <row r="436" spans="2:36">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c r="AF436" s="134"/>
      <c r="AG436" s="134"/>
      <c r="AH436" s="134"/>
      <c r="AI436" s="134"/>
      <c r="AJ436" s="134"/>
    </row>
    <row r="437" spans="2:36">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c r="AF437" s="134"/>
      <c r="AG437" s="134"/>
      <c r="AH437" s="134"/>
      <c r="AI437" s="134"/>
      <c r="AJ437" s="134"/>
    </row>
    <row r="438" spans="2:36">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c r="AF438" s="134"/>
      <c r="AG438" s="134"/>
      <c r="AH438" s="134"/>
      <c r="AI438" s="134"/>
      <c r="AJ438" s="134"/>
    </row>
    <row r="439" spans="2:36">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c r="AF439" s="134"/>
      <c r="AG439" s="134"/>
      <c r="AH439" s="134"/>
      <c r="AI439" s="134"/>
      <c r="AJ439" s="134"/>
    </row>
    <row r="440" spans="2:36">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c r="AF440" s="134"/>
      <c r="AG440" s="134"/>
      <c r="AH440" s="134"/>
      <c r="AI440" s="134"/>
      <c r="AJ440" s="134"/>
    </row>
    <row r="441" spans="2:36">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c r="AF441" s="134"/>
      <c r="AG441" s="134"/>
      <c r="AH441" s="134"/>
      <c r="AI441" s="134"/>
      <c r="AJ441" s="134"/>
    </row>
    <row r="442" spans="2:36">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c r="AF442" s="134"/>
      <c r="AG442" s="134"/>
      <c r="AH442" s="134"/>
      <c r="AI442" s="134"/>
      <c r="AJ442" s="134"/>
    </row>
    <row r="443" spans="2:36">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c r="AF443" s="134"/>
      <c r="AG443" s="134"/>
      <c r="AH443" s="134"/>
      <c r="AI443" s="134"/>
      <c r="AJ443" s="134"/>
    </row>
    <row r="444" spans="2:36">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c r="AF444" s="134"/>
      <c r="AG444" s="134"/>
      <c r="AH444" s="134"/>
      <c r="AI444" s="134"/>
      <c r="AJ444" s="134"/>
    </row>
    <row r="445" spans="2:36">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c r="AF445" s="134"/>
      <c r="AG445" s="134"/>
      <c r="AH445" s="134"/>
      <c r="AI445" s="134"/>
      <c r="AJ445" s="134"/>
    </row>
    <row r="446" spans="2:36">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c r="AF446" s="134"/>
      <c r="AG446" s="134"/>
      <c r="AH446" s="134"/>
      <c r="AI446" s="134"/>
      <c r="AJ446" s="134"/>
    </row>
    <row r="447" spans="2:36">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c r="AF447" s="134"/>
      <c r="AG447" s="134"/>
      <c r="AH447" s="134"/>
      <c r="AI447" s="134"/>
      <c r="AJ447" s="134"/>
    </row>
    <row r="448" spans="2:36">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c r="AF448" s="134"/>
      <c r="AG448" s="134"/>
      <c r="AH448" s="134"/>
      <c r="AI448" s="134"/>
      <c r="AJ448" s="134"/>
    </row>
    <row r="449" spans="2:36">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c r="AF449" s="134"/>
      <c r="AG449" s="134"/>
      <c r="AH449" s="134"/>
      <c r="AI449" s="134"/>
      <c r="AJ449" s="134"/>
    </row>
    <row r="450" spans="2:36">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c r="AF450" s="134"/>
      <c r="AG450" s="134"/>
      <c r="AH450" s="134"/>
      <c r="AI450" s="134"/>
      <c r="AJ450" s="134"/>
    </row>
    <row r="451" spans="2:36">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row>
    <row r="452" spans="2:36">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c r="AF452" s="134"/>
      <c r="AG452" s="134"/>
      <c r="AH452" s="134"/>
      <c r="AI452" s="134"/>
      <c r="AJ452" s="134"/>
    </row>
    <row r="453" spans="2:36">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c r="AF453" s="134"/>
      <c r="AG453" s="134"/>
      <c r="AH453" s="134"/>
      <c r="AI453" s="134"/>
      <c r="AJ453" s="134"/>
    </row>
    <row r="454" spans="2:36">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c r="AF454" s="134"/>
      <c r="AG454" s="134"/>
      <c r="AH454" s="134"/>
      <c r="AI454" s="134"/>
      <c r="AJ454" s="134"/>
    </row>
    <row r="455" spans="2:36">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c r="AH455" s="134"/>
      <c r="AI455" s="134"/>
      <c r="AJ455" s="134"/>
    </row>
    <row r="456" spans="2:36">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c r="AF456" s="134"/>
      <c r="AG456" s="134"/>
      <c r="AH456" s="134"/>
      <c r="AI456" s="134"/>
      <c r="AJ456" s="134"/>
    </row>
    <row r="457" spans="2:36">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c r="AF457" s="134"/>
      <c r="AG457" s="134"/>
      <c r="AH457" s="134"/>
      <c r="AI457" s="134"/>
      <c r="AJ457" s="134"/>
    </row>
    <row r="458" spans="2:36">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c r="AF458" s="134"/>
      <c r="AG458" s="134"/>
      <c r="AH458" s="134"/>
      <c r="AI458" s="134"/>
      <c r="AJ458" s="134"/>
    </row>
    <row r="459" spans="2:36">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c r="AF459" s="134"/>
      <c r="AG459" s="134"/>
      <c r="AH459" s="134"/>
      <c r="AI459" s="134"/>
      <c r="AJ459" s="134"/>
    </row>
    <row r="460" spans="2:36">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c r="AF460" s="134"/>
      <c r="AG460" s="134"/>
      <c r="AH460" s="134"/>
      <c r="AI460" s="134"/>
      <c r="AJ460" s="134"/>
    </row>
    <row r="461" spans="2:36">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c r="AF461" s="134"/>
      <c r="AG461" s="134"/>
      <c r="AH461" s="134"/>
      <c r="AI461" s="134"/>
      <c r="AJ461" s="134"/>
    </row>
    <row r="462" spans="2:36">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c r="AF462" s="134"/>
      <c r="AG462" s="134"/>
      <c r="AH462" s="134"/>
      <c r="AI462" s="134"/>
      <c r="AJ462" s="134"/>
    </row>
    <row r="463" spans="2:36">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c r="AF463" s="134"/>
      <c r="AG463" s="134"/>
      <c r="AH463" s="134"/>
      <c r="AI463" s="134"/>
      <c r="AJ463" s="134"/>
    </row>
    <row r="464" spans="2:36">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c r="AF464" s="134"/>
      <c r="AG464" s="134"/>
      <c r="AH464" s="134"/>
      <c r="AI464" s="134"/>
      <c r="AJ464" s="134"/>
    </row>
    <row r="465" spans="2:36">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row>
    <row r="466" spans="2:36">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c r="AF466" s="134"/>
      <c r="AG466" s="134"/>
      <c r="AH466" s="134"/>
      <c r="AI466" s="134"/>
      <c r="AJ466" s="134"/>
    </row>
    <row r="467" spans="2:36">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c r="AF467" s="134"/>
      <c r="AG467" s="134"/>
      <c r="AH467" s="134"/>
      <c r="AI467" s="134"/>
      <c r="AJ467" s="134"/>
    </row>
    <row r="468" spans="2:36">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c r="AF468" s="134"/>
      <c r="AG468" s="134"/>
      <c r="AH468" s="134"/>
      <c r="AI468" s="134"/>
      <c r="AJ468" s="134"/>
    </row>
    <row r="469" spans="2:36">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c r="AF469" s="134"/>
      <c r="AG469" s="134"/>
      <c r="AH469" s="134"/>
      <c r="AI469" s="134"/>
      <c r="AJ469" s="134"/>
    </row>
    <row r="470" spans="2:36">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c r="AH470" s="134"/>
      <c r="AI470" s="134"/>
      <c r="AJ470" s="134"/>
    </row>
    <row r="471" spans="2:36">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c r="AF471" s="134"/>
      <c r="AG471" s="134"/>
      <c r="AH471" s="134"/>
      <c r="AI471" s="134"/>
      <c r="AJ471" s="134"/>
    </row>
    <row r="472" spans="2:36">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c r="AF472" s="134"/>
      <c r="AG472" s="134"/>
      <c r="AH472" s="134"/>
      <c r="AI472" s="134"/>
      <c r="AJ472" s="134"/>
    </row>
    <row r="473" spans="2:36">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c r="AF473" s="134"/>
      <c r="AG473" s="134"/>
      <c r="AH473" s="134"/>
      <c r="AI473" s="134"/>
      <c r="AJ473" s="134"/>
    </row>
    <row r="474" spans="2:36">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c r="AF474" s="134"/>
      <c r="AG474" s="134"/>
      <c r="AH474" s="134"/>
      <c r="AI474" s="134"/>
      <c r="AJ474" s="134"/>
    </row>
    <row r="475" spans="2:36">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c r="AF475" s="134"/>
      <c r="AG475" s="134"/>
      <c r="AH475" s="134"/>
      <c r="AI475" s="134"/>
      <c r="AJ475" s="134"/>
    </row>
    <row r="476" spans="2:36">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c r="AF476" s="134"/>
      <c r="AG476" s="134"/>
      <c r="AH476" s="134"/>
      <c r="AI476" s="134"/>
      <c r="AJ476" s="134"/>
    </row>
    <row r="477" spans="2:36">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c r="AF477" s="134"/>
      <c r="AG477" s="134"/>
      <c r="AH477" s="134"/>
      <c r="AI477" s="134"/>
      <c r="AJ477" s="134"/>
    </row>
    <row r="478" spans="2:36">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c r="AF478" s="134"/>
      <c r="AG478" s="134"/>
      <c r="AH478" s="134"/>
      <c r="AI478" s="134"/>
      <c r="AJ478" s="134"/>
    </row>
    <row r="479" spans="2:36">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c r="AF479" s="134"/>
      <c r="AG479" s="134"/>
      <c r="AH479" s="134"/>
      <c r="AI479" s="134"/>
      <c r="AJ479" s="134"/>
    </row>
    <row r="480" spans="2:36">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c r="AF480" s="134"/>
      <c r="AG480" s="134"/>
      <c r="AH480" s="134"/>
      <c r="AI480" s="134"/>
      <c r="AJ480" s="134"/>
    </row>
    <row r="481" spans="2:36">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c r="AF481" s="134"/>
      <c r="AG481" s="134"/>
      <c r="AH481" s="134"/>
      <c r="AI481" s="134"/>
      <c r="AJ481" s="134"/>
    </row>
    <row r="482" spans="2:36">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c r="AF482" s="134"/>
      <c r="AG482" s="134"/>
      <c r="AH482" s="134"/>
      <c r="AI482" s="134"/>
      <c r="AJ482" s="134"/>
    </row>
    <row r="483" spans="2:36">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c r="AH483" s="134"/>
      <c r="AI483" s="134"/>
      <c r="AJ483" s="134"/>
    </row>
    <row r="484" spans="2:36">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c r="AH484" s="134"/>
      <c r="AI484" s="134"/>
      <c r="AJ484" s="134"/>
    </row>
    <row r="485" spans="2:36">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c r="AF485" s="134"/>
      <c r="AG485" s="134"/>
      <c r="AH485" s="134"/>
      <c r="AI485" s="134"/>
      <c r="AJ485" s="134"/>
    </row>
    <row r="486" spans="2:36">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c r="AF486" s="134"/>
      <c r="AG486" s="134"/>
      <c r="AH486" s="134"/>
      <c r="AI486" s="134"/>
      <c r="AJ486" s="134"/>
    </row>
    <row r="487" spans="2:36">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c r="AF487" s="134"/>
      <c r="AG487" s="134"/>
      <c r="AH487" s="134"/>
      <c r="AI487" s="134"/>
      <c r="AJ487" s="134"/>
    </row>
    <row r="488" spans="2:36">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c r="AH488" s="134"/>
      <c r="AI488" s="134"/>
      <c r="AJ488" s="134"/>
    </row>
    <row r="489" spans="2:36">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c r="AF489" s="134"/>
      <c r="AG489" s="134"/>
      <c r="AH489" s="134"/>
      <c r="AI489" s="134"/>
      <c r="AJ489" s="134"/>
    </row>
    <row r="490" spans="2:36">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c r="AH490" s="134"/>
      <c r="AI490" s="134"/>
      <c r="AJ490" s="134"/>
    </row>
    <row r="491" spans="2:36">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c r="AF491" s="134"/>
      <c r="AG491" s="134"/>
      <c r="AH491" s="134"/>
      <c r="AI491" s="134"/>
      <c r="AJ491" s="134"/>
    </row>
    <row r="492" spans="2:36">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c r="AF492" s="134"/>
      <c r="AG492" s="134"/>
      <c r="AH492" s="134"/>
      <c r="AI492" s="134"/>
      <c r="AJ492" s="134"/>
    </row>
    <row r="493" spans="2:36">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c r="AF493" s="134"/>
      <c r="AG493" s="134"/>
      <c r="AH493" s="134"/>
      <c r="AI493" s="134"/>
      <c r="AJ493" s="134"/>
    </row>
    <row r="494" spans="2:36">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c r="AF494" s="134"/>
      <c r="AG494" s="134"/>
      <c r="AH494" s="134"/>
      <c r="AI494" s="134"/>
      <c r="AJ494" s="134"/>
    </row>
    <row r="495" spans="2:36">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c r="AF495" s="134"/>
      <c r="AG495" s="134"/>
      <c r="AH495" s="134"/>
      <c r="AI495" s="134"/>
      <c r="AJ495" s="134"/>
    </row>
    <row r="496" spans="2:36">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c r="AF496" s="134"/>
      <c r="AG496" s="134"/>
      <c r="AH496" s="134"/>
      <c r="AI496" s="134"/>
      <c r="AJ496" s="134"/>
    </row>
    <row r="497" spans="2:36">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c r="AF497" s="134"/>
      <c r="AG497" s="134"/>
      <c r="AH497" s="134"/>
      <c r="AI497" s="134"/>
      <c r="AJ497" s="134"/>
    </row>
    <row r="498" spans="2:36">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c r="AF498" s="134"/>
      <c r="AG498" s="134"/>
      <c r="AH498" s="134"/>
      <c r="AI498" s="134"/>
      <c r="AJ498" s="134"/>
    </row>
    <row r="499" spans="2:36">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c r="AH499" s="134"/>
      <c r="AI499" s="134"/>
      <c r="AJ499" s="134"/>
    </row>
    <row r="500" spans="2:36">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c r="AF500" s="134"/>
      <c r="AG500" s="134"/>
      <c r="AH500" s="134"/>
      <c r="AI500" s="134"/>
      <c r="AJ500" s="134"/>
    </row>
    <row r="501" spans="2:36">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c r="AF501" s="134"/>
      <c r="AG501" s="134"/>
      <c r="AH501" s="134"/>
      <c r="AI501" s="134"/>
      <c r="AJ501" s="134"/>
    </row>
    <row r="502" spans="2:36">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c r="AF502" s="134"/>
      <c r="AG502" s="134"/>
      <c r="AH502" s="134"/>
      <c r="AI502" s="134"/>
      <c r="AJ502" s="134"/>
    </row>
    <row r="503" spans="2:36">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c r="AF503" s="134"/>
      <c r="AG503" s="134"/>
      <c r="AH503" s="134"/>
      <c r="AI503" s="134"/>
      <c r="AJ503" s="134"/>
    </row>
    <row r="504" spans="2:36">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c r="AF504" s="134"/>
      <c r="AG504" s="134"/>
      <c r="AH504" s="134"/>
      <c r="AI504" s="134"/>
      <c r="AJ504" s="134"/>
    </row>
    <row r="505" spans="2:36">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c r="AF505" s="134"/>
      <c r="AG505" s="134"/>
      <c r="AH505" s="134"/>
      <c r="AI505" s="134"/>
      <c r="AJ505" s="134"/>
    </row>
    <row r="506" spans="2:36">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c r="AF506" s="134"/>
      <c r="AG506" s="134"/>
      <c r="AH506" s="134"/>
      <c r="AI506" s="134"/>
      <c r="AJ506" s="134"/>
    </row>
    <row r="507" spans="2:36">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c r="AF507" s="134"/>
      <c r="AG507" s="134"/>
      <c r="AH507" s="134"/>
      <c r="AI507" s="134"/>
      <c r="AJ507" s="134"/>
    </row>
    <row r="508" spans="2:36">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c r="AF508" s="134"/>
      <c r="AG508" s="134"/>
      <c r="AH508" s="134"/>
      <c r="AI508" s="134"/>
      <c r="AJ508" s="134"/>
    </row>
    <row r="509" spans="2:36">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c r="AF509" s="134"/>
      <c r="AG509" s="134"/>
      <c r="AH509" s="134"/>
      <c r="AI509" s="134"/>
      <c r="AJ509" s="134"/>
    </row>
    <row r="510" spans="2:36">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c r="AF510" s="134"/>
      <c r="AG510" s="134"/>
      <c r="AH510" s="134"/>
      <c r="AI510" s="134"/>
      <c r="AJ510" s="134"/>
    </row>
    <row r="511" spans="2:36">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c r="AF511" s="134"/>
      <c r="AG511" s="134"/>
      <c r="AH511" s="134"/>
      <c r="AI511" s="134"/>
      <c r="AJ511" s="134"/>
    </row>
    <row r="512" spans="2:36">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c r="AF512" s="134"/>
      <c r="AG512" s="134"/>
      <c r="AH512" s="134"/>
      <c r="AI512" s="134"/>
      <c r="AJ512" s="134"/>
    </row>
    <row r="513" spans="2:36">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c r="AF513" s="134"/>
      <c r="AG513" s="134"/>
      <c r="AH513" s="134"/>
      <c r="AI513" s="134"/>
      <c r="AJ513" s="134"/>
    </row>
    <row r="514" spans="2:36">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c r="AF514" s="134"/>
      <c r="AG514" s="134"/>
      <c r="AH514" s="134"/>
      <c r="AI514" s="134"/>
      <c r="AJ514" s="134"/>
    </row>
    <row r="515" spans="2:36">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c r="AF515" s="134"/>
      <c r="AG515" s="134"/>
      <c r="AH515" s="134"/>
      <c r="AI515" s="134"/>
      <c r="AJ515" s="134"/>
    </row>
    <row r="516" spans="2:36">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c r="AF516" s="134"/>
      <c r="AG516" s="134"/>
      <c r="AH516" s="134"/>
      <c r="AI516" s="134"/>
      <c r="AJ516" s="134"/>
    </row>
    <row r="517" spans="2:36">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c r="AF517" s="134"/>
      <c r="AG517" s="134"/>
      <c r="AH517" s="134"/>
      <c r="AI517" s="134"/>
      <c r="AJ517" s="134"/>
    </row>
    <row r="518" spans="2:36">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c r="AF518" s="134"/>
      <c r="AG518" s="134"/>
      <c r="AH518" s="134"/>
      <c r="AI518" s="134"/>
      <c r="AJ518" s="134"/>
    </row>
    <row r="519" spans="2:36">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c r="AF519" s="134"/>
      <c r="AG519" s="134"/>
      <c r="AH519" s="134"/>
      <c r="AI519" s="134"/>
      <c r="AJ519" s="134"/>
    </row>
    <row r="520" spans="2:36">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c r="AF520" s="134"/>
      <c r="AG520" s="134"/>
      <c r="AH520" s="134"/>
      <c r="AI520" s="134"/>
      <c r="AJ520" s="134"/>
    </row>
    <row r="521" spans="2:36">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c r="AF521" s="134"/>
      <c r="AG521" s="134"/>
      <c r="AH521" s="134"/>
      <c r="AI521" s="134"/>
      <c r="AJ521" s="134"/>
    </row>
    <row r="522" spans="2:36">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c r="AF522" s="134"/>
      <c r="AG522" s="134"/>
      <c r="AH522" s="134"/>
      <c r="AI522" s="134"/>
      <c r="AJ522" s="134"/>
    </row>
    <row r="523" spans="2:36">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c r="AF523" s="134"/>
      <c r="AG523" s="134"/>
      <c r="AH523" s="134"/>
      <c r="AI523" s="134"/>
      <c r="AJ523" s="134"/>
    </row>
    <row r="524" spans="2:36">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c r="AF524" s="134"/>
      <c r="AG524" s="134"/>
      <c r="AH524" s="134"/>
      <c r="AI524" s="134"/>
      <c r="AJ524" s="134"/>
    </row>
    <row r="525" spans="2:36">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c r="AF525" s="134"/>
      <c r="AG525" s="134"/>
      <c r="AH525" s="134"/>
      <c r="AI525" s="134"/>
      <c r="AJ525" s="134"/>
    </row>
    <row r="526" spans="2:36">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c r="AF526" s="134"/>
      <c r="AG526" s="134"/>
      <c r="AH526" s="134"/>
      <c r="AI526" s="134"/>
      <c r="AJ526" s="134"/>
    </row>
    <row r="527" spans="2:36">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c r="AF527" s="134"/>
      <c r="AG527" s="134"/>
      <c r="AH527" s="134"/>
      <c r="AI527" s="134"/>
      <c r="AJ527" s="134"/>
    </row>
    <row r="528" spans="2:36">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c r="AF528" s="134"/>
      <c r="AG528" s="134"/>
      <c r="AH528" s="134"/>
      <c r="AI528" s="134"/>
      <c r="AJ528" s="134"/>
    </row>
    <row r="529" spans="2:36">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c r="AF529" s="134"/>
      <c r="AG529" s="134"/>
      <c r="AH529" s="134"/>
      <c r="AI529" s="134"/>
      <c r="AJ529" s="134"/>
    </row>
    <row r="530" spans="2:36">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c r="AF530" s="134"/>
      <c r="AG530" s="134"/>
      <c r="AH530" s="134"/>
      <c r="AI530" s="134"/>
      <c r="AJ530" s="134"/>
    </row>
    <row r="531" spans="2:36">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c r="AF531" s="134"/>
      <c r="AG531" s="134"/>
      <c r="AH531" s="134"/>
      <c r="AI531" s="134"/>
      <c r="AJ531" s="134"/>
    </row>
    <row r="532" spans="2:36">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c r="AG532" s="134"/>
      <c r="AH532" s="134"/>
      <c r="AI532" s="134"/>
      <c r="AJ532" s="134"/>
    </row>
    <row r="533" spans="2:36">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c r="AG533" s="134"/>
      <c r="AH533" s="134"/>
      <c r="AI533" s="134"/>
      <c r="AJ533" s="134"/>
    </row>
    <row r="534" spans="2:36">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c r="AF534" s="134"/>
      <c r="AG534" s="134"/>
      <c r="AH534" s="134"/>
      <c r="AI534" s="134"/>
      <c r="AJ534" s="134"/>
    </row>
    <row r="535" spans="2:36">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c r="AF535" s="134"/>
      <c r="AG535" s="134"/>
      <c r="AH535" s="134"/>
      <c r="AI535" s="134"/>
      <c r="AJ535" s="134"/>
    </row>
    <row r="536" spans="2:36">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c r="AF536" s="134"/>
      <c r="AG536" s="134"/>
      <c r="AH536" s="134"/>
      <c r="AI536" s="134"/>
      <c r="AJ536" s="134"/>
    </row>
    <row r="537" spans="2:36">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c r="AF537" s="134"/>
      <c r="AG537" s="134"/>
      <c r="AH537" s="134"/>
      <c r="AI537" s="134"/>
      <c r="AJ537" s="134"/>
    </row>
    <row r="538" spans="2:36">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c r="AF538" s="134"/>
      <c r="AG538" s="134"/>
      <c r="AH538" s="134"/>
      <c r="AI538" s="134"/>
      <c r="AJ538" s="134"/>
    </row>
    <row r="539" spans="2:36">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c r="AF539" s="134"/>
      <c r="AG539" s="134"/>
      <c r="AH539" s="134"/>
      <c r="AI539" s="134"/>
      <c r="AJ539" s="134"/>
    </row>
    <row r="540" spans="2:36">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c r="AF540" s="134"/>
      <c r="AG540" s="134"/>
      <c r="AH540" s="134"/>
      <c r="AI540" s="134"/>
      <c r="AJ540" s="134"/>
    </row>
    <row r="541" spans="2:36">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c r="AF541" s="134"/>
      <c r="AG541" s="134"/>
      <c r="AH541" s="134"/>
      <c r="AI541" s="134"/>
      <c r="AJ541" s="134"/>
    </row>
    <row r="542" spans="2:36">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c r="AF542" s="134"/>
      <c r="AG542" s="134"/>
      <c r="AH542" s="134"/>
      <c r="AI542" s="134"/>
      <c r="AJ542" s="134"/>
    </row>
    <row r="543" spans="2:36">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c r="AF543" s="134"/>
      <c r="AG543" s="134"/>
      <c r="AH543" s="134"/>
      <c r="AI543" s="134"/>
      <c r="AJ543" s="134"/>
    </row>
    <row r="544" spans="2:36">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c r="AF544" s="134"/>
      <c r="AG544" s="134"/>
      <c r="AH544" s="134"/>
      <c r="AI544" s="134"/>
      <c r="AJ544" s="134"/>
    </row>
    <row r="545" spans="2:36">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c r="AF545" s="134"/>
      <c r="AG545" s="134"/>
      <c r="AH545" s="134"/>
      <c r="AI545" s="134"/>
      <c r="AJ545" s="134"/>
    </row>
    <row r="546" spans="2:36">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c r="AF546" s="134"/>
      <c r="AG546" s="134"/>
      <c r="AH546" s="134"/>
      <c r="AI546" s="134"/>
      <c r="AJ546" s="134"/>
    </row>
    <row r="547" spans="2:36">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c r="AF547" s="134"/>
      <c r="AG547" s="134"/>
      <c r="AH547" s="134"/>
      <c r="AI547" s="134"/>
      <c r="AJ547" s="134"/>
    </row>
    <row r="548" spans="2:36">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c r="AF548" s="134"/>
      <c r="AG548" s="134"/>
      <c r="AH548" s="134"/>
      <c r="AI548" s="134"/>
      <c r="AJ548" s="134"/>
    </row>
    <row r="549" spans="2:36">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c r="AF549" s="134"/>
      <c r="AG549" s="134"/>
      <c r="AH549" s="134"/>
      <c r="AI549" s="134"/>
      <c r="AJ549" s="134"/>
    </row>
    <row r="550" spans="2:36">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c r="AG550" s="134"/>
      <c r="AH550" s="134"/>
      <c r="AI550" s="134"/>
      <c r="AJ550" s="134"/>
    </row>
    <row r="551" spans="2:36">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c r="AG551" s="134"/>
      <c r="AH551" s="134"/>
      <c r="AI551" s="134"/>
      <c r="AJ551" s="134"/>
    </row>
    <row r="552" spans="2:36">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c r="AF552" s="134"/>
      <c r="AG552" s="134"/>
      <c r="AH552" s="134"/>
      <c r="AI552" s="134"/>
      <c r="AJ552" s="134"/>
    </row>
    <row r="553" spans="2:36">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c r="AF553" s="134"/>
      <c r="AG553" s="134"/>
      <c r="AH553" s="134"/>
      <c r="AI553" s="134"/>
      <c r="AJ553" s="134"/>
    </row>
    <row r="554" spans="2:36">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c r="AF554" s="134"/>
      <c r="AG554" s="134"/>
      <c r="AH554" s="134"/>
      <c r="AI554" s="134"/>
      <c r="AJ554" s="134"/>
    </row>
    <row r="555" spans="2:36">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c r="AF555" s="134"/>
      <c r="AG555" s="134"/>
      <c r="AH555" s="134"/>
      <c r="AI555" s="134"/>
      <c r="AJ555" s="134"/>
    </row>
    <row r="556" spans="2:36">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c r="AF556" s="134"/>
      <c r="AG556" s="134"/>
      <c r="AH556" s="134"/>
      <c r="AI556" s="134"/>
      <c r="AJ556" s="134"/>
    </row>
    <row r="557" spans="2:36">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c r="AF557" s="134"/>
      <c r="AG557" s="134"/>
      <c r="AH557" s="134"/>
      <c r="AI557" s="134"/>
      <c r="AJ557" s="134"/>
    </row>
    <row r="558" spans="2:36">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c r="AF558" s="134"/>
      <c r="AG558" s="134"/>
      <c r="AH558" s="134"/>
      <c r="AI558" s="134"/>
      <c r="AJ558" s="134"/>
    </row>
    <row r="559" spans="2:36">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c r="AF559" s="134"/>
      <c r="AG559" s="134"/>
      <c r="AH559" s="134"/>
      <c r="AI559" s="134"/>
      <c r="AJ559" s="134"/>
    </row>
    <row r="560" spans="2:36">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c r="AF560" s="134"/>
      <c r="AG560" s="134"/>
      <c r="AH560" s="134"/>
      <c r="AI560" s="134"/>
      <c r="AJ560" s="134"/>
    </row>
    <row r="561" spans="2:36">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c r="AF561" s="134"/>
      <c r="AG561" s="134"/>
      <c r="AH561" s="134"/>
      <c r="AI561" s="134"/>
      <c r="AJ561" s="134"/>
    </row>
    <row r="562" spans="2:36">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c r="AF562" s="134"/>
      <c r="AG562" s="134"/>
      <c r="AH562" s="134"/>
      <c r="AI562" s="134"/>
      <c r="AJ562" s="134"/>
    </row>
    <row r="563" spans="2:36">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c r="AF563" s="134"/>
      <c r="AG563" s="134"/>
      <c r="AH563" s="134"/>
      <c r="AI563" s="134"/>
      <c r="AJ563" s="134"/>
    </row>
    <row r="564" spans="2:36">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c r="AF564" s="134"/>
      <c r="AG564" s="134"/>
      <c r="AH564" s="134"/>
      <c r="AI564" s="134"/>
      <c r="AJ564" s="134"/>
    </row>
    <row r="565" spans="2:36">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c r="AF565" s="134"/>
      <c r="AG565" s="134"/>
      <c r="AH565" s="134"/>
      <c r="AI565" s="134"/>
      <c r="AJ565" s="134"/>
    </row>
    <row r="566" spans="2:36">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c r="AF566" s="134"/>
      <c r="AG566" s="134"/>
      <c r="AH566" s="134"/>
      <c r="AI566" s="134"/>
      <c r="AJ566" s="134"/>
    </row>
    <row r="567" spans="2:36">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c r="AF567" s="134"/>
      <c r="AG567" s="134"/>
      <c r="AH567" s="134"/>
      <c r="AI567" s="134"/>
      <c r="AJ567" s="134"/>
    </row>
    <row r="568" spans="2:36">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c r="AG568" s="134"/>
      <c r="AH568" s="134"/>
      <c r="AI568" s="134"/>
      <c r="AJ568" s="134"/>
    </row>
    <row r="569" spans="2:36">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c r="AG569" s="134"/>
      <c r="AH569" s="134"/>
      <c r="AI569" s="134"/>
      <c r="AJ569" s="134"/>
    </row>
    <row r="570" spans="2:36">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c r="AF570" s="134"/>
      <c r="AG570" s="134"/>
      <c r="AH570" s="134"/>
      <c r="AI570" s="134"/>
      <c r="AJ570" s="134"/>
    </row>
    <row r="571" spans="2:36">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c r="AF571" s="134"/>
      <c r="AG571" s="134"/>
      <c r="AH571" s="134"/>
      <c r="AI571" s="134"/>
      <c r="AJ571" s="134"/>
    </row>
    <row r="572" spans="2:36">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c r="AH572" s="134"/>
      <c r="AI572" s="134"/>
      <c r="AJ572" s="134"/>
    </row>
    <row r="573" spans="2:36">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c r="AF573" s="134"/>
      <c r="AG573" s="134"/>
      <c r="AH573" s="134"/>
      <c r="AI573" s="134"/>
      <c r="AJ573" s="134"/>
    </row>
    <row r="574" spans="2:36">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c r="AF574" s="134"/>
      <c r="AG574" s="134"/>
      <c r="AH574" s="134"/>
      <c r="AI574" s="134"/>
      <c r="AJ574" s="134"/>
    </row>
    <row r="575" spans="2:36">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c r="AF575" s="134"/>
      <c r="AG575" s="134"/>
      <c r="AH575" s="134"/>
      <c r="AI575" s="134"/>
      <c r="AJ575" s="134"/>
    </row>
    <row r="576" spans="2:36">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c r="AF576" s="134"/>
      <c r="AG576" s="134"/>
      <c r="AH576" s="134"/>
      <c r="AI576" s="134"/>
      <c r="AJ576" s="134"/>
    </row>
    <row r="577" spans="2:36">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c r="AF577" s="134"/>
      <c r="AG577" s="134"/>
      <c r="AH577" s="134"/>
      <c r="AI577" s="134"/>
      <c r="AJ577" s="134"/>
    </row>
    <row r="578" spans="2:36">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c r="AF578" s="134"/>
      <c r="AG578" s="134"/>
      <c r="AH578" s="134"/>
      <c r="AI578" s="134"/>
      <c r="AJ578" s="134"/>
    </row>
    <row r="579" spans="2:36">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c r="AF579" s="134"/>
      <c r="AG579" s="134"/>
      <c r="AH579" s="134"/>
      <c r="AI579" s="134"/>
      <c r="AJ579" s="134"/>
    </row>
    <row r="580" spans="2:36">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c r="AF580" s="134"/>
      <c r="AG580" s="134"/>
      <c r="AH580" s="134"/>
      <c r="AI580" s="134"/>
      <c r="AJ580" s="134"/>
    </row>
    <row r="581" spans="2:36">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c r="AF581" s="134"/>
      <c r="AG581" s="134"/>
      <c r="AH581" s="134"/>
      <c r="AI581" s="134"/>
      <c r="AJ581" s="134"/>
    </row>
    <row r="582" spans="2:36">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c r="AF582" s="134"/>
      <c r="AG582" s="134"/>
      <c r="AH582" s="134"/>
      <c r="AI582" s="134"/>
      <c r="AJ582" s="134"/>
    </row>
    <row r="583" spans="2:36">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c r="AF583" s="134"/>
      <c r="AG583" s="134"/>
      <c r="AH583" s="134"/>
      <c r="AI583" s="134"/>
      <c r="AJ583" s="134"/>
    </row>
    <row r="584" spans="2:36">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c r="AF584" s="134"/>
      <c r="AG584" s="134"/>
      <c r="AH584" s="134"/>
      <c r="AI584" s="134"/>
      <c r="AJ584" s="134"/>
    </row>
    <row r="585" spans="2:36">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c r="AF585" s="134"/>
      <c r="AG585" s="134"/>
      <c r="AH585" s="134"/>
      <c r="AI585" s="134"/>
      <c r="AJ585" s="134"/>
    </row>
    <row r="586" spans="2:36">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c r="AF586" s="134"/>
      <c r="AG586" s="134"/>
      <c r="AH586" s="134"/>
      <c r="AI586" s="134"/>
      <c r="AJ586" s="134"/>
    </row>
    <row r="587" spans="2:36">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c r="AF587" s="134"/>
      <c r="AG587" s="134"/>
      <c r="AH587" s="134"/>
      <c r="AI587" s="134"/>
      <c r="AJ587" s="134"/>
    </row>
    <row r="588" spans="2:36">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c r="AF588" s="134"/>
      <c r="AG588" s="134"/>
      <c r="AH588" s="134"/>
      <c r="AI588" s="134"/>
      <c r="AJ588" s="134"/>
    </row>
    <row r="589" spans="2:36">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c r="AF589" s="134"/>
      <c r="AG589" s="134"/>
      <c r="AH589" s="134"/>
      <c r="AI589" s="134"/>
      <c r="AJ589" s="134"/>
    </row>
    <row r="590" spans="2:36">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c r="AF590" s="134"/>
      <c r="AG590" s="134"/>
      <c r="AH590" s="134"/>
      <c r="AI590" s="134"/>
      <c r="AJ590" s="134"/>
    </row>
    <row r="591" spans="2:36">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c r="AF591" s="134"/>
      <c r="AG591" s="134"/>
      <c r="AH591" s="134"/>
      <c r="AI591" s="134"/>
      <c r="AJ591" s="134"/>
    </row>
    <row r="592" spans="2:36">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c r="AF592" s="134"/>
      <c r="AG592" s="134"/>
      <c r="AH592" s="134"/>
      <c r="AI592" s="134"/>
      <c r="AJ592" s="134"/>
    </row>
    <row r="593" spans="2:36">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c r="AF593" s="134"/>
      <c r="AG593" s="134"/>
      <c r="AH593" s="134"/>
      <c r="AI593" s="134"/>
      <c r="AJ593" s="134"/>
    </row>
    <row r="594" spans="2:36">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134"/>
      <c r="AG594" s="134"/>
      <c r="AH594" s="134"/>
      <c r="AI594" s="134"/>
      <c r="AJ594" s="134"/>
    </row>
    <row r="595" spans="2:36">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134"/>
      <c r="AG595" s="134"/>
      <c r="AH595" s="134"/>
      <c r="AI595" s="134"/>
      <c r="AJ595" s="134"/>
    </row>
    <row r="596" spans="2:36">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c r="AF596" s="134"/>
      <c r="AG596" s="134"/>
      <c r="AH596" s="134"/>
      <c r="AI596" s="134"/>
      <c r="AJ596" s="134"/>
    </row>
    <row r="597" spans="2:36">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c r="AF597" s="134"/>
      <c r="AG597" s="134"/>
      <c r="AH597" s="134"/>
      <c r="AI597" s="134"/>
      <c r="AJ597" s="134"/>
    </row>
    <row r="598" spans="2:36">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c r="AF598" s="134"/>
      <c r="AG598" s="134"/>
      <c r="AH598" s="134"/>
      <c r="AI598" s="134"/>
      <c r="AJ598" s="134"/>
    </row>
    <row r="599" spans="2:36">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c r="AF599" s="134"/>
      <c r="AG599" s="134"/>
      <c r="AH599" s="134"/>
      <c r="AI599" s="134"/>
      <c r="AJ599" s="134"/>
    </row>
    <row r="600" spans="2:36">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c r="AF600" s="134"/>
      <c r="AG600" s="134"/>
      <c r="AH600" s="134"/>
      <c r="AI600" s="134"/>
      <c r="AJ600" s="134"/>
    </row>
    <row r="601" spans="2:36">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c r="AF601" s="134"/>
      <c r="AG601" s="134"/>
      <c r="AH601" s="134"/>
      <c r="AI601" s="134"/>
      <c r="AJ601" s="134"/>
    </row>
    <row r="602" spans="2:36">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c r="AG602" s="134"/>
      <c r="AH602" s="134"/>
      <c r="AI602" s="134"/>
      <c r="AJ602" s="134"/>
    </row>
    <row r="603" spans="2:36">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c r="AG603" s="134"/>
      <c r="AH603" s="134"/>
      <c r="AI603" s="134"/>
      <c r="AJ603" s="134"/>
    </row>
    <row r="604" spans="2:36">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c r="AF604" s="134"/>
      <c r="AG604" s="134"/>
      <c r="AH604" s="134"/>
      <c r="AI604" s="134"/>
      <c r="AJ604" s="134"/>
    </row>
    <row r="605" spans="2:36">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c r="AF605" s="134"/>
      <c r="AG605" s="134"/>
      <c r="AH605" s="134"/>
      <c r="AI605" s="134"/>
      <c r="AJ605" s="134"/>
    </row>
    <row r="606" spans="2:36">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c r="AF606" s="134"/>
      <c r="AG606" s="134"/>
      <c r="AH606" s="134"/>
      <c r="AI606" s="134"/>
      <c r="AJ606" s="134"/>
    </row>
    <row r="607" spans="2:36">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c r="AF607" s="134"/>
      <c r="AG607" s="134"/>
      <c r="AH607" s="134"/>
      <c r="AI607" s="134"/>
      <c r="AJ607" s="134"/>
    </row>
    <row r="608" spans="2:36">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c r="AF608" s="134"/>
      <c r="AG608" s="134"/>
      <c r="AH608" s="134"/>
      <c r="AI608" s="134"/>
      <c r="AJ608" s="134"/>
    </row>
    <row r="609" spans="2:36">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c r="AF609" s="134"/>
      <c r="AG609" s="134"/>
      <c r="AH609" s="134"/>
      <c r="AI609" s="134"/>
      <c r="AJ609" s="134"/>
    </row>
    <row r="610" spans="2:36">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c r="AF610" s="134"/>
      <c r="AG610" s="134"/>
      <c r="AH610" s="134"/>
      <c r="AI610" s="134"/>
      <c r="AJ610" s="134"/>
    </row>
    <row r="611" spans="2:36">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c r="AF611" s="134"/>
      <c r="AG611" s="134"/>
      <c r="AH611" s="134"/>
      <c r="AI611" s="134"/>
      <c r="AJ611" s="134"/>
    </row>
    <row r="612" spans="2:36">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c r="AF612" s="134"/>
      <c r="AG612" s="134"/>
      <c r="AH612" s="134"/>
      <c r="AI612" s="134"/>
      <c r="AJ612" s="134"/>
    </row>
    <row r="613" spans="2:36">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c r="AF613" s="134"/>
      <c r="AG613" s="134"/>
      <c r="AH613" s="134"/>
      <c r="AI613" s="134"/>
      <c r="AJ613" s="134"/>
    </row>
    <row r="614" spans="2:36">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c r="AF614" s="134"/>
      <c r="AG614" s="134"/>
      <c r="AH614" s="134"/>
      <c r="AI614" s="134"/>
      <c r="AJ614" s="134"/>
    </row>
    <row r="615" spans="2:36">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c r="AF615" s="134"/>
      <c r="AG615" s="134"/>
      <c r="AH615" s="134"/>
      <c r="AI615" s="134"/>
      <c r="AJ615" s="134"/>
    </row>
    <row r="616" spans="2:36">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c r="AF616" s="134"/>
      <c r="AG616" s="134"/>
      <c r="AH616" s="134"/>
      <c r="AI616" s="134"/>
      <c r="AJ616" s="134"/>
    </row>
    <row r="617" spans="2:36">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c r="AF617" s="134"/>
      <c r="AG617" s="134"/>
      <c r="AH617" s="134"/>
      <c r="AI617" s="134"/>
      <c r="AJ617" s="134"/>
    </row>
    <row r="618" spans="2:36">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c r="AF618" s="134"/>
      <c r="AG618" s="134"/>
      <c r="AH618" s="134"/>
      <c r="AI618" s="134"/>
      <c r="AJ618" s="134"/>
    </row>
    <row r="619" spans="2:36">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c r="AF619" s="134"/>
      <c r="AG619" s="134"/>
      <c r="AH619" s="134"/>
      <c r="AI619" s="134"/>
      <c r="AJ619" s="134"/>
    </row>
    <row r="620" spans="2:36">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c r="AF620" s="134"/>
      <c r="AG620" s="134"/>
      <c r="AH620" s="134"/>
      <c r="AI620" s="134"/>
      <c r="AJ620" s="134"/>
    </row>
    <row r="621" spans="2:36">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c r="AF621" s="134"/>
      <c r="AG621" s="134"/>
      <c r="AH621" s="134"/>
      <c r="AI621" s="134"/>
      <c r="AJ621" s="134"/>
    </row>
    <row r="622" spans="2:36">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c r="AF622" s="134"/>
      <c r="AG622" s="134"/>
      <c r="AH622" s="134"/>
      <c r="AI622" s="134"/>
      <c r="AJ622" s="134"/>
    </row>
    <row r="623" spans="2:36">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c r="AF623" s="134"/>
      <c r="AG623" s="134"/>
      <c r="AH623" s="134"/>
      <c r="AI623" s="134"/>
      <c r="AJ623" s="134"/>
    </row>
    <row r="624" spans="2:36">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c r="AF624" s="134"/>
      <c r="AG624" s="134"/>
      <c r="AH624" s="134"/>
      <c r="AI624" s="134"/>
      <c r="AJ624" s="134"/>
    </row>
    <row r="625" spans="2:36">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c r="AF625" s="134"/>
      <c r="AG625" s="134"/>
      <c r="AH625" s="134"/>
      <c r="AI625" s="134"/>
      <c r="AJ625" s="134"/>
    </row>
    <row r="626" spans="2:36">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c r="AF626" s="134"/>
      <c r="AG626" s="134"/>
      <c r="AH626" s="134"/>
      <c r="AI626" s="134"/>
      <c r="AJ626" s="134"/>
    </row>
    <row r="627" spans="2:36">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c r="AF627" s="134"/>
      <c r="AG627" s="134"/>
      <c r="AH627" s="134"/>
      <c r="AI627" s="134"/>
      <c r="AJ627" s="134"/>
    </row>
    <row r="628" spans="2:36">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c r="AF628" s="134"/>
      <c r="AG628" s="134"/>
      <c r="AH628" s="134"/>
      <c r="AI628" s="134"/>
      <c r="AJ628" s="134"/>
    </row>
    <row r="629" spans="2:36">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c r="AF629" s="134"/>
      <c r="AG629" s="134"/>
      <c r="AH629" s="134"/>
      <c r="AI629" s="134"/>
      <c r="AJ629" s="134"/>
    </row>
    <row r="630" spans="2:36">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c r="AF630" s="134"/>
      <c r="AG630" s="134"/>
      <c r="AH630" s="134"/>
      <c r="AI630" s="134"/>
      <c r="AJ630" s="134"/>
    </row>
    <row r="631" spans="2:36">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c r="AF631" s="134"/>
      <c r="AG631" s="134"/>
      <c r="AH631" s="134"/>
      <c r="AI631" s="134"/>
      <c r="AJ631" s="134"/>
    </row>
    <row r="632" spans="2:36">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c r="AF632" s="134"/>
      <c r="AG632" s="134"/>
      <c r="AH632" s="134"/>
      <c r="AI632" s="134"/>
      <c r="AJ632" s="134"/>
    </row>
    <row r="633" spans="2:36">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c r="AH633" s="134"/>
      <c r="AI633" s="134"/>
      <c r="AJ633" s="134"/>
    </row>
    <row r="634" spans="2:36">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c r="AH634" s="134"/>
      <c r="AI634" s="134"/>
      <c r="AJ634" s="134"/>
    </row>
    <row r="635" spans="2:36">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c r="AH635" s="134"/>
      <c r="AI635" s="134"/>
      <c r="AJ635" s="134"/>
    </row>
    <row r="636" spans="2:36">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c r="AH636" s="134"/>
      <c r="AI636" s="134"/>
      <c r="AJ636" s="134"/>
    </row>
    <row r="637" spans="2:36">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c r="AH637" s="134"/>
      <c r="AI637" s="134"/>
      <c r="AJ637" s="134"/>
    </row>
    <row r="638" spans="2:36">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c r="AH638" s="134"/>
      <c r="AI638" s="134"/>
      <c r="AJ638" s="134"/>
    </row>
    <row r="639" spans="2:36">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c r="AH639" s="134"/>
      <c r="AI639" s="134"/>
      <c r="AJ639" s="134"/>
    </row>
    <row r="640" spans="2:36">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c r="AH640" s="134"/>
      <c r="AI640" s="134"/>
      <c r="AJ640" s="134"/>
    </row>
    <row r="641" spans="2:36">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c r="AH641" s="134"/>
      <c r="AI641" s="134"/>
      <c r="AJ641" s="134"/>
    </row>
    <row r="642" spans="2:36">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c r="AH642" s="134"/>
      <c r="AI642" s="134"/>
      <c r="AJ642" s="134"/>
    </row>
    <row r="643" spans="2:36">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c r="AH643" s="134"/>
      <c r="AI643" s="134"/>
      <c r="AJ643" s="134"/>
    </row>
    <row r="644" spans="2:36">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c r="AH644" s="134"/>
      <c r="AI644" s="134"/>
      <c r="AJ644" s="134"/>
    </row>
    <row r="645" spans="2:36">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row>
    <row r="646" spans="2:36">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c r="AH646" s="134"/>
      <c r="AI646" s="134"/>
      <c r="AJ646" s="134"/>
    </row>
    <row r="647" spans="2:36">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c r="AH647" s="134"/>
      <c r="AI647" s="134"/>
      <c r="AJ647" s="134"/>
    </row>
    <row r="648" spans="2:36">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c r="AH648" s="134"/>
      <c r="AI648" s="134"/>
      <c r="AJ648" s="134"/>
    </row>
    <row r="649" spans="2:36">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c r="AH649" s="134"/>
      <c r="AI649" s="134"/>
      <c r="AJ649" s="134"/>
    </row>
    <row r="650" spans="2:36">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c r="AH650" s="134"/>
      <c r="AI650" s="134"/>
      <c r="AJ650" s="134"/>
    </row>
    <row r="651" spans="2:36">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c r="AH651" s="134"/>
      <c r="AI651" s="134"/>
      <c r="AJ651" s="134"/>
    </row>
    <row r="652" spans="2:36">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c r="AH652" s="134"/>
      <c r="AI652" s="134"/>
      <c r="AJ652" s="134"/>
    </row>
    <row r="653" spans="2:36">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c r="AH653" s="134"/>
      <c r="AI653" s="134"/>
      <c r="AJ653" s="134"/>
    </row>
    <row r="654" spans="2:36">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c r="AH654" s="134"/>
      <c r="AI654" s="134"/>
      <c r="AJ654" s="134"/>
    </row>
    <row r="655" spans="2:36">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c r="AF655" s="134"/>
      <c r="AG655" s="134"/>
      <c r="AH655" s="134"/>
      <c r="AI655" s="134"/>
      <c r="AJ655" s="134"/>
    </row>
    <row r="656" spans="2:36">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c r="AF656" s="134"/>
      <c r="AG656" s="134"/>
      <c r="AH656" s="134"/>
      <c r="AI656" s="134"/>
      <c r="AJ656" s="134"/>
    </row>
    <row r="657" spans="2:36">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c r="AF657" s="134"/>
      <c r="AG657" s="134"/>
      <c r="AH657" s="134"/>
      <c r="AI657" s="134"/>
      <c r="AJ657" s="134"/>
    </row>
    <row r="658" spans="2:36">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c r="AF658" s="134"/>
      <c r="AG658" s="134"/>
      <c r="AH658" s="134"/>
      <c r="AI658" s="134"/>
      <c r="AJ658" s="134"/>
    </row>
    <row r="659" spans="2:36">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c r="AF659" s="134"/>
      <c r="AG659" s="134"/>
      <c r="AH659" s="134"/>
      <c r="AI659" s="134"/>
      <c r="AJ659" s="134"/>
    </row>
    <row r="660" spans="2:36">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c r="AH660" s="134"/>
      <c r="AI660" s="134"/>
      <c r="AJ660" s="134"/>
    </row>
    <row r="661" spans="2:36">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c r="AF661" s="134"/>
      <c r="AG661" s="134"/>
      <c r="AH661" s="134"/>
      <c r="AI661" s="134"/>
      <c r="AJ661" s="134"/>
    </row>
    <row r="662" spans="2:36">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c r="AF662" s="134"/>
      <c r="AG662" s="134"/>
      <c r="AH662" s="134"/>
      <c r="AI662" s="134"/>
      <c r="AJ662" s="134"/>
    </row>
    <row r="663" spans="2:36">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c r="AF663" s="134"/>
      <c r="AG663" s="134"/>
      <c r="AH663" s="134"/>
      <c r="AI663" s="134"/>
      <c r="AJ663" s="134"/>
    </row>
    <row r="664" spans="2:36">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c r="AF664" s="134"/>
      <c r="AG664" s="134"/>
      <c r="AH664" s="134"/>
      <c r="AI664" s="134"/>
      <c r="AJ664" s="134"/>
    </row>
    <row r="665" spans="2:36">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c r="AF665" s="134"/>
      <c r="AG665" s="134"/>
      <c r="AH665" s="134"/>
      <c r="AI665" s="134"/>
      <c r="AJ665" s="134"/>
    </row>
    <row r="666" spans="2:36">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c r="AF666" s="134"/>
      <c r="AG666" s="134"/>
      <c r="AH666" s="134"/>
      <c r="AI666" s="134"/>
      <c r="AJ666" s="134"/>
    </row>
    <row r="667" spans="2:36">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c r="AF667" s="134"/>
      <c r="AG667" s="134"/>
      <c r="AH667" s="134"/>
      <c r="AI667" s="134"/>
      <c r="AJ667" s="134"/>
    </row>
    <row r="668" spans="2:36">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c r="AF668" s="134"/>
      <c r="AG668" s="134"/>
      <c r="AH668" s="134"/>
      <c r="AI668" s="134"/>
      <c r="AJ668" s="134"/>
    </row>
    <row r="669" spans="2:36">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c r="AF669" s="134"/>
      <c r="AG669" s="134"/>
      <c r="AH669" s="134"/>
      <c r="AI669" s="134"/>
      <c r="AJ669" s="134"/>
    </row>
    <row r="670" spans="2:36">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c r="AF670" s="134"/>
      <c r="AG670" s="134"/>
      <c r="AH670" s="134"/>
      <c r="AI670" s="134"/>
      <c r="AJ670" s="134"/>
    </row>
    <row r="671" spans="2:36">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c r="AF671" s="134"/>
      <c r="AG671" s="134"/>
      <c r="AH671" s="134"/>
      <c r="AI671" s="134"/>
      <c r="AJ671" s="134"/>
    </row>
    <row r="672" spans="2:36">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c r="AF672" s="134"/>
      <c r="AG672" s="134"/>
      <c r="AH672" s="134"/>
      <c r="AI672" s="134"/>
      <c r="AJ672" s="134"/>
    </row>
    <row r="673" spans="2:36">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c r="AF673" s="134"/>
      <c r="AG673" s="134"/>
      <c r="AH673" s="134"/>
      <c r="AI673" s="134"/>
      <c r="AJ673" s="134"/>
    </row>
    <row r="674" spans="2:36">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c r="AF674" s="134"/>
      <c r="AG674" s="134"/>
      <c r="AH674" s="134"/>
      <c r="AI674" s="134"/>
      <c r="AJ674" s="134"/>
    </row>
    <row r="675" spans="2:36">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c r="AF675" s="134"/>
      <c r="AG675" s="134"/>
      <c r="AH675" s="134"/>
      <c r="AI675" s="134"/>
      <c r="AJ675" s="134"/>
    </row>
    <row r="676" spans="2:36">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c r="AF676" s="134"/>
      <c r="AG676" s="134"/>
      <c r="AH676" s="134"/>
      <c r="AI676" s="134"/>
      <c r="AJ676" s="134"/>
    </row>
    <row r="677" spans="2:36">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c r="AF677" s="134"/>
      <c r="AG677" s="134"/>
      <c r="AH677" s="134"/>
      <c r="AI677" s="134"/>
      <c r="AJ677" s="134"/>
    </row>
    <row r="678" spans="2:36">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c r="AF678" s="134"/>
      <c r="AG678" s="134"/>
      <c r="AH678" s="134"/>
      <c r="AI678" s="134"/>
      <c r="AJ678" s="134"/>
    </row>
    <row r="679" spans="2:36">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c r="AF679" s="134"/>
      <c r="AG679" s="134"/>
      <c r="AH679" s="134"/>
      <c r="AI679" s="134"/>
      <c r="AJ679" s="134"/>
    </row>
    <row r="680" spans="2:36">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c r="AF680" s="134"/>
      <c r="AG680" s="134"/>
      <c r="AH680" s="134"/>
      <c r="AI680" s="134"/>
      <c r="AJ680" s="134"/>
    </row>
    <row r="681" spans="2:36">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c r="AF681" s="134"/>
      <c r="AG681" s="134"/>
      <c r="AH681" s="134"/>
      <c r="AI681" s="134"/>
      <c r="AJ681" s="134"/>
    </row>
    <row r="682" spans="2:36">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c r="AF682" s="134"/>
      <c r="AG682" s="134"/>
      <c r="AH682" s="134"/>
      <c r="AI682" s="134"/>
      <c r="AJ682" s="134"/>
    </row>
    <row r="683" spans="2:36">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c r="AF683" s="134"/>
      <c r="AG683" s="134"/>
      <c r="AH683" s="134"/>
      <c r="AI683" s="134"/>
      <c r="AJ683" s="134"/>
    </row>
    <row r="684" spans="2:36">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c r="AF684" s="134"/>
      <c r="AG684" s="134"/>
      <c r="AH684" s="134"/>
      <c r="AI684" s="134"/>
      <c r="AJ684" s="134"/>
    </row>
    <row r="685" spans="2:36">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c r="AF685" s="134"/>
      <c r="AG685" s="134"/>
      <c r="AH685" s="134"/>
      <c r="AI685" s="134"/>
      <c r="AJ685" s="134"/>
    </row>
    <row r="686" spans="2:36">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c r="AF686" s="134"/>
      <c r="AG686" s="134"/>
      <c r="AH686" s="134"/>
      <c r="AI686" s="134"/>
      <c r="AJ686" s="134"/>
    </row>
    <row r="687" spans="2:36">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c r="AF687" s="134"/>
      <c r="AG687" s="134"/>
      <c r="AH687" s="134"/>
      <c r="AI687" s="134"/>
      <c r="AJ687" s="134"/>
    </row>
    <row r="688" spans="2:36">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c r="AF688" s="134"/>
      <c r="AG688" s="134"/>
      <c r="AH688" s="134"/>
      <c r="AI688" s="134"/>
      <c r="AJ688" s="134"/>
    </row>
    <row r="689" spans="2:36">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c r="AF689" s="134"/>
      <c r="AG689" s="134"/>
      <c r="AH689" s="134"/>
      <c r="AI689" s="134"/>
      <c r="AJ689" s="134"/>
    </row>
    <row r="690" spans="2:36">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c r="AF690" s="134"/>
      <c r="AG690" s="134"/>
      <c r="AH690" s="134"/>
      <c r="AI690" s="134"/>
      <c r="AJ690" s="134"/>
    </row>
    <row r="691" spans="2:36">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c r="AF691" s="134"/>
      <c r="AG691" s="134"/>
      <c r="AH691" s="134"/>
      <c r="AI691" s="134"/>
      <c r="AJ691" s="134"/>
    </row>
    <row r="692" spans="2:36">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c r="AF692" s="134"/>
      <c r="AG692" s="134"/>
      <c r="AH692" s="134"/>
      <c r="AI692" s="134"/>
      <c r="AJ692" s="134"/>
    </row>
    <row r="693" spans="2:36">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c r="AF693" s="134"/>
      <c r="AG693" s="134"/>
      <c r="AH693" s="134"/>
      <c r="AI693" s="134"/>
      <c r="AJ693" s="134"/>
    </row>
    <row r="694" spans="2:36">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c r="AF694" s="134"/>
      <c r="AG694" s="134"/>
      <c r="AH694" s="134"/>
      <c r="AI694" s="134"/>
      <c r="AJ694" s="134"/>
    </row>
    <row r="695" spans="2:36">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c r="AF695" s="134"/>
      <c r="AG695" s="134"/>
      <c r="AH695" s="134"/>
      <c r="AI695" s="134"/>
      <c r="AJ695" s="134"/>
    </row>
    <row r="696" spans="2:36">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c r="AF696" s="134"/>
      <c r="AG696" s="134"/>
      <c r="AH696" s="134"/>
      <c r="AI696" s="134"/>
      <c r="AJ696" s="134"/>
    </row>
    <row r="697" spans="2:36">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c r="AF697" s="134"/>
      <c r="AG697" s="134"/>
      <c r="AH697" s="134"/>
      <c r="AI697" s="134"/>
      <c r="AJ697" s="134"/>
    </row>
    <row r="698" spans="2:36">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c r="AF698" s="134"/>
      <c r="AG698" s="134"/>
      <c r="AH698" s="134"/>
      <c r="AI698" s="134"/>
      <c r="AJ698" s="134"/>
    </row>
    <row r="699" spans="2:36">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c r="AF699" s="134"/>
      <c r="AG699" s="134"/>
      <c r="AH699" s="134"/>
      <c r="AI699" s="134"/>
      <c r="AJ699" s="134"/>
    </row>
    <row r="700" spans="2:36">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c r="AF700" s="134"/>
      <c r="AG700" s="134"/>
      <c r="AH700" s="134"/>
      <c r="AI700" s="134"/>
      <c r="AJ700" s="134"/>
    </row>
    <row r="701" spans="2:36">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c r="AF701" s="134"/>
      <c r="AG701" s="134"/>
      <c r="AH701" s="134"/>
      <c r="AI701" s="134"/>
      <c r="AJ701" s="134"/>
    </row>
    <row r="702" spans="2:36">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c r="AF702" s="134"/>
      <c r="AG702" s="134"/>
      <c r="AH702" s="134"/>
      <c r="AI702" s="134"/>
      <c r="AJ702" s="134"/>
    </row>
    <row r="703" spans="2:36">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c r="AF703" s="134"/>
      <c r="AG703" s="134"/>
      <c r="AH703" s="134"/>
      <c r="AI703" s="134"/>
      <c r="AJ703" s="134"/>
    </row>
    <row r="704" spans="2:36">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c r="AF704" s="134"/>
      <c r="AG704" s="134"/>
      <c r="AH704" s="134"/>
      <c r="AI704" s="134"/>
      <c r="AJ704" s="134"/>
    </row>
    <row r="705" spans="2:36">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c r="AF705" s="134"/>
      <c r="AG705" s="134"/>
      <c r="AH705" s="134"/>
      <c r="AI705" s="134"/>
      <c r="AJ705" s="134"/>
    </row>
    <row r="706" spans="2:36">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c r="AF706" s="134"/>
      <c r="AG706" s="134"/>
      <c r="AH706" s="134"/>
      <c r="AI706" s="134"/>
      <c r="AJ706" s="134"/>
    </row>
    <row r="707" spans="2:36">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c r="AF707" s="134"/>
      <c r="AG707" s="134"/>
      <c r="AH707" s="134"/>
      <c r="AI707" s="134"/>
      <c r="AJ707" s="134"/>
    </row>
    <row r="708" spans="2:36">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c r="AF708" s="134"/>
      <c r="AG708" s="134"/>
      <c r="AH708" s="134"/>
      <c r="AI708" s="134"/>
      <c r="AJ708" s="134"/>
    </row>
    <row r="709" spans="2:36">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c r="AF709" s="134"/>
      <c r="AG709" s="134"/>
      <c r="AH709" s="134"/>
      <c r="AI709" s="134"/>
      <c r="AJ709" s="134"/>
    </row>
    <row r="710" spans="2:36">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c r="AF710" s="134"/>
      <c r="AG710" s="134"/>
      <c r="AH710" s="134"/>
      <c r="AI710" s="134"/>
      <c r="AJ710" s="134"/>
    </row>
    <row r="711" spans="2:36">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c r="AF711" s="134"/>
      <c r="AG711" s="134"/>
      <c r="AH711" s="134"/>
      <c r="AI711" s="134"/>
      <c r="AJ711" s="134"/>
    </row>
    <row r="712" spans="2:36">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c r="AF712" s="134"/>
      <c r="AG712" s="134"/>
      <c r="AH712" s="134"/>
      <c r="AI712" s="134"/>
      <c r="AJ712" s="134"/>
    </row>
    <row r="713" spans="2:36">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c r="AF713" s="134"/>
      <c r="AG713" s="134"/>
      <c r="AH713" s="134"/>
      <c r="AI713" s="134"/>
      <c r="AJ713" s="134"/>
    </row>
    <row r="714" spans="2:36">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c r="AF714" s="134"/>
      <c r="AG714" s="134"/>
      <c r="AH714" s="134"/>
      <c r="AI714" s="134"/>
      <c r="AJ714" s="134"/>
    </row>
    <row r="715" spans="2:36">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c r="AH715" s="134"/>
      <c r="AI715" s="134"/>
      <c r="AJ715" s="134"/>
    </row>
    <row r="716" spans="2:36">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c r="AF716" s="134"/>
      <c r="AG716" s="134"/>
      <c r="AH716" s="134"/>
      <c r="AI716" s="134"/>
      <c r="AJ716" s="134"/>
    </row>
    <row r="717" spans="2:36">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c r="AF717" s="134"/>
      <c r="AG717" s="134"/>
      <c r="AH717" s="134"/>
      <c r="AI717" s="134"/>
      <c r="AJ717" s="134"/>
    </row>
    <row r="718" spans="2:36">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c r="AF718" s="134"/>
      <c r="AG718" s="134"/>
      <c r="AH718" s="134"/>
      <c r="AI718" s="134"/>
      <c r="AJ718" s="134"/>
    </row>
    <row r="719" spans="2:36">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c r="AF719" s="134"/>
      <c r="AG719" s="134"/>
      <c r="AH719" s="134"/>
      <c r="AI719" s="134"/>
      <c r="AJ719" s="134"/>
    </row>
    <row r="720" spans="2:36">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c r="AF720" s="134"/>
      <c r="AG720" s="134"/>
      <c r="AH720" s="134"/>
      <c r="AI720" s="134"/>
      <c r="AJ720" s="134"/>
    </row>
    <row r="721" spans="2:36">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c r="AF721" s="134"/>
      <c r="AG721" s="134"/>
      <c r="AH721" s="134"/>
      <c r="AI721" s="134"/>
      <c r="AJ721" s="134"/>
    </row>
    <row r="722" spans="2:36">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c r="AF722" s="134"/>
      <c r="AG722" s="134"/>
      <c r="AH722" s="134"/>
      <c r="AI722" s="134"/>
      <c r="AJ722" s="134"/>
    </row>
    <row r="723" spans="2:36">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c r="AF723" s="134"/>
      <c r="AG723" s="134"/>
      <c r="AH723" s="134"/>
      <c r="AI723" s="134"/>
      <c r="AJ723" s="134"/>
    </row>
    <row r="724" spans="2:36">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c r="AF724" s="134"/>
      <c r="AG724" s="134"/>
      <c r="AH724" s="134"/>
      <c r="AI724" s="134"/>
      <c r="AJ724" s="134"/>
    </row>
    <row r="725" spans="2:36">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c r="AF725" s="134"/>
      <c r="AG725" s="134"/>
      <c r="AH725" s="134"/>
      <c r="AI725" s="134"/>
      <c r="AJ725" s="134"/>
    </row>
    <row r="726" spans="2:36">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c r="AF726" s="134"/>
      <c r="AG726" s="134"/>
      <c r="AH726" s="134"/>
      <c r="AI726" s="134"/>
      <c r="AJ726" s="134"/>
    </row>
    <row r="727" spans="2:36">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c r="AF727" s="134"/>
      <c r="AG727" s="134"/>
      <c r="AH727" s="134"/>
      <c r="AI727" s="134"/>
      <c r="AJ727" s="134"/>
    </row>
    <row r="728" spans="2:36">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c r="AF728" s="134"/>
      <c r="AG728" s="134"/>
      <c r="AH728" s="134"/>
      <c r="AI728" s="134"/>
      <c r="AJ728" s="134"/>
    </row>
    <row r="729" spans="2:36">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c r="AF729" s="134"/>
      <c r="AG729" s="134"/>
      <c r="AH729" s="134"/>
      <c r="AI729" s="134"/>
      <c r="AJ729" s="134"/>
    </row>
    <row r="730" spans="2:36">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c r="AF730" s="134"/>
      <c r="AG730" s="134"/>
      <c r="AH730" s="134"/>
      <c r="AI730" s="134"/>
      <c r="AJ730" s="134"/>
    </row>
    <row r="731" spans="2:36">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c r="AF731" s="134"/>
      <c r="AG731" s="134"/>
      <c r="AH731" s="134"/>
      <c r="AI731" s="134"/>
      <c r="AJ731" s="134"/>
    </row>
    <row r="732" spans="2:36">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c r="AF732" s="134"/>
      <c r="AG732" s="134"/>
      <c r="AH732" s="134"/>
      <c r="AI732" s="134"/>
      <c r="AJ732" s="134"/>
    </row>
    <row r="733" spans="2:36">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c r="AF733" s="134"/>
      <c r="AG733" s="134"/>
      <c r="AH733" s="134"/>
      <c r="AI733" s="134"/>
      <c r="AJ733" s="134"/>
    </row>
    <row r="734" spans="2:36">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c r="AF734" s="134"/>
      <c r="AG734" s="134"/>
      <c r="AH734" s="134"/>
      <c r="AI734" s="134"/>
      <c r="AJ734" s="134"/>
    </row>
    <row r="735" spans="2:36">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c r="AF735" s="134"/>
      <c r="AG735" s="134"/>
      <c r="AH735" s="134"/>
      <c r="AI735" s="134"/>
      <c r="AJ735" s="134"/>
    </row>
    <row r="736" spans="2:36">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c r="AH736" s="134"/>
      <c r="AI736" s="134"/>
      <c r="AJ736" s="134"/>
    </row>
    <row r="737" spans="2:36">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c r="AH737" s="134"/>
      <c r="AI737" s="134"/>
      <c r="AJ737" s="134"/>
    </row>
    <row r="738" spans="2:36">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c r="AH738" s="134"/>
      <c r="AI738" s="134"/>
      <c r="AJ738" s="134"/>
    </row>
    <row r="739" spans="2:36">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c r="AH739" s="134"/>
      <c r="AI739" s="134"/>
      <c r="AJ739" s="134"/>
    </row>
    <row r="740" spans="2:36">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c r="AH740" s="134"/>
      <c r="AI740" s="134"/>
      <c r="AJ740" s="134"/>
    </row>
    <row r="741" spans="2:36">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c r="AH741" s="134"/>
      <c r="AI741" s="134"/>
      <c r="AJ741" s="134"/>
    </row>
    <row r="742" spans="2:36">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c r="AH742" s="134"/>
      <c r="AI742" s="134"/>
      <c r="AJ742" s="134"/>
    </row>
    <row r="743" spans="2:36">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c r="AH743" s="134"/>
      <c r="AI743" s="134"/>
      <c r="AJ743" s="134"/>
    </row>
    <row r="744" spans="2:36">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c r="AH744" s="134"/>
      <c r="AI744" s="134"/>
      <c r="AJ744" s="134"/>
    </row>
    <row r="745" spans="2:36">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c r="AH745" s="134"/>
      <c r="AI745" s="134"/>
      <c r="AJ745" s="134"/>
    </row>
    <row r="746" spans="2:36">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c r="AH746" s="134"/>
      <c r="AI746" s="134"/>
      <c r="AJ746" s="134"/>
    </row>
    <row r="747" spans="2:36">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c r="AH747" s="134"/>
      <c r="AI747" s="134"/>
      <c r="AJ747" s="134"/>
    </row>
    <row r="748" spans="2:36">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c r="AH748" s="134"/>
      <c r="AI748" s="134"/>
      <c r="AJ748" s="134"/>
    </row>
    <row r="749" spans="2:36">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c r="AH749" s="134"/>
      <c r="AI749" s="134"/>
      <c r="AJ749" s="134"/>
    </row>
    <row r="750" spans="2:36">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c r="AF750" s="134"/>
      <c r="AG750" s="134"/>
      <c r="AH750" s="134"/>
      <c r="AI750" s="134"/>
      <c r="AJ750" s="134"/>
    </row>
    <row r="751" spans="2:36">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c r="AF751" s="134"/>
      <c r="AG751" s="134"/>
      <c r="AH751" s="134"/>
      <c r="AI751" s="134"/>
      <c r="AJ751" s="134"/>
    </row>
    <row r="752" spans="2:36">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c r="AF752" s="134"/>
      <c r="AG752" s="134"/>
      <c r="AH752" s="134"/>
      <c r="AI752" s="134"/>
      <c r="AJ752" s="134"/>
    </row>
    <row r="753" spans="2:36">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c r="AF753" s="134"/>
      <c r="AG753" s="134"/>
      <c r="AH753" s="134"/>
      <c r="AI753" s="134"/>
      <c r="AJ753" s="134"/>
    </row>
    <row r="754" spans="2:36">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c r="AF754" s="134"/>
      <c r="AG754" s="134"/>
      <c r="AH754" s="134"/>
      <c r="AI754" s="134"/>
      <c r="AJ754" s="134"/>
    </row>
    <row r="755" spans="2:36">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c r="AF755" s="134"/>
      <c r="AG755" s="134"/>
      <c r="AH755" s="134"/>
      <c r="AI755" s="134"/>
      <c r="AJ755" s="134"/>
    </row>
    <row r="756" spans="2:36">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c r="AF756" s="134"/>
      <c r="AG756" s="134"/>
      <c r="AH756" s="134"/>
      <c r="AI756" s="134"/>
      <c r="AJ756" s="134"/>
    </row>
    <row r="757" spans="2:36">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c r="AF757" s="134"/>
      <c r="AG757" s="134"/>
      <c r="AH757" s="134"/>
      <c r="AI757" s="134"/>
      <c r="AJ757" s="134"/>
    </row>
    <row r="758" spans="2:36">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c r="AF758" s="134"/>
      <c r="AG758" s="134"/>
      <c r="AH758" s="134"/>
      <c r="AI758" s="134"/>
      <c r="AJ758" s="134"/>
    </row>
    <row r="759" spans="2:36">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c r="AF759" s="134"/>
      <c r="AG759" s="134"/>
      <c r="AH759" s="134"/>
      <c r="AI759" s="134"/>
      <c r="AJ759" s="134"/>
    </row>
    <row r="760" spans="2:36">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c r="AF760" s="134"/>
      <c r="AG760" s="134"/>
      <c r="AH760" s="134"/>
      <c r="AI760" s="134"/>
      <c r="AJ760" s="134"/>
    </row>
    <row r="761" spans="2:36">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c r="AF761" s="134"/>
      <c r="AG761" s="134"/>
      <c r="AH761" s="134"/>
      <c r="AI761" s="134"/>
      <c r="AJ761" s="134"/>
    </row>
    <row r="762" spans="2:36">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c r="AF762" s="134"/>
      <c r="AG762" s="134"/>
      <c r="AH762" s="134"/>
      <c r="AI762" s="134"/>
      <c r="AJ762" s="134"/>
    </row>
    <row r="763" spans="2:36">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c r="AF763" s="134"/>
      <c r="AG763" s="134"/>
      <c r="AH763" s="134"/>
      <c r="AI763" s="134"/>
      <c r="AJ763" s="134"/>
    </row>
    <row r="764" spans="2:36">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c r="AF764" s="134"/>
      <c r="AG764" s="134"/>
      <c r="AH764" s="134"/>
      <c r="AI764" s="134"/>
      <c r="AJ764" s="134"/>
    </row>
    <row r="765" spans="2:36">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c r="AF765" s="134"/>
      <c r="AG765" s="134"/>
      <c r="AH765" s="134"/>
      <c r="AI765" s="134"/>
      <c r="AJ765" s="134"/>
    </row>
    <row r="766" spans="2:36">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c r="AF766" s="134"/>
      <c r="AG766" s="134"/>
      <c r="AH766" s="134"/>
      <c r="AI766" s="134"/>
      <c r="AJ766" s="134"/>
    </row>
    <row r="767" spans="2:36">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c r="AF767" s="134"/>
      <c r="AG767" s="134"/>
      <c r="AH767" s="134"/>
      <c r="AI767" s="134"/>
      <c r="AJ767" s="134"/>
    </row>
    <row r="768" spans="2:36">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c r="AF768" s="134"/>
      <c r="AG768" s="134"/>
      <c r="AH768" s="134"/>
      <c r="AI768" s="134"/>
      <c r="AJ768" s="134"/>
    </row>
    <row r="769" spans="2:36">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c r="AF769" s="134"/>
      <c r="AG769" s="134"/>
      <c r="AH769" s="134"/>
      <c r="AI769" s="134"/>
      <c r="AJ769" s="134"/>
    </row>
    <row r="770" spans="2:36">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c r="AF770" s="134"/>
      <c r="AG770" s="134"/>
      <c r="AH770" s="134"/>
      <c r="AI770" s="134"/>
      <c r="AJ770" s="134"/>
    </row>
    <row r="771" spans="2:36">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c r="AF771" s="134"/>
      <c r="AG771" s="134"/>
      <c r="AH771" s="134"/>
      <c r="AI771" s="134"/>
      <c r="AJ771" s="134"/>
    </row>
    <row r="772" spans="2:36">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c r="AF772" s="134"/>
      <c r="AG772" s="134"/>
      <c r="AH772" s="134"/>
      <c r="AI772" s="134"/>
      <c r="AJ772" s="134"/>
    </row>
    <row r="773" spans="2:36">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c r="AF773" s="134"/>
      <c r="AG773" s="134"/>
      <c r="AH773" s="134"/>
      <c r="AI773" s="134"/>
      <c r="AJ773" s="134"/>
    </row>
    <row r="774" spans="2:36">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c r="AF774" s="134"/>
      <c r="AG774" s="134"/>
      <c r="AH774" s="134"/>
      <c r="AI774" s="134"/>
      <c r="AJ774" s="134"/>
    </row>
    <row r="775" spans="2:36">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c r="AF775" s="134"/>
      <c r="AG775" s="134"/>
      <c r="AH775" s="134"/>
      <c r="AI775" s="134"/>
      <c r="AJ775" s="134"/>
    </row>
    <row r="776" spans="2:36">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c r="AF776" s="134"/>
      <c r="AG776" s="134"/>
      <c r="AH776" s="134"/>
      <c r="AI776" s="134"/>
      <c r="AJ776" s="134"/>
    </row>
    <row r="777" spans="2:36">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c r="AF777" s="134"/>
      <c r="AG777" s="134"/>
      <c r="AH777" s="134"/>
      <c r="AI777" s="134"/>
      <c r="AJ777" s="134"/>
    </row>
    <row r="778" spans="2:36">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c r="AF778" s="134"/>
      <c r="AG778" s="134"/>
      <c r="AH778" s="134"/>
      <c r="AI778" s="134"/>
      <c r="AJ778" s="134"/>
    </row>
    <row r="779" spans="2:36">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c r="AF779" s="134"/>
      <c r="AG779" s="134"/>
      <c r="AH779" s="134"/>
      <c r="AI779" s="134"/>
      <c r="AJ779" s="134"/>
    </row>
    <row r="780" spans="2:36">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c r="AF780" s="134"/>
      <c r="AG780" s="134"/>
      <c r="AH780" s="134"/>
      <c r="AI780" s="134"/>
      <c r="AJ780" s="134"/>
    </row>
    <row r="781" spans="2:36">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c r="AF781" s="134"/>
      <c r="AG781" s="134"/>
      <c r="AH781" s="134"/>
      <c r="AI781" s="134"/>
      <c r="AJ781" s="134"/>
    </row>
    <row r="782" spans="2:36">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c r="AF782" s="134"/>
      <c r="AG782" s="134"/>
      <c r="AH782" s="134"/>
      <c r="AI782" s="134"/>
      <c r="AJ782" s="134"/>
    </row>
    <row r="783" spans="2:36">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c r="AF783" s="134"/>
      <c r="AG783" s="134"/>
      <c r="AH783" s="134"/>
      <c r="AI783" s="134"/>
      <c r="AJ783" s="134"/>
    </row>
    <row r="784" spans="2:36">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c r="AF784" s="134"/>
      <c r="AG784" s="134"/>
      <c r="AH784" s="134"/>
      <c r="AI784" s="134"/>
      <c r="AJ784" s="134"/>
    </row>
    <row r="785" spans="2:36">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c r="AF785" s="134"/>
      <c r="AG785" s="134"/>
      <c r="AH785" s="134"/>
      <c r="AI785" s="134"/>
      <c r="AJ785" s="134"/>
    </row>
    <row r="786" spans="2:36">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c r="AF786" s="134"/>
      <c r="AG786" s="134"/>
      <c r="AH786" s="134"/>
      <c r="AI786" s="134"/>
      <c r="AJ786" s="134"/>
    </row>
    <row r="787" spans="2:36">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c r="AF787" s="134"/>
      <c r="AG787" s="134"/>
      <c r="AH787" s="134"/>
      <c r="AI787" s="134"/>
      <c r="AJ787" s="134"/>
    </row>
    <row r="788" spans="2:36">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c r="AF788" s="134"/>
      <c r="AG788" s="134"/>
      <c r="AH788" s="134"/>
      <c r="AI788" s="134"/>
      <c r="AJ788" s="134"/>
    </row>
    <row r="789" spans="2:36">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c r="AH789" s="134"/>
      <c r="AI789" s="134"/>
      <c r="AJ789" s="134"/>
    </row>
    <row r="790" spans="2:36">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c r="AF790" s="134"/>
      <c r="AG790" s="134"/>
      <c r="AH790" s="134"/>
      <c r="AI790" s="134"/>
      <c r="AJ790" s="134"/>
    </row>
    <row r="791" spans="2:36">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c r="AF791" s="134"/>
      <c r="AG791" s="134"/>
      <c r="AH791" s="134"/>
      <c r="AI791" s="134"/>
      <c r="AJ791" s="134"/>
    </row>
    <row r="792" spans="2:36">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c r="AF792" s="134"/>
      <c r="AG792" s="134"/>
      <c r="AH792" s="134"/>
      <c r="AI792" s="134"/>
      <c r="AJ792" s="134"/>
    </row>
    <row r="793" spans="2:36">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c r="AF793" s="134"/>
      <c r="AG793" s="134"/>
      <c r="AH793" s="134"/>
      <c r="AI793" s="134"/>
      <c r="AJ793" s="134"/>
    </row>
    <row r="794" spans="2:36">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c r="AF794" s="134"/>
      <c r="AG794" s="134"/>
      <c r="AH794" s="134"/>
      <c r="AI794" s="134"/>
      <c r="AJ794" s="134"/>
    </row>
    <row r="795" spans="2:36">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c r="AF795" s="134"/>
      <c r="AG795" s="134"/>
      <c r="AH795" s="134"/>
      <c r="AI795" s="134"/>
      <c r="AJ795" s="134"/>
    </row>
    <row r="796" spans="2:36">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c r="AF796" s="134"/>
      <c r="AG796" s="134"/>
      <c r="AH796" s="134"/>
      <c r="AI796" s="134"/>
      <c r="AJ796" s="134"/>
    </row>
    <row r="797" spans="2:36">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c r="AF797" s="134"/>
      <c r="AG797" s="134"/>
      <c r="AH797" s="134"/>
      <c r="AI797" s="134"/>
      <c r="AJ797" s="134"/>
    </row>
    <row r="798" spans="2:36">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c r="AF798" s="134"/>
      <c r="AG798" s="134"/>
      <c r="AH798" s="134"/>
      <c r="AI798" s="134"/>
      <c r="AJ798" s="134"/>
    </row>
    <row r="799" spans="2:36">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c r="AF799" s="134"/>
      <c r="AG799" s="134"/>
      <c r="AH799" s="134"/>
      <c r="AI799" s="134"/>
      <c r="AJ799" s="134"/>
    </row>
    <row r="800" spans="2:36">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c r="AF800" s="134"/>
      <c r="AG800" s="134"/>
      <c r="AH800" s="134"/>
      <c r="AI800" s="134"/>
      <c r="AJ800" s="134"/>
    </row>
    <row r="801" spans="2:36">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c r="AF801" s="134"/>
      <c r="AG801" s="134"/>
      <c r="AH801" s="134"/>
      <c r="AI801" s="134"/>
      <c r="AJ801" s="134"/>
    </row>
    <row r="802" spans="2:36">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c r="AF802" s="134"/>
      <c r="AG802" s="134"/>
      <c r="AH802" s="134"/>
      <c r="AI802" s="134"/>
      <c r="AJ802" s="134"/>
    </row>
    <row r="803" spans="2:36">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c r="AF803" s="134"/>
      <c r="AG803" s="134"/>
      <c r="AH803" s="134"/>
      <c r="AI803" s="134"/>
      <c r="AJ803" s="134"/>
    </row>
    <row r="804" spans="2:36">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c r="AF804" s="134"/>
      <c r="AG804" s="134"/>
      <c r="AH804" s="134"/>
      <c r="AI804" s="134"/>
      <c r="AJ804" s="134"/>
    </row>
    <row r="805" spans="2:36">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c r="AF805" s="134"/>
      <c r="AG805" s="134"/>
      <c r="AH805" s="134"/>
      <c r="AI805" s="134"/>
      <c r="AJ805" s="134"/>
    </row>
    <row r="806" spans="2:36">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c r="AF806" s="134"/>
      <c r="AG806" s="134"/>
      <c r="AH806" s="134"/>
      <c r="AI806" s="134"/>
      <c r="AJ806" s="134"/>
    </row>
    <row r="807" spans="2:36">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c r="AF807" s="134"/>
      <c r="AG807" s="134"/>
      <c r="AH807" s="134"/>
      <c r="AI807" s="134"/>
      <c r="AJ807" s="134"/>
    </row>
    <row r="808" spans="2:36">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c r="AF808" s="134"/>
      <c r="AG808" s="134"/>
      <c r="AH808" s="134"/>
      <c r="AI808" s="134"/>
      <c r="AJ808" s="134"/>
    </row>
    <row r="809" spans="2:36">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c r="AF809" s="134"/>
      <c r="AG809" s="134"/>
      <c r="AH809" s="134"/>
      <c r="AI809" s="134"/>
      <c r="AJ809" s="134"/>
    </row>
    <row r="810" spans="2:36">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c r="AF810" s="134"/>
      <c r="AG810" s="134"/>
      <c r="AH810" s="134"/>
      <c r="AI810" s="134"/>
      <c r="AJ810" s="134"/>
    </row>
    <row r="811" spans="2:36">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c r="AF811" s="134"/>
      <c r="AG811" s="134"/>
      <c r="AH811" s="134"/>
      <c r="AI811" s="134"/>
      <c r="AJ811" s="134"/>
    </row>
    <row r="812" spans="2:36">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c r="AF812" s="134"/>
      <c r="AG812" s="134"/>
      <c r="AH812" s="134"/>
      <c r="AI812" s="134"/>
      <c r="AJ812" s="134"/>
    </row>
    <row r="813" spans="2:36">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c r="AF813" s="134"/>
      <c r="AG813" s="134"/>
      <c r="AH813" s="134"/>
      <c r="AI813" s="134"/>
      <c r="AJ813" s="134"/>
    </row>
    <row r="814" spans="2:36">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c r="AF814" s="134"/>
      <c r="AG814" s="134"/>
      <c r="AH814" s="134"/>
      <c r="AI814" s="134"/>
      <c r="AJ814" s="134"/>
    </row>
    <row r="815" spans="2:36">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c r="AF815" s="134"/>
      <c r="AG815" s="134"/>
      <c r="AH815" s="134"/>
      <c r="AI815" s="134"/>
      <c r="AJ815" s="134"/>
    </row>
    <row r="816" spans="2:36">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c r="AF816" s="134"/>
      <c r="AG816" s="134"/>
      <c r="AH816" s="134"/>
      <c r="AI816" s="134"/>
      <c r="AJ816" s="134"/>
    </row>
    <row r="817" spans="2:36">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c r="AF817" s="134"/>
      <c r="AG817" s="134"/>
      <c r="AH817" s="134"/>
      <c r="AI817" s="134"/>
      <c r="AJ817" s="134"/>
    </row>
    <row r="818" spans="2:36">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c r="AF818" s="134"/>
      <c r="AG818" s="134"/>
      <c r="AH818" s="134"/>
      <c r="AI818" s="134"/>
      <c r="AJ818" s="134"/>
    </row>
    <row r="819" spans="2:36">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c r="AF819" s="134"/>
      <c r="AG819" s="134"/>
      <c r="AH819" s="134"/>
      <c r="AI819" s="134"/>
      <c r="AJ819" s="134"/>
    </row>
    <row r="820" spans="2:36">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c r="AF820" s="134"/>
      <c r="AG820" s="134"/>
      <c r="AH820" s="134"/>
      <c r="AI820" s="134"/>
      <c r="AJ820" s="134"/>
    </row>
    <row r="821" spans="2:36">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c r="AF821" s="134"/>
      <c r="AG821" s="134"/>
      <c r="AH821" s="134"/>
      <c r="AI821" s="134"/>
      <c r="AJ821" s="134"/>
    </row>
    <row r="822" spans="2:36">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c r="AF822" s="134"/>
      <c r="AG822" s="134"/>
      <c r="AH822" s="134"/>
      <c r="AI822" s="134"/>
      <c r="AJ822" s="134"/>
    </row>
    <row r="823" spans="2:36">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c r="AF823" s="134"/>
      <c r="AG823" s="134"/>
      <c r="AH823" s="134"/>
      <c r="AI823" s="134"/>
      <c r="AJ823" s="134"/>
    </row>
    <row r="824" spans="2:36">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c r="AF824" s="134"/>
      <c r="AG824" s="134"/>
      <c r="AH824" s="134"/>
      <c r="AI824" s="134"/>
      <c r="AJ824" s="134"/>
    </row>
    <row r="825" spans="2:36">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c r="AF825" s="134"/>
      <c r="AG825" s="134"/>
      <c r="AH825" s="134"/>
      <c r="AI825" s="134"/>
      <c r="AJ825" s="134"/>
    </row>
    <row r="826" spans="2:36">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c r="AF826" s="134"/>
      <c r="AG826" s="134"/>
      <c r="AH826" s="134"/>
      <c r="AI826" s="134"/>
      <c r="AJ826" s="134"/>
    </row>
    <row r="827" spans="2:36">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c r="AF827" s="134"/>
      <c r="AG827" s="134"/>
      <c r="AH827" s="134"/>
      <c r="AI827" s="134"/>
      <c r="AJ827" s="134"/>
    </row>
    <row r="828" spans="2:36">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c r="AF828" s="134"/>
      <c r="AG828" s="134"/>
      <c r="AH828" s="134"/>
      <c r="AI828" s="134"/>
      <c r="AJ828" s="134"/>
    </row>
    <row r="829" spans="2:36">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c r="AF829" s="134"/>
      <c r="AG829" s="134"/>
      <c r="AH829" s="134"/>
      <c r="AI829" s="134"/>
      <c r="AJ829" s="134"/>
    </row>
    <row r="830" spans="2:36">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c r="AF830" s="134"/>
      <c r="AG830" s="134"/>
      <c r="AH830" s="134"/>
      <c r="AI830" s="134"/>
      <c r="AJ830" s="134"/>
    </row>
    <row r="831" spans="2:36">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c r="AF831" s="134"/>
      <c r="AG831" s="134"/>
      <c r="AH831" s="134"/>
      <c r="AI831" s="134"/>
      <c r="AJ831" s="134"/>
    </row>
    <row r="832" spans="2:36">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c r="AF832" s="134"/>
      <c r="AG832" s="134"/>
      <c r="AH832" s="134"/>
      <c r="AI832" s="134"/>
      <c r="AJ832" s="134"/>
    </row>
    <row r="833" spans="2:36">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c r="AF833" s="134"/>
      <c r="AG833" s="134"/>
      <c r="AH833" s="134"/>
      <c r="AI833" s="134"/>
      <c r="AJ833" s="134"/>
    </row>
    <row r="834" spans="2:36">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c r="AF834" s="134"/>
      <c r="AG834" s="134"/>
      <c r="AH834" s="134"/>
      <c r="AI834" s="134"/>
      <c r="AJ834" s="134"/>
    </row>
    <row r="835" spans="2:36">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c r="AF835" s="134"/>
      <c r="AG835" s="134"/>
      <c r="AH835" s="134"/>
      <c r="AI835" s="134"/>
      <c r="AJ835" s="134"/>
    </row>
    <row r="836" spans="2:36">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c r="AF836" s="134"/>
      <c r="AG836" s="134"/>
      <c r="AH836" s="134"/>
      <c r="AI836" s="134"/>
      <c r="AJ836" s="134"/>
    </row>
    <row r="837" spans="2:36">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c r="AF837" s="134"/>
      <c r="AG837" s="134"/>
      <c r="AH837" s="134"/>
      <c r="AI837" s="134"/>
      <c r="AJ837" s="134"/>
    </row>
    <row r="838" spans="2:36">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c r="AF838" s="134"/>
      <c r="AG838" s="134"/>
      <c r="AH838" s="134"/>
      <c r="AI838" s="134"/>
      <c r="AJ838" s="134"/>
    </row>
    <row r="839" spans="2:36">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c r="AF839" s="134"/>
      <c r="AG839" s="134"/>
      <c r="AH839" s="134"/>
      <c r="AI839" s="134"/>
      <c r="AJ839" s="134"/>
    </row>
    <row r="840" spans="2:36">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c r="AF840" s="134"/>
      <c r="AG840" s="134"/>
      <c r="AH840" s="134"/>
      <c r="AI840" s="134"/>
      <c r="AJ840" s="134"/>
    </row>
    <row r="841" spans="2:36">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c r="AF841" s="134"/>
      <c r="AG841" s="134"/>
      <c r="AH841" s="134"/>
      <c r="AI841" s="134"/>
      <c r="AJ841" s="134"/>
    </row>
    <row r="842" spans="2:36">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c r="AF842" s="134"/>
      <c r="AG842" s="134"/>
      <c r="AH842" s="134"/>
      <c r="AI842" s="134"/>
      <c r="AJ842" s="134"/>
    </row>
    <row r="843" spans="2:36">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c r="AF843" s="134"/>
      <c r="AG843" s="134"/>
      <c r="AH843" s="134"/>
      <c r="AI843" s="134"/>
      <c r="AJ843" s="134"/>
    </row>
    <row r="844" spans="2:36">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c r="AF844" s="134"/>
      <c r="AG844" s="134"/>
      <c r="AH844" s="134"/>
      <c r="AI844" s="134"/>
      <c r="AJ844" s="134"/>
    </row>
    <row r="845" spans="2:36">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c r="AF845" s="134"/>
      <c r="AG845" s="134"/>
      <c r="AH845" s="134"/>
      <c r="AI845" s="134"/>
      <c r="AJ845" s="134"/>
    </row>
    <row r="846" spans="2:36">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c r="AF846" s="134"/>
      <c r="AG846" s="134"/>
      <c r="AH846" s="134"/>
      <c r="AI846" s="134"/>
      <c r="AJ846" s="134"/>
    </row>
    <row r="847" spans="2:36">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c r="AF847" s="134"/>
      <c r="AG847" s="134"/>
      <c r="AH847" s="134"/>
      <c r="AI847" s="134"/>
      <c r="AJ847" s="134"/>
    </row>
    <row r="848" spans="2:36">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c r="AF848" s="134"/>
      <c r="AG848" s="134"/>
      <c r="AH848" s="134"/>
      <c r="AI848" s="134"/>
      <c r="AJ848" s="134"/>
    </row>
    <row r="849" spans="2:36">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c r="AF849" s="134"/>
      <c r="AG849" s="134"/>
      <c r="AH849" s="134"/>
      <c r="AI849" s="134"/>
      <c r="AJ849" s="134"/>
    </row>
    <row r="850" spans="2:36">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c r="AF850" s="134"/>
      <c r="AG850" s="134"/>
      <c r="AH850" s="134"/>
      <c r="AI850" s="134"/>
      <c r="AJ850" s="134"/>
    </row>
    <row r="851" spans="2:36">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c r="AF851" s="134"/>
      <c r="AG851" s="134"/>
      <c r="AH851" s="134"/>
      <c r="AI851" s="134"/>
      <c r="AJ851" s="134"/>
    </row>
    <row r="852" spans="2:36">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c r="AF852" s="134"/>
      <c r="AG852" s="134"/>
      <c r="AH852" s="134"/>
      <c r="AI852" s="134"/>
      <c r="AJ852" s="134"/>
    </row>
    <row r="853" spans="2:36">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c r="AF853" s="134"/>
      <c r="AG853" s="134"/>
      <c r="AH853" s="134"/>
      <c r="AI853" s="134"/>
      <c r="AJ853" s="134"/>
    </row>
    <row r="854" spans="2:36">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c r="AF854" s="134"/>
      <c r="AG854" s="134"/>
      <c r="AH854" s="134"/>
      <c r="AI854" s="134"/>
      <c r="AJ854" s="134"/>
    </row>
    <row r="855" spans="2:36">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c r="AF855" s="134"/>
      <c r="AG855" s="134"/>
      <c r="AH855" s="134"/>
      <c r="AI855" s="134"/>
      <c r="AJ855" s="134"/>
    </row>
    <row r="856" spans="2:36">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c r="AF856" s="134"/>
      <c r="AG856" s="134"/>
      <c r="AH856" s="134"/>
      <c r="AI856" s="134"/>
      <c r="AJ856" s="134"/>
    </row>
    <row r="857" spans="2:36">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c r="AF857" s="134"/>
      <c r="AG857" s="134"/>
      <c r="AH857" s="134"/>
      <c r="AI857" s="134"/>
      <c r="AJ857" s="134"/>
    </row>
    <row r="858" spans="2:36">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c r="AF858" s="134"/>
      <c r="AG858" s="134"/>
      <c r="AH858" s="134"/>
      <c r="AI858" s="134"/>
      <c r="AJ858" s="134"/>
    </row>
    <row r="859" spans="2:36">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c r="AF859" s="134"/>
      <c r="AG859" s="134"/>
      <c r="AH859" s="134"/>
      <c r="AI859" s="134"/>
      <c r="AJ859" s="134"/>
    </row>
    <row r="860" spans="2:36">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c r="AH860" s="134"/>
      <c r="AI860" s="134"/>
      <c r="AJ860" s="134"/>
    </row>
    <row r="861" spans="2:36">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c r="AF861" s="134"/>
      <c r="AG861" s="134"/>
      <c r="AH861" s="134"/>
      <c r="AI861" s="134"/>
      <c r="AJ861" s="134"/>
    </row>
    <row r="862" spans="2:36">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c r="AH862" s="134"/>
      <c r="AI862" s="134"/>
      <c r="AJ862" s="134"/>
    </row>
    <row r="863" spans="2:36">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c r="AF863" s="134"/>
      <c r="AG863" s="134"/>
      <c r="AH863" s="134"/>
      <c r="AI863" s="134"/>
      <c r="AJ863" s="134"/>
    </row>
    <row r="864" spans="2:36">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c r="AF864" s="134"/>
      <c r="AG864" s="134"/>
      <c r="AH864" s="134"/>
      <c r="AI864" s="134"/>
      <c r="AJ864" s="134"/>
    </row>
    <row r="865" spans="2:36">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c r="AF865" s="134"/>
      <c r="AG865" s="134"/>
      <c r="AH865" s="134"/>
      <c r="AI865" s="134"/>
      <c r="AJ865" s="134"/>
    </row>
    <row r="866" spans="2:36">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c r="AF866" s="134"/>
      <c r="AG866" s="134"/>
      <c r="AH866" s="134"/>
      <c r="AI866" s="134"/>
      <c r="AJ866" s="134"/>
    </row>
    <row r="867" spans="2:36">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c r="AF867" s="134"/>
      <c r="AG867" s="134"/>
      <c r="AH867" s="134"/>
      <c r="AI867" s="134"/>
      <c r="AJ867" s="134"/>
    </row>
    <row r="868" spans="2:36">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c r="AF868" s="134"/>
      <c r="AG868" s="134"/>
      <c r="AH868" s="134"/>
      <c r="AI868" s="134"/>
      <c r="AJ868" s="134"/>
    </row>
    <row r="869" spans="2:36">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c r="AF869" s="134"/>
      <c r="AG869" s="134"/>
      <c r="AH869" s="134"/>
      <c r="AI869" s="134"/>
      <c r="AJ869" s="134"/>
    </row>
    <row r="870" spans="2:36">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c r="AF870" s="134"/>
      <c r="AG870" s="134"/>
      <c r="AH870" s="134"/>
      <c r="AI870" s="134"/>
      <c r="AJ870" s="134"/>
    </row>
    <row r="871" spans="2:36">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c r="AF871" s="134"/>
      <c r="AG871" s="134"/>
      <c r="AH871" s="134"/>
      <c r="AI871" s="134"/>
      <c r="AJ871" s="134"/>
    </row>
    <row r="872" spans="2:36">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c r="AF872" s="134"/>
      <c r="AG872" s="134"/>
      <c r="AH872" s="134"/>
      <c r="AI872" s="134"/>
      <c r="AJ872" s="134"/>
    </row>
    <row r="873" spans="2:36">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c r="AF873" s="134"/>
      <c r="AG873" s="134"/>
      <c r="AH873" s="134"/>
      <c r="AI873" s="134"/>
      <c r="AJ873" s="134"/>
    </row>
    <row r="874" spans="2:36">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c r="AF874" s="134"/>
      <c r="AG874" s="134"/>
      <c r="AH874" s="134"/>
      <c r="AI874" s="134"/>
      <c r="AJ874" s="134"/>
    </row>
    <row r="875" spans="2:36">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c r="AF875" s="134"/>
      <c r="AG875" s="134"/>
      <c r="AH875" s="134"/>
      <c r="AI875" s="134"/>
      <c r="AJ875" s="134"/>
    </row>
    <row r="876" spans="2:36">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c r="AF876" s="134"/>
      <c r="AG876" s="134"/>
      <c r="AH876" s="134"/>
      <c r="AI876" s="134"/>
      <c r="AJ876" s="134"/>
    </row>
    <row r="877" spans="2:36">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c r="AF877" s="134"/>
      <c r="AG877" s="134"/>
      <c r="AH877" s="134"/>
      <c r="AI877" s="134"/>
      <c r="AJ877" s="134"/>
    </row>
    <row r="878" spans="2:36">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c r="AF878" s="134"/>
      <c r="AG878" s="134"/>
      <c r="AH878" s="134"/>
      <c r="AI878" s="134"/>
      <c r="AJ878" s="134"/>
    </row>
    <row r="879" spans="2:36">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c r="AF879" s="134"/>
      <c r="AG879" s="134"/>
      <c r="AH879" s="134"/>
      <c r="AI879" s="134"/>
      <c r="AJ879" s="134"/>
    </row>
    <row r="880" spans="2:36">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c r="AF880" s="134"/>
      <c r="AG880" s="134"/>
      <c r="AH880" s="134"/>
      <c r="AI880" s="134"/>
      <c r="AJ880" s="134"/>
    </row>
    <row r="881" spans="2:36">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c r="AF881" s="134"/>
      <c r="AG881" s="134"/>
      <c r="AH881" s="134"/>
      <c r="AI881" s="134"/>
      <c r="AJ881" s="134"/>
    </row>
    <row r="882" spans="2:36">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c r="AF882" s="134"/>
      <c r="AG882" s="134"/>
      <c r="AH882" s="134"/>
      <c r="AI882" s="134"/>
      <c r="AJ882" s="134"/>
    </row>
    <row r="883" spans="2:36">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c r="AF883" s="134"/>
      <c r="AG883" s="134"/>
      <c r="AH883" s="134"/>
      <c r="AI883" s="134"/>
      <c r="AJ883" s="134"/>
    </row>
    <row r="884" spans="2:36">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c r="AF884" s="134"/>
      <c r="AG884" s="134"/>
      <c r="AH884" s="134"/>
      <c r="AI884" s="134"/>
      <c r="AJ884" s="134"/>
    </row>
    <row r="885" spans="2:36">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c r="AF885" s="134"/>
      <c r="AG885" s="134"/>
      <c r="AH885" s="134"/>
      <c r="AI885" s="134"/>
      <c r="AJ885" s="134"/>
    </row>
    <row r="886" spans="2:36">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c r="AF886" s="134"/>
      <c r="AG886" s="134"/>
      <c r="AH886" s="134"/>
      <c r="AI886" s="134"/>
      <c r="AJ886" s="134"/>
    </row>
    <row r="887" spans="2:36">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c r="AF887" s="134"/>
      <c r="AG887" s="134"/>
      <c r="AH887" s="134"/>
      <c r="AI887" s="134"/>
      <c r="AJ887" s="134"/>
    </row>
    <row r="888" spans="2:36">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c r="AF888" s="134"/>
      <c r="AG888" s="134"/>
      <c r="AH888" s="134"/>
      <c r="AI888" s="134"/>
      <c r="AJ888" s="134"/>
    </row>
    <row r="889" spans="2:36">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c r="AF889" s="134"/>
      <c r="AG889" s="134"/>
      <c r="AH889" s="134"/>
      <c r="AI889" s="134"/>
      <c r="AJ889" s="134"/>
    </row>
    <row r="890" spans="2:36">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c r="AF890" s="134"/>
      <c r="AG890" s="134"/>
      <c r="AH890" s="134"/>
      <c r="AI890" s="134"/>
      <c r="AJ890" s="134"/>
    </row>
    <row r="891" spans="2:36">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c r="AF891" s="134"/>
      <c r="AG891" s="134"/>
      <c r="AH891" s="134"/>
      <c r="AI891" s="134"/>
      <c r="AJ891" s="134"/>
    </row>
    <row r="892" spans="2:36">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c r="AF892" s="134"/>
      <c r="AG892" s="134"/>
      <c r="AH892" s="134"/>
      <c r="AI892" s="134"/>
      <c r="AJ892" s="134"/>
    </row>
    <row r="893" spans="2:36">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c r="AF893" s="134"/>
      <c r="AG893" s="134"/>
      <c r="AH893" s="134"/>
      <c r="AI893" s="134"/>
      <c r="AJ893" s="134"/>
    </row>
    <row r="894" spans="2:36">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c r="AF894" s="134"/>
      <c r="AG894" s="134"/>
      <c r="AH894" s="134"/>
      <c r="AI894" s="134"/>
      <c r="AJ894" s="134"/>
    </row>
    <row r="895" spans="2:36">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c r="AF895" s="134"/>
      <c r="AG895" s="134"/>
      <c r="AH895" s="134"/>
      <c r="AI895" s="134"/>
      <c r="AJ895" s="134"/>
    </row>
    <row r="896" spans="2:36">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c r="AF896" s="134"/>
      <c r="AG896" s="134"/>
      <c r="AH896" s="134"/>
      <c r="AI896" s="134"/>
      <c r="AJ896" s="134"/>
    </row>
    <row r="897" spans="2:36">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c r="AF897" s="134"/>
      <c r="AG897" s="134"/>
      <c r="AH897" s="134"/>
      <c r="AI897" s="134"/>
      <c r="AJ897" s="134"/>
    </row>
    <row r="898" spans="2:36">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c r="AF898" s="134"/>
      <c r="AG898" s="134"/>
      <c r="AH898" s="134"/>
      <c r="AI898" s="134"/>
      <c r="AJ898" s="134"/>
    </row>
    <row r="899" spans="2:36">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c r="AF899" s="134"/>
      <c r="AG899" s="134"/>
      <c r="AH899" s="134"/>
      <c r="AI899" s="134"/>
      <c r="AJ899" s="134"/>
    </row>
    <row r="900" spans="2:36">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c r="AF900" s="134"/>
      <c r="AG900" s="134"/>
      <c r="AH900" s="134"/>
      <c r="AI900" s="134"/>
      <c r="AJ900" s="134"/>
    </row>
    <row r="901" spans="2:36">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c r="AF901" s="134"/>
      <c r="AG901" s="134"/>
      <c r="AH901" s="134"/>
      <c r="AI901" s="134"/>
      <c r="AJ901" s="134"/>
    </row>
    <row r="902" spans="2:36">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c r="AF902" s="134"/>
      <c r="AG902" s="134"/>
      <c r="AH902" s="134"/>
      <c r="AI902" s="134"/>
      <c r="AJ902" s="134"/>
    </row>
    <row r="903" spans="2:36">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c r="AF903" s="134"/>
      <c r="AG903" s="134"/>
      <c r="AH903" s="134"/>
      <c r="AI903" s="134"/>
      <c r="AJ903" s="134"/>
    </row>
    <row r="904" spans="2:36">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c r="AF904" s="134"/>
      <c r="AG904" s="134"/>
      <c r="AH904" s="134"/>
      <c r="AI904" s="134"/>
      <c r="AJ904" s="134"/>
    </row>
    <row r="905" spans="2:36">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c r="AF905" s="134"/>
      <c r="AG905" s="134"/>
      <c r="AH905" s="134"/>
      <c r="AI905" s="134"/>
      <c r="AJ905" s="134"/>
    </row>
    <row r="906" spans="2:36">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c r="AF906" s="134"/>
      <c r="AG906" s="134"/>
      <c r="AH906" s="134"/>
      <c r="AI906" s="134"/>
      <c r="AJ906" s="134"/>
    </row>
    <row r="907" spans="2:36">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c r="AF907" s="134"/>
      <c r="AG907" s="134"/>
      <c r="AH907" s="134"/>
      <c r="AI907" s="134"/>
      <c r="AJ907" s="134"/>
    </row>
    <row r="908" spans="2:36">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c r="AF908" s="134"/>
      <c r="AG908" s="134"/>
      <c r="AH908" s="134"/>
      <c r="AI908" s="134"/>
      <c r="AJ908" s="134"/>
    </row>
    <row r="909" spans="2:36">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c r="AF909" s="134"/>
      <c r="AG909" s="134"/>
      <c r="AH909" s="134"/>
      <c r="AI909" s="134"/>
      <c r="AJ909" s="134"/>
    </row>
    <row r="910" spans="2:36">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c r="AF910" s="134"/>
      <c r="AG910" s="134"/>
      <c r="AH910" s="134"/>
      <c r="AI910" s="134"/>
      <c r="AJ910" s="134"/>
    </row>
    <row r="911" spans="2:36">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c r="AF911" s="134"/>
      <c r="AG911" s="134"/>
      <c r="AH911" s="134"/>
      <c r="AI911" s="134"/>
      <c r="AJ911" s="134"/>
    </row>
    <row r="912" spans="2:36">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c r="AF912" s="134"/>
      <c r="AG912" s="134"/>
      <c r="AH912" s="134"/>
      <c r="AI912" s="134"/>
      <c r="AJ912" s="134"/>
    </row>
    <row r="913" spans="2:36">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c r="AF913" s="134"/>
      <c r="AG913" s="134"/>
      <c r="AH913" s="134"/>
      <c r="AI913" s="134"/>
      <c r="AJ913" s="134"/>
    </row>
    <row r="914" spans="2:36">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c r="AF914" s="134"/>
      <c r="AG914" s="134"/>
      <c r="AH914" s="134"/>
      <c r="AI914" s="134"/>
      <c r="AJ914" s="134"/>
    </row>
    <row r="915" spans="2:36">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c r="AF915" s="134"/>
      <c r="AG915" s="134"/>
      <c r="AH915" s="134"/>
      <c r="AI915" s="134"/>
      <c r="AJ915" s="134"/>
    </row>
    <row r="916" spans="2:36">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c r="AF916" s="134"/>
      <c r="AG916" s="134"/>
      <c r="AH916" s="134"/>
      <c r="AI916" s="134"/>
      <c r="AJ916" s="134"/>
    </row>
    <row r="917" spans="2:36">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c r="AF917" s="134"/>
      <c r="AG917" s="134"/>
      <c r="AH917" s="134"/>
      <c r="AI917" s="134"/>
      <c r="AJ917" s="134"/>
    </row>
    <row r="918" spans="2:36">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c r="AF918" s="134"/>
      <c r="AG918" s="134"/>
      <c r="AH918" s="134"/>
      <c r="AI918" s="134"/>
      <c r="AJ918" s="134"/>
    </row>
    <row r="919" spans="2:36">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c r="AF919" s="134"/>
      <c r="AG919" s="134"/>
      <c r="AH919" s="134"/>
      <c r="AI919" s="134"/>
      <c r="AJ919" s="134"/>
    </row>
    <row r="920" spans="2:36">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c r="AF920" s="134"/>
      <c r="AG920" s="134"/>
      <c r="AH920" s="134"/>
      <c r="AI920" s="134"/>
      <c r="AJ920" s="134"/>
    </row>
    <row r="921" spans="2:36">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c r="AF921" s="134"/>
      <c r="AG921" s="134"/>
      <c r="AH921" s="134"/>
      <c r="AI921" s="134"/>
      <c r="AJ921" s="134"/>
    </row>
    <row r="922" spans="2:36">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c r="AF922" s="134"/>
      <c r="AG922" s="134"/>
      <c r="AH922" s="134"/>
      <c r="AI922" s="134"/>
      <c r="AJ922" s="134"/>
    </row>
    <row r="923" spans="2:36">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c r="AF923" s="134"/>
      <c r="AG923" s="134"/>
      <c r="AH923" s="134"/>
      <c r="AI923" s="134"/>
      <c r="AJ923" s="134"/>
    </row>
    <row r="924" spans="2:36">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c r="AF924" s="134"/>
      <c r="AG924" s="134"/>
      <c r="AH924" s="134"/>
      <c r="AI924" s="134"/>
      <c r="AJ924" s="134"/>
    </row>
    <row r="925" spans="2:36">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c r="AF925" s="134"/>
      <c r="AG925" s="134"/>
      <c r="AH925" s="134"/>
      <c r="AI925" s="134"/>
      <c r="AJ925" s="134"/>
    </row>
    <row r="926" spans="2:36">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c r="AF926" s="134"/>
      <c r="AG926" s="134"/>
      <c r="AH926" s="134"/>
      <c r="AI926" s="134"/>
      <c r="AJ926" s="134"/>
    </row>
    <row r="927" spans="2:36">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c r="AF927" s="134"/>
      <c r="AG927" s="134"/>
      <c r="AH927" s="134"/>
      <c r="AI927" s="134"/>
      <c r="AJ927" s="134"/>
    </row>
    <row r="928" spans="2:36">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c r="AF928" s="134"/>
      <c r="AG928" s="134"/>
      <c r="AH928" s="134"/>
      <c r="AI928" s="134"/>
      <c r="AJ928" s="134"/>
    </row>
    <row r="929" spans="2:36">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c r="AF929" s="134"/>
      <c r="AG929" s="134"/>
      <c r="AH929" s="134"/>
      <c r="AI929" s="134"/>
      <c r="AJ929" s="134"/>
    </row>
    <row r="930" spans="2:36">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c r="AF930" s="134"/>
      <c r="AG930" s="134"/>
      <c r="AH930" s="134"/>
      <c r="AI930" s="134"/>
      <c r="AJ930" s="134"/>
    </row>
    <row r="931" spans="2:36">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c r="AF931" s="134"/>
      <c r="AG931" s="134"/>
      <c r="AH931" s="134"/>
      <c r="AI931" s="134"/>
      <c r="AJ931" s="134"/>
    </row>
    <row r="932" spans="2:36">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c r="AF932" s="134"/>
      <c r="AG932" s="134"/>
      <c r="AH932" s="134"/>
      <c r="AI932" s="134"/>
      <c r="AJ932" s="134"/>
    </row>
    <row r="933" spans="2:36">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c r="AF933" s="134"/>
      <c r="AG933" s="134"/>
      <c r="AH933" s="134"/>
      <c r="AI933" s="134"/>
      <c r="AJ933" s="134"/>
    </row>
    <row r="934" spans="2:36">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c r="AF934" s="134"/>
      <c r="AG934" s="134"/>
      <c r="AH934" s="134"/>
      <c r="AI934" s="134"/>
      <c r="AJ934" s="134"/>
    </row>
    <row r="935" spans="2:36">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c r="AF935" s="134"/>
      <c r="AG935" s="134"/>
      <c r="AH935" s="134"/>
      <c r="AI935" s="134"/>
      <c r="AJ935" s="134"/>
    </row>
    <row r="936" spans="2:36">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c r="AF936" s="134"/>
      <c r="AG936" s="134"/>
      <c r="AH936" s="134"/>
      <c r="AI936" s="134"/>
      <c r="AJ936" s="134"/>
    </row>
    <row r="937" spans="2:36">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c r="AF937" s="134"/>
      <c r="AG937" s="134"/>
      <c r="AH937" s="134"/>
      <c r="AI937" s="134"/>
      <c r="AJ937" s="134"/>
    </row>
    <row r="938" spans="2:36">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c r="AF938" s="134"/>
      <c r="AG938" s="134"/>
      <c r="AH938" s="134"/>
      <c r="AI938" s="134"/>
      <c r="AJ938" s="134"/>
    </row>
    <row r="939" spans="2:36">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c r="AF939" s="134"/>
      <c r="AG939" s="134"/>
      <c r="AH939" s="134"/>
      <c r="AI939" s="134"/>
      <c r="AJ939" s="134"/>
    </row>
    <row r="940" spans="2:36">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c r="AF940" s="134"/>
      <c r="AG940" s="134"/>
      <c r="AH940" s="134"/>
      <c r="AI940" s="134"/>
      <c r="AJ940" s="134"/>
    </row>
    <row r="941" spans="2:36">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c r="AF941" s="134"/>
      <c r="AG941" s="134"/>
      <c r="AH941" s="134"/>
      <c r="AI941" s="134"/>
      <c r="AJ941" s="134"/>
    </row>
    <row r="942" spans="2:36">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c r="AF942" s="134"/>
      <c r="AG942" s="134"/>
      <c r="AH942" s="134"/>
      <c r="AI942" s="134"/>
      <c r="AJ942" s="134"/>
    </row>
    <row r="943" spans="2:36">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c r="AF943" s="134"/>
      <c r="AG943" s="134"/>
      <c r="AH943" s="134"/>
      <c r="AI943" s="134"/>
      <c r="AJ943" s="134"/>
    </row>
    <row r="944" spans="2:36">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c r="AF944" s="134"/>
      <c r="AG944" s="134"/>
      <c r="AH944" s="134"/>
      <c r="AI944" s="134"/>
      <c r="AJ944" s="134"/>
    </row>
    <row r="945" spans="2:36">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c r="AF945" s="134"/>
      <c r="AG945" s="134"/>
      <c r="AH945" s="134"/>
      <c r="AI945" s="134"/>
      <c r="AJ945" s="134"/>
    </row>
    <row r="946" spans="2:36">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c r="AF946" s="134"/>
      <c r="AG946" s="134"/>
      <c r="AH946" s="134"/>
      <c r="AI946" s="134"/>
      <c r="AJ946" s="134"/>
    </row>
    <row r="947" spans="2:36">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c r="AF947" s="134"/>
      <c r="AG947" s="134"/>
      <c r="AH947" s="134"/>
      <c r="AI947" s="134"/>
      <c r="AJ947" s="134"/>
    </row>
    <row r="948" spans="2:36">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c r="AF948" s="134"/>
      <c r="AG948" s="134"/>
      <c r="AH948" s="134"/>
      <c r="AI948" s="134"/>
      <c r="AJ948" s="134"/>
    </row>
    <row r="949" spans="2:36">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c r="AF949" s="134"/>
      <c r="AG949" s="134"/>
      <c r="AH949" s="134"/>
      <c r="AI949" s="134"/>
      <c r="AJ949" s="134"/>
    </row>
    <row r="950" spans="2:36">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c r="AF950" s="134"/>
      <c r="AG950" s="134"/>
      <c r="AH950" s="134"/>
      <c r="AI950" s="134"/>
      <c r="AJ950" s="134"/>
    </row>
    <row r="951" spans="2:36">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c r="AF951" s="134"/>
      <c r="AG951" s="134"/>
      <c r="AH951" s="134"/>
      <c r="AI951" s="134"/>
      <c r="AJ951" s="134"/>
    </row>
    <row r="952" spans="2:36">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c r="AF952" s="134"/>
      <c r="AG952" s="134"/>
      <c r="AH952" s="134"/>
      <c r="AI952" s="134"/>
      <c r="AJ952" s="134"/>
    </row>
    <row r="953" spans="2:36">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c r="AF953" s="134"/>
      <c r="AG953" s="134"/>
      <c r="AH953" s="134"/>
      <c r="AI953" s="134"/>
      <c r="AJ953" s="134"/>
    </row>
    <row r="954" spans="2:36">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c r="AF954" s="134"/>
      <c r="AG954" s="134"/>
      <c r="AH954" s="134"/>
      <c r="AI954" s="134"/>
      <c r="AJ954" s="134"/>
    </row>
    <row r="955" spans="2:36">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c r="AF955" s="134"/>
      <c r="AG955" s="134"/>
      <c r="AH955" s="134"/>
      <c r="AI955" s="134"/>
      <c r="AJ955" s="134"/>
    </row>
    <row r="956" spans="2:36">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c r="AF956" s="134"/>
      <c r="AG956" s="134"/>
      <c r="AH956" s="134"/>
      <c r="AI956" s="134"/>
      <c r="AJ956" s="134"/>
    </row>
    <row r="957" spans="2:36">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c r="AF957" s="134"/>
      <c r="AG957" s="134"/>
      <c r="AH957" s="134"/>
      <c r="AI957" s="134"/>
      <c r="AJ957" s="134"/>
    </row>
    <row r="958" spans="2:36">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c r="AF958" s="134"/>
      <c r="AG958" s="134"/>
      <c r="AH958" s="134"/>
      <c r="AI958" s="134"/>
      <c r="AJ958" s="134"/>
    </row>
    <row r="959" spans="2:36">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c r="AF959" s="134"/>
      <c r="AG959" s="134"/>
      <c r="AH959" s="134"/>
      <c r="AI959" s="134"/>
      <c r="AJ959" s="134"/>
    </row>
    <row r="960" spans="2:36">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c r="AF960" s="134"/>
      <c r="AG960" s="134"/>
      <c r="AH960" s="134"/>
      <c r="AI960" s="134"/>
      <c r="AJ960" s="134"/>
    </row>
    <row r="961" spans="2:36">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c r="AF961" s="134"/>
      <c r="AG961" s="134"/>
      <c r="AH961" s="134"/>
      <c r="AI961" s="134"/>
      <c r="AJ961" s="134"/>
    </row>
    <row r="962" spans="2:36">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c r="AF962" s="134"/>
      <c r="AG962" s="134"/>
      <c r="AH962" s="134"/>
      <c r="AI962" s="134"/>
      <c r="AJ962" s="134"/>
    </row>
    <row r="963" spans="2:36">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c r="AF963" s="134"/>
      <c r="AG963" s="134"/>
      <c r="AH963" s="134"/>
      <c r="AI963" s="134"/>
      <c r="AJ963" s="134"/>
    </row>
    <row r="964" spans="2:36">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c r="AF964" s="134"/>
      <c r="AG964" s="134"/>
      <c r="AH964" s="134"/>
      <c r="AI964" s="134"/>
      <c r="AJ964" s="134"/>
    </row>
    <row r="965" spans="2:36">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c r="AF965" s="134"/>
      <c r="AG965" s="134"/>
      <c r="AH965" s="134"/>
      <c r="AI965" s="134"/>
      <c r="AJ965" s="134"/>
    </row>
    <row r="966" spans="2:36">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c r="AF966" s="134"/>
      <c r="AG966" s="134"/>
      <c r="AH966" s="134"/>
      <c r="AI966" s="134"/>
      <c r="AJ966" s="134"/>
    </row>
    <row r="967" spans="2:36">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c r="AF967" s="134"/>
      <c r="AG967" s="134"/>
      <c r="AH967" s="134"/>
      <c r="AI967" s="134"/>
      <c r="AJ967" s="134"/>
    </row>
    <row r="968" spans="2:36">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c r="AF968" s="134"/>
      <c r="AG968" s="134"/>
      <c r="AH968" s="134"/>
      <c r="AI968" s="134"/>
      <c r="AJ968" s="134"/>
    </row>
    <row r="969" spans="2:36">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c r="AF969" s="134"/>
      <c r="AG969" s="134"/>
      <c r="AH969" s="134"/>
      <c r="AI969" s="134"/>
      <c r="AJ969" s="134"/>
    </row>
    <row r="970" spans="2:36">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c r="AF970" s="134"/>
      <c r="AG970" s="134"/>
      <c r="AH970" s="134"/>
      <c r="AI970" s="134"/>
      <c r="AJ970" s="134"/>
    </row>
    <row r="971" spans="2:36">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c r="AF971" s="134"/>
      <c r="AG971" s="134"/>
      <c r="AH971" s="134"/>
      <c r="AI971" s="134"/>
      <c r="AJ971" s="134"/>
    </row>
    <row r="972" spans="2:36">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c r="AF972" s="134"/>
      <c r="AG972" s="134"/>
      <c r="AH972" s="134"/>
      <c r="AI972" s="134"/>
      <c r="AJ972" s="134"/>
    </row>
    <row r="973" spans="2:36">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c r="AF973" s="134"/>
      <c r="AG973" s="134"/>
      <c r="AH973" s="134"/>
      <c r="AI973" s="134"/>
      <c r="AJ973" s="134"/>
    </row>
    <row r="974" spans="2:36">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c r="AF974" s="134"/>
      <c r="AG974" s="134"/>
      <c r="AH974" s="134"/>
      <c r="AI974" s="134"/>
      <c r="AJ974" s="134"/>
    </row>
    <row r="975" spans="2:36">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c r="AF975" s="134"/>
      <c r="AG975" s="134"/>
      <c r="AH975" s="134"/>
      <c r="AI975" s="134"/>
      <c r="AJ975" s="134"/>
    </row>
    <row r="976" spans="2:36">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c r="AF976" s="134"/>
      <c r="AG976" s="134"/>
      <c r="AH976" s="134"/>
      <c r="AI976" s="134"/>
      <c r="AJ976" s="134"/>
    </row>
    <row r="977" spans="2:36">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c r="AF977" s="134"/>
      <c r="AG977" s="134"/>
      <c r="AH977" s="134"/>
      <c r="AI977" s="134"/>
      <c r="AJ977" s="134"/>
    </row>
    <row r="978" spans="2:36">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c r="AF978" s="134"/>
      <c r="AG978" s="134"/>
      <c r="AH978" s="134"/>
      <c r="AI978" s="134"/>
      <c r="AJ978" s="134"/>
    </row>
    <row r="979" spans="2:36">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c r="AF979" s="134"/>
      <c r="AG979" s="134"/>
      <c r="AH979" s="134"/>
      <c r="AI979" s="134"/>
      <c r="AJ979" s="134"/>
    </row>
    <row r="980" spans="2:36">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c r="AF980" s="134"/>
      <c r="AG980" s="134"/>
      <c r="AH980" s="134"/>
      <c r="AI980" s="134"/>
      <c r="AJ980" s="134"/>
    </row>
    <row r="981" spans="2:36">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c r="AF981" s="134"/>
      <c r="AG981" s="134"/>
      <c r="AH981" s="134"/>
      <c r="AI981" s="134"/>
      <c r="AJ981" s="134"/>
    </row>
    <row r="982" spans="2:36">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c r="AF982" s="134"/>
      <c r="AG982" s="134"/>
      <c r="AH982" s="134"/>
      <c r="AI982" s="134"/>
      <c r="AJ982" s="134"/>
    </row>
    <row r="983" spans="2:36">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c r="AF983" s="134"/>
      <c r="AG983" s="134"/>
      <c r="AH983" s="134"/>
      <c r="AI983" s="134"/>
      <c r="AJ983" s="134"/>
    </row>
    <row r="984" spans="2:36">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c r="AF984" s="134"/>
      <c r="AG984" s="134"/>
      <c r="AH984" s="134"/>
      <c r="AI984" s="134"/>
      <c r="AJ984" s="134"/>
    </row>
    <row r="985" spans="2:36">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c r="AF985" s="134"/>
      <c r="AG985" s="134"/>
      <c r="AH985" s="134"/>
      <c r="AI985" s="134"/>
      <c r="AJ985" s="134"/>
    </row>
    <row r="986" spans="2:36">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c r="AF986" s="134"/>
      <c r="AG986" s="134"/>
      <c r="AH986" s="134"/>
      <c r="AI986" s="134"/>
      <c r="AJ986" s="134"/>
    </row>
    <row r="987" spans="2:36">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c r="AF987" s="134"/>
      <c r="AG987" s="134"/>
      <c r="AH987" s="134"/>
      <c r="AI987" s="134"/>
      <c r="AJ987" s="134"/>
    </row>
    <row r="988" spans="2:36">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c r="AF988" s="134"/>
      <c r="AG988" s="134"/>
      <c r="AH988" s="134"/>
      <c r="AI988" s="134"/>
      <c r="AJ988" s="134"/>
    </row>
    <row r="989" spans="2:36">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c r="AF989" s="134"/>
      <c r="AG989" s="134"/>
      <c r="AH989" s="134"/>
      <c r="AI989" s="134"/>
      <c r="AJ989" s="134"/>
    </row>
    <row r="990" spans="2:36">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c r="AF990" s="134"/>
      <c r="AG990" s="134"/>
      <c r="AH990" s="134"/>
      <c r="AI990" s="134"/>
      <c r="AJ990" s="134"/>
    </row>
    <row r="991" spans="2:36">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c r="AF991" s="134"/>
      <c r="AG991" s="134"/>
      <c r="AH991" s="134"/>
      <c r="AI991" s="134"/>
      <c r="AJ991" s="134"/>
    </row>
    <row r="992" spans="2:36">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c r="AF992" s="134"/>
      <c r="AG992" s="134"/>
      <c r="AH992" s="134"/>
      <c r="AI992" s="134"/>
      <c r="AJ992" s="134"/>
    </row>
    <row r="993" spans="2:36">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c r="AF993" s="134"/>
      <c r="AG993" s="134"/>
      <c r="AH993" s="134"/>
      <c r="AI993" s="134"/>
      <c r="AJ993" s="134"/>
    </row>
    <row r="994" spans="2:36">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c r="AF994" s="134"/>
      <c r="AG994" s="134"/>
      <c r="AH994" s="134"/>
      <c r="AI994" s="134"/>
      <c r="AJ994" s="134"/>
    </row>
    <row r="995" spans="2:36">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c r="AF995" s="134"/>
      <c r="AG995" s="134"/>
      <c r="AH995" s="134"/>
      <c r="AI995" s="134"/>
      <c r="AJ995" s="134"/>
    </row>
    <row r="996" spans="2:36">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c r="AF996" s="134"/>
      <c r="AG996" s="134"/>
      <c r="AH996" s="134"/>
      <c r="AI996" s="134"/>
      <c r="AJ996" s="134"/>
    </row>
    <row r="997" spans="2:36">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c r="AF997" s="134"/>
      <c r="AG997" s="134"/>
      <c r="AH997" s="134"/>
      <c r="AI997" s="134"/>
      <c r="AJ997" s="134"/>
    </row>
    <row r="998" spans="2:36">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c r="AF998" s="134"/>
      <c r="AG998" s="134"/>
      <c r="AH998" s="134"/>
      <c r="AI998" s="134"/>
      <c r="AJ998" s="134"/>
    </row>
    <row r="999" spans="2:36">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c r="AF999" s="134"/>
      <c r="AG999" s="134"/>
      <c r="AH999" s="134"/>
      <c r="AI999" s="134"/>
      <c r="AJ999" s="134"/>
    </row>
    <row r="1000" spans="2:36">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c r="AF1000" s="134"/>
      <c r="AG1000" s="134"/>
      <c r="AH1000" s="134"/>
      <c r="AI1000" s="134"/>
      <c r="AJ1000" s="134"/>
    </row>
    <row r="1001" spans="2:36">
      <c r="B1001" s="134"/>
      <c r="C1001" s="134"/>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c r="AA1001" s="134"/>
      <c r="AB1001" s="134"/>
      <c r="AC1001" s="134"/>
      <c r="AD1001" s="134"/>
      <c r="AE1001" s="134"/>
      <c r="AF1001" s="134"/>
      <c r="AG1001" s="134"/>
      <c r="AH1001" s="134"/>
      <c r="AI1001" s="134"/>
      <c r="AJ1001" s="134"/>
    </row>
    <row r="1002" spans="2:36">
      <c r="B1002" s="134"/>
      <c r="C1002" s="134"/>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c r="AA1002" s="134"/>
      <c r="AB1002" s="134"/>
      <c r="AC1002" s="134"/>
      <c r="AD1002" s="134"/>
      <c r="AE1002" s="134"/>
      <c r="AF1002" s="134"/>
      <c r="AG1002" s="134"/>
      <c r="AH1002" s="134"/>
      <c r="AI1002" s="134"/>
      <c r="AJ1002" s="134"/>
    </row>
    <row r="1003" spans="2:36">
      <c r="B1003" s="134"/>
      <c r="C1003" s="134"/>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c r="AA1003" s="134"/>
      <c r="AB1003" s="134"/>
      <c r="AC1003" s="134"/>
      <c r="AD1003" s="134"/>
      <c r="AE1003" s="134"/>
      <c r="AF1003" s="134"/>
      <c r="AG1003" s="134"/>
      <c r="AH1003" s="134"/>
      <c r="AI1003" s="134"/>
      <c r="AJ1003" s="134"/>
    </row>
    <row r="1004" spans="2:36">
      <c r="B1004" s="134"/>
      <c r="C1004" s="134"/>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c r="AA1004" s="134"/>
      <c r="AB1004" s="134"/>
      <c r="AC1004" s="134"/>
      <c r="AD1004" s="134"/>
      <c r="AE1004" s="134"/>
      <c r="AF1004" s="134"/>
      <c r="AG1004" s="134"/>
      <c r="AH1004" s="134"/>
      <c r="AI1004" s="134"/>
      <c r="AJ1004" s="134"/>
    </row>
    <row r="1005" spans="2:36">
      <c r="B1005" s="134"/>
      <c r="C1005" s="134"/>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c r="AA1005" s="134"/>
      <c r="AB1005" s="134"/>
      <c r="AC1005" s="134"/>
      <c r="AD1005" s="134"/>
      <c r="AE1005" s="134"/>
      <c r="AF1005" s="134"/>
      <c r="AG1005" s="134"/>
      <c r="AH1005" s="134"/>
      <c r="AI1005" s="134"/>
      <c r="AJ1005" s="134"/>
    </row>
    <row r="1006" spans="2:36">
      <c r="B1006" s="134"/>
      <c r="C1006" s="134"/>
      <c r="D1006" s="134"/>
      <c r="E1006" s="134"/>
      <c r="F1006" s="134"/>
      <c r="G1006" s="134"/>
      <c r="H1006" s="134"/>
      <c r="I1006" s="134"/>
      <c r="J1006" s="134"/>
      <c r="K1006" s="134"/>
      <c r="L1006" s="134"/>
      <c r="M1006" s="134"/>
      <c r="N1006" s="134"/>
      <c r="O1006" s="134"/>
      <c r="P1006" s="134"/>
      <c r="Q1006" s="134"/>
      <c r="R1006" s="134"/>
      <c r="S1006" s="134"/>
      <c r="T1006" s="134"/>
      <c r="U1006" s="134"/>
      <c r="V1006" s="134"/>
      <c r="W1006" s="134"/>
      <c r="X1006" s="134"/>
      <c r="Y1006" s="134"/>
      <c r="Z1006" s="134"/>
      <c r="AA1006" s="134"/>
      <c r="AB1006" s="134"/>
      <c r="AC1006" s="134"/>
      <c r="AD1006" s="134"/>
      <c r="AE1006" s="134"/>
      <c r="AF1006" s="134"/>
      <c r="AG1006" s="134"/>
      <c r="AH1006" s="134"/>
      <c r="AI1006" s="134"/>
      <c r="AJ1006" s="134"/>
    </row>
    <row r="1007" spans="2:36">
      <c r="B1007" s="134"/>
      <c r="C1007" s="134"/>
      <c r="D1007" s="134"/>
      <c r="E1007" s="134"/>
      <c r="F1007" s="134"/>
      <c r="G1007" s="134"/>
      <c r="H1007" s="134"/>
      <c r="I1007" s="134"/>
      <c r="J1007" s="134"/>
      <c r="K1007" s="134"/>
      <c r="L1007" s="134"/>
      <c r="M1007" s="134"/>
      <c r="N1007" s="134"/>
      <c r="O1007" s="134"/>
      <c r="P1007" s="134"/>
      <c r="Q1007" s="134"/>
      <c r="R1007" s="134"/>
      <c r="S1007" s="134"/>
      <c r="T1007" s="134"/>
      <c r="U1007" s="134"/>
      <c r="V1007" s="134"/>
      <c r="W1007" s="134"/>
      <c r="X1007" s="134"/>
      <c r="Y1007" s="134"/>
      <c r="Z1007" s="134"/>
      <c r="AA1007" s="134"/>
      <c r="AB1007" s="134"/>
      <c r="AC1007" s="134"/>
      <c r="AD1007" s="134"/>
      <c r="AE1007" s="134"/>
      <c r="AF1007" s="134"/>
      <c r="AG1007" s="134"/>
      <c r="AH1007" s="134"/>
      <c r="AI1007" s="134"/>
      <c r="AJ1007" s="134"/>
    </row>
    <row r="1008" spans="2:36">
      <c r="B1008" s="134"/>
      <c r="C1008" s="134"/>
      <c r="D1008" s="134"/>
      <c r="E1008" s="134"/>
      <c r="F1008" s="134"/>
      <c r="G1008" s="134"/>
      <c r="H1008" s="134"/>
      <c r="I1008" s="134"/>
      <c r="J1008" s="134"/>
      <c r="K1008" s="134"/>
      <c r="L1008" s="134"/>
      <c r="M1008" s="134"/>
      <c r="N1008" s="134"/>
      <c r="O1008" s="134"/>
      <c r="P1008" s="134"/>
      <c r="Q1008" s="134"/>
      <c r="R1008" s="134"/>
      <c r="S1008" s="134"/>
      <c r="T1008" s="134"/>
      <c r="U1008" s="134"/>
      <c r="V1008" s="134"/>
      <c r="W1008" s="134"/>
      <c r="X1008" s="134"/>
      <c r="Y1008" s="134"/>
      <c r="Z1008" s="134"/>
      <c r="AA1008" s="134"/>
      <c r="AB1008" s="134"/>
      <c r="AC1008" s="134"/>
      <c r="AD1008" s="134"/>
      <c r="AE1008" s="134"/>
      <c r="AF1008" s="134"/>
      <c r="AG1008" s="134"/>
      <c r="AH1008" s="134"/>
      <c r="AI1008" s="134"/>
      <c r="AJ1008" s="134"/>
    </row>
    <row r="1009" spans="2:36">
      <c r="B1009" s="134"/>
      <c r="C1009" s="134"/>
      <c r="D1009" s="134"/>
      <c r="E1009" s="134"/>
      <c r="F1009" s="134"/>
      <c r="G1009" s="134"/>
      <c r="H1009" s="134"/>
      <c r="I1009" s="134"/>
      <c r="J1009" s="134"/>
      <c r="K1009" s="134"/>
      <c r="L1009" s="134"/>
      <c r="M1009" s="134"/>
      <c r="N1009" s="134"/>
      <c r="O1009" s="134"/>
      <c r="P1009" s="134"/>
      <c r="Q1009" s="134"/>
      <c r="R1009" s="134"/>
      <c r="S1009" s="134"/>
      <c r="T1009" s="134"/>
      <c r="U1009" s="134"/>
      <c r="V1009" s="134"/>
      <c r="W1009" s="134"/>
      <c r="X1009" s="134"/>
      <c r="Y1009" s="134"/>
      <c r="Z1009" s="134"/>
      <c r="AA1009" s="134"/>
      <c r="AB1009" s="134"/>
      <c r="AC1009" s="134"/>
      <c r="AD1009" s="134"/>
      <c r="AE1009" s="134"/>
      <c r="AF1009" s="134"/>
      <c r="AG1009" s="134"/>
      <c r="AH1009" s="134"/>
      <c r="AI1009" s="134"/>
      <c r="AJ1009" s="134"/>
    </row>
    <row r="1010" spans="2:36">
      <c r="B1010" s="134"/>
      <c r="C1010" s="134"/>
      <c r="D1010" s="134"/>
      <c r="E1010" s="134"/>
      <c r="F1010" s="134"/>
      <c r="G1010" s="134"/>
      <c r="H1010" s="134"/>
      <c r="I1010" s="134"/>
      <c r="J1010" s="134"/>
      <c r="K1010" s="134"/>
      <c r="L1010" s="134"/>
      <c r="M1010" s="134"/>
      <c r="N1010" s="134"/>
      <c r="O1010" s="134"/>
      <c r="P1010" s="134"/>
      <c r="Q1010" s="134"/>
      <c r="R1010" s="134"/>
      <c r="S1010" s="134"/>
      <c r="T1010" s="134"/>
      <c r="U1010" s="134"/>
      <c r="V1010" s="134"/>
      <c r="W1010" s="134"/>
      <c r="X1010" s="134"/>
      <c r="Y1010" s="134"/>
      <c r="Z1010" s="134"/>
      <c r="AA1010" s="134"/>
      <c r="AB1010" s="134"/>
      <c r="AC1010" s="134"/>
      <c r="AD1010" s="134"/>
      <c r="AE1010" s="134"/>
      <c r="AF1010" s="134"/>
      <c r="AG1010" s="134"/>
      <c r="AH1010" s="134"/>
      <c r="AI1010" s="134"/>
      <c r="AJ1010" s="134"/>
    </row>
    <row r="1011" spans="2:36">
      <c r="B1011" s="134"/>
      <c r="C1011" s="134"/>
      <c r="D1011" s="134"/>
      <c r="E1011" s="134"/>
      <c r="F1011" s="134"/>
      <c r="G1011" s="134"/>
      <c r="H1011" s="134"/>
      <c r="I1011" s="134"/>
      <c r="J1011" s="134"/>
      <c r="K1011" s="134"/>
      <c r="L1011" s="134"/>
      <c r="M1011" s="134"/>
      <c r="N1011" s="134"/>
      <c r="O1011" s="134"/>
      <c r="P1011" s="134"/>
      <c r="Q1011" s="134"/>
      <c r="R1011" s="134"/>
      <c r="S1011" s="134"/>
      <c r="T1011" s="134"/>
      <c r="U1011" s="134"/>
      <c r="V1011" s="134"/>
      <c r="W1011" s="134"/>
      <c r="X1011" s="134"/>
      <c r="Y1011" s="134"/>
      <c r="Z1011" s="134"/>
      <c r="AA1011" s="134"/>
      <c r="AB1011" s="134"/>
      <c r="AC1011" s="134"/>
      <c r="AD1011" s="134"/>
      <c r="AE1011" s="134"/>
      <c r="AF1011" s="134"/>
      <c r="AG1011" s="134"/>
      <c r="AH1011" s="134"/>
      <c r="AI1011" s="134"/>
      <c r="AJ1011" s="134"/>
    </row>
    <row r="1012" spans="2:36">
      <c r="B1012" s="134"/>
      <c r="C1012" s="134"/>
      <c r="D1012" s="134"/>
      <c r="E1012" s="134"/>
      <c r="F1012" s="134"/>
      <c r="G1012" s="134"/>
      <c r="H1012" s="134"/>
      <c r="I1012" s="134"/>
      <c r="J1012" s="134"/>
      <c r="K1012" s="134"/>
      <c r="L1012" s="134"/>
      <c r="M1012" s="134"/>
      <c r="N1012" s="134"/>
      <c r="O1012" s="134"/>
      <c r="P1012" s="134"/>
      <c r="Q1012" s="134"/>
      <c r="R1012" s="134"/>
      <c r="S1012" s="134"/>
      <c r="T1012" s="134"/>
      <c r="U1012" s="134"/>
      <c r="V1012" s="134"/>
      <c r="W1012" s="134"/>
      <c r="X1012" s="134"/>
      <c r="Y1012" s="134"/>
      <c r="Z1012" s="134"/>
      <c r="AA1012" s="134"/>
      <c r="AB1012" s="134"/>
      <c r="AC1012" s="134"/>
      <c r="AD1012" s="134"/>
      <c r="AE1012" s="134"/>
      <c r="AF1012" s="134"/>
      <c r="AG1012" s="134"/>
      <c r="AH1012" s="134"/>
      <c r="AI1012" s="134"/>
      <c r="AJ1012" s="134"/>
    </row>
    <row r="1013" spans="2:36">
      <c r="B1013" s="134"/>
      <c r="C1013" s="134"/>
      <c r="D1013" s="134"/>
      <c r="E1013" s="134"/>
      <c r="F1013" s="134"/>
      <c r="G1013" s="134"/>
      <c r="H1013" s="134"/>
      <c r="I1013" s="134"/>
      <c r="J1013" s="134"/>
      <c r="K1013" s="134"/>
      <c r="L1013" s="134"/>
      <c r="M1013" s="134"/>
      <c r="N1013" s="134"/>
      <c r="O1013" s="134"/>
      <c r="P1013" s="134"/>
      <c r="Q1013" s="134"/>
      <c r="R1013" s="134"/>
      <c r="S1013" s="134"/>
      <c r="T1013" s="134"/>
      <c r="U1013" s="134"/>
      <c r="V1013" s="134"/>
      <c r="W1013" s="134"/>
      <c r="X1013" s="134"/>
      <c r="Y1013" s="134"/>
      <c r="Z1013" s="134"/>
      <c r="AA1013" s="134"/>
      <c r="AB1013" s="134"/>
      <c r="AC1013" s="134"/>
      <c r="AD1013" s="134"/>
      <c r="AE1013" s="134"/>
      <c r="AF1013" s="134"/>
      <c r="AG1013" s="134"/>
      <c r="AH1013" s="134"/>
      <c r="AI1013" s="134"/>
      <c r="AJ1013" s="134"/>
    </row>
    <row r="1014" spans="2:36">
      <c r="B1014" s="134"/>
      <c r="C1014" s="134"/>
      <c r="D1014" s="134"/>
      <c r="E1014" s="134"/>
      <c r="F1014" s="134"/>
      <c r="G1014" s="134"/>
      <c r="H1014" s="134"/>
      <c r="I1014" s="134"/>
      <c r="J1014" s="134"/>
      <c r="K1014" s="134"/>
      <c r="L1014" s="134"/>
      <c r="M1014" s="134"/>
      <c r="N1014" s="134"/>
      <c r="O1014" s="134"/>
      <c r="P1014" s="134"/>
      <c r="Q1014" s="134"/>
      <c r="R1014" s="134"/>
      <c r="S1014" s="134"/>
      <c r="T1014" s="134"/>
      <c r="U1014" s="134"/>
      <c r="V1014" s="134"/>
      <c r="W1014" s="134"/>
      <c r="X1014" s="134"/>
      <c r="Y1014" s="134"/>
      <c r="Z1014" s="134"/>
      <c r="AA1014" s="134"/>
      <c r="AB1014" s="134"/>
      <c r="AC1014" s="134"/>
      <c r="AD1014" s="134"/>
      <c r="AE1014" s="134"/>
      <c r="AF1014" s="134"/>
      <c r="AG1014" s="134"/>
      <c r="AH1014" s="134"/>
      <c r="AI1014" s="134"/>
      <c r="AJ1014" s="134"/>
    </row>
    <row r="1015" spans="2:36">
      <c r="B1015" s="134"/>
      <c r="C1015" s="134"/>
      <c r="D1015" s="134"/>
      <c r="E1015" s="134"/>
      <c r="F1015" s="134"/>
      <c r="G1015" s="134"/>
      <c r="H1015" s="134"/>
      <c r="I1015" s="134"/>
      <c r="J1015" s="134"/>
      <c r="K1015" s="134"/>
      <c r="L1015" s="134"/>
      <c r="M1015" s="134"/>
      <c r="N1015" s="134"/>
      <c r="O1015" s="134"/>
      <c r="P1015" s="134"/>
      <c r="Q1015" s="134"/>
      <c r="R1015" s="134"/>
      <c r="S1015" s="134"/>
      <c r="T1015" s="134"/>
      <c r="U1015" s="134"/>
      <c r="V1015" s="134"/>
      <c r="W1015" s="134"/>
      <c r="X1015" s="134"/>
      <c r="Y1015" s="134"/>
      <c r="Z1015" s="134"/>
      <c r="AA1015" s="134"/>
      <c r="AB1015" s="134"/>
      <c r="AC1015" s="134"/>
      <c r="AD1015" s="134"/>
      <c r="AE1015" s="134"/>
      <c r="AF1015" s="134"/>
      <c r="AG1015" s="134"/>
      <c r="AH1015" s="134"/>
      <c r="AI1015" s="134"/>
      <c r="AJ1015" s="134"/>
    </row>
    <row r="1016" spans="2:36">
      <c r="B1016" s="134"/>
      <c r="C1016" s="134"/>
      <c r="D1016" s="134"/>
      <c r="E1016" s="134"/>
      <c r="F1016" s="134"/>
      <c r="G1016" s="134"/>
      <c r="H1016" s="134"/>
      <c r="I1016" s="134"/>
      <c r="J1016" s="134"/>
      <c r="K1016" s="134"/>
      <c r="L1016" s="134"/>
      <c r="M1016" s="134"/>
      <c r="N1016" s="134"/>
      <c r="O1016" s="134"/>
      <c r="P1016" s="134"/>
      <c r="Q1016" s="134"/>
      <c r="R1016" s="134"/>
      <c r="S1016" s="134"/>
      <c r="T1016" s="134"/>
      <c r="U1016" s="134"/>
      <c r="V1016" s="134"/>
      <c r="W1016" s="134"/>
      <c r="X1016" s="134"/>
      <c r="Y1016" s="134"/>
      <c r="Z1016" s="134"/>
      <c r="AA1016" s="134"/>
      <c r="AB1016" s="134"/>
      <c r="AC1016" s="134"/>
      <c r="AD1016" s="134"/>
      <c r="AE1016" s="134"/>
      <c r="AF1016" s="134"/>
      <c r="AG1016" s="134"/>
      <c r="AH1016" s="134"/>
      <c r="AI1016" s="134"/>
      <c r="AJ1016" s="134"/>
    </row>
    <row r="1017" spans="2:36">
      <c r="B1017" s="134"/>
      <c r="C1017" s="134"/>
      <c r="D1017" s="134"/>
      <c r="E1017" s="134"/>
      <c r="F1017" s="134"/>
      <c r="G1017" s="134"/>
      <c r="H1017" s="134"/>
      <c r="I1017" s="134"/>
      <c r="J1017" s="134"/>
      <c r="K1017" s="134"/>
      <c r="L1017" s="134"/>
      <c r="M1017" s="134"/>
      <c r="N1017" s="134"/>
      <c r="O1017" s="134"/>
      <c r="P1017" s="134"/>
      <c r="Q1017" s="134"/>
      <c r="R1017" s="134"/>
      <c r="S1017" s="134"/>
      <c r="T1017" s="134"/>
      <c r="U1017" s="134"/>
      <c r="V1017" s="134"/>
      <c r="W1017" s="134"/>
      <c r="X1017" s="134"/>
      <c r="Y1017" s="134"/>
      <c r="Z1017" s="134"/>
      <c r="AA1017" s="134"/>
      <c r="AB1017" s="134"/>
      <c r="AC1017" s="134"/>
      <c r="AD1017" s="134"/>
      <c r="AE1017" s="134"/>
      <c r="AF1017" s="134"/>
      <c r="AG1017" s="134"/>
      <c r="AH1017" s="134"/>
      <c r="AI1017" s="134"/>
      <c r="AJ1017" s="134"/>
    </row>
    <row r="1018" spans="2:36">
      <c r="B1018" s="134"/>
      <c r="C1018" s="134"/>
      <c r="D1018" s="134"/>
      <c r="E1018" s="134"/>
      <c r="F1018" s="134"/>
      <c r="G1018" s="134"/>
      <c r="H1018" s="134"/>
      <c r="I1018" s="134"/>
      <c r="J1018" s="134"/>
      <c r="K1018" s="134"/>
      <c r="L1018" s="134"/>
      <c r="M1018" s="134"/>
      <c r="N1018" s="134"/>
      <c r="O1018" s="134"/>
      <c r="P1018" s="134"/>
      <c r="Q1018" s="134"/>
      <c r="R1018" s="134"/>
      <c r="S1018" s="134"/>
      <c r="T1018" s="134"/>
      <c r="U1018" s="134"/>
      <c r="V1018" s="134"/>
      <c r="W1018" s="134"/>
      <c r="X1018" s="134"/>
      <c r="Y1018" s="134"/>
      <c r="Z1018" s="134"/>
      <c r="AA1018" s="134"/>
      <c r="AB1018" s="134"/>
      <c r="AC1018" s="134"/>
      <c r="AD1018" s="134"/>
      <c r="AE1018" s="134"/>
      <c r="AF1018" s="134"/>
      <c r="AG1018" s="134"/>
      <c r="AH1018" s="134"/>
      <c r="AI1018" s="134"/>
      <c r="AJ1018" s="134"/>
    </row>
    <row r="1019" spans="2:36">
      <c r="B1019" s="134"/>
      <c r="C1019" s="134"/>
      <c r="D1019" s="134"/>
      <c r="E1019" s="134"/>
      <c r="F1019" s="134"/>
      <c r="G1019" s="134"/>
      <c r="H1019" s="134"/>
      <c r="I1019" s="134"/>
      <c r="J1019" s="134"/>
      <c r="K1019" s="134"/>
      <c r="L1019" s="134"/>
      <c r="M1019" s="134"/>
      <c r="N1019" s="134"/>
      <c r="O1019" s="134"/>
      <c r="P1019" s="134"/>
      <c r="Q1019" s="134"/>
      <c r="R1019" s="134"/>
      <c r="S1019" s="134"/>
      <c r="T1019" s="134"/>
      <c r="U1019" s="134"/>
      <c r="V1019" s="134"/>
      <c r="W1019" s="134"/>
      <c r="X1019" s="134"/>
      <c r="Y1019" s="134"/>
      <c r="Z1019" s="134"/>
      <c r="AA1019" s="134"/>
      <c r="AB1019" s="134"/>
      <c r="AC1019" s="134"/>
      <c r="AD1019" s="134"/>
      <c r="AE1019" s="134"/>
      <c r="AF1019" s="134"/>
      <c r="AG1019" s="134"/>
      <c r="AH1019" s="134"/>
      <c r="AI1019" s="134"/>
      <c r="AJ1019" s="134"/>
    </row>
    <row r="1020" spans="2:36">
      <c r="B1020" s="134"/>
      <c r="C1020" s="134"/>
      <c r="D1020" s="134"/>
      <c r="E1020" s="134"/>
      <c r="F1020" s="134"/>
      <c r="G1020" s="134"/>
      <c r="H1020" s="134"/>
      <c r="I1020" s="134"/>
      <c r="J1020" s="134"/>
      <c r="K1020" s="134"/>
      <c r="L1020" s="134"/>
      <c r="M1020" s="134"/>
      <c r="N1020" s="134"/>
      <c r="O1020" s="134"/>
      <c r="P1020" s="134"/>
      <c r="Q1020" s="134"/>
      <c r="R1020" s="134"/>
      <c r="S1020" s="134"/>
      <c r="T1020" s="134"/>
      <c r="U1020" s="134"/>
      <c r="V1020" s="134"/>
      <c r="W1020" s="134"/>
      <c r="X1020" s="134"/>
      <c r="Y1020" s="134"/>
      <c r="Z1020" s="134"/>
      <c r="AA1020" s="134"/>
      <c r="AB1020" s="134"/>
      <c r="AC1020" s="134"/>
      <c r="AD1020" s="134"/>
      <c r="AE1020" s="134"/>
      <c r="AF1020" s="134"/>
      <c r="AG1020" s="134"/>
      <c r="AH1020" s="134"/>
      <c r="AI1020" s="134"/>
      <c r="AJ1020" s="134"/>
    </row>
    <row r="1021" spans="2:36">
      <c r="B1021" s="134"/>
      <c r="C1021" s="134"/>
      <c r="D1021" s="134"/>
      <c r="E1021" s="134"/>
      <c r="F1021" s="134"/>
      <c r="G1021" s="134"/>
      <c r="H1021" s="134"/>
      <c r="I1021" s="134"/>
      <c r="J1021" s="134"/>
      <c r="K1021" s="134"/>
      <c r="L1021" s="134"/>
      <c r="M1021" s="134"/>
      <c r="N1021" s="134"/>
      <c r="O1021" s="134"/>
      <c r="P1021" s="134"/>
      <c r="Q1021" s="134"/>
      <c r="R1021" s="134"/>
      <c r="S1021" s="134"/>
      <c r="T1021" s="134"/>
      <c r="U1021" s="134"/>
      <c r="V1021" s="134"/>
      <c r="W1021" s="134"/>
      <c r="X1021" s="134"/>
      <c r="Y1021" s="134"/>
      <c r="Z1021" s="134"/>
      <c r="AA1021" s="134"/>
      <c r="AB1021" s="134"/>
      <c r="AC1021" s="134"/>
      <c r="AD1021" s="134"/>
      <c r="AE1021" s="134"/>
      <c r="AF1021" s="134"/>
      <c r="AG1021" s="134"/>
      <c r="AH1021" s="134"/>
      <c r="AI1021" s="134"/>
      <c r="AJ1021" s="134"/>
    </row>
    <row r="1022" spans="2:36">
      <c r="B1022" s="134"/>
      <c r="C1022" s="134"/>
      <c r="D1022" s="134"/>
      <c r="E1022" s="134"/>
      <c r="F1022" s="134"/>
      <c r="G1022" s="134"/>
      <c r="H1022" s="134"/>
      <c r="I1022" s="134"/>
      <c r="J1022" s="134"/>
      <c r="K1022" s="134"/>
      <c r="L1022" s="134"/>
      <c r="M1022" s="134"/>
      <c r="N1022" s="134"/>
      <c r="O1022" s="134"/>
      <c r="P1022" s="134"/>
      <c r="Q1022" s="134"/>
      <c r="R1022" s="134"/>
      <c r="S1022" s="134"/>
      <c r="T1022" s="134"/>
      <c r="U1022" s="134"/>
      <c r="V1022" s="134"/>
      <c r="W1022" s="134"/>
      <c r="X1022" s="134"/>
      <c r="Y1022" s="134"/>
      <c r="Z1022" s="134"/>
      <c r="AA1022" s="134"/>
      <c r="AB1022" s="134"/>
      <c r="AC1022" s="134"/>
      <c r="AD1022" s="134"/>
      <c r="AE1022" s="134"/>
      <c r="AF1022" s="134"/>
      <c r="AG1022" s="134"/>
      <c r="AH1022" s="134"/>
      <c r="AI1022" s="134"/>
      <c r="AJ1022" s="134"/>
    </row>
    <row r="1023" spans="2:36">
      <c r="B1023" s="134"/>
      <c r="C1023" s="134"/>
      <c r="D1023" s="134"/>
      <c r="E1023" s="134"/>
      <c r="F1023" s="134"/>
      <c r="G1023" s="134"/>
      <c r="H1023" s="134"/>
      <c r="I1023" s="134"/>
      <c r="J1023" s="134"/>
      <c r="K1023" s="134"/>
      <c r="L1023" s="134"/>
      <c r="M1023" s="134"/>
      <c r="N1023" s="134"/>
      <c r="O1023" s="134"/>
      <c r="P1023" s="134"/>
      <c r="Q1023" s="134"/>
      <c r="R1023" s="134"/>
      <c r="S1023" s="134"/>
      <c r="T1023" s="134"/>
      <c r="U1023" s="134"/>
      <c r="V1023" s="134"/>
      <c r="W1023" s="134"/>
      <c r="X1023" s="134"/>
      <c r="Y1023" s="134"/>
      <c r="Z1023" s="134"/>
      <c r="AA1023" s="134"/>
      <c r="AB1023" s="134"/>
      <c r="AC1023" s="134"/>
      <c r="AD1023" s="134"/>
      <c r="AE1023" s="134"/>
      <c r="AF1023" s="134"/>
      <c r="AG1023" s="134"/>
      <c r="AH1023" s="134"/>
      <c r="AI1023" s="134"/>
      <c r="AJ1023" s="134"/>
    </row>
    <row r="1024" spans="2:36">
      <c r="B1024" s="134"/>
      <c r="C1024" s="134"/>
      <c r="D1024" s="134"/>
      <c r="E1024" s="134"/>
      <c r="F1024" s="134"/>
      <c r="G1024" s="134"/>
      <c r="H1024" s="134"/>
      <c r="I1024" s="134"/>
      <c r="J1024" s="134"/>
      <c r="K1024" s="134"/>
      <c r="L1024" s="134"/>
      <c r="M1024" s="134"/>
      <c r="N1024" s="134"/>
      <c r="O1024" s="134"/>
      <c r="P1024" s="134"/>
      <c r="Q1024" s="134"/>
      <c r="R1024" s="134"/>
      <c r="S1024" s="134"/>
      <c r="T1024" s="134"/>
      <c r="U1024" s="134"/>
      <c r="V1024" s="134"/>
      <c r="W1024" s="134"/>
      <c r="X1024" s="134"/>
      <c r="Y1024" s="134"/>
      <c r="Z1024" s="134"/>
      <c r="AA1024" s="134"/>
      <c r="AB1024" s="134"/>
      <c r="AC1024" s="134"/>
      <c r="AD1024" s="134"/>
      <c r="AE1024" s="134"/>
      <c r="AF1024" s="134"/>
      <c r="AG1024" s="134"/>
      <c r="AH1024" s="134"/>
      <c r="AI1024" s="134"/>
      <c r="AJ1024" s="134"/>
    </row>
    <row r="1025" spans="2:36">
      <c r="B1025" s="134"/>
      <c r="C1025" s="134"/>
      <c r="D1025" s="134"/>
      <c r="E1025" s="134"/>
      <c r="F1025" s="134"/>
      <c r="G1025" s="134"/>
      <c r="H1025" s="134"/>
      <c r="I1025" s="134"/>
      <c r="J1025" s="134"/>
      <c r="K1025" s="134"/>
      <c r="L1025" s="134"/>
      <c r="M1025" s="134"/>
      <c r="N1025" s="134"/>
      <c r="O1025" s="134"/>
      <c r="P1025" s="134"/>
      <c r="Q1025" s="134"/>
      <c r="R1025" s="134"/>
      <c r="S1025" s="134"/>
      <c r="T1025" s="134"/>
      <c r="U1025" s="134"/>
      <c r="V1025" s="134"/>
      <c r="W1025" s="134"/>
      <c r="X1025" s="134"/>
      <c r="Y1025" s="134"/>
      <c r="Z1025" s="134"/>
      <c r="AA1025" s="134"/>
      <c r="AB1025" s="134"/>
      <c r="AC1025" s="134"/>
      <c r="AD1025" s="134"/>
      <c r="AE1025" s="134"/>
      <c r="AF1025" s="134"/>
      <c r="AG1025" s="134"/>
      <c r="AH1025" s="134"/>
      <c r="AI1025" s="134"/>
      <c r="AJ1025" s="134"/>
    </row>
    <row r="1026" spans="2:36">
      <c r="B1026" s="134"/>
      <c r="C1026" s="134"/>
      <c r="D1026" s="134"/>
      <c r="E1026" s="134"/>
      <c r="F1026" s="134"/>
      <c r="G1026" s="134"/>
      <c r="H1026" s="134"/>
      <c r="I1026" s="134"/>
      <c r="J1026" s="134"/>
      <c r="K1026" s="134"/>
      <c r="L1026" s="134"/>
      <c r="M1026" s="134"/>
      <c r="N1026" s="134"/>
      <c r="O1026" s="134"/>
      <c r="P1026" s="134"/>
      <c r="Q1026" s="134"/>
      <c r="R1026" s="134"/>
      <c r="S1026" s="134"/>
      <c r="T1026" s="134"/>
      <c r="U1026" s="134"/>
      <c r="V1026" s="134"/>
      <c r="W1026" s="134"/>
      <c r="X1026" s="134"/>
      <c r="Y1026" s="134"/>
      <c r="Z1026" s="134"/>
      <c r="AA1026" s="134"/>
      <c r="AB1026" s="134"/>
      <c r="AC1026" s="134"/>
      <c r="AD1026" s="134"/>
      <c r="AE1026" s="134"/>
      <c r="AF1026" s="134"/>
      <c r="AG1026" s="134"/>
      <c r="AH1026" s="134"/>
      <c r="AI1026" s="134"/>
      <c r="AJ1026" s="134"/>
    </row>
    <row r="1027" spans="2:36">
      <c r="B1027" s="134"/>
      <c r="C1027" s="134"/>
      <c r="D1027" s="134"/>
      <c r="E1027" s="134"/>
      <c r="F1027" s="134"/>
      <c r="G1027" s="134"/>
      <c r="H1027" s="134"/>
      <c r="I1027" s="134"/>
      <c r="J1027" s="134"/>
      <c r="K1027" s="134"/>
      <c r="L1027" s="134"/>
      <c r="M1027" s="134"/>
      <c r="N1027" s="134"/>
      <c r="O1027" s="134"/>
      <c r="P1027" s="134"/>
      <c r="Q1027" s="134"/>
      <c r="R1027" s="134"/>
      <c r="S1027" s="134"/>
      <c r="T1027" s="134"/>
      <c r="U1027" s="134"/>
      <c r="V1027" s="134"/>
      <c r="W1027" s="134"/>
      <c r="X1027" s="134"/>
      <c r="Y1027" s="134"/>
      <c r="Z1027" s="134"/>
      <c r="AA1027" s="134"/>
      <c r="AB1027" s="134"/>
      <c r="AC1027" s="134"/>
      <c r="AD1027" s="134"/>
      <c r="AE1027" s="134"/>
      <c r="AF1027" s="134"/>
      <c r="AG1027" s="134"/>
      <c r="AH1027" s="134"/>
      <c r="AI1027" s="134"/>
      <c r="AJ1027" s="134"/>
    </row>
    <row r="1028" spans="2:36">
      <c r="B1028" s="134"/>
      <c r="C1028" s="134"/>
      <c r="D1028" s="134"/>
      <c r="E1028" s="134"/>
      <c r="F1028" s="134"/>
      <c r="G1028" s="134"/>
      <c r="H1028" s="134"/>
      <c r="I1028" s="134"/>
      <c r="J1028" s="134"/>
      <c r="K1028" s="134"/>
      <c r="L1028" s="134"/>
      <c r="M1028" s="134"/>
      <c r="N1028" s="134"/>
      <c r="O1028" s="134"/>
      <c r="P1028" s="134"/>
      <c r="Q1028" s="134"/>
      <c r="R1028" s="134"/>
      <c r="S1028" s="134"/>
      <c r="T1028" s="134"/>
      <c r="U1028" s="134"/>
      <c r="V1028" s="134"/>
      <c r="W1028" s="134"/>
      <c r="X1028" s="134"/>
      <c r="Y1028" s="134"/>
      <c r="Z1028" s="134"/>
      <c r="AA1028" s="134"/>
      <c r="AB1028" s="134"/>
      <c r="AC1028" s="134"/>
      <c r="AD1028" s="134"/>
      <c r="AE1028" s="134"/>
      <c r="AF1028" s="134"/>
      <c r="AG1028" s="134"/>
      <c r="AH1028" s="134"/>
      <c r="AI1028" s="134"/>
      <c r="AJ1028" s="134"/>
    </row>
    <row r="1029" spans="2:36">
      <c r="B1029" s="134"/>
      <c r="C1029" s="134"/>
      <c r="D1029" s="134"/>
      <c r="E1029" s="134"/>
      <c r="F1029" s="134"/>
      <c r="G1029" s="134"/>
      <c r="H1029" s="134"/>
      <c r="I1029" s="134"/>
      <c r="J1029" s="134"/>
      <c r="K1029" s="134"/>
      <c r="L1029" s="134"/>
      <c r="M1029" s="134"/>
      <c r="N1029" s="134"/>
      <c r="O1029" s="134"/>
      <c r="P1029" s="134"/>
      <c r="Q1029" s="134"/>
      <c r="R1029" s="134"/>
      <c r="S1029" s="134"/>
      <c r="T1029" s="134"/>
      <c r="U1029" s="134"/>
      <c r="V1029" s="134"/>
      <c r="W1029" s="134"/>
      <c r="X1029" s="134"/>
      <c r="Y1029" s="134"/>
      <c r="Z1029" s="134"/>
      <c r="AA1029" s="134"/>
      <c r="AB1029" s="134"/>
      <c r="AC1029" s="134"/>
      <c r="AD1029" s="134"/>
      <c r="AE1029" s="134"/>
      <c r="AF1029" s="134"/>
      <c r="AG1029" s="134"/>
      <c r="AH1029" s="134"/>
      <c r="AI1029" s="134"/>
      <c r="AJ1029" s="134"/>
    </row>
    <row r="1030" spans="2:36">
      <c r="B1030" s="134"/>
      <c r="C1030" s="134"/>
      <c r="D1030" s="134"/>
      <c r="E1030" s="134"/>
      <c r="F1030" s="134"/>
      <c r="G1030" s="134"/>
      <c r="H1030" s="134"/>
      <c r="I1030" s="134"/>
      <c r="J1030" s="134"/>
      <c r="K1030" s="134"/>
      <c r="L1030" s="134"/>
      <c r="M1030" s="134"/>
      <c r="N1030" s="134"/>
      <c r="O1030" s="134"/>
      <c r="P1030" s="134"/>
      <c r="Q1030" s="134"/>
      <c r="R1030" s="134"/>
      <c r="S1030" s="134"/>
      <c r="T1030" s="134"/>
      <c r="U1030" s="134"/>
      <c r="V1030" s="134"/>
      <c r="W1030" s="134"/>
      <c r="X1030" s="134"/>
      <c r="Y1030" s="134"/>
      <c r="Z1030" s="134"/>
      <c r="AA1030" s="134"/>
      <c r="AB1030" s="134"/>
      <c r="AC1030" s="134"/>
      <c r="AD1030" s="134"/>
      <c r="AE1030" s="134"/>
      <c r="AF1030" s="134"/>
      <c r="AG1030" s="134"/>
      <c r="AH1030" s="134"/>
      <c r="AI1030" s="134"/>
      <c r="AJ1030" s="134"/>
    </row>
    <row r="1031" spans="2:36">
      <c r="B1031" s="134"/>
      <c r="C1031" s="134"/>
      <c r="D1031" s="134"/>
      <c r="E1031" s="134"/>
      <c r="F1031" s="134"/>
      <c r="G1031" s="134"/>
      <c r="H1031" s="134"/>
      <c r="I1031" s="134"/>
      <c r="J1031" s="134"/>
      <c r="K1031" s="134"/>
      <c r="L1031" s="134"/>
      <c r="M1031" s="134"/>
      <c r="N1031" s="134"/>
      <c r="O1031" s="134"/>
      <c r="P1031" s="134"/>
      <c r="Q1031" s="134"/>
      <c r="R1031" s="134"/>
      <c r="S1031" s="134"/>
      <c r="T1031" s="134"/>
      <c r="U1031" s="134"/>
      <c r="V1031" s="134"/>
      <c r="W1031" s="134"/>
      <c r="X1031" s="134"/>
      <c r="Y1031" s="134"/>
      <c r="Z1031" s="134"/>
      <c r="AA1031" s="134"/>
      <c r="AB1031" s="134"/>
      <c r="AC1031" s="134"/>
      <c r="AD1031" s="134"/>
      <c r="AE1031" s="134"/>
      <c r="AF1031" s="134"/>
      <c r="AG1031" s="134"/>
      <c r="AH1031" s="134"/>
      <c r="AI1031" s="134"/>
      <c r="AJ1031" s="134"/>
    </row>
    <row r="1032" spans="2:36">
      <c r="B1032" s="134"/>
      <c r="C1032" s="134"/>
      <c r="D1032" s="134"/>
      <c r="E1032" s="134"/>
      <c r="F1032" s="134"/>
      <c r="G1032" s="134"/>
      <c r="H1032" s="134"/>
      <c r="I1032" s="134"/>
      <c r="J1032" s="134"/>
      <c r="K1032" s="134"/>
      <c r="L1032" s="134"/>
      <c r="M1032" s="134"/>
      <c r="N1032" s="134"/>
      <c r="O1032" s="134"/>
      <c r="P1032" s="134"/>
      <c r="Q1032" s="134"/>
      <c r="R1032" s="134"/>
      <c r="S1032" s="134"/>
      <c r="T1032" s="134"/>
      <c r="U1032" s="134"/>
      <c r="V1032" s="134"/>
      <c r="W1032" s="134"/>
      <c r="X1032" s="134"/>
      <c r="Y1032" s="134"/>
      <c r="Z1032" s="134"/>
      <c r="AA1032" s="134"/>
      <c r="AB1032" s="134"/>
      <c r="AC1032" s="134"/>
      <c r="AD1032" s="134"/>
      <c r="AE1032" s="134"/>
      <c r="AF1032" s="134"/>
      <c r="AG1032" s="134"/>
      <c r="AH1032" s="134"/>
      <c r="AI1032" s="134"/>
      <c r="AJ1032" s="134"/>
    </row>
    <row r="1033" spans="2:36">
      <c r="B1033" s="134"/>
      <c r="C1033" s="134"/>
      <c r="D1033" s="134"/>
      <c r="E1033" s="134"/>
      <c r="F1033" s="134"/>
      <c r="G1033" s="134"/>
      <c r="H1033" s="134"/>
      <c r="I1033" s="134"/>
      <c r="J1033" s="134"/>
      <c r="K1033" s="134"/>
      <c r="L1033" s="134"/>
      <c r="M1033" s="134"/>
      <c r="N1033" s="134"/>
      <c r="O1033" s="134"/>
      <c r="P1033" s="134"/>
      <c r="Q1033" s="134"/>
      <c r="R1033" s="134"/>
      <c r="S1033" s="134"/>
      <c r="T1033" s="134"/>
      <c r="U1033" s="134"/>
      <c r="V1033" s="134"/>
      <c r="W1033" s="134"/>
      <c r="X1033" s="134"/>
      <c r="Y1033" s="134"/>
      <c r="Z1033" s="134"/>
      <c r="AA1033" s="134"/>
      <c r="AB1033" s="134"/>
      <c r="AC1033" s="134"/>
      <c r="AD1033" s="134"/>
      <c r="AE1033" s="134"/>
      <c r="AF1033" s="134"/>
      <c r="AG1033" s="134"/>
      <c r="AH1033" s="134"/>
      <c r="AI1033" s="134"/>
      <c r="AJ1033" s="134"/>
    </row>
    <row r="1034" spans="2:36">
      <c r="B1034" s="134"/>
      <c r="C1034" s="134"/>
      <c r="D1034" s="134"/>
      <c r="E1034" s="134"/>
      <c r="F1034" s="134"/>
      <c r="G1034" s="134"/>
      <c r="H1034" s="134"/>
      <c r="I1034" s="134"/>
      <c r="J1034" s="134"/>
      <c r="K1034" s="134"/>
      <c r="L1034" s="134"/>
      <c r="M1034" s="134"/>
      <c r="N1034" s="134"/>
      <c r="O1034" s="134"/>
      <c r="P1034" s="134"/>
      <c r="Q1034" s="134"/>
      <c r="R1034" s="134"/>
      <c r="S1034" s="134"/>
      <c r="T1034" s="134"/>
      <c r="U1034" s="134"/>
      <c r="V1034" s="134"/>
      <c r="W1034" s="134"/>
      <c r="X1034" s="134"/>
      <c r="Y1034" s="134"/>
      <c r="Z1034" s="134"/>
      <c r="AA1034" s="134"/>
      <c r="AB1034" s="134"/>
      <c r="AC1034" s="134"/>
      <c r="AD1034" s="134"/>
      <c r="AE1034" s="134"/>
      <c r="AF1034" s="134"/>
      <c r="AG1034" s="134"/>
      <c r="AH1034" s="134"/>
      <c r="AI1034" s="134"/>
      <c r="AJ1034" s="134"/>
    </row>
    <row r="1035" spans="2:36">
      <c r="B1035" s="134"/>
      <c r="C1035" s="134"/>
      <c r="D1035" s="134"/>
      <c r="E1035" s="134"/>
      <c r="F1035" s="134"/>
      <c r="G1035" s="134"/>
      <c r="H1035" s="134"/>
      <c r="I1035" s="134"/>
      <c r="J1035" s="134"/>
      <c r="K1035" s="134"/>
      <c r="L1035" s="134"/>
      <c r="M1035" s="134"/>
      <c r="N1035" s="134"/>
      <c r="O1035" s="134"/>
      <c r="P1035" s="134"/>
      <c r="Q1035" s="134"/>
      <c r="R1035" s="134"/>
      <c r="S1035" s="134"/>
      <c r="T1035" s="134"/>
      <c r="U1035" s="134"/>
      <c r="V1035" s="134"/>
      <c r="W1035" s="134"/>
      <c r="X1035" s="134"/>
      <c r="Y1035" s="134"/>
      <c r="Z1035" s="134"/>
      <c r="AA1035" s="134"/>
      <c r="AB1035" s="134"/>
      <c r="AC1035" s="134"/>
      <c r="AD1035" s="134"/>
      <c r="AE1035" s="134"/>
      <c r="AF1035" s="134"/>
      <c r="AG1035" s="134"/>
      <c r="AH1035" s="134"/>
      <c r="AI1035" s="134"/>
      <c r="AJ1035" s="134"/>
    </row>
    <row r="1036" spans="2:36">
      <c r="B1036" s="134"/>
      <c r="C1036" s="134"/>
      <c r="D1036" s="134"/>
      <c r="E1036" s="134"/>
      <c r="F1036" s="134"/>
      <c r="G1036" s="134"/>
      <c r="H1036" s="134"/>
      <c r="I1036" s="134"/>
      <c r="J1036" s="134"/>
      <c r="K1036" s="134"/>
      <c r="L1036" s="134"/>
      <c r="M1036" s="134"/>
      <c r="N1036" s="134"/>
      <c r="O1036" s="134"/>
      <c r="P1036" s="134"/>
      <c r="Q1036" s="134"/>
      <c r="R1036" s="134"/>
      <c r="S1036" s="134"/>
      <c r="T1036" s="134"/>
      <c r="U1036" s="134"/>
      <c r="V1036" s="134"/>
      <c r="W1036" s="134"/>
      <c r="X1036" s="134"/>
      <c r="Y1036" s="134"/>
      <c r="Z1036" s="134"/>
      <c r="AA1036" s="134"/>
      <c r="AB1036" s="134"/>
      <c r="AC1036" s="134"/>
      <c r="AD1036" s="134"/>
      <c r="AE1036" s="134"/>
      <c r="AF1036" s="134"/>
      <c r="AG1036" s="134"/>
      <c r="AH1036" s="134"/>
      <c r="AI1036" s="134"/>
      <c r="AJ1036" s="134"/>
    </row>
    <row r="1037" spans="2:36">
      <c r="B1037" s="134"/>
      <c r="C1037" s="134"/>
      <c r="D1037" s="134"/>
      <c r="E1037" s="134"/>
      <c r="F1037" s="134"/>
      <c r="G1037" s="134"/>
      <c r="H1037" s="134"/>
      <c r="I1037" s="134"/>
      <c r="J1037" s="134"/>
      <c r="K1037" s="134"/>
      <c r="L1037" s="134"/>
      <c r="M1037" s="134"/>
      <c r="N1037" s="134"/>
      <c r="O1037" s="134"/>
      <c r="P1037" s="134"/>
      <c r="Q1037" s="134"/>
      <c r="R1037" s="134"/>
      <c r="S1037" s="134"/>
      <c r="T1037" s="134"/>
      <c r="U1037" s="134"/>
      <c r="V1037" s="134"/>
      <c r="W1037" s="134"/>
      <c r="X1037" s="134"/>
      <c r="Y1037" s="134"/>
      <c r="Z1037" s="134"/>
      <c r="AA1037" s="134"/>
      <c r="AB1037" s="134"/>
      <c r="AC1037" s="134"/>
      <c r="AD1037" s="134"/>
      <c r="AE1037" s="134"/>
      <c r="AF1037" s="134"/>
      <c r="AG1037" s="134"/>
      <c r="AH1037" s="134"/>
      <c r="AI1037" s="134"/>
      <c r="AJ1037" s="134"/>
    </row>
    <row r="1038" spans="2:36">
      <c r="B1038" s="134"/>
      <c r="C1038" s="134"/>
      <c r="D1038" s="134"/>
      <c r="E1038" s="134"/>
      <c r="F1038" s="134"/>
      <c r="G1038" s="134"/>
      <c r="H1038" s="134"/>
      <c r="I1038" s="134"/>
      <c r="J1038" s="134"/>
      <c r="K1038" s="134"/>
      <c r="L1038" s="134"/>
      <c r="M1038" s="134"/>
      <c r="N1038" s="134"/>
      <c r="O1038" s="134"/>
      <c r="P1038" s="134"/>
      <c r="Q1038" s="134"/>
      <c r="R1038" s="134"/>
      <c r="S1038" s="134"/>
      <c r="T1038" s="134"/>
      <c r="U1038" s="134"/>
      <c r="V1038" s="134"/>
      <c r="W1038" s="134"/>
      <c r="X1038" s="134"/>
      <c r="Y1038" s="134"/>
      <c r="Z1038" s="134"/>
      <c r="AA1038" s="134"/>
      <c r="AB1038" s="134"/>
      <c r="AC1038" s="134"/>
      <c r="AD1038" s="134"/>
      <c r="AE1038" s="134"/>
      <c r="AF1038" s="134"/>
      <c r="AG1038" s="134"/>
      <c r="AH1038" s="134"/>
      <c r="AI1038" s="134"/>
      <c r="AJ1038" s="134"/>
    </row>
    <row r="1039" spans="2:36">
      <c r="B1039" s="134"/>
      <c r="C1039" s="134"/>
      <c r="D1039" s="134"/>
      <c r="E1039" s="134"/>
      <c r="F1039" s="134"/>
      <c r="G1039" s="134"/>
      <c r="H1039" s="134"/>
      <c r="I1039" s="134"/>
      <c r="J1039" s="134"/>
      <c r="K1039" s="134"/>
      <c r="L1039" s="134"/>
      <c r="M1039" s="134"/>
      <c r="N1039" s="134"/>
      <c r="O1039" s="134"/>
      <c r="P1039" s="134"/>
      <c r="Q1039" s="134"/>
      <c r="R1039" s="134"/>
      <c r="S1039" s="134"/>
      <c r="T1039" s="134"/>
      <c r="U1039" s="134"/>
      <c r="V1039" s="134"/>
      <c r="W1039" s="134"/>
      <c r="X1039" s="134"/>
      <c r="Y1039" s="134"/>
      <c r="Z1039" s="134"/>
      <c r="AA1039" s="134"/>
      <c r="AB1039" s="134"/>
      <c r="AC1039" s="134"/>
      <c r="AD1039" s="134"/>
      <c r="AE1039" s="134"/>
      <c r="AF1039" s="134"/>
      <c r="AG1039" s="134"/>
      <c r="AH1039" s="134"/>
      <c r="AI1039" s="134"/>
      <c r="AJ1039" s="134"/>
    </row>
    <row r="1040" spans="2:36">
      <c r="B1040" s="134"/>
      <c r="C1040" s="134"/>
      <c r="D1040" s="134"/>
      <c r="E1040" s="134"/>
      <c r="F1040" s="134"/>
      <c r="G1040" s="134"/>
      <c r="H1040" s="134"/>
      <c r="I1040" s="134"/>
      <c r="J1040" s="134"/>
      <c r="K1040" s="134"/>
      <c r="L1040" s="134"/>
      <c r="M1040" s="134"/>
      <c r="N1040" s="134"/>
      <c r="O1040" s="134"/>
      <c r="P1040" s="134"/>
      <c r="Q1040" s="134"/>
      <c r="R1040" s="134"/>
      <c r="S1040" s="134"/>
      <c r="T1040" s="134"/>
      <c r="U1040" s="134"/>
      <c r="V1040" s="134"/>
      <c r="W1040" s="134"/>
      <c r="X1040" s="134"/>
      <c r="Y1040" s="134"/>
      <c r="Z1040" s="134"/>
      <c r="AA1040" s="134"/>
      <c r="AB1040" s="134"/>
      <c r="AC1040" s="134"/>
      <c r="AD1040" s="134"/>
      <c r="AE1040" s="134"/>
      <c r="AF1040" s="134"/>
      <c r="AG1040" s="134"/>
      <c r="AH1040" s="134"/>
      <c r="AI1040" s="134"/>
      <c r="AJ1040" s="134"/>
    </row>
    <row r="1041" spans="2:36">
      <c r="B1041" s="134"/>
      <c r="C1041" s="134"/>
      <c r="D1041" s="134"/>
      <c r="E1041" s="134"/>
      <c r="F1041" s="134"/>
      <c r="G1041" s="134"/>
      <c r="H1041" s="134"/>
      <c r="I1041" s="134"/>
      <c r="J1041" s="134"/>
      <c r="K1041" s="134"/>
      <c r="L1041" s="134"/>
      <c r="M1041" s="134"/>
      <c r="N1041" s="134"/>
      <c r="O1041" s="134"/>
      <c r="P1041" s="134"/>
      <c r="Q1041" s="134"/>
      <c r="R1041" s="134"/>
      <c r="S1041" s="134"/>
      <c r="T1041" s="134"/>
      <c r="U1041" s="134"/>
      <c r="V1041" s="134"/>
      <c r="W1041" s="134"/>
      <c r="X1041" s="134"/>
      <c r="Y1041" s="134"/>
      <c r="Z1041" s="134"/>
      <c r="AA1041" s="134"/>
      <c r="AB1041" s="134"/>
      <c r="AC1041" s="134"/>
      <c r="AD1041" s="134"/>
      <c r="AE1041" s="134"/>
      <c r="AF1041" s="134"/>
      <c r="AG1041" s="134"/>
      <c r="AH1041" s="134"/>
      <c r="AI1041" s="134"/>
      <c r="AJ1041" s="134"/>
    </row>
    <row r="1042" spans="2:36">
      <c r="B1042" s="134"/>
      <c r="C1042" s="134"/>
      <c r="D1042" s="134"/>
      <c r="E1042" s="134"/>
      <c r="F1042" s="134"/>
      <c r="G1042" s="134"/>
      <c r="H1042" s="134"/>
      <c r="I1042" s="134"/>
      <c r="J1042" s="134"/>
      <c r="K1042" s="134"/>
      <c r="L1042" s="134"/>
      <c r="M1042" s="134"/>
      <c r="N1042" s="134"/>
      <c r="O1042" s="134"/>
      <c r="P1042" s="134"/>
      <c r="Q1042" s="134"/>
      <c r="R1042" s="134"/>
      <c r="S1042" s="134"/>
      <c r="T1042" s="134"/>
      <c r="U1042" s="134"/>
      <c r="V1042" s="134"/>
      <c r="W1042" s="134"/>
      <c r="X1042" s="134"/>
      <c r="Y1042" s="134"/>
      <c r="Z1042" s="134"/>
      <c r="AA1042" s="134"/>
      <c r="AB1042" s="134"/>
      <c r="AC1042" s="134"/>
      <c r="AD1042" s="134"/>
      <c r="AE1042" s="134"/>
      <c r="AF1042" s="134"/>
      <c r="AG1042" s="134"/>
      <c r="AH1042" s="134"/>
      <c r="AI1042" s="134"/>
      <c r="AJ1042" s="134"/>
    </row>
    <row r="1043" spans="2:36">
      <c r="B1043" s="134"/>
      <c r="C1043" s="134"/>
      <c r="D1043" s="134"/>
      <c r="E1043" s="134"/>
      <c r="F1043" s="134"/>
      <c r="G1043" s="134"/>
      <c r="H1043" s="134"/>
      <c r="I1043" s="134"/>
      <c r="J1043" s="134"/>
      <c r="K1043" s="134"/>
      <c r="L1043" s="134"/>
      <c r="M1043" s="134"/>
      <c r="N1043" s="134"/>
      <c r="O1043" s="134"/>
      <c r="P1043" s="134"/>
      <c r="Q1043" s="134"/>
      <c r="R1043" s="134"/>
      <c r="S1043" s="134"/>
      <c r="T1043" s="134"/>
      <c r="U1043" s="134"/>
      <c r="V1043" s="134"/>
      <c r="W1043" s="134"/>
      <c r="X1043" s="134"/>
      <c r="Y1043" s="134"/>
      <c r="Z1043" s="134"/>
      <c r="AA1043" s="134"/>
      <c r="AB1043" s="134"/>
      <c r="AC1043" s="134"/>
      <c r="AD1043" s="134"/>
      <c r="AE1043" s="134"/>
      <c r="AF1043" s="134"/>
      <c r="AG1043" s="134"/>
      <c r="AH1043" s="134"/>
      <c r="AI1043" s="134"/>
      <c r="AJ1043" s="134"/>
    </row>
    <row r="1044" spans="2:36">
      <c r="B1044" s="134"/>
      <c r="C1044" s="134"/>
      <c r="D1044" s="134"/>
      <c r="E1044" s="134"/>
      <c r="F1044" s="134"/>
      <c r="G1044" s="134"/>
      <c r="H1044" s="134"/>
      <c r="I1044" s="134"/>
      <c r="J1044" s="134"/>
      <c r="K1044" s="134"/>
      <c r="L1044" s="134"/>
      <c r="M1044" s="134"/>
      <c r="N1044" s="134"/>
      <c r="O1044" s="134"/>
      <c r="P1044" s="134"/>
      <c r="Q1044" s="134"/>
      <c r="R1044" s="134"/>
      <c r="S1044" s="134"/>
      <c r="T1044" s="134"/>
      <c r="U1044" s="134"/>
      <c r="V1044" s="134"/>
      <c r="W1044" s="134"/>
      <c r="X1044" s="134"/>
      <c r="Y1044" s="134"/>
      <c r="Z1044" s="134"/>
      <c r="AA1044" s="134"/>
      <c r="AB1044" s="134"/>
      <c r="AC1044" s="134"/>
      <c r="AD1044" s="134"/>
      <c r="AE1044" s="134"/>
      <c r="AF1044" s="134"/>
      <c r="AG1044" s="134"/>
      <c r="AH1044" s="134"/>
      <c r="AI1044" s="134"/>
      <c r="AJ1044" s="134"/>
    </row>
    <row r="1045" spans="2:36">
      <c r="B1045" s="134"/>
      <c r="C1045" s="134"/>
      <c r="D1045" s="134"/>
      <c r="E1045" s="134"/>
      <c r="F1045" s="134"/>
      <c r="G1045" s="134"/>
      <c r="H1045" s="134"/>
      <c r="I1045" s="134"/>
      <c r="J1045" s="134"/>
      <c r="K1045" s="134"/>
      <c r="L1045" s="134"/>
      <c r="M1045" s="134"/>
      <c r="N1045" s="134"/>
      <c r="O1045" s="134"/>
      <c r="P1045" s="134"/>
      <c r="Q1045" s="134"/>
      <c r="R1045" s="134"/>
      <c r="S1045" s="134"/>
      <c r="T1045" s="134"/>
      <c r="U1045" s="134"/>
      <c r="V1045" s="134"/>
      <c r="W1045" s="134"/>
      <c r="X1045" s="134"/>
      <c r="Y1045" s="134"/>
      <c r="Z1045" s="134"/>
      <c r="AA1045" s="134"/>
      <c r="AB1045" s="134"/>
      <c r="AC1045" s="134"/>
      <c r="AD1045" s="134"/>
      <c r="AE1045" s="134"/>
      <c r="AF1045" s="134"/>
      <c r="AG1045" s="134"/>
      <c r="AH1045" s="134"/>
      <c r="AI1045" s="134"/>
      <c r="AJ1045" s="134"/>
    </row>
    <row r="1046" spans="2:36">
      <c r="B1046" s="134"/>
      <c r="C1046" s="134"/>
      <c r="D1046" s="134"/>
      <c r="E1046" s="134"/>
      <c r="F1046" s="134"/>
      <c r="G1046" s="134"/>
      <c r="H1046" s="134"/>
      <c r="I1046" s="134"/>
      <c r="J1046" s="134"/>
      <c r="K1046" s="134"/>
      <c r="L1046" s="134"/>
      <c r="M1046" s="134"/>
      <c r="N1046" s="134"/>
      <c r="O1046" s="134"/>
      <c r="P1046" s="134"/>
      <c r="Q1046" s="134"/>
      <c r="R1046" s="134"/>
      <c r="S1046" s="134"/>
      <c r="T1046" s="134"/>
      <c r="U1046" s="134"/>
      <c r="V1046" s="134"/>
      <c r="W1046" s="134"/>
      <c r="X1046" s="134"/>
      <c r="Y1046" s="134"/>
      <c r="Z1046" s="134"/>
      <c r="AA1046" s="134"/>
      <c r="AB1046" s="134"/>
      <c r="AC1046" s="134"/>
      <c r="AD1046" s="134"/>
      <c r="AE1046" s="134"/>
      <c r="AF1046" s="134"/>
      <c r="AG1046" s="134"/>
      <c r="AH1046" s="134"/>
      <c r="AI1046" s="134"/>
      <c r="AJ1046" s="134"/>
    </row>
    <row r="1047" spans="2:36">
      <c r="B1047" s="134"/>
      <c r="C1047" s="134"/>
      <c r="D1047" s="134"/>
      <c r="E1047" s="134"/>
      <c r="F1047" s="134"/>
      <c r="G1047" s="134"/>
      <c r="H1047" s="134"/>
      <c r="I1047" s="134"/>
      <c r="J1047" s="134"/>
      <c r="K1047" s="134"/>
      <c r="L1047" s="134"/>
      <c r="M1047" s="134"/>
      <c r="N1047" s="134"/>
      <c r="O1047" s="134"/>
      <c r="P1047" s="134"/>
      <c r="Q1047" s="134"/>
      <c r="R1047" s="134"/>
      <c r="S1047" s="134"/>
      <c r="T1047" s="134"/>
      <c r="U1047" s="134"/>
      <c r="V1047" s="134"/>
      <c r="W1047" s="134"/>
      <c r="X1047" s="134"/>
      <c r="Y1047" s="134"/>
      <c r="Z1047" s="134"/>
      <c r="AA1047" s="134"/>
      <c r="AB1047" s="134"/>
      <c r="AC1047" s="134"/>
      <c r="AD1047" s="134"/>
      <c r="AE1047" s="134"/>
      <c r="AF1047" s="134"/>
      <c r="AG1047" s="134"/>
      <c r="AH1047" s="134"/>
      <c r="AI1047" s="134"/>
      <c r="AJ1047" s="134"/>
    </row>
    <row r="1048" spans="2:36">
      <c r="B1048" s="134"/>
      <c r="C1048" s="134"/>
      <c r="D1048" s="134"/>
      <c r="E1048" s="134"/>
      <c r="F1048" s="134"/>
      <c r="G1048" s="134"/>
      <c r="H1048" s="134"/>
      <c r="I1048" s="134"/>
      <c r="J1048" s="134"/>
      <c r="K1048" s="134"/>
      <c r="L1048" s="134"/>
      <c r="M1048" s="134"/>
      <c r="N1048" s="134"/>
      <c r="O1048" s="134"/>
      <c r="P1048" s="134"/>
      <c r="Q1048" s="134"/>
      <c r="R1048" s="134"/>
      <c r="S1048" s="134"/>
      <c r="T1048" s="134"/>
      <c r="U1048" s="134"/>
      <c r="V1048" s="134"/>
      <c r="W1048" s="134"/>
      <c r="X1048" s="134"/>
      <c r="Y1048" s="134"/>
      <c r="Z1048" s="134"/>
      <c r="AA1048" s="134"/>
      <c r="AB1048" s="134"/>
      <c r="AC1048" s="134"/>
      <c r="AD1048" s="134"/>
      <c r="AE1048" s="134"/>
      <c r="AF1048" s="134"/>
      <c r="AG1048" s="134"/>
      <c r="AH1048" s="134"/>
      <c r="AI1048" s="134"/>
      <c r="AJ1048" s="134"/>
    </row>
    <row r="1049" spans="2:36">
      <c r="B1049" s="134"/>
      <c r="C1049" s="134"/>
      <c r="D1049" s="134"/>
      <c r="E1049" s="134"/>
      <c r="F1049" s="134"/>
      <c r="G1049" s="134"/>
      <c r="H1049" s="134"/>
      <c r="I1049" s="134"/>
      <c r="J1049" s="134"/>
      <c r="K1049" s="134"/>
      <c r="L1049" s="134"/>
      <c r="M1049" s="134"/>
      <c r="N1049" s="134"/>
      <c r="O1049" s="134"/>
      <c r="P1049" s="134"/>
      <c r="Q1049" s="134"/>
      <c r="R1049" s="134"/>
      <c r="S1049" s="134"/>
      <c r="T1049" s="134"/>
      <c r="U1049" s="134"/>
      <c r="V1049" s="134"/>
      <c r="W1049" s="134"/>
      <c r="X1049" s="134"/>
      <c r="Y1049" s="134"/>
      <c r="Z1049" s="134"/>
      <c r="AA1049" s="134"/>
      <c r="AB1049" s="134"/>
      <c r="AC1049" s="134"/>
      <c r="AD1049" s="134"/>
      <c r="AE1049" s="134"/>
      <c r="AF1049" s="134"/>
      <c r="AG1049" s="134"/>
      <c r="AH1049" s="134"/>
      <c r="AI1049" s="134"/>
      <c r="AJ1049" s="134"/>
    </row>
    <row r="1050" spans="2:36">
      <c r="B1050" s="134"/>
      <c r="C1050" s="134"/>
      <c r="D1050" s="134"/>
      <c r="E1050" s="134"/>
      <c r="F1050" s="134"/>
      <c r="G1050" s="134"/>
      <c r="H1050" s="134"/>
      <c r="I1050" s="134"/>
      <c r="J1050" s="134"/>
      <c r="K1050" s="134"/>
      <c r="L1050" s="134"/>
      <c r="M1050" s="134"/>
      <c r="N1050" s="134"/>
      <c r="O1050" s="134"/>
      <c r="P1050" s="134"/>
      <c r="Q1050" s="134"/>
      <c r="R1050" s="134"/>
      <c r="S1050" s="134"/>
      <c r="T1050" s="134"/>
      <c r="U1050" s="134"/>
      <c r="V1050" s="134"/>
      <c r="W1050" s="134"/>
      <c r="X1050" s="134"/>
      <c r="Y1050" s="134"/>
      <c r="Z1050" s="134"/>
      <c r="AA1050" s="134"/>
      <c r="AB1050" s="134"/>
      <c r="AC1050" s="134"/>
      <c r="AD1050" s="134"/>
      <c r="AE1050" s="134"/>
      <c r="AF1050" s="134"/>
      <c r="AG1050" s="134"/>
      <c r="AH1050" s="134"/>
      <c r="AI1050" s="134"/>
      <c r="AJ1050" s="134"/>
    </row>
    <row r="1051" spans="2:36">
      <c r="B1051" s="134"/>
      <c r="C1051" s="134"/>
      <c r="D1051" s="134"/>
      <c r="E1051" s="134"/>
      <c r="F1051" s="134"/>
      <c r="G1051" s="134"/>
      <c r="H1051" s="134"/>
      <c r="I1051" s="134"/>
      <c r="J1051" s="134"/>
      <c r="K1051" s="134"/>
      <c r="L1051" s="134"/>
      <c r="M1051" s="134"/>
      <c r="N1051" s="134"/>
      <c r="O1051" s="134"/>
      <c r="P1051" s="134"/>
      <c r="Q1051" s="134"/>
      <c r="R1051" s="134"/>
      <c r="S1051" s="134"/>
      <c r="T1051" s="134"/>
      <c r="U1051" s="134"/>
      <c r="V1051" s="134"/>
      <c r="W1051" s="134"/>
      <c r="X1051" s="134"/>
      <c r="Y1051" s="134"/>
      <c r="Z1051" s="134"/>
      <c r="AA1051" s="134"/>
      <c r="AB1051" s="134"/>
      <c r="AC1051" s="134"/>
      <c r="AD1051" s="134"/>
      <c r="AE1051" s="134"/>
      <c r="AF1051" s="134"/>
      <c r="AG1051" s="134"/>
      <c r="AH1051" s="134"/>
      <c r="AI1051" s="134"/>
      <c r="AJ1051" s="134"/>
    </row>
    <row r="1052" spans="2:36">
      <c r="B1052" s="134"/>
      <c r="C1052" s="134"/>
      <c r="D1052" s="134"/>
      <c r="E1052" s="134"/>
      <c r="F1052" s="134"/>
      <c r="G1052" s="134"/>
      <c r="H1052" s="134"/>
      <c r="I1052" s="134"/>
      <c r="J1052" s="134"/>
      <c r="K1052" s="134"/>
      <c r="L1052" s="134"/>
      <c r="M1052" s="134"/>
      <c r="N1052" s="134"/>
      <c r="O1052" s="134"/>
      <c r="P1052" s="134"/>
      <c r="Q1052" s="134"/>
      <c r="R1052" s="134"/>
      <c r="S1052" s="134"/>
      <c r="T1052" s="134"/>
      <c r="U1052" s="134"/>
      <c r="V1052" s="134"/>
      <c r="W1052" s="134"/>
      <c r="X1052" s="134"/>
      <c r="Y1052" s="134"/>
      <c r="Z1052" s="134"/>
      <c r="AA1052" s="134"/>
      <c r="AB1052" s="134"/>
      <c r="AC1052" s="134"/>
      <c r="AD1052" s="134"/>
      <c r="AE1052" s="134"/>
      <c r="AF1052" s="134"/>
      <c r="AG1052" s="134"/>
      <c r="AH1052" s="134"/>
      <c r="AI1052" s="134"/>
      <c r="AJ1052" s="134"/>
    </row>
    <row r="1053" spans="2:36">
      <c r="B1053" s="134"/>
      <c r="C1053" s="134"/>
      <c r="D1053" s="134"/>
      <c r="E1053" s="134"/>
      <c r="F1053" s="134"/>
      <c r="G1053" s="134"/>
      <c r="H1053" s="134"/>
      <c r="I1053" s="134"/>
      <c r="J1053" s="134"/>
      <c r="K1053" s="134"/>
      <c r="L1053" s="134"/>
      <c r="M1053" s="134"/>
      <c r="N1053" s="134"/>
      <c r="O1053" s="134"/>
      <c r="P1053" s="134"/>
      <c r="Q1053" s="134"/>
      <c r="R1053" s="134"/>
      <c r="S1053" s="134"/>
      <c r="T1053" s="134"/>
      <c r="U1053" s="134"/>
      <c r="V1053" s="134"/>
      <c r="W1053" s="134"/>
      <c r="X1053" s="134"/>
      <c r="Y1053" s="134"/>
      <c r="Z1053" s="134"/>
      <c r="AA1053" s="134"/>
      <c r="AB1053" s="134"/>
      <c r="AC1053" s="134"/>
      <c r="AD1053" s="134"/>
      <c r="AE1053" s="134"/>
      <c r="AF1053" s="134"/>
      <c r="AG1053" s="134"/>
      <c r="AH1053" s="134"/>
      <c r="AI1053" s="134"/>
      <c r="AJ1053" s="134"/>
    </row>
    <row r="1054" spans="2:36">
      <c r="B1054" s="134"/>
      <c r="C1054" s="134"/>
      <c r="D1054" s="134"/>
      <c r="E1054" s="134"/>
      <c r="F1054" s="134"/>
      <c r="G1054" s="134"/>
      <c r="H1054" s="134"/>
      <c r="I1054" s="134"/>
      <c r="J1054" s="134"/>
      <c r="K1054" s="134"/>
      <c r="L1054" s="134"/>
      <c r="M1054" s="134"/>
      <c r="N1054" s="134"/>
      <c r="O1054" s="134"/>
      <c r="P1054" s="134"/>
      <c r="Q1054" s="134"/>
      <c r="R1054" s="134"/>
      <c r="S1054" s="134"/>
      <c r="T1054" s="134"/>
      <c r="U1054" s="134"/>
      <c r="V1054" s="134"/>
      <c r="W1054" s="134"/>
      <c r="X1054" s="134"/>
      <c r="Y1054" s="134"/>
      <c r="Z1054" s="134"/>
      <c r="AA1054" s="134"/>
      <c r="AB1054" s="134"/>
      <c r="AC1054" s="134"/>
      <c r="AD1054" s="134"/>
      <c r="AE1054" s="134"/>
      <c r="AF1054" s="134"/>
      <c r="AG1054" s="134"/>
      <c r="AH1054" s="134"/>
      <c r="AI1054" s="134"/>
      <c r="AJ1054" s="134"/>
    </row>
    <row r="1055" spans="2:36">
      <c r="B1055" s="134"/>
      <c r="C1055" s="134"/>
      <c r="D1055" s="134"/>
      <c r="E1055" s="134"/>
      <c r="F1055" s="134"/>
      <c r="G1055" s="134"/>
      <c r="H1055" s="134"/>
      <c r="I1055" s="134"/>
      <c r="J1055" s="134"/>
      <c r="K1055" s="134"/>
      <c r="L1055" s="134"/>
      <c r="M1055" s="134"/>
      <c r="N1055" s="134"/>
      <c r="O1055" s="134"/>
      <c r="P1055" s="134"/>
      <c r="Q1055" s="134"/>
      <c r="R1055" s="134"/>
      <c r="S1055" s="134"/>
      <c r="T1055" s="134"/>
      <c r="U1055" s="134"/>
      <c r="V1055" s="134"/>
      <c r="W1055" s="134"/>
      <c r="X1055" s="134"/>
      <c r="Y1055" s="134"/>
      <c r="Z1055" s="134"/>
      <c r="AA1055" s="134"/>
      <c r="AB1055" s="134"/>
      <c r="AC1055" s="134"/>
      <c r="AD1055" s="134"/>
      <c r="AE1055" s="134"/>
      <c r="AF1055" s="134"/>
      <c r="AG1055" s="134"/>
      <c r="AH1055" s="134"/>
      <c r="AI1055" s="134"/>
      <c r="AJ1055" s="134"/>
    </row>
    <row r="1056" spans="2:36">
      <c r="B1056" s="134"/>
      <c r="C1056" s="134"/>
      <c r="D1056" s="134"/>
      <c r="E1056" s="134"/>
      <c r="F1056" s="134"/>
      <c r="G1056" s="134"/>
      <c r="H1056" s="134"/>
      <c r="I1056" s="134"/>
      <c r="J1056" s="134"/>
      <c r="K1056" s="134"/>
      <c r="L1056" s="134"/>
      <c r="M1056" s="134"/>
      <c r="N1056" s="134"/>
      <c r="O1056" s="134"/>
      <c r="P1056" s="134"/>
      <c r="Q1056" s="134"/>
      <c r="R1056" s="134"/>
      <c r="S1056" s="134"/>
      <c r="T1056" s="134"/>
      <c r="U1056" s="134"/>
      <c r="V1056" s="134"/>
      <c r="W1056" s="134"/>
      <c r="X1056" s="134"/>
      <c r="Y1056" s="134"/>
      <c r="Z1056" s="134"/>
      <c r="AA1056" s="134"/>
      <c r="AB1056" s="134"/>
      <c r="AC1056" s="134"/>
      <c r="AD1056" s="134"/>
      <c r="AE1056" s="134"/>
      <c r="AF1056" s="134"/>
      <c r="AG1056" s="134"/>
      <c r="AH1056" s="134"/>
      <c r="AI1056" s="134"/>
      <c r="AJ1056" s="134"/>
    </row>
    <row r="1057" spans="2:36">
      <c r="B1057" s="134"/>
      <c r="C1057" s="134"/>
      <c r="D1057" s="134"/>
      <c r="E1057" s="134"/>
      <c r="F1057" s="134"/>
      <c r="G1057" s="134"/>
      <c r="H1057" s="134"/>
      <c r="I1057" s="134"/>
      <c r="J1057" s="134"/>
      <c r="K1057" s="134"/>
      <c r="L1057" s="134"/>
      <c r="M1057" s="134"/>
      <c r="N1057" s="134"/>
      <c r="O1057" s="134"/>
      <c r="P1057" s="134"/>
      <c r="Q1057" s="134"/>
      <c r="R1057" s="134"/>
      <c r="S1057" s="134"/>
      <c r="T1057" s="134"/>
      <c r="U1057" s="134"/>
      <c r="V1057" s="134"/>
      <c r="W1057" s="134"/>
      <c r="X1057" s="134"/>
      <c r="Y1057" s="134"/>
      <c r="Z1057" s="134"/>
      <c r="AA1057" s="134"/>
      <c r="AB1057" s="134"/>
      <c r="AC1057" s="134"/>
      <c r="AD1057" s="134"/>
      <c r="AE1057" s="134"/>
      <c r="AF1057" s="134"/>
      <c r="AG1057" s="134"/>
      <c r="AH1057" s="134"/>
      <c r="AI1057" s="134"/>
      <c r="AJ1057" s="134"/>
    </row>
    <row r="1058" spans="2:36">
      <c r="B1058" s="134"/>
      <c r="C1058" s="134"/>
      <c r="D1058" s="134"/>
      <c r="E1058" s="134"/>
      <c r="F1058" s="134"/>
      <c r="G1058" s="134"/>
      <c r="H1058" s="134"/>
      <c r="I1058" s="134"/>
      <c r="J1058" s="134"/>
      <c r="K1058" s="134"/>
      <c r="L1058" s="134"/>
      <c r="M1058" s="134"/>
      <c r="N1058" s="134"/>
      <c r="O1058" s="134"/>
      <c r="P1058" s="134"/>
      <c r="Q1058" s="134"/>
      <c r="R1058" s="134"/>
      <c r="S1058" s="134"/>
      <c r="T1058" s="134"/>
      <c r="U1058" s="134"/>
      <c r="V1058" s="134"/>
      <c r="W1058" s="134"/>
      <c r="X1058" s="134"/>
      <c r="Y1058" s="134"/>
      <c r="Z1058" s="134"/>
      <c r="AA1058" s="134"/>
      <c r="AB1058" s="134"/>
      <c r="AC1058" s="134"/>
      <c r="AD1058" s="134"/>
      <c r="AE1058" s="134"/>
      <c r="AF1058" s="134"/>
      <c r="AG1058" s="134"/>
      <c r="AH1058" s="134"/>
      <c r="AI1058" s="134"/>
      <c r="AJ1058" s="134"/>
    </row>
    <row r="1059" spans="2:36">
      <c r="B1059" s="134"/>
      <c r="C1059" s="134"/>
      <c r="D1059" s="134"/>
      <c r="E1059" s="134"/>
      <c r="F1059" s="134"/>
      <c r="G1059" s="134"/>
      <c r="H1059" s="134"/>
      <c r="I1059" s="134"/>
      <c r="J1059" s="134"/>
      <c r="K1059" s="134"/>
      <c r="L1059" s="134"/>
      <c r="M1059" s="134"/>
      <c r="N1059" s="134"/>
      <c r="O1059" s="134"/>
      <c r="P1059" s="134"/>
      <c r="Q1059" s="134"/>
      <c r="R1059" s="134"/>
      <c r="S1059" s="134"/>
      <c r="T1059" s="134"/>
      <c r="U1059" s="134"/>
      <c r="V1059" s="134"/>
      <c r="W1059" s="134"/>
      <c r="X1059" s="134"/>
      <c r="Y1059" s="134"/>
      <c r="Z1059" s="134"/>
      <c r="AA1059" s="134"/>
      <c r="AB1059" s="134"/>
      <c r="AC1059" s="134"/>
      <c r="AD1059" s="134"/>
      <c r="AE1059" s="134"/>
      <c r="AF1059" s="134"/>
      <c r="AG1059" s="134"/>
      <c r="AH1059" s="134"/>
      <c r="AI1059" s="134"/>
      <c r="AJ1059" s="134"/>
    </row>
    <row r="1060" spans="2:36">
      <c r="B1060" s="134"/>
      <c r="C1060" s="134"/>
      <c r="D1060" s="134"/>
      <c r="E1060" s="134"/>
      <c r="F1060" s="134"/>
      <c r="G1060" s="134"/>
      <c r="H1060" s="134"/>
      <c r="I1060" s="134"/>
      <c r="J1060" s="134"/>
      <c r="K1060" s="134"/>
      <c r="L1060" s="134"/>
      <c r="M1060" s="134"/>
      <c r="N1060" s="134"/>
      <c r="O1060" s="134"/>
      <c r="P1060" s="134"/>
      <c r="Q1060" s="134"/>
      <c r="R1060" s="134"/>
      <c r="S1060" s="134"/>
      <c r="T1060" s="134"/>
      <c r="U1060" s="134"/>
      <c r="V1060" s="134"/>
      <c r="W1060" s="134"/>
      <c r="X1060" s="134"/>
      <c r="Y1060" s="134"/>
      <c r="Z1060" s="134"/>
      <c r="AA1060" s="134"/>
      <c r="AB1060" s="134"/>
      <c r="AC1060" s="134"/>
      <c r="AD1060" s="134"/>
      <c r="AE1060" s="134"/>
      <c r="AF1060" s="134"/>
      <c r="AG1060" s="134"/>
      <c r="AH1060" s="134"/>
      <c r="AI1060" s="134"/>
      <c r="AJ1060" s="134"/>
    </row>
    <row r="1061" spans="2:36">
      <c r="B1061" s="134"/>
      <c r="C1061" s="134"/>
      <c r="D1061" s="134"/>
      <c r="E1061" s="134"/>
      <c r="F1061" s="134"/>
      <c r="G1061" s="134"/>
      <c r="H1061" s="134"/>
      <c r="I1061" s="134"/>
      <c r="J1061" s="134"/>
      <c r="K1061" s="134"/>
      <c r="L1061" s="134"/>
      <c r="M1061" s="134"/>
      <c r="N1061" s="134"/>
      <c r="O1061" s="134"/>
      <c r="P1061" s="134"/>
      <c r="Q1061" s="134"/>
      <c r="R1061" s="134"/>
      <c r="S1061" s="134"/>
      <c r="T1061" s="134"/>
      <c r="U1061" s="134"/>
      <c r="V1061" s="134"/>
      <c r="W1061" s="134"/>
      <c r="X1061" s="134"/>
      <c r="Y1061" s="134"/>
      <c r="Z1061" s="134"/>
      <c r="AA1061" s="134"/>
      <c r="AB1061" s="134"/>
      <c r="AC1061" s="134"/>
      <c r="AD1061" s="134"/>
      <c r="AE1061" s="134"/>
      <c r="AF1061" s="134"/>
      <c r="AG1061" s="134"/>
      <c r="AH1061" s="134"/>
      <c r="AI1061" s="134"/>
      <c r="AJ1061" s="134"/>
    </row>
    <row r="1062" spans="2:36">
      <c r="B1062" s="134"/>
      <c r="C1062" s="134"/>
      <c r="D1062" s="134"/>
      <c r="E1062" s="134"/>
      <c r="F1062" s="134"/>
      <c r="G1062" s="134"/>
      <c r="H1062" s="134"/>
      <c r="I1062" s="134"/>
      <c r="J1062" s="134"/>
      <c r="K1062" s="134"/>
      <c r="L1062" s="134"/>
      <c r="M1062" s="134"/>
      <c r="N1062" s="134"/>
      <c r="O1062" s="134"/>
      <c r="P1062" s="134"/>
      <c r="Q1062" s="134"/>
      <c r="R1062" s="134"/>
      <c r="S1062" s="134"/>
      <c r="T1062" s="134"/>
      <c r="U1062" s="134"/>
      <c r="V1062" s="134"/>
      <c r="W1062" s="134"/>
      <c r="X1062" s="134"/>
      <c r="Y1062" s="134"/>
      <c r="Z1062" s="134"/>
      <c r="AA1062" s="134"/>
      <c r="AB1062" s="134"/>
      <c r="AC1062" s="134"/>
      <c r="AD1062" s="134"/>
      <c r="AE1062" s="134"/>
      <c r="AF1062" s="134"/>
      <c r="AG1062" s="134"/>
      <c r="AH1062" s="134"/>
      <c r="AI1062" s="134"/>
      <c r="AJ1062" s="134"/>
    </row>
    <row r="1063" spans="2:36">
      <c r="B1063" s="134"/>
      <c r="C1063" s="134"/>
      <c r="D1063" s="134"/>
      <c r="E1063" s="134"/>
      <c r="F1063" s="134"/>
      <c r="G1063" s="134"/>
      <c r="H1063" s="134"/>
      <c r="I1063" s="134"/>
      <c r="J1063" s="134"/>
      <c r="K1063" s="134"/>
      <c r="L1063" s="134"/>
      <c r="M1063" s="134"/>
      <c r="N1063" s="134"/>
      <c r="O1063" s="134"/>
      <c r="P1063" s="134"/>
      <c r="Q1063" s="134"/>
      <c r="R1063" s="134"/>
      <c r="S1063" s="134"/>
      <c r="T1063" s="134"/>
      <c r="U1063" s="134"/>
      <c r="V1063" s="134"/>
      <c r="W1063" s="134"/>
      <c r="X1063" s="134"/>
      <c r="Y1063" s="134"/>
      <c r="Z1063" s="134"/>
      <c r="AA1063" s="134"/>
      <c r="AB1063" s="134"/>
      <c r="AC1063" s="134"/>
      <c r="AD1063" s="134"/>
      <c r="AE1063" s="134"/>
      <c r="AF1063" s="134"/>
      <c r="AG1063" s="134"/>
      <c r="AH1063" s="134"/>
      <c r="AI1063" s="134"/>
      <c r="AJ1063" s="134"/>
    </row>
    <row r="1064" spans="2:36">
      <c r="B1064" s="134"/>
      <c r="C1064" s="134"/>
      <c r="D1064" s="134"/>
      <c r="E1064" s="134"/>
      <c r="F1064" s="134"/>
      <c r="G1064" s="134"/>
      <c r="H1064" s="134"/>
      <c r="I1064" s="134"/>
      <c r="J1064" s="134"/>
      <c r="K1064" s="134"/>
      <c r="L1064" s="134"/>
      <c r="M1064" s="134"/>
      <c r="N1064" s="134"/>
      <c r="O1064" s="134"/>
      <c r="P1064" s="134"/>
      <c r="Q1064" s="134"/>
      <c r="R1064" s="134"/>
      <c r="S1064" s="134"/>
      <c r="T1064" s="134"/>
      <c r="U1064" s="134"/>
      <c r="V1064" s="134"/>
      <c r="W1064" s="134"/>
      <c r="X1064" s="134"/>
      <c r="Y1064" s="134"/>
      <c r="Z1064" s="134"/>
      <c r="AA1064" s="134"/>
      <c r="AB1064" s="134"/>
      <c r="AC1064" s="134"/>
      <c r="AD1064" s="134"/>
      <c r="AE1064" s="134"/>
      <c r="AF1064" s="134"/>
      <c r="AG1064" s="134"/>
      <c r="AH1064" s="134"/>
      <c r="AI1064" s="134"/>
      <c r="AJ1064" s="134"/>
    </row>
    <row r="1065" spans="2:36">
      <c r="B1065" s="134"/>
      <c r="C1065" s="134"/>
      <c r="D1065" s="134"/>
      <c r="E1065" s="134"/>
      <c r="F1065" s="134"/>
      <c r="G1065" s="134"/>
      <c r="H1065" s="134"/>
      <c r="I1065" s="134"/>
      <c r="J1065" s="134"/>
      <c r="K1065" s="134"/>
      <c r="L1065" s="134"/>
      <c r="M1065" s="134"/>
      <c r="N1065" s="134"/>
      <c r="O1065" s="134"/>
      <c r="P1065" s="134"/>
      <c r="Q1065" s="134"/>
      <c r="R1065" s="134"/>
      <c r="S1065" s="134"/>
      <c r="T1065" s="134"/>
      <c r="U1065" s="134"/>
      <c r="V1065" s="134"/>
      <c r="W1065" s="134"/>
      <c r="X1065" s="134"/>
      <c r="Y1065" s="134"/>
      <c r="Z1065" s="134"/>
      <c r="AA1065" s="134"/>
      <c r="AB1065" s="134"/>
      <c r="AC1065" s="134"/>
      <c r="AD1065" s="134"/>
      <c r="AE1065" s="134"/>
      <c r="AF1065" s="134"/>
      <c r="AG1065" s="134"/>
      <c r="AH1065" s="134"/>
      <c r="AI1065" s="134"/>
      <c r="AJ1065" s="134"/>
    </row>
    <row r="1066" spans="2:36">
      <c r="B1066" s="134"/>
      <c r="C1066" s="134"/>
      <c r="D1066" s="134"/>
      <c r="E1066" s="134"/>
      <c r="F1066" s="134"/>
      <c r="G1066" s="134"/>
      <c r="H1066" s="134"/>
      <c r="I1066" s="134"/>
      <c r="J1066" s="134"/>
      <c r="K1066" s="134"/>
      <c r="L1066" s="134"/>
      <c r="M1066" s="134"/>
      <c r="N1066" s="134"/>
      <c r="O1066" s="134"/>
      <c r="P1066" s="134"/>
      <c r="Q1066" s="134"/>
      <c r="R1066" s="134"/>
      <c r="S1066" s="134"/>
      <c r="T1066" s="134"/>
      <c r="U1066" s="134"/>
      <c r="V1066" s="134"/>
      <c r="W1066" s="134"/>
      <c r="X1066" s="134"/>
      <c r="Y1066" s="134"/>
      <c r="Z1066" s="134"/>
      <c r="AA1066" s="134"/>
      <c r="AB1066" s="134"/>
      <c r="AC1066" s="134"/>
      <c r="AD1066" s="134"/>
      <c r="AE1066" s="134"/>
      <c r="AF1066" s="134"/>
      <c r="AG1066" s="134"/>
      <c r="AH1066" s="134"/>
      <c r="AI1066" s="134"/>
      <c r="AJ1066" s="134"/>
    </row>
    <row r="1067" spans="2:36">
      <c r="B1067" s="134"/>
      <c r="C1067" s="134"/>
      <c r="D1067" s="134"/>
      <c r="E1067" s="134"/>
      <c r="F1067" s="134"/>
      <c r="G1067" s="134"/>
      <c r="H1067" s="134"/>
      <c r="I1067" s="134"/>
      <c r="J1067" s="134"/>
      <c r="K1067" s="134"/>
      <c r="L1067" s="134"/>
      <c r="M1067" s="134"/>
      <c r="N1067" s="134"/>
      <c r="O1067" s="134"/>
      <c r="P1067" s="134"/>
      <c r="Q1067" s="134"/>
      <c r="R1067" s="134"/>
      <c r="S1067" s="134"/>
      <c r="T1067" s="134"/>
      <c r="U1067" s="134"/>
      <c r="V1067" s="134"/>
      <c r="W1067" s="134"/>
      <c r="X1067" s="134"/>
      <c r="Y1067" s="134"/>
      <c r="Z1067" s="134"/>
      <c r="AA1067" s="134"/>
      <c r="AB1067" s="134"/>
      <c r="AC1067" s="134"/>
      <c r="AD1067" s="134"/>
      <c r="AE1067" s="134"/>
      <c r="AF1067" s="134"/>
      <c r="AG1067" s="134"/>
      <c r="AH1067" s="134"/>
      <c r="AI1067" s="134"/>
      <c r="AJ1067" s="134"/>
    </row>
    <row r="1068" spans="2:36">
      <c r="B1068" s="134"/>
      <c r="C1068" s="134"/>
      <c r="D1068" s="134"/>
      <c r="E1068" s="134"/>
      <c r="F1068" s="134"/>
      <c r="G1068" s="134"/>
      <c r="H1068" s="134"/>
      <c r="I1068" s="134"/>
      <c r="J1068" s="134"/>
      <c r="K1068" s="134"/>
      <c r="L1068" s="134"/>
      <c r="M1068" s="134"/>
      <c r="N1068" s="134"/>
      <c r="O1068" s="134"/>
      <c r="P1068" s="134"/>
      <c r="Q1068" s="134"/>
      <c r="R1068" s="134"/>
      <c r="S1068" s="134"/>
      <c r="T1068" s="134"/>
      <c r="U1068" s="134"/>
      <c r="V1068" s="134"/>
      <c r="W1068" s="134"/>
      <c r="X1068" s="134"/>
      <c r="Y1068" s="134"/>
      <c r="Z1068" s="134"/>
      <c r="AA1068" s="134"/>
      <c r="AB1068" s="134"/>
      <c r="AC1068" s="134"/>
      <c r="AD1068" s="134"/>
      <c r="AE1068" s="134"/>
      <c r="AF1068" s="134"/>
      <c r="AG1068" s="134"/>
      <c r="AH1068" s="134"/>
      <c r="AI1068" s="134"/>
      <c r="AJ1068" s="134"/>
    </row>
    <row r="1069" spans="2:36">
      <c r="B1069" s="134"/>
      <c r="C1069" s="134"/>
      <c r="D1069" s="134"/>
      <c r="E1069" s="134"/>
      <c r="F1069" s="134"/>
      <c r="G1069" s="134"/>
      <c r="H1069" s="134"/>
      <c r="I1069" s="134"/>
      <c r="J1069" s="134"/>
      <c r="K1069" s="134"/>
      <c r="L1069" s="134"/>
      <c r="M1069" s="134"/>
      <c r="N1069" s="134"/>
      <c r="O1069" s="134"/>
      <c r="P1069" s="134"/>
      <c r="Q1069" s="134"/>
      <c r="R1069" s="134"/>
      <c r="S1069" s="134"/>
      <c r="T1069" s="134"/>
      <c r="U1069" s="134"/>
      <c r="V1069" s="134"/>
      <c r="W1069" s="134"/>
      <c r="X1069" s="134"/>
      <c r="Y1069" s="134"/>
      <c r="Z1069" s="134"/>
      <c r="AA1069" s="134"/>
      <c r="AB1069" s="134"/>
      <c r="AC1069" s="134"/>
      <c r="AD1069" s="134"/>
      <c r="AE1069" s="134"/>
      <c r="AF1069" s="134"/>
      <c r="AG1069" s="134"/>
      <c r="AH1069" s="134"/>
      <c r="AI1069" s="134"/>
      <c r="AJ1069" s="134"/>
    </row>
    <row r="1070" spans="2:36">
      <c r="B1070" s="134"/>
      <c r="C1070" s="134"/>
      <c r="D1070" s="134"/>
      <c r="E1070" s="134"/>
      <c r="F1070" s="134"/>
      <c r="G1070" s="134"/>
      <c r="H1070" s="134"/>
      <c r="I1070" s="134"/>
      <c r="J1070" s="134"/>
      <c r="K1070" s="134"/>
      <c r="L1070" s="134"/>
      <c r="M1070" s="134"/>
      <c r="N1070" s="134"/>
      <c r="O1070" s="134"/>
      <c r="P1070" s="134"/>
      <c r="Q1070" s="134"/>
      <c r="R1070" s="134"/>
      <c r="S1070" s="134"/>
      <c r="T1070" s="134"/>
      <c r="U1070" s="134"/>
      <c r="V1070" s="134"/>
      <c r="W1070" s="134"/>
      <c r="X1070" s="134"/>
      <c r="Y1070" s="134"/>
      <c r="Z1070" s="134"/>
      <c r="AA1070" s="134"/>
      <c r="AB1070" s="134"/>
      <c r="AC1070" s="134"/>
      <c r="AD1070" s="134"/>
      <c r="AE1070" s="134"/>
      <c r="AF1070" s="134"/>
      <c r="AG1070" s="134"/>
      <c r="AH1070" s="134"/>
      <c r="AI1070" s="134"/>
      <c r="AJ1070" s="134"/>
    </row>
    <row r="1071" spans="2:36">
      <c r="B1071" s="134"/>
      <c r="C1071" s="134"/>
      <c r="D1071" s="134"/>
      <c r="E1071" s="134"/>
      <c r="F1071" s="134"/>
      <c r="G1071" s="134"/>
      <c r="H1071" s="134"/>
      <c r="I1071" s="134"/>
      <c r="J1071" s="134"/>
      <c r="K1071" s="134"/>
      <c r="L1071" s="134"/>
      <c r="M1071" s="134"/>
      <c r="N1071" s="134"/>
      <c r="O1071" s="134"/>
      <c r="P1071" s="134"/>
      <c r="Q1071" s="134"/>
      <c r="R1071" s="134"/>
      <c r="S1071" s="134"/>
      <c r="T1071" s="134"/>
      <c r="U1071" s="134"/>
      <c r="V1071" s="134"/>
      <c r="W1071" s="134"/>
      <c r="X1071" s="134"/>
      <c r="Y1071" s="134"/>
      <c r="Z1071" s="134"/>
      <c r="AA1071" s="134"/>
      <c r="AB1071" s="134"/>
      <c r="AC1071" s="134"/>
      <c r="AD1071" s="134"/>
      <c r="AE1071" s="134"/>
      <c r="AF1071" s="134"/>
      <c r="AG1071" s="134"/>
      <c r="AH1071" s="134"/>
      <c r="AI1071" s="134"/>
      <c r="AJ1071" s="134"/>
    </row>
    <row r="1072" spans="2:36">
      <c r="B1072" s="134"/>
      <c r="C1072" s="134"/>
      <c r="D1072" s="134"/>
      <c r="E1072" s="134"/>
      <c r="F1072" s="134"/>
      <c r="G1072" s="134"/>
      <c r="H1072" s="134"/>
      <c r="I1072" s="134"/>
      <c r="J1072" s="134"/>
      <c r="K1072" s="134"/>
      <c r="L1072" s="134"/>
      <c r="M1072" s="134"/>
      <c r="N1072" s="134"/>
      <c r="O1072" s="134"/>
      <c r="P1072" s="134"/>
      <c r="Q1072" s="134"/>
      <c r="R1072" s="134"/>
      <c r="S1072" s="134"/>
      <c r="T1072" s="134"/>
      <c r="U1072" s="134"/>
      <c r="V1072" s="134"/>
      <c r="W1072" s="134"/>
      <c r="X1072" s="134"/>
      <c r="Y1072" s="134"/>
      <c r="Z1072" s="134"/>
      <c r="AA1072" s="134"/>
      <c r="AB1072" s="134"/>
      <c r="AC1072" s="134"/>
      <c r="AD1072" s="134"/>
      <c r="AE1072" s="134"/>
      <c r="AF1072" s="134"/>
      <c r="AG1072" s="134"/>
      <c r="AH1072" s="134"/>
      <c r="AI1072" s="134"/>
      <c r="AJ1072" s="134"/>
    </row>
    <row r="1073" spans="2:36">
      <c r="B1073" s="134"/>
      <c r="C1073" s="134"/>
      <c r="D1073" s="134"/>
      <c r="E1073" s="134"/>
      <c r="F1073" s="134"/>
      <c r="G1073" s="134"/>
      <c r="H1073" s="134"/>
      <c r="I1073" s="134"/>
      <c r="J1073" s="134"/>
      <c r="K1073" s="134"/>
      <c r="L1073" s="134"/>
      <c r="M1073" s="134"/>
      <c r="N1073" s="134"/>
      <c r="O1073" s="134"/>
      <c r="P1073" s="134"/>
      <c r="Q1073" s="134"/>
      <c r="R1073" s="134"/>
      <c r="S1073" s="134"/>
      <c r="T1073" s="134"/>
      <c r="U1073" s="134"/>
      <c r="V1073" s="134"/>
      <c r="W1073" s="134"/>
      <c r="X1073" s="134"/>
      <c r="Y1073" s="134"/>
      <c r="Z1073" s="134"/>
      <c r="AA1073" s="134"/>
      <c r="AB1073" s="134"/>
      <c r="AC1073" s="134"/>
      <c r="AD1073" s="134"/>
      <c r="AE1073" s="134"/>
      <c r="AF1073" s="134"/>
      <c r="AG1073" s="134"/>
      <c r="AH1073" s="134"/>
      <c r="AI1073" s="134"/>
      <c r="AJ1073" s="134"/>
    </row>
    <row r="1074" spans="2:36">
      <c r="B1074" s="134"/>
      <c r="C1074" s="134"/>
      <c r="D1074" s="134"/>
      <c r="E1074" s="134"/>
      <c r="F1074" s="134"/>
      <c r="G1074" s="134"/>
      <c r="H1074" s="134"/>
      <c r="I1074" s="134"/>
      <c r="J1074" s="134"/>
      <c r="K1074" s="134"/>
      <c r="L1074" s="134"/>
      <c r="M1074" s="134"/>
      <c r="N1074" s="134"/>
      <c r="O1074" s="134"/>
      <c r="P1074" s="134"/>
      <c r="Q1074" s="134"/>
      <c r="R1074" s="134"/>
      <c r="S1074" s="134"/>
      <c r="T1074" s="134"/>
      <c r="U1074" s="134"/>
      <c r="V1074" s="134"/>
      <c r="W1074" s="134"/>
      <c r="X1074" s="134"/>
      <c r="Y1074" s="134"/>
      <c r="Z1074" s="134"/>
      <c r="AA1074" s="134"/>
      <c r="AB1074" s="134"/>
      <c r="AC1074" s="134"/>
      <c r="AD1074" s="134"/>
      <c r="AE1074" s="134"/>
      <c r="AF1074" s="134"/>
      <c r="AG1074" s="134"/>
      <c r="AH1074" s="134"/>
      <c r="AI1074" s="134"/>
      <c r="AJ1074" s="134"/>
    </row>
    <row r="1075" spans="2:36">
      <c r="B1075" s="134"/>
      <c r="C1075" s="134"/>
      <c r="D1075" s="134"/>
      <c r="E1075" s="134"/>
      <c r="F1075" s="134"/>
      <c r="G1075" s="134"/>
      <c r="H1075" s="134"/>
      <c r="I1075" s="134"/>
      <c r="J1075" s="134"/>
      <c r="K1075" s="134"/>
      <c r="L1075" s="134"/>
      <c r="M1075" s="134"/>
      <c r="N1075" s="134"/>
      <c r="O1075" s="134"/>
      <c r="P1075" s="134"/>
      <c r="Q1075" s="134"/>
      <c r="R1075" s="134"/>
      <c r="S1075" s="134"/>
      <c r="T1075" s="134"/>
      <c r="U1075" s="134"/>
      <c r="V1075" s="134"/>
      <c r="W1075" s="134"/>
      <c r="X1075" s="134"/>
      <c r="Y1075" s="134"/>
      <c r="Z1075" s="134"/>
      <c r="AA1075" s="134"/>
      <c r="AB1075" s="134"/>
      <c r="AC1075" s="134"/>
      <c r="AD1075" s="134"/>
      <c r="AE1075" s="134"/>
      <c r="AF1075" s="134"/>
      <c r="AG1075" s="134"/>
      <c r="AH1075" s="134"/>
      <c r="AI1075" s="134"/>
      <c r="AJ1075" s="134"/>
    </row>
    <row r="1076" spans="2:36">
      <c r="B1076" s="134"/>
      <c r="C1076" s="134"/>
      <c r="D1076" s="134"/>
      <c r="E1076" s="134"/>
      <c r="F1076" s="134"/>
      <c r="G1076" s="134"/>
      <c r="H1076" s="134"/>
      <c r="I1076" s="134"/>
      <c r="J1076" s="134"/>
      <c r="K1076" s="134"/>
      <c r="L1076" s="134"/>
      <c r="M1076" s="134"/>
      <c r="N1076" s="134"/>
      <c r="O1076" s="134"/>
      <c r="P1076" s="134"/>
      <c r="Q1076" s="134"/>
      <c r="R1076" s="134"/>
      <c r="S1076" s="134"/>
      <c r="T1076" s="134"/>
      <c r="U1076" s="134"/>
      <c r="V1076" s="134"/>
      <c r="W1076" s="134"/>
      <c r="X1076" s="134"/>
      <c r="Y1076" s="134"/>
      <c r="Z1076" s="134"/>
      <c r="AA1076" s="134"/>
      <c r="AB1076" s="134"/>
      <c r="AC1076" s="134"/>
      <c r="AD1076" s="134"/>
      <c r="AE1076" s="134"/>
      <c r="AF1076" s="134"/>
      <c r="AG1076" s="134"/>
      <c r="AH1076" s="134"/>
      <c r="AI1076" s="134"/>
      <c r="AJ1076" s="134"/>
    </row>
    <row r="1077" spans="2:36">
      <c r="B1077" s="134"/>
      <c r="C1077" s="134"/>
      <c r="D1077" s="134"/>
      <c r="E1077" s="134"/>
      <c r="F1077" s="134"/>
      <c r="G1077" s="134"/>
      <c r="H1077" s="134"/>
      <c r="I1077" s="134"/>
      <c r="J1077" s="134"/>
      <c r="K1077" s="134"/>
      <c r="L1077" s="134"/>
      <c r="M1077" s="134"/>
      <c r="N1077" s="134"/>
      <c r="O1077" s="134"/>
      <c r="P1077" s="134"/>
      <c r="Q1077" s="134"/>
      <c r="R1077" s="134"/>
      <c r="S1077" s="134"/>
      <c r="T1077" s="134"/>
      <c r="U1077" s="134"/>
      <c r="V1077" s="134"/>
      <c r="W1077" s="134"/>
      <c r="X1077" s="134"/>
      <c r="Y1077" s="134"/>
      <c r="Z1077" s="134"/>
      <c r="AA1077" s="134"/>
      <c r="AB1077" s="134"/>
      <c r="AC1077" s="134"/>
      <c r="AD1077" s="134"/>
      <c r="AE1077" s="134"/>
      <c r="AF1077" s="134"/>
      <c r="AG1077" s="134"/>
      <c r="AH1077" s="134"/>
      <c r="AI1077" s="134"/>
      <c r="AJ1077" s="134"/>
    </row>
    <row r="1078" spans="2:36">
      <c r="B1078" s="134"/>
      <c r="C1078" s="134"/>
      <c r="D1078" s="134"/>
      <c r="E1078" s="134"/>
      <c r="F1078" s="134"/>
      <c r="G1078" s="134"/>
      <c r="H1078" s="134"/>
      <c r="I1078" s="134"/>
      <c r="J1078" s="134"/>
      <c r="K1078" s="134"/>
      <c r="L1078" s="134"/>
      <c r="M1078" s="134"/>
      <c r="N1078" s="134"/>
      <c r="O1078" s="134"/>
      <c r="P1078" s="134"/>
      <c r="Q1078" s="134"/>
      <c r="R1078" s="134"/>
      <c r="S1078" s="134"/>
      <c r="T1078" s="134"/>
      <c r="U1078" s="134"/>
      <c r="V1078" s="134"/>
      <c r="W1078" s="134"/>
      <c r="X1078" s="134"/>
      <c r="Y1078" s="134"/>
      <c r="Z1078" s="134"/>
      <c r="AA1078" s="134"/>
      <c r="AB1078" s="134"/>
      <c r="AC1078" s="134"/>
      <c r="AD1078" s="134"/>
      <c r="AE1078" s="134"/>
      <c r="AF1078" s="134"/>
      <c r="AG1078" s="134"/>
      <c r="AH1078" s="134"/>
      <c r="AI1078" s="134"/>
      <c r="AJ1078" s="134"/>
    </row>
    <row r="1079" spans="2:36">
      <c r="B1079" s="134"/>
      <c r="C1079" s="134"/>
      <c r="D1079" s="134"/>
      <c r="E1079" s="134"/>
      <c r="F1079" s="134"/>
      <c r="G1079" s="134"/>
      <c r="H1079" s="134"/>
      <c r="I1079" s="134"/>
      <c r="J1079" s="134"/>
      <c r="K1079" s="134"/>
      <c r="L1079" s="134"/>
      <c r="M1079" s="134"/>
      <c r="N1079" s="134"/>
      <c r="O1079" s="134"/>
      <c r="P1079" s="134"/>
      <c r="Q1079" s="134"/>
      <c r="R1079" s="134"/>
      <c r="S1079" s="134"/>
      <c r="T1079" s="134"/>
      <c r="U1079" s="134"/>
      <c r="V1079" s="134"/>
      <c r="W1079" s="134"/>
      <c r="X1079" s="134"/>
      <c r="Y1079" s="134"/>
      <c r="Z1079" s="134"/>
      <c r="AA1079" s="134"/>
      <c r="AB1079" s="134"/>
      <c r="AC1079" s="134"/>
      <c r="AD1079" s="134"/>
      <c r="AE1079" s="134"/>
      <c r="AF1079" s="134"/>
      <c r="AG1079" s="134"/>
      <c r="AH1079" s="134"/>
      <c r="AI1079" s="134"/>
      <c r="AJ1079" s="134"/>
    </row>
    <row r="1080" spans="2:36">
      <c r="B1080" s="134"/>
      <c r="C1080" s="134"/>
      <c r="D1080" s="134"/>
      <c r="E1080" s="134"/>
      <c r="F1080" s="134"/>
      <c r="G1080" s="134"/>
      <c r="H1080" s="134"/>
      <c r="I1080" s="134"/>
      <c r="J1080" s="134"/>
      <c r="K1080" s="134"/>
      <c r="L1080" s="134"/>
      <c r="M1080" s="134"/>
      <c r="N1080" s="134"/>
      <c r="O1080" s="134"/>
      <c r="P1080" s="134"/>
      <c r="Q1080" s="134"/>
      <c r="R1080" s="134"/>
      <c r="S1080" s="134"/>
      <c r="T1080" s="134"/>
      <c r="U1080" s="134"/>
      <c r="V1080" s="134"/>
      <c r="W1080" s="134"/>
      <c r="X1080" s="134"/>
      <c r="Y1080" s="134"/>
      <c r="Z1080" s="134"/>
      <c r="AA1080" s="134"/>
      <c r="AB1080" s="134"/>
      <c r="AC1080" s="134"/>
      <c r="AD1080" s="134"/>
      <c r="AE1080" s="134"/>
      <c r="AF1080" s="134"/>
      <c r="AG1080" s="134"/>
      <c r="AH1080" s="134"/>
      <c r="AI1080" s="134"/>
      <c r="AJ1080" s="134"/>
    </row>
    <row r="1081" spans="2:36">
      <c r="B1081" s="134"/>
      <c r="C1081" s="134"/>
      <c r="D1081" s="134"/>
      <c r="E1081" s="134"/>
      <c r="F1081" s="134"/>
      <c r="G1081" s="134"/>
      <c r="H1081" s="134"/>
      <c r="I1081" s="134"/>
      <c r="J1081" s="134"/>
      <c r="K1081" s="134"/>
      <c r="L1081" s="134"/>
      <c r="M1081" s="134"/>
      <c r="N1081" s="134"/>
      <c r="O1081" s="134"/>
      <c r="P1081" s="134"/>
      <c r="Q1081" s="134"/>
      <c r="R1081" s="134"/>
      <c r="S1081" s="134"/>
      <c r="T1081" s="134"/>
      <c r="U1081" s="134"/>
      <c r="V1081" s="134"/>
      <c r="W1081" s="134"/>
      <c r="X1081" s="134"/>
      <c r="Y1081" s="134"/>
      <c r="Z1081" s="134"/>
      <c r="AA1081" s="134"/>
      <c r="AB1081" s="134"/>
      <c r="AC1081" s="134"/>
      <c r="AD1081" s="134"/>
      <c r="AE1081" s="134"/>
      <c r="AF1081" s="134"/>
      <c r="AG1081" s="134"/>
      <c r="AH1081" s="134"/>
      <c r="AI1081" s="134"/>
      <c r="AJ1081" s="134"/>
    </row>
    <row r="1082" spans="2:36">
      <c r="B1082" s="134"/>
      <c r="C1082" s="134"/>
      <c r="D1082" s="134"/>
      <c r="E1082" s="134"/>
      <c r="F1082" s="134"/>
      <c r="G1082" s="134"/>
      <c r="H1082" s="134"/>
      <c r="I1082" s="134"/>
      <c r="J1082" s="134"/>
      <c r="K1082" s="134"/>
      <c r="L1082" s="134"/>
      <c r="M1082" s="134"/>
      <c r="N1082" s="134"/>
      <c r="O1082" s="134"/>
      <c r="P1082" s="134"/>
      <c r="Q1082" s="134"/>
      <c r="R1082" s="134"/>
      <c r="S1082" s="134"/>
      <c r="T1082" s="134"/>
      <c r="U1082" s="134"/>
      <c r="V1082" s="134"/>
      <c r="W1082" s="134"/>
      <c r="X1082" s="134"/>
      <c r="Y1082" s="134"/>
      <c r="Z1082" s="134"/>
      <c r="AA1082" s="134"/>
      <c r="AB1082" s="134"/>
      <c r="AC1082" s="134"/>
      <c r="AD1082" s="134"/>
      <c r="AE1082" s="134"/>
      <c r="AF1082" s="134"/>
      <c r="AG1082" s="134"/>
      <c r="AH1082" s="134"/>
      <c r="AI1082" s="134"/>
      <c r="AJ1082" s="134"/>
    </row>
    <row r="1083" spans="2:36">
      <c r="B1083" s="134"/>
      <c r="C1083" s="134"/>
      <c r="D1083" s="134"/>
      <c r="E1083" s="134"/>
      <c r="F1083" s="134"/>
      <c r="G1083" s="134"/>
      <c r="H1083" s="134"/>
      <c r="I1083" s="134"/>
      <c r="J1083" s="134"/>
      <c r="K1083" s="134"/>
      <c r="L1083" s="134"/>
      <c r="M1083" s="134"/>
      <c r="N1083" s="134"/>
      <c r="O1083" s="134"/>
      <c r="P1083" s="134"/>
      <c r="Q1083" s="134"/>
      <c r="R1083" s="134"/>
      <c r="S1083" s="134"/>
      <c r="T1083" s="134"/>
      <c r="U1083" s="134"/>
      <c r="V1083" s="134"/>
      <c r="W1083" s="134"/>
      <c r="X1083" s="134"/>
      <c r="Y1083" s="134"/>
      <c r="Z1083" s="134"/>
      <c r="AA1083" s="134"/>
      <c r="AB1083" s="134"/>
      <c r="AC1083" s="134"/>
      <c r="AD1083" s="134"/>
      <c r="AE1083" s="134"/>
      <c r="AF1083" s="134"/>
      <c r="AG1083" s="134"/>
      <c r="AH1083" s="134"/>
      <c r="AI1083" s="134"/>
      <c r="AJ1083" s="134"/>
    </row>
    <row r="1084" spans="2:36">
      <c r="B1084" s="134"/>
      <c r="C1084" s="134"/>
      <c r="D1084" s="134"/>
      <c r="E1084" s="134"/>
      <c r="F1084" s="134"/>
      <c r="G1084" s="134"/>
      <c r="H1084" s="134"/>
      <c r="I1084" s="134"/>
      <c r="J1084" s="134"/>
      <c r="K1084" s="134"/>
      <c r="L1084" s="134"/>
      <c r="M1084" s="134"/>
      <c r="N1084" s="134"/>
      <c r="O1084" s="134"/>
      <c r="P1084" s="134"/>
      <c r="Q1084" s="134"/>
      <c r="R1084" s="134"/>
      <c r="S1084" s="134"/>
      <c r="T1084" s="134"/>
      <c r="U1084" s="134"/>
      <c r="V1084" s="134"/>
      <c r="W1084" s="134"/>
      <c r="X1084" s="134"/>
      <c r="Y1084" s="134"/>
      <c r="Z1084" s="134"/>
      <c r="AA1084" s="134"/>
      <c r="AB1084" s="134"/>
      <c r="AC1084" s="134"/>
      <c r="AD1084" s="134"/>
      <c r="AE1084" s="134"/>
      <c r="AF1084" s="134"/>
      <c r="AG1084" s="134"/>
      <c r="AH1084" s="134"/>
      <c r="AI1084" s="134"/>
      <c r="AJ1084" s="134"/>
    </row>
    <row r="1085" spans="2:36">
      <c r="B1085" s="134"/>
      <c r="C1085" s="134"/>
      <c r="D1085" s="134"/>
      <c r="E1085" s="134"/>
      <c r="F1085" s="134"/>
      <c r="G1085" s="134"/>
      <c r="H1085" s="134"/>
      <c r="I1085" s="134"/>
      <c r="J1085" s="134"/>
      <c r="K1085" s="134"/>
      <c r="L1085" s="134"/>
      <c r="M1085" s="134"/>
      <c r="N1085" s="134"/>
      <c r="O1085" s="134"/>
      <c r="P1085" s="134"/>
      <c r="Q1085" s="134"/>
      <c r="R1085" s="134"/>
      <c r="S1085" s="134"/>
      <c r="T1085" s="134"/>
      <c r="U1085" s="134"/>
      <c r="V1085" s="134"/>
      <c r="W1085" s="134"/>
      <c r="X1085" s="134"/>
      <c r="Y1085" s="134"/>
      <c r="Z1085" s="134"/>
      <c r="AA1085" s="134"/>
      <c r="AB1085" s="134"/>
      <c r="AC1085" s="134"/>
      <c r="AD1085" s="134"/>
      <c r="AE1085" s="134"/>
      <c r="AF1085" s="134"/>
      <c r="AG1085" s="134"/>
      <c r="AH1085" s="134"/>
      <c r="AI1085" s="134"/>
      <c r="AJ1085" s="134"/>
    </row>
    <row r="1086" spans="2:36">
      <c r="B1086" s="134"/>
      <c r="C1086" s="134"/>
      <c r="D1086" s="134"/>
      <c r="E1086" s="134"/>
      <c r="F1086" s="134"/>
      <c r="G1086" s="134"/>
      <c r="H1086" s="134"/>
      <c r="I1086" s="134"/>
      <c r="J1086" s="134"/>
      <c r="K1086" s="134"/>
      <c r="L1086" s="134"/>
      <c r="M1086" s="134"/>
      <c r="N1086" s="134"/>
      <c r="O1086" s="134"/>
      <c r="P1086" s="134"/>
      <c r="Q1086" s="134"/>
      <c r="R1086" s="134"/>
      <c r="S1086" s="134"/>
      <c r="T1086" s="134"/>
      <c r="U1086" s="134"/>
      <c r="V1086" s="134"/>
      <c r="W1086" s="134"/>
      <c r="X1086" s="134"/>
      <c r="Y1086" s="134"/>
      <c r="Z1086" s="134"/>
      <c r="AA1086" s="134"/>
      <c r="AB1086" s="134"/>
      <c r="AC1086" s="134"/>
      <c r="AD1086" s="134"/>
      <c r="AE1086" s="134"/>
      <c r="AF1086" s="134"/>
      <c r="AG1086" s="134"/>
      <c r="AH1086" s="134"/>
      <c r="AI1086" s="134"/>
      <c r="AJ1086" s="134"/>
    </row>
    <row r="1087" spans="2:36">
      <c r="B1087" s="134"/>
      <c r="C1087" s="134"/>
      <c r="D1087" s="134"/>
      <c r="E1087" s="134"/>
      <c r="F1087" s="134"/>
      <c r="G1087" s="134"/>
      <c r="H1087" s="134"/>
      <c r="I1087" s="134"/>
      <c r="J1087" s="134"/>
      <c r="K1087" s="134"/>
      <c r="L1087" s="134"/>
      <c r="M1087" s="134"/>
      <c r="N1087" s="134"/>
      <c r="O1087" s="134"/>
      <c r="P1087" s="134"/>
      <c r="Q1087" s="134"/>
      <c r="R1087" s="134"/>
      <c r="S1087" s="134"/>
      <c r="T1087" s="134"/>
      <c r="U1087" s="134"/>
      <c r="V1087" s="134"/>
      <c r="W1087" s="134"/>
      <c r="X1087" s="134"/>
      <c r="Y1087" s="134"/>
      <c r="Z1087" s="134"/>
      <c r="AA1087" s="134"/>
      <c r="AB1087" s="134"/>
      <c r="AC1087" s="134"/>
      <c r="AD1087" s="134"/>
      <c r="AE1087" s="134"/>
      <c r="AF1087" s="134"/>
      <c r="AG1087" s="134"/>
      <c r="AH1087" s="134"/>
      <c r="AI1087" s="134"/>
      <c r="AJ1087" s="134"/>
    </row>
    <row r="1088" spans="2:36">
      <c r="B1088" s="134"/>
      <c r="C1088" s="134"/>
      <c r="D1088" s="134"/>
      <c r="E1088" s="134"/>
      <c r="F1088" s="134"/>
      <c r="G1088" s="134"/>
      <c r="H1088" s="134"/>
      <c r="I1088" s="134"/>
      <c r="J1088" s="134"/>
      <c r="K1088" s="134"/>
      <c r="L1088" s="134"/>
      <c r="M1088" s="134"/>
      <c r="N1088" s="134"/>
      <c r="O1088" s="134"/>
      <c r="P1088" s="134"/>
      <c r="Q1088" s="134"/>
      <c r="R1088" s="134"/>
      <c r="S1088" s="134"/>
      <c r="T1088" s="134"/>
      <c r="U1088" s="134"/>
      <c r="V1088" s="134"/>
      <c r="W1088" s="134"/>
      <c r="X1088" s="134"/>
      <c r="Y1088" s="134"/>
      <c r="Z1088" s="134"/>
      <c r="AA1088" s="134"/>
      <c r="AB1088" s="134"/>
      <c r="AC1088" s="134"/>
      <c r="AD1088" s="134"/>
      <c r="AE1088" s="134"/>
      <c r="AF1088" s="134"/>
      <c r="AG1088" s="134"/>
      <c r="AH1088" s="134"/>
      <c r="AI1088" s="134"/>
      <c r="AJ1088" s="134"/>
    </row>
    <row r="1089" spans="2:36">
      <c r="B1089" s="134"/>
      <c r="C1089" s="134"/>
      <c r="D1089" s="134"/>
      <c r="E1089" s="134"/>
      <c r="F1089" s="134"/>
      <c r="G1089" s="134"/>
      <c r="H1089" s="134"/>
      <c r="I1089" s="134"/>
      <c r="J1089" s="134"/>
      <c r="K1089" s="134"/>
      <c r="L1089" s="134"/>
      <c r="M1089" s="134"/>
      <c r="N1089" s="134"/>
      <c r="O1089" s="134"/>
      <c r="P1089" s="134"/>
      <c r="Q1089" s="134"/>
      <c r="R1089" s="134"/>
      <c r="S1089" s="134"/>
      <c r="T1089" s="134"/>
      <c r="U1089" s="134"/>
      <c r="V1089" s="134"/>
      <c r="W1089" s="134"/>
      <c r="X1089" s="134"/>
      <c r="Y1089" s="134"/>
      <c r="Z1089" s="134"/>
      <c r="AA1089" s="134"/>
      <c r="AB1089" s="134"/>
      <c r="AC1089" s="134"/>
      <c r="AD1089" s="134"/>
      <c r="AE1089" s="134"/>
      <c r="AF1089" s="134"/>
      <c r="AG1089" s="134"/>
      <c r="AH1089" s="134"/>
      <c r="AI1089" s="134"/>
      <c r="AJ1089" s="134"/>
    </row>
    <row r="1090" spans="2:36">
      <c r="B1090" s="134"/>
      <c r="C1090" s="134"/>
      <c r="D1090" s="134"/>
      <c r="E1090" s="134"/>
      <c r="F1090" s="134"/>
      <c r="G1090" s="134"/>
      <c r="H1090" s="134"/>
      <c r="I1090" s="134"/>
      <c r="J1090" s="134"/>
      <c r="K1090" s="134"/>
      <c r="L1090" s="134"/>
      <c r="M1090" s="134"/>
      <c r="N1090" s="134"/>
      <c r="O1090" s="134"/>
      <c r="P1090" s="134"/>
      <c r="Q1090" s="134"/>
      <c r="R1090" s="134"/>
      <c r="S1090" s="134"/>
      <c r="T1090" s="134"/>
      <c r="U1090" s="134"/>
      <c r="V1090" s="134"/>
      <c r="W1090" s="134"/>
      <c r="X1090" s="134"/>
      <c r="Y1090" s="134"/>
      <c r="Z1090" s="134"/>
      <c r="AA1090" s="134"/>
      <c r="AB1090" s="134"/>
      <c r="AC1090" s="134"/>
      <c r="AD1090" s="134"/>
      <c r="AE1090" s="134"/>
      <c r="AF1090" s="134"/>
      <c r="AG1090" s="134"/>
      <c r="AH1090" s="134"/>
      <c r="AI1090" s="134"/>
      <c r="AJ1090" s="134"/>
    </row>
    <row r="1091" spans="2:36">
      <c r="B1091" s="134"/>
      <c r="C1091" s="134"/>
      <c r="D1091" s="134"/>
      <c r="E1091" s="134"/>
      <c r="F1091" s="134"/>
      <c r="G1091" s="134"/>
      <c r="H1091" s="134"/>
      <c r="I1091" s="134"/>
      <c r="J1091" s="134"/>
      <c r="K1091" s="134"/>
      <c r="L1091" s="134"/>
      <c r="M1091" s="134"/>
      <c r="N1091" s="134"/>
      <c r="O1091" s="134"/>
      <c r="P1091" s="134"/>
      <c r="Q1091" s="134"/>
      <c r="R1091" s="134"/>
      <c r="S1091" s="134"/>
      <c r="T1091" s="134"/>
      <c r="U1091" s="134"/>
      <c r="V1091" s="134"/>
      <c r="W1091" s="134"/>
      <c r="X1091" s="134"/>
      <c r="Y1091" s="134"/>
      <c r="Z1091" s="134"/>
      <c r="AA1091" s="134"/>
      <c r="AB1091" s="134"/>
      <c r="AC1091" s="134"/>
      <c r="AD1091" s="134"/>
      <c r="AE1091" s="134"/>
      <c r="AF1091" s="134"/>
      <c r="AG1091" s="134"/>
      <c r="AH1091" s="134"/>
      <c r="AI1091" s="134"/>
      <c r="AJ1091" s="134"/>
    </row>
    <row r="1092" spans="2:36">
      <c r="B1092" s="134"/>
      <c r="C1092" s="134"/>
      <c r="D1092" s="134"/>
      <c r="E1092" s="134"/>
      <c r="F1092" s="134"/>
      <c r="G1092" s="134"/>
      <c r="H1092" s="134"/>
      <c r="I1092" s="134"/>
      <c r="J1092" s="134"/>
      <c r="K1092" s="134"/>
      <c r="L1092" s="134"/>
      <c r="M1092" s="134"/>
      <c r="N1092" s="134"/>
      <c r="O1092" s="134"/>
      <c r="P1092" s="134"/>
      <c r="Q1092" s="134"/>
      <c r="R1092" s="134"/>
      <c r="S1092" s="134"/>
      <c r="T1092" s="134"/>
      <c r="U1092" s="134"/>
      <c r="V1092" s="134"/>
      <c r="W1092" s="134"/>
      <c r="X1092" s="134"/>
      <c r="Y1092" s="134"/>
      <c r="Z1092" s="134"/>
      <c r="AA1092" s="134"/>
      <c r="AB1092" s="134"/>
      <c r="AC1092" s="134"/>
      <c r="AD1092" s="134"/>
      <c r="AE1092" s="134"/>
      <c r="AF1092" s="134"/>
      <c r="AG1092" s="134"/>
      <c r="AH1092" s="134"/>
      <c r="AI1092" s="134"/>
      <c r="AJ1092" s="134"/>
    </row>
    <row r="1093" spans="2:36">
      <c r="B1093" s="134"/>
      <c r="C1093" s="134"/>
      <c r="D1093" s="134"/>
      <c r="E1093" s="134"/>
      <c r="F1093" s="134"/>
      <c r="G1093" s="134"/>
      <c r="H1093" s="134"/>
      <c r="I1093" s="134"/>
      <c r="J1093" s="134"/>
      <c r="K1093" s="134"/>
      <c r="L1093" s="134"/>
      <c r="M1093" s="134"/>
      <c r="N1093" s="134"/>
      <c r="O1093" s="134"/>
      <c r="P1093" s="134"/>
      <c r="Q1093" s="134"/>
      <c r="R1093" s="134"/>
      <c r="S1093" s="134"/>
      <c r="T1093" s="134"/>
      <c r="U1093" s="134"/>
      <c r="V1093" s="134"/>
      <c r="W1093" s="134"/>
      <c r="X1093" s="134"/>
      <c r="Y1093" s="134"/>
      <c r="Z1093" s="134"/>
      <c r="AA1093" s="134"/>
      <c r="AB1093" s="134"/>
      <c r="AC1093" s="134"/>
      <c r="AD1093" s="134"/>
      <c r="AE1093" s="134"/>
      <c r="AF1093" s="134"/>
      <c r="AG1093" s="134"/>
      <c r="AH1093" s="134"/>
      <c r="AI1093" s="134"/>
      <c r="AJ1093" s="134"/>
    </row>
    <row r="1094" spans="2:36">
      <c r="B1094" s="134"/>
      <c r="C1094" s="134"/>
      <c r="D1094" s="134"/>
      <c r="E1094" s="134"/>
      <c r="F1094" s="134"/>
      <c r="G1094" s="134"/>
      <c r="H1094" s="134"/>
      <c r="I1094" s="134"/>
      <c r="J1094" s="134"/>
      <c r="K1094" s="134"/>
      <c r="L1094" s="134"/>
      <c r="M1094" s="134"/>
      <c r="N1094" s="134"/>
      <c r="O1094" s="134"/>
      <c r="P1094" s="134"/>
      <c r="Q1094" s="134"/>
      <c r="R1094" s="134"/>
      <c r="S1094" s="134"/>
      <c r="T1094" s="134"/>
      <c r="U1094" s="134"/>
      <c r="V1094" s="134"/>
      <c r="W1094" s="134"/>
      <c r="X1094" s="134"/>
      <c r="Y1094" s="134"/>
      <c r="Z1094" s="134"/>
      <c r="AA1094" s="134"/>
      <c r="AB1094" s="134"/>
      <c r="AC1094" s="134"/>
      <c r="AD1094" s="134"/>
      <c r="AE1094" s="134"/>
      <c r="AF1094" s="134"/>
      <c r="AG1094" s="134"/>
      <c r="AH1094" s="134"/>
      <c r="AI1094" s="134"/>
      <c r="AJ1094" s="134"/>
    </row>
    <row r="1095" spans="2:36">
      <c r="B1095" s="134"/>
      <c r="C1095" s="134"/>
      <c r="D1095" s="134"/>
      <c r="E1095" s="134"/>
      <c r="F1095" s="134"/>
      <c r="G1095" s="134"/>
      <c r="H1095" s="134"/>
      <c r="I1095" s="134"/>
      <c r="J1095" s="134"/>
      <c r="K1095" s="134"/>
      <c r="L1095" s="134"/>
      <c r="M1095" s="134"/>
      <c r="N1095" s="134"/>
      <c r="O1095" s="134"/>
      <c r="P1095" s="134"/>
      <c r="Q1095" s="134"/>
      <c r="R1095" s="134"/>
      <c r="S1095" s="134"/>
      <c r="T1095" s="134"/>
      <c r="U1095" s="134"/>
      <c r="V1095" s="134"/>
      <c r="W1095" s="134"/>
      <c r="X1095" s="134"/>
      <c r="Y1095" s="134"/>
      <c r="Z1095" s="134"/>
      <c r="AA1095" s="134"/>
      <c r="AB1095" s="134"/>
      <c r="AC1095" s="134"/>
      <c r="AD1095" s="134"/>
      <c r="AE1095" s="134"/>
      <c r="AF1095" s="134"/>
      <c r="AG1095" s="134"/>
      <c r="AH1095" s="134"/>
      <c r="AI1095" s="134"/>
      <c r="AJ1095" s="134"/>
    </row>
    <row r="1096" spans="2:36">
      <c r="B1096" s="134"/>
      <c r="C1096" s="134"/>
      <c r="D1096" s="134"/>
      <c r="E1096" s="134"/>
      <c r="F1096" s="134"/>
      <c r="G1096" s="134"/>
      <c r="H1096" s="134"/>
      <c r="I1096" s="134"/>
      <c r="J1096" s="134"/>
      <c r="K1096" s="134"/>
      <c r="L1096" s="134"/>
      <c r="M1096" s="134"/>
      <c r="N1096" s="134"/>
      <c r="O1096" s="134"/>
      <c r="P1096" s="134"/>
      <c r="Q1096" s="134"/>
      <c r="R1096" s="134"/>
      <c r="S1096" s="134"/>
      <c r="T1096" s="134"/>
      <c r="U1096" s="134"/>
      <c r="V1096" s="134"/>
      <c r="W1096" s="134"/>
      <c r="X1096" s="134"/>
      <c r="Y1096" s="134"/>
      <c r="Z1096" s="134"/>
      <c r="AA1096" s="134"/>
      <c r="AB1096" s="134"/>
      <c r="AC1096" s="134"/>
      <c r="AD1096" s="134"/>
      <c r="AE1096" s="134"/>
      <c r="AF1096" s="134"/>
      <c r="AG1096" s="134"/>
      <c r="AH1096" s="134"/>
      <c r="AI1096" s="134"/>
      <c r="AJ1096" s="134"/>
    </row>
    <row r="1097" spans="2:36">
      <c r="B1097" s="134"/>
      <c r="C1097" s="134"/>
      <c r="D1097" s="134"/>
      <c r="E1097" s="134"/>
      <c r="F1097" s="134"/>
      <c r="G1097" s="134"/>
      <c r="H1097" s="134"/>
      <c r="I1097" s="134"/>
      <c r="J1097" s="134"/>
      <c r="K1097" s="134"/>
      <c r="L1097" s="134"/>
      <c r="M1097" s="134"/>
      <c r="N1097" s="134"/>
      <c r="O1097" s="134"/>
      <c r="P1097" s="134"/>
      <c r="Q1097" s="134"/>
      <c r="R1097" s="134"/>
      <c r="S1097" s="134"/>
      <c r="T1097" s="134"/>
      <c r="U1097" s="134"/>
      <c r="V1097" s="134"/>
      <c r="W1097" s="134"/>
      <c r="X1097" s="134"/>
      <c r="Y1097" s="134"/>
      <c r="Z1097" s="134"/>
      <c r="AA1097" s="134"/>
      <c r="AB1097" s="134"/>
      <c r="AC1097" s="134"/>
      <c r="AD1097" s="134"/>
      <c r="AE1097" s="134"/>
      <c r="AF1097" s="134"/>
      <c r="AG1097" s="134"/>
      <c r="AH1097" s="134"/>
      <c r="AI1097" s="134"/>
      <c r="AJ1097" s="134"/>
    </row>
    <row r="1098" spans="2:36">
      <c r="B1098" s="134"/>
      <c r="C1098" s="134"/>
      <c r="D1098" s="134"/>
      <c r="E1098" s="134"/>
      <c r="F1098" s="134"/>
      <c r="G1098" s="134"/>
      <c r="H1098" s="134"/>
      <c r="I1098" s="134"/>
      <c r="J1098" s="134"/>
      <c r="K1098" s="134"/>
      <c r="L1098" s="134"/>
      <c r="M1098" s="134"/>
      <c r="N1098" s="134"/>
      <c r="O1098" s="134"/>
      <c r="P1098" s="134"/>
      <c r="Q1098" s="134"/>
      <c r="R1098" s="134"/>
      <c r="S1098" s="134"/>
      <c r="T1098" s="134"/>
      <c r="U1098" s="134"/>
      <c r="V1098" s="134"/>
      <c r="W1098" s="134"/>
      <c r="X1098" s="134"/>
      <c r="Y1098" s="134"/>
      <c r="Z1098" s="134"/>
      <c r="AA1098" s="134"/>
      <c r="AB1098" s="134"/>
      <c r="AC1098" s="134"/>
      <c r="AD1098" s="134"/>
      <c r="AE1098" s="134"/>
      <c r="AF1098" s="134"/>
      <c r="AG1098" s="134"/>
      <c r="AH1098" s="134"/>
      <c r="AI1098" s="134"/>
      <c r="AJ1098" s="134"/>
    </row>
    <row r="1099" spans="2:36">
      <c r="B1099" s="134"/>
      <c r="C1099" s="134"/>
      <c r="D1099" s="134"/>
      <c r="E1099" s="134"/>
      <c r="F1099" s="134"/>
      <c r="G1099" s="134"/>
      <c r="H1099" s="134"/>
      <c r="I1099" s="134"/>
      <c r="J1099" s="134"/>
      <c r="K1099" s="134"/>
      <c r="L1099" s="134"/>
      <c r="M1099" s="134"/>
      <c r="N1099" s="134"/>
      <c r="O1099" s="134"/>
      <c r="P1099" s="134"/>
      <c r="Q1099" s="134"/>
      <c r="R1099" s="134"/>
      <c r="S1099" s="134"/>
      <c r="T1099" s="134"/>
      <c r="U1099" s="134"/>
      <c r="V1099" s="134"/>
      <c r="W1099" s="134"/>
      <c r="X1099" s="134"/>
      <c r="Y1099" s="134"/>
      <c r="Z1099" s="134"/>
      <c r="AA1099" s="134"/>
      <c r="AB1099" s="134"/>
      <c r="AC1099" s="134"/>
      <c r="AD1099" s="134"/>
      <c r="AE1099" s="134"/>
      <c r="AF1099" s="134"/>
      <c r="AG1099" s="134"/>
      <c r="AH1099" s="134"/>
      <c r="AI1099" s="134"/>
      <c r="AJ1099" s="134"/>
    </row>
    <row r="1100" spans="2:36">
      <c r="B1100" s="134"/>
      <c r="C1100" s="134"/>
      <c r="D1100" s="134"/>
      <c r="E1100" s="134"/>
      <c r="F1100" s="134"/>
      <c r="G1100" s="134"/>
      <c r="H1100" s="134"/>
      <c r="I1100" s="134"/>
      <c r="J1100" s="134"/>
      <c r="K1100" s="134"/>
      <c r="L1100" s="134"/>
      <c r="M1100" s="134"/>
      <c r="N1100" s="134"/>
      <c r="O1100" s="134"/>
      <c r="P1100" s="134"/>
      <c r="Q1100" s="134"/>
      <c r="R1100" s="134"/>
      <c r="S1100" s="134"/>
      <c r="T1100" s="134"/>
      <c r="U1100" s="134"/>
      <c r="V1100" s="134"/>
      <c r="W1100" s="134"/>
      <c r="X1100" s="134"/>
      <c r="Y1100" s="134"/>
      <c r="Z1100" s="134"/>
      <c r="AA1100" s="134"/>
      <c r="AB1100" s="134"/>
      <c r="AC1100" s="134"/>
      <c r="AD1100" s="134"/>
      <c r="AE1100" s="134"/>
      <c r="AF1100" s="134"/>
      <c r="AG1100" s="134"/>
      <c r="AH1100" s="134"/>
      <c r="AI1100" s="134"/>
      <c r="AJ1100" s="134"/>
    </row>
    <row r="1101" spans="2:36">
      <c r="B1101" s="134"/>
      <c r="C1101" s="134"/>
      <c r="D1101" s="134"/>
      <c r="E1101" s="134"/>
      <c r="F1101" s="134"/>
      <c r="G1101" s="134"/>
      <c r="H1101" s="134"/>
      <c r="I1101" s="134"/>
      <c r="J1101" s="134"/>
      <c r="K1101" s="134"/>
      <c r="L1101" s="134"/>
      <c r="M1101" s="134"/>
      <c r="N1101" s="134"/>
      <c r="O1101" s="134"/>
      <c r="P1101" s="134"/>
      <c r="Q1101" s="134"/>
      <c r="R1101" s="134"/>
      <c r="S1101" s="134"/>
      <c r="T1101" s="134"/>
      <c r="U1101" s="134"/>
      <c r="V1101" s="134"/>
      <c r="W1101" s="134"/>
      <c r="X1101" s="134"/>
      <c r="Y1101" s="134"/>
      <c r="Z1101" s="134"/>
      <c r="AA1101" s="134"/>
      <c r="AB1101" s="134"/>
      <c r="AC1101" s="134"/>
      <c r="AD1101" s="134"/>
      <c r="AE1101" s="134"/>
      <c r="AF1101" s="134"/>
      <c r="AG1101" s="134"/>
      <c r="AH1101" s="134"/>
      <c r="AI1101" s="134"/>
      <c r="AJ1101" s="134"/>
    </row>
    <row r="1102" spans="2:36">
      <c r="B1102" s="134"/>
      <c r="C1102" s="134"/>
      <c r="D1102" s="134"/>
      <c r="E1102" s="134"/>
      <c r="F1102" s="134"/>
      <c r="G1102" s="134"/>
      <c r="H1102" s="134"/>
      <c r="I1102" s="134"/>
      <c r="J1102" s="134"/>
      <c r="K1102" s="134"/>
      <c r="L1102" s="134"/>
      <c r="M1102" s="134"/>
      <c r="N1102" s="134"/>
      <c r="O1102" s="134"/>
      <c r="P1102" s="134"/>
      <c r="Q1102" s="134"/>
      <c r="R1102" s="134"/>
      <c r="S1102" s="134"/>
      <c r="T1102" s="134"/>
      <c r="U1102" s="134"/>
      <c r="V1102" s="134"/>
      <c r="W1102" s="134"/>
      <c r="X1102" s="134"/>
      <c r="Y1102" s="134"/>
      <c r="Z1102" s="134"/>
      <c r="AA1102" s="134"/>
      <c r="AB1102" s="134"/>
      <c r="AC1102" s="134"/>
      <c r="AD1102" s="134"/>
      <c r="AE1102" s="134"/>
      <c r="AF1102" s="134"/>
      <c r="AG1102" s="134"/>
      <c r="AH1102" s="134"/>
      <c r="AI1102" s="134"/>
      <c r="AJ1102" s="134"/>
    </row>
    <row r="1103" spans="2:36">
      <c r="B1103" s="134"/>
      <c r="C1103" s="134"/>
      <c r="D1103" s="134"/>
      <c r="E1103" s="134"/>
      <c r="F1103" s="134"/>
      <c r="G1103" s="134"/>
      <c r="H1103" s="134"/>
      <c r="I1103" s="134"/>
      <c r="J1103" s="134"/>
      <c r="K1103" s="134"/>
      <c r="L1103" s="134"/>
      <c r="M1103" s="134"/>
      <c r="N1103" s="134"/>
      <c r="O1103" s="134"/>
      <c r="P1103" s="134"/>
      <c r="Q1103" s="134"/>
      <c r="R1103" s="134"/>
      <c r="S1103" s="134"/>
      <c r="T1103" s="134"/>
      <c r="U1103" s="134"/>
      <c r="V1103" s="134"/>
      <c r="W1103" s="134"/>
      <c r="X1103" s="134"/>
      <c r="Y1103" s="134"/>
      <c r="Z1103" s="134"/>
      <c r="AA1103" s="134"/>
      <c r="AB1103" s="134"/>
      <c r="AC1103" s="134"/>
      <c r="AD1103" s="134"/>
      <c r="AE1103" s="134"/>
      <c r="AF1103" s="134"/>
      <c r="AG1103" s="134"/>
      <c r="AH1103" s="134"/>
      <c r="AI1103" s="134"/>
      <c r="AJ1103" s="134"/>
    </row>
    <row r="1104" spans="2:36">
      <c r="B1104" s="134"/>
      <c r="C1104" s="134"/>
      <c r="D1104" s="134"/>
      <c r="E1104" s="134"/>
      <c r="F1104" s="134"/>
      <c r="G1104" s="134"/>
      <c r="H1104" s="134"/>
      <c r="I1104" s="134"/>
      <c r="J1104" s="134"/>
      <c r="K1104" s="134"/>
      <c r="L1104" s="134"/>
      <c r="M1104" s="134"/>
      <c r="N1104" s="134"/>
      <c r="O1104" s="134"/>
      <c r="P1104" s="134"/>
      <c r="Q1104" s="134"/>
      <c r="R1104" s="134"/>
      <c r="S1104" s="134"/>
      <c r="T1104" s="134"/>
      <c r="U1104" s="134"/>
      <c r="V1104" s="134"/>
      <c r="W1104" s="134"/>
      <c r="X1104" s="134"/>
      <c r="Y1104" s="134"/>
      <c r="Z1104" s="134"/>
      <c r="AA1104" s="134"/>
      <c r="AB1104" s="134"/>
      <c r="AC1104" s="134"/>
      <c r="AD1104" s="134"/>
      <c r="AE1104" s="134"/>
      <c r="AF1104" s="134"/>
      <c r="AG1104" s="134"/>
      <c r="AH1104" s="134"/>
      <c r="AI1104" s="134"/>
      <c r="AJ1104" s="134"/>
    </row>
    <row r="1105" spans="2:36">
      <c r="B1105" s="134"/>
      <c r="C1105" s="134"/>
      <c r="D1105" s="134"/>
      <c r="E1105" s="134"/>
      <c r="F1105" s="134"/>
      <c r="G1105" s="134"/>
      <c r="H1105" s="134"/>
      <c r="I1105" s="134"/>
      <c r="J1105" s="134"/>
      <c r="K1105" s="134"/>
      <c r="L1105" s="134"/>
      <c r="M1105" s="134"/>
      <c r="N1105" s="134"/>
      <c r="O1105" s="134"/>
      <c r="P1105" s="134"/>
      <c r="Q1105" s="134"/>
      <c r="R1105" s="134"/>
      <c r="S1105" s="134"/>
      <c r="T1105" s="134"/>
      <c r="U1105" s="134"/>
      <c r="V1105" s="134"/>
      <c r="W1105" s="134"/>
      <c r="X1105" s="134"/>
      <c r="Y1105" s="134"/>
      <c r="Z1105" s="134"/>
      <c r="AA1105" s="134"/>
      <c r="AB1105" s="134"/>
      <c r="AC1105" s="134"/>
      <c r="AD1105" s="134"/>
      <c r="AE1105" s="134"/>
      <c r="AF1105" s="134"/>
      <c r="AG1105" s="134"/>
      <c r="AH1105" s="134"/>
      <c r="AI1105" s="134"/>
      <c r="AJ1105" s="134"/>
    </row>
    <row r="1106" spans="2:36">
      <c r="B1106" s="134"/>
      <c r="C1106" s="134"/>
      <c r="D1106" s="134"/>
      <c r="E1106" s="134"/>
      <c r="F1106" s="134"/>
      <c r="G1106" s="134"/>
      <c r="H1106" s="134"/>
      <c r="I1106" s="134"/>
      <c r="J1106" s="134"/>
      <c r="K1106" s="134"/>
      <c r="L1106" s="134"/>
      <c r="M1106" s="134"/>
      <c r="N1106" s="134"/>
      <c r="O1106" s="134"/>
      <c r="P1106" s="134"/>
      <c r="Q1106" s="134"/>
      <c r="R1106" s="134"/>
      <c r="S1106" s="134"/>
      <c r="T1106" s="134"/>
      <c r="U1106" s="134"/>
      <c r="V1106" s="134"/>
      <c r="W1106" s="134"/>
      <c r="X1106" s="134"/>
      <c r="Y1106" s="134"/>
      <c r="Z1106" s="134"/>
      <c r="AA1106" s="134"/>
      <c r="AB1106" s="134"/>
      <c r="AC1106" s="134"/>
      <c r="AD1106" s="134"/>
      <c r="AE1106" s="134"/>
      <c r="AF1106" s="134"/>
      <c r="AG1106" s="134"/>
      <c r="AH1106" s="134"/>
      <c r="AI1106" s="134"/>
      <c r="AJ1106" s="134"/>
    </row>
    <row r="1107" spans="2:36">
      <c r="B1107" s="134"/>
      <c r="C1107" s="134"/>
      <c r="D1107" s="134"/>
      <c r="E1107" s="134"/>
      <c r="F1107" s="134"/>
      <c r="G1107" s="134"/>
      <c r="H1107" s="134"/>
      <c r="I1107" s="134"/>
      <c r="J1107" s="134"/>
      <c r="K1107" s="134"/>
      <c r="L1107" s="134"/>
      <c r="M1107" s="134"/>
      <c r="N1107" s="134"/>
      <c r="O1107" s="134"/>
      <c r="P1107" s="134"/>
      <c r="Q1107" s="134"/>
      <c r="R1107" s="134"/>
      <c r="S1107" s="134"/>
      <c r="T1107" s="134"/>
      <c r="U1107" s="134"/>
      <c r="V1107" s="134"/>
      <c r="W1107" s="134"/>
      <c r="X1107" s="134"/>
      <c r="Y1107" s="134"/>
      <c r="Z1107" s="134"/>
      <c r="AA1107" s="134"/>
      <c r="AB1107" s="134"/>
      <c r="AC1107" s="134"/>
      <c r="AD1107" s="134"/>
      <c r="AE1107" s="134"/>
      <c r="AF1107" s="134"/>
      <c r="AG1107" s="134"/>
      <c r="AH1107" s="134"/>
      <c r="AI1107" s="134"/>
      <c r="AJ1107" s="134"/>
    </row>
    <row r="1108" spans="2:36">
      <c r="B1108" s="134"/>
      <c r="C1108" s="134"/>
      <c r="D1108" s="134"/>
      <c r="E1108" s="134"/>
      <c r="F1108" s="134"/>
      <c r="G1108" s="134"/>
      <c r="H1108" s="134"/>
      <c r="I1108" s="134"/>
      <c r="J1108" s="134"/>
      <c r="K1108" s="134"/>
      <c r="L1108" s="134"/>
      <c r="M1108" s="134"/>
      <c r="N1108" s="134"/>
      <c r="O1108" s="134"/>
      <c r="P1108" s="134"/>
      <c r="Q1108" s="134"/>
      <c r="R1108" s="134"/>
      <c r="S1108" s="134"/>
      <c r="T1108" s="134"/>
      <c r="U1108" s="134"/>
      <c r="V1108" s="134"/>
      <c r="W1108" s="134"/>
      <c r="X1108" s="134"/>
      <c r="Y1108" s="134"/>
      <c r="Z1108" s="134"/>
      <c r="AA1108" s="134"/>
      <c r="AB1108" s="134"/>
      <c r="AC1108" s="134"/>
      <c r="AD1108" s="134"/>
      <c r="AE1108" s="134"/>
      <c r="AF1108" s="134"/>
      <c r="AG1108" s="134"/>
      <c r="AH1108" s="134"/>
      <c r="AI1108" s="134"/>
      <c r="AJ1108" s="134"/>
    </row>
    <row r="1109" spans="2:36">
      <c r="B1109" s="134"/>
      <c r="C1109" s="134"/>
      <c r="D1109" s="134"/>
      <c r="E1109" s="134"/>
      <c r="F1109" s="134"/>
      <c r="G1109" s="134"/>
      <c r="H1109" s="134"/>
      <c r="I1109" s="134"/>
      <c r="J1109" s="134"/>
      <c r="K1109" s="134"/>
      <c r="L1109" s="134"/>
      <c r="M1109" s="134"/>
      <c r="N1109" s="134"/>
      <c r="O1109" s="134"/>
      <c r="P1109" s="134"/>
      <c r="Q1109" s="134"/>
      <c r="R1109" s="134"/>
      <c r="S1109" s="134"/>
      <c r="T1109" s="134"/>
      <c r="U1109" s="134"/>
      <c r="V1109" s="134"/>
      <c r="W1109" s="134"/>
      <c r="X1109" s="134"/>
      <c r="Y1109" s="134"/>
      <c r="Z1109" s="134"/>
      <c r="AA1109" s="134"/>
      <c r="AB1109" s="134"/>
      <c r="AC1109" s="134"/>
      <c r="AD1109" s="134"/>
      <c r="AE1109" s="134"/>
      <c r="AF1109" s="134"/>
      <c r="AG1109" s="134"/>
      <c r="AH1109" s="134"/>
      <c r="AI1109" s="134"/>
      <c r="AJ1109" s="134"/>
    </row>
    <row r="1110" spans="2:36">
      <c r="B1110" s="134"/>
      <c r="C1110" s="134"/>
      <c r="D1110" s="134"/>
      <c r="E1110" s="134"/>
      <c r="F1110" s="134"/>
      <c r="G1110" s="134"/>
      <c r="H1110" s="134"/>
      <c r="I1110" s="134"/>
      <c r="J1110" s="134"/>
      <c r="K1110" s="134"/>
      <c r="L1110" s="134"/>
      <c r="M1110" s="134"/>
      <c r="N1110" s="134"/>
      <c r="O1110" s="134"/>
      <c r="P1110" s="134"/>
      <c r="Q1110" s="134"/>
      <c r="R1110" s="134"/>
      <c r="S1110" s="134"/>
      <c r="T1110" s="134"/>
      <c r="U1110" s="134"/>
      <c r="V1110" s="134"/>
      <c r="W1110" s="134"/>
      <c r="X1110" s="134"/>
      <c r="Y1110" s="134"/>
      <c r="Z1110" s="134"/>
      <c r="AA1110" s="134"/>
      <c r="AB1110" s="134"/>
      <c r="AC1110" s="134"/>
      <c r="AD1110" s="134"/>
      <c r="AE1110" s="134"/>
      <c r="AF1110" s="134"/>
      <c r="AG1110" s="134"/>
      <c r="AH1110" s="134"/>
      <c r="AI1110" s="134"/>
      <c r="AJ1110" s="134"/>
    </row>
    <row r="1111" spans="2:36">
      <c r="B1111" s="134"/>
      <c r="C1111" s="134"/>
      <c r="D1111" s="134"/>
      <c r="E1111" s="134"/>
      <c r="F1111" s="134"/>
      <c r="G1111" s="134"/>
      <c r="H1111" s="134"/>
      <c r="I1111" s="134"/>
      <c r="J1111" s="134"/>
      <c r="K1111" s="134"/>
      <c r="L1111" s="134"/>
      <c r="M1111" s="134"/>
      <c r="N1111" s="134"/>
      <c r="O1111" s="134"/>
      <c r="P1111" s="134"/>
      <c r="Q1111" s="134"/>
      <c r="R1111" s="134"/>
      <c r="S1111" s="134"/>
      <c r="T1111" s="134"/>
      <c r="U1111" s="134"/>
      <c r="V1111" s="134"/>
      <c r="W1111" s="134"/>
      <c r="X1111" s="134"/>
      <c r="Y1111" s="134"/>
      <c r="Z1111" s="134"/>
      <c r="AA1111" s="134"/>
      <c r="AB1111" s="134"/>
      <c r="AC1111" s="134"/>
      <c r="AD1111" s="134"/>
      <c r="AE1111" s="134"/>
      <c r="AF1111" s="134"/>
      <c r="AG1111" s="134"/>
      <c r="AH1111" s="134"/>
      <c r="AI1111" s="134"/>
      <c r="AJ1111" s="134"/>
    </row>
    <row r="1112" spans="2:36">
      <c r="B1112" s="134"/>
      <c r="C1112" s="134"/>
      <c r="D1112" s="134"/>
      <c r="E1112" s="134"/>
      <c r="F1112" s="134"/>
      <c r="G1112" s="134"/>
      <c r="H1112" s="134"/>
      <c r="I1112" s="134"/>
      <c r="J1112" s="134"/>
      <c r="K1112" s="134"/>
      <c r="L1112" s="134"/>
      <c r="M1112" s="134"/>
      <c r="N1112" s="134"/>
      <c r="O1112" s="134"/>
      <c r="P1112" s="134"/>
      <c r="Q1112" s="134"/>
      <c r="R1112" s="134"/>
      <c r="S1112" s="134"/>
      <c r="T1112" s="134"/>
      <c r="U1112" s="134"/>
      <c r="V1112" s="134"/>
      <c r="W1112" s="134"/>
      <c r="X1112" s="134"/>
      <c r="Y1112" s="134"/>
      <c r="Z1112" s="134"/>
      <c r="AA1112" s="134"/>
      <c r="AB1112" s="134"/>
      <c r="AC1112" s="134"/>
      <c r="AD1112" s="134"/>
      <c r="AE1112" s="134"/>
      <c r="AF1112" s="134"/>
      <c r="AG1112" s="134"/>
      <c r="AH1112" s="134"/>
      <c r="AI1112" s="134"/>
      <c r="AJ1112" s="134"/>
    </row>
    <row r="1113" spans="2:36">
      <c r="B1113" s="134"/>
      <c r="C1113" s="134"/>
      <c r="D1113" s="134"/>
      <c r="E1113" s="134"/>
      <c r="F1113" s="134"/>
      <c r="G1113" s="134"/>
      <c r="H1113" s="134"/>
      <c r="I1113" s="134"/>
      <c r="J1113" s="134"/>
      <c r="K1113" s="134"/>
      <c r="L1113" s="134"/>
      <c r="M1113" s="134"/>
      <c r="N1113" s="134"/>
      <c r="O1113" s="134"/>
      <c r="P1113" s="134"/>
      <c r="Q1113" s="134"/>
      <c r="R1113" s="134"/>
      <c r="S1113" s="134"/>
      <c r="T1113" s="134"/>
      <c r="U1113" s="134"/>
      <c r="V1113" s="134"/>
      <c r="W1113" s="134"/>
      <c r="X1113" s="134"/>
      <c r="Y1113" s="134"/>
      <c r="Z1113" s="134"/>
      <c r="AA1113" s="134"/>
      <c r="AB1113" s="134"/>
      <c r="AC1113" s="134"/>
      <c r="AD1113" s="134"/>
      <c r="AE1113" s="134"/>
      <c r="AF1113" s="134"/>
      <c r="AG1113" s="134"/>
      <c r="AH1113" s="134"/>
      <c r="AI1113" s="134"/>
      <c r="AJ1113" s="134"/>
    </row>
    <row r="1114" spans="2:36">
      <c r="B1114" s="134"/>
      <c r="C1114" s="134"/>
      <c r="D1114" s="134"/>
      <c r="E1114" s="134"/>
      <c r="F1114" s="134"/>
      <c r="G1114" s="134"/>
      <c r="H1114" s="134"/>
      <c r="I1114" s="134"/>
      <c r="J1114" s="134"/>
      <c r="K1114" s="134"/>
      <c r="L1114" s="134"/>
      <c r="M1114" s="134"/>
      <c r="N1114" s="134"/>
      <c r="O1114" s="134"/>
      <c r="P1114" s="134"/>
      <c r="Q1114" s="134"/>
      <c r="R1114" s="134"/>
      <c r="S1114" s="134"/>
      <c r="T1114" s="134"/>
      <c r="U1114" s="134"/>
      <c r="V1114" s="134"/>
      <c r="W1114" s="134"/>
      <c r="X1114" s="134"/>
      <c r="Y1114" s="134"/>
      <c r="Z1114" s="134"/>
      <c r="AA1114" s="134"/>
      <c r="AB1114" s="134"/>
      <c r="AC1114" s="134"/>
      <c r="AD1114" s="134"/>
      <c r="AE1114" s="134"/>
      <c r="AF1114" s="134"/>
      <c r="AG1114" s="134"/>
      <c r="AH1114" s="134"/>
      <c r="AI1114" s="134"/>
      <c r="AJ1114" s="134"/>
    </row>
    <row r="1115" spans="2:36">
      <c r="B1115" s="134"/>
      <c r="C1115" s="134"/>
      <c r="D1115" s="134"/>
      <c r="E1115" s="134"/>
      <c r="F1115" s="134"/>
      <c r="G1115" s="134"/>
      <c r="H1115" s="134"/>
      <c r="I1115" s="134"/>
      <c r="J1115" s="134"/>
      <c r="K1115" s="134"/>
      <c r="L1115" s="134"/>
      <c r="M1115" s="134"/>
      <c r="N1115" s="134"/>
      <c r="O1115" s="134"/>
      <c r="P1115" s="134"/>
      <c r="Q1115" s="134"/>
      <c r="R1115" s="134"/>
      <c r="S1115" s="134"/>
      <c r="T1115" s="134"/>
      <c r="U1115" s="134"/>
      <c r="V1115" s="134"/>
      <c r="W1115" s="134"/>
      <c r="X1115" s="134"/>
      <c r="Y1115" s="134"/>
      <c r="Z1115" s="134"/>
      <c r="AA1115" s="134"/>
      <c r="AB1115" s="134"/>
      <c r="AC1115" s="134"/>
      <c r="AD1115" s="134"/>
      <c r="AE1115" s="134"/>
      <c r="AF1115" s="134"/>
      <c r="AG1115" s="134"/>
      <c r="AH1115" s="134"/>
      <c r="AI1115" s="134"/>
      <c r="AJ1115" s="134"/>
    </row>
    <row r="1116" spans="2:36">
      <c r="B1116" s="134"/>
      <c r="C1116" s="134"/>
      <c r="D1116" s="134"/>
      <c r="E1116" s="134"/>
      <c r="F1116" s="134"/>
      <c r="G1116" s="134"/>
      <c r="H1116" s="134"/>
      <c r="I1116" s="134"/>
      <c r="J1116" s="134"/>
      <c r="K1116" s="134"/>
      <c r="L1116" s="134"/>
      <c r="M1116" s="134"/>
      <c r="N1116" s="134"/>
      <c r="O1116" s="134"/>
      <c r="P1116" s="134"/>
      <c r="Q1116" s="134"/>
      <c r="R1116" s="134"/>
      <c r="S1116" s="134"/>
      <c r="T1116" s="134"/>
      <c r="U1116" s="134"/>
      <c r="V1116" s="134"/>
      <c r="W1116" s="134"/>
      <c r="X1116" s="134"/>
      <c r="Y1116" s="134"/>
      <c r="Z1116" s="134"/>
      <c r="AA1116" s="134"/>
      <c r="AB1116" s="134"/>
      <c r="AC1116" s="134"/>
      <c r="AD1116" s="134"/>
      <c r="AE1116" s="134"/>
      <c r="AF1116" s="134"/>
      <c r="AG1116" s="134"/>
      <c r="AH1116" s="134"/>
      <c r="AI1116" s="134"/>
      <c r="AJ1116" s="134"/>
    </row>
    <row r="1117" spans="2:36">
      <c r="B1117" s="134"/>
      <c r="C1117" s="134"/>
      <c r="D1117" s="134"/>
      <c r="E1117" s="134"/>
      <c r="F1117" s="134"/>
      <c r="G1117" s="134"/>
      <c r="H1117" s="134"/>
      <c r="I1117" s="134"/>
      <c r="J1117" s="134"/>
      <c r="K1117" s="134"/>
      <c r="L1117" s="134"/>
      <c r="M1117" s="134"/>
      <c r="N1117" s="134"/>
      <c r="O1117" s="134"/>
      <c r="P1117" s="134"/>
      <c r="Q1117" s="134"/>
      <c r="R1117" s="134"/>
      <c r="S1117" s="134"/>
      <c r="T1117" s="134"/>
      <c r="U1117" s="134"/>
      <c r="V1117" s="134"/>
      <c r="W1117" s="134"/>
      <c r="X1117" s="134"/>
      <c r="Y1117" s="134"/>
      <c r="Z1117" s="134"/>
      <c r="AA1117" s="134"/>
      <c r="AB1117" s="134"/>
      <c r="AC1117" s="134"/>
      <c r="AD1117" s="134"/>
      <c r="AE1117" s="134"/>
      <c r="AF1117" s="134"/>
      <c r="AG1117" s="134"/>
      <c r="AH1117" s="134"/>
      <c r="AI1117" s="134"/>
      <c r="AJ1117" s="134"/>
    </row>
    <row r="1118" spans="2:36">
      <c r="B1118" s="134"/>
      <c r="C1118" s="134"/>
      <c r="D1118" s="134"/>
      <c r="E1118" s="134"/>
      <c r="F1118" s="134"/>
      <c r="G1118" s="134"/>
      <c r="H1118" s="134"/>
      <c r="I1118" s="134"/>
      <c r="J1118" s="134"/>
      <c r="K1118" s="134"/>
      <c r="L1118" s="134"/>
      <c r="M1118" s="134"/>
      <c r="N1118" s="134"/>
      <c r="O1118" s="134"/>
      <c r="P1118" s="134"/>
      <c r="Q1118" s="134"/>
      <c r="R1118" s="134"/>
      <c r="S1118" s="134"/>
      <c r="T1118" s="134"/>
      <c r="U1118" s="134"/>
      <c r="V1118" s="134"/>
      <c r="W1118" s="134"/>
      <c r="X1118" s="134"/>
      <c r="Y1118" s="134"/>
      <c r="Z1118" s="134"/>
      <c r="AA1118" s="134"/>
      <c r="AB1118" s="134"/>
      <c r="AC1118" s="134"/>
      <c r="AD1118" s="134"/>
      <c r="AE1118" s="134"/>
      <c r="AF1118" s="134"/>
      <c r="AG1118" s="134"/>
      <c r="AH1118" s="134"/>
      <c r="AI1118" s="134"/>
      <c r="AJ1118" s="134"/>
    </row>
    <row r="1119" spans="2:36">
      <c r="B1119" s="134"/>
      <c r="C1119" s="134"/>
      <c r="D1119" s="134"/>
      <c r="E1119" s="134"/>
      <c r="F1119" s="134"/>
      <c r="G1119" s="134"/>
      <c r="H1119" s="134"/>
      <c r="I1119" s="134"/>
      <c r="J1119" s="134"/>
      <c r="K1119" s="134"/>
      <c r="L1119" s="134"/>
      <c r="M1119" s="134"/>
      <c r="N1119" s="134"/>
      <c r="O1119" s="134"/>
      <c r="P1119" s="134"/>
      <c r="Q1119" s="134"/>
      <c r="R1119" s="134"/>
      <c r="S1119" s="134"/>
      <c r="T1119" s="134"/>
      <c r="U1119" s="134"/>
      <c r="V1119" s="134"/>
      <c r="W1119" s="134"/>
      <c r="X1119" s="134"/>
      <c r="Y1119" s="134"/>
      <c r="Z1119" s="134"/>
      <c r="AA1119" s="134"/>
      <c r="AB1119" s="134"/>
      <c r="AC1119" s="134"/>
      <c r="AD1119" s="134"/>
      <c r="AE1119" s="134"/>
      <c r="AF1119" s="134"/>
      <c r="AG1119" s="134"/>
      <c r="AH1119" s="134"/>
      <c r="AI1119" s="134"/>
      <c r="AJ1119" s="134"/>
    </row>
    <row r="1120" spans="2:36">
      <c r="B1120" s="134"/>
      <c r="C1120" s="134"/>
      <c r="D1120" s="134"/>
      <c r="E1120" s="134"/>
      <c r="F1120" s="134"/>
      <c r="G1120" s="134"/>
      <c r="H1120" s="134"/>
      <c r="I1120" s="134"/>
      <c r="J1120" s="134"/>
      <c r="K1120" s="134"/>
      <c r="L1120" s="134"/>
      <c r="M1120" s="134"/>
      <c r="N1120" s="134"/>
      <c r="O1120" s="134"/>
      <c r="P1120" s="134"/>
      <c r="Q1120" s="134"/>
      <c r="R1120" s="134"/>
      <c r="S1120" s="134"/>
      <c r="T1120" s="134"/>
      <c r="U1120" s="134"/>
      <c r="V1120" s="134"/>
      <c r="W1120" s="134"/>
      <c r="X1120" s="134"/>
      <c r="Y1120" s="134"/>
      <c r="Z1120" s="134"/>
      <c r="AA1120" s="134"/>
      <c r="AB1120" s="134"/>
      <c r="AC1120" s="134"/>
      <c r="AD1120" s="134"/>
      <c r="AE1120" s="134"/>
      <c r="AF1120" s="134"/>
      <c r="AG1120" s="134"/>
      <c r="AH1120" s="134"/>
      <c r="AI1120" s="134"/>
      <c r="AJ1120" s="134"/>
    </row>
    <row r="1121" spans="2:36">
      <c r="B1121" s="134"/>
      <c r="C1121" s="134"/>
      <c r="D1121" s="134"/>
      <c r="E1121" s="134"/>
      <c r="F1121" s="134"/>
      <c r="G1121" s="134"/>
      <c r="H1121" s="134"/>
      <c r="I1121" s="134"/>
      <c r="J1121" s="134"/>
      <c r="K1121" s="134"/>
      <c r="L1121" s="134"/>
      <c r="M1121" s="134"/>
      <c r="N1121" s="134"/>
      <c r="O1121" s="134"/>
      <c r="P1121" s="134"/>
      <c r="Q1121" s="134"/>
      <c r="R1121" s="134"/>
      <c r="S1121" s="134"/>
      <c r="T1121" s="134"/>
      <c r="U1121" s="134"/>
      <c r="V1121" s="134"/>
      <c r="W1121" s="134"/>
      <c r="X1121" s="134"/>
      <c r="Y1121" s="134"/>
      <c r="Z1121" s="134"/>
      <c r="AA1121" s="134"/>
      <c r="AB1121" s="134"/>
      <c r="AC1121" s="134"/>
      <c r="AD1121" s="134"/>
      <c r="AE1121" s="134"/>
      <c r="AF1121" s="134"/>
      <c r="AG1121" s="134"/>
      <c r="AH1121" s="134"/>
      <c r="AI1121" s="134"/>
      <c r="AJ1121" s="134"/>
    </row>
    <row r="1122" spans="2:36">
      <c r="B1122" s="134"/>
      <c r="C1122" s="134"/>
      <c r="D1122" s="134"/>
      <c r="E1122" s="134"/>
      <c r="F1122" s="134"/>
      <c r="G1122" s="134"/>
      <c r="H1122" s="134"/>
      <c r="I1122" s="134"/>
      <c r="J1122" s="134"/>
      <c r="K1122" s="134"/>
      <c r="L1122" s="134"/>
      <c r="M1122" s="134"/>
      <c r="N1122" s="134"/>
      <c r="O1122" s="134"/>
      <c r="P1122" s="134"/>
      <c r="Q1122" s="134"/>
      <c r="R1122" s="134"/>
      <c r="S1122" s="134"/>
      <c r="T1122" s="134"/>
      <c r="U1122" s="134"/>
      <c r="V1122" s="134"/>
      <c r="W1122" s="134"/>
      <c r="X1122" s="134"/>
      <c r="Y1122" s="134"/>
      <c r="Z1122" s="134"/>
      <c r="AA1122" s="134"/>
      <c r="AB1122" s="134"/>
      <c r="AC1122" s="134"/>
      <c r="AD1122" s="134"/>
      <c r="AE1122" s="134"/>
      <c r="AF1122" s="134"/>
      <c r="AG1122" s="134"/>
      <c r="AH1122" s="134"/>
      <c r="AI1122" s="134"/>
      <c r="AJ1122" s="134"/>
    </row>
    <row r="1123" spans="2:36">
      <c r="B1123" s="134"/>
      <c r="C1123" s="134"/>
      <c r="D1123" s="134"/>
      <c r="E1123" s="134"/>
      <c r="F1123" s="134"/>
      <c r="G1123" s="134"/>
      <c r="H1123" s="134"/>
      <c r="I1123" s="134"/>
      <c r="J1123" s="134"/>
      <c r="K1123" s="134"/>
      <c r="L1123" s="134"/>
      <c r="M1123" s="134"/>
      <c r="N1123" s="134"/>
      <c r="O1123" s="134"/>
      <c r="P1123" s="134"/>
      <c r="Q1123" s="134"/>
      <c r="R1123" s="134"/>
      <c r="S1123" s="134"/>
      <c r="T1123" s="134"/>
      <c r="U1123" s="134"/>
      <c r="V1123" s="134"/>
      <c r="W1123" s="134"/>
      <c r="X1123" s="134"/>
      <c r="Y1123" s="134"/>
      <c r="Z1123" s="134"/>
      <c r="AA1123" s="134"/>
      <c r="AB1123" s="134"/>
      <c r="AC1123" s="134"/>
      <c r="AD1123" s="134"/>
      <c r="AE1123" s="134"/>
      <c r="AF1123" s="134"/>
      <c r="AG1123" s="134"/>
      <c r="AH1123" s="134"/>
      <c r="AI1123" s="134"/>
      <c r="AJ1123" s="134"/>
    </row>
    <row r="1124" spans="2:36">
      <c r="B1124" s="134"/>
      <c r="C1124" s="134"/>
      <c r="D1124" s="134"/>
      <c r="E1124" s="134"/>
      <c r="F1124" s="134"/>
      <c r="G1124" s="134"/>
      <c r="H1124" s="134"/>
      <c r="I1124" s="134"/>
      <c r="J1124" s="134"/>
      <c r="K1124" s="134"/>
      <c r="L1124" s="134"/>
      <c r="M1124" s="134"/>
      <c r="N1124" s="134"/>
      <c r="O1124" s="134"/>
      <c r="P1124" s="134"/>
      <c r="Q1124" s="134"/>
      <c r="R1124" s="134"/>
      <c r="S1124" s="134"/>
      <c r="T1124" s="134"/>
      <c r="U1124" s="134"/>
      <c r="V1124" s="134"/>
      <c r="W1124" s="134"/>
      <c r="X1124" s="134"/>
      <c r="Y1124" s="134"/>
      <c r="Z1124" s="134"/>
      <c r="AA1124" s="134"/>
      <c r="AB1124" s="134"/>
      <c r="AC1124" s="134"/>
      <c r="AD1124" s="134"/>
      <c r="AE1124" s="134"/>
      <c r="AF1124" s="134"/>
      <c r="AG1124" s="134"/>
      <c r="AH1124" s="134"/>
      <c r="AI1124" s="134"/>
      <c r="AJ1124" s="134"/>
    </row>
    <row r="1125" spans="2:36">
      <c r="B1125" s="134"/>
      <c r="C1125" s="134"/>
      <c r="D1125" s="134"/>
      <c r="E1125" s="134"/>
      <c r="F1125" s="134"/>
      <c r="G1125" s="134"/>
      <c r="H1125" s="134"/>
      <c r="I1125" s="134"/>
      <c r="J1125" s="134"/>
      <c r="K1125" s="134"/>
      <c r="L1125" s="134"/>
      <c r="M1125" s="134"/>
      <c r="N1125" s="134"/>
      <c r="O1125" s="134"/>
      <c r="P1125" s="134"/>
      <c r="Q1125" s="134"/>
      <c r="R1125" s="134"/>
      <c r="S1125" s="134"/>
      <c r="T1125" s="134"/>
      <c r="U1125" s="134"/>
      <c r="V1125" s="134"/>
      <c r="W1125" s="134"/>
      <c r="X1125" s="134"/>
      <c r="Y1125" s="134"/>
      <c r="Z1125" s="134"/>
      <c r="AA1125" s="134"/>
      <c r="AB1125" s="134"/>
      <c r="AC1125" s="134"/>
      <c r="AD1125" s="134"/>
      <c r="AE1125" s="134"/>
      <c r="AF1125" s="134"/>
      <c r="AG1125" s="134"/>
      <c r="AH1125" s="134"/>
      <c r="AI1125" s="134"/>
      <c r="AJ1125" s="134"/>
    </row>
    <row r="1126" spans="2:36">
      <c r="B1126" s="134"/>
      <c r="C1126" s="134"/>
      <c r="D1126" s="134"/>
      <c r="E1126" s="134"/>
      <c r="F1126" s="134"/>
      <c r="G1126" s="134"/>
      <c r="H1126" s="134"/>
      <c r="I1126" s="134"/>
      <c r="J1126" s="134"/>
      <c r="K1126" s="134"/>
      <c r="L1126" s="134"/>
      <c r="M1126" s="134"/>
      <c r="N1126" s="134"/>
      <c r="O1126" s="134"/>
      <c r="P1126" s="134"/>
      <c r="Q1126" s="134"/>
      <c r="R1126" s="134"/>
      <c r="S1126" s="134"/>
      <c r="T1126" s="134"/>
      <c r="U1126" s="134"/>
      <c r="V1126" s="134"/>
      <c r="W1126" s="134"/>
      <c r="X1126" s="134"/>
      <c r="Y1126" s="134"/>
      <c r="Z1126" s="134"/>
      <c r="AA1126" s="134"/>
      <c r="AB1126" s="134"/>
      <c r="AC1126" s="134"/>
      <c r="AD1126" s="134"/>
      <c r="AE1126" s="134"/>
      <c r="AF1126" s="134"/>
      <c r="AG1126" s="134"/>
      <c r="AH1126" s="134"/>
      <c r="AI1126" s="134"/>
      <c r="AJ1126" s="134"/>
    </row>
    <row r="1127" spans="2:36">
      <c r="B1127" s="134"/>
      <c r="C1127" s="134"/>
      <c r="D1127" s="134"/>
      <c r="E1127" s="134"/>
      <c r="F1127" s="134"/>
      <c r="G1127" s="134"/>
      <c r="H1127" s="134"/>
      <c r="I1127" s="134"/>
      <c r="J1127" s="134"/>
      <c r="K1127" s="134"/>
      <c r="L1127" s="134"/>
      <c r="M1127" s="134"/>
      <c r="N1127" s="134"/>
      <c r="O1127" s="134"/>
      <c r="P1127" s="134"/>
      <c r="Q1127" s="134"/>
      <c r="R1127" s="134"/>
      <c r="S1127" s="134"/>
      <c r="T1127" s="134"/>
      <c r="U1127" s="134"/>
      <c r="V1127" s="134"/>
      <c r="W1127" s="134"/>
      <c r="X1127" s="134"/>
      <c r="Y1127" s="134"/>
      <c r="Z1127" s="134"/>
      <c r="AA1127" s="134"/>
      <c r="AB1127" s="134"/>
      <c r="AC1127" s="134"/>
      <c r="AD1127" s="134"/>
      <c r="AE1127" s="134"/>
      <c r="AF1127" s="134"/>
      <c r="AG1127" s="134"/>
      <c r="AH1127" s="134"/>
      <c r="AI1127" s="134"/>
      <c r="AJ1127" s="134"/>
    </row>
    <row r="1128" spans="2:36">
      <c r="B1128" s="134"/>
      <c r="C1128" s="134"/>
      <c r="D1128" s="134"/>
      <c r="E1128" s="134"/>
      <c r="F1128" s="134"/>
      <c r="G1128" s="134"/>
      <c r="H1128" s="134"/>
      <c r="I1128" s="134"/>
      <c r="J1128" s="134"/>
      <c r="K1128" s="134"/>
      <c r="L1128" s="134"/>
      <c r="M1128" s="134"/>
      <c r="N1128" s="134"/>
      <c r="O1128" s="134"/>
      <c r="P1128" s="134"/>
      <c r="Q1128" s="134"/>
      <c r="R1128" s="134"/>
      <c r="S1128" s="134"/>
      <c r="T1128" s="134"/>
      <c r="U1128" s="134"/>
      <c r="V1128" s="134"/>
      <c r="W1128" s="134"/>
      <c r="X1128" s="134"/>
      <c r="Y1128" s="134"/>
      <c r="Z1128" s="134"/>
      <c r="AA1128" s="134"/>
      <c r="AB1128" s="134"/>
      <c r="AC1128" s="134"/>
      <c r="AD1128" s="134"/>
      <c r="AE1128" s="134"/>
      <c r="AF1128" s="134"/>
      <c r="AG1128" s="134"/>
      <c r="AH1128" s="134"/>
      <c r="AI1128" s="134"/>
      <c r="AJ1128" s="134"/>
    </row>
    <row r="1129" spans="2:36">
      <c r="B1129" s="134"/>
      <c r="C1129" s="134"/>
      <c r="D1129" s="134"/>
      <c r="E1129" s="134"/>
      <c r="F1129" s="134"/>
      <c r="G1129" s="134"/>
      <c r="H1129" s="134"/>
      <c r="I1129" s="134"/>
      <c r="J1129" s="134"/>
      <c r="K1129" s="134"/>
      <c r="L1129" s="134"/>
      <c r="M1129" s="134"/>
      <c r="N1129" s="134"/>
      <c r="O1129" s="134"/>
      <c r="P1129" s="134"/>
      <c r="Q1129" s="134"/>
      <c r="R1129" s="134"/>
      <c r="S1129" s="134"/>
      <c r="T1129" s="134"/>
      <c r="U1129" s="134"/>
      <c r="V1129" s="134"/>
      <c r="W1129" s="134"/>
      <c r="X1129" s="134"/>
      <c r="Y1129" s="134"/>
      <c r="Z1129" s="134"/>
      <c r="AA1129" s="134"/>
      <c r="AB1129" s="134"/>
      <c r="AC1129" s="134"/>
      <c r="AD1129" s="134"/>
      <c r="AE1129" s="134"/>
      <c r="AF1129" s="134"/>
      <c r="AG1129" s="134"/>
      <c r="AH1129" s="134"/>
      <c r="AI1129" s="134"/>
      <c r="AJ1129" s="134"/>
    </row>
    <row r="1130" spans="2:36">
      <c r="B1130" s="134"/>
      <c r="C1130" s="134"/>
      <c r="D1130" s="134"/>
      <c r="E1130" s="134"/>
      <c r="F1130" s="134"/>
      <c r="G1130" s="134"/>
      <c r="H1130" s="134"/>
      <c r="I1130" s="134"/>
      <c r="J1130" s="134"/>
      <c r="K1130" s="134"/>
      <c r="L1130" s="134"/>
      <c r="M1130" s="134"/>
      <c r="N1130" s="134"/>
      <c r="O1130" s="134"/>
      <c r="P1130" s="134"/>
      <c r="Q1130" s="134"/>
      <c r="R1130" s="134"/>
      <c r="S1130" s="134"/>
      <c r="T1130" s="134"/>
      <c r="U1130" s="134"/>
      <c r="V1130" s="134"/>
      <c r="W1130" s="134"/>
      <c r="X1130" s="134"/>
      <c r="Y1130" s="134"/>
      <c r="Z1130" s="134"/>
      <c r="AA1130" s="134"/>
      <c r="AB1130" s="134"/>
      <c r="AC1130" s="134"/>
      <c r="AD1130" s="134"/>
      <c r="AE1130" s="134"/>
      <c r="AF1130" s="134"/>
      <c r="AG1130" s="134"/>
      <c r="AH1130" s="134"/>
      <c r="AI1130" s="134"/>
      <c r="AJ1130" s="134"/>
    </row>
    <row r="1131" spans="2:36">
      <c r="B1131" s="134"/>
      <c r="C1131" s="134"/>
      <c r="D1131" s="134"/>
      <c r="E1131" s="134"/>
      <c r="F1131" s="134"/>
      <c r="G1131" s="134"/>
      <c r="H1131" s="134"/>
      <c r="I1131" s="134"/>
      <c r="J1131" s="134"/>
      <c r="K1131" s="134"/>
      <c r="L1131" s="134"/>
      <c r="M1131" s="134"/>
      <c r="N1131" s="134"/>
      <c r="O1131" s="134"/>
      <c r="P1131" s="134"/>
      <c r="Q1131" s="134"/>
      <c r="R1131" s="134"/>
      <c r="S1131" s="134"/>
      <c r="T1131" s="134"/>
      <c r="U1131" s="134"/>
      <c r="V1131" s="134"/>
      <c r="W1131" s="134"/>
      <c r="X1131" s="134"/>
      <c r="Y1131" s="134"/>
      <c r="Z1131" s="134"/>
      <c r="AA1131" s="134"/>
      <c r="AB1131" s="134"/>
      <c r="AC1131" s="134"/>
      <c r="AD1131" s="134"/>
      <c r="AE1131" s="134"/>
      <c r="AF1131" s="134"/>
      <c r="AG1131" s="134"/>
      <c r="AH1131" s="134"/>
      <c r="AI1131" s="134"/>
      <c r="AJ1131" s="134"/>
    </row>
    <row r="1132" spans="2:36">
      <c r="B1132" s="134"/>
      <c r="C1132" s="134"/>
      <c r="D1132" s="134"/>
      <c r="E1132" s="134"/>
      <c r="F1132" s="134"/>
      <c r="G1132" s="134"/>
      <c r="H1132" s="134"/>
      <c r="I1132" s="134"/>
      <c r="J1132" s="134"/>
      <c r="K1132" s="134"/>
      <c r="L1132" s="134"/>
      <c r="M1132" s="134"/>
      <c r="N1132" s="134"/>
      <c r="O1132" s="134"/>
      <c r="P1132" s="134"/>
      <c r="Q1132" s="134"/>
      <c r="R1132" s="134"/>
      <c r="S1132" s="134"/>
      <c r="T1132" s="134"/>
      <c r="U1132" s="134"/>
      <c r="V1132" s="134"/>
      <c r="W1132" s="134"/>
      <c r="X1132" s="134"/>
      <c r="Y1132" s="134"/>
      <c r="Z1132" s="134"/>
      <c r="AA1132" s="134"/>
      <c r="AB1132" s="134"/>
      <c r="AC1132" s="134"/>
      <c r="AD1132" s="134"/>
      <c r="AE1132" s="134"/>
      <c r="AF1132" s="134"/>
      <c r="AG1132" s="134"/>
      <c r="AH1132" s="134"/>
      <c r="AI1132" s="134"/>
      <c r="AJ1132" s="134"/>
    </row>
    <row r="1133" spans="2:36">
      <c r="B1133" s="134"/>
      <c r="C1133" s="134"/>
      <c r="D1133" s="134"/>
      <c r="E1133" s="134"/>
      <c r="F1133" s="134"/>
      <c r="G1133" s="134"/>
      <c r="H1133" s="134"/>
      <c r="I1133" s="134"/>
      <c r="J1133" s="134"/>
      <c r="K1133" s="134"/>
      <c r="L1133" s="134"/>
      <c r="M1133" s="134"/>
      <c r="N1133" s="134"/>
      <c r="O1133" s="134"/>
      <c r="P1133" s="134"/>
      <c r="Q1133" s="134"/>
      <c r="R1133" s="134"/>
      <c r="S1133" s="134"/>
      <c r="T1133" s="134"/>
      <c r="U1133" s="134"/>
      <c r="V1133" s="134"/>
      <c r="W1133" s="134"/>
      <c r="X1133" s="134"/>
      <c r="Y1133" s="134"/>
      <c r="Z1133" s="134"/>
      <c r="AA1133" s="134"/>
      <c r="AB1133" s="134"/>
      <c r="AC1133" s="134"/>
      <c r="AD1133" s="134"/>
      <c r="AE1133" s="134"/>
      <c r="AF1133" s="134"/>
      <c r="AG1133" s="134"/>
      <c r="AH1133" s="134"/>
      <c r="AI1133" s="134"/>
      <c r="AJ1133" s="134"/>
    </row>
    <row r="1134" spans="2:36">
      <c r="B1134" s="134"/>
      <c r="C1134" s="134"/>
      <c r="D1134" s="134"/>
      <c r="E1134" s="134"/>
      <c r="F1134" s="134"/>
      <c r="G1134" s="134"/>
      <c r="H1134" s="134"/>
      <c r="I1134" s="134"/>
      <c r="J1134" s="134"/>
      <c r="K1134" s="134"/>
      <c r="L1134" s="134"/>
      <c r="M1134" s="134"/>
      <c r="N1134" s="134"/>
      <c r="O1134" s="134"/>
      <c r="P1134" s="134"/>
      <c r="Q1134" s="134"/>
      <c r="R1134" s="134"/>
      <c r="S1134" s="134"/>
      <c r="T1134" s="134"/>
      <c r="U1134" s="134"/>
      <c r="V1134" s="134"/>
      <c r="W1134" s="134"/>
      <c r="X1134" s="134"/>
      <c r="Y1134" s="134"/>
      <c r="Z1134" s="134"/>
      <c r="AA1134" s="134"/>
      <c r="AB1134" s="134"/>
      <c r="AC1134" s="134"/>
      <c r="AD1134" s="134"/>
      <c r="AE1134" s="134"/>
      <c r="AF1134" s="134"/>
      <c r="AG1134" s="134"/>
      <c r="AH1134" s="134"/>
      <c r="AI1134" s="134"/>
      <c r="AJ1134" s="134"/>
    </row>
    <row r="1135" spans="2:36">
      <c r="B1135" s="134"/>
      <c r="C1135" s="134"/>
      <c r="D1135" s="134"/>
      <c r="E1135" s="134"/>
      <c r="F1135" s="134"/>
      <c r="G1135" s="134"/>
      <c r="H1135" s="134"/>
      <c r="I1135" s="134"/>
      <c r="J1135" s="134"/>
      <c r="K1135" s="134"/>
      <c r="L1135" s="134"/>
      <c r="M1135" s="134"/>
      <c r="N1135" s="134"/>
      <c r="O1135" s="134"/>
      <c r="P1135" s="134"/>
      <c r="Q1135" s="134"/>
      <c r="R1135" s="134"/>
      <c r="S1135" s="134"/>
      <c r="T1135" s="134"/>
      <c r="U1135" s="134"/>
      <c r="V1135" s="134"/>
      <c r="W1135" s="134"/>
      <c r="X1135" s="134"/>
      <c r="Y1135" s="134"/>
      <c r="Z1135" s="134"/>
      <c r="AA1135" s="134"/>
      <c r="AB1135" s="134"/>
      <c r="AC1135" s="134"/>
      <c r="AD1135" s="134"/>
      <c r="AE1135" s="134"/>
      <c r="AF1135" s="134"/>
      <c r="AG1135" s="134"/>
      <c r="AH1135" s="134"/>
      <c r="AI1135" s="134"/>
      <c r="AJ1135" s="134"/>
    </row>
    <row r="1136" spans="2:36">
      <c r="B1136" s="134"/>
      <c r="C1136" s="134"/>
      <c r="D1136" s="134"/>
      <c r="E1136" s="134"/>
      <c r="F1136" s="134"/>
      <c r="G1136" s="134"/>
      <c r="H1136" s="134"/>
      <c r="I1136" s="134"/>
      <c r="J1136" s="134"/>
      <c r="K1136" s="134"/>
      <c r="L1136" s="134"/>
      <c r="M1136" s="134"/>
      <c r="N1136" s="134"/>
      <c r="O1136" s="134"/>
      <c r="P1136" s="134"/>
      <c r="Q1136" s="134"/>
      <c r="R1136" s="134"/>
      <c r="S1136" s="134"/>
      <c r="T1136" s="134"/>
      <c r="U1136" s="134"/>
      <c r="V1136" s="134"/>
      <c r="W1136" s="134"/>
      <c r="X1136" s="134"/>
      <c r="Y1136" s="134"/>
      <c r="Z1136" s="134"/>
      <c r="AA1136" s="134"/>
      <c r="AB1136" s="134"/>
      <c r="AC1136" s="134"/>
      <c r="AD1136" s="134"/>
      <c r="AE1136" s="134"/>
      <c r="AF1136" s="134"/>
      <c r="AG1136" s="134"/>
      <c r="AH1136" s="134"/>
      <c r="AI1136" s="134"/>
      <c r="AJ1136" s="134"/>
    </row>
    <row r="1137" spans="2:36">
      <c r="B1137" s="134"/>
      <c r="C1137" s="134"/>
      <c r="D1137" s="134"/>
      <c r="E1137" s="134"/>
      <c r="F1137" s="134"/>
      <c r="G1137" s="134"/>
      <c r="H1137" s="134"/>
      <c r="I1137" s="134"/>
      <c r="J1137" s="134"/>
      <c r="K1137" s="134"/>
      <c r="L1137" s="134"/>
      <c r="M1137" s="134"/>
      <c r="N1137" s="134"/>
      <c r="O1137" s="134"/>
      <c r="P1137" s="134"/>
      <c r="Q1137" s="134"/>
      <c r="R1137" s="134"/>
      <c r="S1137" s="134"/>
      <c r="T1137" s="134"/>
      <c r="U1137" s="134"/>
      <c r="V1137" s="134"/>
      <c r="W1137" s="134"/>
      <c r="X1137" s="134"/>
      <c r="Y1137" s="134"/>
      <c r="Z1137" s="134"/>
      <c r="AA1137" s="134"/>
      <c r="AB1137" s="134"/>
      <c r="AC1137" s="134"/>
      <c r="AD1137" s="134"/>
      <c r="AE1137" s="134"/>
      <c r="AF1137" s="134"/>
      <c r="AG1137" s="134"/>
      <c r="AH1137" s="134"/>
      <c r="AI1137" s="134"/>
      <c r="AJ1137" s="134"/>
    </row>
    <row r="1138" spans="2:36">
      <c r="B1138" s="134"/>
      <c r="C1138" s="134"/>
      <c r="D1138" s="134"/>
      <c r="E1138" s="134"/>
      <c r="F1138" s="134"/>
      <c r="G1138" s="134"/>
      <c r="H1138" s="134"/>
      <c r="I1138" s="134"/>
      <c r="J1138" s="134"/>
      <c r="K1138" s="134"/>
      <c r="L1138" s="134"/>
      <c r="M1138" s="134"/>
      <c r="N1138" s="134"/>
      <c r="O1138" s="134"/>
      <c r="P1138" s="134"/>
      <c r="Q1138" s="134"/>
      <c r="R1138" s="134"/>
      <c r="S1138" s="134"/>
      <c r="T1138" s="134"/>
      <c r="U1138" s="134"/>
      <c r="V1138" s="134"/>
      <c r="W1138" s="134"/>
      <c r="X1138" s="134"/>
      <c r="Y1138" s="134"/>
      <c r="Z1138" s="134"/>
      <c r="AA1138" s="134"/>
      <c r="AB1138" s="134"/>
      <c r="AC1138" s="134"/>
      <c r="AD1138" s="134"/>
      <c r="AE1138" s="134"/>
      <c r="AF1138" s="134"/>
      <c r="AG1138" s="134"/>
      <c r="AH1138" s="134"/>
      <c r="AI1138" s="134"/>
      <c r="AJ1138" s="134"/>
    </row>
    <row r="1139" spans="2:36">
      <c r="B1139" s="134"/>
      <c r="C1139" s="134"/>
      <c r="D1139" s="134"/>
      <c r="E1139" s="134"/>
      <c r="F1139" s="134"/>
      <c r="G1139" s="134"/>
      <c r="H1139" s="134"/>
      <c r="I1139" s="134"/>
      <c r="J1139" s="134"/>
      <c r="K1139" s="134"/>
      <c r="L1139" s="134"/>
      <c r="M1139" s="134"/>
      <c r="N1139" s="134"/>
      <c r="O1139" s="134"/>
      <c r="P1139" s="134"/>
      <c r="Q1139" s="134"/>
      <c r="R1139" s="134"/>
      <c r="S1139" s="134"/>
      <c r="T1139" s="134"/>
      <c r="U1139" s="134"/>
      <c r="V1139" s="134"/>
      <c r="W1139" s="134"/>
      <c r="X1139" s="134"/>
      <c r="Y1139" s="134"/>
      <c r="Z1139" s="134"/>
      <c r="AA1139" s="134"/>
      <c r="AB1139" s="134"/>
      <c r="AC1139" s="134"/>
      <c r="AD1139" s="134"/>
      <c r="AE1139" s="134"/>
      <c r="AF1139" s="134"/>
      <c r="AG1139" s="134"/>
      <c r="AH1139" s="134"/>
      <c r="AI1139" s="134"/>
      <c r="AJ1139" s="134"/>
    </row>
    <row r="1140" spans="2:36">
      <c r="B1140" s="134"/>
      <c r="C1140" s="134"/>
      <c r="D1140" s="134"/>
      <c r="E1140" s="134"/>
      <c r="F1140" s="134"/>
      <c r="G1140" s="134"/>
      <c r="H1140" s="134"/>
      <c r="I1140" s="134"/>
      <c r="J1140" s="134"/>
      <c r="K1140" s="134"/>
      <c r="L1140" s="134"/>
      <c r="M1140" s="134"/>
      <c r="N1140" s="134"/>
      <c r="O1140" s="134"/>
      <c r="P1140" s="134"/>
      <c r="Q1140" s="134"/>
      <c r="R1140" s="134"/>
      <c r="S1140" s="134"/>
      <c r="T1140" s="134"/>
      <c r="U1140" s="134"/>
      <c r="V1140" s="134"/>
      <c r="W1140" s="134"/>
      <c r="X1140" s="134"/>
      <c r="Y1140" s="134"/>
      <c r="Z1140" s="134"/>
      <c r="AA1140" s="134"/>
      <c r="AB1140" s="134"/>
      <c r="AC1140" s="134"/>
      <c r="AD1140" s="134"/>
      <c r="AE1140" s="134"/>
      <c r="AF1140" s="134"/>
      <c r="AG1140" s="134"/>
      <c r="AH1140" s="134"/>
      <c r="AI1140" s="134"/>
      <c r="AJ1140" s="134"/>
    </row>
    <row r="1141" spans="2:36">
      <c r="B1141" s="134"/>
      <c r="C1141" s="134"/>
      <c r="D1141" s="134"/>
      <c r="E1141" s="134"/>
      <c r="F1141" s="134"/>
      <c r="G1141" s="134"/>
      <c r="H1141" s="134"/>
      <c r="I1141" s="134"/>
      <c r="J1141" s="134"/>
      <c r="K1141" s="134"/>
      <c r="L1141" s="134"/>
      <c r="M1141" s="134"/>
      <c r="N1141" s="134"/>
      <c r="O1141" s="134"/>
      <c r="P1141" s="134"/>
      <c r="Q1141" s="134"/>
      <c r="R1141" s="134"/>
      <c r="S1141" s="134"/>
      <c r="T1141" s="134"/>
      <c r="U1141" s="134"/>
      <c r="V1141" s="134"/>
      <c r="W1141" s="134"/>
      <c r="X1141" s="134"/>
      <c r="Y1141" s="134"/>
      <c r="Z1141" s="134"/>
      <c r="AA1141" s="134"/>
      <c r="AB1141" s="134"/>
      <c r="AC1141" s="134"/>
      <c r="AD1141" s="134"/>
      <c r="AE1141" s="134"/>
      <c r="AF1141" s="134"/>
      <c r="AG1141" s="134"/>
      <c r="AH1141" s="134"/>
      <c r="AI1141" s="134"/>
      <c r="AJ1141" s="134"/>
    </row>
    <row r="1142" spans="2:36">
      <c r="B1142" s="134"/>
      <c r="C1142" s="134"/>
      <c r="D1142" s="134"/>
      <c r="E1142" s="134"/>
      <c r="F1142" s="134"/>
      <c r="G1142" s="134"/>
      <c r="H1142" s="134"/>
      <c r="I1142" s="134"/>
      <c r="J1142" s="134"/>
      <c r="K1142" s="134"/>
      <c r="L1142" s="134"/>
      <c r="M1142" s="134"/>
      <c r="N1142" s="134"/>
      <c r="O1142" s="134"/>
      <c r="P1142" s="134"/>
      <c r="Q1142" s="134"/>
      <c r="R1142" s="134"/>
      <c r="S1142" s="134"/>
      <c r="T1142" s="134"/>
      <c r="U1142" s="134"/>
      <c r="V1142" s="134"/>
      <c r="W1142" s="134"/>
      <c r="X1142" s="134"/>
      <c r="Y1142" s="134"/>
      <c r="Z1142" s="134"/>
      <c r="AA1142" s="134"/>
      <c r="AB1142" s="134"/>
      <c r="AC1142" s="134"/>
      <c r="AD1142" s="134"/>
      <c r="AE1142" s="134"/>
      <c r="AF1142" s="134"/>
      <c r="AG1142" s="134"/>
      <c r="AH1142" s="134"/>
      <c r="AI1142" s="134"/>
      <c r="AJ1142" s="134"/>
    </row>
    <row r="1143" spans="2:36">
      <c r="B1143" s="134"/>
      <c r="C1143" s="134"/>
      <c r="D1143" s="134"/>
      <c r="E1143" s="134"/>
      <c r="F1143" s="134"/>
      <c r="G1143" s="134"/>
      <c r="H1143" s="134"/>
      <c r="I1143" s="134"/>
      <c r="J1143" s="134"/>
      <c r="K1143" s="134"/>
      <c r="L1143" s="134"/>
      <c r="M1143" s="134"/>
      <c r="N1143" s="134"/>
      <c r="O1143" s="134"/>
      <c r="P1143" s="134"/>
      <c r="Q1143" s="134"/>
      <c r="R1143" s="134"/>
      <c r="S1143" s="134"/>
      <c r="T1143" s="134"/>
      <c r="U1143" s="134"/>
      <c r="V1143" s="134"/>
      <c r="W1143" s="134"/>
      <c r="X1143" s="134"/>
      <c r="Y1143" s="134"/>
      <c r="Z1143" s="134"/>
      <c r="AA1143" s="134"/>
      <c r="AB1143" s="134"/>
      <c r="AC1143" s="134"/>
      <c r="AD1143" s="134"/>
      <c r="AE1143" s="134"/>
      <c r="AF1143" s="134"/>
      <c r="AG1143" s="134"/>
      <c r="AH1143" s="134"/>
      <c r="AI1143" s="134"/>
      <c r="AJ1143" s="134"/>
    </row>
    <row r="1144" spans="2:36">
      <c r="B1144" s="134"/>
      <c r="C1144" s="134"/>
      <c r="D1144" s="134"/>
      <c r="E1144" s="134"/>
      <c r="F1144" s="134"/>
      <c r="G1144" s="134"/>
      <c r="H1144" s="134"/>
      <c r="I1144" s="134"/>
      <c r="J1144" s="134"/>
      <c r="K1144" s="134"/>
      <c r="L1144" s="134"/>
      <c r="M1144" s="134"/>
      <c r="N1144" s="134"/>
      <c r="O1144" s="134"/>
      <c r="P1144" s="134"/>
      <c r="Q1144" s="134"/>
      <c r="R1144" s="134"/>
      <c r="S1144" s="134"/>
      <c r="T1144" s="134"/>
      <c r="U1144" s="134"/>
      <c r="V1144" s="134"/>
      <c r="W1144" s="134"/>
      <c r="X1144" s="134"/>
      <c r="Y1144" s="134"/>
      <c r="Z1144" s="134"/>
      <c r="AA1144" s="134"/>
      <c r="AB1144" s="134"/>
      <c r="AC1144" s="134"/>
      <c r="AD1144" s="134"/>
      <c r="AE1144" s="134"/>
      <c r="AF1144" s="134"/>
      <c r="AG1144" s="134"/>
      <c r="AH1144" s="134"/>
      <c r="AI1144" s="134"/>
      <c r="AJ1144" s="134"/>
    </row>
    <row r="1145" spans="2:36">
      <c r="B1145" s="134"/>
      <c r="C1145" s="134"/>
      <c r="D1145" s="134"/>
      <c r="E1145" s="134"/>
      <c r="F1145" s="134"/>
      <c r="G1145" s="134"/>
      <c r="H1145" s="134"/>
      <c r="I1145" s="134"/>
      <c r="J1145" s="134"/>
      <c r="K1145" s="134"/>
      <c r="L1145" s="134"/>
      <c r="M1145" s="134"/>
      <c r="N1145" s="134"/>
      <c r="O1145" s="134"/>
      <c r="P1145" s="134"/>
      <c r="Q1145" s="134"/>
      <c r="R1145" s="134"/>
      <c r="S1145" s="134"/>
      <c r="T1145" s="134"/>
      <c r="U1145" s="134"/>
      <c r="V1145" s="134"/>
      <c r="W1145" s="134"/>
      <c r="X1145" s="134"/>
      <c r="Y1145" s="134"/>
      <c r="Z1145" s="134"/>
      <c r="AA1145" s="134"/>
      <c r="AB1145" s="134"/>
      <c r="AC1145" s="134"/>
      <c r="AD1145" s="134"/>
      <c r="AE1145" s="134"/>
      <c r="AF1145" s="134"/>
      <c r="AG1145" s="134"/>
      <c r="AH1145" s="134"/>
      <c r="AI1145" s="134"/>
      <c r="AJ1145" s="134"/>
    </row>
    <row r="1146" spans="2:36">
      <c r="B1146" s="134"/>
      <c r="C1146" s="134"/>
      <c r="D1146" s="134"/>
      <c r="E1146" s="134"/>
      <c r="F1146" s="134"/>
      <c r="G1146" s="134"/>
      <c r="H1146" s="134"/>
      <c r="I1146" s="134"/>
      <c r="J1146" s="134"/>
      <c r="K1146" s="134"/>
      <c r="L1146" s="134"/>
      <c r="M1146" s="134"/>
      <c r="N1146" s="134"/>
      <c r="O1146" s="134"/>
      <c r="P1146" s="134"/>
      <c r="Q1146" s="134"/>
      <c r="R1146" s="134"/>
      <c r="S1146" s="134"/>
      <c r="T1146" s="134"/>
      <c r="U1146" s="134"/>
      <c r="V1146" s="134"/>
      <c r="W1146" s="134"/>
      <c r="X1146" s="134"/>
      <c r="Y1146" s="134"/>
      <c r="Z1146" s="134"/>
      <c r="AA1146" s="134"/>
      <c r="AB1146" s="134"/>
      <c r="AC1146" s="134"/>
      <c r="AD1146" s="134"/>
      <c r="AE1146" s="134"/>
      <c r="AF1146" s="134"/>
      <c r="AG1146" s="134"/>
      <c r="AH1146" s="134"/>
      <c r="AI1146" s="134"/>
      <c r="AJ1146" s="134"/>
    </row>
    <row r="1147" spans="2:36">
      <c r="B1147" s="134"/>
      <c r="C1147" s="134"/>
      <c r="D1147" s="134"/>
      <c r="E1147" s="134"/>
      <c r="F1147" s="134"/>
      <c r="G1147" s="134"/>
      <c r="H1147" s="134"/>
      <c r="I1147" s="134"/>
      <c r="J1147" s="134"/>
      <c r="K1147" s="134"/>
      <c r="L1147" s="134"/>
      <c r="M1147" s="134"/>
      <c r="N1147" s="134"/>
      <c r="O1147" s="134"/>
      <c r="P1147" s="134"/>
      <c r="Q1147" s="134"/>
      <c r="R1147" s="134"/>
      <c r="S1147" s="134"/>
      <c r="T1147" s="134"/>
      <c r="U1147" s="134"/>
      <c r="V1147" s="134"/>
      <c r="W1147" s="134"/>
      <c r="X1147" s="134"/>
      <c r="Y1147" s="134"/>
      <c r="Z1147" s="134"/>
      <c r="AA1147" s="134"/>
      <c r="AB1147" s="134"/>
      <c r="AC1147" s="134"/>
      <c r="AD1147" s="134"/>
      <c r="AE1147" s="134"/>
      <c r="AF1147" s="134"/>
      <c r="AG1147" s="134"/>
      <c r="AH1147" s="134"/>
      <c r="AI1147" s="134"/>
      <c r="AJ1147" s="134"/>
    </row>
    <row r="1148" spans="2:36">
      <c r="B1148" s="134"/>
      <c r="C1148" s="134"/>
      <c r="D1148" s="134"/>
      <c r="E1148" s="134"/>
      <c r="F1148" s="134"/>
      <c r="G1148" s="134"/>
      <c r="H1148" s="134"/>
      <c r="I1148" s="134"/>
      <c r="J1148" s="134"/>
      <c r="K1148" s="134"/>
      <c r="L1148" s="134"/>
      <c r="M1148" s="134"/>
      <c r="N1148" s="134"/>
      <c r="O1148" s="134"/>
      <c r="P1148" s="134"/>
      <c r="Q1148" s="134"/>
      <c r="R1148" s="134"/>
      <c r="S1148" s="134"/>
      <c r="T1148" s="134"/>
      <c r="U1148" s="134"/>
      <c r="V1148" s="134"/>
      <c r="W1148" s="134"/>
      <c r="X1148" s="134"/>
      <c r="Y1148" s="134"/>
      <c r="Z1148" s="134"/>
      <c r="AA1148" s="134"/>
      <c r="AB1148" s="134"/>
      <c r="AC1148" s="134"/>
      <c r="AD1148" s="134"/>
      <c r="AE1148" s="134"/>
      <c r="AF1148" s="134"/>
      <c r="AG1148" s="134"/>
      <c r="AH1148" s="134"/>
      <c r="AI1148" s="134"/>
      <c r="AJ1148" s="134"/>
    </row>
    <row r="1149" spans="2:36">
      <c r="B1149" s="134"/>
      <c r="C1149" s="134"/>
      <c r="D1149" s="134"/>
      <c r="E1149" s="134"/>
      <c r="F1149" s="134"/>
      <c r="G1149" s="134"/>
      <c r="H1149" s="134"/>
      <c r="I1149" s="134"/>
      <c r="J1149" s="134"/>
      <c r="K1149" s="134"/>
      <c r="L1149" s="134"/>
      <c r="M1149" s="134"/>
      <c r="N1149" s="134"/>
      <c r="O1149" s="134"/>
      <c r="P1149" s="134"/>
      <c r="Q1149" s="134"/>
      <c r="R1149" s="134"/>
      <c r="S1149" s="134"/>
      <c r="T1149" s="134"/>
      <c r="U1149" s="134"/>
      <c r="V1149" s="134"/>
      <c r="W1149" s="134"/>
      <c r="X1149" s="134"/>
      <c r="Y1149" s="134"/>
      <c r="Z1149" s="134"/>
      <c r="AA1149" s="134"/>
      <c r="AB1149" s="134"/>
      <c r="AC1149" s="134"/>
      <c r="AD1149" s="134"/>
      <c r="AE1149" s="134"/>
      <c r="AF1149" s="134"/>
      <c r="AG1149" s="134"/>
      <c r="AH1149" s="134"/>
      <c r="AI1149" s="134"/>
      <c r="AJ1149" s="134"/>
    </row>
    <row r="1150" spans="2:36">
      <c r="B1150" s="134"/>
      <c r="C1150" s="134"/>
      <c r="D1150" s="134"/>
      <c r="E1150" s="134"/>
      <c r="F1150" s="134"/>
      <c r="G1150" s="134"/>
      <c r="H1150" s="134"/>
      <c r="I1150" s="134"/>
      <c r="J1150" s="134"/>
      <c r="K1150" s="134"/>
      <c r="L1150" s="134"/>
      <c r="M1150" s="134"/>
      <c r="N1150" s="134"/>
      <c r="O1150" s="134"/>
      <c r="P1150" s="134"/>
      <c r="Q1150" s="134"/>
      <c r="R1150" s="134"/>
      <c r="S1150" s="134"/>
      <c r="T1150" s="134"/>
      <c r="U1150" s="134"/>
      <c r="V1150" s="134"/>
      <c r="W1150" s="134"/>
      <c r="X1150" s="134"/>
      <c r="Y1150" s="134"/>
      <c r="Z1150" s="134"/>
      <c r="AA1150" s="134"/>
      <c r="AB1150" s="134"/>
      <c r="AC1150" s="134"/>
      <c r="AD1150" s="134"/>
      <c r="AE1150" s="134"/>
      <c r="AF1150" s="134"/>
      <c r="AG1150" s="134"/>
      <c r="AH1150" s="134"/>
      <c r="AI1150" s="134"/>
      <c r="AJ1150" s="134"/>
    </row>
    <row r="1151" spans="2:36">
      <c r="B1151" s="134"/>
      <c r="C1151" s="134"/>
      <c r="D1151" s="134"/>
      <c r="E1151" s="134"/>
      <c r="F1151" s="134"/>
      <c r="G1151" s="134"/>
      <c r="H1151" s="134"/>
      <c r="I1151" s="134"/>
      <c r="J1151" s="134"/>
      <c r="K1151" s="134"/>
      <c r="L1151" s="134"/>
      <c r="M1151" s="134"/>
      <c r="N1151" s="134"/>
      <c r="O1151" s="134"/>
      <c r="P1151" s="134"/>
      <c r="Q1151" s="134"/>
      <c r="R1151" s="134"/>
      <c r="S1151" s="134"/>
      <c r="T1151" s="134"/>
      <c r="U1151" s="134"/>
      <c r="V1151" s="134"/>
      <c r="W1151" s="134"/>
      <c r="X1151" s="134"/>
      <c r="Y1151" s="134"/>
      <c r="Z1151" s="134"/>
      <c r="AA1151" s="134"/>
      <c r="AB1151" s="134"/>
      <c r="AC1151" s="134"/>
      <c r="AD1151" s="134"/>
      <c r="AE1151" s="134"/>
      <c r="AF1151" s="134"/>
      <c r="AG1151" s="134"/>
      <c r="AH1151" s="134"/>
      <c r="AI1151" s="134"/>
      <c r="AJ1151" s="134"/>
    </row>
    <row r="1152" spans="2:36">
      <c r="B1152" s="134"/>
      <c r="C1152" s="134"/>
      <c r="D1152" s="134"/>
      <c r="E1152" s="134"/>
      <c r="F1152" s="134"/>
      <c r="G1152" s="134"/>
      <c r="H1152" s="134"/>
      <c r="I1152" s="134"/>
      <c r="J1152" s="134"/>
      <c r="K1152" s="134"/>
      <c r="L1152" s="134"/>
      <c r="M1152" s="134"/>
      <c r="N1152" s="134"/>
      <c r="O1152" s="134"/>
      <c r="P1152" s="134"/>
      <c r="Q1152" s="134"/>
      <c r="R1152" s="134"/>
      <c r="S1152" s="134"/>
      <c r="T1152" s="134"/>
      <c r="U1152" s="134"/>
      <c r="V1152" s="134"/>
      <c r="W1152" s="134"/>
      <c r="X1152" s="134"/>
      <c r="Y1152" s="134"/>
      <c r="Z1152" s="134"/>
      <c r="AA1152" s="134"/>
      <c r="AB1152" s="134"/>
      <c r="AC1152" s="134"/>
      <c r="AD1152" s="134"/>
      <c r="AE1152" s="134"/>
      <c r="AF1152" s="134"/>
      <c r="AG1152" s="134"/>
      <c r="AH1152" s="134"/>
      <c r="AI1152" s="134"/>
      <c r="AJ1152" s="134"/>
    </row>
    <row r="1153" spans="2:36">
      <c r="B1153" s="134"/>
      <c r="C1153" s="134"/>
      <c r="D1153" s="134"/>
      <c r="E1153" s="134"/>
      <c r="F1153" s="134"/>
      <c r="G1153" s="134"/>
      <c r="H1153" s="134"/>
      <c r="I1153" s="134"/>
      <c r="J1153" s="134"/>
      <c r="K1153" s="134"/>
      <c r="L1153" s="134"/>
      <c r="M1153" s="134"/>
      <c r="N1153" s="134"/>
      <c r="O1153" s="134"/>
      <c r="P1153" s="134"/>
      <c r="Q1153" s="134"/>
      <c r="R1153" s="134"/>
      <c r="S1153" s="134"/>
      <c r="T1153" s="134"/>
      <c r="U1153" s="134"/>
      <c r="V1153" s="134"/>
      <c r="W1153" s="134"/>
      <c r="X1153" s="134"/>
      <c r="Y1153" s="134"/>
      <c r="Z1153" s="134"/>
      <c r="AA1153" s="134"/>
      <c r="AB1153" s="134"/>
      <c r="AC1153" s="134"/>
      <c r="AD1153" s="134"/>
      <c r="AE1153" s="134"/>
      <c r="AF1153" s="134"/>
      <c r="AG1153" s="134"/>
      <c r="AH1153" s="134"/>
      <c r="AI1153" s="134"/>
      <c r="AJ1153" s="134"/>
    </row>
    <row r="1154" spans="2:36">
      <c r="B1154" s="134"/>
      <c r="C1154" s="134"/>
      <c r="D1154" s="134"/>
      <c r="E1154" s="134"/>
      <c r="F1154" s="134"/>
      <c r="G1154" s="134"/>
      <c r="H1154" s="134"/>
      <c r="I1154" s="134"/>
      <c r="J1154" s="134"/>
      <c r="K1154" s="134"/>
      <c r="L1154" s="134"/>
      <c r="M1154" s="134"/>
      <c r="N1154" s="134"/>
      <c r="O1154" s="134"/>
      <c r="P1154" s="134"/>
      <c r="Q1154" s="134"/>
      <c r="R1154" s="134"/>
      <c r="S1154" s="134"/>
      <c r="T1154" s="134"/>
      <c r="U1154" s="134"/>
      <c r="V1154" s="134"/>
      <c r="W1154" s="134"/>
      <c r="X1154" s="134"/>
      <c r="Y1154" s="134"/>
      <c r="Z1154" s="134"/>
      <c r="AA1154" s="134"/>
      <c r="AB1154" s="134"/>
      <c r="AC1154" s="134"/>
      <c r="AD1154" s="134"/>
      <c r="AE1154" s="134"/>
      <c r="AF1154" s="134"/>
      <c r="AG1154" s="134"/>
      <c r="AH1154" s="134"/>
      <c r="AI1154" s="134"/>
      <c r="AJ1154" s="134"/>
    </row>
    <row r="1155" spans="2:36">
      <c r="B1155" s="134"/>
      <c r="C1155" s="134"/>
      <c r="D1155" s="134"/>
      <c r="E1155" s="134"/>
      <c r="F1155" s="134"/>
      <c r="G1155" s="134"/>
      <c r="H1155" s="134"/>
      <c r="I1155" s="134"/>
      <c r="J1155" s="134"/>
      <c r="K1155" s="134"/>
      <c r="L1155" s="134"/>
      <c r="M1155" s="134"/>
      <c r="N1155" s="134"/>
      <c r="O1155" s="134"/>
      <c r="P1155" s="134"/>
      <c r="Q1155" s="134"/>
      <c r="R1155" s="134"/>
      <c r="S1155" s="134"/>
      <c r="T1155" s="134"/>
      <c r="U1155" s="134"/>
      <c r="V1155" s="134"/>
      <c r="W1155" s="134"/>
      <c r="X1155" s="134"/>
      <c r="Y1155" s="134"/>
      <c r="Z1155" s="134"/>
      <c r="AA1155" s="134"/>
      <c r="AB1155" s="134"/>
      <c r="AC1155" s="134"/>
      <c r="AD1155" s="134"/>
      <c r="AE1155" s="134"/>
      <c r="AF1155" s="134"/>
      <c r="AG1155" s="134"/>
      <c r="AH1155" s="134"/>
      <c r="AI1155" s="134"/>
      <c r="AJ1155" s="134"/>
    </row>
    <row r="1156" spans="2:36">
      <c r="B1156" s="134"/>
      <c r="C1156" s="134"/>
      <c r="D1156" s="134"/>
      <c r="E1156" s="134"/>
      <c r="F1156" s="134"/>
      <c r="G1156" s="134"/>
      <c r="H1156" s="134"/>
      <c r="I1156" s="134"/>
      <c r="J1156" s="134"/>
      <c r="K1156" s="134"/>
      <c r="L1156" s="134"/>
      <c r="M1156" s="134"/>
      <c r="N1156" s="134"/>
      <c r="O1156" s="134"/>
      <c r="P1156" s="134"/>
      <c r="Q1156" s="134"/>
      <c r="R1156" s="134"/>
      <c r="S1156" s="134"/>
      <c r="T1156" s="134"/>
      <c r="U1156" s="134"/>
      <c r="V1156" s="134"/>
      <c r="W1156" s="134"/>
      <c r="X1156" s="134"/>
      <c r="Y1156" s="134"/>
      <c r="Z1156" s="134"/>
      <c r="AA1156" s="134"/>
      <c r="AB1156" s="134"/>
      <c r="AC1156" s="134"/>
      <c r="AD1156" s="134"/>
      <c r="AE1156" s="134"/>
      <c r="AF1156" s="134"/>
      <c r="AG1156" s="134"/>
      <c r="AH1156" s="134"/>
      <c r="AI1156" s="134"/>
      <c r="AJ1156" s="134"/>
    </row>
    <row r="1157" spans="2:36">
      <c r="B1157" s="134"/>
      <c r="C1157" s="134"/>
      <c r="D1157" s="134"/>
      <c r="E1157" s="134"/>
      <c r="F1157" s="134"/>
      <c r="G1157" s="134"/>
      <c r="H1157" s="134"/>
      <c r="I1157" s="134"/>
      <c r="J1157" s="134"/>
      <c r="K1157" s="134"/>
      <c r="L1157" s="134"/>
      <c r="M1157" s="134"/>
      <c r="N1157" s="134"/>
      <c r="O1157" s="134"/>
      <c r="P1157" s="134"/>
      <c r="Q1157" s="134"/>
      <c r="R1157" s="134"/>
      <c r="S1157" s="134"/>
      <c r="T1157" s="134"/>
      <c r="U1157" s="134"/>
      <c r="V1157" s="134"/>
      <c r="W1157" s="134"/>
      <c r="X1157" s="134"/>
      <c r="Y1157" s="134"/>
      <c r="Z1157" s="134"/>
      <c r="AA1157" s="134"/>
      <c r="AB1157" s="134"/>
      <c r="AC1157" s="134"/>
      <c r="AD1157" s="134"/>
      <c r="AE1157" s="134"/>
      <c r="AF1157" s="134"/>
      <c r="AG1157" s="134"/>
      <c r="AH1157" s="134"/>
      <c r="AI1157" s="134"/>
      <c r="AJ1157" s="134"/>
    </row>
    <row r="1158" spans="2:36">
      <c r="B1158" s="134"/>
      <c r="C1158" s="134"/>
      <c r="D1158" s="134"/>
      <c r="E1158" s="134"/>
      <c r="F1158" s="134"/>
      <c r="G1158" s="134"/>
      <c r="H1158" s="134"/>
      <c r="I1158" s="134"/>
      <c r="J1158" s="134"/>
      <c r="K1158" s="134"/>
      <c r="L1158" s="134"/>
      <c r="M1158" s="134"/>
      <c r="N1158" s="134"/>
      <c r="O1158" s="134"/>
      <c r="P1158" s="134"/>
      <c r="Q1158" s="134"/>
      <c r="R1158" s="134"/>
      <c r="S1158" s="134"/>
      <c r="T1158" s="134"/>
      <c r="U1158" s="134"/>
      <c r="V1158" s="134"/>
      <c r="W1158" s="134"/>
      <c r="X1158" s="134"/>
      <c r="Y1158" s="134"/>
      <c r="Z1158" s="134"/>
      <c r="AA1158" s="134"/>
      <c r="AB1158" s="134"/>
      <c r="AC1158" s="134"/>
      <c r="AD1158" s="134"/>
      <c r="AE1158" s="134"/>
      <c r="AF1158" s="134"/>
      <c r="AG1158" s="134"/>
      <c r="AH1158" s="134"/>
      <c r="AI1158" s="134"/>
      <c r="AJ1158" s="134"/>
    </row>
    <row r="1159" spans="2:36">
      <c r="B1159" s="134"/>
      <c r="C1159" s="134"/>
      <c r="D1159" s="134"/>
      <c r="E1159" s="134"/>
      <c r="F1159" s="134"/>
      <c r="G1159" s="134"/>
      <c r="H1159" s="134"/>
      <c r="I1159" s="134"/>
      <c r="J1159" s="134"/>
      <c r="K1159" s="134"/>
      <c r="L1159" s="134"/>
      <c r="M1159" s="134"/>
      <c r="N1159" s="134"/>
      <c r="O1159" s="134"/>
      <c r="P1159" s="134"/>
      <c r="Q1159" s="134"/>
      <c r="R1159" s="134"/>
      <c r="S1159" s="134"/>
      <c r="T1159" s="134"/>
      <c r="U1159" s="134"/>
      <c r="V1159" s="134"/>
      <c r="W1159" s="134"/>
      <c r="X1159" s="134"/>
      <c r="Y1159" s="134"/>
      <c r="Z1159" s="134"/>
      <c r="AA1159" s="134"/>
      <c r="AB1159" s="134"/>
      <c r="AC1159" s="134"/>
      <c r="AD1159" s="134"/>
      <c r="AE1159" s="134"/>
      <c r="AF1159" s="134"/>
      <c r="AG1159" s="134"/>
      <c r="AH1159" s="134"/>
      <c r="AI1159" s="134"/>
      <c r="AJ1159" s="134"/>
    </row>
    <row r="1160" spans="2:36">
      <c r="B1160" s="134"/>
      <c r="C1160" s="134"/>
      <c r="D1160" s="134"/>
      <c r="E1160" s="134"/>
      <c r="F1160" s="134"/>
      <c r="G1160" s="134"/>
      <c r="H1160" s="134"/>
      <c r="I1160" s="134"/>
      <c r="J1160" s="134"/>
      <c r="K1160" s="134"/>
      <c r="L1160" s="134"/>
      <c r="M1160" s="134"/>
      <c r="N1160" s="134"/>
      <c r="O1160" s="134"/>
      <c r="P1160" s="134"/>
      <c r="Q1160" s="134"/>
      <c r="R1160" s="134"/>
      <c r="S1160" s="134"/>
      <c r="T1160" s="134"/>
      <c r="U1160" s="134"/>
      <c r="V1160" s="134"/>
      <c r="W1160" s="134"/>
      <c r="X1160" s="134"/>
      <c r="Y1160" s="134"/>
      <c r="Z1160" s="134"/>
      <c r="AA1160" s="134"/>
      <c r="AB1160" s="134"/>
      <c r="AC1160" s="134"/>
      <c r="AD1160" s="134"/>
      <c r="AE1160" s="134"/>
      <c r="AF1160" s="134"/>
      <c r="AG1160" s="134"/>
      <c r="AH1160" s="134"/>
      <c r="AI1160" s="134"/>
      <c r="AJ1160" s="134"/>
    </row>
    <row r="1161" spans="2:36">
      <c r="B1161" s="134"/>
      <c r="C1161" s="134"/>
      <c r="D1161" s="134"/>
      <c r="E1161" s="134"/>
      <c r="F1161" s="134"/>
      <c r="G1161" s="134"/>
      <c r="H1161" s="134"/>
      <c r="I1161" s="134"/>
      <c r="J1161" s="134"/>
      <c r="K1161" s="134"/>
      <c r="L1161" s="134"/>
      <c r="M1161" s="134"/>
      <c r="N1161" s="134"/>
      <c r="O1161" s="134"/>
      <c r="P1161" s="134"/>
      <c r="Q1161" s="134"/>
      <c r="R1161" s="134"/>
      <c r="S1161" s="134"/>
      <c r="T1161" s="134"/>
      <c r="U1161" s="134"/>
      <c r="V1161" s="134"/>
      <c r="W1161" s="134"/>
      <c r="X1161" s="134"/>
      <c r="Y1161" s="134"/>
      <c r="Z1161" s="134"/>
      <c r="AA1161" s="134"/>
      <c r="AB1161" s="134"/>
      <c r="AC1161" s="134"/>
      <c r="AD1161" s="134"/>
      <c r="AE1161" s="134"/>
      <c r="AF1161" s="134"/>
      <c r="AG1161" s="134"/>
      <c r="AH1161" s="134"/>
      <c r="AI1161" s="134"/>
      <c r="AJ1161" s="134"/>
    </row>
    <row r="1162" spans="2:36">
      <c r="B1162" s="134"/>
      <c r="C1162" s="134"/>
      <c r="D1162" s="134"/>
      <c r="E1162" s="134"/>
      <c r="F1162" s="134"/>
      <c r="G1162" s="134"/>
      <c r="H1162" s="134"/>
      <c r="I1162" s="134"/>
      <c r="J1162" s="134"/>
      <c r="K1162" s="134"/>
      <c r="L1162" s="134"/>
      <c r="M1162" s="134"/>
      <c r="N1162" s="134"/>
      <c r="O1162" s="134"/>
      <c r="P1162" s="134"/>
      <c r="Q1162" s="134"/>
      <c r="R1162" s="134"/>
      <c r="S1162" s="134"/>
      <c r="T1162" s="134"/>
      <c r="U1162" s="134"/>
      <c r="V1162" s="134"/>
      <c r="W1162" s="134"/>
      <c r="X1162" s="134"/>
      <c r="Y1162" s="134"/>
      <c r="Z1162" s="134"/>
      <c r="AA1162" s="134"/>
      <c r="AB1162" s="134"/>
      <c r="AC1162" s="134"/>
      <c r="AD1162" s="134"/>
      <c r="AE1162" s="134"/>
      <c r="AF1162" s="134"/>
      <c r="AG1162" s="134"/>
      <c r="AH1162" s="134"/>
      <c r="AI1162" s="134"/>
      <c r="AJ1162" s="134"/>
    </row>
    <row r="1163" spans="2:36">
      <c r="B1163" s="134"/>
      <c r="C1163" s="134"/>
      <c r="D1163" s="134"/>
      <c r="E1163" s="134"/>
      <c r="F1163" s="134"/>
      <c r="G1163" s="134"/>
      <c r="H1163" s="134"/>
      <c r="I1163" s="134"/>
      <c r="J1163" s="134"/>
      <c r="K1163" s="134"/>
      <c r="L1163" s="134"/>
      <c r="M1163" s="134"/>
      <c r="N1163" s="134"/>
      <c r="O1163" s="134"/>
      <c r="P1163" s="134"/>
      <c r="Q1163" s="134"/>
      <c r="R1163" s="134"/>
      <c r="S1163" s="134"/>
      <c r="T1163" s="134"/>
      <c r="U1163" s="134"/>
      <c r="V1163" s="134"/>
      <c r="W1163" s="134"/>
      <c r="X1163" s="134"/>
      <c r="Y1163" s="134"/>
      <c r="Z1163" s="134"/>
      <c r="AA1163" s="134"/>
      <c r="AB1163" s="134"/>
      <c r="AC1163" s="134"/>
      <c r="AD1163" s="134"/>
      <c r="AE1163" s="134"/>
      <c r="AF1163" s="134"/>
      <c r="AG1163" s="134"/>
      <c r="AH1163" s="134"/>
      <c r="AI1163" s="134"/>
      <c r="AJ1163" s="134"/>
    </row>
    <row r="1164" spans="2:36">
      <c r="B1164" s="134"/>
      <c r="C1164" s="134"/>
      <c r="D1164" s="134"/>
      <c r="E1164" s="134"/>
      <c r="F1164" s="134"/>
      <c r="G1164" s="134"/>
      <c r="H1164" s="134"/>
      <c r="I1164" s="134"/>
      <c r="J1164" s="134"/>
      <c r="K1164" s="134"/>
      <c r="L1164" s="134"/>
      <c r="M1164" s="134"/>
      <c r="N1164" s="134"/>
      <c r="O1164" s="134"/>
      <c r="P1164" s="134"/>
      <c r="Q1164" s="134"/>
      <c r="R1164" s="134"/>
      <c r="S1164" s="134"/>
      <c r="T1164" s="134"/>
      <c r="U1164" s="134"/>
      <c r="V1164" s="134"/>
      <c r="W1164" s="134"/>
      <c r="X1164" s="134"/>
      <c r="Y1164" s="134"/>
      <c r="Z1164" s="134"/>
      <c r="AA1164" s="134"/>
      <c r="AB1164" s="134"/>
      <c r="AC1164" s="134"/>
      <c r="AD1164" s="134"/>
      <c r="AE1164" s="134"/>
      <c r="AF1164" s="134"/>
      <c r="AG1164" s="134"/>
      <c r="AH1164" s="134"/>
      <c r="AI1164" s="134"/>
      <c r="AJ1164" s="134"/>
    </row>
    <row r="1165" spans="2:36">
      <c r="B1165" s="134"/>
      <c r="C1165" s="134"/>
      <c r="D1165" s="134"/>
      <c r="E1165" s="134"/>
      <c r="F1165" s="134"/>
      <c r="G1165" s="134"/>
      <c r="H1165" s="134"/>
      <c r="I1165" s="134"/>
      <c r="J1165" s="134"/>
      <c r="K1165" s="134"/>
      <c r="L1165" s="134"/>
      <c r="M1165" s="134"/>
      <c r="N1165" s="134"/>
      <c r="O1165" s="134"/>
      <c r="P1165" s="134"/>
      <c r="Q1165" s="134"/>
      <c r="R1165" s="134"/>
      <c r="S1165" s="134"/>
      <c r="T1165" s="134"/>
      <c r="U1165" s="134"/>
      <c r="V1165" s="134"/>
      <c r="W1165" s="134"/>
      <c r="X1165" s="134"/>
      <c r="Y1165" s="134"/>
      <c r="Z1165" s="134"/>
      <c r="AA1165" s="134"/>
      <c r="AB1165" s="134"/>
      <c r="AC1165" s="134"/>
      <c r="AD1165" s="134"/>
      <c r="AE1165" s="134"/>
      <c r="AF1165" s="134"/>
      <c r="AG1165" s="134"/>
      <c r="AH1165" s="134"/>
      <c r="AI1165" s="134"/>
      <c r="AJ1165" s="134"/>
    </row>
    <row r="1166" spans="2:36">
      <c r="B1166" s="134"/>
      <c r="C1166" s="134"/>
      <c r="D1166" s="134"/>
      <c r="E1166" s="134"/>
      <c r="F1166" s="134"/>
      <c r="G1166" s="134"/>
      <c r="H1166" s="134"/>
      <c r="I1166" s="134"/>
      <c r="J1166" s="134"/>
      <c r="K1166" s="134"/>
      <c r="L1166" s="134"/>
      <c r="M1166" s="134"/>
      <c r="N1166" s="134"/>
      <c r="O1166" s="134"/>
      <c r="P1166" s="134"/>
      <c r="Q1166" s="134"/>
      <c r="R1166" s="134"/>
      <c r="S1166" s="134"/>
      <c r="T1166" s="134"/>
      <c r="U1166" s="134"/>
      <c r="V1166" s="134"/>
      <c r="W1166" s="134"/>
      <c r="X1166" s="134"/>
      <c r="Y1166" s="134"/>
      <c r="Z1166" s="134"/>
      <c r="AA1166" s="134"/>
      <c r="AB1166" s="134"/>
      <c r="AC1166" s="134"/>
      <c r="AD1166" s="134"/>
      <c r="AE1166" s="134"/>
      <c r="AF1166" s="134"/>
      <c r="AG1166" s="134"/>
      <c r="AH1166" s="134"/>
      <c r="AI1166" s="134"/>
      <c r="AJ1166" s="134"/>
    </row>
    <row r="1167" spans="2:36">
      <c r="B1167" s="134"/>
      <c r="C1167" s="134"/>
      <c r="D1167" s="134"/>
      <c r="E1167" s="134"/>
      <c r="F1167" s="134"/>
      <c r="G1167" s="134"/>
      <c r="H1167" s="134"/>
      <c r="I1167" s="134"/>
      <c r="J1167" s="134"/>
      <c r="K1167" s="134"/>
      <c r="L1167" s="134"/>
      <c r="M1167" s="134"/>
      <c r="N1167" s="134"/>
      <c r="O1167" s="134"/>
      <c r="P1167" s="134"/>
      <c r="Q1167" s="134"/>
      <c r="R1167" s="134"/>
      <c r="S1167" s="134"/>
      <c r="T1167" s="134"/>
      <c r="U1167" s="134"/>
      <c r="V1167" s="134"/>
      <c r="W1167" s="134"/>
      <c r="X1167" s="134"/>
      <c r="Y1167" s="134"/>
      <c r="Z1167" s="134"/>
      <c r="AA1167" s="134"/>
      <c r="AB1167" s="134"/>
      <c r="AC1167" s="134"/>
      <c r="AD1167" s="134"/>
      <c r="AE1167" s="134"/>
      <c r="AF1167" s="134"/>
      <c r="AG1167" s="134"/>
      <c r="AH1167" s="134"/>
      <c r="AI1167" s="134"/>
      <c r="AJ1167" s="134"/>
    </row>
    <row r="1168" spans="2:36">
      <c r="B1168" s="134"/>
      <c r="C1168" s="134"/>
      <c r="D1168" s="134"/>
      <c r="E1168" s="134"/>
      <c r="F1168" s="134"/>
      <c r="G1168" s="134"/>
      <c r="H1168" s="134"/>
      <c r="I1168" s="134"/>
      <c r="J1168" s="134"/>
      <c r="K1168" s="134"/>
      <c r="L1168" s="134"/>
      <c r="M1168" s="134"/>
      <c r="N1168" s="134"/>
      <c r="O1168" s="134"/>
      <c r="P1168" s="134"/>
      <c r="Q1168" s="134"/>
      <c r="R1168" s="134"/>
      <c r="S1168" s="134"/>
      <c r="T1168" s="134"/>
      <c r="U1168" s="134"/>
      <c r="V1168" s="134"/>
      <c r="W1168" s="134"/>
      <c r="X1168" s="134"/>
      <c r="Y1168" s="134"/>
      <c r="Z1168" s="134"/>
      <c r="AA1168" s="134"/>
      <c r="AB1168" s="134"/>
      <c r="AC1168" s="134"/>
      <c r="AD1168" s="134"/>
      <c r="AE1168" s="134"/>
      <c r="AF1168" s="134"/>
      <c r="AG1168" s="134"/>
      <c r="AH1168" s="134"/>
      <c r="AI1168" s="134"/>
      <c r="AJ1168" s="134"/>
    </row>
    <row r="1169" spans="2:36">
      <c r="B1169" s="134"/>
      <c r="C1169" s="134"/>
      <c r="D1169" s="134"/>
      <c r="E1169" s="134"/>
      <c r="F1169" s="134"/>
      <c r="G1169" s="134"/>
      <c r="H1169" s="134"/>
      <c r="I1169" s="134"/>
      <c r="J1169" s="134"/>
      <c r="K1169" s="134"/>
      <c r="L1169" s="134"/>
      <c r="M1169" s="134"/>
      <c r="N1169" s="134"/>
      <c r="O1169" s="134"/>
      <c r="P1169" s="134"/>
      <c r="Q1169" s="134"/>
      <c r="R1169" s="134"/>
      <c r="S1169" s="134"/>
      <c r="T1169" s="134"/>
      <c r="U1169" s="134"/>
      <c r="V1169" s="134"/>
      <c r="W1169" s="134"/>
      <c r="X1169" s="134"/>
      <c r="Y1169" s="134"/>
      <c r="Z1169" s="134"/>
      <c r="AA1169" s="134"/>
      <c r="AB1169" s="134"/>
      <c r="AC1169" s="134"/>
      <c r="AD1169" s="134"/>
      <c r="AE1169" s="134"/>
      <c r="AF1169" s="134"/>
      <c r="AG1169" s="134"/>
      <c r="AH1169" s="134"/>
      <c r="AI1169" s="134"/>
      <c r="AJ1169" s="134"/>
    </row>
    <row r="1170" spans="2:36">
      <c r="B1170" s="134"/>
      <c r="C1170" s="134"/>
      <c r="D1170" s="134"/>
      <c r="E1170" s="134"/>
      <c r="F1170" s="134"/>
      <c r="G1170" s="134"/>
      <c r="H1170" s="134"/>
      <c r="I1170" s="134"/>
      <c r="J1170" s="134"/>
      <c r="K1170" s="134"/>
      <c r="L1170" s="134"/>
      <c r="M1170" s="134"/>
      <c r="N1170" s="134"/>
      <c r="O1170" s="134"/>
      <c r="P1170" s="134"/>
      <c r="Q1170" s="134"/>
      <c r="R1170" s="134"/>
      <c r="S1170" s="134"/>
      <c r="T1170" s="134"/>
      <c r="U1170" s="134"/>
      <c r="V1170" s="134"/>
      <c r="W1170" s="134"/>
      <c r="X1170" s="134"/>
      <c r="Y1170" s="134"/>
      <c r="Z1170" s="134"/>
      <c r="AA1170" s="134"/>
      <c r="AB1170" s="134"/>
      <c r="AC1170" s="134"/>
      <c r="AD1170" s="134"/>
      <c r="AE1170" s="134"/>
      <c r="AF1170" s="134"/>
      <c r="AG1170" s="134"/>
      <c r="AH1170" s="134"/>
      <c r="AI1170" s="134"/>
      <c r="AJ1170" s="134"/>
    </row>
    <row r="1171" spans="2:36">
      <c r="B1171" s="134"/>
      <c r="C1171" s="134"/>
      <c r="D1171" s="134"/>
      <c r="E1171" s="134"/>
      <c r="F1171" s="134"/>
      <c r="G1171" s="134"/>
      <c r="H1171" s="134"/>
      <c r="I1171" s="134"/>
      <c r="J1171" s="134"/>
      <c r="K1171" s="134"/>
      <c r="L1171" s="134"/>
      <c r="M1171" s="134"/>
      <c r="N1171" s="134"/>
      <c r="O1171" s="134"/>
      <c r="P1171" s="134"/>
      <c r="Q1171" s="134"/>
      <c r="R1171" s="134"/>
      <c r="S1171" s="134"/>
      <c r="T1171" s="134"/>
      <c r="U1171" s="134"/>
      <c r="V1171" s="134"/>
      <c r="W1171" s="134"/>
      <c r="X1171" s="134"/>
      <c r="Y1171" s="134"/>
      <c r="Z1171" s="134"/>
      <c r="AA1171" s="134"/>
      <c r="AB1171" s="134"/>
      <c r="AC1171" s="134"/>
      <c r="AD1171" s="134"/>
      <c r="AE1171" s="134"/>
      <c r="AF1171" s="134"/>
      <c r="AG1171" s="134"/>
      <c r="AH1171" s="134"/>
      <c r="AI1171" s="134"/>
      <c r="AJ1171" s="134"/>
    </row>
    <row r="1172" spans="2:36">
      <c r="B1172" s="134"/>
      <c r="C1172" s="134"/>
      <c r="D1172" s="134"/>
      <c r="E1172" s="134"/>
      <c r="F1172" s="134"/>
      <c r="G1172" s="134"/>
      <c r="H1172" s="134"/>
      <c r="I1172" s="134"/>
      <c r="J1172" s="134"/>
      <c r="K1172" s="134"/>
      <c r="L1172" s="134"/>
      <c r="M1172" s="134"/>
      <c r="N1172" s="134"/>
      <c r="O1172" s="134"/>
      <c r="P1172" s="134"/>
      <c r="Q1172" s="134"/>
      <c r="R1172" s="134"/>
      <c r="S1172" s="134"/>
      <c r="T1172" s="134"/>
      <c r="U1172" s="134"/>
      <c r="V1172" s="134"/>
      <c r="W1172" s="134"/>
      <c r="X1172" s="134"/>
      <c r="Y1172" s="134"/>
      <c r="Z1172" s="134"/>
      <c r="AA1172" s="134"/>
      <c r="AB1172" s="134"/>
      <c r="AC1172" s="134"/>
      <c r="AD1172" s="134"/>
      <c r="AE1172" s="134"/>
      <c r="AF1172" s="134"/>
      <c r="AG1172" s="134"/>
      <c r="AH1172" s="134"/>
      <c r="AI1172" s="134"/>
      <c r="AJ1172" s="134"/>
    </row>
    <row r="1173" spans="2:36">
      <c r="B1173" s="134"/>
      <c r="C1173" s="134"/>
      <c r="D1173" s="134"/>
      <c r="E1173" s="134"/>
      <c r="F1173" s="134"/>
      <c r="G1173" s="134"/>
      <c r="H1173" s="134"/>
      <c r="I1173" s="134"/>
      <c r="J1173" s="134"/>
      <c r="K1173" s="134"/>
      <c r="L1173" s="134"/>
      <c r="M1173" s="134"/>
      <c r="N1173" s="134"/>
      <c r="O1173" s="134"/>
      <c r="P1173" s="134"/>
      <c r="Q1173" s="134"/>
      <c r="R1173" s="134"/>
      <c r="S1173" s="134"/>
      <c r="T1173" s="134"/>
      <c r="U1173" s="134"/>
      <c r="V1173" s="134"/>
      <c r="W1173" s="134"/>
      <c r="X1173" s="134"/>
      <c r="Y1173" s="134"/>
      <c r="Z1173" s="134"/>
      <c r="AA1173" s="134"/>
      <c r="AB1173" s="134"/>
      <c r="AC1173" s="134"/>
      <c r="AD1173" s="134"/>
      <c r="AE1173" s="134"/>
      <c r="AF1173" s="134"/>
      <c r="AG1173" s="134"/>
      <c r="AH1173" s="134"/>
      <c r="AI1173" s="134"/>
      <c r="AJ1173" s="134"/>
    </row>
    <row r="1174" spans="2:36">
      <c r="B1174" s="134"/>
      <c r="C1174" s="134"/>
      <c r="D1174" s="134"/>
      <c r="E1174" s="134"/>
      <c r="F1174" s="134"/>
      <c r="G1174" s="134"/>
      <c r="H1174" s="134"/>
      <c r="I1174" s="134"/>
      <c r="J1174" s="134"/>
      <c r="K1174" s="134"/>
      <c r="L1174" s="134"/>
      <c r="M1174" s="134"/>
      <c r="N1174" s="134"/>
      <c r="O1174" s="134"/>
      <c r="P1174" s="134"/>
      <c r="Q1174" s="134"/>
      <c r="R1174" s="134"/>
      <c r="S1174" s="134"/>
      <c r="T1174" s="134"/>
      <c r="U1174" s="134"/>
      <c r="V1174" s="134"/>
      <c r="W1174" s="134"/>
      <c r="X1174" s="134"/>
      <c r="Y1174" s="134"/>
      <c r="Z1174" s="134"/>
      <c r="AA1174" s="134"/>
      <c r="AB1174" s="134"/>
      <c r="AC1174" s="134"/>
      <c r="AD1174" s="134"/>
      <c r="AE1174" s="134"/>
      <c r="AF1174" s="134"/>
      <c r="AG1174" s="134"/>
      <c r="AH1174" s="134"/>
      <c r="AI1174" s="134"/>
      <c r="AJ1174" s="134"/>
    </row>
    <row r="1175" spans="2:36">
      <c r="B1175" s="134"/>
      <c r="C1175" s="134"/>
      <c r="D1175" s="134"/>
      <c r="E1175" s="134"/>
      <c r="F1175" s="134"/>
      <c r="G1175" s="134"/>
      <c r="H1175" s="134"/>
      <c r="I1175" s="134"/>
      <c r="J1175" s="134"/>
      <c r="K1175" s="134"/>
      <c r="L1175" s="134"/>
      <c r="M1175" s="134"/>
      <c r="N1175" s="134"/>
      <c r="O1175" s="134"/>
      <c r="P1175" s="134"/>
      <c r="Q1175" s="134"/>
      <c r="R1175" s="134"/>
      <c r="S1175" s="134"/>
      <c r="T1175" s="134"/>
      <c r="U1175" s="134"/>
      <c r="V1175" s="134"/>
      <c r="W1175" s="134"/>
      <c r="X1175" s="134"/>
      <c r="Y1175" s="134"/>
      <c r="Z1175" s="134"/>
      <c r="AA1175" s="134"/>
      <c r="AB1175" s="134"/>
      <c r="AC1175" s="134"/>
      <c r="AD1175" s="134"/>
      <c r="AE1175" s="134"/>
      <c r="AF1175" s="134"/>
      <c r="AG1175" s="134"/>
      <c r="AH1175" s="134"/>
      <c r="AI1175" s="134"/>
      <c r="AJ1175" s="134"/>
    </row>
    <row r="1176" spans="2:36">
      <c r="B1176" s="134"/>
      <c r="C1176" s="134"/>
      <c r="D1176" s="134"/>
      <c r="E1176" s="134"/>
      <c r="F1176" s="134"/>
      <c r="G1176" s="134"/>
      <c r="H1176" s="134"/>
      <c r="I1176" s="134"/>
      <c r="J1176" s="134"/>
      <c r="K1176" s="134"/>
      <c r="L1176" s="134"/>
      <c r="M1176" s="134"/>
      <c r="N1176" s="134"/>
      <c r="O1176" s="134"/>
      <c r="P1176" s="134"/>
      <c r="Q1176" s="134"/>
      <c r="R1176" s="134"/>
      <c r="S1176" s="134"/>
      <c r="T1176" s="134"/>
      <c r="U1176" s="134"/>
      <c r="V1176" s="134"/>
      <c r="W1176" s="134"/>
      <c r="X1176" s="134"/>
      <c r="Y1176" s="134"/>
      <c r="Z1176" s="134"/>
      <c r="AA1176" s="134"/>
      <c r="AB1176" s="134"/>
      <c r="AC1176" s="134"/>
      <c r="AD1176" s="134"/>
      <c r="AE1176" s="134"/>
      <c r="AF1176" s="134"/>
      <c r="AG1176" s="134"/>
      <c r="AH1176" s="134"/>
      <c r="AI1176" s="134"/>
      <c r="AJ1176" s="134"/>
    </row>
    <row r="1177" spans="2:36">
      <c r="B1177" s="134"/>
      <c r="C1177" s="134"/>
      <c r="D1177" s="134"/>
      <c r="E1177" s="134"/>
      <c r="F1177" s="134"/>
      <c r="G1177" s="134"/>
      <c r="H1177" s="134"/>
      <c r="I1177" s="134"/>
      <c r="J1177" s="134"/>
      <c r="K1177" s="134"/>
      <c r="L1177" s="134"/>
      <c r="M1177" s="134"/>
      <c r="N1177" s="134"/>
      <c r="O1177" s="134"/>
      <c r="P1177" s="134"/>
      <c r="Q1177" s="134"/>
      <c r="R1177" s="134"/>
      <c r="S1177" s="134"/>
      <c r="T1177" s="134"/>
      <c r="U1177" s="134"/>
      <c r="V1177" s="134"/>
      <c r="W1177" s="134"/>
      <c r="X1177" s="134"/>
      <c r="Y1177" s="134"/>
      <c r="Z1177" s="134"/>
      <c r="AA1177" s="134"/>
      <c r="AB1177" s="134"/>
      <c r="AC1177" s="134"/>
      <c r="AD1177" s="134"/>
      <c r="AE1177" s="134"/>
      <c r="AF1177" s="134"/>
      <c r="AG1177" s="134"/>
      <c r="AH1177" s="134"/>
      <c r="AI1177" s="134"/>
      <c r="AJ1177" s="134"/>
    </row>
    <row r="1178" spans="2:36">
      <c r="B1178" s="134"/>
      <c r="C1178" s="134"/>
      <c r="D1178" s="134"/>
      <c r="E1178" s="134"/>
      <c r="F1178" s="134"/>
      <c r="G1178" s="134"/>
      <c r="H1178" s="134"/>
      <c r="I1178" s="134"/>
      <c r="J1178" s="134"/>
      <c r="K1178" s="134"/>
      <c r="L1178" s="134"/>
      <c r="M1178" s="134"/>
      <c r="N1178" s="134"/>
      <c r="O1178" s="134"/>
      <c r="P1178" s="134"/>
      <c r="Q1178" s="134"/>
      <c r="R1178" s="134"/>
      <c r="S1178" s="134"/>
      <c r="T1178" s="134"/>
      <c r="U1178" s="134"/>
      <c r="V1178" s="134"/>
      <c r="W1178" s="134"/>
      <c r="X1178" s="134"/>
      <c r="Y1178" s="134"/>
      <c r="Z1178" s="134"/>
      <c r="AA1178" s="134"/>
      <c r="AB1178" s="134"/>
      <c r="AC1178" s="134"/>
      <c r="AD1178" s="134"/>
      <c r="AE1178" s="134"/>
      <c r="AF1178" s="134"/>
      <c r="AG1178" s="134"/>
      <c r="AH1178" s="134"/>
      <c r="AI1178" s="134"/>
      <c r="AJ1178" s="134"/>
    </row>
    <row r="1179" spans="2:36">
      <c r="B1179" s="134"/>
      <c r="C1179" s="134"/>
      <c r="D1179" s="134"/>
      <c r="E1179" s="134"/>
      <c r="F1179" s="134"/>
      <c r="G1179" s="134"/>
      <c r="H1179" s="134"/>
      <c r="I1179" s="134"/>
      <c r="J1179" s="134"/>
      <c r="K1179" s="134"/>
      <c r="L1179" s="134"/>
      <c r="M1179" s="134"/>
      <c r="N1179" s="134"/>
      <c r="O1179" s="134"/>
      <c r="P1179" s="134"/>
      <c r="Q1179" s="134"/>
      <c r="R1179" s="134"/>
      <c r="S1179" s="134"/>
      <c r="T1179" s="134"/>
      <c r="U1179" s="134"/>
      <c r="V1179" s="134"/>
      <c r="W1179" s="134"/>
      <c r="X1179" s="134"/>
      <c r="Y1179" s="134"/>
      <c r="Z1179" s="134"/>
      <c r="AA1179" s="134"/>
      <c r="AB1179" s="134"/>
      <c r="AC1179" s="134"/>
      <c r="AD1179" s="134"/>
      <c r="AE1179" s="134"/>
      <c r="AF1179" s="134"/>
      <c r="AG1179" s="134"/>
      <c r="AH1179" s="134"/>
      <c r="AI1179" s="134"/>
      <c r="AJ1179" s="134"/>
    </row>
    <row r="1180" spans="2:36">
      <c r="B1180" s="134"/>
      <c r="C1180" s="134"/>
      <c r="D1180" s="134"/>
      <c r="E1180" s="134"/>
      <c r="F1180" s="134"/>
      <c r="G1180" s="134"/>
      <c r="H1180" s="134"/>
      <c r="I1180" s="134"/>
      <c r="J1180" s="134"/>
      <c r="K1180" s="134"/>
      <c r="L1180" s="134"/>
      <c r="M1180" s="134"/>
      <c r="N1180" s="134"/>
      <c r="O1180" s="134"/>
      <c r="P1180" s="134"/>
      <c r="Q1180" s="134"/>
      <c r="R1180" s="134"/>
      <c r="S1180" s="134"/>
      <c r="T1180" s="134"/>
      <c r="U1180" s="134"/>
      <c r="V1180" s="134"/>
      <c r="W1180" s="134"/>
      <c r="X1180" s="134"/>
      <c r="Y1180" s="134"/>
      <c r="Z1180" s="134"/>
      <c r="AA1180" s="134"/>
      <c r="AB1180" s="134"/>
      <c r="AC1180" s="134"/>
      <c r="AD1180" s="134"/>
      <c r="AE1180" s="134"/>
      <c r="AF1180" s="134"/>
      <c r="AG1180" s="134"/>
      <c r="AH1180" s="134"/>
      <c r="AI1180" s="134"/>
      <c r="AJ1180" s="134"/>
    </row>
    <row r="1181" spans="2:36">
      <c r="B1181" s="134"/>
      <c r="C1181" s="134"/>
      <c r="D1181" s="134"/>
      <c r="E1181" s="134"/>
      <c r="F1181" s="134"/>
      <c r="G1181" s="134"/>
      <c r="H1181" s="134"/>
      <c r="I1181" s="134"/>
      <c r="J1181" s="134"/>
      <c r="K1181" s="134"/>
      <c r="L1181" s="134"/>
      <c r="M1181" s="134"/>
      <c r="N1181" s="134"/>
      <c r="O1181" s="134"/>
      <c r="P1181" s="134"/>
      <c r="Q1181" s="134"/>
      <c r="R1181" s="134"/>
      <c r="S1181" s="134"/>
      <c r="T1181" s="134"/>
      <c r="U1181" s="134"/>
      <c r="V1181" s="134"/>
      <c r="W1181" s="134"/>
      <c r="X1181" s="134"/>
      <c r="Y1181" s="134"/>
      <c r="Z1181" s="134"/>
      <c r="AA1181" s="134"/>
      <c r="AB1181" s="134"/>
      <c r="AC1181" s="134"/>
      <c r="AD1181" s="134"/>
      <c r="AE1181" s="134"/>
      <c r="AF1181" s="134"/>
      <c r="AG1181" s="134"/>
      <c r="AH1181" s="134"/>
      <c r="AI1181" s="134"/>
      <c r="AJ1181" s="134"/>
    </row>
    <row r="1182" spans="2:36">
      <c r="B1182" s="134"/>
      <c r="C1182" s="134"/>
      <c r="D1182" s="134"/>
      <c r="E1182" s="134"/>
      <c r="F1182" s="134"/>
      <c r="G1182" s="134"/>
      <c r="H1182" s="134"/>
      <c r="I1182" s="134"/>
      <c r="J1182" s="134"/>
      <c r="K1182" s="134"/>
      <c r="L1182" s="134"/>
      <c r="M1182" s="134"/>
      <c r="N1182" s="134"/>
      <c r="O1182" s="134"/>
      <c r="P1182" s="134"/>
      <c r="Q1182" s="134"/>
      <c r="R1182" s="134"/>
      <c r="S1182" s="134"/>
      <c r="T1182" s="134"/>
      <c r="U1182" s="134"/>
      <c r="V1182" s="134"/>
      <c r="W1182" s="134"/>
      <c r="X1182" s="134"/>
      <c r="Y1182" s="134"/>
      <c r="Z1182" s="134"/>
      <c r="AA1182" s="134"/>
      <c r="AB1182" s="134"/>
      <c r="AC1182" s="134"/>
      <c r="AD1182" s="134"/>
      <c r="AE1182" s="134"/>
      <c r="AF1182" s="134"/>
      <c r="AG1182" s="134"/>
      <c r="AH1182" s="134"/>
      <c r="AI1182" s="134"/>
      <c r="AJ1182" s="134"/>
    </row>
    <row r="1183" spans="2:36">
      <c r="B1183" s="134"/>
      <c r="C1183" s="134"/>
      <c r="D1183" s="134"/>
      <c r="E1183" s="134"/>
      <c r="F1183" s="134"/>
      <c r="G1183" s="134"/>
      <c r="H1183" s="134"/>
      <c r="I1183" s="134"/>
      <c r="J1183" s="134"/>
      <c r="K1183" s="134"/>
      <c r="L1183" s="134"/>
      <c r="M1183" s="134"/>
      <c r="N1183" s="134"/>
      <c r="O1183" s="134"/>
      <c r="P1183" s="134"/>
      <c r="Q1183" s="134"/>
      <c r="R1183" s="134"/>
      <c r="S1183" s="134"/>
      <c r="T1183" s="134"/>
      <c r="U1183" s="134"/>
      <c r="V1183" s="134"/>
      <c r="W1183" s="134"/>
      <c r="X1183" s="134"/>
      <c r="Y1183" s="134"/>
      <c r="Z1183" s="134"/>
      <c r="AA1183" s="134"/>
      <c r="AB1183" s="134"/>
      <c r="AC1183" s="134"/>
      <c r="AD1183" s="134"/>
      <c r="AE1183" s="134"/>
      <c r="AF1183" s="134"/>
      <c r="AG1183" s="134"/>
      <c r="AH1183" s="134"/>
      <c r="AI1183" s="134"/>
      <c r="AJ1183" s="134"/>
    </row>
    <row r="1184" spans="2:36">
      <c r="B1184" s="134"/>
      <c r="C1184" s="134"/>
      <c r="D1184" s="134"/>
      <c r="E1184" s="134"/>
      <c r="F1184" s="134"/>
      <c r="G1184" s="134"/>
      <c r="H1184" s="134"/>
      <c r="I1184" s="134"/>
      <c r="J1184" s="134"/>
      <c r="K1184" s="134"/>
      <c r="L1184" s="134"/>
      <c r="M1184" s="134"/>
      <c r="N1184" s="134"/>
      <c r="O1184" s="134"/>
      <c r="P1184" s="134"/>
      <c r="Q1184" s="134"/>
      <c r="R1184" s="134"/>
      <c r="S1184" s="134"/>
      <c r="T1184" s="134"/>
      <c r="U1184" s="134"/>
      <c r="V1184" s="134"/>
      <c r="W1184" s="134"/>
      <c r="X1184" s="134"/>
      <c r="Y1184" s="134"/>
      <c r="Z1184" s="134"/>
      <c r="AA1184" s="134"/>
      <c r="AB1184" s="134"/>
      <c r="AC1184" s="134"/>
      <c r="AD1184" s="134"/>
      <c r="AE1184" s="134"/>
      <c r="AF1184" s="134"/>
      <c r="AG1184" s="134"/>
      <c r="AH1184" s="134"/>
      <c r="AI1184" s="134"/>
      <c r="AJ1184" s="134"/>
    </row>
    <row r="1185" spans="2:36">
      <c r="B1185" s="134"/>
      <c r="C1185" s="134"/>
      <c r="D1185" s="134"/>
      <c r="E1185" s="134"/>
      <c r="F1185" s="134"/>
      <c r="G1185" s="134"/>
      <c r="H1185" s="134"/>
      <c r="I1185" s="134"/>
      <c r="J1185" s="134"/>
      <c r="K1185" s="134"/>
      <c r="L1185" s="134"/>
      <c r="M1185" s="134"/>
      <c r="N1185" s="134"/>
      <c r="O1185" s="134"/>
      <c r="P1185" s="134"/>
      <c r="Q1185" s="134"/>
      <c r="R1185" s="134"/>
      <c r="S1185" s="134"/>
      <c r="T1185" s="134"/>
      <c r="U1185" s="134"/>
      <c r="V1185" s="134"/>
      <c r="W1185" s="134"/>
      <c r="X1185" s="134"/>
      <c r="Y1185" s="134"/>
      <c r="Z1185" s="134"/>
      <c r="AA1185" s="134"/>
      <c r="AB1185" s="134"/>
      <c r="AC1185" s="134"/>
      <c r="AD1185" s="134"/>
      <c r="AE1185" s="134"/>
      <c r="AF1185" s="134"/>
      <c r="AG1185" s="134"/>
      <c r="AH1185" s="134"/>
      <c r="AI1185" s="134"/>
      <c r="AJ1185" s="134"/>
    </row>
    <row r="1186" spans="2:36">
      <c r="B1186" s="134"/>
      <c r="C1186" s="134"/>
      <c r="D1186" s="134"/>
      <c r="E1186" s="134"/>
      <c r="F1186" s="134"/>
      <c r="G1186" s="134"/>
      <c r="H1186" s="134"/>
      <c r="I1186" s="134"/>
      <c r="J1186" s="134"/>
      <c r="K1186" s="134"/>
      <c r="L1186" s="134"/>
      <c r="M1186" s="134"/>
      <c r="N1186" s="134"/>
      <c r="O1186" s="134"/>
      <c r="P1186" s="134"/>
      <c r="Q1186" s="134"/>
      <c r="R1186" s="134"/>
      <c r="S1186" s="134"/>
      <c r="T1186" s="134"/>
      <c r="U1186" s="134"/>
      <c r="V1186" s="134"/>
      <c r="W1186" s="134"/>
      <c r="X1186" s="134"/>
      <c r="Y1186" s="134"/>
      <c r="Z1186" s="134"/>
      <c r="AA1186" s="134"/>
      <c r="AB1186" s="134"/>
      <c r="AC1186" s="134"/>
      <c r="AD1186" s="134"/>
      <c r="AE1186" s="134"/>
      <c r="AF1186" s="134"/>
      <c r="AG1186" s="134"/>
      <c r="AH1186" s="134"/>
      <c r="AI1186" s="134"/>
      <c r="AJ1186" s="134"/>
    </row>
    <row r="1187" spans="2:36">
      <c r="B1187" s="134"/>
      <c r="C1187" s="134"/>
      <c r="D1187" s="134"/>
      <c r="E1187" s="134"/>
      <c r="F1187" s="134"/>
      <c r="G1187" s="134"/>
      <c r="H1187" s="134"/>
      <c r="I1187" s="134"/>
      <c r="J1187" s="134"/>
      <c r="K1187" s="134"/>
      <c r="L1187" s="134"/>
      <c r="M1187" s="134"/>
      <c r="N1187" s="134"/>
      <c r="O1187" s="134"/>
      <c r="P1187" s="134"/>
      <c r="Q1187" s="134"/>
      <c r="R1187" s="134"/>
      <c r="S1187" s="134"/>
      <c r="T1187" s="134"/>
      <c r="U1187" s="134"/>
      <c r="V1187" s="134"/>
      <c r="W1187" s="134"/>
      <c r="X1187" s="134"/>
      <c r="Y1187" s="134"/>
      <c r="Z1187" s="134"/>
      <c r="AA1187" s="134"/>
      <c r="AB1187" s="134"/>
      <c r="AC1187" s="134"/>
      <c r="AD1187" s="134"/>
      <c r="AE1187" s="134"/>
      <c r="AF1187" s="134"/>
      <c r="AG1187" s="134"/>
      <c r="AH1187" s="134"/>
      <c r="AI1187" s="134"/>
      <c r="AJ1187" s="134"/>
    </row>
    <row r="1188" spans="2:36">
      <c r="B1188" s="134"/>
      <c r="C1188" s="134"/>
      <c r="D1188" s="134"/>
      <c r="E1188" s="134"/>
      <c r="F1188" s="134"/>
      <c r="G1188" s="134"/>
      <c r="H1188" s="134"/>
      <c r="I1188" s="134"/>
      <c r="J1188" s="134"/>
      <c r="K1188" s="134"/>
      <c r="L1188" s="134"/>
      <c r="M1188" s="134"/>
      <c r="N1188" s="134"/>
      <c r="O1188" s="134"/>
      <c r="P1188" s="134"/>
      <c r="Q1188" s="134"/>
      <c r="R1188" s="134"/>
      <c r="S1188" s="134"/>
      <c r="T1188" s="134"/>
      <c r="U1188" s="134"/>
      <c r="V1188" s="134"/>
      <c r="W1188" s="134"/>
      <c r="X1188" s="134"/>
      <c r="Y1188" s="134"/>
      <c r="Z1188" s="134"/>
      <c r="AA1188" s="134"/>
      <c r="AB1188" s="134"/>
      <c r="AC1188" s="134"/>
      <c r="AD1188" s="134"/>
      <c r="AE1188" s="134"/>
      <c r="AF1188" s="134"/>
      <c r="AG1188" s="134"/>
      <c r="AH1188" s="134"/>
      <c r="AI1188" s="134"/>
      <c r="AJ1188" s="134"/>
    </row>
    <row r="1189" spans="2:36">
      <c r="B1189" s="134"/>
      <c r="C1189" s="134"/>
      <c r="D1189" s="134"/>
      <c r="E1189" s="134"/>
      <c r="F1189" s="134"/>
      <c r="G1189" s="134"/>
      <c r="H1189" s="134"/>
      <c r="I1189" s="134"/>
      <c r="J1189" s="134"/>
      <c r="K1189" s="134"/>
      <c r="L1189" s="134"/>
      <c r="M1189" s="134"/>
      <c r="N1189" s="134"/>
      <c r="O1189" s="134"/>
      <c r="P1189" s="134"/>
      <c r="Q1189" s="134"/>
      <c r="R1189" s="134"/>
      <c r="S1189" s="134"/>
      <c r="T1189" s="134"/>
      <c r="U1189" s="134"/>
      <c r="V1189" s="134"/>
      <c r="W1189" s="134"/>
      <c r="X1189" s="134"/>
      <c r="Y1189" s="134"/>
      <c r="Z1189" s="134"/>
      <c r="AA1189" s="134"/>
      <c r="AB1189" s="134"/>
      <c r="AC1189" s="134"/>
      <c r="AD1189" s="134"/>
      <c r="AE1189" s="134"/>
      <c r="AF1189" s="134"/>
      <c r="AG1189" s="134"/>
      <c r="AH1189" s="134"/>
      <c r="AI1189" s="134"/>
      <c r="AJ1189" s="134"/>
    </row>
    <row r="1190" spans="2:36">
      <c r="B1190" s="134"/>
      <c r="C1190" s="134"/>
      <c r="D1190" s="134"/>
      <c r="E1190" s="134"/>
      <c r="F1190" s="134"/>
      <c r="G1190" s="134"/>
      <c r="H1190" s="134"/>
      <c r="I1190" s="134"/>
      <c r="J1190" s="134"/>
      <c r="K1190" s="134"/>
      <c r="L1190" s="134"/>
      <c r="M1190" s="134"/>
      <c r="N1190" s="134"/>
      <c r="O1190" s="134"/>
      <c r="P1190" s="134"/>
      <c r="Q1190" s="134"/>
      <c r="R1190" s="134"/>
      <c r="S1190" s="134"/>
      <c r="T1190" s="134"/>
      <c r="U1190" s="134"/>
      <c r="V1190" s="134"/>
      <c r="W1190" s="134"/>
      <c r="X1190" s="134"/>
      <c r="Y1190" s="134"/>
      <c r="Z1190" s="134"/>
      <c r="AA1190" s="134"/>
      <c r="AB1190" s="134"/>
      <c r="AC1190" s="134"/>
      <c r="AD1190" s="134"/>
      <c r="AE1190" s="134"/>
      <c r="AF1190" s="134"/>
      <c r="AG1190" s="134"/>
      <c r="AH1190" s="134"/>
      <c r="AI1190" s="134"/>
      <c r="AJ1190" s="134"/>
    </row>
    <row r="1191" spans="2:36">
      <c r="B1191" s="134"/>
      <c r="C1191" s="134"/>
      <c r="D1191" s="134"/>
      <c r="E1191" s="134"/>
      <c r="F1191" s="134"/>
      <c r="G1191" s="134"/>
      <c r="H1191" s="134"/>
      <c r="I1191" s="134"/>
      <c r="J1191" s="134"/>
      <c r="K1191" s="134"/>
      <c r="L1191" s="134"/>
      <c r="M1191" s="134"/>
      <c r="N1191" s="134"/>
      <c r="O1191" s="134"/>
      <c r="P1191" s="134"/>
      <c r="Q1191" s="134"/>
      <c r="R1191" s="134"/>
      <c r="S1191" s="134"/>
      <c r="T1191" s="134"/>
      <c r="U1191" s="134"/>
      <c r="V1191" s="134"/>
      <c r="W1191" s="134"/>
      <c r="X1191" s="134"/>
      <c r="Y1191" s="134"/>
      <c r="Z1191" s="134"/>
      <c r="AA1191" s="134"/>
      <c r="AB1191" s="134"/>
      <c r="AC1191" s="134"/>
      <c r="AD1191" s="134"/>
      <c r="AE1191" s="134"/>
      <c r="AF1191" s="134"/>
      <c r="AG1191" s="134"/>
      <c r="AH1191" s="134"/>
      <c r="AI1191" s="134"/>
      <c r="AJ1191" s="134"/>
    </row>
    <row r="1192" spans="2:36">
      <c r="B1192" s="134"/>
      <c r="C1192" s="134"/>
      <c r="D1192" s="134"/>
      <c r="E1192" s="134"/>
      <c r="F1192" s="134"/>
      <c r="G1192" s="134"/>
      <c r="H1192" s="134"/>
      <c r="I1192" s="134"/>
      <c r="J1192" s="134"/>
      <c r="K1192" s="134"/>
      <c r="L1192" s="134"/>
      <c r="M1192" s="134"/>
      <c r="N1192" s="134"/>
      <c r="O1192" s="134"/>
      <c r="P1192" s="134"/>
      <c r="Q1192" s="134"/>
      <c r="R1192" s="134"/>
      <c r="S1192" s="134"/>
      <c r="T1192" s="134"/>
      <c r="U1192" s="134"/>
      <c r="V1192" s="134"/>
      <c r="W1192" s="134"/>
      <c r="X1192" s="134"/>
      <c r="Y1192" s="134"/>
      <c r="Z1192" s="134"/>
      <c r="AA1192" s="134"/>
      <c r="AB1192" s="134"/>
      <c r="AC1192" s="134"/>
      <c r="AD1192" s="134"/>
      <c r="AE1192" s="134"/>
      <c r="AF1192" s="134"/>
      <c r="AG1192" s="134"/>
      <c r="AH1192" s="134"/>
      <c r="AI1192" s="134"/>
      <c r="AJ1192" s="134"/>
    </row>
    <row r="1193" spans="2:36">
      <c r="B1193" s="134"/>
      <c r="C1193" s="134"/>
      <c r="D1193" s="134"/>
      <c r="E1193" s="134"/>
      <c r="F1193" s="134"/>
      <c r="G1193" s="134"/>
      <c r="H1193" s="134"/>
      <c r="I1193" s="134"/>
      <c r="J1193" s="134"/>
      <c r="K1193" s="134"/>
      <c r="L1193" s="134"/>
      <c r="M1193" s="134"/>
      <c r="N1193" s="134"/>
      <c r="O1193" s="134"/>
      <c r="P1193" s="134"/>
      <c r="Q1193" s="134"/>
      <c r="R1193" s="134"/>
      <c r="S1193" s="134"/>
      <c r="T1193" s="134"/>
      <c r="U1193" s="134"/>
      <c r="V1193" s="134"/>
      <c r="W1193" s="134"/>
      <c r="X1193" s="134"/>
      <c r="Y1193" s="134"/>
      <c r="Z1193" s="134"/>
      <c r="AA1193" s="134"/>
      <c r="AB1193" s="134"/>
      <c r="AC1193" s="134"/>
      <c r="AD1193" s="134"/>
      <c r="AE1193" s="134"/>
      <c r="AF1193" s="134"/>
      <c r="AG1193" s="134"/>
      <c r="AH1193" s="134"/>
      <c r="AI1193" s="134"/>
      <c r="AJ1193" s="134"/>
    </row>
    <row r="1194" spans="2:36">
      <c r="B1194" s="134"/>
      <c r="C1194" s="134"/>
      <c r="D1194" s="134"/>
      <c r="E1194" s="134"/>
      <c r="F1194" s="134"/>
      <c r="G1194" s="134"/>
      <c r="H1194" s="134"/>
      <c r="I1194" s="134"/>
      <c r="J1194" s="134"/>
      <c r="K1194" s="134"/>
      <c r="L1194" s="134"/>
      <c r="M1194" s="134"/>
      <c r="N1194" s="134"/>
      <c r="O1194" s="134"/>
      <c r="P1194" s="134"/>
      <c r="Q1194" s="134"/>
      <c r="R1194" s="134"/>
      <c r="S1194" s="134"/>
      <c r="T1194" s="134"/>
      <c r="U1194" s="134"/>
      <c r="V1194" s="134"/>
      <c r="W1194" s="134"/>
      <c r="X1194" s="134"/>
      <c r="Y1194" s="134"/>
      <c r="Z1194" s="134"/>
      <c r="AA1194" s="134"/>
      <c r="AB1194" s="134"/>
      <c r="AC1194" s="134"/>
      <c r="AD1194" s="134"/>
      <c r="AE1194" s="134"/>
      <c r="AF1194" s="134"/>
      <c r="AG1194" s="134"/>
      <c r="AH1194" s="134"/>
      <c r="AI1194" s="134"/>
      <c r="AJ1194" s="134"/>
    </row>
    <row r="1195" spans="2:36">
      <c r="B1195" s="134"/>
      <c r="C1195" s="134"/>
      <c r="D1195" s="134"/>
      <c r="E1195" s="134"/>
      <c r="F1195" s="134"/>
      <c r="G1195" s="134"/>
      <c r="H1195" s="134"/>
      <c r="I1195" s="134"/>
      <c r="J1195" s="134"/>
      <c r="K1195" s="134"/>
      <c r="L1195" s="134"/>
      <c r="M1195" s="134"/>
      <c r="N1195" s="134"/>
      <c r="O1195" s="134"/>
      <c r="P1195" s="134"/>
      <c r="Q1195" s="134"/>
      <c r="R1195" s="134"/>
      <c r="S1195" s="134"/>
      <c r="T1195" s="134"/>
      <c r="U1195" s="134"/>
      <c r="V1195" s="134"/>
      <c r="W1195" s="134"/>
      <c r="X1195" s="134"/>
      <c r="Y1195" s="134"/>
      <c r="Z1195" s="134"/>
      <c r="AA1195" s="134"/>
      <c r="AB1195" s="134"/>
      <c r="AC1195" s="134"/>
      <c r="AD1195" s="134"/>
      <c r="AE1195" s="134"/>
      <c r="AF1195" s="134"/>
      <c r="AG1195" s="134"/>
      <c r="AH1195" s="134"/>
      <c r="AI1195" s="134"/>
      <c r="AJ1195" s="134"/>
    </row>
    <row r="1196" spans="2:36">
      <c r="B1196" s="134"/>
      <c r="C1196" s="134"/>
      <c r="D1196" s="134"/>
      <c r="E1196" s="134"/>
      <c r="F1196" s="134"/>
      <c r="G1196" s="134"/>
      <c r="H1196" s="134"/>
      <c r="I1196" s="134"/>
      <c r="J1196" s="134"/>
      <c r="K1196" s="134"/>
      <c r="L1196" s="134"/>
      <c r="M1196" s="134"/>
      <c r="N1196" s="134"/>
      <c r="O1196" s="134"/>
      <c r="P1196" s="134"/>
      <c r="Q1196" s="134"/>
      <c r="R1196" s="134"/>
      <c r="S1196" s="134"/>
      <c r="T1196" s="134"/>
      <c r="U1196" s="134"/>
      <c r="V1196" s="134"/>
      <c r="W1196" s="134"/>
      <c r="X1196" s="134"/>
      <c r="Y1196" s="134"/>
      <c r="Z1196" s="134"/>
      <c r="AA1196" s="134"/>
      <c r="AB1196" s="134"/>
      <c r="AC1196" s="134"/>
      <c r="AD1196" s="134"/>
      <c r="AE1196" s="134"/>
      <c r="AF1196" s="134"/>
      <c r="AG1196" s="134"/>
      <c r="AH1196" s="134"/>
      <c r="AI1196" s="134"/>
      <c r="AJ1196" s="134"/>
    </row>
    <row r="1197" spans="2:36">
      <c r="B1197" s="134"/>
      <c r="C1197" s="134"/>
      <c r="D1197" s="134"/>
      <c r="E1197" s="134"/>
      <c r="F1197" s="134"/>
      <c r="G1197" s="134"/>
      <c r="H1197" s="134"/>
      <c r="I1197" s="134"/>
      <c r="J1197" s="134"/>
      <c r="K1197" s="134"/>
      <c r="L1197" s="134"/>
      <c r="M1197" s="134"/>
      <c r="N1197" s="134"/>
      <c r="O1197" s="134"/>
      <c r="P1197" s="134"/>
      <c r="Q1197" s="134"/>
      <c r="R1197" s="134"/>
      <c r="S1197" s="134"/>
      <c r="T1197" s="134"/>
      <c r="U1197" s="134"/>
      <c r="V1197" s="134"/>
      <c r="W1197" s="134"/>
      <c r="X1197" s="134"/>
      <c r="Y1197" s="134"/>
      <c r="Z1197" s="134"/>
      <c r="AA1197" s="134"/>
      <c r="AB1197" s="134"/>
      <c r="AC1197" s="134"/>
      <c r="AD1197" s="134"/>
      <c r="AE1197" s="134"/>
      <c r="AF1197" s="134"/>
      <c r="AG1197" s="134"/>
      <c r="AH1197" s="134"/>
      <c r="AI1197" s="134"/>
      <c r="AJ1197" s="134"/>
    </row>
    <row r="1198" spans="2:36">
      <c r="B1198" s="134"/>
      <c r="C1198" s="134"/>
      <c r="D1198" s="134"/>
      <c r="E1198" s="134"/>
      <c r="F1198" s="134"/>
      <c r="G1198" s="134"/>
      <c r="H1198" s="134"/>
      <c r="I1198" s="134"/>
      <c r="J1198" s="134"/>
      <c r="K1198" s="134"/>
      <c r="L1198" s="134"/>
      <c r="M1198" s="134"/>
      <c r="N1198" s="134"/>
      <c r="O1198" s="134"/>
      <c r="P1198" s="134"/>
      <c r="Q1198" s="134"/>
      <c r="R1198" s="134"/>
      <c r="S1198" s="134"/>
      <c r="T1198" s="134"/>
      <c r="U1198" s="134"/>
      <c r="V1198" s="134"/>
      <c r="W1198" s="134"/>
      <c r="X1198" s="134"/>
      <c r="Y1198" s="134"/>
      <c r="Z1198" s="134"/>
      <c r="AA1198" s="134"/>
      <c r="AB1198" s="134"/>
      <c r="AC1198" s="134"/>
      <c r="AD1198" s="134"/>
      <c r="AE1198" s="134"/>
      <c r="AF1198" s="134"/>
      <c r="AG1198" s="134"/>
      <c r="AH1198" s="134"/>
      <c r="AI1198" s="134"/>
      <c r="AJ1198" s="134"/>
    </row>
    <row r="1199" spans="2:36">
      <c r="B1199" s="134"/>
      <c r="C1199" s="134"/>
      <c r="D1199" s="134"/>
      <c r="E1199" s="134"/>
      <c r="F1199" s="134"/>
      <c r="G1199" s="134"/>
      <c r="H1199" s="134"/>
      <c r="I1199" s="134"/>
      <c r="J1199" s="134"/>
      <c r="K1199" s="134"/>
      <c r="L1199" s="134"/>
      <c r="M1199" s="134"/>
      <c r="N1199" s="134"/>
      <c r="O1199" s="134"/>
      <c r="P1199" s="134"/>
      <c r="Q1199" s="134"/>
      <c r="R1199" s="134"/>
      <c r="S1199" s="134"/>
      <c r="T1199" s="134"/>
      <c r="U1199" s="134"/>
      <c r="V1199" s="134"/>
      <c r="W1199" s="134"/>
      <c r="X1199" s="134"/>
      <c r="Y1199" s="134"/>
      <c r="Z1199" s="134"/>
      <c r="AA1199" s="134"/>
      <c r="AB1199" s="134"/>
      <c r="AC1199" s="134"/>
      <c r="AD1199" s="134"/>
      <c r="AE1199" s="134"/>
      <c r="AF1199" s="134"/>
      <c r="AG1199" s="134"/>
      <c r="AH1199" s="134"/>
      <c r="AI1199" s="134"/>
      <c r="AJ1199" s="134"/>
    </row>
    <row r="1200" spans="2:36">
      <c r="B1200" s="134"/>
      <c r="C1200" s="134"/>
      <c r="D1200" s="134"/>
      <c r="E1200" s="134"/>
      <c r="F1200" s="134"/>
      <c r="G1200" s="134"/>
      <c r="H1200" s="134"/>
      <c r="I1200" s="134"/>
      <c r="J1200" s="134"/>
      <c r="K1200" s="134"/>
      <c r="L1200" s="134"/>
      <c r="M1200" s="134"/>
      <c r="N1200" s="134"/>
      <c r="O1200" s="134"/>
      <c r="P1200" s="134"/>
      <c r="Q1200" s="134"/>
      <c r="R1200" s="134"/>
      <c r="S1200" s="134"/>
      <c r="T1200" s="134"/>
      <c r="U1200" s="134"/>
      <c r="V1200" s="134"/>
      <c r="W1200" s="134"/>
      <c r="X1200" s="134"/>
      <c r="Y1200" s="134"/>
      <c r="Z1200" s="134"/>
      <c r="AA1200" s="134"/>
      <c r="AB1200" s="134"/>
      <c r="AC1200" s="134"/>
      <c r="AD1200" s="134"/>
      <c r="AE1200" s="134"/>
      <c r="AF1200" s="134"/>
      <c r="AG1200" s="134"/>
      <c r="AH1200" s="134"/>
      <c r="AI1200" s="134"/>
      <c r="AJ1200" s="134"/>
    </row>
    <row r="1201" spans="2:36">
      <c r="B1201" s="134"/>
      <c r="C1201" s="134"/>
      <c r="D1201" s="134"/>
      <c r="E1201" s="134"/>
      <c r="F1201" s="134"/>
      <c r="G1201" s="134"/>
      <c r="H1201" s="134"/>
      <c r="I1201" s="134"/>
      <c r="J1201" s="134"/>
      <c r="K1201" s="134"/>
      <c r="L1201" s="134"/>
      <c r="M1201" s="134"/>
      <c r="N1201" s="134"/>
      <c r="O1201" s="134"/>
      <c r="P1201" s="134"/>
      <c r="Q1201" s="134"/>
      <c r="R1201" s="134"/>
      <c r="S1201" s="134"/>
      <c r="T1201" s="134"/>
      <c r="U1201" s="134"/>
      <c r="V1201" s="134"/>
      <c r="W1201" s="134"/>
      <c r="X1201" s="134"/>
      <c r="Y1201" s="134"/>
      <c r="Z1201" s="134"/>
      <c r="AA1201" s="134"/>
      <c r="AB1201" s="134"/>
      <c r="AC1201" s="134"/>
      <c r="AD1201" s="134"/>
      <c r="AE1201" s="134"/>
      <c r="AF1201" s="134"/>
      <c r="AG1201" s="134"/>
      <c r="AH1201" s="134"/>
      <c r="AI1201" s="134"/>
      <c r="AJ1201" s="134"/>
    </row>
    <row r="1202" spans="2:36">
      <c r="B1202" s="134"/>
      <c r="C1202" s="134"/>
      <c r="D1202" s="134"/>
      <c r="E1202" s="134"/>
      <c r="F1202" s="134"/>
      <c r="G1202" s="134"/>
      <c r="H1202" s="134"/>
      <c r="I1202" s="134"/>
      <c r="J1202" s="134"/>
      <c r="K1202" s="134"/>
      <c r="L1202" s="134"/>
      <c r="M1202" s="134"/>
      <c r="N1202" s="134"/>
      <c r="O1202" s="134"/>
      <c r="P1202" s="134"/>
      <c r="Q1202" s="134"/>
      <c r="R1202" s="134"/>
      <c r="S1202" s="134"/>
      <c r="T1202" s="134"/>
      <c r="U1202" s="134"/>
      <c r="V1202" s="134"/>
      <c r="W1202" s="134"/>
      <c r="X1202" s="134"/>
      <c r="Y1202" s="134"/>
      <c r="Z1202" s="134"/>
      <c r="AA1202" s="134"/>
      <c r="AB1202" s="134"/>
      <c r="AC1202" s="134"/>
      <c r="AD1202" s="134"/>
      <c r="AE1202" s="134"/>
      <c r="AF1202" s="134"/>
      <c r="AG1202" s="134"/>
      <c r="AH1202" s="134"/>
      <c r="AI1202" s="134"/>
      <c r="AJ1202" s="134"/>
    </row>
    <row r="1203" spans="2:36">
      <c r="B1203" s="134"/>
      <c r="C1203" s="134"/>
      <c r="D1203" s="134"/>
      <c r="E1203" s="134"/>
      <c r="F1203" s="134"/>
      <c r="G1203" s="134"/>
      <c r="H1203" s="134"/>
      <c r="I1203" s="134"/>
      <c r="J1203" s="134"/>
      <c r="K1203" s="134"/>
      <c r="L1203" s="134"/>
      <c r="M1203" s="134"/>
      <c r="N1203" s="134"/>
      <c r="O1203" s="134"/>
      <c r="P1203" s="134"/>
      <c r="Q1203" s="134"/>
      <c r="R1203" s="134"/>
      <c r="S1203" s="134"/>
      <c r="T1203" s="134"/>
      <c r="U1203" s="134"/>
      <c r="V1203" s="134"/>
      <c r="W1203" s="134"/>
      <c r="X1203" s="134"/>
      <c r="Y1203" s="134"/>
      <c r="Z1203" s="134"/>
      <c r="AA1203" s="134"/>
      <c r="AB1203" s="134"/>
      <c r="AC1203" s="134"/>
      <c r="AD1203" s="134"/>
      <c r="AE1203" s="134"/>
      <c r="AF1203" s="134"/>
      <c r="AG1203" s="134"/>
      <c r="AH1203" s="134"/>
      <c r="AI1203" s="134"/>
      <c r="AJ1203" s="134"/>
    </row>
    <row r="1204" spans="2:36">
      <c r="B1204" s="134"/>
      <c r="C1204" s="134"/>
      <c r="D1204" s="134"/>
      <c r="E1204" s="134"/>
      <c r="F1204" s="134"/>
      <c r="G1204" s="134"/>
      <c r="H1204" s="134"/>
      <c r="I1204" s="134"/>
      <c r="J1204" s="134"/>
      <c r="K1204" s="134"/>
      <c r="L1204" s="134"/>
      <c r="M1204" s="134"/>
      <c r="N1204" s="134"/>
      <c r="O1204" s="134"/>
      <c r="P1204" s="134"/>
      <c r="Q1204" s="134"/>
      <c r="R1204" s="134"/>
      <c r="S1204" s="134"/>
      <c r="T1204" s="134"/>
      <c r="U1204" s="134"/>
      <c r="V1204" s="134"/>
      <c r="W1204" s="134"/>
      <c r="X1204" s="134"/>
      <c r="Y1204" s="134"/>
      <c r="Z1204" s="134"/>
      <c r="AA1204" s="134"/>
      <c r="AB1204" s="134"/>
      <c r="AC1204" s="134"/>
      <c r="AD1204" s="134"/>
      <c r="AE1204" s="134"/>
      <c r="AF1204" s="134"/>
      <c r="AG1204" s="134"/>
      <c r="AH1204" s="134"/>
      <c r="AI1204" s="134"/>
      <c r="AJ1204" s="134"/>
    </row>
    <row r="1205" spans="2:36">
      <c r="B1205" s="134"/>
      <c r="C1205" s="134"/>
      <c r="D1205" s="134"/>
      <c r="E1205" s="134"/>
      <c r="F1205" s="134"/>
      <c r="G1205" s="134"/>
      <c r="H1205" s="134"/>
      <c r="I1205" s="134"/>
      <c r="J1205" s="134"/>
      <c r="K1205" s="134"/>
      <c r="L1205" s="134"/>
      <c r="M1205" s="134"/>
      <c r="N1205" s="134"/>
      <c r="O1205" s="134"/>
      <c r="P1205" s="134"/>
      <c r="Q1205" s="134"/>
      <c r="R1205" s="134"/>
      <c r="S1205" s="134"/>
      <c r="T1205" s="134"/>
      <c r="U1205" s="134"/>
      <c r="V1205" s="134"/>
      <c r="W1205" s="134"/>
      <c r="X1205" s="134"/>
      <c r="Y1205" s="134"/>
      <c r="Z1205" s="134"/>
      <c r="AA1205" s="134"/>
      <c r="AB1205" s="134"/>
      <c r="AC1205" s="134"/>
      <c r="AD1205" s="134"/>
      <c r="AE1205" s="134"/>
      <c r="AF1205" s="134"/>
      <c r="AG1205" s="134"/>
      <c r="AH1205" s="134"/>
      <c r="AI1205" s="134"/>
      <c r="AJ1205" s="134"/>
    </row>
    <row r="1206" spans="2:36">
      <c r="B1206" s="134"/>
      <c r="C1206" s="134"/>
      <c r="D1206" s="134"/>
      <c r="E1206" s="134"/>
      <c r="F1206" s="134"/>
      <c r="G1206" s="134"/>
      <c r="H1206" s="134"/>
      <c r="I1206" s="134"/>
      <c r="J1206" s="134"/>
      <c r="K1206" s="134"/>
      <c r="L1206" s="134"/>
      <c r="M1206" s="134"/>
      <c r="N1206" s="134"/>
      <c r="O1206" s="134"/>
      <c r="P1206" s="134"/>
      <c r="Q1206" s="134"/>
      <c r="R1206" s="134"/>
      <c r="S1206" s="134"/>
      <c r="T1206" s="134"/>
      <c r="U1206" s="134"/>
      <c r="V1206" s="134"/>
      <c r="W1206" s="134"/>
      <c r="X1206" s="134"/>
      <c r="Y1206" s="134"/>
      <c r="Z1206" s="134"/>
      <c r="AA1206" s="134"/>
      <c r="AB1206" s="134"/>
      <c r="AC1206" s="134"/>
      <c r="AD1206" s="134"/>
      <c r="AE1206" s="134"/>
      <c r="AF1206" s="134"/>
      <c r="AG1206" s="134"/>
      <c r="AH1206" s="134"/>
      <c r="AI1206" s="134"/>
      <c r="AJ1206" s="134"/>
    </row>
    <row r="1207" spans="2:36">
      <c r="B1207" s="134"/>
      <c r="C1207" s="134"/>
      <c r="D1207" s="134"/>
      <c r="E1207" s="134"/>
      <c r="F1207" s="134"/>
      <c r="G1207" s="134"/>
      <c r="H1207" s="134"/>
      <c r="I1207" s="134"/>
      <c r="J1207" s="134"/>
      <c r="K1207" s="134"/>
      <c r="L1207" s="134"/>
      <c r="M1207" s="134"/>
      <c r="N1207" s="134"/>
      <c r="O1207" s="134"/>
      <c r="P1207" s="134"/>
      <c r="Q1207" s="134"/>
      <c r="R1207" s="134"/>
      <c r="S1207" s="134"/>
      <c r="T1207" s="134"/>
      <c r="U1207" s="134"/>
      <c r="V1207" s="134"/>
      <c r="W1207" s="134"/>
      <c r="X1207" s="134"/>
      <c r="Y1207" s="134"/>
      <c r="Z1207" s="134"/>
      <c r="AA1207" s="134"/>
      <c r="AB1207" s="134"/>
      <c r="AC1207" s="134"/>
      <c r="AD1207" s="134"/>
      <c r="AE1207" s="134"/>
      <c r="AF1207" s="134"/>
      <c r="AG1207" s="134"/>
      <c r="AH1207" s="134"/>
      <c r="AI1207" s="134"/>
      <c r="AJ1207" s="134"/>
    </row>
    <row r="1208" spans="2:36">
      <c r="B1208" s="134"/>
      <c r="C1208" s="134"/>
      <c r="D1208" s="134"/>
      <c r="E1208" s="134"/>
      <c r="F1208" s="134"/>
      <c r="G1208" s="134"/>
      <c r="H1208" s="134"/>
      <c r="I1208" s="134"/>
      <c r="J1208" s="134"/>
      <c r="K1208" s="134"/>
      <c r="L1208" s="134"/>
      <c r="M1208" s="134"/>
      <c r="N1208" s="134"/>
      <c r="O1208" s="134"/>
      <c r="P1208" s="134"/>
      <c r="Q1208" s="134"/>
      <c r="R1208" s="134"/>
      <c r="S1208" s="134"/>
      <c r="T1208" s="134"/>
      <c r="U1208" s="134"/>
      <c r="V1208" s="134"/>
      <c r="W1208" s="134"/>
      <c r="X1208" s="134"/>
      <c r="Y1208" s="134"/>
      <c r="Z1208" s="134"/>
      <c r="AA1208" s="134"/>
      <c r="AB1208" s="134"/>
      <c r="AC1208" s="134"/>
      <c r="AD1208" s="134"/>
      <c r="AE1208" s="134"/>
      <c r="AF1208" s="134"/>
      <c r="AG1208" s="134"/>
      <c r="AH1208" s="134"/>
      <c r="AI1208" s="134"/>
      <c r="AJ1208" s="134"/>
    </row>
    <row r="1209" spans="2:36">
      <c r="B1209" s="134"/>
      <c r="C1209" s="134"/>
      <c r="D1209" s="134"/>
      <c r="E1209" s="134"/>
      <c r="F1209" s="134"/>
      <c r="G1209" s="134"/>
      <c r="H1209" s="134"/>
      <c r="I1209" s="134"/>
      <c r="J1209" s="134"/>
      <c r="K1209" s="134"/>
      <c r="L1209" s="134"/>
      <c r="M1209" s="134"/>
      <c r="N1209" s="134"/>
      <c r="O1209" s="134"/>
      <c r="P1209" s="134"/>
      <c r="Q1209" s="134"/>
      <c r="R1209" s="134"/>
      <c r="S1209" s="134"/>
      <c r="T1209" s="134"/>
      <c r="U1209" s="134"/>
      <c r="V1209" s="134"/>
      <c r="W1209" s="134"/>
      <c r="X1209" s="134"/>
      <c r="Y1209" s="134"/>
      <c r="Z1209" s="134"/>
      <c r="AA1209" s="134"/>
      <c r="AB1209" s="134"/>
      <c r="AC1209" s="134"/>
      <c r="AD1209" s="134"/>
      <c r="AE1209" s="134"/>
      <c r="AF1209" s="134"/>
      <c r="AG1209" s="134"/>
      <c r="AH1209" s="134"/>
      <c r="AI1209" s="134"/>
      <c r="AJ1209" s="134"/>
    </row>
    <row r="1210" spans="2:36">
      <c r="B1210" s="134"/>
      <c r="C1210" s="134"/>
      <c r="D1210" s="134"/>
      <c r="E1210" s="134"/>
      <c r="F1210" s="134"/>
      <c r="G1210" s="134"/>
      <c r="H1210" s="134"/>
      <c r="I1210" s="134"/>
      <c r="J1210" s="134"/>
      <c r="K1210" s="134"/>
      <c r="L1210" s="134"/>
      <c r="M1210" s="134"/>
      <c r="N1210" s="134"/>
      <c r="O1210" s="134"/>
      <c r="P1210" s="134"/>
      <c r="Q1210" s="134"/>
      <c r="R1210" s="134"/>
      <c r="S1210" s="134"/>
      <c r="T1210" s="134"/>
      <c r="U1210" s="134"/>
      <c r="V1210" s="134"/>
      <c r="W1210" s="134"/>
      <c r="X1210" s="134"/>
      <c r="Y1210" s="134"/>
      <c r="Z1210" s="134"/>
      <c r="AA1210" s="134"/>
      <c r="AB1210" s="134"/>
      <c r="AC1210" s="134"/>
      <c r="AD1210" s="134"/>
      <c r="AE1210" s="134"/>
      <c r="AF1210" s="134"/>
      <c r="AG1210" s="134"/>
      <c r="AH1210" s="134"/>
      <c r="AI1210" s="134"/>
      <c r="AJ1210" s="134"/>
    </row>
    <row r="1211" spans="2:36">
      <c r="B1211" s="134"/>
      <c r="C1211" s="134"/>
      <c r="D1211" s="134"/>
      <c r="E1211" s="134"/>
      <c r="F1211" s="134"/>
      <c r="G1211" s="134"/>
      <c r="H1211" s="134"/>
      <c r="I1211" s="134"/>
      <c r="J1211" s="134"/>
      <c r="K1211" s="134"/>
      <c r="L1211" s="134"/>
      <c r="M1211" s="134"/>
      <c r="N1211" s="134"/>
      <c r="O1211" s="134"/>
      <c r="P1211" s="134"/>
      <c r="Q1211" s="134"/>
      <c r="R1211" s="134"/>
      <c r="S1211" s="134"/>
      <c r="T1211" s="134"/>
      <c r="U1211" s="134"/>
      <c r="V1211" s="134"/>
      <c r="W1211" s="134"/>
      <c r="X1211" s="134"/>
      <c r="Y1211" s="134"/>
      <c r="Z1211" s="134"/>
      <c r="AA1211" s="134"/>
      <c r="AB1211" s="134"/>
      <c r="AC1211" s="134"/>
      <c r="AD1211" s="134"/>
      <c r="AE1211" s="134"/>
      <c r="AF1211" s="134"/>
      <c r="AG1211" s="134"/>
      <c r="AH1211" s="134"/>
      <c r="AI1211" s="134"/>
      <c r="AJ1211" s="134"/>
    </row>
    <row r="1212" spans="2:36">
      <c r="B1212" s="134"/>
      <c r="C1212" s="134"/>
      <c r="D1212" s="134"/>
      <c r="E1212" s="134"/>
      <c r="F1212" s="134"/>
      <c r="G1212" s="134"/>
      <c r="H1212" s="134"/>
      <c r="I1212" s="134"/>
      <c r="J1212" s="134"/>
      <c r="K1212" s="134"/>
      <c r="L1212" s="134"/>
      <c r="M1212" s="134"/>
      <c r="N1212" s="134"/>
      <c r="O1212" s="134"/>
      <c r="P1212" s="134"/>
      <c r="Q1212" s="134"/>
      <c r="R1212" s="134"/>
      <c r="S1212" s="134"/>
      <c r="T1212" s="134"/>
      <c r="U1212" s="134"/>
      <c r="V1212" s="134"/>
      <c r="W1212" s="134"/>
      <c r="X1212" s="134"/>
      <c r="Y1212" s="134"/>
      <c r="Z1212" s="134"/>
      <c r="AA1212" s="134"/>
      <c r="AB1212" s="134"/>
      <c r="AC1212" s="134"/>
      <c r="AD1212" s="134"/>
      <c r="AE1212" s="134"/>
      <c r="AF1212" s="134"/>
      <c r="AG1212" s="134"/>
      <c r="AH1212" s="134"/>
      <c r="AI1212" s="134"/>
      <c r="AJ1212" s="134"/>
    </row>
    <row r="1213" spans="2:36">
      <c r="B1213" s="134"/>
      <c r="C1213" s="134"/>
      <c r="D1213" s="134"/>
      <c r="E1213" s="134"/>
      <c r="F1213" s="134"/>
      <c r="G1213" s="134"/>
      <c r="H1213" s="134"/>
      <c r="I1213" s="134"/>
      <c r="J1213" s="134"/>
      <c r="K1213" s="134"/>
      <c r="L1213" s="134"/>
      <c r="M1213" s="134"/>
      <c r="N1213" s="134"/>
      <c r="O1213" s="134"/>
      <c r="P1213" s="134"/>
      <c r="Q1213" s="134"/>
      <c r="R1213" s="134"/>
      <c r="S1213" s="134"/>
      <c r="T1213" s="134"/>
      <c r="U1213" s="134"/>
      <c r="V1213" s="134"/>
      <c r="W1213" s="134"/>
      <c r="X1213" s="134"/>
      <c r="Y1213" s="134"/>
      <c r="Z1213" s="134"/>
      <c r="AA1213" s="134"/>
      <c r="AB1213" s="134"/>
      <c r="AC1213" s="134"/>
      <c r="AD1213" s="134"/>
      <c r="AE1213" s="134"/>
      <c r="AF1213" s="134"/>
      <c r="AG1213" s="134"/>
      <c r="AH1213" s="134"/>
      <c r="AI1213" s="134"/>
      <c r="AJ1213" s="134"/>
    </row>
    <row r="1214" spans="2:36">
      <c r="B1214" s="134"/>
      <c r="C1214" s="134"/>
      <c r="D1214" s="134"/>
      <c r="E1214" s="134"/>
      <c r="F1214" s="134"/>
      <c r="G1214" s="134"/>
      <c r="H1214" s="134"/>
      <c r="I1214" s="134"/>
      <c r="J1214" s="134"/>
      <c r="K1214" s="134"/>
      <c r="L1214" s="134"/>
      <c r="M1214" s="134"/>
      <c r="N1214" s="134"/>
      <c r="O1214" s="134"/>
      <c r="P1214" s="134"/>
      <c r="Q1214" s="134"/>
      <c r="R1214" s="134"/>
      <c r="S1214" s="134"/>
      <c r="T1214" s="134"/>
      <c r="U1214" s="134"/>
      <c r="V1214" s="134"/>
      <c r="W1214" s="134"/>
      <c r="X1214" s="134"/>
      <c r="Y1214" s="134"/>
      <c r="Z1214" s="134"/>
      <c r="AA1214" s="134"/>
      <c r="AB1214" s="134"/>
      <c r="AC1214" s="134"/>
      <c r="AD1214" s="134"/>
      <c r="AE1214" s="134"/>
      <c r="AF1214" s="134"/>
      <c r="AG1214" s="134"/>
      <c r="AH1214" s="134"/>
      <c r="AI1214" s="134"/>
      <c r="AJ1214" s="134"/>
    </row>
    <row r="1215" spans="2:36">
      <c r="B1215" s="134"/>
      <c r="C1215" s="134"/>
      <c r="D1215" s="134"/>
      <c r="E1215" s="134"/>
      <c r="F1215" s="134"/>
      <c r="G1215" s="134"/>
      <c r="H1215" s="134"/>
      <c r="I1215" s="134"/>
      <c r="J1215" s="134"/>
      <c r="K1215" s="134"/>
      <c r="L1215" s="134"/>
      <c r="M1215" s="134"/>
      <c r="N1215" s="134"/>
      <c r="O1215" s="134"/>
      <c r="P1215" s="134"/>
      <c r="Q1215" s="134"/>
      <c r="R1215" s="134"/>
      <c r="S1215" s="134"/>
      <c r="T1215" s="134"/>
      <c r="U1215" s="134"/>
      <c r="V1215" s="134"/>
      <c r="W1215" s="134"/>
      <c r="X1215" s="134"/>
      <c r="Y1215" s="134"/>
      <c r="Z1215" s="134"/>
      <c r="AA1215" s="134"/>
      <c r="AB1215" s="134"/>
      <c r="AC1215" s="134"/>
      <c r="AD1215" s="134"/>
      <c r="AE1215" s="134"/>
      <c r="AF1215" s="134"/>
      <c r="AG1215" s="134"/>
      <c r="AH1215" s="134"/>
      <c r="AI1215" s="134"/>
      <c r="AJ1215" s="134"/>
    </row>
    <row r="1216" spans="2:36">
      <c r="B1216" s="134"/>
      <c r="C1216" s="134"/>
      <c r="D1216" s="134"/>
      <c r="E1216" s="134"/>
      <c r="F1216" s="134"/>
      <c r="G1216" s="134"/>
      <c r="H1216" s="134"/>
      <c r="I1216" s="134"/>
      <c r="J1216" s="134"/>
      <c r="K1216" s="134"/>
      <c r="L1216" s="134"/>
      <c r="M1216" s="134"/>
      <c r="N1216" s="134"/>
      <c r="O1216" s="134"/>
      <c r="P1216" s="134"/>
      <c r="Q1216" s="134"/>
      <c r="R1216" s="134"/>
      <c r="S1216" s="134"/>
      <c r="T1216" s="134"/>
      <c r="U1216" s="134"/>
      <c r="V1216" s="134"/>
      <c r="W1216" s="134"/>
      <c r="X1216" s="134"/>
      <c r="Y1216" s="134"/>
      <c r="Z1216" s="134"/>
      <c r="AA1216" s="134"/>
      <c r="AB1216" s="134"/>
      <c r="AC1216" s="134"/>
      <c r="AD1216" s="134"/>
      <c r="AE1216" s="134"/>
      <c r="AF1216" s="134"/>
      <c r="AG1216" s="134"/>
      <c r="AH1216" s="134"/>
      <c r="AI1216" s="134"/>
      <c r="AJ1216" s="134"/>
    </row>
    <row r="1217" spans="2:36">
      <c r="B1217" s="134"/>
      <c r="C1217" s="134"/>
      <c r="D1217" s="134"/>
      <c r="E1217" s="134"/>
      <c r="F1217" s="134"/>
      <c r="G1217" s="134"/>
      <c r="H1217" s="134"/>
      <c r="I1217" s="134"/>
      <c r="J1217" s="134"/>
      <c r="K1217" s="134"/>
      <c r="L1217" s="134"/>
      <c r="M1217" s="134"/>
      <c r="N1217" s="134"/>
      <c r="O1217" s="134"/>
      <c r="P1217" s="134"/>
      <c r="Q1217" s="134"/>
      <c r="R1217" s="134"/>
      <c r="S1217" s="134"/>
      <c r="T1217" s="134"/>
      <c r="U1217" s="134"/>
      <c r="V1217" s="134"/>
      <c r="W1217" s="134"/>
      <c r="X1217" s="134"/>
      <c r="Y1217" s="134"/>
      <c r="Z1217" s="134"/>
      <c r="AA1217" s="134"/>
      <c r="AB1217" s="134"/>
      <c r="AC1217" s="134"/>
      <c r="AD1217" s="134"/>
      <c r="AE1217" s="134"/>
      <c r="AF1217" s="134"/>
      <c r="AG1217" s="134"/>
      <c r="AH1217" s="134"/>
      <c r="AI1217" s="134"/>
      <c r="AJ1217" s="134"/>
    </row>
    <row r="1218" spans="2:36">
      <c r="B1218" s="134"/>
      <c r="C1218" s="134"/>
      <c r="D1218" s="134"/>
      <c r="E1218" s="134"/>
      <c r="F1218" s="134"/>
      <c r="G1218" s="134"/>
      <c r="H1218" s="134"/>
      <c r="I1218" s="134"/>
      <c r="J1218" s="134"/>
      <c r="K1218" s="134"/>
      <c r="L1218" s="134"/>
      <c r="M1218" s="134"/>
      <c r="N1218" s="134"/>
      <c r="O1218" s="134"/>
      <c r="P1218" s="134"/>
      <c r="Q1218" s="134"/>
      <c r="R1218" s="134"/>
      <c r="S1218" s="134"/>
      <c r="T1218" s="134"/>
      <c r="U1218" s="134"/>
      <c r="V1218" s="134"/>
      <c r="W1218" s="134"/>
      <c r="X1218" s="134"/>
      <c r="Y1218" s="134"/>
      <c r="Z1218" s="134"/>
      <c r="AA1218" s="134"/>
      <c r="AB1218" s="134"/>
      <c r="AC1218" s="134"/>
      <c r="AD1218" s="134"/>
      <c r="AE1218" s="134"/>
      <c r="AF1218" s="134"/>
      <c r="AG1218" s="134"/>
      <c r="AH1218" s="134"/>
      <c r="AI1218" s="134"/>
      <c r="AJ1218" s="134"/>
    </row>
    <row r="1219" spans="2:36">
      <c r="B1219" s="134"/>
      <c r="C1219" s="134"/>
      <c r="D1219" s="134"/>
      <c r="E1219" s="134"/>
      <c r="F1219" s="134"/>
      <c r="G1219" s="134"/>
      <c r="H1219" s="134"/>
      <c r="I1219" s="134"/>
      <c r="J1219" s="134"/>
      <c r="K1219" s="134"/>
      <c r="L1219" s="134"/>
      <c r="M1219" s="134"/>
      <c r="N1219" s="134"/>
      <c r="O1219" s="134"/>
      <c r="P1219" s="134"/>
      <c r="Q1219" s="134"/>
      <c r="R1219" s="134"/>
      <c r="S1219" s="134"/>
      <c r="T1219" s="134"/>
      <c r="U1219" s="134"/>
      <c r="V1219" s="134"/>
      <c r="W1219" s="134"/>
      <c r="X1219" s="134"/>
      <c r="Y1219" s="134"/>
      <c r="Z1219" s="134"/>
      <c r="AA1219" s="134"/>
      <c r="AB1219" s="134"/>
      <c r="AC1219" s="134"/>
      <c r="AD1219" s="134"/>
      <c r="AE1219" s="134"/>
      <c r="AF1219" s="134"/>
      <c r="AG1219" s="134"/>
      <c r="AH1219" s="134"/>
      <c r="AI1219" s="134"/>
      <c r="AJ1219" s="134"/>
    </row>
    <row r="1220" spans="2:36">
      <c r="B1220" s="134"/>
      <c r="C1220" s="134"/>
      <c r="D1220" s="134"/>
      <c r="E1220" s="134"/>
      <c r="F1220" s="134"/>
      <c r="G1220" s="134"/>
      <c r="H1220" s="134"/>
      <c r="I1220" s="134"/>
      <c r="J1220" s="134"/>
      <c r="K1220" s="134"/>
      <c r="L1220" s="134"/>
      <c r="M1220" s="134"/>
      <c r="N1220" s="134"/>
      <c r="O1220" s="134"/>
      <c r="P1220" s="134"/>
      <c r="Q1220" s="134"/>
      <c r="R1220" s="134"/>
      <c r="S1220" s="134"/>
      <c r="T1220" s="134"/>
      <c r="U1220" s="134"/>
      <c r="V1220" s="134"/>
      <c r="W1220" s="134"/>
      <c r="X1220" s="134"/>
      <c r="Y1220" s="134"/>
      <c r="Z1220" s="134"/>
      <c r="AA1220" s="134"/>
      <c r="AB1220" s="134"/>
      <c r="AC1220" s="134"/>
      <c r="AD1220" s="134"/>
      <c r="AE1220" s="134"/>
      <c r="AF1220" s="134"/>
      <c r="AG1220" s="134"/>
      <c r="AH1220" s="134"/>
      <c r="AI1220" s="134"/>
      <c r="AJ1220" s="134"/>
    </row>
    <row r="1221" spans="2:36">
      <c r="B1221" s="134"/>
      <c r="C1221" s="134"/>
      <c r="D1221" s="134"/>
      <c r="E1221" s="134"/>
      <c r="F1221" s="134"/>
      <c r="G1221" s="134"/>
      <c r="H1221" s="134"/>
      <c r="I1221" s="134"/>
      <c r="J1221" s="134"/>
      <c r="K1221" s="134"/>
      <c r="L1221" s="134"/>
      <c r="M1221" s="134"/>
      <c r="N1221" s="134"/>
      <c r="O1221" s="134"/>
      <c r="P1221" s="134"/>
      <c r="Q1221" s="134"/>
      <c r="R1221" s="134"/>
      <c r="S1221" s="134"/>
      <c r="T1221" s="134"/>
      <c r="U1221" s="134"/>
      <c r="V1221" s="134"/>
      <c r="W1221" s="134"/>
      <c r="X1221" s="134"/>
      <c r="Y1221" s="134"/>
      <c r="Z1221" s="134"/>
      <c r="AA1221" s="134"/>
      <c r="AB1221" s="134"/>
      <c r="AC1221" s="134"/>
      <c r="AD1221" s="134"/>
      <c r="AE1221" s="134"/>
      <c r="AF1221" s="134"/>
      <c r="AG1221" s="134"/>
      <c r="AH1221" s="134"/>
      <c r="AI1221" s="134"/>
      <c r="AJ1221" s="134"/>
    </row>
    <row r="1222" spans="2:36">
      <c r="B1222" s="134"/>
      <c r="C1222" s="134"/>
      <c r="D1222" s="134"/>
      <c r="E1222" s="134"/>
      <c r="F1222" s="134"/>
      <c r="G1222" s="134"/>
      <c r="H1222" s="134"/>
      <c r="I1222" s="134"/>
      <c r="J1222" s="134"/>
      <c r="K1222" s="134"/>
      <c r="L1222" s="134"/>
      <c r="M1222" s="134"/>
      <c r="N1222" s="134"/>
      <c r="O1222" s="134"/>
      <c r="P1222" s="134"/>
      <c r="Q1222" s="134"/>
      <c r="R1222" s="134"/>
      <c r="S1222" s="134"/>
      <c r="T1222" s="134"/>
      <c r="U1222" s="134"/>
      <c r="V1222" s="134"/>
      <c r="W1222" s="134"/>
      <c r="X1222" s="134"/>
      <c r="Y1222" s="134"/>
      <c r="Z1222" s="134"/>
      <c r="AA1222" s="134"/>
      <c r="AB1222" s="134"/>
      <c r="AC1222" s="134"/>
      <c r="AD1222" s="134"/>
      <c r="AE1222" s="134"/>
      <c r="AF1222" s="134"/>
      <c r="AG1222" s="134"/>
      <c r="AH1222" s="134"/>
      <c r="AI1222" s="134"/>
      <c r="AJ1222" s="134"/>
    </row>
    <row r="1223" spans="2:36">
      <c r="B1223" s="134"/>
      <c r="C1223" s="134"/>
      <c r="D1223" s="134"/>
      <c r="E1223" s="134"/>
      <c r="F1223" s="134"/>
      <c r="G1223" s="134"/>
      <c r="H1223" s="134"/>
      <c r="I1223" s="134"/>
      <c r="J1223" s="134"/>
      <c r="K1223" s="134"/>
      <c r="L1223" s="134"/>
      <c r="M1223" s="134"/>
      <c r="N1223" s="134"/>
      <c r="O1223" s="134"/>
      <c r="P1223" s="134"/>
      <c r="Q1223" s="134"/>
      <c r="R1223" s="134"/>
      <c r="S1223" s="134"/>
      <c r="T1223" s="134"/>
      <c r="U1223" s="134"/>
      <c r="V1223" s="134"/>
      <c r="W1223" s="134"/>
      <c r="X1223" s="134"/>
      <c r="Y1223" s="134"/>
      <c r="Z1223" s="134"/>
      <c r="AA1223" s="134"/>
      <c r="AB1223" s="134"/>
      <c r="AC1223" s="134"/>
      <c r="AD1223" s="134"/>
      <c r="AE1223" s="134"/>
      <c r="AF1223" s="134"/>
      <c r="AG1223" s="134"/>
      <c r="AH1223" s="134"/>
      <c r="AI1223" s="134"/>
      <c r="AJ1223" s="134"/>
    </row>
    <row r="1224" spans="2:36">
      <c r="B1224" s="134"/>
      <c r="C1224" s="134"/>
      <c r="D1224" s="134"/>
      <c r="E1224" s="134"/>
      <c r="F1224" s="134"/>
      <c r="G1224" s="134"/>
      <c r="H1224" s="134"/>
      <c r="I1224" s="134"/>
      <c r="J1224" s="134"/>
      <c r="K1224" s="134"/>
      <c r="L1224" s="134"/>
      <c r="M1224" s="134"/>
      <c r="N1224" s="134"/>
      <c r="O1224" s="134"/>
      <c r="P1224" s="134"/>
      <c r="Q1224" s="134"/>
      <c r="R1224" s="134"/>
      <c r="S1224" s="134"/>
      <c r="T1224" s="134"/>
      <c r="U1224" s="134"/>
      <c r="V1224" s="134"/>
      <c r="W1224" s="134"/>
      <c r="X1224" s="134"/>
      <c r="Y1224" s="134"/>
      <c r="Z1224" s="134"/>
      <c r="AA1224" s="134"/>
      <c r="AB1224" s="134"/>
      <c r="AC1224" s="134"/>
      <c r="AD1224" s="134"/>
      <c r="AE1224" s="134"/>
      <c r="AF1224" s="134"/>
      <c r="AG1224" s="134"/>
      <c r="AH1224" s="134"/>
      <c r="AI1224" s="134"/>
      <c r="AJ1224" s="134"/>
    </row>
    <row r="1225" spans="2:36">
      <c r="B1225" s="134"/>
      <c r="C1225" s="134"/>
      <c r="D1225" s="134"/>
      <c r="E1225" s="134"/>
      <c r="F1225" s="134"/>
      <c r="G1225" s="134"/>
      <c r="H1225" s="134"/>
      <c r="I1225" s="134"/>
      <c r="J1225" s="134"/>
      <c r="K1225" s="134"/>
      <c r="L1225" s="134"/>
      <c r="M1225" s="134"/>
      <c r="N1225" s="134"/>
      <c r="O1225" s="134"/>
      <c r="P1225" s="134"/>
      <c r="Q1225" s="134"/>
      <c r="R1225" s="134"/>
      <c r="S1225" s="134"/>
      <c r="T1225" s="134"/>
      <c r="U1225" s="134"/>
      <c r="V1225" s="134"/>
      <c r="W1225" s="134"/>
      <c r="X1225" s="134"/>
      <c r="Y1225" s="134"/>
      <c r="Z1225" s="134"/>
      <c r="AA1225" s="134"/>
      <c r="AB1225" s="134"/>
      <c r="AC1225" s="134"/>
      <c r="AD1225" s="134"/>
      <c r="AE1225" s="134"/>
      <c r="AF1225" s="134"/>
      <c r="AG1225" s="134"/>
      <c r="AH1225" s="134"/>
      <c r="AI1225" s="134"/>
      <c r="AJ1225" s="134"/>
    </row>
    <row r="1226" spans="2:36">
      <c r="B1226" s="134"/>
      <c r="C1226" s="134"/>
      <c r="D1226" s="134"/>
      <c r="E1226" s="134"/>
      <c r="F1226" s="134"/>
      <c r="G1226" s="134"/>
      <c r="H1226" s="134"/>
      <c r="I1226" s="134"/>
      <c r="J1226" s="134"/>
      <c r="K1226" s="134"/>
      <c r="L1226" s="134"/>
      <c r="M1226" s="134"/>
      <c r="N1226" s="134"/>
      <c r="O1226" s="134"/>
      <c r="P1226" s="134"/>
      <c r="Q1226" s="134"/>
      <c r="R1226" s="134"/>
      <c r="S1226" s="134"/>
      <c r="T1226" s="134"/>
      <c r="U1226" s="134"/>
      <c r="V1226" s="134"/>
      <c r="W1226" s="134"/>
      <c r="X1226" s="134"/>
      <c r="Y1226" s="134"/>
      <c r="Z1226" s="134"/>
      <c r="AA1226" s="134"/>
      <c r="AB1226" s="134"/>
      <c r="AC1226" s="134"/>
      <c r="AD1226" s="134"/>
      <c r="AE1226" s="134"/>
      <c r="AF1226" s="134"/>
      <c r="AG1226" s="134"/>
      <c r="AH1226" s="134"/>
      <c r="AI1226" s="134"/>
      <c r="AJ1226" s="134"/>
    </row>
    <row r="1227" spans="2:36">
      <c r="B1227" s="134"/>
      <c r="C1227" s="134"/>
      <c r="D1227" s="134"/>
      <c r="E1227" s="134"/>
      <c r="F1227" s="134"/>
      <c r="G1227" s="134"/>
      <c r="H1227" s="134"/>
      <c r="I1227" s="134"/>
      <c r="J1227" s="134"/>
      <c r="K1227" s="134"/>
      <c r="L1227" s="134"/>
      <c r="M1227" s="134"/>
      <c r="N1227" s="134"/>
      <c r="O1227" s="134"/>
      <c r="P1227" s="134"/>
      <c r="Q1227" s="134"/>
      <c r="R1227" s="134"/>
      <c r="S1227" s="134"/>
      <c r="T1227" s="134"/>
      <c r="U1227" s="134"/>
      <c r="V1227" s="134"/>
      <c r="W1227" s="134"/>
      <c r="X1227" s="134"/>
      <c r="Y1227" s="134"/>
      <c r="Z1227" s="134"/>
      <c r="AA1227" s="134"/>
      <c r="AB1227" s="134"/>
      <c r="AC1227" s="134"/>
      <c r="AD1227" s="134"/>
      <c r="AE1227" s="134"/>
      <c r="AF1227" s="134"/>
      <c r="AG1227" s="134"/>
      <c r="AH1227" s="134"/>
      <c r="AI1227" s="134"/>
      <c r="AJ1227" s="134"/>
    </row>
    <row r="1228" spans="2:36">
      <c r="B1228" s="134"/>
      <c r="C1228" s="134"/>
      <c r="D1228" s="134"/>
      <c r="E1228" s="134"/>
      <c r="F1228" s="134"/>
      <c r="G1228" s="134"/>
      <c r="H1228" s="134"/>
      <c r="I1228" s="134"/>
      <c r="J1228" s="134"/>
      <c r="K1228" s="134"/>
      <c r="L1228" s="134"/>
      <c r="M1228" s="134"/>
      <c r="N1228" s="134"/>
      <c r="O1228" s="134"/>
      <c r="P1228" s="134"/>
      <c r="Q1228" s="134"/>
      <c r="R1228" s="134"/>
      <c r="S1228" s="134"/>
      <c r="T1228" s="134"/>
      <c r="U1228" s="134"/>
      <c r="V1228" s="134"/>
      <c r="W1228" s="134"/>
      <c r="X1228" s="134"/>
      <c r="Y1228" s="134"/>
      <c r="Z1228" s="134"/>
      <c r="AA1228" s="134"/>
      <c r="AB1228" s="134"/>
      <c r="AC1228" s="134"/>
      <c r="AD1228" s="134"/>
      <c r="AE1228" s="134"/>
      <c r="AF1228" s="134"/>
      <c r="AG1228" s="134"/>
      <c r="AH1228" s="134"/>
      <c r="AI1228" s="134"/>
      <c r="AJ1228" s="134"/>
    </row>
    <row r="1229" spans="2:36">
      <c r="B1229" s="134"/>
      <c r="C1229" s="134"/>
      <c r="D1229" s="134"/>
      <c r="E1229" s="134"/>
      <c r="F1229" s="134"/>
      <c r="G1229" s="134"/>
      <c r="H1229" s="134"/>
      <c r="I1229" s="134"/>
      <c r="J1229" s="134"/>
      <c r="K1229" s="134"/>
      <c r="L1229" s="134"/>
      <c r="M1229" s="134"/>
      <c r="N1229" s="134"/>
      <c r="O1229" s="134"/>
      <c r="P1229" s="134"/>
      <c r="Q1229" s="134"/>
      <c r="R1229" s="134"/>
      <c r="S1229" s="134"/>
      <c r="T1229" s="134"/>
      <c r="U1229" s="134"/>
      <c r="V1229" s="134"/>
      <c r="W1229" s="134"/>
      <c r="X1229" s="134"/>
      <c r="Y1229" s="134"/>
      <c r="Z1229" s="134"/>
      <c r="AA1229" s="134"/>
      <c r="AB1229" s="134"/>
      <c r="AC1229" s="134"/>
      <c r="AD1229" s="134"/>
      <c r="AE1229" s="134"/>
      <c r="AF1229" s="134"/>
      <c r="AG1229" s="134"/>
      <c r="AH1229" s="134"/>
      <c r="AI1229" s="134"/>
      <c r="AJ1229" s="134"/>
    </row>
    <row r="1230" spans="2:36">
      <c r="B1230" s="134"/>
      <c r="C1230" s="134"/>
      <c r="D1230" s="134"/>
      <c r="E1230" s="134"/>
      <c r="F1230" s="134"/>
      <c r="G1230" s="134"/>
      <c r="H1230" s="134"/>
      <c r="I1230" s="134"/>
      <c r="J1230" s="134"/>
      <c r="K1230" s="134"/>
      <c r="L1230" s="134"/>
      <c r="M1230" s="134"/>
      <c r="N1230" s="134"/>
      <c r="O1230" s="134"/>
      <c r="P1230" s="134"/>
      <c r="Q1230" s="134"/>
      <c r="R1230" s="134"/>
      <c r="S1230" s="134"/>
      <c r="T1230" s="134"/>
      <c r="U1230" s="134"/>
      <c r="V1230" s="134"/>
      <c r="W1230" s="134"/>
      <c r="X1230" s="134"/>
      <c r="Y1230" s="134"/>
      <c r="Z1230" s="134"/>
      <c r="AA1230" s="134"/>
      <c r="AB1230" s="134"/>
      <c r="AC1230" s="134"/>
      <c r="AD1230" s="134"/>
      <c r="AE1230" s="134"/>
      <c r="AF1230" s="134"/>
      <c r="AG1230" s="134"/>
      <c r="AH1230" s="134"/>
      <c r="AI1230" s="134"/>
      <c r="AJ1230" s="134"/>
    </row>
    <row r="1231" spans="2:36">
      <c r="B1231" s="134"/>
      <c r="C1231" s="134"/>
      <c r="D1231" s="134"/>
      <c r="E1231" s="134"/>
      <c r="F1231" s="134"/>
      <c r="G1231" s="134"/>
      <c r="H1231" s="134"/>
      <c r="I1231" s="134"/>
      <c r="J1231" s="134"/>
      <c r="K1231" s="134"/>
      <c r="L1231" s="134"/>
      <c r="M1231" s="134"/>
      <c r="N1231" s="134"/>
      <c r="O1231" s="134"/>
      <c r="P1231" s="134"/>
      <c r="Q1231" s="134"/>
      <c r="R1231" s="134"/>
      <c r="S1231" s="134"/>
      <c r="T1231" s="134"/>
      <c r="U1231" s="134"/>
      <c r="V1231" s="134"/>
      <c r="W1231" s="134"/>
      <c r="X1231" s="134"/>
      <c r="Y1231" s="134"/>
      <c r="Z1231" s="134"/>
      <c r="AA1231" s="134"/>
      <c r="AB1231" s="134"/>
      <c r="AC1231" s="134"/>
      <c r="AD1231" s="134"/>
      <c r="AE1231" s="134"/>
      <c r="AF1231" s="134"/>
      <c r="AG1231" s="134"/>
      <c r="AH1231" s="134"/>
      <c r="AI1231" s="134"/>
      <c r="AJ1231" s="134"/>
    </row>
    <row r="1232" spans="2:36">
      <c r="B1232" s="134"/>
      <c r="C1232" s="134"/>
      <c r="D1232" s="134"/>
      <c r="E1232" s="134"/>
      <c r="F1232" s="134"/>
      <c r="G1232" s="134"/>
      <c r="H1232" s="134"/>
      <c r="I1232" s="134"/>
      <c r="J1232" s="134"/>
      <c r="K1232" s="134"/>
      <c r="L1232" s="134"/>
      <c r="M1232" s="134"/>
      <c r="N1232" s="134"/>
      <c r="O1232" s="134"/>
      <c r="P1232" s="134"/>
      <c r="Q1232" s="134"/>
      <c r="R1232" s="134"/>
      <c r="S1232" s="134"/>
      <c r="T1232" s="134"/>
      <c r="U1232" s="134"/>
      <c r="V1232" s="134"/>
      <c r="W1232" s="134"/>
      <c r="X1232" s="134"/>
      <c r="Y1232" s="134"/>
      <c r="Z1232" s="134"/>
      <c r="AA1232" s="134"/>
      <c r="AB1232" s="134"/>
      <c r="AC1232" s="134"/>
      <c r="AD1232" s="134"/>
      <c r="AE1232" s="134"/>
      <c r="AF1232" s="134"/>
      <c r="AG1232" s="134"/>
      <c r="AH1232" s="134"/>
      <c r="AI1232" s="134"/>
      <c r="AJ1232" s="134"/>
    </row>
    <row r="1233" spans="2:36">
      <c r="B1233" s="134"/>
      <c r="C1233" s="134"/>
      <c r="D1233" s="134"/>
      <c r="E1233" s="134"/>
      <c r="F1233" s="134"/>
      <c r="G1233" s="134"/>
      <c r="H1233" s="134"/>
      <c r="I1233" s="134"/>
      <c r="J1233" s="134"/>
      <c r="K1233" s="134"/>
      <c r="L1233" s="134"/>
      <c r="M1233" s="134"/>
      <c r="N1233" s="134"/>
      <c r="O1233" s="134"/>
      <c r="P1233" s="134"/>
      <c r="Q1233" s="134"/>
      <c r="R1233" s="134"/>
      <c r="S1233" s="134"/>
      <c r="T1233" s="134"/>
      <c r="U1233" s="134"/>
      <c r="V1233" s="134"/>
      <c r="W1233" s="134"/>
      <c r="X1233" s="134"/>
      <c r="Y1233" s="134"/>
      <c r="Z1233" s="134"/>
      <c r="AA1233" s="134"/>
      <c r="AB1233" s="134"/>
      <c r="AC1233" s="134"/>
      <c r="AD1233" s="134"/>
      <c r="AE1233" s="134"/>
      <c r="AF1233" s="134"/>
      <c r="AG1233" s="134"/>
      <c r="AH1233" s="134"/>
      <c r="AI1233" s="134"/>
      <c r="AJ1233" s="134"/>
    </row>
    <row r="1234" spans="2:36">
      <c r="B1234" s="134"/>
      <c r="C1234" s="134"/>
      <c r="D1234" s="134"/>
      <c r="E1234" s="134"/>
      <c r="F1234" s="134"/>
      <c r="G1234" s="134"/>
      <c r="H1234" s="134"/>
      <c r="I1234" s="134"/>
      <c r="J1234" s="134"/>
      <c r="K1234" s="134"/>
      <c r="L1234" s="134"/>
      <c r="M1234" s="134"/>
      <c r="N1234" s="134"/>
      <c r="O1234" s="134"/>
      <c r="P1234" s="134"/>
      <c r="Q1234" s="134"/>
      <c r="R1234" s="134"/>
      <c r="S1234" s="134"/>
      <c r="T1234" s="134"/>
      <c r="U1234" s="134"/>
      <c r="V1234" s="134"/>
      <c r="W1234" s="134"/>
      <c r="X1234" s="134"/>
      <c r="Y1234" s="134"/>
      <c r="Z1234" s="134"/>
      <c r="AA1234" s="134"/>
      <c r="AB1234" s="134"/>
      <c r="AC1234" s="134"/>
      <c r="AD1234" s="134"/>
      <c r="AE1234" s="134"/>
      <c r="AF1234" s="134"/>
      <c r="AG1234" s="134"/>
      <c r="AH1234" s="134"/>
      <c r="AI1234" s="134"/>
      <c r="AJ1234" s="134"/>
    </row>
    <row r="1235" spans="2:36">
      <c r="B1235" s="134"/>
      <c r="C1235" s="134"/>
      <c r="D1235" s="134"/>
      <c r="E1235" s="134"/>
      <c r="F1235" s="134"/>
      <c r="G1235" s="134"/>
      <c r="H1235" s="134"/>
      <c r="I1235" s="134"/>
      <c r="J1235" s="134"/>
      <c r="K1235" s="134"/>
      <c r="L1235" s="134"/>
      <c r="M1235" s="134"/>
      <c r="N1235" s="134"/>
      <c r="O1235" s="134"/>
      <c r="P1235" s="134"/>
      <c r="Q1235" s="134"/>
      <c r="R1235" s="134"/>
      <c r="S1235" s="134"/>
      <c r="T1235" s="134"/>
      <c r="U1235" s="134"/>
      <c r="V1235" s="134"/>
      <c r="W1235" s="134"/>
      <c r="X1235" s="134"/>
      <c r="Y1235" s="134"/>
      <c r="Z1235" s="134"/>
      <c r="AA1235" s="134"/>
      <c r="AB1235" s="134"/>
      <c r="AC1235" s="134"/>
      <c r="AD1235" s="134"/>
      <c r="AE1235" s="134"/>
      <c r="AF1235" s="134"/>
      <c r="AG1235" s="134"/>
      <c r="AH1235" s="134"/>
      <c r="AI1235" s="134"/>
      <c r="AJ1235" s="134"/>
    </row>
    <row r="1236" spans="2:36">
      <c r="B1236" s="134"/>
      <c r="C1236" s="134"/>
      <c r="D1236" s="134"/>
      <c r="E1236" s="134"/>
      <c r="F1236" s="134"/>
      <c r="G1236" s="134"/>
      <c r="H1236" s="134"/>
      <c r="I1236" s="134"/>
      <c r="J1236" s="134"/>
      <c r="K1236" s="134"/>
      <c r="L1236" s="134"/>
      <c r="M1236" s="134"/>
      <c r="N1236" s="134"/>
      <c r="O1236" s="134"/>
      <c r="P1236" s="134"/>
      <c r="Q1236" s="134"/>
      <c r="R1236" s="134"/>
      <c r="S1236" s="134"/>
      <c r="T1236" s="134"/>
      <c r="U1236" s="134"/>
      <c r="V1236" s="134"/>
      <c r="W1236" s="134"/>
      <c r="X1236" s="134"/>
      <c r="Y1236" s="134"/>
      <c r="Z1236" s="134"/>
      <c r="AA1236" s="134"/>
      <c r="AB1236" s="134"/>
      <c r="AC1236" s="134"/>
      <c r="AD1236" s="134"/>
      <c r="AE1236" s="134"/>
      <c r="AF1236" s="134"/>
      <c r="AG1236" s="134"/>
      <c r="AH1236" s="134"/>
      <c r="AI1236" s="134"/>
      <c r="AJ1236" s="134"/>
    </row>
    <row r="1237" spans="2:36">
      <c r="B1237" s="134"/>
      <c r="C1237" s="134"/>
      <c r="D1237" s="134"/>
      <c r="E1237" s="134"/>
      <c r="F1237" s="134"/>
      <c r="G1237" s="134"/>
      <c r="H1237" s="134"/>
      <c r="I1237" s="134"/>
      <c r="J1237" s="134"/>
      <c r="K1237" s="134"/>
      <c r="L1237" s="134"/>
      <c r="M1237" s="134"/>
      <c r="N1237" s="134"/>
      <c r="O1237" s="134"/>
      <c r="P1237" s="134"/>
      <c r="Q1237" s="134"/>
      <c r="R1237" s="134"/>
      <c r="S1237" s="134"/>
      <c r="T1237" s="134"/>
      <c r="U1237" s="134"/>
      <c r="V1237" s="134"/>
      <c r="W1237" s="134"/>
      <c r="X1237" s="134"/>
      <c r="Y1237" s="134"/>
      <c r="Z1237" s="134"/>
      <c r="AA1237" s="134"/>
      <c r="AB1237" s="134"/>
      <c r="AC1237" s="134"/>
      <c r="AD1237" s="134"/>
      <c r="AE1237" s="134"/>
      <c r="AF1237" s="134"/>
      <c r="AG1237" s="134"/>
      <c r="AH1237" s="134"/>
      <c r="AI1237" s="134"/>
      <c r="AJ1237" s="134"/>
    </row>
    <row r="1238" spans="2:36">
      <c r="B1238" s="134"/>
      <c r="C1238" s="134"/>
      <c r="D1238" s="134"/>
      <c r="E1238" s="134"/>
      <c r="F1238" s="134"/>
      <c r="G1238" s="134"/>
      <c r="H1238" s="134"/>
      <c r="I1238" s="134"/>
      <c r="J1238" s="134"/>
      <c r="K1238" s="134"/>
      <c r="L1238" s="134"/>
      <c r="M1238" s="134"/>
      <c r="N1238" s="134"/>
      <c r="O1238" s="134"/>
      <c r="P1238" s="134"/>
      <c r="Q1238" s="134"/>
      <c r="R1238" s="134"/>
      <c r="S1238" s="134"/>
      <c r="T1238" s="134"/>
      <c r="U1238" s="134"/>
      <c r="V1238" s="134"/>
      <c r="W1238" s="134"/>
      <c r="X1238" s="134"/>
      <c r="Y1238" s="134"/>
      <c r="Z1238" s="134"/>
      <c r="AA1238" s="134"/>
      <c r="AB1238" s="134"/>
      <c r="AC1238" s="134"/>
      <c r="AD1238" s="134"/>
      <c r="AE1238" s="134"/>
      <c r="AF1238" s="134"/>
      <c r="AG1238" s="134"/>
      <c r="AH1238" s="134"/>
      <c r="AI1238" s="134"/>
      <c r="AJ1238" s="134"/>
    </row>
    <row r="1239" spans="2:36">
      <c r="B1239" s="134"/>
      <c r="C1239" s="134"/>
      <c r="D1239" s="134"/>
      <c r="E1239" s="134"/>
      <c r="F1239" s="134"/>
      <c r="G1239" s="134"/>
      <c r="H1239" s="134"/>
      <c r="I1239" s="134"/>
      <c r="J1239" s="134"/>
      <c r="K1239" s="134"/>
      <c r="L1239" s="134"/>
      <c r="M1239" s="134"/>
      <c r="N1239" s="134"/>
      <c r="O1239" s="134"/>
      <c r="P1239" s="134"/>
      <c r="Q1239" s="134"/>
      <c r="R1239" s="134"/>
      <c r="S1239" s="134"/>
      <c r="T1239" s="134"/>
      <c r="U1239" s="134"/>
      <c r="V1239" s="134"/>
      <c r="W1239" s="134"/>
      <c r="X1239" s="134"/>
      <c r="Y1239" s="134"/>
      <c r="Z1239" s="134"/>
      <c r="AA1239" s="134"/>
      <c r="AB1239" s="134"/>
      <c r="AC1239" s="134"/>
      <c r="AD1239" s="134"/>
      <c r="AE1239" s="134"/>
      <c r="AF1239" s="134"/>
      <c r="AG1239" s="134"/>
      <c r="AH1239" s="134"/>
      <c r="AI1239" s="134"/>
      <c r="AJ1239" s="134"/>
    </row>
    <row r="1240" spans="2:36">
      <c r="B1240" s="134"/>
      <c r="C1240" s="134"/>
      <c r="D1240" s="134"/>
      <c r="E1240" s="134"/>
      <c r="F1240" s="134"/>
      <c r="G1240" s="134"/>
      <c r="H1240" s="134"/>
      <c r="I1240" s="134"/>
      <c r="J1240" s="134"/>
      <c r="K1240" s="134"/>
      <c r="L1240" s="134"/>
      <c r="M1240" s="134"/>
      <c r="N1240" s="134"/>
      <c r="O1240" s="134"/>
      <c r="P1240" s="134"/>
      <c r="Q1240" s="134"/>
      <c r="R1240" s="134"/>
      <c r="S1240" s="134"/>
      <c r="T1240" s="134"/>
      <c r="U1240" s="134"/>
      <c r="V1240" s="134"/>
      <c r="W1240" s="134"/>
      <c r="X1240" s="134"/>
      <c r="Y1240" s="134"/>
      <c r="Z1240" s="134"/>
      <c r="AA1240" s="134"/>
      <c r="AB1240" s="134"/>
      <c r="AC1240" s="134"/>
      <c r="AD1240" s="134"/>
      <c r="AE1240" s="134"/>
      <c r="AF1240" s="134"/>
      <c r="AG1240" s="134"/>
      <c r="AH1240" s="134"/>
      <c r="AI1240" s="134"/>
      <c r="AJ1240" s="134"/>
    </row>
    <row r="1241" spans="2:36">
      <c r="B1241" s="134"/>
      <c r="C1241" s="134"/>
      <c r="D1241" s="134"/>
      <c r="E1241" s="134"/>
      <c r="F1241" s="134"/>
      <c r="G1241" s="134"/>
      <c r="H1241" s="134"/>
      <c r="I1241" s="134"/>
      <c r="J1241" s="134"/>
      <c r="K1241" s="134"/>
      <c r="L1241" s="134"/>
      <c r="M1241" s="134"/>
      <c r="N1241" s="134"/>
      <c r="O1241" s="134"/>
      <c r="P1241" s="134"/>
      <c r="Q1241" s="134"/>
      <c r="R1241" s="134"/>
      <c r="S1241" s="134"/>
      <c r="T1241" s="134"/>
      <c r="U1241" s="134"/>
      <c r="V1241" s="134"/>
      <c r="W1241" s="134"/>
      <c r="X1241" s="134"/>
      <c r="Y1241" s="134"/>
      <c r="Z1241" s="134"/>
      <c r="AA1241" s="134"/>
      <c r="AB1241" s="134"/>
      <c r="AC1241" s="134"/>
      <c r="AD1241" s="134"/>
      <c r="AE1241" s="134"/>
      <c r="AF1241" s="134"/>
      <c r="AG1241" s="134"/>
      <c r="AH1241" s="134"/>
      <c r="AI1241" s="134"/>
      <c r="AJ1241" s="134"/>
    </row>
    <row r="1242" spans="2:36">
      <c r="B1242" s="134"/>
      <c r="C1242" s="134"/>
      <c r="D1242" s="134"/>
      <c r="E1242" s="134"/>
      <c r="F1242" s="134"/>
      <c r="G1242" s="134"/>
      <c r="H1242" s="134"/>
      <c r="I1242" s="134"/>
      <c r="J1242" s="134"/>
      <c r="K1242" s="134"/>
      <c r="L1242" s="134"/>
      <c r="M1242" s="134"/>
      <c r="N1242" s="134"/>
      <c r="O1242" s="134"/>
      <c r="P1242" s="134"/>
      <c r="Q1242" s="134"/>
      <c r="R1242" s="134"/>
      <c r="S1242" s="134"/>
      <c r="T1242" s="134"/>
      <c r="U1242" s="134"/>
      <c r="V1242" s="134"/>
      <c r="W1242" s="134"/>
      <c r="X1242" s="134"/>
      <c r="Y1242" s="134"/>
      <c r="Z1242" s="134"/>
      <c r="AA1242" s="134"/>
      <c r="AB1242" s="134"/>
      <c r="AC1242" s="134"/>
      <c r="AD1242" s="134"/>
      <c r="AE1242" s="134"/>
      <c r="AF1242" s="134"/>
      <c r="AG1242" s="134"/>
      <c r="AH1242" s="134"/>
      <c r="AI1242" s="134"/>
      <c r="AJ1242" s="134"/>
    </row>
    <row r="1243" spans="2:36">
      <c r="B1243" s="134"/>
      <c r="C1243" s="134"/>
      <c r="D1243" s="134"/>
      <c r="E1243" s="134"/>
      <c r="F1243" s="134"/>
      <c r="G1243" s="134"/>
      <c r="H1243" s="134"/>
      <c r="I1243" s="134"/>
      <c r="J1243" s="134"/>
      <c r="K1243" s="134"/>
      <c r="L1243" s="134"/>
      <c r="M1243" s="134"/>
      <c r="N1243" s="134"/>
      <c r="O1243" s="134"/>
      <c r="P1243" s="134"/>
      <c r="Q1243" s="134"/>
      <c r="R1243" s="134"/>
      <c r="S1243" s="134"/>
      <c r="T1243" s="134"/>
      <c r="U1243" s="134"/>
      <c r="V1243" s="134"/>
      <c r="W1243" s="134"/>
      <c r="X1243" s="134"/>
      <c r="Y1243" s="134"/>
      <c r="Z1243" s="134"/>
      <c r="AA1243" s="134"/>
      <c r="AB1243" s="134"/>
      <c r="AC1243" s="134"/>
      <c r="AD1243" s="134"/>
      <c r="AE1243" s="134"/>
      <c r="AF1243" s="134"/>
      <c r="AG1243" s="134"/>
      <c r="AH1243" s="134"/>
      <c r="AI1243" s="134"/>
      <c r="AJ1243" s="134"/>
    </row>
    <row r="1244" spans="2:36">
      <c r="B1244" s="134"/>
      <c r="C1244" s="134"/>
      <c r="D1244" s="134"/>
      <c r="E1244" s="134"/>
      <c r="F1244" s="134"/>
      <c r="G1244" s="134"/>
      <c r="H1244" s="134"/>
      <c r="I1244" s="134"/>
      <c r="J1244" s="134"/>
      <c r="K1244" s="134"/>
      <c r="L1244" s="134"/>
      <c r="M1244" s="134"/>
      <c r="N1244" s="134"/>
      <c r="O1244" s="134"/>
      <c r="P1244" s="134"/>
      <c r="Q1244" s="134"/>
      <c r="R1244" s="134"/>
      <c r="S1244" s="134"/>
      <c r="T1244" s="134"/>
      <c r="U1244" s="134"/>
      <c r="V1244" s="134"/>
      <c r="W1244" s="134"/>
      <c r="X1244" s="134"/>
      <c r="Y1244" s="134"/>
      <c r="Z1244" s="134"/>
      <c r="AA1244" s="134"/>
      <c r="AB1244" s="134"/>
      <c r="AC1244" s="134"/>
      <c r="AD1244" s="134"/>
      <c r="AE1244" s="134"/>
      <c r="AF1244" s="134"/>
      <c r="AG1244" s="134"/>
      <c r="AH1244" s="134"/>
      <c r="AI1244" s="134"/>
      <c r="AJ1244" s="134"/>
    </row>
    <row r="1245" spans="2:36">
      <c r="B1245" s="134"/>
      <c r="C1245" s="134"/>
      <c r="D1245" s="134"/>
      <c r="E1245" s="134"/>
      <c r="F1245" s="134"/>
      <c r="G1245" s="134"/>
      <c r="H1245" s="134"/>
      <c r="I1245" s="134"/>
      <c r="J1245" s="134"/>
      <c r="K1245" s="134"/>
      <c r="L1245" s="134"/>
      <c r="M1245" s="134"/>
      <c r="N1245" s="134"/>
      <c r="O1245" s="134"/>
      <c r="P1245" s="134"/>
      <c r="Q1245" s="134"/>
      <c r="R1245" s="134"/>
      <c r="S1245" s="134"/>
      <c r="T1245" s="134"/>
      <c r="U1245" s="134"/>
      <c r="V1245" s="134"/>
      <c r="W1245" s="134"/>
      <c r="X1245" s="134"/>
      <c r="Y1245" s="134"/>
      <c r="Z1245" s="134"/>
      <c r="AA1245" s="134"/>
      <c r="AB1245" s="134"/>
      <c r="AC1245" s="134"/>
      <c r="AD1245" s="134"/>
      <c r="AE1245" s="134"/>
      <c r="AF1245" s="134"/>
      <c r="AG1245" s="134"/>
      <c r="AH1245" s="134"/>
      <c r="AI1245" s="134"/>
      <c r="AJ1245" s="134"/>
    </row>
    <row r="1246" spans="2:36">
      <c r="B1246" s="134"/>
      <c r="C1246" s="134"/>
      <c r="D1246" s="134"/>
      <c r="E1246" s="134"/>
      <c r="F1246" s="134"/>
      <c r="G1246" s="134"/>
      <c r="H1246" s="134"/>
      <c r="I1246" s="134"/>
      <c r="J1246" s="134"/>
      <c r="K1246" s="134"/>
      <c r="L1246" s="134"/>
      <c r="M1246" s="134"/>
      <c r="N1246" s="134"/>
      <c r="O1246" s="134"/>
      <c r="P1246" s="134"/>
      <c r="Q1246" s="134"/>
      <c r="R1246" s="134"/>
      <c r="S1246" s="134"/>
      <c r="T1246" s="134"/>
      <c r="U1246" s="134"/>
      <c r="V1246" s="134"/>
      <c r="W1246" s="134"/>
      <c r="X1246" s="134"/>
      <c r="Y1246" s="134"/>
      <c r="Z1246" s="134"/>
      <c r="AA1246" s="134"/>
      <c r="AB1246" s="134"/>
      <c r="AC1246" s="134"/>
      <c r="AD1246" s="134"/>
      <c r="AE1246" s="134"/>
      <c r="AF1246" s="134"/>
      <c r="AG1246" s="134"/>
      <c r="AH1246" s="134"/>
      <c r="AI1246" s="134"/>
      <c r="AJ1246" s="134"/>
    </row>
    <row r="1247" spans="2:36">
      <c r="B1247" s="134"/>
      <c r="C1247" s="134"/>
      <c r="D1247" s="134"/>
      <c r="E1247" s="134"/>
      <c r="F1247" s="134"/>
      <c r="G1247" s="134"/>
      <c r="H1247" s="134"/>
      <c r="I1247" s="134"/>
      <c r="J1247" s="134"/>
      <c r="K1247" s="134"/>
      <c r="L1247" s="134"/>
      <c r="M1247" s="134"/>
      <c r="N1247" s="134"/>
      <c r="O1247" s="134"/>
      <c r="P1247" s="134"/>
      <c r="Q1247" s="134"/>
      <c r="R1247" s="134"/>
      <c r="S1247" s="134"/>
      <c r="T1247" s="134"/>
      <c r="U1247" s="134"/>
      <c r="V1247" s="134"/>
      <c r="W1247" s="134"/>
      <c r="X1247" s="134"/>
      <c r="Y1247" s="134"/>
      <c r="Z1247" s="134"/>
      <c r="AA1247" s="134"/>
      <c r="AB1247" s="134"/>
      <c r="AC1247" s="134"/>
      <c r="AD1247" s="134"/>
      <c r="AE1247" s="134"/>
      <c r="AF1247" s="134"/>
      <c r="AG1247" s="134"/>
      <c r="AH1247" s="134"/>
      <c r="AI1247" s="134"/>
      <c r="AJ1247" s="134"/>
    </row>
    <row r="1248" spans="2:36">
      <c r="B1248" s="134"/>
      <c r="C1248" s="134"/>
      <c r="D1248" s="134"/>
      <c r="E1248" s="134"/>
      <c r="F1248" s="134"/>
      <c r="G1248" s="134"/>
      <c r="H1248" s="134"/>
      <c r="I1248" s="134"/>
      <c r="J1248" s="134"/>
      <c r="K1248" s="134"/>
      <c r="L1248" s="134"/>
      <c r="M1248" s="134"/>
      <c r="N1248" s="134"/>
      <c r="O1248" s="134"/>
      <c r="P1248" s="134"/>
      <c r="Q1248" s="134"/>
      <c r="R1248" s="134"/>
      <c r="S1248" s="134"/>
      <c r="T1248" s="134"/>
      <c r="U1248" s="134"/>
      <c r="V1248" s="134"/>
      <c r="W1248" s="134"/>
      <c r="X1248" s="134"/>
      <c r="Y1248" s="134"/>
      <c r="Z1248" s="134"/>
      <c r="AA1248" s="134"/>
      <c r="AB1248" s="134"/>
      <c r="AC1248" s="134"/>
      <c r="AD1248" s="134"/>
      <c r="AE1248" s="134"/>
      <c r="AF1248" s="134"/>
      <c r="AG1248" s="134"/>
      <c r="AH1248" s="134"/>
      <c r="AI1248" s="134"/>
      <c r="AJ1248" s="134"/>
    </row>
    <row r="1249" spans="2:36">
      <c r="B1249" s="134"/>
      <c r="C1249" s="134"/>
      <c r="D1249" s="134"/>
      <c r="E1249" s="134"/>
      <c r="F1249" s="134"/>
      <c r="G1249" s="134"/>
      <c r="H1249" s="134"/>
      <c r="I1249" s="134"/>
      <c r="J1249" s="134"/>
      <c r="K1249" s="134"/>
      <c r="L1249" s="134"/>
      <c r="M1249" s="134"/>
      <c r="N1249" s="134"/>
      <c r="O1249" s="134"/>
      <c r="P1249" s="134"/>
      <c r="Q1249" s="134"/>
      <c r="R1249" s="134"/>
      <c r="S1249" s="134"/>
      <c r="T1249" s="134"/>
      <c r="U1249" s="134"/>
      <c r="V1249" s="134"/>
      <c r="W1249" s="134"/>
      <c r="X1249" s="134"/>
      <c r="Y1249" s="134"/>
      <c r="Z1249" s="134"/>
      <c r="AA1249" s="134"/>
      <c r="AB1249" s="134"/>
      <c r="AC1249" s="134"/>
      <c r="AD1249" s="134"/>
      <c r="AE1249" s="134"/>
      <c r="AF1249" s="134"/>
      <c r="AG1249" s="134"/>
      <c r="AH1249" s="134"/>
      <c r="AI1249" s="134"/>
      <c r="AJ1249" s="134"/>
    </row>
    <row r="1250" spans="2:36">
      <c r="B1250" s="134"/>
      <c r="C1250" s="134"/>
      <c r="D1250" s="134"/>
      <c r="E1250" s="134"/>
      <c r="F1250" s="134"/>
      <c r="G1250" s="134"/>
      <c r="H1250" s="134"/>
      <c r="I1250" s="134"/>
      <c r="J1250" s="134"/>
      <c r="K1250" s="134"/>
      <c r="L1250" s="134"/>
      <c r="M1250" s="134"/>
      <c r="N1250" s="134"/>
      <c r="O1250" s="134"/>
      <c r="P1250" s="134"/>
      <c r="Q1250" s="134"/>
      <c r="R1250" s="134"/>
      <c r="S1250" s="134"/>
      <c r="T1250" s="134"/>
      <c r="U1250" s="134"/>
      <c r="V1250" s="134"/>
      <c r="W1250" s="134"/>
      <c r="X1250" s="134"/>
      <c r="Y1250" s="134"/>
      <c r="Z1250" s="134"/>
      <c r="AA1250" s="134"/>
      <c r="AB1250" s="134"/>
      <c r="AC1250" s="134"/>
      <c r="AD1250" s="134"/>
      <c r="AE1250" s="134"/>
      <c r="AF1250" s="134"/>
      <c r="AG1250" s="134"/>
      <c r="AH1250" s="134"/>
      <c r="AI1250" s="134"/>
      <c r="AJ1250" s="134"/>
    </row>
    <row r="1251" spans="2:36">
      <c r="B1251" s="134"/>
      <c r="C1251" s="134"/>
      <c r="D1251" s="134"/>
      <c r="E1251" s="134"/>
      <c r="F1251" s="134"/>
      <c r="G1251" s="134"/>
      <c r="H1251" s="134"/>
      <c r="I1251" s="134"/>
      <c r="J1251" s="134"/>
      <c r="K1251" s="134"/>
      <c r="L1251" s="134"/>
      <c r="M1251" s="134"/>
      <c r="N1251" s="134"/>
      <c r="O1251" s="134"/>
      <c r="P1251" s="134"/>
      <c r="Q1251" s="134"/>
      <c r="R1251" s="134"/>
      <c r="S1251" s="134"/>
      <c r="T1251" s="134"/>
      <c r="U1251" s="134"/>
      <c r="V1251" s="134"/>
      <c r="W1251" s="134"/>
      <c r="X1251" s="134"/>
      <c r="Y1251" s="134"/>
      <c r="Z1251" s="134"/>
      <c r="AA1251" s="134"/>
      <c r="AB1251" s="134"/>
      <c r="AC1251" s="134"/>
      <c r="AD1251" s="134"/>
      <c r="AE1251" s="134"/>
      <c r="AF1251" s="134"/>
      <c r="AG1251" s="134"/>
      <c r="AH1251" s="134"/>
      <c r="AI1251" s="134"/>
      <c r="AJ1251" s="134"/>
    </row>
    <row r="1252" spans="2:36">
      <c r="B1252" s="134"/>
      <c r="C1252" s="134"/>
      <c r="D1252" s="134"/>
      <c r="E1252" s="134"/>
      <c r="F1252" s="134"/>
      <c r="G1252" s="134"/>
      <c r="H1252" s="134"/>
      <c r="I1252" s="134"/>
      <c r="J1252" s="134"/>
      <c r="K1252" s="134"/>
      <c r="L1252" s="134"/>
      <c r="M1252" s="134"/>
      <c r="N1252" s="134"/>
      <c r="O1252" s="134"/>
      <c r="P1252" s="134"/>
      <c r="Q1252" s="134"/>
      <c r="R1252" s="134"/>
      <c r="S1252" s="134"/>
      <c r="T1252" s="134"/>
      <c r="U1252" s="134"/>
      <c r="V1252" s="134"/>
      <c r="W1252" s="134"/>
      <c r="X1252" s="134"/>
      <c r="Y1252" s="134"/>
      <c r="Z1252" s="134"/>
      <c r="AA1252" s="134"/>
      <c r="AB1252" s="134"/>
      <c r="AC1252" s="134"/>
      <c r="AD1252" s="134"/>
      <c r="AE1252" s="134"/>
      <c r="AF1252" s="134"/>
      <c r="AG1252" s="134"/>
      <c r="AH1252" s="134"/>
      <c r="AI1252" s="134"/>
      <c r="AJ1252" s="134"/>
    </row>
    <row r="1253" spans="2:36">
      <c r="B1253" s="134"/>
      <c r="C1253" s="134"/>
      <c r="D1253" s="134"/>
      <c r="E1253" s="134"/>
      <c r="F1253" s="134"/>
      <c r="G1253" s="134"/>
      <c r="H1253" s="134"/>
      <c r="I1253" s="134"/>
      <c r="J1253" s="134"/>
      <c r="K1253" s="134"/>
      <c r="L1253" s="134"/>
      <c r="M1253" s="134"/>
      <c r="N1253" s="134"/>
      <c r="O1253" s="134"/>
      <c r="P1253" s="134"/>
      <c r="Q1253" s="134"/>
      <c r="R1253" s="134"/>
      <c r="S1253" s="134"/>
      <c r="T1253" s="134"/>
      <c r="U1253" s="134"/>
      <c r="V1253" s="134"/>
      <c r="W1253" s="134"/>
      <c r="X1253" s="134"/>
      <c r="Y1253" s="134"/>
      <c r="Z1253" s="134"/>
      <c r="AA1253" s="134"/>
      <c r="AB1253" s="134"/>
      <c r="AC1253" s="134"/>
      <c r="AD1253" s="134"/>
      <c r="AE1253" s="134"/>
      <c r="AF1253" s="134"/>
      <c r="AG1253" s="134"/>
      <c r="AH1253" s="134"/>
      <c r="AI1253" s="134"/>
      <c r="AJ1253" s="134"/>
    </row>
    <row r="1254" spans="2:36">
      <c r="B1254" s="134"/>
      <c r="C1254" s="134"/>
      <c r="D1254" s="134"/>
      <c r="E1254" s="134"/>
      <c r="F1254" s="134"/>
      <c r="G1254" s="134"/>
      <c r="H1254" s="134"/>
      <c r="I1254" s="134"/>
      <c r="J1254" s="134"/>
      <c r="K1254" s="134"/>
      <c r="L1254" s="134"/>
      <c r="M1254" s="134"/>
      <c r="N1254" s="134"/>
      <c r="O1254" s="134"/>
      <c r="P1254" s="134"/>
      <c r="Q1254" s="134"/>
      <c r="R1254" s="134"/>
      <c r="S1254" s="134"/>
      <c r="T1254" s="134"/>
      <c r="U1254" s="134"/>
      <c r="V1254" s="134"/>
      <c r="W1254" s="134"/>
      <c r="X1254" s="134"/>
      <c r="Y1254" s="134"/>
      <c r="Z1254" s="134"/>
      <c r="AA1254" s="134"/>
      <c r="AB1254" s="134"/>
      <c r="AC1254" s="134"/>
      <c r="AD1254" s="134"/>
      <c r="AE1254" s="134"/>
      <c r="AF1254" s="134"/>
      <c r="AG1254" s="134"/>
      <c r="AH1254" s="134"/>
      <c r="AI1254" s="134"/>
      <c r="AJ1254" s="134"/>
    </row>
    <row r="1255" spans="2:36">
      <c r="B1255" s="134"/>
      <c r="C1255" s="134"/>
      <c r="D1255" s="134"/>
      <c r="E1255" s="134"/>
      <c r="F1255" s="134"/>
      <c r="G1255" s="134"/>
      <c r="H1255" s="134"/>
      <c r="I1255" s="134"/>
      <c r="J1255" s="134"/>
      <c r="K1255" s="134"/>
      <c r="L1255" s="134"/>
      <c r="M1255" s="134"/>
      <c r="N1255" s="134"/>
      <c r="O1255" s="134"/>
      <c r="P1255" s="134"/>
      <c r="Q1255" s="134"/>
      <c r="R1255" s="134"/>
      <c r="S1255" s="134"/>
      <c r="T1255" s="134"/>
      <c r="U1255" s="134"/>
      <c r="V1255" s="134"/>
      <c r="W1255" s="134"/>
      <c r="X1255" s="134"/>
      <c r="Y1255" s="134"/>
      <c r="Z1255" s="134"/>
      <c r="AA1255" s="134"/>
      <c r="AB1255" s="134"/>
      <c r="AC1255" s="134"/>
      <c r="AD1255" s="134"/>
      <c r="AE1255" s="134"/>
      <c r="AF1255" s="134"/>
      <c r="AG1255" s="134"/>
      <c r="AH1255" s="134"/>
      <c r="AI1255" s="134"/>
      <c r="AJ1255" s="134"/>
    </row>
    <row r="1256" spans="2:36">
      <c r="B1256" s="134"/>
      <c r="C1256" s="134"/>
      <c r="D1256" s="134"/>
      <c r="E1256" s="134"/>
      <c r="F1256" s="134"/>
      <c r="G1256" s="134"/>
      <c r="H1256" s="134"/>
      <c r="I1256" s="134"/>
      <c r="J1256" s="134"/>
      <c r="K1256" s="134"/>
      <c r="L1256" s="134"/>
      <c r="M1256" s="134"/>
      <c r="N1256" s="134"/>
      <c r="O1256" s="134"/>
      <c r="P1256" s="134"/>
      <c r="Q1256" s="134"/>
      <c r="R1256" s="134"/>
      <c r="S1256" s="134"/>
      <c r="T1256" s="134"/>
      <c r="U1256" s="134"/>
      <c r="V1256" s="134"/>
      <c r="W1256" s="134"/>
      <c r="X1256" s="134"/>
      <c r="Y1256" s="134"/>
      <c r="Z1256" s="134"/>
      <c r="AA1256" s="134"/>
      <c r="AB1256" s="134"/>
      <c r="AC1256" s="134"/>
      <c r="AD1256" s="134"/>
      <c r="AE1256" s="134"/>
      <c r="AF1256" s="134"/>
      <c r="AG1256" s="134"/>
      <c r="AH1256" s="134"/>
      <c r="AI1256" s="134"/>
      <c r="AJ1256" s="134"/>
    </row>
    <row r="1257" spans="2:36">
      <c r="B1257" s="134"/>
      <c r="C1257" s="134"/>
      <c r="D1257" s="134"/>
      <c r="E1257" s="134"/>
      <c r="F1257" s="134"/>
      <c r="G1257" s="134"/>
      <c r="H1257" s="134"/>
      <c r="I1257" s="134"/>
      <c r="J1257" s="134"/>
      <c r="K1257" s="134"/>
      <c r="L1257" s="134"/>
      <c r="M1257" s="134"/>
      <c r="N1257" s="134"/>
      <c r="O1257" s="134"/>
      <c r="P1257" s="134"/>
      <c r="Q1257" s="134"/>
      <c r="R1257" s="134"/>
      <c r="S1257" s="134"/>
      <c r="T1257" s="134"/>
      <c r="U1257" s="134"/>
      <c r="V1257" s="134"/>
      <c r="W1257" s="134"/>
      <c r="X1257" s="134"/>
      <c r="Y1257" s="134"/>
      <c r="Z1257" s="134"/>
      <c r="AA1257" s="134"/>
      <c r="AB1257" s="134"/>
      <c r="AC1257" s="134"/>
      <c r="AD1257" s="134"/>
      <c r="AE1257" s="134"/>
      <c r="AF1257" s="134"/>
      <c r="AG1257" s="134"/>
      <c r="AH1257" s="134"/>
      <c r="AI1257" s="134"/>
      <c r="AJ1257" s="134"/>
    </row>
    <row r="1258" spans="2:36">
      <c r="B1258" s="134"/>
      <c r="C1258" s="134"/>
      <c r="D1258" s="134"/>
      <c r="E1258" s="134"/>
      <c r="F1258" s="134"/>
      <c r="G1258" s="134"/>
      <c r="H1258" s="134"/>
      <c r="I1258" s="134"/>
      <c r="J1258" s="134"/>
      <c r="K1258" s="134"/>
      <c r="L1258" s="134"/>
      <c r="M1258" s="134"/>
      <c r="N1258" s="134"/>
      <c r="O1258" s="134"/>
      <c r="P1258" s="134"/>
      <c r="Q1258" s="134"/>
      <c r="R1258" s="134"/>
      <c r="S1258" s="134"/>
      <c r="T1258" s="134"/>
      <c r="U1258" s="134"/>
      <c r="V1258" s="134"/>
      <c r="W1258" s="134"/>
      <c r="X1258" s="134"/>
      <c r="Y1258" s="134"/>
      <c r="Z1258" s="134"/>
      <c r="AA1258" s="134"/>
      <c r="AB1258" s="134"/>
      <c r="AC1258" s="134"/>
      <c r="AD1258" s="134"/>
      <c r="AE1258" s="134"/>
      <c r="AF1258" s="134"/>
      <c r="AG1258" s="134"/>
      <c r="AH1258" s="134"/>
      <c r="AI1258" s="134"/>
      <c r="AJ1258" s="134"/>
    </row>
    <row r="1259" spans="2:36">
      <c r="B1259" s="134"/>
      <c r="C1259" s="134"/>
      <c r="D1259" s="134"/>
      <c r="E1259" s="134"/>
      <c r="F1259" s="134"/>
      <c r="G1259" s="134"/>
      <c r="H1259" s="134"/>
      <c r="I1259" s="134"/>
      <c r="J1259" s="134"/>
      <c r="K1259" s="134"/>
      <c r="L1259" s="134"/>
      <c r="M1259" s="134"/>
      <c r="N1259" s="134"/>
      <c r="O1259" s="134"/>
      <c r="P1259" s="134"/>
      <c r="Q1259" s="134"/>
      <c r="R1259" s="134"/>
      <c r="S1259" s="134"/>
      <c r="T1259" s="134"/>
      <c r="U1259" s="134"/>
      <c r="V1259" s="134"/>
      <c r="W1259" s="134"/>
      <c r="X1259" s="134"/>
      <c r="Y1259" s="134"/>
      <c r="Z1259" s="134"/>
      <c r="AA1259" s="134"/>
      <c r="AB1259" s="134"/>
      <c r="AC1259" s="134"/>
      <c r="AD1259" s="134"/>
      <c r="AE1259" s="134"/>
      <c r="AF1259" s="134"/>
      <c r="AG1259" s="134"/>
      <c r="AH1259" s="134"/>
      <c r="AI1259" s="134"/>
      <c r="AJ1259" s="134"/>
    </row>
    <row r="1260" spans="2:36">
      <c r="B1260" s="134"/>
      <c r="C1260" s="134"/>
      <c r="D1260" s="134"/>
      <c r="E1260" s="134"/>
      <c r="F1260" s="134"/>
      <c r="G1260" s="134"/>
      <c r="H1260" s="134"/>
      <c r="I1260" s="134"/>
      <c r="J1260" s="134"/>
      <c r="K1260" s="134"/>
      <c r="L1260" s="134"/>
      <c r="M1260" s="134"/>
      <c r="N1260" s="134"/>
      <c r="O1260" s="134"/>
      <c r="P1260" s="134"/>
      <c r="Q1260" s="134"/>
      <c r="R1260" s="134"/>
      <c r="S1260" s="134"/>
      <c r="T1260" s="134"/>
      <c r="U1260" s="134"/>
      <c r="V1260" s="134"/>
      <c r="W1260" s="134"/>
      <c r="X1260" s="134"/>
      <c r="Y1260" s="134"/>
      <c r="Z1260" s="134"/>
      <c r="AA1260" s="134"/>
      <c r="AB1260" s="134"/>
      <c r="AC1260" s="134"/>
      <c r="AD1260" s="134"/>
      <c r="AE1260" s="134"/>
      <c r="AF1260" s="134"/>
      <c r="AG1260" s="134"/>
      <c r="AH1260" s="134"/>
      <c r="AI1260" s="134"/>
      <c r="AJ1260" s="134"/>
    </row>
    <row r="1261" spans="2:36">
      <c r="B1261" s="134"/>
      <c r="C1261" s="134"/>
      <c r="D1261" s="134"/>
      <c r="E1261" s="134"/>
      <c r="F1261" s="134"/>
      <c r="G1261" s="134"/>
      <c r="H1261" s="134"/>
      <c r="I1261" s="134"/>
      <c r="J1261" s="134"/>
      <c r="K1261" s="134"/>
      <c r="L1261" s="134"/>
      <c r="M1261" s="134"/>
      <c r="N1261" s="134"/>
      <c r="O1261" s="134"/>
      <c r="P1261" s="134"/>
      <c r="Q1261" s="134"/>
      <c r="R1261" s="134"/>
      <c r="S1261" s="134"/>
      <c r="T1261" s="134"/>
      <c r="U1261" s="134"/>
      <c r="V1261" s="134"/>
      <c r="W1261" s="134"/>
      <c r="X1261" s="134"/>
      <c r="Y1261" s="134"/>
      <c r="Z1261" s="134"/>
      <c r="AA1261" s="134"/>
      <c r="AB1261" s="134"/>
      <c r="AC1261" s="134"/>
      <c r="AD1261" s="134"/>
      <c r="AE1261" s="134"/>
      <c r="AF1261" s="134"/>
      <c r="AG1261" s="134"/>
      <c r="AH1261" s="134"/>
      <c r="AI1261" s="134"/>
      <c r="AJ1261" s="134"/>
    </row>
    <row r="1262" spans="2:36">
      <c r="B1262" s="134"/>
      <c r="C1262" s="134"/>
      <c r="D1262" s="134"/>
      <c r="E1262" s="134"/>
      <c r="F1262" s="134"/>
      <c r="G1262" s="134"/>
      <c r="H1262" s="134"/>
      <c r="I1262" s="134"/>
      <c r="J1262" s="134"/>
      <c r="K1262" s="134"/>
      <c r="L1262" s="134"/>
      <c r="M1262" s="134"/>
      <c r="N1262" s="134"/>
      <c r="O1262" s="134"/>
      <c r="P1262" s="134"/>
      <c r="Q1262" s="134"/>
      <c r="R1262" s="134"/>
      <c r="S1262" s="134"/>
      <c r="T1262" s="134"/>
      <c r="U1262" s="134"/>
      <c r="V1262" s="134"/>
      <c r="W1262" s="134"/>
      <c r="X1262" s="134"/>
      <c r="Y1262" s="134"/>
      <c r="Z1262" s="134"/>
      <c r="AA1262" s="134"/>
      <c r="AB1262" s="134"/>
      <c r="AC1262" s="134"/>
      <c r="AD1262" s="134"/>
      <c r="AE1262" s="134"/>
      <c r="AF1262" s="134"/>
      <c r="AG1262" s="134"/>
      <c r="AH1262" s="134"/>
      <c r="AI1262" s="134"/>
      <c r="AJ1262" s="134"/>
    </row>
    <row r="1263" spans="2:36">
      <c r="B1263" s="134"/>
      <c r="C1263" s="134"/>
      <c r="D1263" s="134"/>
      <c r="E1263" s="134"/>
      <c r="F1263" s="134"/>
      <c r="G1263" s="134"/>
      <c r="H1263" s="134"/>
      <c r="I1263" s="134"/>
      <c r="J1263" s="134"/>
      <c r="K1263" s="134"/>
      <c r="L1263" s="134"/>
      <c r="M1263" s="134"/>
      <c r="N1263" s="134"/>
      <c r="O1263" s="134"/>
      <c r="P1263" s="134"/>
      <c r="Q1263" s="134"/>
      <c r="R1263" s="134"/>
      <c r="S1263" s="134"/>
      <c r="T1263" s="134"/>
      <c r="U1263" s="134"/>
      <c r="V1263" s="134"/>
      <c r="W1263" s="134"/>
      <c r="X1263" s="134"/>
      <c r="Y1263" s="134"/>
      <c r="Z1263" s="134"/>
      <c r="AA1263" s="134"/>
      <c r="AB1263" s="134"/>
      <c r="AC1263" s="134"/>
      <c r="AD1263" s="134"/>
      <c r="AE1263" s="134"/>
      <c r="AF1263" s="134"/>
      <c r="AG1263" s="134"/>
      <c r="AH1263" s="134"/>
      <c r="AI1263" s="134"/>
      <c r="AJ1263" s="134"/>
    </row>
    <row r="1264" spans="2:36">
      <c r="B1264" s="134"/>
      <c r="C1264" s="134"/>
      <c r="D1264" s="134"/>
      <c r="E1264" s="134"/>
      <c r="F1264" s="134"/>
      <c r="G1264" s="134"/>
      <c r="H1264" s="134"/>
      <c r="I1264" s="134"/>
      <c r="J1264" s="134"/>
      <c r="K1264" s="134"/>
      <c r="L1264" s="134"/>
      <c r="M1264" s="134"/>
      <c r="N1264" s="134"/>
      <c r="O1264" s="134"/>
      <c r="P1264" s="134"/>
      <c r="Q1264" s="134"/>
      <c r="R1264" s="134"/>
      <c r="S1264" s="134"/>
      <c r="T1264" s="134"/>
      <c r="U1264" s="134"/>
      <c r="V1264" s="134"/>
      <c r="W1264" s="134"/>
      <c r="X1264" s="134"/>
      <c r="Y1264" s="134"/>
      <c r="Z1264" s="134"/>
      <c r="AA1264" s="134"/>
      <c r="AB1264" s="134"/>
      <c r="AC1264" s="134"/>
      <c r="AD1264" s="134"/>
      <c r="AE1264" s="134"/>
      <c r="AF1264" s="134"/>
      <c r="AG1264" s="134"/>
      <c r="AH1264" s="134"/>
      <c r="AI1264" s="134"/>
      <c r="AJ1264" s="134"/>
    </row>
    <row r="1265" spans="2:36">
      <c r="B1265" s="134"/>
      <c r="C1265" s="134"/>
      <c r="D1265" s="134"/>
      <c r="E1265" s="134"/>
      <c r="F1265" s="134"/>
      <c r="G1265" s="134"/>
      <c r="H1265" s="134"/>
      <c r="I1265" s="134"/>
      <c r="J1265" s="134"/>
      <c r="K1265" s="134"/>
      <c r="L1265" s="134"/>
      <c r="M1265" s="134"/>
      <c r="N1265" s="134"/>
      <c r="O1265" s="134"/>
      <c r="P1265" s="134"/>
      <c r="Q1265" s="134"/>
      <c r="R1265" s="134"/>
      <c r="S1265" s="134"/>
      <c r="T1265" s="134"/>
      <c r="U1265" s="134"/>
      <c r="V1265" s="134"/>
      <c r="W1265" s="134"/>
      <c r="X1265" s="134"/>
      <c r="Y1265" s="134"/>
      <c r="Z1265" s="134"/>
      <c r="AA1265" s="134"/>
      <c r="AB1265" s="134"/>
      <c r="AC1265" s="134"/>
      <c r="AD1265" s="134"/>
      <c r="AE1265" s="134"/>
      <c r="AF1265" s="134"/>
      <c r="AG1265" s="134"/>
      <c r="AH1265" s="134"/>
      <c r="AI1265" s="134"/>
      <c r="AJ1265" s="134"/>
    </row>
    <row r="1266" spans="2:36">
      <c r="B1266" s="134"/>
      <c r="C1266" s="134"/>
      <c r="D1266" s="134"/>
      <c r="E1266" s="134"/>
      <c r="F1266" s="134"/>
      <c r="G1266" s="134"/>
      <c r="H1266" s="134"/>
      <c r="I1266" s="134"/>
      <c r="J1266" s="134"/>
      <c r="K1266" s="134"/>
      <c r="L1266" s="134"/>
      <c r="M1266" s="134"/>
      <c r="N1266" s="134"/>
      <c r="O1266" s="134"/>
      <c r="P1266" s="134"/>
      <c r="Q1266" s="134"/>
      <c r="R1266" s="134"/>
      <c r="S1266" s="134"/>
      <c r="T1266" s="134"/>
      <c r="U1266" s="134"/>
      <c r="V1266" s="134"/>
      <c r="W1266" s="134"/>
      <c r="X1266" s="134"/>
      <c r="Y1266" s="134"/>
      <c r="Z1266" s="134"/>
      <c r="AA1266" s="134"/>
      <c r="AB1266" s="134"/>
      <c r="AC1266" s="134"/>
      <c r="AD1266" s="134"/>
      <c r="AE1266" s="134"/>
      <c r="AF1266" s="134"/>
      <c r="AG1266" s="134"/>
      <c r="AH1266" s="134"/>
      <c r="AI1266" s="134"/>
      <c r="AJ1266" s="134"/>
    </row>
    <row r="1267" spans="2:36">
      <c r="B1267" s="134"/>
      <c r="C1267" s="134"/>
      <c r="D1267" s="134"/>
      <c r="E1267" s="134"/>
      <c r="F1267" s="134"/>
      <c r="G1267" s="134"/>
      <c r="H1267" s="134"/>
      <c r="I1267" s="134"/>
      <c r="J1267" s="134"/>
      <c r="K1267" s="134"/>
      <c r="L1267" s="134"/>
      <c r="M1267" s="134"/>
      <c r="N1267" s="134"/>
      <c r="O1267" s="134"/>
      <c r="P1267" s="134"/>
      <c r="Q1267" s="134"/>
      <c r="R1267" s="134"/>
      <c r="S1267" s="134"/>
      <c r="T1267" s="134"/>
      <c r="U1267" s="134"/>
      <c r="V1267" s="134"/>
      <c r="W1267" s="134"/>
      <c r="X1267" s="134"/>
      <c r="Y1267" s="134"/>
      <c r="Z1267" s="134"/>
      <c r="AA1267" s="134"/>
      <c r="AB1267" s="134"/>
      <c r="AC1267" s="134"/>
      <c r="AD1267" s="134"/>
      <c r="AE1267" s="134"/>
      <c r="AF1267" s="134"/>
      <c r="AG1267" s="134"/>
      <c r="AH1267" s="134"/>
      <c r="AI1267" s="134"/>
      <c r="AJ1267" s="134"/>
    </row>
    <row r="1268" spans="2:36">
      <c r="B1268" s="134"/>
      <c r="C1268" s="134"/>
      <c r="D1268" s="134"/>
      <c r="E1268" s="134"/>
      <c r="F1268" s="134"/>
      <c r="G1268" s="134"/>
      <c r="H1268" s="134"/>
      <c r="I1268" s="134"/>
      <c r="J1268" s="134"/>
      <c r="K1268" s="134"/>
      <c r="L1268" s="134"/>
      <c r="M1268" s="134"/>
      <c r="N1268" s="134"/>
      <c r="O1268" s="134"/>
      <c r="P1268" s="134"/>
      <c r="Q1268" s="134"/>
      <c r="R1268" s="134"/>
      <c r="S1268" s="134"/>
      <c r="T1268" s="134"/>
      <c r="U1268" s="134"/>
      <c r="V1268" s="134"/>
      <c r="W1268" s="134"/>
      <c r="X1268" s="134"/>
      <c r="Y1268" s="134"/>
      <c r="Z1268" s="134"/>
      <c r="AA1268" s="134"/>
      <c r="AB1268" s="134"/>
      <c r="AC1268" s="134"/>
      <c r="AD1268" s="134"/>
      <c r="AE1268" s="134"/>
      <c r="AF1268" s="134"/>
      <c r="AG1268" s="134"/>
      <c r="AH1268" s="134"/>
      <c r="AI1268" s="134"/>
      <c r="AJ1268" s="134"/>
    </row>
    <row r="1269" spans="2:36">
      <c r="B1269" s="134"/>
      <c r="C1269" s="134"/>
      <c r="D1269" s="134"/>
      <c r="E1269" s="134"/>
      <c r="F1269" s="134"/>
      <c r="G1269" s="134"/>
      <c r="H1269" s="134"/>
      <c r="I1269" s="134"/>
      <c r="J1269" s="134"/>
      <c r="K1269" s="134"/>
      <c r="L1269" s="134"/>
      <c r="M1269" s="134"/>
      <c r="N1269" s="134"/>
      <c r="O1269" s="134"/>
      <c r="P1269" s="134"/>
      <c r="Q1269" s="134"/>
      <c r="R1269" s="134"/>
      <c r="S1269" s="134"/>
      <c r="T1269" s="134"/>
      <c r="U1269" s="134"/>
      <c r="V1269" s="134"/>
      <c r="W1269" s="134"/>
      <c r="X1269" s="134"/>
      <c r="Y1269" s="134"/>
      <c r="Z1269" s="134"/>
      <c r="AA1269" s="134"/>
      <c r="AB1269" s="134"/>
      <c r="AC1269" s="134"/>
      <c r="AD1269" s="134"/>
      <c r="AE1269" s="134"/>
      <c r="AF1269" s="134"/>
      <c r="AG1269" s="134"/>
      <c r="AH1269" s="134"/>
      <c r="AI1269" s="134"/>
      <c r="AJ1269" s="134"/>
    </row>
    <row r="1270" spans="2:36">
      <c r="B1270" s="134"/>
      <c r="C1270" s="134"/>
      <c r="D1270" s="134"/>
      <c r="E1270" s="134"/>
      <c r="F1270" s="134"/>
      <c r="G1270" s="134"/>
      <c r="H1270" s="134"/>
      <c r="I1270" s="134"/>
      <c r="J1270" s="134"/>
      <c r="K1270" s="134"/>
      <c r="L1270" s="134"/>
      <c r="M1270" s="134"/>
      <c r="N1270" s="134"/>
      <c r="O1270" s="134"/>
      <c r="P1270" s="134"/>
      <c r="Q1270" s="134"/>
      <c r="R1270" s="134"/>
      <c r="S1270" s="134"/>
      <c r="T1270" s="134"/>
      <c r="U1270" s="134"/>
      <c r="V1270" s="134"/>
      <c r="W1270" s="134"/>
      <c r="X1270" s="134"/>
      <c r="Y1270" s="134"/>
      <c r="Z1270" s="134"/>
      <c r="AA1270" s="134"/>
      <c r="AB1270" s="134"/>
      <c r="AC1270" s="134"/>
      <c r="AD1270" s="134"/>
      <c r="AE1270" s="134"/>
      <c r="AF1270" s="134"/>
      <c r="AG1270" s="134"/>
      <c r="AH1270" s="134"/>
      <c r="AI1270" s="134"/>
      <c r="AJ1270" s="134"/>
    </row>
    <row r="1271" spans="2:36">
      <c r="B1271" s="134"/>
      <c r="C1271" s="134"/>
      <c r="D1271" s="134"/>
      <c r="E1271" s="134"/>
      <c r="F1271" s="134"/>
      <c r="G1271" s="134"/>
      <c r="H1271" s="134"/>
      <c r="I1271" s="134"/>
      <c r="J1271" s="134"/>
      <c r="K1271" s="134"/>
      <c r="L1271" s="134"/>
      <c r="M1271" s="134"/>
      <c r="N1271" s="134"/>
      <c r="O1271" s="134"/>
      <c r="P1271" s="134"/>
      <c r="Q1271" s="134"/>
      <c r="R1271" s="134"/>
      <c r="S1271" s="134"/>
      <c r="T1271" s="134"/>
      <c r="U1271" s="134"/>
      <c r="V1271" s="134"/>
      <c r="W1271" s="134"/>
      <c r="X1271" s="134"/>
      <c r="Y1271" s="134"/>
      <c r="Z1271" s="134"/>
      <c r="AA1271" s="134"/>
      <c r="AB1271" s="134"/>
      <c r="AC1271" s="134"/>
      <c r="AD1271" s="134"/>
      <c r="AE1271" s="134"/>
      <c r="AF1271" s="134"/>
      <c r="AG1271" s="134"/>
      <c r="AH1271" s="134"/>
      <c r="AI1271" s="134"/>
      <c r="AJ1271" s="134"/>
    </row>
    <row r="1272" spans="2:36">
      <c r="B1272" s="134"/>
      <c r="C1272" s="134"/>
      <c r="D1272" s="134"/>
      <c r="E1272" s="134"/>
      <c r="F1272" s="134"/>
      <c r="G1272" s="134"/>
      <c r="H1272" s="134"/>
      <c r="I1272" s="134"/>
      <c r="J1272" s="134"/>
      <c r="K1272" s="134"/>
      <c r="L1272" s="134"/>
      <c r="M1272" s="134"/>
      <c r="N1272" s="134"/>
      <c r="O1272" s="134"/>
      <c r="P1272" s="134"/>
      <c r="Q1272" s="134"/>
      <c r="R1272" s="134"/>
      <c r="S1272" s="134"/>
      <c r="T1272" s="134"/>
      <c r="U1272" s="134"/>
      <c r="V1272" s="134"/>
      <c r="W1272" s="134"/>
      <c r="X1272" s="134"/>
      <c r="Y1272" s="134"/>
      <c r="Z1272" s="134"/>
      <c r="AA1272" s="134"/>
      <c r="AB1272" s="134"/>
      <c r="AC1272" s="134"/>
      <c r="AD1272" s="134"/>
      <c r="AE1272" s="134"/>
      <c r="AF1272" s="134"/>
      <c r="AG1272" s="134"/>
      <c r="AH1272" s="134"/>
      <c r="AI1272" s="134"/>
      <c r="AJ1272" s="134"/>
    </row>
    <row r="1273" spans="2:36">
      <c r="B1273" s="134"/>
      <c r="C1273" s="134"/>
      <c r="D1273" s="134"/>
      <c r="E1273" s="134"/>
      <c r="F1273" s="134"/>
      <c r="G1273" s="134"/>
      <c r="H1273" s="134"/>
      <c r="I1273" s="134"/>
      <c r="J1273" s="134"/>
      <c r="K1273" s="134"/>
      <c r="L1273" s="134"/>
      <c r="M1273" s="134"/>
      <c r="N1273" s="134"/>
      <c r="O1273" s="134"/>
      <c r="P1273" s="134"/>
      <c r="Q1273" s="134"/>
      <c r="R1273" s="134"/>
      <c r="S1273" s="134"/>
      <c r="T1273" s="134"/>
      <c r="U1273" s="134"/>
      <c r="V1273" s="134"/>
      <c r="W1273" s="134"/>
      <c r="X1273" s="134"/>
      <c r="Y1273" s="134"/>
      <c r="Z1273" s="134"/>
      <c r="AA1273" s="134"/>
      <c r="AB1273" s="134"/>
      <c r="AC1273" s="134"/>
      <c r="AD1273" s="134"/>
      <c r="AE1273" s="134"/>
      <c r="AF1273" s="134"/>
      <c r="AG1273" s="134"/>
      <c r="AH1273" s="134"/>
      <c r="AI1273" s="134"/>
      <c r="AJ1273" s="134"/>
    </row>
    <row r="1274" spans="2:36">
      <c r="B1274" s="134"/>
      <c r="C1274" s="134"/>
      <c r="D1274" s="134"/>
      <c r="E1274" s="134"/>
      <c r="F1274" s="134"/>
      <c r="G1274" s="134"/>
      <c r="H1274" s="134"/>
      <c r="I1274" s="134"/>
      <c r="J1274" s="134"/>
      <c r="K1274" s="134"/>
      <c r="L1274" s="134"/>
      <c r="M1274" s="134"/>
      <c r="N1274" s="134"/>
      <c r="O1274" s="134"/>
      <c r="P1274" s="134"/>
      <c r="Q1274" s="134"/>
      <c r="R1274" s="134"/>
      <c r="S1274" s="134"/>
      <c r="T1274" s="134"/>
      <c r="U1274" s="134"/>
      <c r="V1274" s="134"/>
      <c r="W1274" s="134"/>
      <c r="X1274" s="134"/>
      <c r="Y1274" s="134"/>
      <c r="Z1274" s="134"/>
      <c r="AA1274" s="134"/>
      <c r="AB1274" s="134"/>
      <c r="AC1274" s="134"/>
      <c r="AD1274" s="134"/>
      <c r="AE1274" s="134"/>
      <c r="AF1274" s="134"/>
      <c r="AG1274" s="134"/>
      <c r="AH1274" s="134"/>
      <c r="AI1274" s="134"/>
      <c r="AJ1274" s="134"/>
    </row>
    <row r="1275" spans="2:36">
      <c r="B1275" s="134"/>
      <c r="C1275" s="134"/>
      <c r="D1275" s="134"/>
      <c r="E1275" s="134"/>
      <c r="F1275" s="134"/>
      <c r="G1275" s="134"/>
      <c r="H1275" s="134"/>
      <c r="I1275" s="134"/>
      <c r="J1275" s="134"/>
      <c r="K1275" s="134"/>
      <c r="L1275" s="134"/>
      <c r="M1275" s="134"/>
      <c r="N1275" s="134"/>
      <c r="O1275" s="134"/>
      <c r="P1275" s="134"/>
      <c r="Q1275" s="134"/>
      <c r="R1275" s="134"/>
      <c r="S1275" s="134"/>
      <c r="T1275" s="134"/>
      <c r="U1275" s="134"/>
      <c r="V1275" s="134"/>
      <c r="W1275" s="134"/>
      <c r="X1275" s="134"/>
      <c r="Y1275" s="134"/>
      <c r="Z1275" s="134"/>
      <c r="AA1275" s="134"/>
      <c r="AB1275" s="134"/>
      <c r="AC1275" s="134"/>
      <c r="AD1275" s="134"/>
      <c r="AE1275" s="134"/>
      <c r="AF1275" s="134"/>
      <c r="AG1275" s="134"/>
      <c r="AH1275" s="134"/>
      <c r="AI1275" s="134"/>
      <c r="AJ1275" s="134"/>
    </row>
    <row r="1276" spans="2:36">
      <c r="B1276" s="134"/>
      <c r="C1276" s="134"/>
      <c r="D1276" s="134"/>
      <c r="E1276" s="134"/>
      <c r="F1276" s="134"/>
      <c r="G1276" s="134"/>
      <c r="H1276" s="134"/>
      <c r="I1276" s="134"/>
      <c r="J1276" s="134"/>
      <c r="K1276" s="134"/>
      <c r="L1276" s="134"/>
      <c r="M1276" s="134"/>
      <c r="N1276" s="134"/>
      <c r="O1276" s="134"/>
      <c r="P1276" s="134"/>
      <c r="Q1276" s="134"/>
      <c r="R1276" s="134"/>
      <c r="S1276" s="134"/>
      <c r="T1276" s="134"/>
      <c r="U1276" s="134"/>
      <c r="V1276" s="134"/>
      <c r="W1276" s="134"/>
      <c r="X1276" s="134"/>
      <c r="Y1276" s="134"/>
      <c r="Z1276" s="134"/>
      <c r="AA1276" s="134"/>
      <c r="AB1276" s="134"/>
      <c r="AC1276" s="134"/>
      <c r="AD1276" s="134"/>
      <c r="AE1276" s="134"/>
      <c r="AF1276" s="134"/>
      <c r="AG1276" s="134"/>
      <c r="AH1276" s="134"/>
      <c r="AI1276" s="134"/>
      <c r="AJ1276" s="134"/>
    </row>
    <row r="1277" spans="2:36">
      <c r="B1277" s="134"/>
      <c r="C1277" s="134"/>
      <c r="D1277" s="134"/>
      <c r="E1277" s="134"/>
      <c r="F1277" s="134"/>
      <c r="G1277" s="134"/>
      <c r="H1277" s="134"/>
      <c r="I1277" s="134"/>
      <c r="J1277" s="134"/>
      <c r="K1277" s="134"/>
      <c r="L1277" s="134"/>
      <c r="M1277" s="134"/>
      <c r="N1277" s="134"/>
      <c r="O1277" s="134"/>
      <c r="P1277" s="134"/>
      <c r="Q1277" s="134"/>
      <c r="R1277" s="134"/>
      <c r="S1277" s="134"/>
      <c r="T1277" s="134"/>
      <c r="U1277" s="134"/>
      <c r="V1277" s="134"/>
      <c r="W1277" s="134"/>
      <c r="X1277" s="134"/>
      <c r="Y1277" s="134"/>
      <c r="Z1277" s="134"/>
      <c r="AA1277" s="134"/>
      <c r="AB1277" s="134"/>
      <c r="AC1277" s="134"/>
      <c r="AD1277" s="134"/>
      <c r="AE1277" s="134"/>
      <c r="AF1277" s="134"/>
      <c r="AG1277" s="134"/>
      <c r="AH1277" s="134"/>
      <c r="AI1277" s="134"/>
      <c r="AJ1277" s="134"/>
    </row>
    <row r="1278" spans="2:36">
      <c r="B1278" s="134"/>
      <c r="C1278" s="134"/>
      <c r="D1278" s="134"/>
      <c r="E1278" s="134"/>
      <c r="F1278" s="134"/>
      <c r="G1278" s="134"/>
      <c r="H1278" s="134"/>
      <c r="I1278" s="134"/>
      <c r="J1278" s="134"/>
      <c r="K1278" s="134"/>
      <c r="L1278" s="134"/>
      <c r="M1278" s="134"/>
      <c r="N1278" s="134"/>
      <c r="O1278" s="134"/>
      <c r="P1278" s="134"/>
      <c r="Q1278" s="134"/>
      <c r="R1278" s="134"/>
      <c r="S1278" s="134"/>
      <c r="T1278" s="134"/>
      <c r="U1278" s="134"/>
      <c r="V1278" s="134"/>
      <c r="W1278" s="134"/>
      <c r="X1278" s="134"/>
      <c r="Y1278" s="134"/>
      <c r="Z1278" s="134"/>
      <c r="AA1278" s="134"/>
      <c r="AB1278" s="134"/>
      <c r="AC1278" s="134"/>
      <c r="AD1278" s="134"/>
      <c r="AE1278" s="134"/>
      <c r="AF1278" s="134"/>
      <c r="AG1278" s="134"/>
      <c r="AH1278" s="134"/>
      <c r="AI1278" s="134"/>
      <c r="AJ1278" s="134"/>
    </row>
    <row r="1279" spans="2:36">
      <c r="B1279" s="134"/>
      <c r="C1279" s="134"/>
      <c r="D1279" s="134"/>
      <c r="E1279" s="134"/>
      <c r="F1279" s="134"/>
      <c r="G1279" s="134"/>
      <c r="H1279" s="134"/>
      <c r="I1279" s="134"/>
      <c r="J1279" s="134"/>
      <c r="K1279" s="134"/>
      <c r="L1279" s="134"/>
      <c r="M1279" s="134"/>
      <c r="N1279" s="134"/>
      <c r="O1279" s="134"/>
      <c r="P1279" s="134"/>
      <c r="Q1279" s="134"/>
      <c r="R1279" s="134"/>
      <c r="S1279" s="134"/>
      <c r="T1279" s="134"/>
      <c r="U1279" s="134"/>
      <c r="V1279" s="134"/>
      <c r="W1279" s="134"/>
      <c r="X1279" s="134"/>
      <c r="Y1279" s="134"/>
      <c r="Z1279" s="134"/>
      <c r="AA1279" s="134"/>
      <c r="AB1279" s="134"/>
      <c r="AC1279" s="134"/>
      <c r="AD1279" s="134"/>
      <c r="AE1279" s="134"/>
      <c r="AF1279" s="134"/>
      <c r="AG1279" s="134"/>
      <c r="AH1279" s="134"/>
      <c r="AI1279" s="134"/>
      <c r="AJ1279" s="134"/>
    </row>
    <row r="1280" spans="2:36">
      <c r="B1280" s="134"/>
      <c r="C1280" s="134"/>
      <c r="D1280" s="134"/>
      <c r="E1280" s="134"/>
      <c r="F1280" s="134"/>
      <c r="G1280" s="134"/>
      <c r="H1280" s="134"/>
      <c r="I1280" s="134"/>
      <c r="J1280" s="134"/>
      <c r="K1280" s="134"/>
      <c r="L1280" s="134"/>
      <c r="M1280" s="134"/>
      <c r="N1280" s="134"/>
      <c r="O1280" s="134"/>
      <c r="P1280" s="134"/>
      <c r="Q1280" s="134"/>
      <c r="R1280" s="134"/>
      <c r="S1280" s="134"/>
      <c r="T1280" s="134"/>
      <c r="U1280" s="134"/>
      <c r="V1280" s="134"/>
      <c r="W1280" s="134"/>
      <c r="X1280" s="134"/>
      <c r="Y1280" s="134"/>
      <c r="Z1280" s="134"/>
      <c r="AA1280" s="134"/>
      <c r="AB1280" s="134"/>
      <c r="AC1280" s="134"/>
      <c r="AD1280" s="134"/>
      <c r="AE1280" s="134"/>
      <c r="AF1280" s="134"/>
      <c r="AG1280" s="134"/>
      <c r="AH1280" s="134"/>
      <c r="AI1280" s="134"/>
      <c r="AJ1280" s="134"/>
    </row>
    <row r="1281" spans="2:36">
      <c r="B1281" s="134"/>
      <c r="C1281" s="134"/>
      <c r="D1281" s="134"/>
      <c r="E1281" s="134"/>
      <c r="F1281" s="134"/>
      <c r="G1281" s="134"/>
      <c r="H1281" s="134"/>
      <c r="I1281" s="134"/>
      <c r="J1281" s="134"/>
      <c r="K1281" s="134"/>
      <c r="L1281" s="134"/>
      <c r="M1281" s="134"/>
      <c r="N1281" s="134"/>
      <c r="O1281" s="134"/>
      <c r="P1281" s="134"/>
      <c r="Q1281" s="134"/>
      <c r="R1281" s="134"/>
      <c r="S1281" s="134"/>
      <c r="T1281" s="134"/>
      <c r="U1281" s="134"/>
      <c r="V1281" s="134"/>
      <c r="W1281" s="134"/>
      <c r="X1281" s="134"/>
      <c r="Y1281" s="134"/>
      <c r="Z1281" s="134"/>
      <c r="AA1281" s="134"/>
      <c r="AB1281" s="134"/>
      <c r="AC1281" s="134"/>
      <c r="AD1281" s="134"/>
      <c r="AE1281" s="134"/>
      <c r="AF1281" s="134"/>
      <c r="AG1281" s="134"/>
      <c r="AH1281" s="134"/>
      <c r="AI1281" s="134"/>
      <c r="AJ1281" s="134"/>
    </row>
    <row r="1282" spans="2:36">
      <c r="B1282" s="134"/>
      <c r="C1282" s="134"/>
      <c r="D1282" s="134"/>
      <c r="E1282" s="134"/>
      <c r="F1282" s="134"/>
      <c r="G1282" s="134"/>
      <c r="H1282" s="134"/>
      <c r="I1282" s="134"/>
      <c r="J1282" s="134"/>
      <c r="K1282" s="134"/>
      <c r="L1282" s="134"/>
      <c r="M1282" s="134"/>
      <c r="N1282" s="134"/>
      <c r="O1282" s="134"/>
      <c r="P1282" s="134"/>
      <c r="Q1282" s="134"/>
      <c r="R1282" s="134"/>
      <c r="S1282" s="134"/>
      <c r="T1282" s="134"/>
      <c r="U1282" s="134"/>
      <c r="V1282" s="134"/>
      <c r="W1282" s="134"/>
      <c r="X1282" s="134"/>
      <c r="Y1282" s="134"/>
      <c r="Z1282" s="134"/>
      <c r="AA1282" s="134"/>
      <c r="AB1282" s="134"/>
      <c r="AC1282" s="134"/>
      <c r="AD1282" s="134"/>
      <c r="AE1282" s="134"/>
      <c r="AF1282" s="134"/>
      <c r="AG1282" s="134"/>
      <c r="AH1282" s="134"/>
      <c r="AI1282" s="134"/>
      <c r="AJ1282" s="134"/>
    </row>
    <row r="1283" spans="2:36">
      <c r="B1283" s="134"/>
      <c r="C1283" s="134"/>
      <c r="D1283" s="134"/>
      <c r="E1283" s="134"/>
      <c r="F1283" s="134"/>
      <c r="G1283" s="134"/>
      <c r="H1283" s="134"/>
      <c r="I1283" s="134"/>
      <c r="J1283" s="134"/>
      <c r="K1283" s="134"/>
      <c r="L1283" s="134"/>
      <c r="M1283" s="134"/>
      <c r="N1283" s="134"/>
      <c r="O1283" s="134"/>
      <c r="P1283" s="134"/>
      <c r="Q1283" s="134"/>
      <c r="R1283" s="134"/>
      <c r="S1283" s="134"/>
      <c r="T1283" s="134"/>
      <c r="U1283" s="134"/>
      <c r="V1283" s="134"/>
      <c r="W1283" s="134"/>
      <c r="X1283" s="134"/>
      <c r="Y1283" s="134"/>
      <c r="Z1283" s="134"/>
      <c r="AA1283" s="134"/>
      <c r="AB1283" s="134"/>
      <c r="AC1283" s="134"/>
      <c r="AD1283" s="134"/>
      <c r="AE1283" s="134"/>
      <c r="AF1283" s="134"/>
      <c r="AG1283" s="134"/>
      <c r="AH1283" s="134"/>
      <c r="AI1283" s="134"/>
      <c r="AJ1283" s="134"/>
    </row>
    <row r="1284" spans="2:36">
      <c r="B1284" s="134"/>
      <c r="C1284" s="134"/>
      <c r="D1284" s="134"/>
      <c r="E1284" s="134"/>
      <c r="F1284" s="134"/>
      <c r="G1284" s="134"/>
      <c r="H1284" s="134"/>
      <c r="I1284" s="134"/>
      <c r="J1284" s="134"/>
      <c r="K1284" s="134"/>
      <c r="L1284" s="134"/>
      <c r="M1284" s="134"/>
      <c r="N1284" s="134"/>
      <c r="O1284" s="134"/>
      <c r="P1284" s="134"/>
      <c r="Q1284" s="134"/>
      <c r="R1284" s="134"/>
      <c r="S1284" s="134"/>
      <c r="T1284" s="134"/>
      <c r="U1284" s="134"/>
      <c r="V1284" s="134"/>
      <c r="W1284" s="134"/>
      <c r="X1284" s="134"/>
      <c r="Y1284" s="134"/>
      <c r="Z1284" s="134"/>
      <c r="AA1284" s="134"/>
      <c r="AB1284" s="134"/>
      <c r="AC1284" s="134"/>
      <c r="AD1284" s="134"/>
      <c r="AE1284" s="134"/>
      <c r="AF1284" s="134"/>
      <c r="AG1284" s="134"/>
      <c r="AH1284" s="134"/>
      <c r="AI1284" s="134"/>
      <c r="AJ1284" s="134"/>
    </row>
    <row r="1285" spans="2:36">
      <c r="B1285" s="134"/>
      <c r="C1285" s="134"/>
      <c r="D1285" s="134"/>
      <c r="E1285" s="134"/>
      <c r="F1285" s="134"/>
      <c r="G1285" s="134"/>
      <c r="H1285" s="134"/>
      <c r="I1285" s="134"/>
      <c r="J1285" s="134"/>
      <c r="K1285" s="134"/>
      <c r="L1285" s="134"/>
      <c r="M1285" s="134"/>
      <c r="N1285" s="134"/>
      <c r="O1285" s="134"/>
      <c r="P1285" s="134"/>
      <c r="Q1285" s="134"/>
      <c r="R1285" s="134"/>
      <c r="S1285" s="134"/>
      <c r="T1285" s="134"/>
      <c r="U1285" s="134"/>
      <c r="V1285" s="134"/>
      <c r="W1285" s="134"/>
      <c r="X1285" s="134"/>
      <c r="Y1285" s="134"/>
      <c r="Z1285" s="134"/>
      <c r="AA1285" s="134"/>
      <c r="AB1285" s="134"/>
      <c r="AC1285" s="134"/>
      <c r="AD1285" s="134"/>
      <c r="AE1285" s="134"/>
      <c r="AF1285" s="134"/>
      <c r="AG1285" s="134"/>
      <c r="AH1285" s="134"/>
      <c r="AI1285" s="134"/>
      <c r="AJ1285" s="134"/>
    </row>
    <row r="1286" spans="2:36">
      <c r="B1286" s="134"/>
      <c r="C1286" s="134"/>
      <c r="D1286" s="134"/>
      <c r="E1286" s="134"/>
      <c r="F1286" s="134"/>
      <c r="G1286" s="134"/>
      <c r="H1286" s="134"/>
      <c r="I1286" s="134"/>
      <c r="J1286" s="134"/>
      <c r="K1286" s="134"/>
      <c r="L1286" s="134"/>
      <c r="M1286" s="134"/>
      <c r="N1286" s="134"/>
      <c r="O1286" s="134"/>
      <c r="P1286" s="134"/>
      <c r="Q1286" s="134"/>
      <c r="R1286" s="134"/>
      <c r="S1286" s="134"/>
      <c r="T1286" s="134"/>
      <c r="U1286" s="134"/>
      <c r="V1286" s="134"/>
      <c r="W1286" s="134"/>
      <c r="X1286" s="134"/>
      <c r="Y1286" s="134"/>
      <c r="Z1286" s="134"/>
      <c r="AA1286" s="134"/>
      <c r="AB1286" s="134"/>
      <c r="AC1286" s="134"/>
      <c r="AD1286" s="134"/>
      <c r="AE1286" s="134"/>
      <c r="AF1286" s="134"/>
      <c r="AG1286" s="134"/>
      <c r="AH1286" s="134"/>
      <c r="AI1286" s="134"/>
      <c r="AJ1286" s="134"/>
    </row>
    <row r="1287" spans="2:36">
      <c r="B1287" s="134"/>
      <c r="C1287" s="134"/>
      <c r="D1287" s="134"/>
      <c r="E1287" s="134"/>
      <c r="F1287" s="134"/>
      <c r="G1287" s="134"/>
      <c r="H1287" s="134"/>
      <c r="I1287" s="134"/>
      <c r="J1287" s="134"/>
      <c r="K1287" s="134"/>
      <c r="L1287" s="134"/>
      <c r="M1287" s="134"/>
      <c r="N1287" s="134"/>
      <c r="O1287" s="134"/>
      <c r="P1287" s="134"/>
      <c r="Q1287" s="134"/>
      <c r="R1287" s="134"/>
      <c r="S1287" s="134"/>
      <c r="T1287" s="134"/>
      <c r="U1287" s="134"/>
      <c r="V1287" s="134"/>
      <c r="W1287" s="134"/>
      <c r="X1287" s="134"/>
      <c r="Y1287" s="134"/>
      <c r="Z1287" s="134"/>
      <c r="AA1287" s="134"/>
      <c r="AB1287" s="134"/>
      <c r="AC1287" s="134"/>
      <c r="AD1287" s="134"/>
      <c r="AE1287" s="134"/>
      <c r="AF1287" s="134"/>
      <c r="AG1287" s="134"/>
      <c r="AH1287" s="134"/>
      <c r="AI1287" s="134"/>
      <c r="AJ1287" s="134"/>
    </row>
    <row r="1288" spans="2:36">
      <c r="B1288" s="134"/>
      <c r="C1288" s="134"/>
      <c r="D1288" s="134"/>
      <c r="E1288" s="134"/>
      <c r="F1288" s="134"/>
      <c r="G1288" s="134"/>
      <c r="H1288" s="134"/>
      <c r="I1288" s="134"/>
      <c r="J1288" s="134"/>
      <c r="K1288" s="134"/>
      <c r="L1288" s="134"/>
      <c r="M1288" s="134"/>
      <c r="N1288" s="134"/>
      <c r="O1288" s="134"/>
      <c r="P1288" s="134"/>
      <c r="Q1288" s="134"/>
      <c r="R1288" s="134"/>
      <c r="S1288" s="134"/>
      <c r="T1288" s="134"/>
      <c r="U1288" s="134"/>
      <c r="V1288" s="134"/>
      <c r="W1288" s="134"/>
      <c r="X1288" s="134"/>
      <c r="Y1288" s="134"/>
      <c r="Z1288" s="134"/>
      <c r="AA1288" s="134"/>
      <c r="AB1288" s="134"/>
      <c r="AC1288" s="134"/>
      <c r="AD1288" s="134"/>
      <c r="AE1288" s="134"/>
      <c r="AF1288" s="134"/>
      <c r="AG1288" s="134"/>
      <c r="AH1288" s="134"/>
      <c r="AI1288" s="134"/>
      <c r="AJ1288" s="134"/>
    </row>
    <row r="1289" spans="2:36">
      <c r="B1289" s="134"/>
      <c r="C1289" s="134"/>
      <c r="D1289" s="134"/>
      <c r="E1289" s="134"/>
      <c r="F1289" s="134"/>
      <c r="G1289" s="134"/>
      <c r="H1289" s="134"/>
      <c r="I1289" s="134"/>
      <c r="J1289" s="134"/>
      <c r="K1289" s="134"/>
      <c r="L1289" s="134"/>
      <c r="M1289" s="134"/>
      <c r="N1289" s="134"/>
      <c r="O1289" s="134"/>
      <c r="P1289" s="134"/>
      <c r="Q1289" s="134"/>
      <c r="R1289" s="134"/>
      <c r="S1289" s="134"/>
      <c r="T1289" s="134"/>
      <c r="U1289" s="134"/>
      <c r="V1289" s="134"/>
      <c r="W1289" s="134"/>
      <c r="X1289" s="134"/>
      <c r="Y1289" s="134"/>
      <c r="Z1289" s="134"/>
      <c r="AA1289" s="134"/>
      <c r="AB1289" s="134"/>
      <c r="AC1289" s="134"/>
      <c r="AD1289" s="134"/>
      <c r="AE1289" s="134"/>
      <c r="AF1289" s="134"/>
      <c r="AG1289" s="134"/>
      <c r="AH1289" s="134"/>
      <c r="AI1289" s="134"/>
      <c r="AJ1289" s="134"/>
    </row>
    <row r="1290" spans="2:36">
      <c r="B1290" s="134"/>
      <c r="C1290" s="134"/>
      <c r="D1290" s="134"/>
      <c r="E1290" s="134"/>
      <c r="F1290" s="134"/>
      <c r="G1290" s="134"/>
      <c r="H1290" s="134"/>
      <c r="I1290" s="134"/>
      <c r="J1290" s="134"/>
      <c r="K1290" s="134"/>
      <c r="L1290" s="134"/>
      <c r="M1290" s="134"/>
      <c r="N1290" s="134"/>
      <c r="O1290" s="134"/>
      <c r="P1290" s="134"/>
      <c r="Q1290" s="134"/>
      <c r="R1290" s="134"/>
      <c r="S1290" s="134"/>
      <c r="T1290" s="134"/>
      <c r="U1290" s="134"/>
      <c r="V1290" s="134"/>
      <c r="W1290" s="134"/>
      <c r="X1290" s="134"/>
      <c r="Y1290" s="134"/>
      <c r="Z1290" s="134"/>
      <c r="AA1290" s="134"/>
      <c r="AB1290" s="134"/>
      <c r="AC1290" s="134"/>
      <c r="AD1290" s="134"/>
      <c r="AE1290" s="134"/>
      <c r="AF1290" s="134"/>
      <c r="AG1290" s="134"/>
      <c r="AH1290" s="134"/>
      <c r="AI1290" s="134"/>
      <c r="AJ1290" s="134"/>
    </row>
    <row r="1291" spans="2:36">
      <c r="B1291" s="134"/>
      <c r="C1291" s="134"/>
      <c r="D1291" s="134"/>
      <c r="E1291" s="134"/>
      <c r="F1291" s="134"/>
      <c r="G1291" s="134"/>
      <c r="H1291" s="134"/>
      <c r="I1291" s="134"/>
      <c r="J1291" s="134"/>
      <c r="K1291" s="134"/>
      <c r="L1291" s="134"/>
      <c r="M1291" s="134"/>
      <c r="N1291" s="134"/>
      <c r="O1291" s="134"/>
      <c r="P1291" s="134"/>
      <c r="Q1291" s="134"/>
      <c r="R1291" s="134"/>
      <c r="S1291" s="134"/>
      <c r="T1291" s="134"/>
      <c r="U1291" s="134"/>
      <c r="V1291" s="134"/>
      <c r="W1291" s="134"/>
      <c r="X1291" s="134"/>
      <c r="Y1291" s="134"/>
      <c r="Z1291" s="134"/>
      <c r="AA1291" s="134"/>
      <c r="AB1291" s="134"/>
      <c r="AC1291" s="134"/>
      <c r="AD1291" s="134"/>
      <c r="AE1291" s="134"/>
      <c r="AF1291" s="134"/>
      <c r="AG1291" s="134"/>
      <c r="AH1291" s="134"/>
      <c r="AI1291" s="134"/>
      <c r="AJ1291" s="134"/>
    </row>
    <row r="1292" spans="2:36">
      <c r="B1292" s="134"/>
      <c r="C1292" s="134"/>
      <c r="D1292" s="134"/>
      <c r="E1292" s="134"/>
      <c r="F1292" s="134"/>
      <c r="G1292" s="134"/>
      <c r="H1292" s="134"/>
      <c r="I1292" s="134"/>
      <c r="J1292" s="134"/>
      <c r="K1292" s="134"/>
      <c r="L1292" s="134"/>
      <c r="M1292" s="134"/>
      <c r="N1292" s="134"/>
      <c r="O1292" s="134"/>
      <c r="P1292" s="134"/>
      <c r="Q1292" s="134"/>
      <c r="R1292" s="134"/>
      <c r="S1292" s="134"/>
      <c r="T1292" s="134"/>
      <c r="U1292" s="134"/>
      <c r="V1292" s="134"/>
      <c r="W1292" s="134"/>
      <c r="X1292" s="134"/>
      <c r="Y1292" s="134"/>
      <c r="Z1292" s="134"/>
      <c r="AA1292" s="134"/>
      <c r="AB1292" s="134"/>
      <c r="AC1292" s="134"/>
      <c r="AD1292" s="134"/>
      <c r="AE1292" s="134"/>
      <c r="AF1292" s="134"/>
      <c r="AG1292" s="134"/>
      <c r="AH1292" s="134"/>
      <c r="AI1292" s="134"/>
      <c r="AJ1292" s="134"/>
    </row>
    <row r="1293" spans="2:36">
      <c r="B1293" s="134"/>
      <c r="C1293" s="134"/>
      <c r="D1293" s="134"/>
      <c r="E1293" s="134"/>
      <c r="F1293" s="134"/>
      <c r="G1293" s="134"/>
      <c r="H1293" s="134"/>
      <c r="I1293" s="134"/>
      <c r="J1293" s="134"/>
      <c r="K1293" s="134"/>
      <c r="L1293" s="134"/>
      <c r="M1293" s="134"/>
      <c r="N1293" s="134"/>
      <c r="O1293" s="134"/>
      <c r="P1293" s="134"/>
      <c r="Q1293" s="134"/>
      <c r="R1293" s="134"/>
      <c r="S1293" s="134"/>
      <c r="T1293" s="134"/>
      <c r="U1293" s="134"/>
      <c r="V1293" s="134"/>
      <c r="W1293" s="134"/>
      <c r="X1293" s="134"/>
      <c r="Y1293" s="134"/>
      <c r="Z1293" s="134"/>
      <c r="AA1293" s="134"/>
      <c r="AB1293" s="134"/>
      <c r="AC1293" s="134"/>
      <c r="AD1293" s="134"/>
      <c r="AE1293" s="134"/>
      <c r="AF1293" s="134"/>
      <c r="AG1293" s="134"/>
      <c r="AH1293" s="134"/>
      <c r="AI1293" s="134"/>
      <c r="AJ1293" s="134"/>
    </row>
    <row r="1294" spans="2:36">
      <c r="B1294" s="134"/>
      <c r="C1294" s="134"/>
      <c r="D1294" s="134"/>
      <c r="E1294" s="134"/>
      <c r="F1294" s="134"/>
      <c r="G1294" s="134"/>
      <c r="H1294" s="134"/>
      <c r="I1294" s="134"/>
      <c r="J1294" s="134"/>
      <c r="K1294" s="134"/>
      <c r="L1294" s="134"/>
      <c r="M1294" s="134"/>
      <c r="N1294" s="134"/>
      <c r="O1294" s="134"/>
      <c r="P1294" s="134"/>
      <c r="Q1294" s="134"/>
      <c r="R1294" s="134"/>
      <c r="S1294" s="134"/>
      <c r="T1294" s="134"/>
      <c r="U1294" s="134"/>
      <c r="V1294" s="134"/>
      <c r="W1294" s="134"/>
      <c r="X1294" s="134"/>
      <c r="Y1294" s="134"/>
      <c r="Z1294" s="134"/>
      <c r="AA1294" s="134"/>
      <c r="AB1294" s="134"/>
      <c r="AC1294" s="134"/>
      <c r="AD1294" s="134"/>
      <c r="AE1294" s="134"/>
      <c r="AF1294" s="134"/>
      <c r="AG1294" s="134"/>
      <c r="AH1294" s="134"/>
      <c r="AI1294" s="134"/>
      <c r="AJ1294" s="134"/>
    </row>
    <row r="1295" spans="2:36">
      <c r="B1295" s="134"/>
      <c r="C1295" s="134"/>
      <c r="D1295" s="134"/>
      <c r="E1295" s="134"/>
      <c r="F1295" s="134"/>
      <c r="G1295" s="134"/>
      <c r="H1295" s="134"/>
      <c r="I1295" s="134"/>
      <c r="J1295" s="134"/>
      <c r="K1295" s="134"/>
      <c r="L1295" s="134"/>
      <c r="M1295" s="134"/>
      <c r="N1295" s="134"/>
      <c r="O1295" s="134"/>
      <c r="P1295" s="134"/>
      <c r="Q1295" s="134"/>
      <c r="R1295" s="134"/>
      <c r="S1295" s="134"/>
      <c r="T1295" s="134"/>
      <c r="U1295" s="134"/>
      <c r="V1295" s="134"/>
      <c r="W1295" s="134"/>
      <c r="X1295" s="134"/>
      <c r="Y1295" s="134"/>
      <c r="Z1295" s="134"/>
      <c r="AA1295" s="134"/>
      <c r="AB1295" s="134"/>
      <c r="AC1295" s="134"/>
      <c r="AD1295" s="134"/>
      <c r="AE1295" s="134"/>
      <c r="AF1295" s="134"/>
      <c r="AG1295" s="134"/>
      <c r="AH1295" s="134"/>
      <c r="AI1295" s="134"/>
      <c r="AJ1295" s="134"/>
    </row>
    <row r="1296" spans="2:36">
      <c r="B1296" s="134"/>
      <c r="C1296" s="134"/>
      <c r="D1296" s="134"/>
      <c r="E1296" s="134"/>
      <c r="F1296" s="134"/>
      <c r="G1296" s="134"/>
      <c r="H1296" s="134"/>
      <c r="I1296" s="134"/>
      <c r="J1296" s="134"/>
      <c r="K1296" s="134"/>
      <c r="L1296" s="134"/>
      <c r="M1296" s="134"/>
      <c r="N1296" s="134"/>
      <c r="O1296" s="134"/>
      <c r="P1296" s="134"/>
      <c r="Q1296" s="134"/>
      <c r="R1296" s="134"/>
      <c r="S1296" s="134"/>
      <c r="T1296" s="134"/>
      <c r="U1296" s="134"/>
      <c r="V1296" s="134"/>
      <c r="W1296" s="134"/>
      <c r="X1296" s="134"/>
      <c r="Y1296" s="134"/>
      <c r="Z1296" s="134"/>
      <c r="AA1296" s="134"/>
      <c r="AB1296" s="134"/>
      <c r="AC1296" s="134"/>
      <c r="AD1296" s="134"/>
      <c r="AE1296" s="134"/>
      <c r="AF1296" s="134"/>
      <c r="AG1296" s="134"/>
      <c r="AH1296" s="134"/>
      <c r="AI1296" s="134"/>
      <c r="AJ1296" s="134"/>
    </row>
    <row r="1297" spans="2:36">
      <c r="B1297" s="134"/>
      <c r="C1297" s="134"/>
      <c r="D1297" s="134"/>
      <c r="E1297" s="134"/>
      <c r="F1297" s="134"/>
      <c r="G1297" s="134"/>
      <c r="H1297" s="134"/>
      <c r="I1297" s="134"/>
      <c r="J1297" s="134"/>
      <c r="K1297" s="134"/>
      <c r="L1297" s="134"/>
      <c r="M1297" s="134"/>
      <c r="N1297" s="134"/>
      <c r="O1297" s="134"/>
      <c r="P1297" s="134"/>
      <c r="Q1297" s="134"/>
      <c r="R1297" s="134"/>
      <c r="S1297" s="134"/>
      <c r="T1297" s="134"/>
      <c r="U1297" s="134"/>
      <c r="V1297" s="134"/>
      <c r="W1297" s="134"/>
      <c r="X1297" s="134"/>
      <c r="Y1297" s="134"/>
      <c r="Z1297" s="134"/>
      <c r="AA1297" s="134"/>
      <c r="AB1297" s="134"/>
      <c r="AC1297" s="134"/>
      <c r="AD1297" s="134"/>
      <c r="AE1297" s="134"/>
      <c r="AF1297" s="134"/>
      <c r="AG1297" s="134"/>
      <c r="AH1297" s="134"/>
      <c r="AI1297" s="134"/>
      <c r="AJ1297" s="134"/>
    </row>
    <row r="1298" spans="2:36">
      <c r="B1298" s="134"/>
      <c r="C1298" s="134"/>
      <c r="D1298" s="134"/>
      <c r="E1298" s="134"/>
      <c r="F1298" s="134"/>
      <c r="G1298" s="134"/>
      <c r="H1298" s="134"/>
      <c r="I1298" s="134"/>
      <c r="J1298" s="134"/>
      <c r="K1298" s="134"/>
      <c r="L1298" s="134"/>
      <c r="M1298" s="134"/>
      <c r="N1298" s="134"/>
      <c r="O1298" s="134"/>
      <c r="P1298" s="134"/>
      <c r="Q1298" s="134"/>
      <c r="R1298" s="134"/>
      <c r="S1298" s="134"/>
      <c r="T1298" s="134"/>
      <c r="U1298" s="134"/>
      <c r="V1298" s="134"/>
      <c r="W1298" s="134"/>
      <c r="X1298" s="134"/>
      <c r="Y1298" s="134"/>
      <c r="Z1298" s="134"/>
      <c r="AA1298" s="134"/>
      <c r="AB1298" s="134"/>
      <c r="AC1298" s="134"/>
      <c r="AD1298" s="134"/>
      <c r="AE1298" s="134"/>
      <c r="AF1298" s="134"/>
      <c r="AG1298" s="134"/>
      <c r="AH1298" s="134"/>
      <c r="AI1298" s="134"/>
      <c r="AJ1298" s="134"/>
    </row>
    <row r="1299" spans="2:36">
      <c r="B1299" s="134"/>
      <c r="C1299" s="134"/>
      <c r="D1299" s="134"/>
      <c r="E1299" s="134"/>
      <c r="F1299" s="134"/>
      <c r="G1299" s="134"/>
      <c r="H1299" s="134"/>
      <c r="I1299" s="134"/>
      <c r="J1299" s="134"/>
      <c r="K1299" s="134"/>
      <c r="L1299" s="134"/>
      <c r="M1299" s="134"/>
      <c r="N1299" s="134"/>
      <c r="O1299" s="134"/>
      <c r="P1299" s="134"/>
      <c r="Q1299" s="134"/>
      <c r="R1299" s="134"/>
      <c r="S1299" s="134"/>
      <c r="T1299" s="134"/>
      <c r="U1299" s="134"/>
      <c r="V1299" s="134"/>
      <c r="W1299" s="134"/>
      <c r="X1299" s="134"/>
      <c r="Y1299" s="134"/>
      <c r="Z1299" s="134"/>
      <c r="AA1299" s="134"/>
      <c r="AB1299" s="134"/>
      <c r="AC1299" s="134"/>
      <c r="AD1299" s="134"/>
      <c r="AE1299" s="134"/>
      <c r="AF1299" s="134"/>
      <c r="AG1299" s="134"/>
      <c r="AH1299" s="134"/>
      <c r="AI1299" s="134"/>
      <c r="AJ1299" s="134"/>
    </row>
    <row r="1300" spans="2:36">
      <c r="B1300" s="134"/>
      <c r="C1300" s="134"/>
      <c r="D1300" s="134"/>
      <c r="E1300" s="134"/>
      <c r="F1300" s="134"/>
      <c r="G1300" s="134"/>
      <c r="H1300" s="134"/>
      <c r="I1300" s="134"/>
      <c r="J1300" s="134"/>
      <c r="K1300" s="134"/>
      <c r="L1300" s="134"/>
      <c r="M1300" s="134"/>
      <c r="N1300" s="134"/>
      <c r="O1300" s="134"/>
      <c r="P1300" s="134"/>
      <c r="Q1300" s="134"/>
      <c r="R1300" s="134"/>
      <c r="S1300" s="134"/>
      <c r="T1300" s="134"/>
      <c r="U1300" s="134"/>
      <c r="V1300" s="134"/>
      <c r="W1300" s="134"/>
      <c r="X1300" s="134"/>
      <c r="Y1300" s="134"/>
      <c r="Z1300" s="134"/>
      <c r="AA1300" s="134"/>
      <c r="AB1300" s="134"/>
      <c r="AC1300" s="134"/>
      <c r="AD1300" s="134"/>
      <c r="AE1300" s="134"/>
      <c r="AF1300" s="134"/>
      <c r="AG1300" s="134"/>
      <c r="AH1300" s="134"/>
      <c r="AI1300" s="134"/>
      <c r="AJ1300" s="134"/>
    </row>
    <row r="1301" spans="2:36">
      <c r="B1301" s="134"/>
      <c r="C1301" s="134"/>
      <c r="D1301" s="134"/>
      <c r="E1301" s="134"/>
      <c r="F1301" s="134"/>
      <c r="G1301" s="134"/>
      <c r="H1301" s="134"/>
      <c r="I1301" s="134"/>
      <c r="J1301" s="134"/>
      <c r="K1301" s="134"/>
      <c r="L1301" s="134"/>
      <c r="M1301" s="134"/>
      <c r="N1301" s="134"/>
      <c r="O1301" s="134"/>
      <c r="P1301" s="134"/>
      <c r="Q1301" s="134"/>
      <c r="R1301" s="134"/>
      <c r="S1301" s="134"/>
      <c r="T1301" s="134"/>
      <c r="U1301" s="134"/>
      <c r="V1301" s="134"/>
      <c r="W1301" s="134"/>
      <c r="X1301" s="134"/>
      <c r="Y1301" s="134"/>
      <c r="Z1301" s="134"/>
      <c r="AA1301" s="134"/>
      <c r="AB1301" s="134"/>
      <c r="AC1301" s="134"/>
      <c r="AD1301" s="134"/>
      <c r="AE1301" s="134"/>
      <c r="AF1301" s="134"/>
      <c r="AG1301" s="134"/>
      <c r="AH1301" s="134"/>
      <c r="AI1301" s="134"/>
      <c r="AJ1301" s="134"/>
    </row>
    <row r="1302" spans="2:36">
      <c r="B1302" s="134"/>
      <c r="C1302" s="134"/>
      <c r="D1302" s="134"/>
      <c r="E1302" s="134"/>
      <c r="F1302" s="134"/>
      <c r="G1302" s="134"/>
      <c r="H1302" s="134"/>
      <c r="I1302" s="134"/>
      <c r="J1302" s="134"/>
      <c r="K1302" s="134"/>
      <c r="L1302" s="134"/>
      <c r="M1302" s="134"/>
      <c r="N1302" s="134"/>
      <c r="O1302" s="134"/>
      <c r="P1302" s="134"/>
      <c r="Q1302" s="134"/>
      <c r="R1302" s="134"/>
      <c r="S1302" s="134"/>
      <c r="T1302" s="134"/>
      <c r="U1302" s="134"/>
      <c r="V1302" s="134"/>
      <c r="W1302" s="134"/>
      <c r="X1302" s="134"/>
      <c r="Y1302" s="134"/>
      <c r="Z1302" s="134"/>
      <c r="AA1302" s="134"/>
      <c r="AB1302" s="134"/>
      <c r="AC1302" s="134"/>
      <c r="AD1302" s="134"/>
      <c r="AE1302" s="134"/>
      <c r="AF1302" s="134"/>
      <c r="AG1302" s="134"/>
      <c r="AH1302" s="134"/>
      <c r="AI1302" s="134"/>
      <c r="AJ1302" s="134"/>
    </row>
    <row r="1303" spans="2:36">
      <c r="B1303" s="134"/>
      <c r="C1303" s="134"/>
      <c r="D1303" s="134"/>
      <c r="E1303" s="134"/>
      <c r="F1303" s="134"/>
      <c r="G1303" s="134"/>
      <c r="H1303" s="134"/>
      <c r="I1303" s="134"/>
      <c r="J1303" s="134"/>
      <c r="K1303" s="134"/>
      <c r="L1303" s="134"/>
      <c r="M1303" s="134"/>
      <c r="N1303" s="134"/>
      <c r="O1303" s="134"/>
      <c r="P1303" s="134"/>
      <c r="Q1303" s="134"/>
      <c r="R1303" s="134"/>
      <c r="S1303" s="134"/>
      <c r="T1303" s="134"/>
      <c r="U1303" s="134"/>
      <c r="V1303" s="134"/>
      <c r="W1303" s="134"/>
      <c r="X1303" s="134"/>
      <c r="Y1303" s="134"/>
      <c r="Z1303" s="134"/>
      <c r="AA1303" s="134"/>
      <c r="AB1303" s="134"/>
      <c r="AC1303" s="134"/>
      <c r="AD1303" s="134"/>
      <c r="AE1303" s="134"/>
      <c r="AF1303" s="134"/>
      <c r="AG1303" s="134"/>
      <c r="AH1303" s="134"/>
      <c r="AI1303" s="134"/>
      <c r="AJ1303" s="134"/>
    </row>
    <row r="1304" spans="2:36">
      <c r="B1304" s="134"/>
      <c r="C1304" s="134"/>
      <c r="D1304" s="134"/>
      <c r="E1304" s="134"/>
      <c r="F1304" s="134"/>
      <c r="G1304" s="134"/>
      <c r="H1304" s="134"/>
      <c r="I1304" s="134"/>
      <c r="J1304" s="134"/>
      <c r="K1304" s="134"/>
      <c r="L1304" s="134"/>
      <c r="M1304" s="134"/>
      <c r="N1304" s="134"/>
      <c r="O1304" s="134"/>
      <c r="P1304" s="134"/>
      <c r="Q1304" s="134"/>
      <c r="R1304" s="134"/>
      <c r="S1304" s="134"/>
      <c r="T1304" s="134"/>
      <c r="U1304" s="134"/>
      <c r="V1304" s="134"/>
      <c r="W1304" s="134"/>
      <c r="X1304" s="134"/>
      <c r="Y1304" s="134"/>
      <c r="Z1304" s="134"/>
      <c r="AA1304" s="134"/>
      <c r="AB1304" s="134"/>
      <c r="AC1304" s="134"/>
      <c r="AD1304" s="134"/>
      <c r="AE1304" s="134"/>
      <c r="AF1304" s="134"/>
      <c r="AG1304" s="134"/>
      <c r="AH1304" s="134"/>
      <c r="AI1304" s="134"/>
      <c r="AJ1304" s="134"/>
    </row>
    <row r="1305" spans="2:36">
      <c r="B1305" s="134"/>
      <c r="C1305" s="134"/>
      <c r="D1305" s="134"/>
      <c r="E1305" s="134"/>
      <c r="F1305" s="134"/>
      <c r="G1305" s="134"/>
      <c r="H1305" s="134"/>
      <c r="I1305" s="134"/>
      <c r="J1305" s="134"/>
      <c r="K1305" s="134"/>
      <c r="L1305" s="134"/>
      <c r="M1305" s="134"/>
      <c r="N1305" s="134"/>
      <c r="O1305" s="134"/>
      <c r="P1305" s="134"/>
      <c r="Q1305" s="134"/>
      <c r="R1305" s="134"/>
      <c r="S1305" s="134"/>
      <c r="T1305" s="134"/>
      <c r="U1305" s="134"/>
      <c r="V1305" s="134"/>
      <c r="W1305" s="134"/>
      <c r="X1305" s="134"/>
      <c r="Y1305" s="134"/>
      <c r="Z1305" s="134"/>
      <c r="AA1305" s="134"/>
      <c r="AB1305" s="134"/>
      <c r="AC1305" s="134"/>
      <c r="AD1305" s="134"/>
      <c r="AE1305" s="134"/>
      <c r="AF1305" s="134"/>
      <c r="AG1305" s="134"/>
      <c r="AH1305" s="134"/>
      <c r="AI1305" s="134"/>
      <c r="AJ1305" s="134"/>
    </row>
    <row r="1306" spans="2:36">
      <c r="B1306" s="134"/>
      <c r="C1306" s="134"/>
      <c r="D1306" s="134"/>
      <c r="E1306" s="134"/>
      <c r="F1306" s="134"/>
      <c r="G1306" s="134"/>
      <c r="H1306" s="134"/>
      <c r="I1306" s="134"/>
      <c r="J1306" s="134"/>
      <c r="K1306" s="134"/>
      <c r="L1306" s="134"/>
      <c r="M1306" s="134"/>
      <c r="N1306" s="134"/>
      <c r="O1306" s="134"/>
      <c r="P1306" s="134"/>
      <c r="Q1306" s="134"/>
      <c r="R1306" s="134"/>
      <c r="S1306" s="134"/>
      <c r="T1306" s="134"/>
      <c r="U1306" s="134"/>
      <c r="V1306" s="134"/>
      <c r="W1306" s="134"/>
      <c r="X1306" s="134"/>
      <c r="Y1306" s="134"/>
      <c r="Z1306" s="134"/>
      <c r="AA1306" s="134"/>
      <c r="AB1306" s="134"/>
      <c r="AC1306" s="134"/>
      <c r="AD1306" s="134"/>
      <c r="AE1306" s="134"/>
      <c r="AF1306" s="134"/>
      <c r="AG1306" s="134"/>
      <c r="AH1306" s="134"/>
      <c r="AI1306" s="134"/>
      <c r="AJ1306" s="134"/>
    </row>
    <row r="1307" spans="2:36">
      <c r="B1307" s="134"/>
      <c r="C1307" s="134"/>
      <c r="D1307" s="134"/>
      <c r="E1307" s="134"/>
      <c r="F1307" s="134"/>
      <c r="G1307" s="134"/>
      <c r="H1307" s="134"/>
      <c r="I1307" s="134"/>
      <c r="J1307" s="134"/>
      <c r="K1307" s="134"/>
      <c r="L1307" s="134"/>
      <c r="M1307" s="134"/>
      <c r="N1307" s="134"/>
      <c r="O1307" s="134"/>
      <c r="P1307" s="134"/>
      <c r="Q1307" s="134"/>
      <c r="R1307" s="134"/>
      <c r="S1307" s="134"/>
      <c r="T1307" s="134"/>
      <c r="U1307" s="134"/>
      <c r="V1307" s="134"/>
      <c r="W1307" s="134"/>
      <c r="X1307" s="134"/>
      <c r="Y1307" s="134"/>
      <c r="Z1307" s="134"/>
      <c r="AA1307" s="134"/>
      <c r="AB1307" s="134"/>
      <c r="AC1307" s="134"/>
      <c r="AD1307" s="134"/>
      <c r="AE1307" s="134"/>
      <c r="AF1307" s="134"/>
      <c r="AG1307" s="134"/>
      <c r="AH1307" s="134"/>
      <c r="AI1307" s="134"/>
      <c r="AJ1307" s="134"/>
    </row>
    <row r="1308" spans="2:36">
      <c r="B1308" s="134"/>
      <c r="C1308" s="134"/>
      <c r="D1308" s="134"/>
      <c r="E1308" s="134"/>
      <c r="F1308" s="134"/>
      <c r="G1308" s="134"/>
      <c r="H1308" s="134"/>
      <c r="I1308" s="134"/>
      <c r="J1308" s="134"/>
      <c r="K1308" s="134"/>
      <c r="L1308" s="134"/>
      <c r="M1308" s="134"/>
      <c r="N1308" s="134"/>
      <c r="O1308" s="134"/>
      <c r="P1308" s="134"/>
      <c r="Q1308" s="134"/>
      <c r="R1308" s="134"/>
      <c r="S1308" s="134"/>
      <c r="T1308" s="134"/>
      <c r="U1308" s="134"/>
      <c r="V1308" s="134"/>
      <c r="W1308" s="134"/>
      <c r="X1308" s="134"/>
      <c r="Y1308" s="134"/>
      <c r="Z1308" s="134"/>
      <c r="AA1308" s="134"/>
      <c r="AB1308" s="134"/>
      <c r="AC1308" s="134"/>
      <c r="AD1308" s="134"/>
      <c r="AE1308" s="134"/>
      <c r="AF1308" s="134"/>
      <c r="AG1308" s="134"/>
      <c r="AH1308" s="134"/>
      <c r="AI1308" s="134"/>
      <c r="AJ1308" s="134"/>
    </row>
    <row r="1309" spans="2:36">
      <c r="B1309" s="134"/>
      <c r="C1309" s="134"/>
      <c r="D1309" s="134"/>
      <c r="E1309" s="134"/>
      <c r="F1309" s="134"/>
      <c r="G1309" s="134"/>
      <c r="H1309" s="134"/>
      <c r="I1309" s="134"/>
      <c r="J1309" s="134"/>
      <c r="K1309" s="134"/>
      <c r="L1309" s="134"/>
      <c r="M1309" s="134"/>
      <c r="N1309" s="134"/>
      <c r="O1309" s="134"/>
      <c r="P1309" s="134"/>
      <c r="Q1309" s="134"/>
      <c r="R1309" s="134"/>
      <c r="S1309" s="134"/>
      <c r="T1309" s="134"/>
      <c r="U1309" s="134"/>
      <c r="V1309" s="134"/>
      <c r="W1309" s="134"/>
      <c r="X1309" s="134"/>
      <c r="Y1309" s="134"/>
      <c r="Z1309" s="134"/>
      <c r="AA1309" s="134"/>
      <c r="AB1309" s="134"/>
      <c r="AC1309" s="134"/>
      <c r="AD1309" s="134"/>
      <c r="AE1309" s="134"/>
      <c r="AF1309" s="134"/>
      <c r="AG1309" s="134"/>
      <c r="AH1309" s="134"/>
      <c r="AI1309" s="134"/>
      <c r="AJ1309" s="134"/>
    </row>
    <row r="1310" spans="2:36">
      <c r="B1310" s="134"/>
      <c r="C1310" s="134"/>
      <c r="D1310" s="134"/>
      <c r="E1310" s="134"/>
      <c r="F1310" s="134"/>
      <c r="G1310" s="134"/>
      <c r="H1310" s="134"/>
      <c r="I1310" s="134"/>
      <c r="J1310" s="134"/>
      <c r="K1310" s="134"/>
      <c r="L1310" s="134"/>
      <c r="M1310" s="134"/>
      <c r="N1310" s="134"/>
      <c r="O1310" s="134"/>
      <c r="P1310" s="134"/>
      <c r="Q1310" s="134"/>
      <c r="R1310" s="134"/>
      <c r="S1310" s="134"/>
      <c r="T1310" s="134"/>
      <c r="U1310" s="134"/>
      <c r="V1310" s="134"/>
      <c r="W1310" s="134"/>
      <c r="X1310" s="134"/>
      <c r="Y1310" s="134"/>
      <c r="Z1310" s="134"/>
      <c r="AA1310" s="134"/>
      <c r="AB1310" s="134"/>
      <c r="AC1310" s="134"/>
      <c r="AD1310" s="134"/>
      <c r="AE1310" s="134"/>
      <c r="AF1310" s="134"/>
      <c r="AG1310" s="134"/>
      <c r="AH1310" s="134"/>
      <c r="AI1310" s="134"/>
      <c r="AJ1310" s="134"/>
    </row>
    <row r="1311" spans="2:36">
      <c r="B1311" s="134"/>
      <c r="C1311" s="134"/>
      <c r="D1311" s="134"/>
      <c r="E1311" s="134"/>
      <c r="F1311" s="134"/>
      <c r="G1311" s="134"/>
      <c r="H1311" s="134"/>
      <c r="I1311" s="134"/>
      <c r="J1311" s="134"/>
      <c r="K1311" s="134"/>
      <c r="L1311" s="134"/>
      <c r="M1311" s="134"/>
      <c r="N1311" s="134"/>
      <c r="O1311" s="134"/>
      <c r="P1311" s="134"/>
      <c r="Q1311" s="134"/>
      <c r="R1311" s="134"/>
      <c r="S1311" s="134"/>
      <c r="T1311" s="134"/>
      <c r="U1311" s="134"/>
      <c r="V1311" s="134"/>
      <c r="W1311" s="134"/>
      <c r="X1311" s="134"/>
      <c r="Y1311" s="134"/>
      <c r="Z1311" s="134"/>
      <c r="AA1311" s="134"/>
      <c r="AB1311" s="134"/>
      <c r="AC1311" s="134"/>
      <c r="AD1311" s="134"/>
      <c r="AE1311" s="134"/>
      <c r="AF1311" s="134"/>
      <c r="AG1311" s="134"/>
      <c r="AH1311" s="134"/>
      <c r="AI1311" s="134"/>
      <c r="AJ1311" s="134"/>
    </row>
    <row r="1312" spans="2:36">
      <c r="B1312" s="134"/>
      <c r="C1312" s="134"/>
      <c r="D1312" s="134"/>
      <c r="E1312" s="134"/>
      <c r="F1312" s="134"/>
      <c r="G1312" s="134"/>
      <c r="H1312" s="134"/>
      <c r="I1312" s="134"/>
      <c r="J1312" s="134"/>
      <c r="K1312" s="134"/>
      <c r="L1312" s="134"/>
      <c r="M1312" s="134"/>
      <c r="N1312" s="134"/>
      <c r="O1312" s="134"/>
      <c r="P1312" s="134"/>
      <c r="Q1312" s="134"/>
      <c r="R1312" s="134"/>
      <c r="S1312" s="134"/>
      <c r="T1312" s="134"/>
      <c r="U1312" s="134"/>
      <c r="V1312" s="134"/>
      <c r="W1312" s="134"/>
      <c r="X1312" s="134"/>
      <c r="Y1312" s="134"/>
      <c r="Z1312" s="134"/>
      <c r="AA1312" s="134"/>
      <c r="AB1312" s="134"/>
      <c r="AC1312" s="134"/>
      <c r="AD1312" s="134"/>
      <c r="AE1312" s="134"/>
      <c r="AF1312" s="134"/>
      <c r="AG1312" s="134"/>
      <c r="AH1312" s="134"/>
      <c r="AI1312" s="134"/>
      <c r="AJ1312" s="134"/>
    </row>
    <row r="1313" spans="2:36">
      <c r="B1313" s="134"/>
      <c r="C1313" s="134"/>
      <c r="D1313" s="134"/>
      <c r="E1313" s="134"/>
      <c r="F1313" s="134"/>
      <c r="G1313" s="134"/>
      <c r="H1313" s="134"/>
      <c r="I1313" s="134"/>
      <c r="J1313" s="134"/>
      <c r="K1313" s="134"/>
      <c r="L1313" s="134"/>
      <c r="M1313" s="134"/>
      <c r="N1313" s="134"/>
      <c r="O1313" s="134"/>
      <c r="P1313" s="134"/>
      <c r="Q1313" s="134"/>
      <c r="R1313" s="134"/>
      <c r="S1313" s="134"/>
      <c r="T1313" s="134"/>
      <c r="U1313" s="134"/>
      <c r="V1313" s="134"/>
      <c r="W1313" s="134"/>
      <c r="X1313" s="134"/>
      <c r="Y1313" s="134"/>
      <c r="Z1313" s="134"/>
      <c r="AA1313" s="134"/>
      <c r="AB1313" s="134"/>
      <c r="AC1313" s="134"/>
      <c r="AD1313" s="134"/>
      <c r="AE1313" s="134"/>
      <c r="AF1313" s="134"/>
      <c r="AG1313" s="134"/>
      <c r="AH1313" s="134"/>
      <c r="AI1313" s="134"/>
      <c r="AJ1313" s="134"/>
    </row>
    <row r="1314" spans="2:36">
      <c r="B1314" s="134"/>
      <c r="C1314" s="134"/>
      <c r="D1314" s="134"/>
      <c r="E1314" s="134"/>
      <c r="F1314" s="134"/>
      <c r="G1314" s="134"/>
      <c r="H1314" s="134"/>
      <c r="I1314" s="134"/>
      <c r="J1314" s="134"/>
      <c r="K1314" s="134"/>
      <c r="L1314" s="134"/>
      <c r="M1314" s="134"/>
      <c r="N1314" s="134"/>
      <c r="O1314" s="134"/>
      <c r="P1314" s="134"/>
      <c r="Q1314" s="134"/>
      <c r="R1314" s="134"/>
      <c r="S1314" s="134"/>
      <c r="T1314" s="134"/>
      <c r="U1314" s="134"/>
      <c r="V1314" s="134"/>
      <c r="W1314" s="134"/>
      <c r="X1314" s="134"/>
      <c r="Y1314" s="134"/>
      <c r="Z1314" s="134"/>
      <c r="AA1314" s="134"/>
      <c r="AB1314" s="134"/>
      <c r="AC1314" s="134"/>
      <c r="AD1314" s="134"/>
      <c r="AE1314" s="134"/>
      <c r="AF1314" s="134"/>
      <c r="AG1314" s="134"/>
      <c r="AH1314" s="134"/>
      <c r="AI1314" s="134"/>
      <c r="AJ1314" s="134"/>
    </row>
    <row r="1315" spans="2:36">
      <c r="B1315" s="134"/>
      <c r="C1315" s="134"/>
      <c r="D1315" s="134"/>
      <c r="E1315" s="134"/>
      <c r="F1315" s="134"/>
      <c r="G1315" s="134"/>
      <c r="H1315" s="134"/>
      <c r="I1315" s="134"/>
      <c r="J1315" s="134"/>
      <c r="K1315" s="134"/>
      <c r="L1315" s="134"/>
      <c r="M1315" s="134"/>
      <c r="N1315" s="134"/>
      <c r="O1315" s="134"/>
      <c r="P1315" s="134"/>
      <c r="Q1315" s="134"/>
      <c r="R1315" s="134"/>
      <c r="S1315" s="134"/>
      <c r="T1315" s="134"/>
      <c r="U1315" s="134"/>
      <c r="V1315" s="134"/>
      <c r="W1315" s="134"/>
      <c r="X1315" s="134"/>
      <c r="Y1315" s="134"/>
      <c r="Z1315" s="134"/>
      <c r="AA1315" s="134"/>
      <c r="AB1315" s="134"/>
      <c r="AC1315" s="134"/>
      <c r="AD1315" s="134"/>
      <c r="AE1315" s="134"/>
      <c r="AF1315" s="134"/>
      <c r="AG1315" s="134"/>
      <c r="AH1315" s="134"/>
      <c r="AI1315" s="134"/>
      <c r="AJ1315" s="134"/>
    </row>
    <row r="1316" spans="2:36">
      <c r="B1316" s="134"/>
      <c r="C1316" s="134"/>
      <c r="D1316" s="134"/>
      <c r="E1316" s="134"/>
      <c r="F1316" s="134"/>
      <c r="G1316" s="134"/>
      <c r="H1316" s="134"/>
      <c r="I1316" s="134"/>
      <c r="J1316" s="134"/>
      <c r="K1316" s="134"/>
      <c r="L1316" s="134"/>
      <c r="M1316" s="134"/>
      <c r="N1316" s="134"/>
      <c r="O1316" s="134"/>
      <c r="P1316" s="134"/>
      <c r="Q1316" s="134"/>
      <c r="R1316" s="134"/>
      <c r="S1316" s="134"/>
      <c r="T1316" s="134"/>
      <c r="U1316" s="134"/>
      <c r="V1316" s="134"/>
      <c r="W1316" s="134"/>
      <c r="X1316" s="134"/>
      <c r="Y1316" s="134"/>
      <c r="Z1316" s="134"/>
      <c r="AA1316" s="134"/>
      <c r="AB1316" s="134"/>
      <c r="AC1316" s="134"/>
      <c r="AD1316" s="134"/>
      <c r="AE1316" s="134"/>
      <c r="AF1316" s="134"/>
      <c r="AG1316" s="134"/>
      <c r="AH1316" s="134"/>
      <c r="AI1316" s="134"/>
      <c r="AJ1316" s="134"/>
    </row>
    <row r="1317" spans="2:36">
      <c r="B1317" s="134"/>
      <c r="C1317" s="134"/>
      <c r="D1317" s="134"/>
      <c r="E1317" s="134"/>
      <c r="F1317" s="134"/>
      <c r="G1317" s="134"/>
      <c r="H1317" s="134"/>
      <c r="I1317" s="134"/>
      <c r="J1317" s="134"/>
      <c r="K1317" s="134"/>
      <c r="L1317" s="134"/>
      <c r="M1317" s="134"/>
      <c r="N1317" s="134"/>
      <c r="O1317" s="134"/>
      <c r="P1317" s="134"/>
      <c r="Q1317" s="134"/>
      <c r="R1317" s="134"/>
      <c r="S1317" s="134"/>
      <c r="T1317" s="134"/>
      <c r="U1317" s="134"/>
      <c r="V1317" s="134"/>
      <c r="W1317" s="134"/>
      <c r="X1317" s="134"/>
      <c r="Y1317" s="134"/>
      <c r="Z1317" s="134"/>
      <c r="AA1317" s="134"/>
      <c r="AB1317" s="134"/>
      <c r="AC1317" s="134"/>
      <c r="AD1317" s="134"/>
      <c r="AE1317" s="134"/>
      <c r="AF1317" s="134"/>
      <c r="AG1317" s="134"/>
      <c r="AH1317" s="134"/>
      <c r="AI1317" s="134"/>
      <c r="AJ1317" s="134"/>
    </row>
    <row r="1318" spans="2:36">
      <c r="B1318" s="134"/>
      <c r="C1318" s="134"/>
      <c r="D1318" s="134"/>
      <c r="E1318" s="134"/>
      <c r="F1318" s="134"/>
      <c r="G1318" s="134"/>
      <c r="H1318" s="134"/>
      <c r="I1318" s="134"/>
      <c r="J1318" s="134"/>
      <c r="K1318" s="134"/>
      <c r="L1318" s="134"/>
      <c r="M1318" s="134"/>
      <c r="N1318" s="134"/>
      <c r="O1318" s="134"/>
      <c r="P1318" s="134"/>
      <c r="Q1318" s="134"/>
      <c r="R1318" s="134"/>
      <c r="S1318" s="134"/>
      <c r="T1318" s="134"/>
      <c r="U1318" s="134"/>
      <c r="V1318" s="134"/>
      <c r="W1318" s="134"/>
      <c r="X1318" s="134"/>
      <c r="Y1318" s="134"/>
      <c r="Z1318" s="134"/>
      <c r="AA1318" s="134"/>
      <c r="AB1318" s="134"/>
      <c r="AC1318" s="134"/>
      <c r="AD1318" s="134"/>
      <c r="AE1318" s="134"/>
      <c r="AF1318" s="134"/>
      <c r="AG1318" s="134"/>
      <c r="AH1318" s="134"/>
      <c r="AI1318" s="134"/>
      <c r="AJ1318" s="134"/>
    </row>
    <row r="1319" spans="2:36">
      <c r="B1319" s="134"/>
      <c r="C1319" s="134"/>
      <c r="D1319" s="134"/>
      <c r="E1319" s="134"/>
      <c r="F1319" s="134"/>
      <c r="G1319" s="134"/>
      <c r="H1319" s="134"/>
      <c r="I1319" s="134"/>
      <c r="J1319" s="134"/>
      <c r="K1319" s="134"/>
      <c r="L1319" s="134"/>
      <c r="M1319" s="134"/>
      <c r="N1319" s="134"/>
      <c r="O1319" s="134"/>
      <c r="P1319" s="134"/>
      <c r="Q1319" s="134"/>
      <c r="R1319" s="134"/>
      <c r="S1319" s="134"/>
      <c r="T1319" s="134"/>
      <c r="U1319" s="134"/>
      <c r="V1319" s="134"/>
      <c r="W1319" s="134"/>
      <c r="X1319" s="134"/>
      <c r="Y1319" s="134"/>
      <c r="Z1319" s="134"/>
      <c r="AA1319" s="134"/>
      <c r="AB1319" s="134"/>
      <c r="AC1319" s="134"/>
      <c r="AD1319" s="134"/>
      <c r="AE1319" s="134"/>
      <c r="AF1319" s="134"/>
      <c r="AG1319" s="134"/>
      <c r="AH1319" s="134"/>
      <c r="AI1319" s="134"/>
      <c r="AJ1319" s="134"/>
    </row>
    <row r="1320" spans="2:36">
      <c r="B1320" s="134"/>
      <c r="C1320" s="134"/>
      <c r="D1320" s="134"/>
      <c r="E1320" s="134"/>
      <c r="F1320" s="134"/>
      <c r="G1320" s="134"/>
      <c r="H1320" s="134"/>
      <c r="I1320" s="134"/>
      <c r="J1320" s="134"/>
      <c r="K1320" s="134"/>
      <c r="L1320" s="134"/>
      <c r="M1320" s="134"/>
      <c r="N1320" s="134"/>
      <c r="O1320" s="134"/>
      <c r="P1320" s="134"/>
      <c r="Q1320" s="134"/>
      <c r="R1320" s="134"/>
      <c r="S1320" s="134"/>
      <c r="T1320" s="134"/>
      <c r="U1320" s="134"/>
      <c r="V1320" s="134"/>
      <c r="W1320" s="134"/>
      <c r="X1320" s="134"/>
      <c r="Y1320" s="134"/>
      <c r="Z1320" s="134"/>
      <c r="AA1320" s="134"/>
      <c r="AB1320" s="134"/>
      <c r="AC1320" s="134"/>
      <c r="AD1320" s="134"/>
      <c r="AE1320" s="134"/>
      <c r="AF1320" s="134"/>
      <c r="AG1320" s="134"/>
      <c r="AH1320" s="134"/>
      <c r="AI1320" s="134"/>
      <c r="AJ1320" s="134"/>
    </row>
    <row r="1321" spans="2:36">
      <c r="B1321" s="134"/>
      <c r="C1321" s="134"/>
      <c r="D1321" s="134"/>
      <c r="E1321" s="134"/>
      <c r="F1321" s="134"/>
      <c r="G1321" s="134"/>
      <c r="H1321" s="134"/>
      <c r="I1321" s="134"/>
      <c r="J1321" s="134"/>
      <c r="K1321" s="134"/>
      <c r="L1321" s="134"/>
      <c r="M1321" s="134"/>
      <c r="N1321" s="134"/>
      <c r="O1321" s="134"/>
      <c r="P1321" s="134"/>
      <c r="Q1321" s="134"/>
      <c r="R1321" s="134"/>
      <c r="S1321" s="134"/>
      <c r="T1321" s="134"/>
      <c r="U1321" s="134"/>
      <c r="V1321" s="134"/>
      <c r="W1321" s="134"/>
      <c r="X1321" s="134"/>
      <c r="Y1321" s="134"/>
      <c r="Z1321" s="134"/>
      <c r="AA1321" s="134"/>
      <c r="AB1321" s="134"/>
      <c r="AC1321" s="134"/>
      <c r="AD1321" s="134"/>
      <c r="AE1321" s="134"/>
      <c r="AF1321" s="134"/>
      <c r="AG1321" s="134"/>
      <c r="AH1321" s="134"/>
      <c r="AI1321" s="134"/>
      <c r="AJ1321" s="134"/>
    </row>
    <row r="1322" spans="2:36">
      <c r="B1322" s="134"/>
      <c r="C1322" s="134"/>
      <c r="D1322" s="134"/>
      <c r="E1322" s="134"/>
      <c r="F1322" s="134"/>
      <c r="G1322" s="134"/>
      <c r="H1322" s="134"/>
      <c r="I1322" s="134"/>
      <c r="J1322" s="134"/>
      <c r="K1322" s="134"/>
      <c r="L1322" s="134"/>
      <c r="M1322" s="134"/>
      <c r="N1322" s="134"/>
      <c r="O1322" s="134"/>
      <c r="P1322" s="134"/>
      <c r="Q1322" s="134"/>
      <c r="R1322" s="134"/>
      <c r="S1322" s="134"/>
      <c r="T1322" s="134"/>
      <c r="U1322" s="134"/>
      <c r="V1322" s="134"/>
      <c r="W1322" s="134"/>
      <c r="X1322" s="134"/>
      <c r="Y1322" s="134"/>
      <c r="Z1322" s="134"/>
      <c r="AA1322" s="134"/>
      <c r="AB1322" s="134"/>
      <c r="AC1322" s="134"/>
      <c r="AD1322" s="134"/>
      <c r="AE1322" s="134"/>
      <c r="AF1322" s="134"/>
      <c r="AG1322" s="134"/>
      <c r="AH1322" s="134"/>
      <c r="AI1322" s="134"/>
      <c r="AJ1322" s="134"/>
    </row>
    <row r="1323" spans="2:36">
      <c r="B1323" s="134"/>
      <c r="C1323" s="134"/>
      <c r="D1323" s="134"/>
      <c r="E1323" s="134"/>
      <c r="F1323" s="134"/>
      <c r="G1323" s="134"/>
      <c r="H1323" s="134"/>
      <c r="I1323" s="134"/>
      <c r="J1323" s="134"/>
      <c r="K1323" s="134"/>
      <c r="L1323" s="134"/>
      <c r="M1323" s="134"/>
      <c r="N1323" s="134"/>
      <c r="O1323" s="134"/>
      <c r="P1323" s="134"/>
      <c r="Q1323" s="134"/>
      <c r="R1323" s="134"/>
      <c r="S1323" s="134"/>
      <c r="T1323" s="134"/>
      <c r="U1323" s="134"/>
      <c r="V1323" s="134"/>
      <c r="W1323" s="134"/>
      <c r="X1323" s="134"/>
      <c r="Y1323" s="134"/>
      <c r="Z1323" s="134"/>
      <c r="AA1323" s="134"/>
      <c r="AB1323" s="134"/>
      <c r="AC1323" s="134"/>
      <c r="AD1323" s="134"/>
      <c r="AE1323" s="134"/>
      <c r="AF1323" s="134"/>
      <c r="AG1323" s="134"/>
      <c r="AH1323" s="134"/>
      <c r="AI1323" s="134"/>
      <c r="AJ1323" s="134"/>
    </row>
    <row r="1324" spans="2:36">
      <c r="B1324" s="134"/>
      <c r="C1324" s="134"/>
      <c r="D1324" s="134"/>
      <c r="E1324" s="134"/>
      <c r="F1324" s="134"/>
      <c r="G1324" s="134"/>
      <c r="H1324" s="134"/>
      <c r="I1324" s="134"/>
      <c r="J1324" s="134"/>
      <c r="K1324" s="134"/>
      <c r="L1324" s="134"/>
      <c r="M1324" s="134"/>
      <c r="N1324" s="134"/>
      <c r="O1324" s="134"/>
      <c r="P1324" s="134"/>
      <c r="Q1324" s="134"/>
      <c r="R1324" s="134"/>
      <c r="S1324" s="134"/>
      <c r="T1324" s="134"/>
      <c r="U1324" s="134"/>
      <c r="V1324" s="134"/>
      <c r="W1324" s="134"/>
      <c r="X1324" s="134"/>
      <c r="Y1324" s="134"/>
      <c r="Z1324" s="134"/>
      <c r="AA1324" s="134"/>
      <c r="AB1324" s="134"/>
      <c r="AC1324" s="134"/>
      <c r="AD1324" s="134"/>
      <c r="AE1324" s="134"/>
      <c r="AF1324" s="134"/>
      <c r="AG1324" s="134"/>
      <c r="AH1324" s="134"/>
      <c r="AI1324" s="134"/>
      <c r="AJ1324" s="134"/>
    </row>
    <row r="1325" spans="2:36">
      <c r="B1325" s="134"/>
      <c r="C1325" s="134"/>
      <c r="D1325" s="134"/>
      <c r="E1325" s="134"/>
      <c r="F1325" s="134"/>
      <c r="G1325" s="134"/>
      <c r="H1325" s="134"/>
      <c r="I1325" s="134"/>
      <c r="J1325" s="134"/>
      <c r="K1325" s="134"/>
      <c r="L1325" s="134"/>
      <c r="M1325" s="134"/>
      <c r="N1325" s="134"/>
      <c r="O1325" s="134"/>
      <c r="P1325" s="134"/>
      <c r="Q1325" s="134"/>
      <c r="R1325" s="134"/>
      <c r="S1325" s="134"/>
      <c r="T1325" s="134"/>
      <c r="U1325" s="134"/>
      <c r="V1325" s="134"/>
      <c r="W1325" s="134"/>
      <c r="X1325" s="134"/>
      <c r="Y1325" s="134"/>
      <c r="Z1325" s="134"/>
      <c r="AA1325" s="134"/>
      <c r="AB1325" s="134"/>
      <c r="AC1325" s="134"/>
      <c r="AD1325" s="134"/>
      <c r="AE1325" s="134"/>
      <c r="AF1325" s="134"/>
      <c r="AG1325" s="134"/>
      <c r="AH1325" s="134"/>
      <c r="AI1325" s="134"/>
      <c r="AJ1325" s="134"/>
    </row>
    <row r="1326" spans="2:36">
      <c r="B1326" s="134"/>
      <c r="C1326" s="134"/>
      <c r="D1326" s="134"/>
      <c r="E1326" s="134"/>
      <c r="F1326" s="134"/>
      <c r="G1326" s="134"/>
      <c r="H1326" s="134"/>
      <c r="I1326" s="134"/>
      <c r="J1326" s="134"/>
      <c r="K1326" s="134"/>
      <c r="L1326" s="134"/>
      <c r="M1326" s="134"/>
      <c r="N1326" s="134"/>
      <c r="O1326" s="134"/>
      <c r="P1326" s="134"/>
      <c r="Q1326" s="134"/>
      <c r="R1326" s="134"/>
      <c r="S1326" s="134"/>
      <c r="T1326" s="134"/>
      <c r="U1326" s="134"/>
      <c r="V1326" s="134"/>
      <c r="W1326" s="134"/>
      <c r="X1326" s="134"/>
      <c r="Y1326" s="134"/>
      <c r="Z1326" s="134"/>
      <c r="AA1326" s="134"/>
      <c r="AB1326" s="134"/>
      <c r="AC1326" s="134"/>
      <c r="AD1326" s="134"/>
      <c r="AE1326" s="134"/>
      <c r="AF1326" s="134"/>
      <c r="AG1326" s="134"/>
      <c r="AH1326" s="134"/>
      <c r="AI1326" s="134"/>
      <c r="AJ1326" s="134"/>
    </row>
    <row r="1327" spans="2:36">
      <c r="B1327" s="134"/>
      <c r="C1327" s="134"/>
      <c r="D1327" s="134"/>
      <c r="E1327" s="134"/>
      <c r="F1327" s="134"/>
      <c r="G1327" s="134"/>
      <c r="H1327" s="134"/>
      <c r="I1327" s="134"/>
      <c r="J1327" s="134"/>
      <c r="K1327" s="134"/>
      <c r="L1327" s="134"/>
      <c r="M1327" s="134"/>
      <c r="N1327" s="134"/>
      <c r="O1327" s="134"/>
      <c r="P1327" s="134"/>
      <c r="Q1327" s="134"/>
      <c r="R1327" s="134"/>
      <c r="S1327" s="134"/>
      <c r="T1327" s="134"/>
      <c r="U1327" s="134"/>
      <c r="V1327" s="134"/>
      <c r="W1327" s="134"/>
      <c r="X1327" s="134"/>
      <c r="Y1327" s="134"/>
      <c r="Z1327" s="134"/>
      <c r="AA1327" s="134"/>
      <c r="AB1327" s="134"/>
      <c r="AC1327" s="134"/>
      <c r="AD1327" s="134"/>
      <c r="AE1327" s="134"/>
      <c r="AF1327" s="134"/>
      <c r="AG1327" s="134"/>
      <c r="AH1327" s="134"/>
      <c r="AI1327" s="134"/>
      <c r="AJ1327" s="134"/>
    </row>
    <row r="1328" spans="2:36">
      <c r="B1328" s="134"/>
      <c r="C1328" s="134"/>
      <c r="D1328" s="134"/>
      <c r="E1328" s="134"/>
      <c r="F1328" s="134"/>
      <c r="G1328" s="134"/>
      <c r="H1328" s="134"/>
      <c r="I1328" s="134"/>
      <c r="J1328" s="134"/>
      <c r="K1328" s="134"/>
      <c r="L1328" s="134"/>
      <c r="M1328" s="134"/>
      <c r="N1328" s="134"/>
      <c r="O1328" s="134"/>
      <c r="P1328" s="134"/>
      <c r="Q1328" s="134"/>
      <c r="R1328" s="134"/>
      <c r="S1328" s="134"/>
      <c r="T1328" s="134"/>
      <c r="U1328" s="134"/>
      <c r="V1328" s="134"/>
      <c r="W1328" s="134"/>
      <c r="X1328" s="134"/>
      <c r="Y1328" s="134"/>
      <c r="Z1328" s="134"/>
      <c r="AA1328" s="134"/>
      <c r="AB1328" s="134"/>
      <c r="AC1328" s="134"/>
      <c r="AD1328" s="134"/>
      <c r="AE1328" s="134"/>
      <c r="AF1328" s="134"/>
      <c r="AG1328" s="134"/>
      <c r="AH1328" s="134"/>
      <c r="AI1328" s="134"/>
      <c r="AJ1328" s="134"/>
    </row>
    <row r="1329" spans="2:36">
      <c r="B1329" s="134"/>
      <c r="C1329" s="134"/>
      <c r="D1329" s="134"/>
      <c r="E1329" s="134"/>
      <c r="F1329" s="134"/>
      <c r="G1329" s="134"/>
      <c r="H1329" s="134"/>
      <c r="I1329" s="134"/>
      <c r="J1329" s="134"/>
      <c r="K1329" s="134"/>
      <c r="L1329" s="134"/>
      <c r="M1329" s="134"/>
      <c r="N1329" s="134"/>
      <c r="O1329" s="134"/>
      <c r="P1329" s="134"/>
      <c r="Q1329" s="134"/>
      <c r="R1329" s="134"/>
      <c r="S1329" s="134"/>
      <c r="T1329" s="134"/>
      <c r="U1329" s="134"/>
      <c r="V1329" s="134"/>
      <c r="W1329" s="134"/>
      <c r="X1329" s="134"/>
      <c r="Y1329" s="134"/>
      <c r="Z1329" s="134"/>
      <c r="AA1329" s="134"/>
      <c r="AB1329" s="134"/>
      <c r="AC1329" s="134"/>
      <c r="AD1329" s="134"/>
      <c r="AE1329" s="134"/>
      <c r="AF1329" s="134"/>
      <c r="AG1329" s="134"/>
      <c r="AH1329" s="134"/>
      <c r="AI1329" s="134"/>
      <c r="AJ1329" s="134"/>
    </row>
    <row r="1330" spans="2:36">
      <c r="B1330" s="134"/>
      <c r="C1330" s="134"/>
      <c r="D1330" s="134"/>
      <c r="E1330" s="134"/>
      <c r="F1330" s="134"/>
      <c r="G1330" s="134"/>
      <c r="H1330" s="134"/>
      <c r="I1330" s="134"/>
      <c r="J1330" s="134"/>
      <c r="K1330" s="134"/>
      <c r="L1330" s="134"/>
      <c r="M1330" s="134"/>
      <c r="N1330" s="134"/>
      <c r="O1330" s="134"/>
      <c r="P1330" s="134"/>
      <c r="Q1330" s="134"/>
      <c r="R1330" s="134"/>
      <c r="S1330" s="134"/>
      <c r="T1330" s="134"/>
      <c r="U1330" s="134"/>
      <c r="V1330" s="134"/>
      <c r="W1330" s="134"/>
      <c r="X1330" s="134"/>
      <c r="Y1330" s="134"/>
      <c r="Z1330" s="134"/>
      <c r="AA1330" s="134"/>
      <c r="AB1330" s="134"/>
      <c r="AC1330" s="134"/>
      <c r="AD1330" s="134"/>
      <c r="AE1330" s="134"/>
      <c r="AF1330" s="134"/>
      <c r="AG1330" s="134"/>
      <c r="AH1330" s="134"/>
      <c r="AI1330" s="134"/>
      <c r="AJ1330" s="134"/>
    </row>
    <row r="1331" spans="2:36">
      <c r="B1331" s="134"/>
      <c r="C1331" s="134"/>
      <c r="D1331" s="134"/>
      <c r="E1331" s="134"/>
      <c r="F1331" s="134"/>
      <c r="G1331" s="134"/>
      <c r="H1331" s="134"/>
      <c r="I1331" s="134"/>
      <c r="J1331" s="134"/>
      <c r="K1331" s="134"/>
      <c r="L1331" s="134"/>
      <c r="M1331" s="134"/>
      <c r="N1331" s="134"/>
      <c r="O1331" s="134"/>
      <c r="P1331" s="134"/>
      <c r="Q1331" s="134"/>
      <c r="R1331" s="134"/>
      <c r="S1331" s="134"/>
      <c r="T1331" s="134"/>
      <c r="U1331" s="134"/>
      <c r="V1331" s="134"/>
      <c r="W1331" s="134"/>
      <c r="X1331" s="134"/>
      <c r="Y1331" s="134"/>
      <c r="Z1331" s="134"/>
      <c r="AA1331" s="134"/>
      <c r="AB1331" s="134"/>
      <c r="AC1331" s="134"/>
      <c r="AD1331" s="134"/>
      <c r="AE1331" s="134"/>
      <c r="AF1331" s="134"/>
      <c r="AG1331" s="134"/>
      <c r="AH1331" s="134"/>
      <c r="AI1331" s="134"/>
      <c r="AJ1331" s="134"/>
    </row>
    <row r="1332" spans="2:36">
      <c r="B1332" s="134"/>
      <c r="C1332" s="134"/>
      <c r="D1332" s="134"/>
      <c r="E1332" s="134"/>
      <c r="F1332" s="134"/>
      <c r="G1332" s="134"/>
      <c r="H1332" s="134"/>
      <c r="I1332" s="134"/>
      <c r="J1332" s="134"/>
      <c r="K1332" s="134"/>
      <c r="L1332" s="134"/>
      <c r="M1332" s="134"/>
      <c r="N1332" s="134"/>
      <c r="O1332" s="134"/>
      <c r="P1332" s="134"/>
      <c r="Q1332" s="134"/>
      <c r="R1332" s="134"/>
      <c r="S1332" s="134"/>
      <c r="T1332" s="134"/>
      <c r="U1332" s="134"/>
      <c r="V1332" s="134"/>
      <c r="W1332" s="134"/>
      <c r="X1332" s="134"/>
      <c r="Y1332" s="134"/>
      <c r="Z1332" s="134"/>
      <c r="AA1332" s="134"/>
      <c r="AB1332" s="134"/>
      <c r="AC1332" s="134"/>
      <c r="AD1332" s="134"/>
      <c r="AE1332" s="134"/>
      <c r="AF1332" s="134"/>
      <c r="AG1332" s="134"/>
      <c r="AH1332" s="134"/>
      <c r="AI1332" s="134"/>
      <c r="AJ1332" s="134"/>
    </row>
    <row r="1333" spans="2:36">
      <c r="B1333" s="134"/>
      <c r="C1333" s="134"/>
      <c r="D1333" s="134"/>
      <c r="E1333" s="134"/>
      <c r="F1333" s="134"/>
      <c r="G1333" s="134"/>
      <c r="H1333" s="134"/>
      <c r="I1333" s="134"/>
      <c r="J1333" s="134"/>
      <c r="K1333" s="134"/>
      <c r="L1333" s="134"/>
      <c r="M1333" s="134"/>
      <c r="N1333" s="134"/>
      <c r="O1333" s="134"/>
      <c r="P1333" s="134"/>
      <c r="Q1333" s="134"/>
      <c r="R1333" s="134"/>
      <c r="S1333" s="134"/>
      <c r="T1333" s="134"/>
      <c r="U1333" s="134"/>
      <c r="V1333" s="134"/>
      <c r="W1333" s="134"/>
      <c r="X1333" s="134"/>
      <c r="Y1333" s="134"/>
      <c r="Z1333" s="134"/>
      <c r="AA1333" s="134"/>
      <c r="AB1333" s="134"/>
      <c r="AC1333" s="134"/>
      <c r="AD1333" s="134"/>
      <c r="AE1333" s="134"/>
      <c r="AF1333" s="134"/>
      <c r="AG1333" s="134"/>
      <c r="AH1333" s="134"/>
      <c r="AI1333" s="134"/>
      <c r="AJ1333" s="134"/>
    </row>
    <row r="1334" spans="2:36">
      <c r="B1334" s="134"/>
      <c r="C1334" s="134"/>
      <c r="D1334" s="134"/>
      <c r="E1334" s="134"/>
      <c r="F1334" s="134"/>
      <c r="G1334" s="134"/>
      <c r="H1334" s="134"/>
      <c r="I1334" s="134"/>
      <c r="J1334" s="134"/>
      <c r="K1334" s="134"/>
      <c r="L1334" s="134"/>
      <c r="M1334" s="134"/>
      <c r="N1334" s="134"/>
      <c r="O1334" s="134"/>
      <c r="P1334" s="134"/>
      <c r="Q1334" s="134"/>
      <c r="R1334" s="134"/>
      <c r="S1334" s="134"/>
      <c r="T1334" s="134"/>
      <c r="U1334" s="134"/>
      <c r="V1334" s="134"/>
      <c r="W1334" s="134"/>
      <c r="X1334" s="134"/>
      <c r="Y1334" s="134"/>
      <c r="Z1334" s="134"/>
      <c r="AA1334" s="134"/>
      <c r="AB1334" s="134"/>
      <c r="AC1334" s="134"/>
      <c r="AD1334" s="134"/>
      <c r="AE1334" s="134"/>
      <c r="AF1334" s="134"/>
      <c r="AG1334" s="134"/>
      <c r="AH1334" s="134"/>
      <c r="AI1334" s="134"/>
      <c r="AJ1334" s="134"/>
    </row>
    <row r="1335" spans="2:36">
      <c r="B1335" s="134"/>
      <c r="C1335" s="134"/>
      <c r="D1335" s="134"/>
      <c r="E1335" s="134"/>
      <c r="F1335" s="134"/>
      <c r="G1335" s="134"/>
      <c r="H1335" s="134"/>
      <c r="I1335" s="134"/>
      <c r="J1335" s="134"/>
      <c r="K1335" s="134"/>
      <c r="L1335" s="134"/>
      <c r="M1335" s="134"/>
      <c r="N1335" s="134"/>
      <c r="O1335" s="134"/>
      <c r="P1335" s="134"/>
      <c r="Q1335" s="134"/>
      <c r="R1335" s="134"/>
      <c r="S1335" s="134"/>
      <c r="T1335" s="134"/>
      <c r="U1335" s="134"/>
      <c r="V1335" s="134"/>
      <c r="W1335" s="134"/>
      <c r="X1335" s="134"/>
      <c r="Y1335" s="134"/>
      <c r="Z1335" s="134"/>
      <c r="AA1335" s="134"/>
      <c r="AB1335" s="134"/>
      <c r="AC1335" s="134"/>
      <c r="AD1335" s="134"/>
      <c r="AE1335" s="134"/>
      <c r="AF1335" s="134"/>
      <c r="AG1335" s="134"/>
      <c r="AH1335" s="134"/>
      <c r="AI1335" s="134"/>
      <c r="AJ1335" s="134"/>
    </row>
    <row r="1336" spans="2:36">
      <c r="B1336" s="134"/>
      <c r="C1336" s="134"/>
      <c r="D1336" s="134"/>
      <c r="E1336" s="134"/>
      <c r="F1336" s="134"/>
      <c r="G1336" s="134"/>
      <c r="H1336" s="134"/>
      <c r="I1336" s="134"/>
      <c r="J1336" s="134"/>
      <c r="K1336" s="134"/>
      <c r="L1336" s="134"/>
      <c r="M1336" s="134"/>
      <c r="N1336" s="134"/>
      <c r="O1336" s="134"/>
      <c r="P1336" s="134"/>
      <c r="Q1336" s="134"/>
      <c r="R1336" s="134"/>
      <c r="S1336" s="134"/>
      <c r="T1336" s="134"/>
      <c r="U1336" s="134"/>
      <c r="V1336" s="134"/>
      <c r="W1336" s="134"/>
      <c r="X1336" s="134"/>
      <c r="Y1336" s="134"/>
      <c r="Z1336" s="134"/>
      <c r="AA1336" s="134"/>
      <c r="AB1336" s="134"/>
      <c r="AC1336" s="134"/>
      <c r="AD1336" s="134"/>
      <c r="AE1336" s="134"/>
      <c r="AF1336" s="134"/>
      <c r="AG1336" s="134"/>
      <c r="AH1336" s="134"/>
      <c r="AI1336" s="134"/>
      <c r="AJ1336" s="134"/>
    </row>
    <row r="1337" spans="2:36">
      <c r="B1337" s="134"/>
      <c r="C1337" s="134"/>
      <c r="D1337" s="134"/>
      <c r="E1337" s="134"/>
      <c r="F1337" s="134"/>
      <c r="G1337" s="134"/>
      <c r="H1337" s="134"/>
      <c r="I1337" s="134"/>
      <c r="J1337" s="134"/>
      <c r="K1337" s="134"/>
      <c r="L1337" s="134"/>
      <c r="M1337" s="134"/>
      <c r="N1337" s="134"/>
      <c r="O1337" s="134"/>
      <c r="P1337" s="134"/>
      <c r="Q1337" s="134"/>
      <c r="R1337" s="134"/>
      <c r="S1337" s="134"/>
      <c r="T1337" s="134"/>
      <c r="U1337" s="134"/>
      <c r="V1337" s="134"/>
      <c r="W1337" s="134"/>
      <c r="X1337" s="134"/>
      <c r="Y1337" s="134"/>
      <c r="Z1337" s="134"/>
      <c r="AA1337" s="134"/>
      <c r="AB1337" s="134"/>
      <c r="AC1337" s="134"/>
      <c r="AD1337" s="134"/>
      <c r="AE1337" s="134"/>
      <c r="AF1337" s="134"/>
      <c r="AG1337" s="134"/>
      <c r="AH1337" s="134"/>
      <c r="AI1337" s="134"/>
      <c r="AJ1337" s="134"/>
    </row>
    <row r="1338" spans="2:36">
      <c r="B1338" s="134"/>
      <c r="C1338" s="134"/>
      <c r="D1338" s="134"/>
      <c r="E1338" s="134"/>
      <c r="F1338" s="134"/>
      <c r="G1338" s="134"/>
      <c r="H1338" s="134"/>
      <c r="I1338" s="134"/>
      <c r="J1338" s="134"/>
      <c r="K1338" s="134"/>
      <c r="L1338" s="134"/>
      <c r="M1338" s="134"/>
      <c r="N1338" s="134"/>
      <c r="O1338" s="134"/>
      <c r="P1338" s="134"/>
      <c r="Q1338" s="134"/>
      <c r="R1338" s="134"/>
      <c r="S1338" s="134"/>
      <c r="T1338" s="134"/>
      <c r="U1338" s="134"/>
      <c r="V1338" s="134"/>
      <c r="W1338" s="134"/>
      <c r="X1338" s="134"/>
      <c r="Y1338" s="134"/>
      <c r="Z1338" s="134"/>
      <c r="AA1338" s="134"/>
      <c r="AB1338" s="134"/>
      <c r="AC1338" s="134"/>
      <c r="AD1338" s="134"/>
      <c r="AE1338" s="134"/>
      <c r="AF1338" s="134"/>
      <c r="AG1338" s="134"/>
      <c r="AH1338" s="134"/>
      <c r="AI1338" s="134"/>
      <c r="AJ1338" s="134"/>
    </row>
    <row r="1339" spans="2:36">
      <c r="B1339" s="134"/>
      <c r="C1339" s="134"/>
      <c r="D1339" s="134"/>
      <c r="E1339" s="134"/>
      <c r="F1339" s="134"/>
      <c r="G1339" s="134"/>
      <c r="H1339" s="134"/>
      <c r="I1339" s="134"/>
      <c r="J1339" s="134"/>
      <c r="K1339" s="134"/>
      <c r="L1339" s="134"/>
      <c r="M1339" s="134"/>
      <c r="N1339" s="134"/>
      <c r="O1339" s="134"/>
      <c r="P1339" s="134"/>
      <c r="Q1339" s="134"/>
      <c r="R1339" s="134"/>
      <c r="S1339" s="134"/>
      <c r="T1339" s="134"/>
      <c r="U1339" s="134"/>
      <c r="V1339" s="134"/>
      <c r="W1339" s="134"/>
      <c r="X1339" s="134"/>
      <c r="Y1339" s="134"/>
      <c r="Z1339" s="134"/>
      <c r="AA1339" s="134"/>
      <c r="AB1339" s="134"/>
      <c r="AC1339" s="134"/>
      <c r="AD1339" s="134"/>
      <c r="AE1339" s="134"/>
      <c r="AF1339" s="134"/>
      <c r="AG1339" s="134"/>
      <c r="AH1339" s="134"/>
      <c r="AI1339" s="134"/>
      <c r="AJ1339" s="134"/>
    </row>
    <row r="1340" spans="2:36">
      <c r="B1340" s="134"/>
      <c r="C1340" s="134"/>
      <c r="D1340" s="134"/>
      <c r="E1340" s="134"/>
      <c r="F1340" s="134"/>
      <c r="G1340" s="134"/>
      <c r="H1340" s="134"/>
      <c r="I1340" s="134"/>
      <c r="J1340" s="134"/>
      <c r="K1340" s="134"/>
      <c r="L1340" s="134"/>
      <c r="M1340" s="134"/>
      <c r="N1340" s="134"/>
      <c r="O1340" s="134"/>
      <c r="P1340" s="134"/>
      <c r="Q1340" s="134"/>
      <c r="R1340" s="134"/>
      <c r="S1340" s="134"/>
      <c r="T1340" s="134"/>
      <c r="U1340" s="134"/>
      <c r="V1340" s="134"/>
      <c r="W1340" s="134"/>
      <c r="X1340" s="134"/>
      <c r="Y1340" s="134"/>
      <c r="Z1340" s="134"/>
      <c r="AA1340" s="134"/>
      <c r="AB1340" s="134"/>
      <c r="AC1340" s="134"/>
      <c r="AD1340" s="134"/>
      <c r="AE1340" s="134"/>
      <c r="AF1340" s="134"/>
      <c r="AG1340" s="134"/>
      <c r="AH1340" s="134"/>
      <c r="AI1340" s="134"/>
      <c r="AJ1340" s="134"/>
    </row>
    <row r="1341" spans="2:36">
      <c r="B1341" s="134"/>
      <c r="C1341" s="134"/>
      <c r="D1341" s="134"/>
      <c r="E1341" s="134"/>
      <c r="F1341" s="134"/>
      <c r="G1341" s="134"/>
      <c r="H1341" s="134"/>
      <c r="I1341" s="134"/>
      <c r="J1341" s="134"/>
      <c r="K1341" s="134"/>
      <c r="L1341" s="134"/>
      <c r="M1341" s="134"/>
      <c r="N1341" s="134"/>
      <c r="O1341" s="134"/>
      <c r="P1341" s="134"/>
      <c r="Q1341" s="134"/>
      <c r="R1341" s="134"/>
      <c r="S1341" s="134"/>
      <c r="T1341" s="134"/>
      <c r="U1341" s="134"/>
      <c r="V1341" s="134"/>
      <c r="W1341" s="134"/>
      <c r="X1341" s="134"/>
      <c r="Y1341" s="134"/>
      <c r="Z1341" s="134"/>
      <c r="AA1341" s="134"/>
      <c r="AB1341" s="134"/>
      <c r="AC1341" s="134"/>
      <c r="AD1341" s="134"/>
      <c r="AE1341" s="134"/>
      <c r="AF1341" s="134"/>
      <c r="AG1341" s="134"/>
      <c r="AH1341" s="134"/>
      <c r="AI1341" s="134"/>
      <c r="AJ1341" s="134"/>
    </row>
    <row r="1342" spans="2:36">
      <c r="B1342" s="134"/>
      <c r="C1342" s="134"/>
      <c r="D1342" s="134"/>
      <c r="E1342" s="134"/>
      <c r="F1342" s="134"/>
      <c r="G1342" s="134"/>
      <c r="H1342" s="134"/>
      <c r="I1342" s="134"/>
      <c r="J1342" s="134"/>
      <c r="K1342" s="134"/>
      <c r="L1342" s="134"/>
      <c r="M1342" s="134"/>
      <c r="N1342" s="134"/>
      <c r="O1342" s="134"/>
      <c r="P1342" s="134"/>
      <c r="Q1342" s="134"/>
      <c r="R1342" s="134"/>
      <c r="S1342" s="134"/>
      <c r="T1342" s="134"/>
      <c r="U1342" s="134"/>
      <c r="V1342" s="134"/>
      <c r="W1342" s="134"/>
      <c r="X1342" s="134"/>
      <c r="Y1342" s="134"/>
      <c r="Z1342" s="134"/>
      <c r="AA1342" s="134"/>
      <c r="AB1342" s="134"/>
      <c r="AC1342" s="134"/>
      <c r="AD1342" s="134"/>
      <c r="AE1342" s="134"/>
      <c r="AF1342" s="134"/>
      <c r="AG1342" s="134"/>
      <c r="AH1342" s="134"/>
      <c r="AI1342" s="134"/>
      <c r="AJ1342" s="134"/>
    </row>
    <row r="1343" spans="2:36">
      <c r="B1343" s="134"/>
      <c r="C1343" s="134"/>
      <c r="D1343" s="134"/>
      <c r="E1343" s="134"/>
      <c r="F1343" s="134"/>
      <c r="G1343" s="134"/>
      <c r="H1343" s="134"/>
      <c r="I1343" s="134"/>
      <c r="J1343" s="134"/>
      <c r="K1343" s="134"/>
      <c r="L1343" s="134"/>
      <c r="M1343" s="134"/>
      <c r="N1343" s="134"/>
      <c r="O1343" s="134"/>
      <c r="P1343" s="134"/>
      <c r="Q1343" s="134"/>
      <c r="R1343" s="134"/>
      <c r="S1343" s="134"/>
      <c r="T1343" s="134"/>
      <c r="U1343" s="134"/>
      <c r="V1343" s="134"/>
      <c r="W1343" s="134"/>
      <c r="X1343" s="134"/>
      <c r="Y1343" s="134"/>
      <c r="Z1343" s="134"/>
      <c r="AA1343" s="134"/>
      <c r="AB1343" s="134"/>
      <c r="AC1343" s="134"/>
      <c r="AD1343" s="134"/>
      <c r="AE1343" s="134"/>
      <c r="AF1343" s="134"/>
      <c r="AG1343" s="134"/>
      <c r="AH1343" s="134"/>
      <c r="AI1343" s="134"/>
      <c r="AJ1343" s="134"/>
    </row>
    <row r="1344" spans="2:36">
      <c r="B1344" s="134"/>
      <c r="C1344" s="134"/>
      <c r="D1344" s="134"/>
      <c r="E1344" s="134"/>
      <c r="F1344" s="134"/>
      <c r="G1344" s="134"/>
      <c r="H1344" s="134"/>
      <c r="I1344" s="134"/>
      <c r="J1344" s="134"/>
      <c r="K1344" s="134"/>
      <c r="L1344" s="134"/>
      <c r="M1344" s="134"/>
      <c r="N1344" s="134"/>
      <c r="O1344" s="134"/>
      <c r="P1344" s="134"/>
      <c r="Q1344" s="134"/>
      <c r="R1344" s="134"/>
      <c r="S1344" s="134"/>
      <c r="T1344" s="134"/>
      <c r="U1344" s="134"/>
      <c r="V1344" s="134"/>
      <c r="W1344" s="134"/>
      <c r="X1344" s="134"/>
      <c r="Y1344" s="134"/>
      <c r="Z1344" s="134"/>
      <c r="AA1344" s="134"/>
      <c r="AB1344" s="134"/>
      <c r="AC1344" s="134"/>
      <c r="AD1344" s="134"/>
      <c r="AE1344" s="134"/>
      <c r="AF1344" s="134"/>
      <c r="AG1344" s="134"/>
      <c r="AH1344" s="134"/>
      <c r="AI1344" s="134"/>
      <c r="AJ1344" s="134"/>
    </row>
    <row r="1345" spans="2:36">
      <c r="B1345" s="134"/>
      <c r="C1345" s="134"/>
      <c r="D1345" s="134"/>
      <c r="E1345" s="134"/>
      <c r="F1345" s="134"/>
      <c r="G1345" s="134"/>
      <c r="H1345" s="134"/>
      <c r="I1345" s="134"/>
      <c r="J1345" s="134"/>
      <c r="K1345" s="134"/>
      <c r="L1345" s="134"/>
      <c r="M1345" s="134"/>
      <c r="N1345" s="134"/>
      <c r="O1345" s="134"/>
      <c r="P1345" s="134"/>
      <c r="Q1345" s="134"/>
      <c r="R1345" s="134"/>
      <c r="S1345" s="134"/>
      <c r="T1345" s="134"/>
      <c r="U1345" s="134"/>
      <c r="V1345" s="134"/>
      <c r="W1345" s="134"/>
      <c r="X1345" s="134"/>
      <c r="Y1345" s="134"/>
      <c r="Z1345" s="134"/>
      <c r="AA1345" s="134"/>
      <c r="AB1345" s="134"/>
      <c r="AC1345" s="134"/>
      <c r="AD1345" s="134"/>
      <c r="AE1345" s="134"/>
      <c r="AF1345" s="134"/>
      <c r="AG1345" s="134"/>
      <c r="AH1345" s="134"/>
      <c r="AI1345" s="134"/>
      <c r="AJ1345" s="134"/>
    </row>
    <row r="1346" spans="2:36">
      <c r="B1346" s="134"/>
      <c r="C1346" s="134"/>
      <c r="D1346" s="134"/>
      <c r="E1346" s="134"/>
      <c r="F1346" s="134"/>
      <c r="G1346" s="134"/>
      <c r="H1346" s="134"/>
      <c r="I1346" s="134"/>
      <c r="J1346" s="134"/>
      <c r="K1346" s="134"/>
      <c r="L1346" s="134"/>
      <c r="M1346" s="134"/>
      <c r="N1346" s="134"/>
      <c r="O1346" s="134"/>
      <c r="P1346" s="134"/>
      <c r="Q1346" s="134"/>
      <c r="R1346" s="134"/>
      <c r="S1346" s="134"/>
      <c r="T1346" s="134"/>
      <c r="U1346" s="134"/>
      <c r="V1346" s="134"/>
      <c r="W1346" s="134"/>
      <c r="X1346" s="134"/>
      <c r="Y1346" s="134"/>
      <c r="Z1346" s="134"/>
      <c r="AA1346" s="134"/>
      <c r="AB1346" s="134"/>
      <c r="AC1346" s="134"/>
      <c r="AD1346" s="134"/>
      <c r="AE1346" s="134"/>
      <c r="AF1346" s="134"/>
      <c r="AG1346" s="134"/>
      <c r="AH1346" s="134"/>
      <c r="AI1346" s="134"/>
      <c r="AJ1346" s="134"/>
    </row>
    <row r="1347" spans="2:36">
      <c r="B1347" s="134"/>
      <c r="C1347" s="134"/>
      <c r="D1347" s="134"/>
      <c r="E1347" s="134"/>
      <c r="F1347" s="134"/>
      <c r="G1347" s="134"/>
      <c r="H1347" s="134"/>
      <c r="I1347" s="134"/>
      <c r="J1347" s="134"/>
      <c r="K1347" s="134"/>
      <c r="L1347" s="134"/>
      <c r="M1347" s="134"/>
      <c r="N1347" s="134"/>
      <c r="O1347" s="134"/>
      <c r="P1347" s="134"/>
      <c r="Q1347" s="134"/>
      <c r="R1347" s="134"/>
      <c r="S1347" s="134"/>
      <c r="T1347" s="134"/>
      <c r="U1347" s="134"/>
      <c r="V1347" s="134"/>
      <c r="W1347" s="134"/>
      <c r="X1347" s="134"/>
      <c r="Y1347" s="134"/>
      <c r="Z1347" s="134"/>
      <c r="AA1347" s="134"/>
      <c r="AB1347" s="134"/>
      <c r="AC1347" s="134"/>
      <c r="AD1347" s="134"/>
      <c r="AE1347" s="134"/>
      <c r="AF1347" s="134"/>
      <c r="AG1347" s="134"/>
      <c r="AH1347" s="134"/>
      <c r="AI1347" s="134"/>
      <c r="AJ1347" s="134"/>
    </row>
    <row r="1348" spans="2:36">
      <c r="B1348" s="134"/>
      <c r="C1348" s="134"/>
      <c r="D1348" s="134"/>
      <c r="E1348" s="134"/>
      <c r="F1348" s="134"/>
      <c r="G1348" s="134"/>
      <c r="H1348" s="134"/>
      <c r="I1348" s="134"/>
      <c r="J1348" s="134"/>
      <c r="K1348" s="134"/>
      <c r="L1348" s="134"/>
      <c r="M1348" s="134"/>
      <c r="N1348" s="134"/>
      <c r="O1348" s="134"/>
      <c r="P1348" s="134"/>
      <c r="Q1348" s="134"/>
      <c r="R1348" s="134"/>
      <c r="S1348" s="134"/>
      <c r="T1348" s="134"/>
      <c r="U1348" s="134"/>
      <c r="V1348" s="134"/>
      <c r="W1348" s="134"/>
      <c r="X1348" s="134"/>
      <c r="Y1348" s="134"/>
      <c r="Z1348" s="134"/>
      <c r="AA1348" s="134"/>
      <c r="AB1348" s="134"/>
      <c r="AC1348" s="134"/>
      <c r="AD1348" s="134"/>
      <c r="AE1348" s="134"/>
      <c r="AF1348" s="134"/>
      <c r="AG1348" s="134"/>
      <c r="AH1348" s="134"/>
      <c r="AI1348" s="134"/>
      <c r="AJ1348" s="134"/>
    </row>
    <row r="1349" spans="2:36">
      <c r="B1349" s="134"/>
      <c r="C1349" s="134"/>
      <c r="D1349" s="134"/>
      <c r="E1349" s="134"/>
      <c r="F1349" s="134"/>
      <c r="G1349" s="134"/>
      <c r="H1349" s="134"/>
      <c r="I1349" s="134"/>
      <c r="J1349" s="134"/>
      <c r="K1349" s="134"/>
      <c r="L1349" s="134"/>
      <c r="M1349" s="134"/>
      <c r="N1349" s="134"/>
      <c r="O1349" s="134"/>
      <c r="P1349" s="134"/>
      <c r="Q1349" s="134"/>
      <c r="R1349" s="134"/>
      <c r="S1349" s="134"/>
      <c r="T1349" s="134"/>
      <c r="U1349" s="134"/>
      <c r="V1349" s="134"/>
      <c r="W1349" s="134"/>
      <c r="X1349" s="134"/>
      <c r="Y1349" s="134"/>
      <c r="Z1349" s="134"/>
      <c r="AA1349" s="134"/>
      <c r="AB1349" s="134"/>
      <c r="AC1349" s="134"/>
      <c r="AD1349" s="134"/>
      <c r="AE1349" s="134"/>
      <c r="AF1349" s="134"/>
      <c r="AG1349" s="134"/>
      <c r="AH1349" s="134"/>
      <c r="AI1349" s="134"/>
      <c r="AJ1349" s="134"/>
    </row>
    <row r="1350" spans="2:36">
      <c r="B1350" s="134"/>
      <c r="C1350" s="134"/>
      <c r="D1350" s="134"/>
      <c r="E1350" s="134"/>
      <c r="F1350" s="134"/>
      <c r="G1350" s="134"/>
      <c r="H1350" s="134"/>
      <c r="I1350" s="134"/>
      <c r="J1350" s="134"/>
      <c r="K1350" s="134"/>
      <c r="L1350" s="134"/>
      <c r="M1350" s="134"/>
      <c r="N1350" s="134"/>
      <c r="O1350" s="134"/>
      <c r="P1350" s="134"/>
      <c r="Q1350" s="134"/>
      <c r="R1350" s="134"/>
      <c r="S1350" s="134"/>
      <c r="T1350" s="134"/>
      <c r="U1350" s="134"/>
      <c r="V1350" s="134"/>
      <c r="W1350" s="134"/>
      <c r="X1350" s="134"/>
      <c r="Y1350" s="134"/>
      <c r="Z1350" s="134"/>
      <c r="AA1350" s="134"/>
      <c r="AB1350" s="134"/>
      <c r="AC1350" s="134"/>
      <c r="AD1350" s="134"/>
      <c r="AE1350" s="134"/>
      <c r="AF1350" s="134"/>
      <c r="AG1350" s="134"/>
      <c r="AH1350" s="134"/>
      <c r="AI1350" s="134"/>
      <c r="AJ1350" s="134"/>
    </row>
    <row r="1351" spans="2:36">
      <c r="B1351" s="134"/>
      <c r="C1351" s="134"/>
      <c r="D1351" s="134"/>
      <c r="E1351" s="134"/>
      <c r="F1351" s="134"/>
      <c r="G1351" s="134"/>
      <c r="H1351" s="134"/>
      <c r="I1351" s="134"/>
      <c r="J1351" s="134"/>
      <c r="K1351" s="134"/>
      <c r="L1351" s="134"/>
      <c r="M1351" s="134"/>
      <c r="N1351" s="134"/>
      <c r="O1351" s="134"/>
      <c r="P1351" s="134"/>
      <c r="Q1351" s="134"/>
      <c r="R1351" s="134"/>
      <c r="S1351" s="134"/>
      <c r="T1351" s="134"/>
      <c r="U1351" s="134"/>
      <c r="V1351" s="134"/>
      <c r="W1351" s="134"/>
      <c r="X1351" s="134"/>
      <c r="Y1351" s="134"/>
      <c r="Z1351" s="134"/>
      <c r="AA1351" s="134"/>
      <c r="AB1351" s="134"/>
      <c r="AC1351" s="134"/>
      <c r="AD1351" s="134"/>
      <c r="AE1351" s="134"/>
      <c r="AF1351" s="134"/>
      <c r="AG1351" s="134"/>
      <c r="AH1351" s="134"/>
      <c r="AI1351" s="134"/>
      <c r="AJ1351" s="134"/>
    </row>
    <row r="1352" spans="2:36">
      <c r="B1352" s="134"/>
      <c r="C1352" s="134"/>
      <c r="D1352" s="134"/>
      <c r="E1352" s="134"/>
      <c r="F1352" s="134"/>
      <c r="G1352" s="134"/>
      <c r="H1352" s="134"/>
      <c r="I1352" s="134"/>
      <c r="J1352" s="134"/>
      <c r="K1352" s="134"/>
      <c r="L1352" s="134"/>
      <c r="M1352" s="134"/>
      <c r="N1352" s="134"/>
      <c r="O1352" s="134"/>
      <c r="P1352" s="134"/>
      <c r="Q1352" s="134"/>
      <c r="R1352" s="134"/>
      <c r="S1352" s="134"/>
      <c r="T1352" s="134"/>
      <c r="U1352" s="134"/>
      <c r="V1352" s="134"/>
      <c r="W1352" s="134"/>
      <c r="X1352" s="134"/>
      <c r="Y1352" s="134"/>
      <c r="Z1352" s="134"/>
      <c r="AA1352" s="134"/>
      <c r="AB1352" s="134"/>
      <c r="AC1352" s="134"/>
      <c r="AD1352" s="134"/>
      <c r="AE1352" s="134"/>
      <c r="AF1352" s="134"/>
      <c r="AG1352" s="134"/>
      <c r="AH1352" s="134"/>
      <c r="AI1352" s="134"/>
      <c r="AJ1352" s="134"/>
    </row>
    <row r="1353" spans="2:36">
      <c r="B1353" s="134"/>
      <c r="C1353" s="134"/>
      <c r="D1353" s="134"/>
      <c r="E1353" s="134"/>
      <c r="F1353" s="134"/>
      <c r="G1353" s="134"/>
      <c r="H1353" s="134"/>
      <c r="I1353" s="134"/>
      <c r="J1353" s="134"/>
      <c r="K1353" s="134"/>
      <c r="L1353" s="134"/>
      <c r="M1353" s="134"/>
      <c r="N1353" s="134"/>
      <c r="O1353" s="134"/>
      <c r="P1353" s="134"/>
      <c r="Q1353" s="134"/>
      <c r="R1353" s="134"/>
      <c r="S1353" s="134"/>
      <c r="T1353" s="134"/>
      <c r="U1353" s="134"/>
      <c r="V1353" s="134"/>
      <c r="W1353" s="134"/>
      <c r="X1353" s="134"/>
      <c r="Y1353" s="134"/>
      <c r="Z1353" s="134"/>
      <c r="AA1353" s="134"/>
      <c r="AB1353" s="134"/>
      <c r="AC1353" s="134"/>
      <c r="AD1353" s="134"/>
      <c r="AE1353" s="134"/>
      <c r="AF1353" s="134"/>
      <c r="AG1353" s="134"/>
      <c r="AH1353" s="134"/>
      <c r="AI1353" s="134"/>
      <c r="AJ1353" s="134"/>
    </row>
    <row r="1354" spans="2:36">
      <c r="B1354" s="134"/>
      <c r="C1354" s="134"/>
      <c r="D1354" s="134"/>
      <c r="E1354" s="134"/>
      <c r="F1354" s="134"/>
      <c r="G1354" s="134"/>
      <c r="H1354" s="134"/>
      <c r="I1354" s="134"/>
      <c r="J1354" s="134"/>
      <c r="K1354" s="134"/>
      <c r="L1354" s="134"/>
      <c r="M1354" s="134"/>
      <c r="N1354" s="134"/>
      <c r="O1354" s="134"/>
      <c r="P1354" s="134"/>
      <c r="Q1354" s="134"/>
      <c r="R1354" s="134"/>
      <c r="S1354" s="134"/>
      <c r="T1354" s="134"/>
      <c r="U1354" s="134"/>
      <c r="V1354" s="134"/>
      <c r="W1354" s="134"/>
      <c r="X1354" s="134"/>
      <c r="Y1354" s="134"/>
      <c r="Z1354" s="134"/>
      <c r="AA1354" s="134"/>
      <c r="AB1354" s="134"/>
      <c r="AC1354" s="134"/>
      <c r="AD1354" s="134"/>
      <c r="AE1354" s="134"/>
      <c r="AF1354" s="134"/>
      <c r="AG1354" s="134"/>
      <c r="AH1354" s="134"/>
      <c r="AI1354" s="134"/>
      <c r="AJ1354" s="134"/>
    </row>
    <row r="1355" spans="2:36">
      <c r="B1355" s="134"/>
      <c r="C1355" s="134"/>
      <c r="D1355" s="134"/>
      <c r="E1355" s="134"/>
      <c r="F1355" s="134"/>
      <c r="G1355" s="134"/>
      <c r="H1355" s="134"/>
      <c r="I1355" s="134"/>
      <c r="J1355" s="134"/>
      <c r="K1355" s="134"/>
      <c r="L1355" s="134"/>
      <c r="M1355" s="134"/>
      <c r="N1355" s="134"/>
      <c r="O1355" s="134"/>
      <c r="P1355" s="134"/>
      <c r="Q1355" s="134"/>
      <c r="R1355" s="134"/>
      <c r="S1355" s="134"/>
      <c r="T1355" s="134"/>
      <c r="U1355" s="134"/>
      <c r="V1355" s="134"/>
      <c r="W1355" s="134"/>
      <c r="X1355" s="134"/>
      <c r="Y1355" s="134"/>
      <c r="Z1355" s="134"/>
      <c r="AA1355" s="134"/>
      <c r="AB1355" s="134"/>
      <c r="AC1355" s="134"/>
      <c r="AD1355" s="134"/>
      <c r="AE1355" s="134"/>
      <c r="AF1355" s="134"/>
      <c r="AG1355" s="134"/>
      <c r="AH1355" s="134"/>
      <c r="AI1355" s="134"/>
      <c r="AJ1355" s="134"/>
    </row>
    <row r="1356" spans="2:36">
      <c r="B1356" s="134"/>
      <c r="C1356" s="134"/>
      <c r="D1356" s="134"/>
      <c r="E1356" s="134"/>
      <c r="F1356" s="134"/>
      <c r="G1356" s="134"/>
      <c r="H1356" s="134"/>
      <c r="I1356" s="134"/>
      <c r="J1356" s="134"/>
      <c r="K1356" s="134"/>
      <c r="L1356" s="134"/>
      <c r="M1356" s="134"/>
      <c r="N1356" s="134"/>
      <c r="O1356" s="134"/>
      <c r="P1356" s="134"/>
      <c r="Q1356" s="134"/>
      <c r="R1356" s="134"/>
      <c r="S1356" s="134"/>
      <c r="T1356" s="134"/>
      <c r="U1356" s="134"/>
      <c r="V1356" s="134"/>
      <c r="W1356" s="134"/>
      <c r="X1356" s="134"/>
      <c r="Y1356" s="134"/>
      <c r="Z1356" s="134"/>
      <c r="AA1356" s="134"/>
      <c r="AB1356" s="134"/>
      <c r="AC1356" s="134"/>
      <c r="AD1356" s="134"/>
      <c r="AE1356" s="134"/>
      <c r="AF1356" s="134"/>
      <c r="AG1356" s="134"/>
      <c r="AH1356" s="134"/>
      <c r="AI1356" s="134"/>
      <c r="AJ1356" s="134"/>
    </row>
    <row r="1357" spans="2:36">
      <c r="B1357" s="134"/>
      <c r="C1357" s="134"/>
      <c r="D1357" s="134"/>
      <c r="E1357" s="134"/>
      <c r="F1357" s="134"/>
      <c r="G1357" s="134"/>
      <c r="H1357" s="134"/>
      <c r="I1357" s="134"/>
      <c r="J1357" s="134"/>
      <c r="K1357" s="134"/>
      <c r="L1357" s="134"/>
      <c r="M1357" s="134"/>
      <c r="N1357" s="134"/>
      <c r="O1357" s="134"/>
      <c r="P1357" s="134"/>
      <c r="Q1357" s="134"/>
      <c r="R1357" s="134"/>
      <c r="S1357" s="134"/>
      <c r="T1357" s="134"/>
      <c r="U1357" s="134"/>
      <c r="V1357" s="134"/>
      <c r="W1357" s="134"/>
      <c r="X1357" s="134"/>
      <c r="Y1357" s="134"/>
      <c r="Z1357" s="134"/>
      <c r="AA1357" s="134"/>
      <c r="AB1357" s="134"/>
      <c r="AC1357" s="134"/>
      <c r="AD1357" s="134"/>
      <c r="AE1357" s="134"/>
      <c r="AF1357" s="134"/>
      <c r="AG1357" s="134"/>
      <c r="AH1357" s="134"/>
      <c r="AI1357" s="134"/>
      <c r="AJ1357" s="134"/>
    </row>
    <row r="1358" spans="2:36">
      <c r="B1358" s="134"/>
      <c r="C1358" s="134"/>
      <c r="D1358" s="134"/>
      <c r="E1358" s="134"/>
      <c r="F1358" s="134"/>
      <c r="G1358" s="134"/>
      <c r="H1358" s="134"/>
      <c r="I1358" s="134"/>
      <c r="J1358" s="134"/>
      <c r="K1358" s="134"/>
      <c r="L1358" s="134"/>
      <c r="M1358" s="134"/>
      <c r="N1358" s="134"/>
      <c r="O1358" s="134"/>
      <c r="P1358" s="134"/>
      <c r="Q1358" s="134"/>
      <c r="R1358" s="134"/>
      <c r="S1358" s="134"/>
      <c r="T1358" s="134"/>
      <c r="U1358" s="134"/>
      <c r="V1358" s="134"/>
      <c r="W1358" s="134"/>
      <c r="X1358" s="134"/>
      <c r="Y1358" s="134"/>
      <c r="Z1358" s="134"/>
      <c r="AA1358" s="134"/>
      <c r="AB1358" s="134"/>
      <c r="AC1358" s="134"/>
      <c r="AD1358" s="134"/>
      <c r="AE1358" s="134"/>
      <c r="AF1358" s="134"/>
      <c r="AG1358" s="134"/>
      <c r="AH1358" s="134"/>
      <c r="AI1358" s="134"/>
      <c r="AJ1358" s="134"/>
    </row>
    <row r="1359" spans="2:36">
      <c r="B1359" s="134"/>
      <c r="C1359" s="134"/>
      <c r="D1359" s="134"/>
      <c r="E1359" s="134"/>
      <c r="F1359" s="134"/>
      <c r="G1359" s="134"/>
      <c r="H1359" s="134"/>
      <c r="I1359" s="134"/>
      <c r="J1359" s="134"/>
      <c r="K1359" s="134"/>
      <c r="L1359" s="134"/>
      <c r="M1359" s="134"/>
      <c r="N1359" s="134"/>
      <c r="O1359" s="134"/>
      <c r="P1359" s="134"/>
      <c r="Q1359" s="134"/>
      <c r="R1359" s="134"/>
      <c r="S1359" s="134"/>
      <c r="T1359" s="134"/>
      <c r="U1359" s="134"/>
      <c r="V1359" s="134"/>
      <c r="W1359" s="134"/>
      <c r="X1359" s="134"/>
      <c r="Y1359" s="134"/>
      <c r="Z1359" s="134"/>
      <c r="AA1359" s="134"/>
      <c r="AB1359" s="134"/>
      <c r="AC1359" s="134"/>
      <c r="AD1359" s="134"/>
      <c r="AE1359" s="134"/>
      <c r="AF1359" s="134"/>
      <c r="AG1359" s="134"/>
      <c r="AH1359" s="134"/>
      <c r="AI1359" s="134"/>
      <c r="AJ1359" s="134"/>
    </row>
    <row r="1360" spans="2:36">
      <c r="B1360" s="134"/>
      <c r="C1360" s="134"/>
      <c r="D1360" s="134"/>
      <c r="E1360" s="134"/>
      <c r="F1360" s="134"/>
      <c r="G1360" s="134"/>
      <c r="H1360" s="134"/>
      <c r="I1360" s="134"/>
      <c r="J1360" s="134"/>
      <c r="K1360" s="134"/>
      <c r="L1360" s="134"/>
      <c r="M1360" s="134"/>
      <c r="N1360" s="134"/>
      <c r="O1360" s="134"/>
      <c r="P1360" s="134"/>
      <c r="Q1360" s="134"/>
      <c r="R1360" s="134"/>
      <c r="S1360" s="134"/>
      <c r="T1360" s="134"/>
      <c r="U1360" s="134"/>
      <c r="V1360" s="134"/>
      <c r="W1360" s="134"/>
      <c r="X1360" s="134"/>
      <c r="Y1360" s="134"/>
      <c r="Z1360" s="134"/>
      <c r="AA1360" s="134"/>
      <c r="AB1360" s="134"/>
      <c r="AC1360" s="134"/>
      <c r="AD1360" s="134"/>
      <c r="AE1360" s="134"/>
      <c r="AF1360" s="134"/>
      <c r="AG1360" s="134"/>
      <c r="AH1360" s="134"/>
      <c r="AI1360" s="134"/>
      <c r="AJ1360" s="134"/>
    </row>
    <row r="1361" spans="2:36">
      <c r="B1361" s="134"/>
      <c r="C1361" s="134"/>
      <c r="D1361" s="134"/>
      <c r="E1361" s="134"/>
      <c r="F1361" s="134"/>
      <c r="G1361" s="134"/>
      <c r="H1361" s="134"/>
      <c r="I1361" s="134"/>
      <c r="J1361" s="134"/>
      <c r="K1361" s="134"/>
      <c r="L1361" s="134"/>
      <c r="M1361" s="134"/>
      <c r="N1361" s="134"/>
      <c r="O1361" s="134"/>
      <c r="P1361" s="134"/>
      <c r="Q1361" s="134"/>
      <c r="R1361" s="134"/>
      <c r="S1361" s="134"/>
      <c r="T1361" s="134"/>
      <c r="U1361" s="134"/>
      <c r="V1361" s="134"/>
      <c r="W1361" s="134"/>
      <c r="X1361" s="134"/>
      <c r="Y1361" s="134"/>
      <c r="Z1361" s="134"/>
      <c r="AA1361" s="134"/>
      <c r="AB1361" s="134"/>
      <c r="AC1361" s="134"/>
      <c r="AD1361" s="134"/>
      <c r="AE1361" s="134"/>
      <c r="AF1361" s="134"/>
      <c r="AG1361" s="134"/>
      <c r="AH1361" s="134"/>
      <c r="AI1361" s="134"/>
      <c r="AJ1361" s="134"/>
    </row>
    <row r="1362" spans="2:36">
      <c r="B1362" s="134"/>
      <c r="C1362" s="134"/>
      <c r="D1362" s="134"/>
      <c r="E1362" s="134"/>
      <c r="F1362" s="134"/>
      <c r="G1362" s="134"/>
      <c r="H1362" s="134"/>
      <c r="I1362" s="134"/>
      <c r="J1362" s="134"/>
      <c r="K1362" s="134"/>
      <c r="L1362" s="134"/>
      <c r="M1362" s="134"/>
      <c r="N1362" s="134"/>
      <c r="O1362" s="134"/>
      <c r="P1362" s="134"/>
      <c r="Q1362" s="134"/>
      <c r="R1362" s="134"/>
      <c r="S1362" s="134"/>
      <c r="T1362" s="134"/>
      <c r="U1362" s="134"/>
      <c r="V1362" s="134"/>
      <c r="W1362" s="134"/>
      <c r="X1362" s="134"/>
      <c r="Y1362" s="134"/>
      <c r="Z1362" s="134"/>
      <c r="AA1362" s="134"/>
      <c r="AB1362" s="134"/>
      <c r="AC1362" s="134"/>
      <c r="AD1362" s="134"/>
      <c r="AE1362" s="134"/>
      <c r="AF1362" s="134"/>
      <c r="AG1362" s="134"/>
      <c r="AH1362" s="134"/>
      <c r="AI1362" s="134"/>
      <c r="AJ1362" s="134"/>
    </row>
    <row r="1363" spans="2:36">
      <c r="B1363" s="134"/>
      <c r="C1363" s="134"/>
      <c r="D1363" s="134"/>
      <c r="E1363" s="134"/>
      <c r="F1363" s="134"/>
      <c r="G1363" s="134"/>
      <c r="H1363" s="134"/>
      <c r="I1363" s="134"/>
      <c r="J1363" s="134"/>
      <c r="K1363" s="134"/>
      <c r="L1363" s="134"/>
      <c r="M1363" s="134"/>
      <c r="N1363" s="134"/>
      <c r="O1363" s="134"/>
      <c r="P1363" s="134"/>
      <c r="Q1363" s="134"/>
      <c r="R1363" s="134"/>
      <c r="S1363" s="134"/>
      <c r="T1363" s="134"/>
      <c r="U1363" s="134"/>
      <c r="V1363" s="134"/>
      <c r="W1363" s="134"/>
      <c r="X1363" s="134"/>
      <c r="Y1363" s="134"/>
      <c r="Z1363" s="134"/>
      <c r="AA1363" s="134"/>
      <c r="AB1363" s="134"/>
      <c r="AC1363" s="134"/>
      <c r="AD1363" s="134"/>
      <c r="AE1363" s="134"/>
      <c r="AF1363" s="134"/>
      <c r="AG1363" s="134"/>
      <c r="AH1363" s="134"/>
      <c r="AI1363" s="134"/>
      <c r="AJ1363" s="134"/>
    </row>
    <row r="1364" spans="2:36">
      <c r="B1364" s="134"/>
      <c r="C1364" s="134"/>
      <c r="D1364" s="134"/>
      <c r="E1364" s="134"/>
      <c r="F1364" s="134"/>
      <c r="G1364" s="134"/>
      <c r="H1364" s="134"/>
      <c r="I1364" s="134"/>
      <c r="J1364" s="134"/>
      <c r="K1364" s="134"/>
      <c r="L1364" s="134"/>
      <c r="M1364" s="134"/>
      <c r="N1364" s="134"/>
      <c r="O1364" s="134"/>
      <c r="P1364" s="134"/>
      <c r="Q1364" s="134"/>
      <c r="R1364" s="134"/>
      <c r="S1364" s="134"/>
      <c r="T1364" s="134"/>
      <c r="U1364" s="134"/>
      <c r="V1364" s="134"/>
      <c r="W1364" s="134"/>
      <c r="X1364" s="134"/>
      <c r="Y1364" s="134"/>
      <c r="Z1364" s="134"/>
      <c r="AA1364" s="134"/>
      <c r="AB1364" s="134"/>
      <c r="AC1364" s="134"/>
      <c r="AD1364" s="134"/>
      <c r="AE1364" s="134"/>
      <c r="AF1364" s="134"/>
      <c r="AG1364" s="134"/>
      <c r="AH1364" s="134"/>
      <c r="AI1364" s="134"/>
      <c r="AJ1364" s="134"/>
    </row>
    <row r="1365" spans="2:36">
      <c r="B1365" s="134"/>
      <c r="C1365" s="134"/>
      <c r="D1365" s="134"/>
      <c r="E1365" s="134"/>
      <c r="F1365" s="134"/>
      <c r="G1365" s="134"/>
      <c r="H1365" s="134"/>
      <c r="I1365" s="134"/>
      <c r="J1365" s="134"/>
      <c r="K1365" s="134"/>
      <c r="L1365" s="134"/>
      <c r="M1365" s="134"/>
      <c r="N1365" s="134"/>
      <c r="O1365" s="134"/>
      <c r="P1365" s="134"/>
      <c r="Q1365" s="134"/>
      <c r="R1365" s="134"/>
      <c r="S1365" s="134"/>
      <c r="T1365" s="134"/>
      <c r="U1365" s="134"/>
      <c r="V1365" s="134"/>
      <c r="W1365" s="134"/>
      <c r="X1365" s="134"/>
      <c r="Y1365" s="134"/>
      <c r="Z1365" s="134"/>
      <c r="AA1365" s="134"/>
      <c r="AB1365" s="134"/>
      <c r="AC1365" s="134"/>
      <c r="AD1365" s="134"/>
      <c r="AE1365" s="134"/>
      <c r="AF1365" s="134"/>
      <c r="AG1365" s="134"/>
      <c r="AH1365" s="134"/>
      <c r="AI1365" s="134"/>
      <c r="AJ1365" s="134"/>
    </row>
    <row r="1366" spans="2:36">
      <c r="B1366" s="134"/>
      <c r="C1366" s="134"/>
      <c r="D1366" s="134"/>
      <c r="E1366" s="134"/>
      <c r="F1366" s="134"/>
      <c r="G1366" s="134"/>
      <c r="H1366" s="134"/>
      <c r="I1366" s="134"/>
      <c r="J1366" s="134"/>
      <c r="K1366" s="134"/>
      <c r="L1366" s="134"/>
      <c r="M1366" s="134"/>
      <c r="N1366" s="134"/>
      <c r="O1366" s="134"/>
      <c r="P1366" s="134"/>
      <c r="Q1366" s="134"/>
      <c r="R1366" s="134"/>
      <c r="S1366" s="134"/>
      <c r="T1366" s="134"/>
      <c r="U1366" s="134"/>
      <c r="V1366" s="134"/>
      <c r="W1366" s="134"/>
      <c r="X1366" s="134"/>
      <c r="Y1366" s="134"/>
      <c r="Z1366" s="134"/>
      <c r="AA1366" s="134"/>
      <c r="AB1366" s="134"/>
      <c r="AC1366" s="134"/>
      <c r="AD1366" s="134"/>
      <c r="AE1366" s="134"/>
      <c r="AF1366" s="134"/>
      <c r="AG1366" s="134"/>
      <c r="AH1366" s="134"/>
      <c r="AI1366" s="134"/>
      <c r="AJ1366" s="134"/>
    </row>
    <row r="1367" spans="2:36">
      <c r="B1367" s="134"/>
      <c r="C1367" s="134"/>
      <c r="D1367" s="134"/>
      <c r="E1367" s="134"/>
      <c r="F1367" s="134"/>
      <c r="G1367" s="134"/>
      <c r="H1367" s="134"/>
      <c r="I1367" s="134"/>
      <c r="J1367" s="134"/>
      <c r="K1367" s="134"/>
      <c r="L1367" s="134"/>
      <c r="M1367" s="134"/>
      <c r="N1367" s="134"/>
      <c r="O1367" s="134"/>
      <c r="P1367" s="134"/>
      <c r="Q1367" s="134"/>
      <c r="R1367" s="134"/>
      <c r="S1367" s="134"/>
      <c r="T1367" s="134"/>
      <c r="U1367" s="134"/>
      <c r="V1367" s="134"/>
      <c r="W1367" s="134"/>
      <c r="X1367" s="134"/>
      <c r="Y1367" s="134"/>
      <c r="Z1367" s="134"/>
      <c r="AA1367" s="134"/>
      <c r="AB1367" s="134"/>
      <c r="AC1367" s="134"/>
      <c r="AD1367" s="134"/>
      <c r="AE1367" s="134"/>
      <c r="AF1367" s="134"/>
      <c r="AG1367" s="134"/>
      <c r="AH1367" s="134"/>
      <c r="AI1367" s="134"/>
      <c r="AJ1367" s="134"/>
    </row>
    <row r="1368" spans="2:36">
      <c r="B1368" s="134"/>
      <c r="C1368" s="134"/>
      <c r="D1368" s="134"/>
      <c r="E1368" s="134"/>
      <c r="F1368" s="134"/>
      <c r="G1368" s="134"/>
      <c r="H1368" s="134"/>
      <c r="I1368" s="134"/>
      <c r="J1368" s="134"/>
      <c r="K1368" s="134"/>
      <c r="L1368" s="134"/>
      <c r="M1368" s="134"/>
      <c r="N1368" s="134"/>
      <c r="O1368" s="134"/>
      <c r="P1368" s="134"/>
      <c r="Q1368" s="134"/>
      <c r="R1368" s="134"/>
      <c r="S1368" s="134"/>
      <c r="T1368" s="134"/>
      <c r="U1368" s="134"/>
      <c r="V1368" s="134"/>
      <c r="W1368" s="134"/>
      <c r="X1368" s="134"/>
      <c r="Y1368" s="134"/>
      <c r="Z1368" s="134"/>
      <c r="AA1368" s="134"/>
      <c r="AB1368" s="134"/>
      <c r="AC1368" s="134"/>
      <c r="AD1368" s="134"/>
      <c r="AE1368" s="134"/>
      <c r="AF1368" s="134"/>
      <c r="AG1368" s="134"/>
      <c r="AH1368" s="134"/>
      <c r="AI1368" s="134"/>
      <c r="AJ1368" s="134"/>
    </row>
    <row r="1369" spans="2:36">
      <c r="B1369" s="134"/>
      <c r="C1369" s="134"/>
      <c r="D1369" s="134"/>
      <c r="E1369" s="134"/>
      <c r="F1369" s="134"/>
      <c r="G1369" s="134"/>
      <c r="H1369" s="134"/>
      <c r="I1369" s="134"/>
      <c r="J1369" s="134"/>
      <c r="K1369" s="134"/>
      <c r="L1369" s="134"/>
      <c r="M1369" s="134"/>
      <c r="N1369" s="134"/>
      <c r="O1369" s="134"/>
      <c r="P1369" s="134"/>
      <c r="Q1369" s="134"/>
      <c r="R1369" s="134"/>
      <c r="S1369" s="134"/>
      <c r="T1369" s="134"/>
      <c r="U1369" s="134"/>
      <c r="V1369" s="134"/>
      <c r="W1369" s="134"/>
      <c r="X1369" s="134"/>
      <c r="Y1369" s="134"/>
      <c r="Z1369" s="134"/>
      <c r="AA1369" s="134"/>
      <c r="AB1369" s="134"/>
      <c r="AC1369" s="134"/>
      <c r="AD1369" s="134"/>
      <c r="AE1369" s="134"/>
      <c r="AF1369" s="134"/>
      <c r="AG1369" s="134"/>
      <c r="AH1369" s="134"/>
      <c r="AI1369" s="134"/>
      <c r="AJ1369" s="134"/>
    </row>
    <row r="1370" spans="2:36">
      <c r="B1370" s="134"/>
      <c r="C1370" s="134"/>
      <c r="D1370" s="134"/>
      <c r="E1370" s="134"/>
      <c r="F1370" s="134"/>
      <c r="G1370" s="134"/>
      <c r="H1370" s="134"/>
      <c r="I1370" s="134"/>
      <c r="J1370" s="134"/>
      <c r="K1370" s="134"/>
      <c r="L1370" s="134"/>
      <c r="M1370" s="134"/>
      <c r="N1370" s="134"/>
      <c r="O1370" s="134"/>
      <c r="P1370" s="134"/>
      <c r="Q1370" s="134"/>
      <c r="R1370" s="134"/>
      <c r="S1370" s="134"/>
      <c r="T1370" s="134"/>
      <c r="U1370" s="134"/>
      <c r="V1370" s="134"/>
      <c r="W1370" s="134"/>
      <c r="X1370" s="134"/>
      <c r="Y1370" s="134"/>
      <c r="Z1370" s="134"/>
      <c r="AA1370" s="134"/>
      <c r="AB1370" s="134"/>
      <c r="AC1370" s="134"/>
      <c r="AD1370" s="134"/>
      <c r="AE1370" s="134"/>
      <c r="AF1370" s="134"/>
      <c r="AG1370" s="134"/>
      <c r="AH1370" s="134"/>
      <c r="AI1370" s="134"/>
      <c r="AJ1370" s="134"/>
    </row>
    <row r="1371" spans="2:36">
      <c r="B1371" s="134"/>
      <c r="C1371" s="134"/>
      <c r="D1371" s="134"/>
      <c r="E1371" s="134"/>
      <c r="F1371" s="134"/>
      <c r="G1371" s="134"/>
      <c r="H1371" s="134"/>
      <c r="I1371" s="134"/>
      <c r="J1371" s="134"/>
      <c r="K1371" s="134"/>
      <c r="L1371" s="134"/>
      <c r="M1371" s="134"/>
      <c r="N1371" s="134"/>
      <c r="O1371" s="134"/>
      <c r="P1371" s="134"/>
      <c r="Q1371" s="134"/>
      <c r="R1371" s="134"/>
      <c r="S1371" s="134"/>
      <c r="T1371" s="134"/>
      <c r="U1371" s="134"/>
      <c r="V1371" s="134"/>
      <c r="W1371" s="134"/>
      <c r="X1371" s="134"/>
      <c r="Y1371" s="134"/>
      <c r="Z1371" s="134"/>
      <c r="AA1371" s="134"/>
      <c r="AB1371" s="134"/>
      <c r="AC1371" s="134"/>
      <c r="AD1371" s="134"/>
      <c r="AE1371" s="134"/>
      <c r="AF1371" s="134"/>
      <c r="AG1371" s="134"/>
      <c r="AH1371" s="134"/>
      <c r="AI1371" s="134"/>
      <c r="AJ1371" s="134"/>
    </row>
    <row r="1372" spans="2:36">
      <c r="B1372" s="134"/>
      <c r="C1372" s="134"/>
      <c r="D1372" s="134"/>
      <c r="E1372" s="134"/>
      <c r="F1372" s="134"/>
      <c r="G1372" s="134"/>
      <c r="H1372" s="134"/>
      <c r="I1372" s="134"/>
      <c r="J1372" s="134"/>
      <c r="K1372" s="134"/>
      <c r="L1372" s="134"/>
      <c r="M1372" s="134"/>
      <c r="N1372" s="134"/>
      <c r="O1372" s="134"/>
      <c r="P1372" s="134"/>
      <c r="Q1372" s="134"/>
      <c r="R1372" s="134"/>
      <c r="S1372" s="134"/>
      <c r="T1372" s="134"/>
      <c r="U1372" s="134"/>
      <c r="V1372" s="134"/>
      <c r="W1372" s="134"/>
      <c r="X1372" s="134"/>
      <c r="Y1372" s="134"/>
      <c r="Z1372" s="134"/>
      <c r="AA1372" s="134"/>
      <c r="AB1372" s="134"/>
      <c r="AC1372" s="134"/>
      <c r="AD1372" s="134"/>
      <c r="AE1372" s="134"/>
      <c r="AF1372" s="134"/>
      <c r="AG1372" s="134"/>
      <c r="AH1372" s="134"/>
      <c r="AI1372" s="134"/>
      <c r="AJ1372" s="134"/>
    </row>
    <row r="1373" spans="2:36">
      <c r="B1373" s="134"/>
      <c r="C1373" s="134"/>
      <c r="D1373" s="134"/>
      <c r="E1373" s="134"/>
      <c r="F1373" s="134"/>
      <c r="G1373" s="134"/>
      <c r="H1373" s="134"/>
      <c r="I1373" s="134"/>
      <c r="J1373" s="134"/>
      <c r="K1373" s="134"/>
      <c r="L1373" s="134"/>
      <c r="M1373" s="134"/>
      <c r="N1373" s="134"/>
      <c r="O1373" s="134"/>
      <c r="P1373" s="134"/>
      <c r="Q1373" s="134"/>
      <c r="R1373" s="134"/>
      <c r="S1373" s="134"/>
      <c r="T1373" s="134"/>
      <c r="U1373" s="134"/>
      <c r="V1373" s="134"/>
      <c r="W1373" s="134"/>
      <c r="X1373" s="134"/>
      <c r="Y1373" s="134"/>
      <c r="Z1373" s="134"/>
      <c r="AA1373" s="134"/>
      <c r="AB1373" s="134"/>
      <c r="AC1373" s="134"/>
      <c r="AD1373" s="134"/>
      <c r="AE1373" s="134"/>
      <c r="AF1373" s="134"/>
      <c r="AG1373" s="134"/>
      <c r="AH1373" s="134"/>
      <c r="AI1373" s="134"/>
      <c r="AJ1373" s="134"/>
    </row>
    <row r="1374" spans="2:36">
      <c r="B1374" s="134"/>
      <c r="C1374" s="134"/>
      <c r="D1374" s="134"/>
      <c r="E1374" s="134"/>
      <c r="F1374" s="134"/>
      <c r="G1374" s="134"/>
      <c r="H1374" s="134"/>
      <c r="I1374" s="134"/>
      <c r="J1374" s="134"/>
      <c r="K1374" s="134"/>
      <c r="L1374" s="134"/>
      <c r="M1374" s="134"/>
      <c r="N1374" s="134"/>
      <c r="O1374" s="134"/>
      <c r="P1374" s="134"/>
      <c r="Q1374" s="134"/>
      <c r="R1374" s="134"/>
      <c r="S1374" s="134"/>
      <c r="T1374" s="134"/>
      <c r="U1374" s="134"/>
      <c r="V1374" s="134"/>
      <c r="W1374" s="134"/>
      <c r="X1374" s="134"/>
      <c r="Y1374" s="134"/>
      <c r="Z1374" s="134"/>
      <c r="AA1374" s="134"/>
      <c r="AB1374" s="134"/>
      <c r="AC1374" s="134"/>
      <c r="AD1374" s="134"/>
      <c r="AE1374" s="134"/>
      <c r="AF1374" s="134"/>
      <c r="AG1374" s="134"/>
      <c r="AH1374" s="134"/>
      <c r="AI1374" s="134"/>
      <c r="AJ1374" s="134"/>
    </row>
    <row r="1375" spans="2:36">
      <c r="B1375" s="134"/>
      <c r="C1375" s="134"/>
      <c r="D1375" s="134"/>
      <c r="E1375" s="134"/>
      <c r="F1375" s="134"/>
      <c r="G1375" s="134"/>
      <c r="H1375" s="134"/>
      <c r="I1375" s="134"/>
      <c r="J1375" s="134"/>
      <c r="K1375" s="134"/>
      <c r="L1375" s="134"/>
      <c r="M1375" s="134"/>
      <c r="N1375" s="134"/>
      <c r="O1375" s="134"/>
      <c r="P1375" s="134"/>
      <c r="Q1375" s="134"/>
      <c r="R1375" s="134"/>
      <c r="S1375" s="134"/>
      <c r="T1375" s="134"/>
      <c r="U1375" s="134"/>
      <c r="V1375" s="134"/>
      <c r="W1375" s="134"/>
      <c r="X1375" s="134"/>
      <c r="Y1375" s="134"/>
      <c r="Z1375" s="134"/>
      <c r="AA1375" s="134"/>
      <c r="AB1375" s="134"/>
      <c r="AC1375" s="134"/>
      <c r="AD1375" s="134"/>
      <c r="AE1375" s="134"/>
      <c r="AF1375" s="134"/>
      <c r="AG1375" s="134"/>
      <c r="AH1375" s="134"/>
      <c r="AI1375" s="134"/>
      <c r="AJ1375" s="134"/>
    </row>
    <row r="1376" spans="2:36">
      <c r="B1376" s="134"/>
      <c r="C1376" s="134"/>
      <c r="D1376" s="134"/>
      <c r="E1376" s="134"/>
      <c r="F1376" s="134"/>
      <c r="G1376" s="134"/>
      <c r="H1376" s="134"/>
      <c r="I1376" s="134"/>
      <c r="J1376" s="134"/>
      <c r="K1376" s="134"/>
      <c r="L1376" s="134"/>
      <c r="M1376" s="134"/>
      <c r="N1376" s="134"/>
      <c r="O1376" s="134"/>
      <c r="P1376" s="134"/>
      <c r="Q1376" s="134"/>
      <c r="R1376" s="134"/>
      <c r="S1376" s="134"/>
      <c r="T1376" s="134"/>
      <c r="U1376" s="134"/>
      <c r="V1376" s="134"/>
      <c r="W1376" s="134"/>
      <c r="X1376" s="134"/>
      <c r="Y1376" s="134"/>
      <c r="Z1376" s="134"/>
      <c r="AA1376" s="134"/>
      <c r="AB1376" s="134"/>
      <c r="AC1376" s="134"/>
      <c r="AD1376" s="134"/>
      <c r="AE1376" s="134"/>
      <c r="AF1376" s="134"/>
      <c r="AG1376" s="134"/>
      <c r="AH1376" s="134"/>
      <c r="AI1376" s="134"/>
      <c r="AJ1376" s="134"/>
    </row>
    <row r="1377" spans="2:36">
      <c r="B1377" s="134"/>
      <c r="C1377" s="134"/>
      <c r="D1377" s="134"/>
      <c r="E1377" s="134"/>
      <c r="F1377" s="134"/>
      <c r="G1377" s="134"/>
      <c r="H1377" s="134"/>
      <c r="I1377" s="134"/>
      <c r="J1377" s="134"/>
      <c r="K1377" s="134"/>
      <c r="L1377" s="134"/>
      <c r="M1377" s="134"/>
      <c r="N1377" s="134"/>
      <c r="O1377" s="134"/>
      <c r="P1377" s="134"/>
      <c r="Q1377" s="134"/>
      <c r="R1377" s="134"/>
      <c r="S1377" s="134"/>
      <c r="T1377" s="134"/>
      <c r="U1377" s="134"/>
      <c r="V1377" s="134"/>
      <c r="W1377" s="134"/>
      <c r="X1377" s="134"/>
      <c r="Y1377" s="134"/>
      <c r="Z1377" s="134"/>
      <c r="AA1377" s="134"/>
      <c r="AB1377" s="134"/>
      <c r="AC1377" s="134"/>
      <c r="AD1377" s="134"/>
      <c r="AE1377" s="134"/>
      <c r="AF1377" s="134"/>
      <c r="AG1377" s="134"/>
      <c r="AH1377" s="134"/>
      <c r="AI1377" s="134"/>
      <c r="AJ1377" s="134"/>
    </row>
    <row r="1378" spans="2:36">
      <c r="B1378" s="134"/>
      <c r="C1378" s="134"/>
      <c r="D1378" s="134"/>
      <c r="E1378" s="134"/>
      <c r="F1378" s="134"/>
      <c r="G1378" s="134"/>
      <c r="H1378" s="134"/>
      <c r="I1378" s="134"/>
      <c r="J1378" s="134"/>
      <c r="K1378" s="134"/>
      <c r="L1378" s="134"/>
      <c r="M1378" s="134"/>
      <c r="N1378" s="134"/>
      <c r="O1378" s="134"/>
      <c r="P1378" s="134"/>
      <c r="Q1378" s="134"/>
      <c r="R1378" s="134"/>
      <c r="S1378" s="134"/>
      <c r="T1378" s="134"/>
      <c r="U1378" s="134"/>
      <c r="V1378" s="134"/>
      <c r="W1378" s="134"/>
      <c r="X1378" s="134"/>
      <c r="Y1378" s="134"/>
      <c r="Z1378" s="134"/>
      <c r="AA1378" s="134"/>
      <c r="AB1378" s="134"/>
      <c r="AC1378" s="134"/>
      <c r="AD1378" s="134"/>
      <c r="AE1378" s="134"/>
      <c r="AF1378" s="134"/>
      <c r="AG1378" s="134"/>
      <c r="AH1378" s="134"/>
      <c r="AI1378" s="134"/>
      <c r="AJ1378" s="134"/>
    </row>
    <row r="1379" spans="2:36">
      <c r="B1379" s="134"/>
      <c r="C1379" s="134"/>
      <c r="D1379" s="134"/>
      <c r="E1379" s="134"/>
      <c r="F1379" s="134"/>
      <c r="G1379" s="134"/>
      <c r="H1379" s="134"/>
      <c r="I1379" s="134"/>
      <c r="J1379" s="134"/>
      <c r="K1379" s="134"/>
      <c r="L1379" s="134"/>
      <c r="M1379" s="134"/>
      <c r="N1379" s="134"/>
      <c r="O1379" s="134"/>
      <c r="P1379" s="134"/>
      <c r="Q1379" s="134"/>
      <c r="R1379" s="134"/>
      <c r="S1379" s="134"/>
      <c r="T1379" s="134"/>
      <c r="U1379" s="134"/>
      <c r="V1379" s="134"/>
      <c r="W1379" s="134"/>
      <c r="X1379" s="134"/>
      <c r="Y1379" s="134"/>
      <c r="Z1379" s="134"/>
      <c r="AA1379" s="134"/>
      <c r="AB1379" s="134"/>
      <c r="AC1379" s="134"/>
      <c r="AD1379" s="134"/>
      <c r="AE1379" s="134"/>
      <c r="AF1379" s="134"/>
      <c r="AG1379" s="134"/>
      <c r="AH1379" s="134"/>
      <c r="AI1379" s="134"/>
      <c r="AJ1379" s="134"/>
    </row>
    <row r="1380" spans="2:36">
      <c r="B1380" s="134"/>
      <c r="C1380" s="134"/>
      <c r="D1380" s="134"/>
      <c r="E1380" s="134"/>
      <c r="F1380" s="134"/>
      <c r="G1380" s="134"/>
      <c r="H1380" s="134"/>
      <c r="I1380" s="134"/>
      <c r="J1380" s="134"/>
      <c r="K1380" s="134"/>
      <c r="L1380" s="134"/>
      <c r="M1380" s="134"/>
      <c r="N1380" s="134"/>
      <c r="O1380" s="134"/>
      <c r="P1380" s="134"/>
      <c r="Q1380" s="134"/>
      <c r="R1380" s="134"/>
      <c r="S1380" s="134"/>
      <c r="T1380" s="134"/>
      <c r="U1380" s="134"/>
      <c r="V1380" s="134"/>
      <c r="W1380" s="134"/>
      <c r="X1380" s="134"/>
      <c r="Y1380" s="134"/>
      <c r="Z1380" s="134"/>
      <c r="AA1380" s="134"/>
      <c r="AB1380" s="134"/>
      <c r="AC1380" s="134"/>
      <c r="AD1380" s="134"/>
      <c r="AE1380" s="134"/>
      <c r="AF1380" s="134"/>
      <c r="AG1380" s="134"/>
      <c r="AH1380" s="134"/>
      <c r="AI1380" s="134"/>
      <c r="AJ1380" s="134"/>
    </row>
    <row r="1381" spans="2:36">
      <c r="B1381" s="134"/>
      <c r="C1381" s="134"/>
      <c r="D1381" s="134"/>
      <c r="E1381" s="134"/>
      <c r="F1381" s="134"/>
      <c r="G1381" s="134"/>
      <c r="H1381" s="134"/>
      <c r="I1381" s="134"/>
      <c r="J1381" s="134"/>
      <c r="K1381" s="134"/>
      <c r="L1381" s="134"/>
      <c r="M1381" s="134"/>
      <c r="N1381" s="134"/>
      <c r="O1381" s="134"/>
      <c r="P1381" s="134"/>
      <c r="Q1381" s="134"/>
      <c r="R1381" s="134"/>
      <c r="S1381" s="134"/>
      <c r="T1381" s="134"/>
      <c r="U1381" s="134"/>
      <c r="V1381" s="134"/>
      <c r="W1381" s="134"/>
      <c r="X1381" s="134"/>
      <c r="Y1381" s="134"/>
      <c r="Z1381" s="134"/>
      <c r="AA1381" s="134"/>
      <c r="AB1381" s="134"/>
      <c r="AC1381" s="134"/>
      <c r="AD1381" s="134"/>
      <c r="AE1381" s="134"/>
      <c r="AF1381" s="134"/>
      <c r="AG1381" s="134"/>
      <c r="AH1381" s="134"/>
      <c r="AI1381" s="134"/>
      <c r="AJ1381" s="134"/>
    </row>
    <row r="1382" spans="2:36">
      <c r="B1382" s="134"/>
      <c r="C1382" s="134"/>
      <c r="D1382" s="134"/>
      <c r="E1382" s="134"/>
      <c r="F1382" s="134"/>
      <c r="G1382" s="134"/>
      <c r="H1382" s="134"/>
      <c r="I1382" s="134"/>
      <c r="J1382" s="134"/>
      <c r="K1382" s="134"/>
      <c r="L1382" s="134"/>
      <c r="M1382" s="134"/>
      <c r="N1382" s="134"/>
      <c r="O1382" s="134"/>
      <c r="P1382" s="134"/>
      <c r="Q1382" s="134"/>
      <c r="R1382" s="134"/>
      <c r="S1382" s="134"/>
      <c r="T1382" s="134"/>
      <c r="U1382" s="134"/>
      <c r="V1382" s="134"/>
      <c r="W1382" s="134"/>
      <c r="X1382" s="134"/>
      <c r="Y1382" s="134"/>
      <c r="Z1382" s="134"/>
      <c r="AA1382" s="134"/>
      <c r="AB1382" s="134"/>
      <c r="AC1382" s="134"/>
      <c r="AD1382" s="134"/>
      <c r="AE1382" s="134"/>
      <c r="AF1382" s="134"/>
      <c r="AG1382" s="134"/>
      <c r="AH1382" s="134"/>
      <c r="AI1382" s="134"/>
      <c r="AJ1382" s="134"/>
    </row>
    <row r="1383" spans="2:36">
      <c r="B1383" s="134"/>
      <c r="C1383" s="134"/>
      <c r="D1383" s="134"/>
      <c r="E1383" s="134"/>
      <c r="F1383" s="134"/>
      <c r="G1383" s="134"/>
      <c r="H1383" s="134"/>
      <c r="I1383" s="134"/>
      <c r="J1383" s="134"/>
      <c r="K1383" s="134"/>
      <c r="L1383" s="134"/>
      <c r="M1383" s="134"/>
      <c r="N1383" s="134"/>
      <c r="O1383" s="134"/>
      <c r="P1383" s="134"/>
      <c r="Q1383" s="134"/>
      <c r="R1383" s="134"/>
      <c r="S1383" s="134"/>
      <c r="T1383" s="134"/>
      <c r="U1383" s="134"/>
      <c r="V1383" s="134"/>
      <c r="W1383" s="134"/>
      <c r="X1383" s="134"/>
      <c r="Y1383" s="134"/>
      <c r="Z1383" s="134"/>
      <c r="AA1383" s="134"/>
      <c r="AB1383" s="134"/>
      <c r="AC1383" s="134"/>
      <c r="AD1383" s="134"/>
      <c r="AE1383" s="134"/>
      <c r="AF1383" s="134"/>
      <c r="AG1383" s="134"/>
      <c r="AH1383" s="134"/>
      <c r="AI1383" s="134"/>
      <c r="AJ1383" s="134"/>
    </row>
    <row r="1384" spans="2:36">
      <c r="B1384" s="134"/>
      <c r="C1384" s="134"/>
      <c r="D1384" s="134"/>
      <c r="E1384" s="134"/>
      <c r="F1384" s="134"/>
      <c r="G1384" s="134"/>
      <c r="H1384" s="134"/>
      <c r="I1384" s="134"/>
      <c r="J1384" s="134"/>
      <c r="K1384" s="134"/>
      <c r="L1384" s="134"/>
      <c r="M1384" s="134"/>
      <c r="N1384" s="134"/>
      <c r="O1384" s="134"/>
      <c r="P1384" s="134"/>
      <c r="Q1384" s="134"/>
      <c r="R1384" s="134"/>
      <c r="S1384" s="134"/>
      <c r="T1384" s="134"/>
      <c r="U1384" s="134"/>
      <c r="V1384" s="134"/>
      <c r="W1384" s="134"/>
      <c r="X1384" s="134"/>
      <c r="Y1384" s="134"/>
      <c r="Z1384" s="134"/>
      <c r="AA1384" s="134"/>
      <c r="AB1384" s="134"/>
      <c r="AC1384" s="134"/>
      <c r="AD1384" s="134"/>
      <c r="AE1384" s="134"/>
      <c r="AF1384" s="134"/>
      <c r="AG1384" s="134"/>
      <c r="AH1384" s="134"/>
      <c r="AI1384" s="134"/>
      <c r="AJ1384" s="134"/>
    </row>
    <row r="1385" spans="2:36">
      <c r="B1385" s="134"/>
      <c r="C1385" s="134"/>
      <c r="D1385" s="134"/>
      <c r="E1385" s="134"/>
      <c r="F1385" s="134"/>
      <c r="G1385" s="134"/>
      <c r="H1385" s="134"/>
      <c r="I1385" s="134"/>
      <c r="J1385" s="134"/>
      <c r="K1385" s="134"/>
      <c r="L1385" s="134"/>
      <c r="M1385" s="134"/>
      <c r="N1385" s="134"/>
      <c r="O1385" s="134"/>
      <c r="P1385" s="134"/>
      <c r="Q1385" s="134"/>
      <c r="R1385" s="134"/>
      <c r="S1385" s="134"/>
      <c r="T1385" s="134"/>
      <c r="U1385" s="134"/>
      <c r="V1385" s="134"/>
      <c r="W1385" s="134"/>
      <c r="X1385" s="134"/>
      <c r="Y1385" s="134"/>
      <c r="Z1385" s="134"/>
      <c r="AA1385" s="134"/>
      <c r="AB1385" s="134"/>
      <c r="AC1385" s="134"/>
      <c r="AD1385" s="134"/>
      <c r="AE1385" s="134"/>
      <c r="AF1385" s="134"/>
      <c r="AG1385" s="134"/>
      <c r="AH1385" s="134"/>
      <c r="AI1385" s="134"/>
      <c r="AJ1385" s="134"/>
    </row>
    <row r="1386" spans="2:36">
      <c r="B1386" s="134"/>
      <c r="C1386" s="134"/>
      <c r="D1386" s="134"/>
      <c r="E1386" s="134"/>
      <c r="F1386" s="134"/>
      <c r="G1386" s="134"/>
      <c r="H1386" s="134"/>
      <c r="I1386" s="134"/>
      <c r="J1386" s="134"/>
      <c r="K1386" s="134"/>
      <c r="L1386" s="134"/>
      <c r="M1386" s="134"/>
      <c r="N1386" s="134"/>
      <c r="O1386" s="134"/>
      <c r="P1386" s="134"/>
      <c r="Q1386" s="134"/>
      <c r="R1386" s="134"/>
      <c r="S1386" s="134"/>
      <c r="T1386" s="134"/>
      <c r="U1386" s="134"/>
      <c r="V1386" s="134"/>
      <c r="W1386" s="134"/>
      <c r="X1386" s="134"/>
      <c r="Y1386" s="134"/>
      <c r="Z1386" s="134"/>
      <c r="AA1386" s="134"/>
      <c r="AB1386" s="134"/>
      <c r="AC1386" s="134"/>
      <c r="AD1386" s="134"/>
      <c r="AE1386" s="134"/>
      <c r="AF1386" s="134"/>
      <c r="AG1386" s="134"/>
      <c r="AH1386" s="134"/>
      <c r="AI1386" s="134"/>
      <c r="AJ1386" s="134"/>
    </row>
    <row r="1387" spans="2:36">
      <c r="B1387" s="134"/>
      <c r="C1387" s="134"/>
      <c r="D1387" s="134"/>
      <c r="E1387" s="134"/>
      <c r="F1387" s="134"/>
      <c r="G1387" s="134"/>
      <c r="H1387" s="134"/>
      <c r="I1387" s="134"/>
      <c r="J1387" s="134"/>
      <c r="K1387" s="134"/>
      <c r="L1387" s="134"/>
      <c r="M1387" s="134"/>
      <c r="N1387" s="134"/>
      <c r="O1387" s="134"/>
      <c r="P1387" s="134"/>
      <c r="Q1387" s="134"/>
      <c r="R1387" s="134"/>
      <c r="S1387" s="134"/>
      <c r="T1387" s="134"/>
      <c r="U1387" s="134"/>
      <c r="V1387" s="134"/>
      <c r="W1387" s="134"/>
      <c r="X1387" s="134"/>
      <c r="Y1387" s="134"/>
      <c r="Z1387" s="134"/>
      <c r="AA1387" s="134"/>
      <c r="AB1387" s="134"/>
      <c r="AC1387" s="134"/>
      <c r="AD1387" s="134"/>
      <c r="AE1387" s="134"/>
      <c r="AF1387" s="134"/>
      <c r="AG1387" s="134"/>
      <c r="AH1387" s="134"/>
      <c r="AI1387" s="134"/>
      <c r="AJ1387" s="134"/>
    </row>
    <row r="1388" spans="2:36">
      <c r="B1388" s="134"/>
      <c r="C1388" s="134"/>
      <c r="D1388" s="134"/>
      <c r="E1388" s="134"/>
      <c r="F1388" s="134"/>
      <c r="G1388" s="134"/>
      <c r="H1388" s="134"/>
      <c r="I1388" s="134"/>
      <c r="J1388" s="134"/>
      <c r="K1388" s="134"/>
      <c r="L1388" s="134"/>
      <c r="M1388" s="134"/>
      <c r="N1388" s="134"/>
      <c r="O1388" s="134"/>
      <c r="P1388" s="134"/>
      <c r="Q1388" s="134"/>
      <c r="R1388" s="134"/>
      <c r="S1388" s="134"/>
      <c r="T1388" s="134"/>
      <c r="U1388" s="134"/>
      <c r="V1388" s="134"/>
      <c r="W1388" s="134"/>
      <c r="X1388" s="134"/>
      <c r="Y1388" s="134"/>
      <c r="Z1388" s="134"/>
      <c r="AA1388" s="134"/>
      <c r="AB1388" s="134"/>
      <c r="AC1388" s="134"/>
      <c r="AD1388" s="134"/>
      <c r="AE1388" s="134"/>
      <c r="AF1388" s="134"/>
      <c r="AG1388" s="134"/>
      <c r="AH1388" s="134"/>
      <c r="AI1388" s="134"/>
      <c r="AJ1388" s="134"/>
    </row>
    <row r="1389" spans="2:36">
      <c r="B1389" s="134"/>
      <c r="C1389" s="134"/>
      <c r="D1389" s="134"/>
      <c r="E1389" s="134"/>
      <c r="F1389" s="134"/>
      <c r="G1389" s="134"/>
      <c r="H1389" s="134"/>
      <c r="I1389" s="134"/>
      <c r="J1389" s="134"/>
      <c r="K1389" s="134"/>
      <c r="L1389" s="134"/>
      <c r="M1389" s="134"/>
      <c r="N1389" s="134"/>
      <c r="O1389" s="134"/>
      <c r="P1389" s="134"/>
      <c r="Q1389" s="134"/>
      <c r="R1389" s="134"/>
      <c r="S1389" s="134"/>
      <c r="T1389" s="134"/>
      <c r="U1389" s="134"/>
      <c r="V1389" s="134"/>
      <c r="W1389" s="134"/>
      <c r="X1389" s="134"/>
      <c r="Y1389" s="134"/>
      <c r="Z1389" s="134"/>
      <c r="AA1389" s="134"/>
      <c r="AB1389" s="134"/>
      <c r="AC1389" s="134"/>
      <c r="AD1389" s="134"/>
      <c r="AE1389" s="134"/>
      <c r="AF1389" s="134"/>
      <c r="AG1389" s="134"/>
      <c r="AH1389" s="134"/>
      <c r="AI1389" s="134"/>
      <c r="AJ1389" s="134"/>
    </row>
    <row r="1390" spans="2:36">
      <c r="B1390" s="134"/>
      <c r="C1390" s="134"/>
      <c r="D1390" s="134"/>
      <c r="E1390" s="134"/>
      <c r="F1390" s="134"/>
      <c r="G1390" s="134"/>
      <c r="H1390" s="134"/>
      <c r="I1390" s="134"/>
      <c r="J1390" s="134"/>
      <c r="K1390" s="134"/>
      <c r="L1390" s="134"/>
      <c r="M1390" s="134"/>
      <c r="N1390" s="134"/>
      <c r="O1390" s="134"/>
      <c r="P1390" s="134"/>
      <c r="Q1390" s="134"/>
      <c r="R1390" s="134"/>
      <c r="S1390" s="134"/>
      <c r="T1390" s="134"/>
      <c r="U1390" s="134"/>
      <c r="V1390" s="134"/>
      <c r="W1390" s="134"/>
      <c r="X1390" s="134"/>
      <c r="Y1390" s="134"/>
      <c r="Z1390" s="134"/>
      <c r="AA1390" s="134"/>
      <c r="AB1390" s="134"/>
      <c r="AC1390" s="134"/>
      <c r="AD1390" s="134"/>
      <c r="AE1390" s="134"/>
      <c r="AF1390" s="134"/>
      <c r="AG1390" s="134"/>
      <c r="AH1390" s="134"/>
      <c r="AI1390" s="134"/>
      <c r="AJ1390" s="134"/>
    </row>
    <row r="1391" spans="2:36">
      <c r="B1391" s="134"/>
      <c r="C1391" s="134"/>
      <c r="D1391" s="134"/>
      <c r="E1391" s="134"/>
      <c r="F1391" s="134"/>
      <c r="G1391" s="134"/>
      <c r="H1391" s="134"/>
      <c r="I1391" s="134"/>
      <c r="J1391" s="134"/>
      <c r="K1391" s="134"/>
      <c r="L1391" s="134"/>
      <c r="M1391" s="134"/>
      <c r="N1391" s="134"/>
      <c r="O1391" s="134"/>
      <c r="P1391" s="134"/>
      <c r="Q1391" s="134"/>
      <c r="R1391" s="134"/>
      <c r="S1391" s="134"/>
      <c r="T1391" s="134"/>
      <c r="U1391" s="134"/>
      <c r="V1391" s="134"/>
      <c r="W1391" s="134"/>
      <c r="X1391" s="134"/>
      <c r="Y1391" s="134"/>
      <c r="Z1391" s="134"/>
      <c r="AA1391" s="134"/>
      <c r="AB1391" s="134"/>
      <c r="AC1391" s="134"/>
      <c r="AD1391" s="134"/>
      <c r="AE1391" s="134"/>
      <c r="AF1391" s="134"/>
      <c r="AG1391" s="134"/>
      <c r="AH1391" s="134"/>
      <c r="AI1391" s="134"/>
      <c r="AJ1391" s="134"/>
    </row>
    <row r="1392" spans="2:36">
      <c r="B1392" s="134"/>
      <c r="C1392" s="134"/>
      <c r="D1392" s="134"/>
      <c r="E1392" s="134"/>
      <c r="F1392" s="134"/>
      <c r="G1392" s="134"/>
      <c r="H1392" s="134"/>
      <c r="I1392" s="134"/>
      <c r="J1392" s="134"/>
      <c r="K1392" s="134"/>
      <c r="L1392" s="134"/>
      <c r="M1392" s="134"/>
      <c r="N1392" s="134"/>
      <c r="O1392" s="134"/>
      <c r="P1392" s="134"/>
      <c r="Q1392" s="134"/>
      <c r="R1392" s="134"/>
      <c r="S1392" s="134"/>
      <c r="T1392" s="134"/>
      <c r="U1392" s="134"/>
      <c r="V1392" s="134"/>
      <c r="W1392" s="134"/>
      <c r="X1392" s="134"/>
      <c r="Y1392" s="134"/>
      <c r="Z1392" s="134"/>
      <c r="AA1392" s="134"/>
      <c r="AB1392" s="134"/>
      <c r="AC1392" s="134"/>
      <c r="AD1392" s="134"/>
      <c r="AE1392" s="134"/>
      <c r="AF1392" s="134"/>
      <c r="AG1392" s="134"/>
      <c r="AH1392" s="134"/>
      <c r="AI1392" s="134"/>
      <c r="AJ1392" s="134"/>
    </row>
    <row r="1393" spans="2:36">
      <c r="B1393" s="134"/>
      <c r="C1393" s="134"/>
      <c r="D1393" s="134"/>
      <c r="E1393" s="134"/>
      <c r="F1393" s="134"/>
      <c r="G1393" s="134"/>
      <c r="H1393" s="134"/>
      <c r="I1393" s="134"/>
      <c r="J1393" s="134"/>
      <c r="K1393" s="134"/>
      <c r="L1393" s="134"/>
      <c r="M1393" s="134"/>
      <c r="N1393" s="134"/>
      <c r="O1393" s="134"/>
      <c r="P1393" s="134"/>
      <c r="Q1393" s="134"/>
      <c r="R1393" s="134"/>
      <c r="S1393" s="134"/>
      <c r="T1393" s="134"/>
      <c r="U1393" s="134"/>
      <c r="V1393" s="134"/>
      <c r="W1393" s="134"/>
      <c r="X1393" s="134"/>
      <c r="Y1393" s="134"/>
      <c r="Z1393" s="134"/>
      <c r="AA1393" s="134"/>
      <c r="AB1393" s="134"/>
      <c r="AC1393" s="134"/>
      <c r="AD1393" s="134"/>
      <c r="AE1393" s="134"/>
      <c r="AF1393" s="134"/>
      <c r="AG1393" s="134"/>
      <c r="AH1393" s="134"/>
      <c r="AI1393" s="134"/>
      <c r="AJ1393" s="134"/>
    </row>
    <row r="1394" spans="2:36">
      <c r="B1394" s="134"/>
      <c r="C1394" s="134"/>
      <c r="D1394" s="134"/>
      <c r="E1394" s="134"/>
      <c r="F1394" s="134"/>
      <c r="G1394" s="134"/>
      <c r="H1394" s="134"/>
      <c r="I1394" s="134"/>
      <c r="J1394" s="134"/>
      <c r="K1394" s="134"/>
      <c r="L1394" s="134"/>
      <c r="M1394" s="134"/>
      <c r="N1394" s="134"/>
      <c r="O1394" s="134"/>
      <c r="P1394" s="134"/>
      <c r="Q1394" s="134"/>
      <c r="R1394" s="134"/>
      <c r="S1394" s="134"/>
      <c r="T1394" s="134"/>
      <c r="U1394" s="134"/>
      <c r="V1394" s="134"/>
      <c r="W1394" s="134"/>
      <c r="X1394" s="134"/>
      <c r="Y1394" s="134"/>
      <c r="Z1394" s="134"/>
      <c r="AA1394" s="134"/>
      <c r="AB1394" s="134"/>
      <c r="AC1394" s="134"/>
      <c r="AD1394" s="134"/>
      <c r="AE1394" s="134"/>
      <c r="AF1394" s="134"/>
      <c r="AG1394" s="134"/>
      <c r="AH1394" s="134"/>
      <c r="AI1394" s="134"/>
      <c r="AJ1394" s="134"/>
    </row>
    <row r="1395" spans="2:36">
      <c r="B1395" s="134"/>
      <c r="C1395" s="134"/>
      <c r="D1395" s="134"/>
      <c r="E1395" s="134"/>
      <c r="F1395" s="134"/>
      <c r="G1395" s="134"/>
      <c r="H1395" s="134"/>
      <c r="I1395" s="134"/>
      <c r="J1395" s="134"/>
      <c r="K1395" s="134"/>
      <c r="L1395" s="134"/>
      <c r="M1395" s="134"/>
      <c r="N1395" s="134"/>
      <c r="O1395" s="134"/>
      <c r="P1395" s="134"/>
      <c r="Q1395" s="134"/>
      <c r="R1395" s="134"/>
      <c r="S1395" s="134"/>
      <c r="T1395" s="134"/>
      <c r="U1395" s="134"/>
      <c r="V1395" s="134"/>
      <c r="W1395" s="134"/>
      <c r="X1395" s="134"/>
      <c r="Y1395" s="134"/>
      <c r="Z1395" s="134"/>
      <c r="AA1395" s="134"/>
      <c r="AB1395" s="134"/>
      <c r="AC1395" s="134"/>
      <c r="AD1395" s="134"/>
      <c r="AE1395" s="134"/>
      <c r="AF1395" s="134"/>
      <c r="AG1395" s="134"/>
      <c r="AH1395" s="134"/>
      <c r="AI1395" s="134"/>
      <c r="AJ1395" s="134"/>
    </row>
    <row r="1396" spans="2:36">
      <c r="B1396" s="134"/>
      <c r="C1396" s="134"/>
      <c r="D1396" s="134"/>
      <c r="E1396" s="134"/>
      <c r="F1396" s="134"/>
      <c r="G1396" s="134"/>
      <c r="H1396" s="134"/>
      <c r="I1396" s="134"/>
      <c r="J1396" s="134"/>
      <c r="K1396" s="134"/>
      <c r="L1396" s="134"/>
      <c r="M1396" s="134"/>
      <c r="N1396" s="134"/>
      <c r="O1396" s="134"/>
      <c r="P1396" s="134"/>
      <c r="Q1396" s="134"/>
      <c r="R1396" s="134"/>
      <c r="S1396" s="134"/>
      <c r="T1396" s="134"/>
      <c r="U1396" s="134"/>
      <c r="V1396" s="134"/>
      <c r="W1396" s="134"/>
      <c r="X1396" s="134"/>
      <c r="Y1396" s="134"/>
      <c r="Z1396" s="134"/>
      <c r="AA1396" s="134"/>
      <c r="AB1396" s="134"/>
      <c r="AC1396" s="134"/>
      <c r="AD1396" s="134"/>
      <c r="AE1396" s="134"/>
      <c r="AF1396" s="134"/>
      <c r="AG1396" s="134"/>
      <c r="AH1396" s="134"/>
      <c r="AI1396" s="134"/>
      <c r="AJ1396" s="134"/>
    </row>
    <row r="1397" spans="2:36">
      <c r="B1397" s="134"/>
      <c r="C1397" s="134"/>
      <c r="D1397" s="134"/>
      <c r="E1397" s="134"/>
      <c r="F1397" s="134"/>
      <c r="G1397" s="134"/>
      <c r="H1397" s="134"/>
      <c r="I1397" s="134"/>
      <c r="J1397" s="134"/>
      <c r="K1397" s="134"/>
      <c r="L1397" s="134"/>
      <c r="M1397" s="134"/>
      <c r="N1397" s="134"/>
      <c r="O1397" s="134"/>
      <c r="P1397" s="134"/>
      <c r="Q1397" s="134"/>
      <c r="R1397" s="134"/>
      <c r="S1397" s="134"/>
      <c r="T1397" s="134"/>
      <c r="U1397" s="134"/>
      <c r="V1397" s="134"/>
      <c r="W1397" s="134"/>
      <c r="X1397" s="134"/>
      <c r="Y1397" s="134"/>
      <c r="Z1397" s="134"/>
      <c r="AA1397" s="134"/>
      <c r="AB1397" s="134"/>
      <c r="AC1397" s="134"/>
      <c r="AD1397" s="134"/>
      <c r="AE1397" s="134"/>
      <c r="AF1397" s="134"/>
      <c r="AG1397" s="134"/>
      <c r="AH1397" s="134"/>
      <c r="AI1397" s="134"/>
      <c r="AJ1397" s="134"/>
    </row>
    <row r="1398" spans="2:36">
      <c r="B1398" s="134"/>
      <c r="C1398" s="134"/>
      <c r="D1398" s="134"/>
      <c r="E1398" s="134"/>
      <c r="F1398" s="134"/>
      <c r="G1398" s="134"/>
      <c r="H1398" s="134"/>
      <c r="I1398" s="134"/>
      <c r="J1398" s="134"/>
      <c r="K1398" s="134"/>
      <c r="L1398" s="134"/>
      <c r="M1398" s="134"/>
      <c r="N1398" s="134"/>
      <c r="O1398" s="134"/>
      <c r="P1398" s="134"/>
      <c r="Q1398" s="134"/>
      <c r="R1398" s="134"/>
      <c r="S1398" s="134"/>
      <c r="T1398" s="134"/>
      <c r="U1398" s="134"/>
      <c r="V1398" s="134"/>
      <c r="W1398" s="134"/>
      <c r="X1398" s="134"/>
      <c r="Y1398" s="134"/>
      <c r="Z1398" s="134"/>
      <c r="AA1398" s="134"/>
      <c r="AB1398" s="134"/>
      <c r="AC1398" s="134"/>
      <c r="AD1398" s="134"/>
      <c r="AE1398" s="134"/>
      <c r="AF1398" s="134"/>
      <c r="AG1398" s="134"/>
      <c r="AH1398" s="134"/>
      <c r="AI1398" s="134"/>
      <c r="AJ1398" s="134"/>
    </row>
    <row r="1399" spans="2:36">
      <c r="B1399" s="134"/>
      <c r="C1399" s="134"/>
      <c r="D1399" s="134"/>
      <c r="E1399" s="134"/>
      <c r="F1399" s="134"/>
      <c r="G1399" s="134"/>
      <c r="H1399" s="134"/>
      <c r="I1399" s="134"/>
      <c r="J1399" s="134"/>
      <c r="K1399" s="134"/>
      <c r="L1399" s="134"/>
      <c r="M1399" s="134"/>
      <c r="N1399" s="134"/>
      <c r="O1399" s="134"/>
      <c r="P1399" s="134"/>
      <c r="Q1399" s="134"/>
      <c r="R1399" s="134"/>
      <c r="S1399" s="134"/>
      <c r="T1399" s="134"/>
      <c r="U1399" s="134"/>
      <c r="V1399" s="134"/>
      <c r="W1399" s="134"/>
      <c r="X1399" s="134"/>
      <c r="Y1399" s="134"/>
      <c r="Z1399" s="134"/>
      <c r="AA1399" s="134"/>
      <c r="AB1399" s="134"/>
      <c r="AC1399" s="134"/>
      <c r="AD1399" s="134"/>
      <c r="AE1399" s="134"/>
      <c r="AF1399" s="134"/>
      <c r="AG1399" s="134"/>
      <c r="AH1399" s="134"/>
      <c r="AI1399" s="134"/>
      <c r="AJ1399" s="134"/>
    </row>
    <row r="1400" spans="2:36">
      <c r="B1400" s="134"/>
      <c r="C1400" s="134"/>
      <c r="D1400" s="134"/>
      <c r="E1400" s="134"/>
      <c r="F1400" s="134"/>
      <c r="G1400" s="134"/>
      <c r="H1400" s="134"/>
      <c r="I1400" s="134"/>
      <c r="J1400" s="134"/>
      <c r="K1400" s="134"/>
      <c r="L1400" s="134"/>
      <c r="M1400" s="134"/>
      <c r="N1400" s="134"/>
      <c r="O1400" s="134"/>
      <c r="P1400" s="134"/>
      <c r="Q1400" s="134"/>
      <c r="R1400" s="134"/>
      <c r="S1400" s="134"/>
      <c r="T1400" s="134"/>
      <c r="U1400" s="134"/>
      <c r="V1400" s="134"/>
      <c r="W1400" s="134"/>
      <c r="X1400" s="134"/>
      <c r="Y1400" s="134"/>
      <c r="Z1400" s="134"/>
      <c r="AA1400" s="134"/>
      <c r="AB1400" s="134"/>
      <c r="AC1400" s="134"/>
      <c r="AD1400" s="134"/>
      <c r="AE1400" s="134"/>
      <c r="AF1400" s="134"/>
      <c r="AG1400" s="134"/>
      <c r="AH1400" s="134"/>
      <c r="AI1400" s="134"/>
      <c r="AJ1400" s="134"/>
    </row>
    <row r="1401" spans="2:36">
      <c r="B1401" s="134"/>
      <c r="C1401" s="134"/>
      <c r="D1401" s="134"/>
      <c r="E1401" s="134"/>
      <c r="F1401" s="134"/>
      <c r="G1401" s="134"/>
      <c r="H1401" s="134"/>
      <c r="I1401" s="134"/>
      <c r="J1401" s="134"/>
      <c r="K1401" s="134"/>
      <c r="L1401" s="134"/>
      <c r="M1401" s="134"/>
      <c r="N1401" s="134"/>
      <c r="O1401" s="134"/>
      <c r="P1401" s="134"/>
      <c r="Q1401" s="134"/>
      <c r="R1401" s="134"/>
      <c r="S1401" s="134"/>
      <c r="T1401" s="134"/>
      <c r="U1401" s="134"/>
      <c r="V1401" s="134"/>
      <c r="W1401" s="134"/>
      <c r="X1401" s="134"/>
      <c r="Y1401" s="134"/>
      <c r="Z1401" s="134"/>
      <c r="AA1401" s="134"/>
      <c r="AB1401" s="134"/>
      <c r="AC1401" s="134"/>
      <c r="AD1401" s="134"/>
      <c r="AE1401" s="134"/>
      <c r="AF1401" s="134"/>
      <c r="AG1401" s="134"/>
      <c r="AH1401" s="134"/>
      <c r="AI1401" s="134"/>
      <c r="AJ1401" s="134"/>
    </row>
    <row r="1402" spans="2:36">
      <c r="B1402" s="134"/>
      <c r="C1402" s="134"/>
      <c r="D1402" s="134"/>
      <c r="E1402" s="134"/>
      <c r="F1402" s="134"/>
      <c r="G1402" s="134"/>
      <c r="H1402" s="134"/>
      <c r="I1402" s="134"/>
      <c r="J1402" s="134"/>
      <c r="K1402" s="134"/>
      <c r="L1402" s="134"/>
      <c r="M1402" s="134"/>
      <c r="N1402" s="134"/>
      <c r="O1402" s="134"/>
      <c r="P1402" s="134"/>
      <c r="Q1402" s="134"/>
      <c r="R1402" s="134"/>
      <c r="S1402" s="134"/>
      <c r="T1402" s="134"/>
      <c r="U1402" s="134"/>
      <c r="V1402" s="134"/>
      <c r="W1402" s="134"/>
      <c r="X1402" s="134"/>
      <c r="Y1402" s="134"/>
      <c r="Z1402" s="134"/>
      <c r="AA1402" s="134"/>
      <c r="AB1402" s="134"/>
      <c r="AC1402" s="134"/>
      <c r="AD1402" s="134"/>
      <c r="AE1402" s="134"/>
      <c r="AF1402" s="134"/>
      <c r="AG1402" s="134"/>
      <c r="AH1402" s="134"/>
      <c r="AI1402" s="134"/>
      <c r="AJ1402" s="134"/>
    </row>
    <row r="1403" spans="2:36">
      <c r="B1403" s="134"/>
      <c r="C1403" s="134"/>
      <c r="D1403" s="134"/>
      <c r="E1403" s="134"/>
      <c r="F1403" s="134"/>
      <c r="G1403" s="134"/>
      <c r="H1403" s="134"/>
      <c r="I1403" s="134"/>
      <c r="J1403" s="134"/>
      <c r="K1403" s="134"/>
      <c r="L1403" s="134"/>
      <c r="M1403" s="134"/>
      <c r="N1403" s="134"/>
      <c r="O1403" s="134"/>
      <c r="P1403" s="134"/>
      <c r="Q1403" s="134"/>
      <c r="R1403" s="134"/>
      <c r="S1403" s="134"/>
      <c r="T1403" s="134"/>
      <c r="U1403" s="134"/>
      <c r="V1403" s="134"/>
      <c r="W1403" s="134"/>
      <c r="X1403" s="134"/>
      <c r="Y1403" s="134"/>
      <c r="Z1403" s="134"/>
      <c r="AA1403" s="134"/>
      <c r="AB1403" s="134"/>
      <c r="AC1403" s="134"/>
      <c r="AD1403" s="134"/>
      <c r="AE1403" s="134"/>
      <c r="AF1403" s="134"/>
      <c r="AG1403" s="134"/>
      <c r="AH1403" s="134"/>
      <c r="AI1403" s="134"/>
      <c r="AJ1403" s="134"/>
    </row>
    <row r="1404" spans="2:36">
      <c r="B1404" s="134"/>
      <c r="C1404" s="134"/>
      <c r="D1404" s="134"/>
      <c r="E1404" s="134"/>
      <c r="F1404" s="134"/>
      <c r="G1404" s="134"/>
      <c r="H1404" s="134"/>
      <c r="I1404" s="134"/>
      <c r="J1404" s="134"/>
      <c r="K1404" s="134"/>
      <c r="L1404" s="134"/>
      <c r="M1404" s="134"/>
      <c r="N1404" s="134"/>
      <c r="O1404" s="134"/>
      <c r="P1404" s="134"/>
      <c r="Q1404" s="134"/>
      <c r="R1404" s="134"/>
      <c r="S1404" s="134"/>
      <c r="T1404" s="134"/>
      <c r="U1404" s="134"/>
      <c r="V1404" s="134"/>
      <c r="W1404" s="134"/>
      <c r="X1404" s="134"/>
      <c r="Y1404" s="134"/>
      <c r="Z1404" s="134"/>
      <c r="AA1404" s="134"/>
      <c r="AB1404" s="134"/>
      <c r="AC1404" s="134"/>
      <c r="AD1404" s="134"/>
      <c r="AE1404" s="134"/>
      <c r="AF1404" s="134"/>
      <c r="AG1404" s="134"/>
      <c r="AH1404" s="134"/>
      <c r="AI1404" s="134"/>
      <c r="AJ1404" s="134"/>
    </row>
    <row r="1405" spans="2:36">
      <c r="B1405" s="134"/>
      <c r="C1405" s="134"/>
      <c r="D1405" s="134"/>
      <c r="E1405" s="134"/>
      <c r="F1405" s="134"/>
      <c r="G1405" s="134"/>
      <c r="H1405" s="134"/>
      <c r="I1405" s="134"/>
      <c r="J1405" s="134"/>
      <c r="K1405" s="134"/>
      <c r="L1405" s="134"/>
      <c r="M1405" s="134"/>
      <c r="N1405" s="134"/>
      <c r="O1405" s="134"/>
      <c r="P1405" s="134"/>
      <c r="Q1405" s="134"/>
      <c r="R1405" s="134"/>
      <c r="S1405" s="134"/>
      <c r="T1405" s="134"/>
      <c r="U1405" s="134"/>
      <c r="V1405" s="134"/>
      <c r="W1405" s="134"/>
      <c r="X1405" s="134"/>
      <c r="Y1405" s="134"/>
      <c r="Z1405" s="134"/>
      <c r="AA1405" s="134"/>
      <c r="AB1405" s="134"/>
      <c r="AC1405" s="134"/>
      <c r="AD1405" s="134"/>
      <c r="AE1405" s="134"/>
      <c r="AF1405" s="134"/>
      <c r="AG1405" s="134"/>
      <c r="AH1405" s="134"/>
      <c r="AI1405" s="134"/>
      <c r="AJ1405" s="134"/>
    </row>
    <row r="1406" spans="2:36">
      <c r="B1406" s="134"/>
      <c r="C1406" s="134"/>
      <c r="D1406" s="134"/>
      <c r="E1406" s="134"/>
      <c r="F1406" s="134"/>
      <c r="G1406" s="134"/>
      <c r="H1406" s="134"/>
      <c r="I1406" s="134"/>
      <c r="J1406" s="134"/>
      <c r="K1406" s="134"/>
      <c r="L1406" s="134"/>
      <c r="M1406" s="134"/>
      <c r="N1406" s="134"/>
      <c r="O1406" s="134"/>
      <c r="P1406" s="134"/>
      <c r="Q1406" s="134"/>
      <c r="R1406" s="134"/>
      <c r="S1406" s="134"/>
      <c r="T1406" s="134"/>
      <c r="U1406" s="134"/>
      <c r="V1406" s="134"/>
      <c r="W1406" s="134"/>
      <c r="X1406" s="134"/>
      <c r="Y1406" s="134"/>
      <c r="Z1406" s="134"/>
      <c r="AA1406" s="134"/>
      <c r="AB1406" s="134"/>
      <c r="AC1406" s="134"/>
      <c r="AD1406" s="134"/>
      <c r="AE1406" s="134"/>
      <c r="AF1406" s="134"/>
      <c r="AG1406" s="134"/>
      <c r="AH1406" s="134"/>
      <c r="AI1406" s="134"/>
      <c r="AJ1406" s="134"/>
    </row>
    <row r="1407" spans="2:36">
      <c r="B1407" s="134"/>
      <c r="C1407" s="134"/>
      <c r="D1407" s="134"/>
      <c r="E1407" s="134"/>
      <c r="F1407" s="134"/>
      <c r="G1407" s="134"/>
      <c r="H1407" s="134"/>
      <c r="I1407" s="134"/>
      <c r="J1407" s="134"/>
      <c r="K1407" s="134"/>
      <c r="L1407" s="134"/>
      <c r="M1407" s="134"/>
      <c r="N1407" s="134"/>
      <c r="O1407" s="134"/>
      <c r="P1407" s="134"/>
      <c r="Q1407" s="134"/>
      <c r="R1407" s="134"/>
      <c r="S1407" s="134"/>
      <c r="T1407" s="134"/>
      <c r="U1407" s="134"/>
      <c r="V1407" s="134"/>
      <c r="W1407" s="134"/>
      <c r="X1407" s="134"/>
      <c r="Y1407" s="134"/>
      <c r="Z1407" s="134"/>
      <c r="AA1407" s="134"/>
      <c r="AB1407" s="134"/>
      <c r="AC1407" s="134"/>
      <c r="AD1407" s="134"/>
      <c r="AE1407" s="134"/>
      <c r="AF1407" s="134"/>
      <c r="AG1407" s="134"/>
      <c r="AH1407" s="134"/>
      <c r="AI1407" s="134"/>
      <c r="AJ1407" s="134"/>
    </row>
    <row r="1408" spans="2:36">
      <c r="B1408" s="134"/>
      <c r="C1408" s="134"/>
      <c r="D1408" s="134"/>
      <c r="E1408" s="134"/>
      <c r="F1408" s="134"/>
      <c r="G1408" s="134"/>
      <c r="H1408" s="134"/>
      <c r="I1408" s="134"/>
      <c r="J1408" s="134"/>
      <c r="K1408" s="134"/>
      <c r="L1408" s="134"/>
      <c r="M1408" s="134"/>
      <c r="N1408" s="134"/>
      <c r="O1408" s="134"/>
      <c r="P1408" s="134"/>
      <c r="Q1408" s="134"/>
      <c r="R1408" s="134"/>
      <c r="S1408" s="134"/>
      <c r="T1408" s="134"/>
      <c r="U1408" s="134"/>
      <c r="V1408" s="134"/>
      <c r="W1408" s="134"/>
      <c r="X1408" s="134"/>
      <c r="Y1408" s="134"/>
      <c r="Z1408" s="134"/>
      <c r="AA1408" s="134"/>
      <c r="AB1408" s="134"/>
      <c r="AC1408" s="134"/>
      <c r="AD1408" s="134"/>
      <c r="AE1408" s="134"/>
      <c r="AF1408" s="134"/>
      <c r="AG1408" s="134"/>
      <c r="AH1408" s="134"/>
      <c r="AI1408" s="134"/>
      <c r="AJ1408" s="134"/>
    </row>
    <row r="1409" spans="2:36">
      <c r="B1409" s="134"/>
      <c r="C1409" s="134"/>
      <c r="D1409" s="134"/>
      <c r="E1409" s="134"/>
      <c r="F1409" s="134"/>
      <c r="G1409" s="134"/>
      <c r="H1409" s="134"/>
      <c r="I1409" s="134"/>
      <c r="J1409" s="134"/>
      <c r="K1409" s="134"/>
      <c r="L1409" s="134"/>
      <c r="M1409" s="134"/>
      <c r="N1409" s="134"/>
      <c r="O1409" s="134"/>
      <c r="P1409" s="134"/>
      <c r="Q1409" s="134"/>
      <c r="R1409" s="134"/>
      <c r="S1409" s="134"/>
      <c r="T1409" s="134"/>
      <c r="U1409" s="134"/>
      <c r="V1409" s="134"/>
      <c r="W1409" s="134"/>
      <c r="X1409" s="134"/>
      <c r="Y1409" s="134"/>
      <c r="Z1409" s="134"/>
      <c r="AA1409" s="134"/>
      <c r="AB1409" s="134"/>
      <c r="AC1409" s="134"/>
      <c r="AD1409" s="134"/>
      <c r="AE1409" s="134"/>
      <c r="AF1409" s="134"/>
      <c r="AG1409" s="134"/>
      <c r="AH1409" s="134"/>
      <c r="AI1409" s="134"/>
      <c r="AJ1409" s="134"/>
    </row>
    <row r="1410" spans="2:36">
      <c r="B1410" s="134"/>
      <c r="C1410" s="134"/>
      <c r="D1410" s="134"/>
      <c r="E1410" s="134"/>
      <c r="F1410" s="134"/>
      <c r="G1410" s="134"/>
      <c r="H1410" s="134"/>
      <c r="I1410" s="134"/>
      <c r="J1410" s="134"/>
      <c r="K1410" s="134"/>
      <c r="L1410" s="134"/>
      <c r="M1410" s="134"/>
      <c r="N1410" s="134"/>
      <c r="O1410" s="134"/>
      <c r="P1410" s="134"/>
      <c r="Q1410" s="134"/>
      <c r="R1410" s="134"/>
      <c r="S1410" s="134"/>
      <c r="T1410" s="134"/>
      <c r="U1410" s="134"/>
      <c r="V1410" s="134"/>
      <c r="W1410" s="134"/>
      <c r="X1410" s="134"/>
      <c r="Y1410" s="134"/>
      <c r="Z1410" s="134"/>
      <c r="AA1410" s="134"/>
      <c r="AB1410" s="134"/>
      <c r="AC1410" s="134"/>
      <c r="AD1410" s="134"/>
      <c r="AE1410" s="134"/>
      <c r="AF1410" s="134"/>
      <c r="AG1410" s="134"/>
      <c r="AH1410" s="134"/>
      <c r="AI1410" s="134"/>
      <c r="AJ1410" s="134"/>
    </row>
    <row r="1411" spans="2:36">
      <c r="B1411" s="134"/>
      <c r="C1411" s="134"/>
      <c r="D1411" s="134"/>
      <c r="E1411" s="134"/>
      <c r="F1411" s="134"/>
      <c r="G1411" s="134"/>
      <c r="H1411" s="134"/>
      <c r="I1411" s="134"/>
      <c r="J1411" s="134"/>
      <c r="K1411" s="134"/>
      <c r="L1411" s="134"/>
      <c r="M1411" s="134"/>
      <c r="N1411" s="134"/>
      <c r="O1411" s="134"/>
      <c r="P1411" s="134"/>
      <c r="Q1411" s="134"/>
      <c r="R1411" s="134"/>
      <c r="S1411" s="134"/>
      <c r="T1411" s="134"/>
      <c r="U1411" s="134"/>
      <c r="V1411" s="134"/>
      <c r="W1411" s="134"/>
      <c r="X1411" s="134"/>
      <c r="Y1411" s="134"/>
      <c r="Z1411" s="134"/>
      <c r="AA1411" s="134"/>
      <c r="AB1411" s="134"/>
      <c r="AC1411" s="134"/>
      <c r="AD1411" s="134"/>
      <c r="AE1411" s="134"/>
      <c r="AF1411" s="134"/>
      <c r="AG1411" s="134"/>
      <c r="AH1411" s="134"/>
      <c r="AI1411" s="134"/>
      <c r="AJ1411" s="134"/>
    </row>
    <row r="1412" spans="2:36">
      <c r="B1412" s="134"/>
      <c r="C1412" s="134"/>
      <c r="D1412" s="134"/>
      <c r="E1412" s="134"/>
      <c r="F1412" s="134"/>
      <c r="G1412" s="134"/>
      <c r="H1412" s="134"/>
      <c r="I1412" s="134"/>
      <c r="J1412" s="134"/>
      <c r="K1412" s="134"/>
      <c r="L1412" s="134"/>
      <c r="M1412" s="134"/>
      <c r="N1412" s="134"/>
      <c r="O1412" s="134"/>
      <c r="P1412" s="134"/>
      <c r="Q1412" s="134"/>
      <c r="R1412" s="134"/>
      <c r="S1412" s="134"/>
      <c r="T1412" s="134"/>
      <c r="U1412" s="134"/>
      <c r="V1412" s="134"/>
      <c r="W1412" s="134"/>
      <c r="X1412" s="134"/>
      <c r="Y1412" s="134"/>
      <c r="Z1412" s="134"/>
      <c r="AA1412" s="134"/>
      <c r="AB1412" s="134"/>
      <c r="AC1412" s="134"/>
      <c r="AD1412" s="134"/>
      <c r="AE1412" s="134"/>
      <c r="AF1412" s="134"/>
      <c r="AG1412" s="134"/>
      <c r="AH1412" s="134"/>
      <c r="AI1412" s="134"/>
      <c r="AJ1412" s="134"/>
    </row>
    <row r="1413" spans="2:36">
      <c r="B1413" s="134"/>
      <c r="C1413" s="134"/>
      <c r="D1413" s="134"/>
      <c r="E1413" s="134"/>
      <c r="F1413" s="134"/>
      <c r="G1413" s="134"/>
      <c r="H1413" s="134"/>
      <c r="I1413" s="134"/>
      <c r="J1413" s="134"/>
      <c r="K1413" s="134"/>
      <c r="L1413" s="134"/>
      <c r="M1413" s="134"/>
      <c r="N1413" s="134"/>
      <c r="O1413" s="134"/>
      <c r="P1413" s="134"/>
      <c r="Q1413" s="134"/>
      <c r="R1413" s="134"/>
      <c r="S1413" s="134"/>
      <c r="T1413" s="134"/>
      <c r="U1413" s="134"/>
      <c r="V1413" s="134"/>
      <c r="W1413" s="134"/>
      <c r="X1413" s="134"/>
      <c r="Y1413" s="134"/>
      <c r="Z1413" s="134"/>
      <c r="AA1413" s="134"/>
      <c r="AB1413" s="134"/>
      <c r="AC1413" s="134"/>
      <c r="AD1413" s="134"/>
      <c r="AE1413" s="134"/>
      <c r="AF1413" s="134"/>
      <c r="AG1413" s="134"/>
      <c r="AH1413" s="134"/>
      <c r="AI1413" s="134"/>
      <c r="AJ1413" s="134"/>
    </row>
    <row r="1414" spans="2:36">
      <c r="B1414" s="134"/>
      <c r="C1414" s="134"/>
      <c r="D1414" s="134"/>
      <c r="E1414" s="134"/>
      <c r="F1414" s="134"/>
      <c r="G1414" s="134"/>
      <c r="H1414" s="134"/>
      <c r="I1414" s="134"/>
      <c r="J1414" s="134"/>
      <c r="K1414" s="134"/>
      <c r="L1414" s="134"/>
      <c r="M1414" s="134"/>
      <c r="N1414" s="134"/>
      <c r="O1414" s="134"/>
      <c r="P1414" s="134"/>
      <c r="Q1414" s="134"/>
      <c r="R1414" s="134"/>
      <c r="S1414" s="134"/>
      <c r="T1414" s="134"/>
      <c r="U1414" s="134"/>
      <c r="V1414" s="134"/>
      <c r="W1414" s="134"/>
      <c r="X1414" s="134"/>
      <c r="Y1414" s="134"/>
      <c r="Z1414" s="134"/>
      <c r="AA1414" s="134"/>
      <c r="AB1414" s="134"/>
      <c r="AC1414" s="134"/>
      <c r="AD1414" s="134"/>
      <c r="AE1414" s="134"/>
      <c r="AF1414" s="134"/>
      <c r="AG1414" s="134"/>
      <c r="AH1414" s="134"/>
      <c r="AI1414" s="134"/>
      <c r="AJ1414" s="134"/>
    </row>
    <row r="1415" spans="2:36">
      <c r="B1415" s="134"/>
      <c r="C1415" s="134"/>
      <c r="D1415" s="134"/>
      <c r="E1415" s="134"/>
      <c r="F1415" s="134"/>
      <c r="G1415" s="134"/>
      <c r="H1415" s="134"/>
      <c r="I1415" s="134"/>
      <c r="J1415" s="134"/>
      <c r="K1415" s="134"/>
      <c r="L1415" s="134"/>
      <c r="M1415" s="134"/>
      <c r="N1415" s="134"/>
      <c r="O1415" s="134"/>
      <c r="P1415" s="134"/>
      <c r="Q1415" s="134"/>
      <c r="R1415" s="134"/>
      <c r="S1415" s="134"/>
      <c r="T1415" s="134"/>
      <c r="U1415" s="134"/>
      <c r="V1415" s="134"/>
      <c r="W1415" s="134"/>
      <c r="X1415" s="134"/>
      <c r="Y1415" s="134"/>
      <c r="Z1415" s="134"/>
      <c r="AA1415" s="134"/>
      <c r="AB1415" s="134"/>
      <c r="AC1415" s="134"/>
      <c r="AD1415" s="134"/>
      <c r="AE1415" s="134"/>
      <c r="AF1415" s="134"/>
      <c r="AG1415" s="134"/>
      <c r="AH1415" s="134"/>
      <c r="AI1415" s="134"/>
      <c r="AJ1415" s="134"/>
    </row>
    <row r="1416" spans="2:36">
      <c r="B1416" s="134"/>
      <c r="C1416" s="134"/>
      <c r="D1416" s="134"/>
      <c r="E1416" s="134"/>
      <c r="F1416" s="134"/>
      <c r="G1416" s="134"/>
      <c r="H1416" s="134"/>
      <c r="I1416" s="134"/>
      <c r="J1416" s="134"/>
      <c r="K1416" s="134"/>
      <c r="L1416" s="134"/>
      <c r="M1416" s="134"/>
      <c r="N1416" s="134"/>
      <c r="O1416" s="134"/>
      <c r="P1416" s="134"/>
      <c r="Q1416" s="134"/>
      <c r="R1416" s="134"/>
      <c r="S1416" s="134"/>
      <c r="T1416" s="134"/>
      <c r="U1416" s="134"/>
      <c r="V1416" s="134"/>
      <c r="W1416" s="134"/>
      <c r="X1416" s="134"/>
      <c r="Y1416" s="134"/>
      <c r="Z1416" s="134"/>
      <c r="AA1416" s="134"/>
      <c r="AB1416" s="134"/>
      <c r="AC1416" s="134"/>
      <c r="AD1416" s="134"/>
      <c r="AE1416" s="134"/>
      <c r="AF1416" s="134"/>
      <c r="AG1416" s="134"/>
      <c r="AH1416" s="134"/>
      <c r="AI1416" s="134"/>
      <c r="AJ1416" s="134"/>
    </row>
    <row r="1417" spans="2:36">
      <c r="B1417" s="134"/>
      <c r="C1417" s="134"/>
      <c r="D1417" s="134"/>
      <c r="E1417" s="134"/>
      <c r="F1417" s="134"/>
      <c r="G1417" s="134"/>
      <c r="H1417" s="134"/>
      <c r="I1417" s="134"/>
      <c r="J1417" s="134"/>
      <c r="K1417" s="134"/>
      <c r="L1417" s="134"/>
      <c r="M1417" s="134"/>
      <c r="N1417" s="134"/>
      <c r="O1417" s="134"/>
      <c r="P1417" s="134"/>
      <c r="Q1417" s="134"/>
      <c r="R1417" s="134"/>
      <c r="S1417" s="134"/>
      <c r="T1417" s="134"/>
      <c r="U1417" s="134"/>
      <c r="V1417" s="134"/>
      <c r="W1417" s="134"/>
      <c r="X1417" s="134"/>
      <c r="Y1417" s="134"/>
      <c r="Z1417" s="134"/>
      <c r="AA1417" s="134"/>
      <c r="AB1417" s="134"/>
      <c r="AC1417" s="134"/>
      <c r="AD1417" s="134"/>
      <c r="AE1417" s="134"/>
      <c r="AF1417" s="134"/>
      <c r="AG1417" s="134"/>
      <c r="AH1417" s="134"/>
      <c r="AI1417" s="134"/>
      <c r="AJ1417" s="134"/>
    </row>
    <row r="1418" spans="2:36">
      <c r="B1418" s="134"/>
      <c r="C1418" s="134"/>
      <c r="D1418" s="134"/>
      <c r="E1418" s="134"/>
      <c r="F1418" s="134"/>
      <c r="G1418" s="134"/>
      <c r="H1418" s="134"/>
      <c r="I1418" s="134"/>
      <c r="J1418" s="134"/>
      <c r="K1418" s="134"/>
      <c r="L1418" s="134"/>
      <c r="M1418" s="134"/>
      <c r="N1418" s="134"/>
      <c r="O1418" s="134"/>
      <c r="P1418" s="134"/>
      <c r="Q1418" s="134"/>
      <c r="R1418" s="134"/>
      <c r="S1418" s="134"/>
      <c r="T1418" s="134"/>
      <c r="U1418" s="134"/>
      <c r="V1418" s="134"/>
      <c r="W1418" s="134"/>
      <c r="X1418" s="134"/>
      <c r="Y1418" s="134"/>
      <c r="Z1418" s="134"/>
      <c r="AA1418" s="134"/>
      <c r="AB1418" s="134"/>
      <c r="AC1418" s="134"/>
      <c r="AD1418" s="134"/>
      <c r="AE1418" s="134"/>
      <c r="AF1418" s="134"/>
      <c r="AG1418" s="134"/>
      <c r="AH1418" s="134"/>
      <c r="AI1418" s="134"/>
      <c r="AJ1418" s="134"/>
    </row>
    <row r="1419" spans="2:36">
      <c r="B1419" s="134"/>
      <c r="C1419" s="134"/>
      <c r="D1419" s="134"/>
      <c r="E1419" s="134"/>
      <c r="F1419" s="134"/>
      <c r="G1419" s="134"/>
      <c r="H1419" s="134"/>
      <c r="I1419" s="134"/>
      <c r="J1419" s="134"/>
      <c r="K1419" s="134"/>
      <c r="L1419" s="134"/>
      <c r="M1419" s="134"/>
      <c r="N1419" s="134"/>
      <c r="O1419" s="134"/>
      <c r="P1419" s="134"/>
      <c r="Q1419" s="134"/>
      <c r="R1419" s="134"/>
      <c r="S1419" s="134"/>
      <c r="T1419" s="134"/>
      <c r="U1419" s="134"/>
      <c r="V1419" s="134"/>
      <c r="W1419" s="134"/>
      <c r="X1419" s="134"/>
      <c r="Y1419" s="134"/>
      <c r="Z1419" s="134"/>
      <c r="AA1419" s="134"/>
      <c r="AB1419" s="134"/>
      <c r="AC1419" s="134"/>
      <c r="AD1419" s="134"/>
      <c r="AE1419" s="134"/>
      <c r="AF1419" s="134"/>
      <c r="AG1419" s="134"/>
      <c r="AH1419" s="134"/>
      <c r="AI1419" s="134"/>
      <c r="AJ1419" s="134"/>
    </row>
    <row r="1420" spans="2:36">
      <c r="B1420" s="134"/>
      <c r="C1420" s="134"/>
      <c r="D1420" s="134"/>
      <c r="E1420" s="134"/>
      <c r="F1420" s="134"/>
      <c r="G1420" s="134"/>
      <c r="H1420" s="134"/>
      <c r="I1420" s="134"/>
      <c r="J1420" s="134"/>
      <c r="K1420" s="134"/>
      <c r="L1420" s="134"/>
      <c r="M1420" s="134"/>
      <c r="N1420" s="134"/>
      <c r="O1420" s="134"/>
      <c r="P1420" s="134"/>
      <c r="Q1420" s="134"/>
      <c r="R1420" s="134"/>
      <c r="S1420" s="134"/>
      <c r="T1420" s="134"/>
      <c r="U1420" s="134"/>
      <c r="V1420" s="134"/>
      <c r="W1420" s="134"/>
      <c r="X1420" s="134"/>
      <c r="Y1420" s="134"/>
      <c r="Z1420" s="134"/>
      <c r="AA1420" s="134"/>
      <c r="AB1420" s="134"/>
      <c r="AC1420" s="134"/>
      <c r="AD1420" s="134"/>
      <c r="AE1420" s="134"/>
      <c r="AF1420" s="134"/>
      <c r="AG1420" s="134"/>
      <c r="AH1420" s="134"/>
      <c r="AI1420" s="134"/>
      <c r="AJ1420" s="134"/>
    </row>
    <row r="1421" spans="2:36">
      <c r="B1421" s="134"/>
      <c r="C1421" s="134"/>
      <c r="D1421" s="134"/>
      <c r="E1421" s="134"/>
      <c r="F1421" s="134"/>
      <c r="G1421" s="134"/>
      <c r="H1421" s="134"/>
      <c r="I1421" s="134"/>
      <c r="J1421" s="134"/>
      <c r="K1421" s="134"/>
      <c r="L1421" s="134"/>
      <c r="M1421" s="134"/>
      <c r="N1421" s="134"/>
      <c r="O1421" s="134"/>
      <c r="P1421" s="134"/>
      <c r="Q1421" s="134"/>
      <c r="R1421" s="134"/>
      <c r="S1421" s="134"/>
      <c r="T1421" s="134"/>
      <c r="U1421" s="134"/>
      <c r="V1421" s="134"/>
      <c r="W1421" s="134"/>
      <c r="X1421" s="134"/>
      <c r="Y1421" s="134"/>
      <c r="Z1421" s="134"/>
      <c r="AA1421" s="134"/>
      <c r="AB1421" s="134"/>
      <c r="AC1421" s="134"/>
      <c r="AD1421" s="134"/>
      <c r="AE1421" s="134"/>
      <c r="AF1421" s="134"/>
      <c r="AG1421" s="134"/>
      <c r="AH1421" s="134"/>
      <c r="AI1421" s="134"/>
      <c r="AJ1421" s="134"/>
    </row>
    <row r="1422" spans="2:36">
      <c r="B1422" s="134"/>
      <c r="C1422" s="134"/>
      <c r="D1422" s="134"/>
      <c r="E1422" s="134"/>
      <c r="F1422" s="134"/>
      <c r="G1422" s="134"/>
      <c r="H1422" s="134"/>
      <c r="I1422" s="134"/>
      <c r="J1422" s="134"/>
      <c r="K1422" s="134"/>
      <c r="L1422" s="134"/>
      <c r="M1422" s="134"/>
      <c r="N1422" s="134"/>
      <c r="O1422" s="134"/>
      <c r="P1422" s="134"/>
      <c r="Q1422" s="134"/>
      <c r="R1422" s="134"/>
      <c r="S1422" s="134"/>
      <c r="T1422" s="134"/>
      <c r="U1422" s="134"/>
      <c r="V1422" s="134"/>
      <c r="W1422" s="134"/>
      <c r="X1422" s="134"/>
      <c r="Y1422" s="134"/>
      <c r="Z1422" s="134"/>
      <c r="AA1422" s="134"/>
      <c r="AB1422" s="134"/>
      <c r="AC1422" s="134"/>
      <c r="AD1422" s="134"/>
      <c r="AE1422" s="134"/>
      <c r="AF1422" s="134"/>
      <c r="AG1422" s="134"/>
      <c r="AH1422" s="134"/>
      <c r="AI1422" s="134"/>
      <c r="AJ1422" s="134"/>
    </row>
    <row r="1423" spans="2:36">
      <c r="B1423" s="134"/>
      <c r="C1423" s="134"/>
      <c r="D1423" s="134"/>
      <c r="E1423" s="134"/>
      <c r="F1423" s="134"/>
      <c r="G1423" s="134"/>
      <c r="H1423" s="134"/>
      <c r="I1423" s="134"/>
      <c r="J1423" s="134"/>
      <c r="K1423" s="134"/>
      <c r="L1423" s="134"/>
      <c r="M1423" s="134"/>
      <c r="N1423" s="134"/>
      <c r="O1423" s="134"/>
      <c r="P1423" s="134"/>
      <c r="Q1423" s="134"/>
      <c r="R1423" s="134"/>
      <c r="S1423" s="134"/>
      <c r="T1423" s="134"/>
      <c r="U1423" s="134"/>
      <c r="V1423" s="134"/>
      <c r="W1423" s="134"/>
      <c r="X1423" s="134"/>
      <c r="Y1423" s="134"/>
      <c r="Z1423" s="134"/>
      <c r="AA1423" s="134"/>
      <c r="AB1423" s="134"/>
      <c r="AC1423" s="134"/>
      <c r="AD1423" s="134"/>
      <c r="AE1423" s="134"/>
      <c r="AF1423" s="134"/>
      <c r="AG1423" s="134"/>
      <c r="AH1423" s="134"/>
      <c r="AI1423" s="134"/>
      <c r="AJ1423" s="134"/>
    </row>
    <row r="1424" spans="2:36">
      <c r="B1424" s="134"/>
      <c r="C1424" s="134"/>
      <c r="D1424" s="134"/>
      <c r="E1424" s="134"/>
      <c r="F1424" s="134"/>
      <c r="G1424" s="134"/>
      <c r="H1424" s="134"/>
      <c r="I1424" s="134"/>
      <c r="J1424" s="134"/>
      <c r="K1424" s="134"/>
      <c r="L1424" s="134"/>
      <c r="M1424" s="134"/>
      <c r="N1424" s="134"/>
      <c r="O1424" s="134"/>
      <c r="P1424" s="134"/>
      <c r="Q1424" s="134"/>
      <c r="R1424" s="134"/>
      <c r="S1424" s="134"/>
      <c r="T1424" s="134"/>
      <c r="U1424" s="134"/>
      <c r="V1424" s="134"/>
      <c r="W1424" s="134"/>
      <c r="X1424" s="134"/>
      <c r="Y1424" s="134"/>
      <c r="Z1424" s="134"/>
      <c r="AA1424" s="134"/>
      <c r="AB1424" s="134"/>
      <c r="AC1424" s="134"/>
      <c r="AD1424" s="134"/>
      <c r="AE1424" s="134"/>
      <c r="AF1424" s="134"/>
      <c r="AG1424" s="134"/>
      <c r="AH1424" s="134"/>
      <c r="AI1424" s="134"/>
      <c r="AJ1424" s="134"/>
    </row>
    <row r="1425" spans="2:36">
      <c r="B1425" s="134"/>
      <c r="C1425" s="134"/>
      <c r="D1425" s="134"/>
      <c r="E1425" s="134"/>
      <c r="F1425" s="134"/>
      <c r="G1425" s="134"/>
      <c r="H1425" s="134"/>
      <c r="I1425" s="134"/>
      <c r="J1425" s="134"/>
      <c r="K1425" s="134"/>
      <c r="L1425" s="134"/>
      <c r="M1425" s="134"/>
      <c r="N1425" s="134"/>
      <c r="O1425" s="134"/>
      <c r="P1425" s="134"/>
      <c r="Q1425" s="134"/>
      <c r="R1425" s="134"/>
      <c r="S1425" s="134"/>
      <c r="T1425" s="134"/>
      <c r="U1425" s="134"/>
      <c r="V1425" s="134"/>
      <c r="W1425" s="134"/>
      <c r="X1425" s="134"/>
      <c r="Y1425" s="134"/>
      <c r="Z1425" s="134"/>
      <c r="AA1425" s="134"/>
      <c r="AB1425" s="134"/>
      <c r="AC1425" s="134"/>
      <c r="AD1425" s="134"/>
      <c r="AE1425" s="134"/>
      <c r="AF1425" s="134"/>
      <c r="AG1425" s="134"/>
      <c r="AH1425" s="134"/>
      <c r="AI1425" s="134"/>
      <c r="AJ1425" s="134"/>
    </row>
    <row r="1426" spans="2:36">
      <c r="B1426" s="134"/>
      <c r="C1426" s="134"/>
      <c r="D1426" s="134"/>
      <c r="E1426" s="134"/>
      <c r="F1426" s="134"/>
      <c r="G1426" s="134"/>
      <c r="H1426" s="134"/>
      <c r="I1426" s="134"/>
      <c r="J1426" s="134"/>
      <c r="K1426" s="134"/>
      <c r="L1426" s="134"/>
      <c r="M1426" s="134"/>
      <c r="N1426" s="134"/>
      <c r="O1426" s="134"/>
      <c r="P1426" s="134"/>
      <c r="Q1426" s="134"/>
      <c r="R1426" s="134"/>
      <c r="S1426" s="134"/>
      <c r="T1426" s="134"/>
      <c r="U1426" s="134"/>
      <c r="V1426" s="134"/>
      <c r="W1426" s="134"/>
      <c r="X1426" s="134"/>
      <c r="Y1426" s="134"/>
      <c r="Z1426" s="134"/>
      <c r="AA1426" s="134"/>
      <c r="AB1426" s="134"/>
      <c r="AC1426" s="134"/>
      <c r="AD1426" s="134"/>
      <c r="AE1426" s="134"/>
      <c r="AF1426" s="134"/>
      <c r="AG1426" s="134"/>
      <c r="AH1426" s="134"/>
      <c r="AI1426" s="134"/>
      <c r="AJ1426" s="134"/>
    </row>
    <row r="1427" spans="2:36">
      <c r="B1427" s="134"/>
      <c r="C1427" s="134"/>
      <c r="D1427" s="134"/>
      <c r="E1427" s="134"/>
      <c r="F1427" s="134"/>
      <c r="G1427" s="134"/>
      <c r="H1427" s="134"/>
      <c r="I1427" s="134"/>
      <c r="J1427" s="134"/>
      <c r="K1427" s="134"/>
      <c r="L1427" s="134"/>
      <c r="M1427" s="134"/>
      <c r="N1427" s="134"/>
      <c r="O1427" s="134"/>
      <c r="P1427" s="134"/>
      <c r="Q1427" s="134"/>
      <c r="R1427" s="134"/>
      <c r="S1427" s="134"/>
      <c r="T1427" s="134"/>
      <c r="U1427" s="134"/>
      <c r="V1427" s="134"/>
      <c r="W1427" s="134"/>
      <c r="X1427" s="134"/>
      <c r="Y1427" s="134"/>
      <c r="Z1427" s="134"/>
      <c r="AA1427" s="134"/>
      <c r="AB1427" s="134"/>
      <c r="AC1427" s="134"/>
      <c r="AD1427" s="134"/>
      <c r="AE1427" s="134"/>
      <c r="AF1427" s="134"/>
      <c r="AG1427" s="134"/>
      <c r="AH1427" s="134"/>
      <c r="AI1427" s="134"/>
      <c r="AJ1427" s="134"/>
    </row>
    <row r="1428" spans="2:36">
      <c r="B1428" s="134"/>
      <c r="C1428" s="134"/>
      <c r="D1428" s="134"/>
      <c r="E1428" s="134"/>
      <c r="F1428" s="134"/>
      <c r="G1428" s="134"/>
      <c r="H1428" s="134"/>
      <c r="I1428" s="134"/>
      <c r="J1428" s="134"/>
      <c r="K1428" s="134"/>
      <c r="L1428" s="134"/>
      <c r="M1428" s="134"/>
      <c r="N1428" s="134"/>
      <c r="O1428" s="134"/>
      <c r="P1428" s="134"/>
      <c r="Q1428" s="134"/>
      <c r="R1428" s="134"/>
      <c r="S1428" s="134"/>
      <c r="T1428" s="134"/>
      <c r="U1428" s="134"/>
      <c r="V1428" s="134"/>
      <c r="W1428" s="134"/>
      <c r="X1428" s="134"/>
      <c r="Y1428" s="134"/>
      <c r="Z1428" s="134"/>
      <c r="AA1428" s="134"/>
      <c r="AB1428" s="134"/>
      <c r="AC1428" s="134"/>
      <c r="AD1428" s="134"/>
      <c r="AE1428" s="134"/>
      <c r="AF1428" s="134"/>
      <c r="AG1428" s="134"/>
      <c r="AH1428" s="134"/>
      <c r="AI1428" s="134"/>
      <c r="AJ1428" s="134"/>
    </row>
    <row r="1429" spans="2:36">
      <c r="B1429" s="134"/>
      <c r="C1429" s="134"/>
      <c r="D1429" s="134"/>
      <c r="E1429" s="134"/>
      <c r="F1429" s="134"/>
      <c r="G1429" s="134"/>
      <c r="H1429" s="134"/>
      <c r="I1429" s="134"/>
      <c r="J1429" s="134"/>
      <c r="K1429" s="134"/>
      <c r="L1429" s="134"/>
      <c r="M1429" s="134"/>
      <c r="N1429" s="134"/>
      <c r="O1429" s="134"/>
      <c r="P1429" s="134"/>
      <c r="Q1429" s="134"/>
      <c r="R1429" s="134"/>
      <c r="S1429" s="134"/>
      <c r="T1429" s="134"/>
      <c r="U1429" s="134"/>
      <c r="V1429" s="134"/>
      <c r="W1429" s="134"/>
      <c r="X1429" s="134"/>
      <c r="Y1429" s="134"/>
      <c r="Z1429" s="134"/>
      <c r="AA1429" s="134"/>
      <c r="AB1429" s="134"/>
      <c r="AC1429" s="134"/>
      <c r="AD1429" s="134"/>
      <c r="AE1429" s="134"/>
      <c r="AF1429" s="134"/>
      <c r="AG1429" s="134"/>
      <c r="AH1429" s="134"/>
      <c r="AI1429" s="134"/>
      <c r="AJ1429" s="134"/>
    </row>
    <row r="1430" spans="2:36">
      <c r="B1430" s="134"/>
      <c r="C1430" s="134"/>
      <c r="D1430" s="134"/>
      <c r="E1430" s="134"/>
      <c r="F1430" s="134"/>
      <c r="G1430" s="134"/>
      <c r="H1430" s="134"/>
      <c r="I1430" s="134"/>
      <c r="J1430" s="134"/>
      <c r="K1430" s="134"/>
      <c r="L1430" s="134"/>
      <c r="M1430" s="134"/>
      <c r="N1430" s="134"/>
      <c r="O1430" s="134"/>
      <c r="P1430" s="134"/>
      <c r="Q1430" s="134"/>
      <c r="R1430" s="134"/>
      <c r="S1430" s="134"/>
      <c r="T1430" s="134"/>
      <c r="U1430" s="134"/>
      <c r="V1430" s="134"/>
      <c r="W1430" s="134"/>
      <c r="X1430" s="134"/>
      <c r="Y1430" s="134"/>
      <c r="Z1430" s="134"/>
      <c r="AA1430" s="134"/>
      <c r="AB1430" s="134"/>
      <c r="AC1430" s="134"/>
      <c r="AD1430" s="134"/>
      <c r="AE1430" s="134"/>
      <c r="AF1430" s="134"/>
      <c r="AG1430" s="134"/>
      <c r="AH1430" s="134"/>
      <c r="AI1430" s="134"/>
      <c r="AJ1430" s="134"/>
    </row>
    <row r="1431" spans="2:36">
      <c r="B1431" s="134"/>
      <c r="C1431" s="134"/>
      <c r="D1431" s="134"/>
      <c r="E1431" s="134"/>
      <c r="F1431" s="134"/>
      <c r="G1431" s="134"/>
      <c r="H1431" s="134"/>
      <c r="I1431" s="134"/>
      <c r="J1431" s="134"/>
      <c r="K1431" s="134"/>
      <c r="L1431" s="134"/>
      <c r="M1431" s="134"/>
      <c r="N1431" s="134"/>
      <c r="O1431" s="134"/>
      <c r="P1431" s="134"/>
      <c r="Q1431" s="134"/>
      <c r="R1431" s="134"/>
      <c r="S1431" s="134"/>
      <c r="T1431" s="134"/>
      <c r="U1431" s="134"/>
      <c r="V1431" s="134"/>
      <c r="W1431" s="134"/>
      <c r="X1431" s="134"/>
      <c r="Y1431" s="134"/>
      <c r="Z1431" s="134"/>
      <c r="AA1431" s="134"/>
      <c r="AB1431" s="134"/>
      <c r="AC1431" s="134"/>
      <c r="AD1431" s="134"/>
      <c r="AE1431" s="134"/>
      <c r="AF1431" s="134"/>
      <c r="AG1431" s="134"/>
      <c r="AH1431" s="134"/>
      <c r="AI1431" s="134"/>
      <c r="AJ1431" s="134"/>
    </row>
    <row r="1432" spans="2:36">
      <c r="B1432" s="134"/>
      <c r="C1432" s="134"/>
      <c r="D1432" s="134"/>
      <c r="E1432" s="134"/>
      <c r="F1432" s="134"/>
      <c r="G1432" s="134"/>
      <c r="H1432" s="134"/>
      <c r="I1432" s="134"/>
      <c r="J1432" s="134"/>
      <c r="K1432" s="134"/>
      <c r="L1432" s="134"/>
      <c r="M1432" s="134"/>
      <c r="N1432" s="134"/>
      <c r="O1432" s="134"/>
      <c r="P1432" s="134"/>
      <c r="Q1432" s="134"/>
      <c r="R1432" s="134"/>
      <c r="S1432" s="134"/>
      <c r="T1432" s="134"/>
      <c r="U1432" s="134"/>
      <c r="V1432" s="134"/>
      <c r="W1432" s="134"/>
      <c r="X1432" s="134"/>
      <c r="Y1432" s="134"/>
      <c r="Z1432" s="134"/>
      <c r="AA1432" s="134"/>
      <c r="AB1432" s="134"/>
      <c r="AC1432" s="134"/>
      <c r="AD1432" s="134"/>
      <c r="AE1432" s="134"/>
      <c r="AF1432" s="134"/>
      <c r="AG1432" s="134"/>
      <c r="AH1432" s="134"/>
      <c r="AI1432" s="134"/>
      <c r="AJ1432" s="134"/>
    </row>
    <row r="1433" spans="2:36">
      <c r="B1433" s="134"/>
      <c r="C1433" s="134"/>
      <c r="D1433" s="134"/>
      <c r="E1433" s="134"/>
      <c r="F1433" s="134"/>
      <c r="G1433" s="134"/>
      <c r="H1433" s="134"/>
      <c r="I1433" s="134"/>
      <c r="J1433" s="134"/>
      <c r="K1433" s="134"/>
      <c r="L1433" s="134"/>
      <c r="M1433" s="134"/>
      <c r="N1433" s="134"/>
      <c r="O1433" s="134"/>
      <c r="P1433" s="134"/>
      <c r="Q1433" s="134"/>
      <c r="R1433" s="134"/>
      <c r="S1433" s="134"/>
      <c r="T1433" s="134"/>
      <c r="U1433" s="134"/>
      <c r="V1433" s="134"/>
      <c r="W1433" s="134"/>
      <c r="X1433" s="134"/>
      <c r="Y1433" s="134"/>
      <c r="Z1433" s="134"/>
      <c r="AA1433" s="134"/>
      <c r="AB1433" s="134"/>
      <c r="AC1433" s="134"/>
      <c r="AD1433" s="134"/>
      <c r="AE1433" s="134"/>
      <c r="AF1433" s="134"/>
      <c r="AG1433" s="134"/>
      <c r="AH1433" s="134"/>
      <c r="AI1433" s="134"/>
      <c r="AJ1433" s="134"/>
    </row>
    <row r="1434" spans="2:36">
      <c r="B1434" s="134"/>
      <c r="C1434" s="134"/>
      <c r="D1434" s="134"/>
      <c r="E1434" s="134"/>
      <c r="F1434" s="134"/>
      <c r="G1434" s="134"/>
      <c r="H1434" s="134"/>
      <c r="I1434" s="134"/>
      <c r="J1434" s="134"/>
      <c r="K1434" s="134"/>
      <c r="L1434" s="134"/>
      <c r="M1434" s="134"/>
      <c r="N1434" s="134"/>
      <c r="O1434" s="134"/>
      <c r="P1434" s="134"/>
      <c r="Q1434" s="134"/>
      <c r="R1434" s="134"/>
      <c r="S1434" s="134"/>
      <c r="T1434" s="134"/>
      <c r="U1434" s="134"/>
      <c r="V1434" s="134"/>
      <c r="W1434" s="134"/>
      <c r="X1434" s="134"/>
      <c r="Y1434" s="134"/>
      <c r="Z1434" s="134"/>
      <c r="AA1434" s="134"/>
      <c r="AB1434" s="134"/>
      <c r="AC1434" s="134"/>
      <c r="AD1434" s="134"/>
      <c r="AE1434" s="134"/>
      <c r="AF1434" s="134"/>
      <c r="AG1434" s="134"/>
      <c r="AH1434" s="134"/>
      <c r="AI1434" s="134"/>
      <c r="AJ1434" s="134"/>
    </row>
    <row r="1435" spans="2:36">
      <c r="B1435" s="134"/>
      <c r="C1435" s="134"/>
      <c r="D1435" s="134"/>
      <c r="E1435" s="134"/>
      <c r="F1435" s="134"/>
      <c r="G1435" s="134"/>
      <c r="H1435" s="134"/>
      <c r="I1435" s="134"/>
      <c r="J1435" s="134"/>
      <c r="K1435" s="134"/>
      <c r="L1435" s="134"/>
      <c r="M1435" s="134"/>
      <c r="N1435" s="134"/>
      <c r="O1435" s="134"/>
      <c r="P1435" s="134"/>
      <c r="Q1435" s="134"/>
      <c r="R1435" s="134"/>
      <c r="S1435" s="134"/>
      <c r="T1435" s="134"/>
      <c r="U1435" s="134"/>
      <c r="V1435" s="134"/>
      <c r="W1435" s="134"/>
      <c r="X1435" s="134"/>
      <c r="Y1435" s="134"/>
      <c r="Z1435" s="134"/>
      <c r="AA1435" s="134"/>
      <c r="AB1435" s="134"/>
      <c r="AC1435" s="134"/>
      <c r="AD1435" s="134"/>
      <c r="AE1435" s="134"/>
      <c r="AF1435" s="134"/>
      <c r="AG1435" s="134"/>
      <c r="AH1435" s="134"/>
      <c r="AI1435" s="134"/>
      <c r="AJ1435" s="134"/>
    </row>
    <row r="1436" spans="2:36">
      <c r="B1436" s="134"/>
      <c r="C1436" s="134"/>
      <c r="D1436" s="134"/>
      <c r="E1436" s="134"/>
      <c r="F1436" s="134"/>
      <c r="G1436" s="134"/>
      <c r="H1436" s="134"/>
      <c r="I1436" s="134"/>
      <c r="J1436" s="134"/>
      <c r="K1436" s="134"/>
      <c r="L1436" s="134"/>
      <c r="M1436" s="134"/>
      <c r="N1436" s="134"/>
      <c r="O1436" s="134"/>
      <c r="P1436" s="134"/>
      <c r="Q1436" s="134"/>
      <c r="R1436" s="134"/>
      <c r="S1436" s="134"/>
      <c r="T1436" s="134"/>
      <c r="U1436" s="134"/>
      <c r="V1436" s="134"/>
      <c r="W1436" s="134"/>
      <c r="X1436" s="134"/>
      <c r="Y1436" s="134"/>
      <c r="Z1436" s="134"/>
      <c r="AA1436" s="134"/>
      <c r="AB1436" s="134"/>
      <c r="AC1436" s="134"/>
      <c r="AD1436" s="134"/>
      <c r="AE1436" s="134"/>
      <c r="AF1436" s="134"/>
      <c r="AG1436" s="134"/>
      <c r="AH1436" s="134"/>
      <c r="AI1436" s="134"/>
      <c r="AJ1436" s="134"/>
    </row>
    <row r="1437" spans="2:36">
      <c r="B1437" s="134"/>
      <c r="C1437" s="134"/>
      <c r="D1437" s="134"/>
      <c r="E1437" s="134"/>
      <c r="F1437" s="134"/>
      <c r="G1437" s="134"/>
      <c r="H1437" s="134"/>
      <c r="I1437" s="134"/>
      <c r="J1437" s="134"/>
      <c r="K1437" s="134"/>
      <c r="L1437" s="134"/>
      <c r="M1437" s="134"/>
      <c r="N1437" s="134"/>
      <c r="O1437" s="134"/>
      <c r="P1437" s="134"/>
      <c r="Q1437" s="134"/>
      <c r="R1437" s="134"/>
      <c r="S1437" s="134"/>
      <c r="T1437" s="134"/>
      <c r="U1437" s="134"/>
      <c r="V1437" s="134"/>
      <c r="W1437" s="134"/>
      <c r="X1437" s="134"/>
      <c r="Y1437" s="134"/>
      <c r="Z1437" s="134"/>
      <c r="AA1437" s="134"/>
      <c r="AB1437" s="134"/>
      <c r="AC1437" s="134"/>
      <c r="AD1437" s="134"/>
      <c r="AE1437" s="134"/>
      <c r="AF1437" s="134"/>
      <c r="AG1437" s="134"/>
      <c r="AH1437" s="134"/>
      <c r="AI1437" s="134"/>
      <c r="AJ1437" s="134"/>
    </row>
    <row r="1438" spans="2:36">
      <c r="B1438" s="134"/>
      <c r="C1438" s="134"/>
      <c r="D1438" s="134"/>
      <c r="E1438" s="134"/>
      <c r="F1438" s="134"/>
      <c r="G1438" s="134"/>
      <c r="H1438" s="134"/>
      <c r="I1438" s="134"/>
      <c r="J1438" s="134"/>
      <c r="K1438" s="134"/>
      <c r="L1438" s="134"/>
      <c r="M1438" s="134"/>
      <c r="N1438" s="134"/>
      <c r="O1438" s="134"/>
      <c r="P1438" s="134"/>
      <c r="Q1438" s="134"/>
      <c r="R1438" s="134"/>
      <c r="S1438" s="134"/>
      <c r="T1438" s="134"/>
      <c r="U1438" s="134"/>
      <c r="V1438" s="134"/>
      <c r="W1438" s="134"/>
      <c r="X1438" s="134"/>
      <c r="Y1438" s="134"/>
      <c r="Z1438" s="134"/>
      <c r="AA1438" s="134"/>
      <c r="AB1438" s="134"/>
      <c r="AC1438" s="134"/>
      <c r="AD1438" s="134"/>
      <c r="AE1438" s="134"/>
      <c r="AF1438" s="134"/>
      <c r="AG1438" s="134"/>
      <c r="AH1438" s="134"/>
      <c r="AI1438" s="134"/>
      <c r="AJ1438" s="134"/>
    </row>
    <row r="1439" spans="2:36">
      <c r="B1439" s="134"/>
      <c r="C1439" s="134"/>
      <c r="D1439" s="134"/>
      <c r="E1439" s="134"/>
      <c r="F1439" s="134"/>
      <c r="G1439" s="134"/>
      <c r="H1439" s="134"/>
      <c r="I1439" s="134"/>
      <c r="J1439" s="134"/>
      <c r="K1439" s="134"/>
      <c r="L1439" s="134"/>
      <c r="M1439" s="134"/>
      <c r="N1439" s="134"/>
      <c r="O1439" s="134"/>
      <c r="P1439" s="134"/>
      <c r="Q1439" s="134"/>
      <c r="R1439" s="134"/>
      <c r="S1439" s="134"/>
      <c r="T1439" s="134"/>
      <c r="U1439" s="134"/>
      <c r="V1439" s="134"/>
      <c r="W1439" s="134"/>
      <c r="X1439" s="134"/>
      <c r="Y1439" s="134"/>
      <c r="Z1439" s="134"/>
      <c r="AA1439" s="134"/>
      <c r="AB1439" s="134"/>
      <c r="AC1439" s="134"/>
      <c r="AD1439" s="134"/>
      <c r="AE1439" s="134"/>
      <c r="AF1439" s="134"/>
      <c r="AG1439" s="134"/>
      <c r="AH1439" s="134"/>
      <c r="AI1439" s="134"/>
      <c r="AJ1439" s="134"/>
    </row>
    <row r="1440" spans="2:36">
      <c r="B1440" s="134"/>
      <c r="C1440" s="134"/>
      <c r="D1440" s="134"/>
      <c r="E1440" s="134"/>
      <c r="F1440" s="134"/>
      <c r="G1440" s="134"/>
      <c r="H1440" s="134"/>
      <c r="I1440" s="134"/>
      <c r="J1440" s="134"/>
      <c r="K1440" s="134"/>
      <c r="L1440" s="134"/>
      <c r="M1440" s="134"/>
      <c r="N1440" s="134"/>
      <c r="O1440" s="134"/>
      <c r="P1440" s="134"/>
      <c r="Q1440" s="134"/>
      <c r="R1440" s="134"/>
      <c r="S1440" s="134"/>
      <c r="T1440" s="134"/>
      <c r="U1440" s="134"/>
      <c r="V1440" s="134"/>
      <c r="W1440" s="134"/>
      <c r="X1440" s="134"/>
      <c r="Y1440" s="134"/>
      <c r="Z1440" s="134"/>
      <c r="AA1440" s="134"/>
      <c r="AB1440" s="134"/>
      <c r="AC1440" s="134"/>
      <c r="AD1440" s="134"/>
      <c r="AE1440" s="134"/>
      <c r="AF1440" s="134"/>
      <c r="AG1440" s="134"/>
      <c r="AH1440" s="134"/>
      <c r="AI1440" s="134"/>
      <c r="AJ1440" s="134"/>
    </row>
    <row r="1441" spans="2:36">
      <c r="B1441" s="134"/>
      <c r="C1441" s="134"/>
      <c r="D1441" s="134"/>
      <c r="E1441" s="134"/>
      <c r="F1441" s="134"/>
      <c r="G1441" s="134"/>
      <c r="H1441" s="134"/>
      <c r="I1441" s="134"/>
      <c r="J1441" s="134"/>
      <c r="K1441" s="134"/>
      <c r="L1441" s="134"/>
      <c r="M1441" s="134"/>
      <c r="N1441" s="134"/>
      <c r="O1441" s="134"/>
      <c r="P1441" s="134"/>
      <c r="Q1441" s="134"/>
      <c r="R1441" s="134"/>
      <c r="S1441" s="134"/>
      <c r="T1441" s="134"/>
      <c r="U1441" s="134"/>
      <c r="V1441" s="134"/>
      <c r="W1441" s="134"/>
      <c r="X1441" s="134"/>
      <c r="Y1441" s="134"/>
      <c r="Z1441" s="134"/>
      <c r="AA1441" s="134"/>
      <c r="AB1441" s="134"/>
      <c r="AC1441" s="134"/>
      <c r="AD1441" s="134"/>
      <c r="AE1441" s="134"/>
      <c r="AF1441" s="134"/>
      <c r="AG1441" s="134"/>
      <c r="AH1441" s="134"/>
      <c r="AI1441" s="134"/>
      <c r="AJ1441" s="134"/>
    </row>
    <row r="1442" spans="2:36">
      <c r="B1442" s="134"/>
      <c r="C1442" s="134"/>
      <c r="D1442" s="134"/>
      <c r="E1442" s="134"/>
      <c r="F1442" s="134"/>
      <c r="G1442" s="134"/>
      <c r="H1442" s="134"/>
      <c r="I1442" s="134"/>
      <c r="J1442" s="134"/>
      <c r="K1442" s="134"/>
      <c r="L1442" s="134"/>
      <c r="M1442" s="134"/>
      <c r="N1442" s="134"/>
      <c r="O1442" s="134"/>
      <c r="P1442" s="134"/>
      <c r="Q1442" s="134"/>
      <c r="R1442" s="134"/>
      <c r="S1442" s="134"/>
      <c r="T1442" s="134"/>
      <c r="U1442" s="134"/>
      <c r="V1442" s="134"/>
      <c r="W1442" s="134"/>
      <c r="X1442" s="134"/>
      <c r="Y1442" s="134"/>
      <c r="Z1442" s="134"/>
      <c r="AA1442" s="134"/>
      <c r="AB1442" s="134"/>
      <c r="AC1442" s="134"/>
      <c r="AD1442" s="134"/>
      <c r="AE1442" s="134"/>
      <c r="AF1442" s="134"/>
      <c r="AG1442" s="134"/>
      <c r="AH1442" s="134"/>
      <c r="AI1442" s="134"/>
      <c r="AJ1442" s="134"/>
    </row>
    <row r="1443" spans="2:36">
      <c r="B1443" s="134"/>
      <c r="C1443" s="134"/>
      <c r="D1443" s="134"/>
      <c r="E1443" s="134"/>
      <c r="F1443" s="134"/>
      <c r="G1443" s="134"/>
      <c r="H1443" s="134"/>
      <c r="I1443" s="134"/>
      <c r="J1443" s="134"/>
      <c r="K1443" s="134"/>
      <c r="L1443" s="134"/>
      <c r="M1443" s="134"/>
      <c r="N1443" s="134"/>
      <c r="O1443" s="134"/>
      <c r="P1443" s="134"/>
      <c r="Q1443" s="134"/>
      <c r="R1443" s="134"/>
      <c r="S1443" s="134"/>
      <c r="T1443" s="134"/>
      <c r="U1443" s="134"/>
      <c r="V1443" s="134"/>
      <c r="W1443" s="134"/>
      <c r="X1443" s="134"/>
      <c r="Y1443" s="134"/>
      <c r="Z1443" s="134"/>
      <c r="AA1443" s="134"/>
      <c r="AB1443" s="134"/>
      <c r="AC1443" s="134"/>
      <c r="AD1443" s="134"/>
      <c r="AE1443" s="134"/>
      <c r="AF1443" s="134"/>
      <c r="AG1443" s="134"/>
      <c r="AH1443" s="134"/>
      <c r="AI1443" s="134"/>
      <c r="AJ1443" s="134"/>
    </row>
    <row r="1444" spans="2:36">
      <c r="B1444" s="134"/>
      <c r="C1444" s="134"/>
      <c r="D1444" s="134"/>
      <c r="E1444" s="134"/>
      <c r="F1444" s="134"/>
      <c r="G1444" s="134"/>
      <c r="H1444" s="134"/>
      <c r="I1444" s="134"/>
      <c r="J1444" s="134"/>
      <c r="K1444" s="134"/>
      <c r="L1444" s="134"/>
      <c r="M1444" s="134"/>
      <c r="N1444" s="134"/>
      <c r="O1444" s="134"/>
      <c r="P1444" s="134"/>
      <c r="Q1444" s="134"/>
      <c r="R1444" s="134"/>
      <c r="S1444" s="134"/>
      <c r="T1444" s="134"/>
      <c r="U1444" s="134"/>
      <c r="V1444" s="134"/>
      <c r="W1444" s="134"/>
      <c r="X1444" s="134"/>
      <c r="Y1444" s="134"/>
      <c r="Z1444" s="134"/>
      <c r="AA1444" s="134"/>
      <c r="AB1444" s="134"/>
      <c r="AC1444" s="134"/>
      <c r="AD1444" s="134"/>
      <c r="AE1444" s="134"/>
      <c r="AF1444" s="134"/>
      <c r="AG1444" s="134"/>
      <c r="AH1444" s="134"/>
      <c r="AI1444" s="134"/>
      <c r="AJ1444" s="134"/>
    </row>
    <row r="1445" spans="2:36">
      <c r="B1445" s="134"/>
      <c r="C1445" s="134"/>
      <c r="D1445" s="134"/>
      <c r="E1445" s="134"/>
      <c r="F1445" s="134"/>
      <c r="G1445" s="134"/>
      <c r="H1445" s="134"/>
      <c r="I1445" s="134"/>
      <c r="J1445" s="134"/>
      <c r="K1445" s="134"/>
      <c r="L1445" s="134"/>
      <c r="M1445" s="134"/>
      <c r="N1445" s="134"/>
      <c r="O1445" s="134"/>
      <c r="P1445" s="134"/>
      <c r="Q1445" s="134"/>
      <c r="R1445" s="134"/>
      <c r="S1445" s="134"/>
      <c r="T1445" s="134"/>
      <c r="U1445" s="134"/>
      <c r="V1445" s="134"/>
      <c r="W1445" s="134"/>
      <c r="X1445" s="134"/>
      <c r="Y1445" s="134"/>
      <c r="Z1445" s="134"/>
      <c r="AA1445" s="134"/>
      <c r="AB1445" s="134"/>
      <c r="AC1445" s="134"/>
      <c r="AD1445" s="134"/>
      <c r="AE1445" s="134"/>
      <c r="AF1445" s="134"/>
      <c r="AG1445" s="134"/>
      <c r="AH1445" s="134"/>
      <c r="AI1445" s="134"/>
      <c r="AJ1445" s="134"/>
    </row>
    <row r="1446" spans="2:36">
      <c r="B1446" s="134"/>
      <c r="C1446" s="134"/>
      <c r="D1446" s="134"/>
      <c r="E1446" s="134"/>
      <c r="F1446" s="134"/>
      <c r="G1446" s="134"/>
      <c r="H1446" s="134"/>
      <c r="I1446" s="134"/>
      <c r="J1446" s="134"/>
      <c r="K1446" s="134"/>
      <c r="L1446" s="134"/>
      <c r="M1446" s="134"/>
      <c r="N1446" s="134"/>
      <c r="O1446" s="134"/>
      <c r="P1446" s="134"/>
      <c r="Q1446" s="134"/>
      <c r="R1446" s="134"/>
      <c r="S1446" s="134"/>
      <c r="T1446" s="134"/>
      <c r="U1446" s="134"/>
      <c r="V1446" s="134"/>
      <c r="W1446" s="134"/>
      <c r="X1446" s="134"/>
      <c r="Y1446" s="134"/>
      <c r="Z1446" s="134"/>
      <c r="AA1446" s="134"/>
      <c r="AB1446" s="134"/>
      <c r="AC1446" s="134"/>
      <c r="AD1446" s="134"/>
      <c r="AE1446" s="134"/>
      <c r="AF1446" s="134"/>
      <c r="AG1446" s="134"/>
      <c r="AH1446" s="134"/>
      <c r="AI1446" s="134"/>
      <c r="AJ1446" s="134"/>
    </row>
    <row r="1447" spans="2:36">
      <c r="B1447" s="134"/>
      <c r="C1447" s="134"/>
      <c r="D1447" s="134"/>
      <c r="E1447" s="134"/>
      <c r="F1447" s="134"/>
      <c r="G1447" s="134"/>
      <c r="H1447" s="134"/>
      <c r="I1447" s="134"/>
      <c r="J1447" s="134"/>
      <c r="K1447" s="134"/>
      <c r="L1447" s="134"/>
      <c r="M1447" s="134"/>
      <c r="N1447" s="134"/>
      <c r="O1447" s="134"/>
      <c r="P1447" s="134"/>
      <c r="Q1447" s="134"/>
      <c r="R1447" s="134"/>
      <c r="S1447" s="134"/>
      <c r="T1447" s="134"/>
      <c r="U1447" s="134"/>
      <c r="V1447" s="134"/>
      <c r="W1447" s="134"/>
      <c r="X1447" s="134"/>
      <c r="Y1447" s="134"/>
      <c r="Z1447" s="134"/>
      <c r="AA1447" s="134"/>
      <c r="AB1447" s="134"/>
      <c r="AC1447" s="134"/>
      <c r="AD1447" s="134"/>
      <c r="AE1447" s="134"/>
      <c r="AF1447" s="134"/>
      <c r="AG1447" s="134"/>
      <c r="AH1447" s="134"/>
      <c r="AI1447" s="134"/>
      <c r="AJ1447" s="134"/>
    </row>
    <row r="1448" spans="2:36">
      <c r="B1448" s="134"/>
      <c r="C1448" s="134"/>
      <c r="D1448" s="134"/>
      <c r="E1448" s="134"/>
      <c r="F1448" s="134"/>
      <c r="G1448" s="134"/>
      <c r="H1448" s="134"/>
      <c r="I1448" s="134"/>
      <c r="J1448" s="134"/>
      <c r="K1448" s="134"/>
      <c r="L1448" s="134"/>
      <c r="M1448" s="134"/>
      <c r="N1448" s="134"/>
      <c r="O1448" s="134"/>
      <c r="P1448" s="134"/>
      <c r="Q1448" s="134"/>
      <c r="R1448" s="134"/>
      <c r="S1448" s="134"/>
      <c r="T1448" s="134"/>
      <c r="U1448" s="134"/>
      <c r="V1448" s="134"/>
      <c r="W1448" s="134"/>
      <c r="X1448" s="134"/>
      <c r="Y1448" s="134"/>
      <c r="Z1448" s="134"/>
      <c r="AA1448" s="134"/>
      <c r="AB1448" s="134"/>
      <c r="AC1448" s="134"/>
      <c r="AD1448" s="134"/>
      <c r="AE1448" s="134"/>
      <c r="AF1448" s="134"/>
      <c r="AG1448" s="134"/>
      <c r="AH1448" s="134"/>
      <c r="AI1448" s="134"/>
      <c r="AJ1448" s="134"/>
    </row>
    <row r="1449" spans="2:36">
      <c r="B1449" s="134"/>
      <c r="C1449" s="134"/>
      <c r="D1449" s="134"/>
      <c r="E1449" s="134"/>
      <c r="F1449" s="134"/>
      <c r="G1449" s="134"/>
      <c r="H1449" s="134"/>
      <c r="I1449" s="134"/>
      <c r="J1449" s="134"/>
      <c r="K1449" s="134"/>
      <c r="L1449" s="134"/>
      <c r="M1449" s="134"/>
      <c r="N1449" s="134"/>
      <c r="O1449" s="134"/>
      <c r="P1449" s="134"/>
      <c r="Q1449" s="134"/>
      <c r="R1449" s="134"/>
      <c r="S1449" s="134"/>
      <c r="T1449" s="134"/>
      <c r="U1449" s="134"/>
      <c r="V1449" s="134"/>
      <c r="W1449" s="134"/>
      <c r="X1449" s="134"/>
      <c r="Y1449" s="134"/>
      <c r="Z1449" s="134"/>
      <c r="AA1449" s="134"/>
      <c r="AB1449" s="134"/>
      <c r="AC1449" s="134"/>
      <c r="AD1449" s="134"/>
      <c r="AE1449" s="134"/>
      <c r="AF1449" s="134"/>
      <c r="AG1449" s="134"/>
      <c r="AH1449" s="134"/>
      <c r="AI1449" s="134"/>
      <c r="AJ1449" s="134"/>
    </row>
    <row r="1450" spans="2:36">
      <c r="B1450" s="134"/>
      <c r="C1450" s="134"/>
      <c r="D1450" s="134"/>
      <c r="E1450" s="134"/>
      <c r="F1450" s="134"/>
      <c r="G1450" s="134"/>
      <c r="H1450" s="134"/>
      <c r="I1450" s="134"/>
      <c r="J1450" s="134"/>
      <c r="K1450" s="134"/>
      <c r="L1450" s="134"/>
      <c r="M1450" s="134"/>
      <c r="N1450" s="134"/>
      <c r="O1450" s="134"/>
      <c r="P1450" s="134"/>
      <c r="Q1450" s="134"/>
      <c r="R1450" s="134"/>
      <c r="S1450" s="134"/>
      <c r="T1450" s="134"/>
      <c r="U1450" s="134"/>
      <c r="V1450" s="134"/>
      <c r="W1450" s="134"/>
      <c r="X1450" s="134"/>
      <c r="Y1450" s="134"/>
      <c r="Z1450" s="134"/>
      <c r="AA1450" s="134"/>
      <c r="AB1450" s="134"/>
      <c r="AC1450" s="134"/>
      <c r="AD1450" s="134"/>
      <c r="AE1450" s="134"/>
      <c r="AF1450" s="134"/>
      <c r="AG1450" s="134"/>
      <c r="AH1450" s="134"/>
      <c r="AI1450" s="134"/>
      <c r="AJ1450" s="134"/>
    </row>
    <row r="1451" spans="2:36">
      <c r="B1451" s="134"/>
      <c r="C1451" s="134"/>
      <c r="D1451" s="134"/>
      <c r="E1451" s="134"/>
      <c r="F1451" s="134"/>
      <c r="G1451" s="134"/>
      <c r="H1451" s="134"/>
      <c r="I1451" s="134"/>
      <c r="J1451" s="134"/>
      <c r="K1451" s="134"/>
      <c r="L1451" s="134"/>
      <c r="M1451" s="134"/>
      <c r="N1451" s="134"/>
      <c r="O1451" s="134"/>
      <c r="P1451" s="134"/>
      <c r="Q1451" s="134"/>
      <c r="R1451" s="134"/>
      <c r="S1451" s="134"/>
      <c r="T1451" s="134"/>
      <c r="U1451" s="134"/>
      <c r="V1451" s="134"/>
      <c r="W1451" s="134"/>
      <c r="X1451" s="134"/>
      <c r="Y1451" s="134"/>
      <c r="Z1451" s="134"/>
      <c r="AA1451" s="134"/>
      <c r="AB1451" s="134"/>
      <c r="AC1451" s="134"/>
      <c r="AD1451" s="134"/>
      <c r="AE1451" s="134"/>
      <c r="AF1451" s="134"/>
      <c r="AG1451" s="134"/>
      <c r="AH1451" s="134"/>
      <c r="AI1451" s="134"/>
      <c r="AJ1451" s="134"/>
    </row>
    <row r="1452" spans="2:36">
      <c r="B1452" s="134"/>
      <c r="C1452" s="134"/>
      <c r="D1452" s="134"/>
      <c r="E1452" s="134"/>
      <c r="F1452" s="134"/>
      <c r="G1452" s="134"/>
      <c r="H1452" s="134"/>
      <c r="I1452" s="134"/>
      <c r="J1452" s="134"/>
      <c r="K1452" s="134"/>
      <c r="L1452" s="134"/>
      <c r="M1452" s="134"/>
      <c r="N1452" s="134"/>
      <c r="O1452" s="134"/>
      <c r="P1452" s="134"/>
      <c r="Q1452" s="134"/>
      <c r="R1452" s="134"/>
      <c r="S1452" s="134"/>
      <c r="T1452" s="134"/>
      <c r="U1452" s="134"/>
      <c r="V1452" s="134"/>
      <c r="W1452" s="134"/>
      <c r="X1452" s="134"/>
      <c r="Y1452" s="134"/>
      <c r="Z1452" s="134"/>
      <c r="AA1452" s="134"/>
      <c r="AB1452" s="134"/>
      <c r="AC1452" s="134"/>
      <c r="AD1452" s="134"/>
      <c r="AE1452" s="134"/>
      <c r="AF1452" s="134"/>
      <c r="AG1452" s="134"/>
      <c r="AH1452" s="134"/>
      <c r="AI1452" s="134"/>
      <c r="AJ1452" s="134"/>
    </row>
    <row r="1453" spans="2:36">
      <c r="B1453" s="134"/>
      <c r="C1453" s="134"/>
      <c r="D1453" s="134"/>
      <c r="E1453" s="134"/>
      <c r="F1453" s="134"/>
      <c r="G1453" s="134"/>
      <c r="H1453" s="134"/>
      <c r="I1453" s="134"/>
      <c r="J1453" s="134"/>
      <c r="K1453" s="134"/>
      <c r="L1453" s="134"/>
      <c r="M1453" s="134"/>
      <c r="N1453" s="134"/>
      <c r="O1453" s="134"/>
      <c r="P1453" s="134"/>
      <c r="Q1453" s="134"/>
      <c r="R1453" s="134"/>
      <c r="S1453" s="134"/>
      <c r="T1453" s="134"/>
      <c r="U1453" s="134"/>
      <c r="V1453" s="134"/>
      <c r="W1453" s="134"/>
      <c r="X1453" s="134"/>
      <c r="Y1453" s="134"/>
      <c r="Z1453" s="134"/>
      <c r="AA1453" s="134"/>
      <c r="AB1453" s="134"/>
      <c r="AC1453" s="134"/>
      <c r="AD1453" s="134"/>
      <c r="AE1453" s="134"/>
      <c r="AF1453" s="134"/>
      <c r="AG1453" s="134"/>
      <c r="AH1453" s="134"/>
      <c r="AI1453" s="134"/>
      <c r="AJ1453" s="134"/>
    </row>
    <row r="1454" spans="2:36">
      <c r="B1454" s="134"/>
      <c r="C1454" s="134"/>
      <c r="D1454" s="134"/>
      <c r="E1454" s="134"/>
      <c r="F1454" s="134"/>
      <c r="G1454" s="134"/>
      <c r="H1454" s="134"/>
      <c r="I1454" s="134"/>
      <c r="J1454" s="134"/>
      <c r="K1454" s="134"/>
      <c r="L1454" s="134"/>
      <c r="M1454" s="134"/>
      <c r="N1454" s="134"/>
      <c r="O1454" s="134"/>
      <c r="P1454" s="134"/>
      <c r="Q1454" s="134"/>
      <c r="R1454" s="134"/>
      <c r="S1454" s="134"/>
      <c r="T1454" s="134"/>
      <c r="U1454" s="134"/>
      <c r="V1454" s="134"/>
      <c r="W1454" s="134"/>
      <c r="X1454" s="134"/>
      <c r="Y1454" s="134"/>
      <c r="Z1454" s="134"/>
      <c r="AA1454" s="134"/>
      <c r="AB1454" s="134"/>
      <c r="AC1454" s="134"/>
      <c r="AD1454" s="134"/>
      <c r="AE1454" s="134"/>
      <c r="AF1454" s="134"/>
      <c r="AG1454" s="134"/>
      <c r="AH1454" s="134"/>
      <c r="AI1454" s="134"/>
      <c r="AJ1454" s="134"/>
    </row>
    <row r="1455" spans="2:36">
      <c r="B1455" s="134"/>
      <c r="C1455" s="134"/>
      <c r="D1455" s="134"/>
      <c r="E1455" s="134"/>
      <c r="F1455" s="134"/>
      <c r="G1455" s="134"/>
      <c r="H1455" s="134"/>
      <c r="I1455" s="134"/>
      <c r="J1455" s="134"/>
      <c r="K1455" s="134"/>
      <c r="L1455" s="134"/>
      <c r="M1455" s="134"/>
      <c r="N1455" s="134"/>
      <c r="O1455" s="134"/>
      <c r="P1455" s="134"/>
      <c r="Q1455" s="134"/>
      <c r="R1455" s="134"/>
      <c r="S1455" s="134"/>
      <c r="T1455" s="134"/>
      <c r="U1455" s="134"/>
      <c r="V1455" s="134"/>
      <c r="W1455" s="134"/>
      <c r="X1455" s="134"/>
      <c r="Y1455" s="134"/>
      <c r="Z1455" s="134"/>
      <c r="AA1455" s="134"/>
      <c r="AB1455" s="134"/>
      <c r="AC1455" s="134"/>
      <c r="AD1455" s="134"/>
      <c r="AE1455" s="134"/>
      <c r="AF1455" s="134"/>
      <c r="AG1455" s="134"/>
      <c r="AH1455" s="134"/>
      <c r="AI1455" s="134"/>
      <c r="AJ1455" s="134"/>
    </row>
    <row r="1456" spans="2:36">
      <c r="B1456" s="134"/>
      <c r="C1456" s="134"/>
      <c r="D1456" s="134"/>
      <c r="E1456" s="134"/>
      <c r="F1456" s="134"/>
      <c r="G1456" s="134"/>
      <c r="H1456" s="134"/>
      <c r="I1456" s="134"/>
      <c r="J1456" s="134"/>
      <c r="K1456" s="134"/>
      <c r="L1456" s="134"/>
      <c r="M1456" s="134"/>
      <c r="N1456" s="134"/>
      <c r="O1456" s="134"/>
      <c r="P1456" s="134"/>
      <c r="Q1456" s="134"/>
      <c r="R1456" s="134"/>
      <c r="S1456" s="134"/>
      <c r="T1456" s="134"/>
      <c r="U1456" s="134"/>
      <c r="V1456" s="134"/>
      <c r="W1456" s="134"/>
      <c r="X1456" s="134"/>
      <c r="Y1456" s="134"/>
      <c r="Z1456" s="134"/>
      <c r="AA1456" s="134"/>
      <c r="AB1456" s="134"/>
      <c r="AC1456" s="134"/>
      <c r="AD1456" s="134"/>
      <c r="AE1456" s="134"/>
      <c r="AF1456" s="134"/>
      <c r="AG1456" s="134"/>
      <c r="AH1456" s="134"/>
      <c r="AI1456" s="134"/>
      <c r="AJ1456" s="134"/>
    </row>
    <row r="1457" spans="2:36">
      <c r="B1457" s="134"/>
      <c r="C1457" s="134"/>
      <c r="D1457" s="134"/>
      <c r="E1457" s="134"/>
      <c r="F1457" s="134"/>
      <c r="G1457" s="134"/>
      <c r="H1457" s="134"/>
      <c r="I1457" s="134"/>
      <c r="J1457" s="134"/>
      <c r="K1457" s="134"/>
      <c r="L1457" s="134"/>
      <c r="M1457" s="134"/>
      <c r="N1457" s="134"/>
      <c r="O1457" s="134"/>
      <c r="P1457" s="134"/>
      <c r="Q1457" s="134"/>
      <c r="R1457" s="134"/>
      <c r="S1457" s="134"/>
      <c r="T1457" s="134"/>
      <c r="U1457" s="134"/>
      <c r="V1457" s="134"/>
      <c r="W1457" s="134"/>
      <c r="X1457" s="134"/>
      <c r="Y1457" s="134"/>
      <c r="Z1457" s="134"/>
      <c r="AA1457" s="134"/>
      <c r="AB1457" s="134"/>
      <c r="AC1457" s="134"/>
      <c r="AD1457" s="134"/>
      <c r="AE1457" s="134"/>
      <c r="AF1457" s="134"/>
      <c r="AG1457" s="134"/>
      <c r="AH1457" s="134"/>
      <c r="AI1457" s="134"/>
      <c r="AJ1457" s="134"/>
    </row>
    <row r="1458" spans="2:36">
      <c r="B1458" s="134"/>
      <c r="C1458" s="134"/>
      <c r="D1458" s="134"/>
      <c r="E1458" s="134"/>
      <c r="F1458" s="134"/>
      <c r="G1458" s="134"/>
      <c r="H1458" s="134"/>
      <c r="I1458" s="134"/>
      <c r="J1458" s="134"/>
      <c r="K1458" s="134"/>
      <c r="L1458" s="134"/>
      <c r="M1458" s="134"/>
      <c r="N1458" s="134"/>
      <c r="O1458" s="134"/>
      <c r="P1458" s="134"/>
      <c r="Q1458" s="134"/>
      <c r="R1458" s="134"/>
      <c r="S1458" s="134"/>
      <c r="T1458" s="134"/>
      <c r="U1458" s="134"/>
      <c r="V1458" s="134"/>
      <c r="W1458" s="134"/>
      <c r="X1458" s="134"/>
      <c r="Y1458" s="134"/>
      <c r="Z1458" s="134"/>
      <c r="AA1458" s="134"/>
      <c r="AB1458" s="134"/>
      <c r="AC1458" s="134"/>
      <c r="AD1458" s="134"/>
      <c r="AE1458" s="134"/>
      <c r="AF1458" s="134"/>
      <c r="AG1458" s="134"/>
      <c r="AH1458" s="134"/>
      <c r="AI1458" s="134"/>
      <c r="AJ1458" s="134"/>
    </row>
    <row r="1459" spans="2:36">
      <c r="B1459" s="134"/>
      <c r="C1459" s="134"/>
      <c r="D1459" s="134"/>
      <c r="E1459" s="134"/>
      <c r="F1459" s="134"/>
      <c r="G1459" s="134"/>
      <c r="H1459" s="134"/>
      <c r="I1459" s="134"/>
      <c r="J1459" s="134"/>
      <c r="K1459" s="134"/>
      <c r="L1459" s="134"/>
      <c r="M1459" s="134"/>
      <c r="N1459" s="134"/>
      <c r="O1459" s="134"/>
      <c r="P1459" s="134"/>
      <c r="Q1459" s="134"/>
      <c r="R1459" s="134"/>
      <c r="S1459" s="134"/>
      <c r="T1459" s="134"/>
      <c r="U1459" s="134"/>
      <c r="V1459" s="134"/>
      <c r="W1459" s="134"/>
      <c r="X1459" s="134"/>
      <c r="Y1459" s="134"/>
      <c r="Z1459" s="134"/>
      <c r="AA1459" s="134"/>
      <c r="AB1459" s="134"/>
      <c r="AC1459" s="134"/>
      <c r="AD1459" s="134"/>
      <c r="AE1459" s="134"/>
      <c r="AF1459" s="134"/>
      <c r="AG1459" s="134"/>
      <c r="AH1459" s="134"/>
      <c r="AI1459" s="134"/>
      <c r="AJ1459" s="134"/>
    </row>
    <row r="1460" spans="2:36">
      <c r="B1460" s="134"/>
      <c r="C1460" s="134"/>
      <c r="D1460" s="134"/>
      <c r="E1460" s="134"/>
      <c r="F1460" s="134"/>
      <c r="G1460" s="134"/>
      <c r="H1460" s="134"/>
      <c r="I1460" s="134"/>
      <c r="J1460" s="134"/>
      <c r="K1460" s="134"/>
      <c r="L1460" s="134"/>
      <c r="M1460" s="134"/>
      <c r="N1460" s="134"/>
      <c r="O1460" s="134"/>
      <c r="P1460" s="134"/>
      <c r="Q1460" s="134"/>
      <c r="R1460" s="134"/>
      <c r="S1460" s="134"/>
      <c r="T1460" s="134"/>
      <c r="U1460" s="134"/>
      <c r="V1460" s="134"/>
      <c r="W1460" s="134"/>
      <c r="X1460" s="134"/>
      <c r="Y1460" s="134"/>
      <c r="Z1460" s="134"/>
      <c r="AA1460" s="134"/>
      <c r="AB1460" s="134"/>
      <c r="AC1460" s="134"/>
      <c r="AD1460" s="134"/>
      <c r="AE1460" s="134"/>
      <c r="AF1460" s="134"/>
      <c r="AG1460" s="134"/>
      <c r="AH1460" s="134"/>
      <c r="AI1460" s="134"/>
      <c r="AJ1460" s="134"/>
    </row>
    <row r="1461" spans="2:36">
      <c r="B1461" s="134"/>
      <c r="C1461" s="134"/>
      <c r="D1461" s="134"/>
      <c r="E1461" s="134"/>
      <c r="F1461" s="134"/>
      <c r="G1461" s="134"/>
      <c r="H1461" s="134"/>
      <c r="I1461" s="134"/>
      <c r="J1461" s="134"/>
      <c r="K1461" s="134"/>
      <c r="L1461" s="134"/>
      <c r="M1461" s="134"/>
      <c r="N1461" s="134"/>
      <c r="O1461" s="134"/>
      <c r="P1461" s="134"/>
      <c r="Q1461" s="134"/>
      <c r="R1461" s="134"/>
      <c r="S1461" s="134"/>
      <c r="T1461" s="134"/>
      <c r="U1461" s="134"/>
      <c r="V1461" s="134"/>
      <c r="W1461" s="134"/>
      <c r="X1461" s="134"/>
      <c r="Y1461" s="134"/>
      <c r="Z1461" s="134"/>
      <c r="AA1461" s="134"/>
      <c r="AB1461" s="134"/>
      <c r="AC1461" s="134"/>
      <c r="AD1461" s="134"/>
      <c r="AE1461" s="134"/>
      <c r="AF1461" s="134"/>
      <c r="AG1461" s="134"/>
      <c r="AH1461" s="134"/>
      <c r="AI1461" s="134"/>
      <c r="AJ1461" s="134"/>
    </row>
    <row r="1462" spans="2:36">
      <c r="B1462" s="134"/>
      <c r="C1462" s="134"/>
      <c r="D1462" s="134"/>
      <c r="E1462" s="134"/>
      <c r="F1462" s="134"/>
      <c r="G1462" s="134"/>
      <c r="H1462" s="134"/>
      <c r="I1462" s="134"/>
      <c r="J1462" s="134"/>
      <c r="K1462" s="134"/>
      <c r="L1462" s="134"/>
      <c r="M1462" s="134"/>
      <c r="N1462" s="134"/>
      <c r="O1462" s="134"/>
      <c r="P1462" s="134"/>
      <c r="Q1462" s="134"/>
      <c r="R1462" s="134"/>
      <c r="S1462" s="134"/>
      <c r="T1462" s="134"/>
      <c r="U1462" s="134"/>
      <c r="V1462" s="134"/>
      <c r="W1462" s="134"/>
      <c r="X1462" s="134"/>
      <c r="Y1462" s="134"/>
      <c r="Z1462" s="134"/>
      <c r="AA1462" s="134"/>
      <c r="AB1462" s="134"/>
      <c r="AC1462" s="134"/>
      <c r="AD1462" s="134"/>
      <c r="AE1462" s="134"/>
      <c r="AF1462" s="134"/>
      <c r="AG1462" s="134"/>
      <c r="AH1462" s="134"/>
      <c r="AI1462" s="134"/>
      <c r="AJ1462" s="134"/>
    </row>
    <row r="1463" spans="2:36">
      <c r="B1463" s="134"/>
      <c r="C1463" s="134"/>
      <c r="D1463" s="134"/>
      <c r="E1463" s="134"/>
      <c r="F1463" s="134"/>
      <c r="G1463" s="134"/>
      <c r="H1463" s="134"/>
      <c r="I1463" s="134"/>
      <c r="J1463" s="134"/>
      <c r="K1463" s="134"/>
      <c r="L1463" s="134"/>
      <c r="M1463" s="134"/>
      <c r="N1463" s="134"/>
      <c r="O1463" s="134"/>
      <c r="P1463" s="134"/>
      <c r="Q1463" s="134"/>
      <c r="R1463" s="134"/>
      <c r="S1463" s="134"/>
      <c r="T1463" s="134"/>
      <c r="U1463" s="134"/>
      <c r="V1463" s="134"/>
      <c r="W1463" s="134"/>
      <c r="X1463" s="134"/>
      <c r="Y1463" s="134"/>
      <c r="Z1463" s="134"/>
      <c r="AA1463" s="134"/>
      <c r="AB1463" s="134"/>
      <c r="AC1463" s="134"/>
      <c r="AD1463" s="134"/>
      <c r="AE1463" s="134"/>
      <c r="AF1463" s="134"/>
      <c r="AG1463" s="134"/>
      <c r="AH1463" s="134"/>
      <c r="AI1463" s="134"/>
      <c r="AJ1463" s="134"/>
    </row>
    <row r="1464" spans="2:36">
      <c r="B1464" s="134"/>
      <c r="C1464" s="134"/>
      <c r="D1464" s="134"/>
      <c r="E1464" s="134"/>
      <c r="F1464" s="134"/>
      <c r="G1464" s="134"/>
      <c r="H1464" s="134"/>
      <c r="I1464" s="134"/>
      <c r="J1464" s="134"/>
      <c r="K1464" s="134"/>
      <c r="L1464" s="134"/>
      <c r="M1464" s="134"/>
      <c r="N1464" s="134"/>
      <c r="O1464" s="134"/>
      <c r="P1464" s="134"/>
      <c r="Q1464" s="134"/>
      <c r="R1464" s="134"/>
      <c r="S1464" s="134"/>
      <c r="T1464" s="134"/>
      <c r="U1464" s="134"/>
      <c r="V1464" s="134"/>
      <c r="W1464" s="134"/>
      <c r="X1464" s="134"/>
      <c r="Y1464" s="134"/>
      <c r="Z1464" s="134"/>
      <c r="AA1464" s="134"/>
      <c r="AB1464" s="134"/>
      <c r="AC1464" s="134"/>
      <c r="AD1464" s="134"/>
      <c r="AE1464" s="134"/>
      <c r="AF1464" s="134"/>
      <c r="AG1464" s="134"/>
      <c r="AH1464" s="134"/>
      <c r="AI1464" s="134"/>
      <c r="AJ1464" s="134"/>
    </row>
    <row r="1465" spans="2:36">
      <c r="B1465" s="134"/>
      <c r="C1465" s="134"/>
      <c r="D1465" s="134"/>
      <c r="E1465" s="134"/>
      <c r="F1465" s="134"/>
      <c r="G1465" s="134"/>
      <c r="H1465" s="134"/>
      <c r="I1465" s="134"/>
      <c r="J1465" s="134"/>
      <c r="K1465" s="134"/>
      <c r="L1465" s="134"/>
      <c r="M1465" s="134"/>
      <c r="N1465" s="134"/>
      <c r="O1465" s="134"/>
      <c r="P1465" s="134"/>
      <c r="Q1465" s="134"/>
      <c r="R1465" s="134"/>
      <c r="S1465" s="134"/>
      <c r="T1465" s="134"/>
      <c r="U1465" s="134"/>
      <c r="V1465" s="134"/>
      <c r="W1465" s="134"/>
      <c r="X1465" s="134"/>
      <c r="Y1465" s="134"/>
      <c r="Z1465" s="134"/>
      <c r="AA1465" s="134"/>
      <c r="AB1465" s="134"/>
      <c r="AC1465" s="134"/>
      <c r="AD1465" s="134"/>
      <c r="AE1465" s="134"/>
      <c r="AF1465" s="134"/>
      <c r="AG1465" s="134"/>
      <c r="AH1465" s="134"/>
      <c r="AI1465" s="134"/>
      <c r="AJ1465" s="134"/>
    </row>
    <row r="1466" spans="2:36">
      <c r="B1466" s="134"/>
      <c r="C1466" s="134"/>
      <c r="D1466" s="134"/>
      <c r="E1466" s="134"/>
      <c r="F1466" s="134"/>
      <c r="G1466" s="134"/>
      <c r="H1466" s="134"/>
      <c r="I1466" s="134"/>
      <c r="J1466" s="134"/>
      <c r="K1466" s="134"/>
      <c r="L1466" s="134"/>
      <c r="M1466" s="134"/>
      <c r="N1466" s="134"/>
      <c r="O1466" s="134"/>
      <c r="P1466" s="134"/>
      <c r="Q1466" s="134"/>
      <c r="R1466" s="134"/>
      <c r="S1466" s="134"/>
      <c r="T1466" s="134"/>
      <c r="U1466" s="134"/>
      <c r="V1466" s="134"/>
      <c r="W1466" s="134"/>
      <c r="X1466" s="134"/>
      <c r="Y1466" s="134"/>
      <c r="Z1466" s="134"/>
      <c r="AA1466" s="134"/>
      <c r="AB1466" s="134"/>
      <c r="AC1466" s="134"/>
      <c r="AD1466" s="134"/>
      <c r="AE1466" s="134"/>
      <c r="AF1466" s="134"/>
      <c r="AG1466" s="134"/>
      <c r="AH1466" s="134"/>
      <c r="AI1466" s="134"/>
      <c r="AJ1466" s="134"/>
    </row>
    <row r="1467" spans="2:36">
      <c r="B1467" s="134"/>
      <c r="C1467" s="134"/>
      <c r="D1467" s="134"/>
      <c r="E1467" s="134"/>
      <c r="F1467" s="134"/>
      <c r="G1467" s="134"/>
      <c r="H1467" s="134"/>
      <c r="I1467" s="134"/>
      <c r="J1467" s="134"/>
      <c r="K1467" s="134"/>
      <c r="L1467" s="134"/>
      <c r="M1467" s="134"/>
      <c r="N1467" s="134"/>
      <c r="O1467" s="134"/>
      <c r="P1467" s="134"/>
      <c r="Q1467" s="134"/>
      <c r="R1467" s="134"/>
      <c r="S1467" s="134"/>
      <c r="T1467" s="134"/>
      <c r="U1467" s="134"/>
      <c r="V1467" s="134"/>
      <c r="W1467" s="134"/>
      <c r="X1467" s="134"/>
      <c r="Y1467" s="134"/>
      <c r="Z1467" s="134"/>
      <c r="AA1467" s="134"/>
      <c r="AB1467" s="134"/>
      <c r="AC1467" s="134"/>
      <c r="AD1467" s="134"/>
      <c r="AE1467" s="134"/>
      <c r="AF1467" s="134"/>
      <c r="AG1467" s="134"/>
      <c r="AH1467" s="134"/>
      <c r="AI1467" s="134"/>
      <c r="AJ1467" s="134"/>
    </row>
    <row r="1468" spans="2:36">
      <c r="B1468" s="134"/>
      <c r="C1468" s="134"/>
      <c r="D1468" s="134"/>
      <c r="E1468" s="134"/>
      <c r="F1468" s="134"/>
      <c r="G1468" s="134"/>
      <c r="H1468" s="134"/>
      <c r="I1468" s="134"/>
      <c r="J1468" s="134"/>
      <c r="K1468" s="134"/>
      <c r="L1468" s="134"/>
      <c r="M1468" s="134"/>
      <c r="N1468" s="134"/>
      <c r="O1468" s="134"/>
      <c r="P1468" s="134"/>
      <c r="Q1468" s="134"/>
      <c r="R1468" s="134"/>
      <c r="S1468" s="134"/>
      <c r="T1468" s="134"/>
      <c r="U1468" s="134"/>
      <c r="V1468" s="134"/>
      <c r="W1468" s="134"/>
      <c r="X1468" s="134"/>
      <c r="Y1468" s="134"/>
      <c r="Z1468" s="134"/>
      <c r="AA1468" s="134"/>
      <c r="AB1468" s="134"/>
      <c r="AC1468" s="134"/>
      <c r="AD1468" s="134"/>
      <c r="AE1468" s="134"/>
      <c r="AF1468" s="134"/>
      <c r="AG1468" s="134"/>
      <c r="AH1468" s="134"/>
      <c r="AI1468" s="134"/>
      <c r="AJ1468" s="134"/>
    </row>
    <row r="1469" spans="2:36">
      <c r="B1469" s="134"/>
      <c r="C1469" s="134"/>
      <c r="D1469" s="134"/>
      <c r="E1469" s="134"/>
      <c r="F1469" s="134"/>
      <c r="G1469" s="134"/>
      <c r="H1469" s="134"/>
      <c r="I1469" s="134"/>
      <c r="J1469" s="134"/>
      <c r="K1469" s="134"/>
      <c r="L1469" s="134"/>
      <c r="M1469" s="134"/>
      <c r="N1469" s="134"/>
      <c r="O1469" s="134"/>
      <c r="P1469" s="134"/>
      <c r="Q1469" s="134"/>
      <c r="R1469" s="134"/>
      <c r="S1469" s="134"/>
      <c r="T1469" s="134"/>
      <c r="U1469" s="134"/>
      <c r="V1469" s="134"/>
      <c r="W1469" s="134"/>
      <c r="X1469" s="134"/>
      <c r="Y1469" s="134"/>
      <c r="Z1469" s="134"/>
      <c r="AA1469" s="134"/>
      <c r="AB1469" s="134"/>
      <c r="AC1469" s="134"/>
      <c r="AD1469" s="134"/>
      <c r="AE1469" s="134"/>
      <c r="AF1469" s="134"/>
      <c r="AG1469" s="134"/>
      <c r="AH1469" s="134"/>
      <c r="AI1469" s="134"/>
      <c r="AJ1469" s="134"/>
    </row>
    <row r="1470" spans="2:36">
      <c r="B1470" s="134"/>
      <c r="C1470" s="134"/>
      <c r="D1470" s="134"/>
      <c r="E1470" s="134"/>
      <c r="F1470" s="134"/>
      <c r="G1470" s="134"/>
      <c r="H1470" s="134"/>
      <c r="I1470" s="134"/>
      <c r="J1470" s="134"/>
      <c r="K1470" s="134"/>
      <c r="L1470" s="134"/>
      <c r="M1470" s="134"/>
      <c r="N1470" s="134"/>
      <c r="O1470" s="134"/>
      <c r="P1470" s="134"/>
      <c r="Q1470" s="134"/>
      <c r="R1470" s="134"/>
      <c r="S1470" s="134"/>
      <c r="T1470" s="134"/>
      <c r="U1470" s="134"/>
      <c r="V1470" s="134"/>
      <c r="W1470" s="134"/>
      <c r="X1470" s="134"/>
      <c r="Y1470" s="134"/>
      <c r="Z1470" s="134"/>
      <c r="AA1470" s="134"/>
      <c r="AB1470" s="134"/>
      <c r="AC1470" s="134"/>
      <c r="AD1470" s="134"/>
      <c r="AE1470" s="134"/>
      <c r="AF1470" s="134"/>
      <c r="AG1470" s="134"/>
      <c r="AH1470" s="134"/>
      <c r="AI1470" s="134"/>
      <c r="AJ1470" s="134"/>
    </row>
    <row r="1471" spans="2:36">
      <c r="B1471" s="134"/>
      <c r="C1471" s="134"/>
      <c r="D1471" s="134"/>
      <c r="E1471" s="134"/>
      <c r="F1471" s="134"/>
      <c r="G1471" s="134"/>
      <c r="H1471" s="134"/>
      <c r="I1471" s="134"/>
      <c r="J1471" s="134"/>
      <c r="K1471" s="134"/>
      <c r="L1471" s="134"/>
      <c r="M1471" s="134"/>
      <c r="N1471" s="134"/>
      <c r="O1471" s="134"/>
      <c r="P1471" s="134"/>
      <c r="Q1471" s="134"/>
      <c r="R1471" s="134"/>
      <c r="S1471" s="134"/>
      <c r="T1471" s="134"/>
      <c r="U1471" s="134"/>
      <c r="V1471" s="134"/>
      <c r="W1471" s="134"/>
      <c r="X1471" s="134"/>
      <c r="Y1471" s="134"/>
      <c r="Z1471" s="134"/>
      <c r="AA1471" s="134"/>
      <c r="AB1471" s="134"/>
      <c r="AC1471" s="134"/>
      <c r="AD1471" s="134"/>
      <c r="AE1471" s="134"/>
      <c r="AF1471" s="134"/>
      <c r="AG1471" s="134"/>
      <c r="AH1471" s="134"/>
      <c r="AI1471" s="134"/>
      <c r="AJ1471" s="134"/>
    </row>
    <row r="1472" spans="2:36">
      <c r="B1472" s="134"/>
      <c r="C1472" s="134"/>
      <c r="D1472" s="134"/>
      <c r="E1472" s="134"/>
      <c r="F1472" s="134"/>
      <c r="G1472" s="134"/>
      <c r="H1472" s="134"/>
      <c r="I1472" s="134"/>
      <c r="J1472" s="134"/>
      <c r="K1472" s="134"/>
      <c r="L1472" s="134"/>
      <c r="M1472" s="134"/>
      <c r="N1472" s="134"/>
      <c r="O1472" s="134"/>
      <c r="P1472" s="134"/>
      <c r="Q1472" s="134"/>
      <c r="R1472" s="134"/>
      <c r="S1472" s="134"/>
      <c r="T1472" s="134"/>
      <c r="U1472" s="134"/>
      <c r="V1472" s="134"/>
      <c r="W1472" s="134"/>
      <c r="X1472" s="134"/>
      <c r="Y1472" s="134"/>
      <c r="Z1472" s="134"/>
      <c r="AA1472" s="134"/>
      <c r="AB1472" s="134"/>
      <c r="AC1472" s="134"/>
      <c r="AD1472" s="134"/>
      <c r="AE1472" s="134"/>
      <c r="AF1472" s="134"/>
      <c r="AG1472" s="134"/>
      <c r="AH1472" s="134"/>
      <c r="AI1472" s="134"/>
      <c r="AJ1472" s="134"/>
    </row>
    <row r="1473" spans="2:36">
      <c r="B1473" s="134"/>
      <c r="C1473" s="134"/>
      <c r="D1473" s="134"/>
      <c r="E1473" s="134"/>
      <c r="F1473" s="134"/>
      <c r="G1473" s="134"/>
      <c r="H1473" s="134"/>
      <c r="I1473" s="134"/>
      <c r="J1473" s="134"/>
      <c r="K1473" s="134"/>
      <c r="L1473" s="134"/>
      <c r="M1473" s="134"/>
      <c r="N1473" s="134"/>
      <c r="O1473" s="134"/>
      <c r="P1473" s="134"/>
      <c r="Q1473" s="134"/>
      <c r="R1473" s="134"/>
      <c r="S1473" s="134"/>
      <c r="T1473" s="134"/>
      <c r="U1473" s="134"/>
      <c r="V1473" s="134"/>
      <c r="W1473" s="134"/>
      <c r="X1473" s="134"/>
      <c r="Y1473" s="134"/>
      <c r="Z1473" s="134"/>
      <c r="AA1473" s="134"/>
      <c r="AB1473" s="134"/>
      <c r="AC1473" s="134"/>
      <c r="AD1473" s="134"/>
      <c r="AE1473" s="134"/>
      <c r="AF1473" s="134"/>
      <c r="AG1473" s="134"/>
      <c r="AH1473" s="134"/>
      <c r="AI1473" s="134"/>
      <c r="AJ1473" s="134"/>
    </row>
    <row r="1474" spans="2:36">
      <c r="B1474" s="134"/>
      <c r="C1474" s="134"/>
      <c r="D1474" s="134"/>
      <c r="E1474" s="134"/>
      <c r="F1474" s="134"/>
      <c r="G1474" s="134"/>
      <c r="H1474" s="134"/>
      <c r="I1474" s="134"/>
      <c r="J1474" s="134"/>
      <c r="K1474" s="134"/>
      <c r="L1474" s="134"/>
      <c r="M1474" s="134"/>
      <c r="N1474" s="134"/>
      <c r="O1474" s="134"/>
      <c r="P1474" s="134"/>
      <c r="Q1474" s="134"/>
      <c r="R1474" s="134"/>
      <c r="S1474" s="134"/>
      <c r="T1474" s="134"/>
      <c r="U1474" s="134"/>
      <c r="V1474" s="134"/>
      <c r="W1474" s="134"/>
      <c r="X1474" s="134"/>
      <c r="Y1474" s="134"/>
      <c r="Z1474" s="134"/>
      <c r="AA1474" s="134"/>
      <c r="AB1474" s="134"/>
      <c r="AC1474" s="134"/>
      <c r="AD1474" s="134"/>
      <c r="AE1474" s="134"/>
      <c r="AF1474" s="134"/>
      <c r="AG1474" s="134"/>
      <c r="AH1474" s="134"/>
      <c r="AI1474" s="134"/>
      <c r="AJ1474" s="134"/>
    </row>
    <row r="1475" spans="2:36">
      <c r="B1475" s="134"/>
      <c r="C1475" s="134"/>
      <c r="D1475" s="134"/>
      <c r="E1475" s="134"/>
      <c r="F1475" s="134"/>
      <c r="G1475" s="134"/>
      <c r="H1475" s="134"/>
      <c r="I1475" s="134"/>
      <c r="J1475" s="134"/>
      <c r="K1475" s="134"/>
      <c r="L1475" s="134"/>
      <c r="M1475" s="134"/>
      <c r="N1475" s="134"/>
      <c r="O1475" s="134"/>
      <c r="P1475" s="134"/>
      <c r="Q1475" s="134"/>
      <c r="R1475" s="134"/>
      <c r="S1475" s="134"/>
      <c r="T1475" s="134"/>
      <c r="U1475" s="134"/>
      <c r="V1475" s="134"/>
      <c r="W1475" s="134"/>
      <c r="X1475" s="134"/>
      <c r="Y1475" s="134"/>
      <c r="Z1475" s="134"/>
      <c r="AA1475" s="134"/>
      <c r="AB1475" s="134"/>
      <c r="AC1475" s="134"/>
      <c r="AD1475" s="134"/>
      <c r="AE1475" s="134"/>
      <c r="AF1475" s="134"/>
      <c r="AG1475" s="134"/>
      <c r="AH1475" s="134"/>
      <c r="AI1475" s="134"/>
      <c r="AJ1475" s="134"/>
    </row>
    <row r="1476" spans="2:36">
      <c r="B1476" s="134"/>
      <c r="C1476" s="134"/>
      <c r="D1476" s="134"/>
      <c r="E1476" s="134"/>
      <c r="F1476" s="134"/>
      <c r="G1476" s="134"/>
      <c r="H1476" s="134"/>
      <c r="I1476" s="134"/>
      <c r="J1476" s="134"/>
      <c r="K1476" s="134"/>
      <c r="L1476" s="134"/>
      <c r="M1476" s="134"/>
      <c r="N1476" s="134"/>
      <c r="O1476" s="134"/>
      <c r="P1476" s="134"/>
      <c r="Q1476" s="134"/>
      <c r="R1476" s="134"/>
      <c r="S1476" s="134"/>
      <c r="T1476" s="134"/>
      <c r="U1476" s="134"/>
      <c r="V1476" s="134"/>
      <c r="W1476" s="134"/>
      <c r="X1476" s="134"/>
      <c r="Y1476" s="134"/>
      <c r="Z1476" s="134"/>
      <c r="AA1476" s="134"/>
      <c r="AB1476" s="134"/>
      <c r="AC1476" s="134"/>
      <c r="AD1476" s="134"/>
      <c r="AE1476" s="134"/>
      <c r="AF1476" s="134"/>
      <c r="AG1476" s="134"/>
      <c r="AH1476" s="134"/>
      <c r="AI1476" s="134"/>
      <c r="AJ1476" s="134"/>
    </row>
    <row r="1477" spans="2:36">
      <c r="B1477" s="134"/>
      <c r="C1477" s="134"/>
      <c r="D1477" s="134"/>
      <c r="E1477" s="134"/>
      <c r="F1477" s="134"/>
      <c r="G1477" s="134"/>
      <c r="H1477" s="134"/>
      <c r="I1477" s="134"/>
      <c r="J1477" s="134"/>
      <c r="K1477" s="134"/>
      <c r="L1477" s="134"/>
      <c r="M1477" s="134"/>
      <c r="N1477" s="134"/>
      <c r="O1477" s="134"/>
      <c r="P1477" s="134"/>
      <c r="Q1477" s="134"/>
      <c r="R1477" s="134"/>
      <c r="S1477" s="134"/>
      <c r="T1477" s="134"/>
      <c r="U1477" s="134"/>
      <c r="V1477" s="134"/>
      <c r="W1477" s="134"/>
      <c r="X1477" s="134"/>
      <c r="Y1477" s="134"/>
      <c r="Z1477" s="134"/>
      <c r="AA1477" s="134"/>
      <c r="AB1477" s="134"/>
      <c r="AC1477" s="134"/>
      <c r="AD1477" s="134"/>
      <c r="AE1477" s="134"/>
      <c r="AF1477" s="134"/>
      <c r="AG1477" s="134"/>
      <c r="AH1477" s="134"/>
      <c r="AI1477" s="134"/>
      <c r="AJ1477" s="134"/>
    </row>
    <row r="1478" spans="2:36">
      <c r="B1478" s="134"/>
      <c r="C1478" s="134"/>
      <c r="D1478" s="134"/>
      <c r="E1478" s="134"/>
      <c r="F1478" s="134"/>
      <c r="G1478" s="134"/>
      <c r="H1478" s="134"/>
      <c r="I1478" s="134"/>
      <c r="J1478" s="134"/>
      <c r="K1478" s="134"/>
      <c r="L1478" s="134"/>
      <c r="M1478" s="134"/>
      <c r="N1478" s="134"/>
      <c r="O1478" s="134"/>
      <c r="P1478" s="134"/>
      <c r="Q1478" s="134"/>
      <c r="R1478" s="134"/>
      <c r="S1478" s="134"/>
      <c r="T1478" s="134"/>
      <c r="U1478" s="134"/>
      <c r="V1478" s="134"/>
      <c r="W1478" s="134"/>
      <c r="X1478" s="134"/>
      <c r="Y1478" s="134"/>
      <c r="Z1478" s="134"/>
      <c r="AA1478" s="134"/>
      <c r="AB1478" s="134"/>
      <c r="AC1478" s="134"/>
      <c r="AD1478" s="134"/>
      <c r="AE1478" s="134"/>
      <c r="AF1478" s="134"/>
      <c r="AG1478" s="134"/>
      <c r="AH1478" s="134"/>
      <c r="AI1478" s="134"/>
      <c r="AJ1478" s="134"/>
    </row>
    <row r="1479" spans="2:36">
      <c r="B1479" s="134"/>
      <c r="C1479" s="134"/>
      <c r="D1479" s="134"/>
      <c r="E1479" s="134"/>
      <c r="F1479" s="134"/>
      <c r="G1479" s="134"/>
      <c r="H1479" s="134"/>
      <c r="I1479" s="134"/>
      <c r="J1479" s="134"/>
      <c r="K1479" s="134"/>
      <c r="L1479" s="134"/>
      <c r="M1479" s="134"/>
      <c r="N1479" s="134"/>
      <c r="O1479" s="134"/>
      <c r="P1479" s="134"/>
      <c r="Q1479" s="134"/>
      <c r="R1479" s="134"/>
      <c r="S1479" s="134"/>
      <c r="T1479" s="134"/>
      <c r="U1479" s="134"/>
      <c r="V1479" s="134"/>
      <c r="W1479" s="134"/>
      <c r="X1479" s="134"/>
      <c r="Y1479" s="134"/>
      <c r="Z1479" s="134"/>
      <c r="AA1479" s="134"/>
      <c r="AB1479" s="134"/>
      <c r="AC1479" s="134"/>
      <c r="AD1479" s="134"/>
      <c r="AE1479" s="134"/>
      <c r="AF1479" s="134"/>
      <c r="AG1479" s="134"/>
      <c r="AH1479" s="134"/>
      <c r="AI1479" s="134"/>
      <c r="AJ1479" s="134"/>
    </row>
    <row r="1480" spans="2:36">
      <c r="B1480" s="134"/>
      <c r="C1480" s="134"/>
      <c r="D1480" s="134"/>
      <c r="E1480" s="134"/>
      <c r="F1480" s="134"/>
      <c r="G1480" s="134"/>
      <c r="H1480" s="134"/>
      <c r="I1480" s="134"/>
      <c r="J1480" s="134"/>
      <c r="K1480" s="134"/>
      <c r="L1480" s="134"/>
      <c r="M1480" s="134"/>
      <c r="N1480" s="134"/>
      <c r="O1480" s="134"/>
      <c r="P1480" s="134"/>
      <c r="Q1480" s="134"/>
      <c r="R1480" s="134"/>
      <c r="S1480" s="134"/>
      <c r="T1480" s="134"/>
      <c r="U1480" s="134"/>
      <c r="V1480" s="134"/>
      <c r="W1480" s="134"/>
      <c r="X1480" s="134"/>
      <c r="Y1480" s="134"/>
      <c r="Z1480" s="134"/>
      <c r="AA1480" s="134"/>
      <c r="AB1480" s="134"/>
      <c r="AC1480" s="134"/>
      <c r="AD1480" s="134"/>
      <c r="AE1480" s="134"/>
      <c r="AF1480" s="134"/>
      <c r="AG1480" s="134"/>
      <c r="AH1480" s="134"/>
      <c r="AI1480" s="134"/>
      <c r="AJ1480" s="134"/>
    </row>
    <row r="1481" spans="2:36">
      <c r="B1481" s="134"/>
      <c r="C1481" s="134"/>
      <c r="D1481" s="134"/>
      <c r="E1481" s="134"/>
      <c r="F1481" s="134"/>
      <c r="G1481" s="134"/>
      <c r="H1481" s="134"/>
      <c r="I1481" s="134"/>
      <c r="J1481" s="134"/>
      <c r="K1481" s="134"/>
      <c r="L1481" s="134"/>
      <c r="M1481" s="134"/>
      <c r="N1481" s="134"/>
      <c r="O1481" s="134"/>
      <c r="P1481" s="134"/>
      <c r="Q1481" s="134"/>
      <c r="R1481" s="134"/>
      <c r="S1481" s="134"/>
      <c r="T1481" s="134"/>
      <c r="U1481" s="134"/>
      <c r="V1481" s="134"/>
      <c r="W1481" s="134"/>
      <c r="X1481" s="134"/>
      <c r="Y1481" s="134"/>
      <c r="Z1481" s="134"/>
      <c r="AA1481" s="134"/>
      <c r="AB1481" s="134"/>
      <c r="AC1481" s="134"/>
      <c r="AD1481" s="134"/>
      <c r="AE1481" s="134"/>
      <c r="AF1481" s="134"/>
      <c r="AG1481" s="134"/>
      <c r="AH1481" s="134"/>
      <c r="AI1481" s="134"/>
      <c r="AJ1481" s="134"/>
    </row>
    <row r="1482" spans="2:36">
      <c r="B1482" s="134"/>
      <c r="C1482" s="134"/>
      <c r="D1482" s="134"/>
      <c r="E1482" s="134"/>
      <c r="F1482" s="134"/>
      <c r="G1482" s="134"/>
      <c r="H1482" s="134"/>
      <c r="I1482" s="134"/>
      <c r="J1482" s="134"/>
      <c r="K1482" s="134"/>
      <c r="L1482" s="134"/>
      <c r="M1482" s="134"/>
      <c r="N1482" s="134"/>
      <c r="O1482" s="134"/>
      <c r="P1482" s="134"/>
      <c r="Q1482" s="134"/>
      <c r="R1482" s="134"/>
      <c r="S1482" s="134"/>
      <c r="T1482" s="134"/>
      <c r="U1482" s="134"/>
      <c r="V1482" s="134"/>
      <c r="W1482" s="134"/>
      <c r="X1482" s="134"/>
      <c r="Y1482" s="134"/>
      <c r="Z1482" s="134"/>
      <c r="AA1482" s="134"/>
      <c r="AB1482" s="134"/>
      <c r="AC1482" s="134"/>
      <c r="AD1482" s="134"/>
      <c r="AE1482" s="134"/>
      <c r="AF1482" s="134"/>
      <c r="AG1482" s="134"/>
      <c r="AH1482" s="134"/>
      <c r="AI1482" s="134"/>
      <c r="AJ1482" s="134"/>
    </row>
    <row r="1483" spans="2:36">
      <c r="B1483" s="134"/>
      <c r="C1483" s="134"/>
      <c r="D1483" s="134"/>
      <c r="E1483" s="134"/>
      <c r="F1483" s="134"/>
      <c r="G1483" s="134"/>
      <c r="H1483" s="134"/>
      <c r="I1483" s="134"/>
      <c r="J1483" s="134"/>
      <c r="K1483" s="134"/>
      <c r="L1483" s="134"/>
      <c r="M1483" s="134"/>
      <c r="N1483" s="134"/>
      <c r="O1483" s="134"/>
      <c r="P1483" s="134"/>
      <c r="Q1483" s="134"/>
      <c r="R1483" s="134"/>
      <c r="S1483" s="134"/>
      <c r="T1483" s="134"/>
      <c r="U1483" s="134"/>
      <c r="V1483" s="134"/>
      <c r="W1483" s="134"/>
      <c r="X1483" s="134"/>
      <c r="Y1483" s="134"/>
      <c r="Z1483" s="134"/>
      <c r="AA1483" s="134"/>
      <c r="AB1483" s="134"/>
      <c r="AC1483" s="134"/>
      <c r="AD1483" s="134"/>
      <c r="AE1483" s="134"/>
      <c r="AF1483" s="134"/>
      <c r="AG1483" s="134"/>
      <c r="AH1483" s="134"/>
      <c r="AI1483" s="134"/>
      <c r="AJ1483" s="134"/>
    </row>
    <row r="1484" spans="2:36">
      <c r="B1484" s="134"/>
      <c r="C1484" s="134"/>
      <c r="D1484" s="134"/>
      <c r="E1484" s="134"/>
      <c r="F1484" s="134"/>
      <c r="G1484" s="134"/>
      <c r="H1484" s="134"/>
      <c r="I1484" s="134"/>
      <c r="J1484" s="134"/>
      <c r="K1484" s="134"/>
      <c r="L1484" s="134"/>
      <c r="M1484" s="134"/>
      <c r="N1484" s="134"/>
      <c r="O1484" s="134"/>
      <c r="P1484" s="134"/>
      <c r="Q1484" s="134"/>
      <c r="R1484" s="134"/>
      <c r="S1484" s="134"/>
      <c r="T1484" s="134"/>
      <c r="U1484" s="134"/>
      <c r="V1484" s="134"/>
      <c r="W1484" s="134"/>
      <c r="X1484" s="134"/>
      <c r="Y1484" s="134"/>
      <c r="Z1484" s="134"/>
      <c r="AA1484" s="134"/>
      <c r="AB1484" s="134"/>
      <c r="AC1484" s="134"/>
      <c r="AD1484" s="134"/>
      <c r="AE1484" s="134"/>
      <c r="AF1484" s="134"/>
      <c r="AG1484" s="134"/>
      <c r="AH1484" s="134"/>
      <c r="AI1484" s="134"/>
      <c r="AJ1484" s="134"/>
    </row>
    <row r="1485" spans="2:36">
      <c r="B1485" s="134"/>
      <c r="C1485" s="134"/>
      <c r="D1485" s="134"/>
      <c r="E1485" s="134"/>
      <c r="F1485" s="134"/>
      <c r="G1485" s="134"/>
      <c r="H1485" s="134"/>
      <c r="I1485" s="134"/>
      <c r="J1485" s="134"/>
      <c r="K1485" s="134"/>
      <c r="L1485" s="134"/>
      <c r="M1485" s="134"/>
      <c r="N1485" s="134"/>
      <c r="O1485" s="134"/>
      <c r="P1485" s="134"/>
      <c r="Q1485" s="134"/>
      <c r="R1485" s="134"/>
      <c r="S1485" s="134"/>
      <c r="T1485" s="134"/>
      <c r="U1485" s="134"/>
      <c r="V1485" s="134"/>
      <c r="W1485" s="134"/>
      <c r="X1485" s="134"/>
      <c r="Y1485" s="134"/>
      <c r="Z1485" s="134"/>
      <c r="AA1485" s="134"/>
      <c r="AB1485" s="134"/>
      <c r="AC1485" s="134"/>
      <c r="AD1485" s="134"/>
      <c r="AE1485" s="134"/>
      <c r="AF1485" s="134"/>
      <c r="AG1485" s="134"/>
      <c r="AH1485" s="134"/>
      <c r="AI1485" s="134"/>
      <c r="AJ1485" s="134"/>
    </row>
    <row r="1486" spans="2:36">
      <c r="B1486" s="134"/>
      <c r="C1486" s="134"/>
      <c r="D1486" s="134"/>
      <c r="E1486" s="134"/>
      <c r="F1486" s="134"/>
      <c r="G1486" s="134"/>
      <c r="H1486" s="134"/>
      <c r="I1486" s="134"/>
      <c r="J1486" s="134"/>
      <c r="K1486" s="134"/>
      <c r="L1486" s="134"/>
      <c r="M1486" s="134"/>
      <c r="N1486" s="134"/>
      <c r="O1486" s="134"/>
      <c r="P1486" s="134"/>
      <c r="Q1486" s="134"/>
      <c r="R1486" s="134"/>
      <c r="S1486" s="134"/>
      <c r="T1486" s="134"/>
      <c r="U1486" s="134"/>
      <c r="V1486" s="134"/>
      <c r="W1486" s="134"/>
      <c r="X1486" s="134"/>
      <c r="Y1486" s="134"/>
      <c r="Z1486" s="134"/>
      <c r="AA1486" s="134"/>
      <c r="AB1486" s="134"/>
      <c r="AC1486" s="134"/>
      <c r="AD1486" s="134"/>
      <c r="AE1486" s="134"/>
      <c r="AF1486" s="134"/>
      <c r="AG1486" s="134"/>
      <c r="AH1486" s="134"/>
      <c r="AI1486" s="134"/>
      <c r="AJ1486" s="134"/>
    </row>
    <row r="1487" spans="2:36">
      <c r="B1487" s="134"/>
      <c r="C1487" s="134"/>
      <c r="D1487" s="134"/>
      <c r="E1487" s="134"/>
      <c r="F1487" s="134"/>
      <c r="G1487" s="134"/>
      <c r="H1487" s="134"/>
      <c r="I1487" s="134"/>
      <c r="J1487" s="134"/>
      <c r="K1487" s="134"/>
      <c r="L1487" s="134"/>
      <c r="M1487" s="134"/>
      <c r="N1487" s="134"/>
      <c r="O1487" s="134"/>
      <c r="P1487" s="134"/>
      <c r="Q1487" s="134"/>
      <c r="R1487" s="134"/>
      <c r="S1487" s="134"/>
      <c r="T1487" s="134"/>
      <c r="U1487" s="134"/>
      <c r="V1487" s="134"/>
      <c r="W1487" s="134"/>
      <c r="X1487" s="134"/>
      <c r="Y1487" s="134"/>
      <c r="Z1487" s="134"/>
      <c r="AA1487" s="134"/>
      <c r="AB1487" s="134"/>
      <c r="AC1487" s="134"/>
      <c r="AD1487" s="134"/>
      <c r="AE1487" s="134"/>
      <c r="AF1487" s="134"/>
      <c r="AG1487" s="134"/>
      <c r="AH1487" s="134"/>
      <c r="AI1487" s="134"/>
      <c r="AJ1487" s="134"/>
    </row>
    <row r="1488" spans="2:36">
      <c r="B1488" s="134"/>
      <c r="C1488" s="134"/>
      <c r="D1488" s="134"/>
      <c r="E1488" s="134"/>
      <c r="F1488" s="134"/>
      <c r="G1488" s="134"/>
      <c r="H1488" s="134"/>
      <c r="I1488" s="134"/>
      <c r="J1488" s="134"/>
      <c r="K1488" s="134"/>
      <c r="L1488" s="134"/>
      <c r="M1488" s="134"/>
      <c r="N1488" s="134"/>
      <c r="O1488" s="134"/>
      <c r="P1488" s="134"/>
      <c r="Q1488" s="134"/>
      <c r="R1488" s="134"/>
      <c r="S1488" s="134"/>
      <c r="T1488" s="134"/>
      <c r="U1488" s="134"/>
      <c r="V1488" s="134"/>
      <c r="W1488" s="134"/>
      <c r="X1488" s="134"/>
      <c r="Y1488" s="134"/>
      <c r="Z1488" s="134"/>
      <c r="AA1488" s="134"/>
      <c r="AB1488" s="134"/>
      <c r="AC1488" s="134"/>
      <c r="AD1488" s="134"/>
      <c r="AE1488" s="134"/>
      <c r="AF1488" s="134"/>
      <c r="AG1488" s="134"/>
      <c r="AH1488" s="134"/>
      <c r="AI1488" s="134"/>
      <c r="AJ1488" s="134"/>
    </row>
    <row r="1489" spans="2:36">
      <c r="B1489" s="134"/>
      <c r="C1489" s="134"/>
      <c r="D1489" s="134"/>
      <c r="E1489" s="134"/>
      <c r="F1489" s="134"/>
      <c r="G1489" s="134"/>
      <c r="H1489" s="134"/>
      <c r="I1489" s="134"/>
      <c r="J1489" s="134"/>
      <c r="K1489" s="134"/>
      <c r="L1489" s="134"/>
      <c r="M1489" s="134"/>
      <c r="N1489" s="134"/>
      <c r="O1489" s="134"/>
      <c r="P1489" s="134"/>
      <c r="Q1489" s="134"/>
      <c r="R1489" s="134"/>
      <c r="S1489" s="134"/>
      <c r="T1489" s="134"/>
      <c r="U1489" s="134"/>
      <c r="V1489" s="134"/>
      <c r="W1489" s="134"/>
      <c r="X1489" s="134"/>
      <c r="Y1489" s="134"/>
      <c r="Z1489" s="134"/>
      <c r="AA1489" s="134"/>
      <c r="AB1489" s="134"/>
      <c r="AC1489" s="134"/>
      <c r="AD1489" s="134"/>
      <c r="AE1489" s="134"/>
      <c r="AF1489" s="134"/>
      <c r="AG1489" s="134"/>
      <c r="AH1489" s="134"/>
      <c r="AI1489" s="134"/>
      <c r="AJ1489" s="134"/>
    </row>
    <row r="1490" spans="2:36">
      <c r="B1490" s="134"/>
      <c r="C1490" s="134"/>
      <c r="D1490" s="134"/>
      <c r="E1490" s="134"/>
      <c r="F1490" s="134"/>
      <c r="G1490" s="134"/>
      <c r="H1490" s="134"/>
      <c r="I1490" s="134"/>
      <c r="J1490" s="134"/>
      <c r="K1490" s="134"/>
      <c r="L1490" s="134"/>
      <c r="M1490" s="134"/>
      <c r="N1490" s="134"/>
      <c r="O1490" s="134"/>
      <c r="P1490" s="134"/>
      <c r="Q1490" s="134"/>
      <c r="R1490" s="134"/>
      <c r="S1490" s="134"/>
      <c r="T1490" s="134"/>
      <c r="U1490" s="134"/>
      <c r="V1490" s="134"/>
      <c r="W1490" s="134"/>
      <c r="X1490" s="134"/>
      <c r="Y1490" s="134"/>
      <c r="Z1490" s="134"/>
      <c r="AA1490" s="134"/>
      <c r="AB1490" s="134"/>
      <c r="AC1490" s="134"/>
      <c r="AD1490" s="134"/>
      <c r="AE1490" s="134"/>
      <c r="AF1490" s="134"/>
      <c r="AG1490" s="134"/>
      <c r="AH1490" s="134"/>
      <c r="AI1490" s="134"/>
      <c r="AJ1490" s="134"/>
    </row>
    <row r="1491" spans="2:36">
      <c r="B1491" s="134"/>
      <c r="C1491" s="134"/>
      <c r="D1491" s="134"/>
      <c r="E1491" s="134"/>
      <c r="F1491" s="134"/>
      <c r="G1491" s="134"/>
      <c r="H1491" s="134"/>
      <c r="I1491" s="134"/>
      <c r="J1491" s="134"/>
      <c r="K1491" s="134"/>
      <c r="L1491" s="134"/>
      <c r="M1491" s="134"/>
      <c r="N1491" s="134"/>
      <c r="O1491" s="134"/>
      <c r="P1491" s="134"/>
      <c r="Q1491" s="134"/>
      <c r="R1491" s="134"/>
      <c r="S1491" s="134"/>
      <c r="T1491" s="134"/>
      <c r="U1491" s="134"/>
      <c r="V1491" s="134"/>
      <c r="W1491" s="134"/>
      <c r="X1491" s="134"/>
      <c r="Y1491" s="134"/>
      <c r="Z1491" s="134"/>
      <c r="AA1491" s="134"/>
      <c r="AB1491" s="134"/>
      <c r="AC1491" s="134"/>
      <c r="AD1491" s="134"/>
      <c r="AE1491" s="134"/>
      <c r="AF1491" s="134"/>
      <c r="AG1491" s="134"/>
      <c r="AH1491" s="134"/>
      <c r="AI1491" s="134"/>
      <c r="AJ1491" s="134"/>
    </row>
    <row r="1492" spans="2:36">
      <c r="B1492" s="134"/>
      <c r="C1492" s="134"/>
      <c r="D1492" s="134"/>
      <c r="E1492" s="134"/>
      <c r="F1492" s="134"/>
      <c r="G1492" s="134"/>
      <c r="H1492" s="134"/>
      <c r="I1492" s="134"/>
      <c r="J1492" s="134"/>
      <c r="K1492" s="134"/>
      <c r="L1492" s="134"/>
      <c r="M1492" s="134"/>
      <c r="N1492" s="134"/>
      <c r="O1492" s="134"/>
      <c r="P1492" s="134"/>
      <c r="Q1492" s="134"/>
      <c r="R1492" s="134"/>
      <c r="S1492" s="134"/>
      <c r="T1492" s="134"/>
      <c r="U1492" s="134"/>
      <c r="V1492" s="134"/>
      <c r="W1492" s="134"/>
      <c r="X1492" s="134"/>
      <c r="Y1492" s="134"/>
      <c r="Z1492" s="134"/>
      <c r="AA1492" s="134"/>
      <c r="AB1492" s="134"/>
      <c r="AC1492" s="134"/>
      <c r="AD1492" s="134"/>
      <c r="AE1492" s="134"/>
      <c r="AF1492" s="134"/>
      <c r="AG1492" s="134"/>
      <c r="AH1492" s="134"/>
      <c r="AI1492" s="134"/>
      <c r="AJ1492" s="134"/>
    </row>
    <row r="1493" spans="2:36">
      <c r="B1493" s="134"/>
      <c r="C1493" s="134"/>
      <c r="D1493" s="134"/>
      <c r="E1493" s="134"/>
      <c r="F1493" s="134"/>
      <c r="G1493" s="134"/>
      <c r="H1493" s="134"/>
      <c r="I1493" s="134"/>
      <c r="J1493" s="134"/>
      <c r="K1493" s="134"/>
      <c r="L1493" s="134"/>
      <c r="M1493" s="134"/>
      <c r="N1493" s="134"/>
      <c r="O1493" s="134"/>
      <c r="P1493" s="134"/>
      <c r="Q1493" s="134"/>
      <c r="R1493" s="134"/>
      <c r="S1493" s="134"/>
      <c r="T1493" s="134"/>
      <c r="U1493" s="134"/>
      <c r="V1493" s="134"/>
      <c r="W1493" s="134"/>
      <c r="X1493" s="134"/>
      <c r="Y1493" s="134"/>
      <c r="Z1493" s="134"/>
      <c r="AA1493" s="134"/>
      <c r="AB1493" s="134"/>
      <c r="AC1493" s="134"/>
      <c r="AD1493" s="134"/>
      <c r="AE1493" s="134"/>
      <c r="AF1493" s="134"/>
      <c r="AG1493" s="134"/>
      <c r="AH1493" s="134"/>
      <c r="AI1493" s="134"/>
      <c r="AJ1493" s="134"/>
    </row>
    <row r="1494" spans="2:36">
      <c r="B1494" s="134"/>
      <c r="C1494" s="134"/>
      <c r="D1494" s="134"/>
      <c r="E1494" s="134"/>
      <c r="F1494" s="134"/>
      <c r="G1494" s="134"/>
      <c r="H1494" s="134"/>
      <c r="I1494" s="134"/>
      <c r="J1494" s="134"/>
      <c r="K1494" s="134"/>
      <c r="L1494" s="134"/>
      <c r="M1494" s="134"/>
      <c r="N1494" s="134"/>
      <c r="O1494" s="134"/>
      <c r="P1494" s="134"/>
      <c r="Q1494" s="134"/>
      <c r="R1494" s="134"/>
      <c r="S1494" s="134"/>
      <c r="T1494" s="134"/>
      <c r="U1494" s="134"/>
      <c r="V1494" s="134"/>
      <c r="W1494" s="134"/>
      <c r="X1494" s="134"/>
      <c r="Y1494" s="134"/>
      <c r="Z1494" s="134"/>
      <c r="AA1494" s="134"/>
      <c r="AB1494" s="134"/>
      <c r="AC1494" s="134"/>
      <c r="AD1494" s="134"/>
      <c r="AE1494" s="134"/>
      <c r="AF1494" s="134"/>
      <c r="AG1494" s="134"/>
      <c r="AH1494" s="134"/>
      <c r="AI1494" s="134"/>
      <c r="AJ1494" s="134"/>
    </row>
    <row r="1495" spans="2:36">
      <c r="B1495" s="134"/>
      <c r="C1495" s="134"/>
      <c r="D1495" s="134"/>
      <c r="E1495" s="134"/>
      <c r="F1495" s="134"/>
      <c r="G1495" s="134"/>
      <c r="H1495" s="134"/>
      <c r="I1495" s="134"/>
      <c r="J1495" s="134"/>
      <c r="K1495" s="134"/>
      <c r="L1495" s="134"/>
      <c r="M1495" s="134"/>
      <c r="N1495" s="134"/>
      <c r="O1495" s="134"/>
      <c r="P1495" s="134"/>
      <c r="Q1495" s="134"/>
      <c r="R1495" s="134"/>
      <c r="S1495" s="134"/>
      <c r="T1495" s="134"/>
      <c r="U1495" s="134"/>
      <c r="V1495" s="134"/>
      <c r="W1495" s="134"/>
      <c r="X1495" s="134"/>
      <c r="Y1495" s="134"/>
      <c r="Z1495" s="134"/>
      <c r="AA1495" s="134"/>
      <c r="AB1495" s="134"/>
      <c r="AC1495" s="134"/>
      <c r="AD1495" s="134"/>
      <c r="AE1495" s="134"/>
      <c r="AF1495" s="134"/>
      <c r="AG1495" s="134"/>
      <c r="AH1495" s="134"/>
      <c r="AI1495" s="134"/>
      <c r="AJ1495" s="134"/>
    </row>
    <row r="1496" spans="2:36">
      <c r="B1496" s="134"/>
      <c r="C1496" s="134"/>
      <c r="D1496" s="134"/>
      <c r="E1496" s="134"/>
      <c r="F1496" s="134"/>
      <c r="G1496" s="134"/>
      <c r="H1496" s="134"/>
      <c r="I1496" s="134"/>
      <c r="J1496" s="134"/>
      <c r="K1496" s="134"/>
      <c r="L1496" s="134"/>
      <c r="M1496" s="134"/>
      <c r="N1496" s="134"/>
      <c r="O1496" s="134"/>
      <c r="P1496" s="134"/>
      <c r="Q1496" s="134"/>
      <c r="R1496" s="134"/>
      <c r="S1496" s="134"/>
      <c r="T1496" s="134"/>
      <c r="U1496" s="134"/>
      <c r="V1496" s="134"/>
      <c r="W1496" s="134"/>
      <c r="X1496" s="134"/>
      <c r="Y1496" s="134"/>
      <c r="Z1496" s="134"/>
      <c r="AA1496" s="134"/>
      <c r="AB1496" s="134"/>
      <c r="AC1496" s="134"/>
      <c r="AD1496" s="134"/>
      <c r="AE1496" s="134"/>
      <c r="AF1496" s="134"/>
      <c r="AG1496" s="134"/>
      <c r="AH1496" s="134"/>
      <c r="AI1496" s="134"/>
      <c r="AJ1496" s="134"/>
    </row>
    <row r="1497" spans="2:36">
      <c r="B1497" s="134"/>
      <c r="C1497" s="134"/>
      <c r="D1497" s="134"/>
      <c r="E1497" s="134"/>
      <c r="F1497" s="134"/>
      <c r="G1497" s="134"/>
      <c r="H1497" s="134"/>
      <c r="I1497" s="134"/>
      <c r="J1497" s="134"/>
      <c r="K1497" s="134"/>
      <c r="L1497" s="134"/>
      <c r="M1497" s="134"/>
      <c r="N1497" s="134"/>
      <c r="O1497" s="134"/>
      <c r="P1497" s="134"/>
      <c r="Q1497" s="134"/>
      <c r="R1497" s="134"/>
      <c r="S1497" s="134"/>
      <c r="T1497" s="134"/>
      <c r="U1497" s="134"/>
      <c r="V1497" s="134"/>
      <c r="W1497" s="134"/>
      <c r="X1497" s="134"/>
      <c r="Y1497" s="134"/>
      <c r="Z1497" s="134"/>
      <c r="AA1497" s="134"/>
      <c r="AB1497" s="134"/>
      <c r="AC1497" s="134"/>
      <c r="AD1497" s="134"/>
      <c r="AE1497" s="134"/>
      <c r="AF1497" s="134"/>
      <c r="AG1497" s="134"/>
      <c r="AH1497" s="134"/>
      <c r="AI1497" s="134"/>
      <c r="AJ1497" s="134"/>
    </row>
    <row r="1498" spans="2:36">
      <c r="B1498" s="134"/>
      <c r="C1498" s="134"/>
      <c r="D1498" s="134"/>
      <c r="E1498" s="134"/>
      <c r="F1498" s="134"/>
      <c r="G1498" s="134"/>
      <c r="H1498" s="134"/>
      <c r="I1498" s="134"/>
      <c r="J1498" s="134"/>
      <c r="K1498" s="134"/>
      <c r="L1498" s="134"/>
      <c r="M1498" s="134"/>
      <c r="N1498" s="134"/>
      <c r="O1498" s="134"/>
      <c r="P1498" s="134"/>
      <c r="Q1498" s="134"/>
      <c r="R1498" s="134"/>
      <c r="S1498" s="134"/>
      <c r="T1498" s="134"/>
      <c r="U1498" s="134"/>
      <c r="V1498" s="134"/>
      <c r="W1498" s="134"/>
      <c r="X1498" s="134"/>
      <c r="Y1498" s="134"/>
      <c r="Z1498" s="134"/>
      <c r="AA1498" s="134"/>
      <c r="AB1498" s="134"/>
      <c r="AC1498" s="134"/>
      <c r="AD1498" s="134"/>
      <c r="AE1498" s="134"/>
      <c r="AF1498" s="134"/>
      <c r="AG1498" s="134"/>
      <c r="AH1498" s="134"/>
      <c r="AI1498" s="134"/>
      <c r="AJ1498" s="134"/>
    </row>
    <row r="1499" spans="2:36">
      <c r="B1499" s="134"/>
      <c r="C1499" s="134"/>
      <c r="D1499" s="134"/>
      <c r="E1499" s="134"/>
      <c r="F1499" s="134"/>
      <c r="G1499" s="134"/>
      <c r="H1499" s="134"/>
      <c r="I1499" s="134"/>
      <c r="J1499" s="134"/>
      <c r="K1499" s="134"/>
      <c r="L1499" s="134"/>
      <c r="M1499" s="134"/>
      <c r="N1499" s="134"/>
      <c r="O1499" s="134"/>
      <c r="P1499" s="134"/>
      <c r="Q1499" s="134"/>
      <c r="R1499" s="134"/>
      <c r="S1499" s="134"/>
      <c r="T1499" s="134"/>
      <c r="U1499" s="134"/>
      <c r="V1499" s="134"/>
      <c r="W1499" s="134"/>
      <c r="X1499" s="134"/>
      <c r="Y1499" s="134"/>
      <c r="Z1499" s="134"/>
      <c r="AA1499" s="134"/>
      <c r="AB1499" s="134"/>
      <c r="AC1499" s="134"/>
      <c r="AD1499" s="134"/>
      <c r="AE1499" s="134"/>
      <c r="AF1499" s="134"/>
      <c r="AG1499" s="134"/>
      <c r="AH1499" s="134"/>
      <c r="AI1499" s="134"/>
      <c r="AJ1499" s="134"/>
    </row>
    <row r="1500" spans="2:36">
      <c r="B1500" s="134"/>
      <c r="C1500" s="134"/>
      <c r="D1500" s="134"/>
      <c r="E1500" s="134"/>
      <c r="F1500" s="134"/>
      <c r="G1500" s="134"/>
      <c r="H1500" s="134"/>
      <c r="I1500" s="134"/>
      <c r="J1500" s="134"/>
      <c r="K1500" s="134"/>
      <c r="L1500" s="134"/>
      <c r="M1500" s="134"/>
      <c r="N1500" s="134"/>
      <c r="O1500" s="134"/>
      <c r="P1500" s="134"/>
      <c r="Q1500" s="134"/>
      <c r="R1500" s="134"/>
      <c r="S1500" s="134"/>
      <c r="T1500" s="134"/>
      <c r="U1500" s="134"/>
      <c r="V1500" s="134"/>
      <c r="W1500" s="134"/>
      <c r="X1500" s="134"/>
      <c r="Y1500" s="134"/>
      <c r="Z1500" s="134"/>
      <c r="AA1500" s="134"/>
      <c r="AB1500" s="134"/>
      <c r="AC1500" s="134"/>
      <c r="AD1500" s="134"/>
      <c r="AE1500" s="134"/>
      <c r="AF1500" s="134"/>
      <c r="AG1500" s="134"/>
      <c r="AH1500" s="134"/>
      <c r="AI1500" s="134"/>
      <c r="AJ1500" s="134"/>
    </row>
    <row r="1501" spans="2:36">
      <c r="B1501" s="134"/>
      <c r="C1501" s="134"/>
      <c r="D1501" s="134"/>
      <c r="E1501" s="134"/>
      <c r="F1501" s="134"/>
      <c r="G1501" s="134"/>
      <c r="H1501" s="134"/>
      <c r="I1501" s="134"/>
      <c r="J1501" s="134"/>
      <c r="K1501" s="134"/>
      <c r="L1501" s="134"/>
      <c r="M1501" s="134"/>
      <c r="N1501" s="134"/>
      <c r="O1501" s="134"/>
      <c r="P1501" s="134"/>
      <c r="Q1501" s="134"/>
      <c r="R1501" s="134"/>
      <c r="S1501" s="134"/>
      <c r="T1501" s="134"/>
      <c r="U1501" s="134"/>
      <c r="V1501" s="134"/>
      <c r="W1501" s="134"/>
      <c r="X1501" s="134"/>
      <c r="Y1501" s="134"/>
      <c r="Z1501" s="134"/>
      <c r="AA1501" s="134"/>
      <c r="AB1501" s="134"/>
      <c r="AC1501" s="134"/>
      <c r="AD1501" s="134"/>
      <c r="AE1501" s="134"/>
      <c r="AF1501" s="134"/>
      <c r="AG1501" s="134"/>
      <c r="AH1501" s="134"/>
      <c r="AI1501" s="134"/>
      <c r="AJ1501" s="134"/>
    </row>
    <row r="1502" spans="2:36">
      <c r="B1502" s="134"/>
      <c r="C1502" s="134"/>
      <c r="D1502" s="134"/>
      <c r="E1502" s="134"/>
      <c r="F1502" s="134"/>
      <c r="G1502" s="134"/>
      <c r="H1502" s="134"/>
      <c r="I1502" s="134"/>
      <c r="J1502" s="134"/>
      <c r="K1502" s="134"/>
      <c r="L1502" s="134"/>
      <c r="M1502" s="134"/>
      <c r="N1502" s="134"/>
      <c r="O1502" s="134"/>
      <c r="P1502" s="134"/>
      <c r="Q1502" s="134"/>
      <c r="R1502" s="134"/>
      <c r="S1502" s="134"/>
      <c r="T1502" s="134"/>
      <c r="U1502" s="134"/>
      <c r="V1502" s="134"/>
      <c r="W1502" s="134"/>
      <c r="X1502" s="134"/>
      <c r="Y1502" s="134"/>
      <c r="Z1502" s="134"/>
      <c r="AA1502" s="134"/>
      <c r="AB1502" s="134"/>
      <c r="AC1502" s="134"/>
      <c r="AD1502" s="134"/>
      <c r="AE1502" s="134"/>
      <c r="AF1502" s="134"/>
      <c r="AG1502" s="134"/>
      <c r="AH1502" s="134"/>
      <c r="AI1502" s="134"/>
      <c r="AJ1502" s="134"/>
    </row>
    <row r="1503" spans="2:36">
      <c r="B1503" s="134"/>
      <c r="C1503" s="134"/>
      <c r="D1503" s="134"/>
      <c r="E1503" s="134"/>
      <c r="F1503" s="134"/>
      <c r="G1503" s="134"/>
      <c r="H1503" s="134"/>
      <c r="I1503" s="134"/>
      <c r="J1503" s="134"/>
      <c r="K1503" s="134"/>
      <c r="L1503" s="134"/>
      <c r="M1503" s="134"/>
      <c r="N1503" s="134"/>
      <c r="O1503" s="134"/>
      <c r="P1503" s="134"/>
      <c r="Q1503" s="134"/>
      <c r="R1503" s="134"/>
      <c r="S1503" s="134"/>
      <c r="T1503" s="134"/>
      <c r="U1503" s="134"/>
      <c r="V1503" s="134"/>
      <c r="W1503" s="134"/>
      <c r="X1503" s="134"/>
      <c r="Y1503" s="134"/>
      <c r="Z1503" s="134"/>
      <c r="AA1503" s="134"/>
      <c r="AB1503" s="134"/>
      <c r="AC1503" s="134"/>
      <c r="AD1503" s="134"/>
      <c r="AE1503" s="134"/>
      <c r="AF1503" s="134"/>
      <c r="AG1503" s="134"/>
      <c r="AH1503" s="134"/>
      <c r="AI1503" s="134"/>
      <c r="AJ1503" s="134"/>
    </row>
    <row r="1504" spans="2:36">
      <c r="B1504" s="134"/>
      <c r="C1504" s="134"/>
      <c r="D1504" s="134"/>
      <c r="E1504" s="134"/>
      <c r="F1504" s="134"/>
      <c r="G1504" s="134"/>
      <c r="H1504" s="134"/>
      <c r="I1504" s="134"/>
      <c r="J1504" s="134"/>
      <c r="K1504" s="134"/>
      <c r="L1504" s="134"/>
      <c r="M1504" s="134"/>
      <c r="N1504" s="134"/>
      <c r="O1504" s="134"/>
      <c r="P1504" s="134"/>
      <c r="Q1504" s="134"/>
      <c r="R1504" s="134"/>
      <c r="S1504" s="134"/>
      <c r="T1504" s="134"/>
      <c r="U1504" s="134"/>
      <c r="V1504" s="134"/>
      <c r="W1504" s="134"/>
      <c r="X1504" s="134"/>
      <c r="Y1504" s="134"/>
      <c r="Z1504" s="134"/>
      <c r="AA1504" s="134"/>
      <c r="AB1504" s="134"/>
      <c r="AC1504" s="134"/>
      <c r="AD1504" s="134"/>
      <c r="AE1504" s="134"/>
      <c r="AF1504" s="134"/>
      <c r="AG1504" s="134"/>
      <c r="AH1504" s="134"/>
      <c r="AI1504" s="134"/>
      <c r="AJ1504" s="134"/>
    </row>
    <row r="1505" spans="2:36">
      <c r="B1505" s="134"/>
      <c r="C1505" s="134"/>
      <c r="D1505" s="134"/>
      <c r="E1505" s="134"/>
      <c r="F1505" s="134"/>
      <c r="G1505" s="134"/>
      <c r="H1505" s="134"/>
      <c r="I1505" s="134"/>
      <c r="J1505" s="134"/>
      <c r="K1505" s="134"/>
      <c r="L1505" s="134"/>
      <c r="M1505" s="134"/>
      <c r="N1505" s="134"/>
      <c r="O1505" s="134"/>
      <c r="P1505" s="134"/>
      <c r="Q1505" s="134"/>
      <c r="R1505" s="134"/>
      <c r="S1505" s="134"/>
      <c r="T1505" s="134"/>
      <c r="U1505" s="134"/>
      <c r="V1505" s="134"/>
      <c r="W1505" s="134"/>
      <c r="X1505" s="134"/>
      <c r="Y1505" s="134"/>
      <c r="Z1505" s="134"/>
      <c r="AA1505" s="134"/>
      <c r="AB1505" s="134"/>
      <c r="AC1505" s="134"/>
      <c r="AD1505" s="134"/>
      <c r="AE1505" s="134"/>
      <c r="AF1505" s="134"/>
      <c r="AG1505" s="134"/>
      <c r="AH1505" s="134"/>
      <c r="AI1505" s="134"/>
      <c r="AJ1505" s="134"/>
    </row>
    <row r="1506" spans="2:36">
      <c r="B1506" s="134"/>
      <c r="C1506" s="134"/>
      <c r="D1506" s="134"/>
      <c r="E1506" s="134"/>
      <c r="F1506" s="134"/>
      <c r="G1506" s="134"/>
      <c r="H1506" s="134"/>
      <c r="I1506" s="134"/>
      <c r="J1506" s="134"/>
      <c r="K1506" s="134"/>
      <c r="L1506" s="134"/>
      <c r="M1506" s="134"/>
      <c r="N1506" s="134"/>
      <c r="O1506" s="134"/>
      <c r="P1506" s="134"/>
      <c r="Q1506" s="134"/>
      <c r="R1506" s="134"/>
      <c r="S1506" s="134"/>
      <c r="T1506" s="134"/>
      <c r="U1506" s="134"/>
      <c r="V1506" s="134"/>
      <c r="W1506" s="134"/>
      <c r="X1506" s="134"/>
      <c r="Y1506" s="134"/>
      <c r="Z1506" s="134"/>
      <c r="AA1506" s="134"/>
      <c r="AB1506" s="134"/>
      <c r="AC1506" s="134"/>
      <c r="AD1506" s="134"/>
      <c r="AE1506" s="134"/>
      <c r="AF1506" s="134"/>
      <c r="AG1506" s="134"/>
      <c r="AH1506" s="134"/>
      <c r="AI1506" s="134"/>
      <c r="AJ1506" s="134"/>
    </row>
    <row r="1507" spans="2:36">
      <c r="B1507" s="134"/>
      <c r="C1507" s="134"/>
      <c r="D1507" s="134"/>
      <c r="E1507" s="134"/>
      <c r="F1507" s="134"/>
      <c r="G1507" s="134"/>
      <c r="H1507" s="134"/>
      <c r="I1507" s="134"/>
      <c r="J1507" s="134"/>
      <c r="K1507" s="134"/>
      <c r="L1507" s="134"/>
      <c r="M1507" s="134"/>
      <c r="N1507" s="134"/>
      <c r="O1507" s="134"/>
      <c r="P1507" s="134"/>
      <c r="Q1507" s="134"/>
      <c r="R1507" s="134"/>
      <c r="S1507" s="134"/>
      <c r="T1507" s="134"/>
      <c r="U1507" s="134"/>
      <c r="V1507" s="134"/>
      <c r="W1507" s="134"/>
      <c r="X1507" s="134"/>
      <c r="Y1507" s="134"/>
      <c r="Z1507" s="134"/>
      <c r="AA1507" s="134"/>
      <c r="AB1507" s="134"/>
      <c r="AC1507" s="134"/>
      <c r="AD1507" s="134"/>
      <c r="AE1507" s="134"/>
      <c r="AF1507" s="134"/>
      <c r="AG1507" s="134"/>
      <c r="AH1507" s="134"/>
      <c r="AI1507" s="134"/>
      <c r="AJ1507" s="134"/>
    </row>
    <row r="1508" spans="2:36">
      <c r="B1508" s="134"/>
      <c r="C1508" s="134"/>
      <c r="D1508" s="134"/>
      <c r="E1508" s="134"/>
      <c r="F1508" s="134"/>
      <c r="G1508" s="134"/>
      <c r="H1508" s="134"/>
      <c r="I1508" s="134"/>
      <c r="J1508" s="134"/>
      <c r="K1508" s="134"/>
      <c r="L1508" s="134"/>
      <c r="M1508" s="134"/>
      <c r="N1508" s="134"/>
      <c r="O1508" s="134"/>
      <c r="P1508" s="134"/>
      <c r="Q1508" s="134"/>
      <c r="R1508" s="134"/>
      <c r="S1508" s="134"/>
      <c r="T1508" s="134"/>
      <c r="U1508" s="134"/>
      <c r="V1508" s="134"/>
      <c r="W1508" s="134"/>
      <c r="X1508" s="134"/>
      <c r="Y1508" s="134"/>
      <c r="Z1508" s="134"/>
      <c r="AA1508" s="134"/>
      <c r="AB1508" s="134"/>
      <c r="AC1508" s="134"/>
      <c r="AD1508" s="134"/>
      <c r="AE1508" s="134"/>
      <c r="AF1508" s="134"/>
      <c r="AG1508" s="134"/>
      <c r="AH1508" s="134"/>
      <c r="AI1508" s="134"/>
      <c r="AJ1508" s="134"/>
    </row>
    <row r="1509" spans="2:36">
      <c r="B1509" s="134"/>
      <c r="C1509" s="134"/>
      <c r="D1509" s="134"/>
      <c r="E1509" s="134"/>
      <c r="F1509" s="134"/>
      <c r="G1509" s="134"/>
      <c r="H1509" s="134"/>
      <c r="I1509" s="134"/>
      <c r="J1509" s="134"/>
      <c r="K1509" s="134"/>
      <c r="L1509" s="134"/>
      <c r="M1509" s="134"/>
      <c r="N1509" s="134"/>
      <c r="O1509" s="134"/>
      <c r="P1509" s="134"/>
      <c r="Q1509" s="134"/>
      <c r="R1509" s="134"/>
      <c r="S1509" s="134"/>
      <c r="T1509" s="134"/>
      <c r="U1509" s="134"/>
      <c r="V1509" s="134"/>
      <c r="W1509" s="134"/>
      <c r="X1509" s="134"/>
      <c r="Y1509" s="134"/>
      <c r="Z1509" s="134"/>
      <c r="AA1509" s="134"/>
      <c r="AB1509" s="134"/>
      <c r="AC1509" s="134"/>
      <c r="AD1509" s="134"/>
      <c r="AE1509" s="134"/>
      <c r="AF1509" s="134"/>
      <c r="AG1509" s="134"/>
      <c r="AH1509" s="134"/>
      <c r="AI1509" s="134"/>
      <c r="AJ1509" s="134"/>
    </row>
    <row r="1510" spans="2:36">
      <c r="B1510" s="134"/>
      <c r="C1510" s="134"/>
      <c r="D1510" s="134"/>
      <c r="E1510" s="134"/>
      <c r="F1510" s="134"/>
      <c r="G1510" s="134"/>
      <c r="H1510" s="134"/>
      <c r="I1510" s="134"/>
      <c r="J1510" s="134"/>
      <c r="K1510" s="134"/>
      <c r="L1510" s="134"/>
      <c r="M1510" s="134"/>
      <c r="N1510" s="134"/>
      <c r="O1510" s="134"/>
      <c r="P1510" s="134"/>
      <c r="Q1510" s="134"/>
      <c r="R1510" s="134"/>
      <c r="S1510" s="134"/>
      <c r="T1510" s="134"/>
      <c r="U1510" s="134"/>
      <c r="V1510" s="134"/>
      <c r="W1510" s="134"/>
      <c r="X1510" s="134"/>
      <c r="Y1510" s="134"/>
      <c r="Z1510" s="134"/>
      <c r="AA1510" s="134"/>
      <c r="AB1510" s="134"/>
      <c r="AC1510" s="134"/>
      <c r="AD1510" s="134"/>
      <c r="AE1510" s="134"/>
      <c r="AF1510" s="134"/>
      <c r="AG1510" s="134"/>
      <c r="AH1510" s="134"/>
      <c r="AI1510" s="134"/>
      <c r="AJ1510" s="134"/>
    </row>
    <row r="1511" spans="2:36">
      <c r="B1511" s="134"/>
      <c r="C1511" s="134"/>
      <c r="D1511" s="134"/>
      <c r="E1511" s="134"/>
      <c r="F1511" s="134"/>
      <c r="G1511" s="134"/>
      <c r="H1511" s="134"/>
      <c r="I1511" s="134"/>
      <c r="J1511" s="134"/>
      <c r="K1511" s="134"/>
      <c r="L1511" s="134"/>
      <c r="M1511" s="134"/>
      <c r="N1511" s="134"/>
      <c r="O1511" s="134"/>
      <c r="P1511" s="134"/>
      <c r="Q1511" s="134"/>
      <c r="R1511" s="134"/>
      <c r="S1511" s="134"/>
      <c r="T1511" s="134"/>
      <c r="U1511" s="134"/>
      <c r="V1511" s="134"/>
      <c r="W1511" s="134"/>
      <c r="X1511" s="134"/>
      <c r="Y1511" s="134"/>
      <c r="Z1511" s="134"/>
      <c r="AA1511" s="134"/>
      <c r="AB1511" s="134"/>
      <c r="AC1511" s="134"/>
      <c r="AD1511" s="134"/>
      <c r="AE1511" s="134"/>
      <c r="AF1511" s="134"/>
      <c r="AG1511" s="134"/>
      <c r="AH1511" s="134"/>
      <c r="AI1511" s="134"/>
      <c r="AJ1511" s="134"/>
    </row>
    <row r="1512" spans="2:36">
      <c r="B1512" s="134"/>
      <c r="C1512" s="134"/>
      <c r="D1512" s="134"/>
      <c r="E1512" s="134"/>
      <c r="F1512" s="134"/>
      <c r="G1512" s="134"/>
      <c r="H1512" s="134"/>
      <c r="I1512" s="134"/>
      <c r="J1512" s="134"/>
      <c r="K1512" s="134"/>
      <c r="L1512" s="134"/>
      <c r="M1512" s="134"/>
      <c r="N1512" s="134"/>
      <c r="O1512" s="134"/>
      <c r="P1512" s="134"/>
      <c r="Q1512" s="134"/>
      <c r="R1512" s="134"/>
      <c r="S1512" s="134"/>
      <c r="T1512" s="134"/>
      <c r="U1512" s="134"/>
      <c r="V1512" s="134"/>
      <c r="W1512" s="134"/>
      <c r="X1512" s="134"/>
      <c r="Y1512" s="134"/>
      <c r="Z1512" s="134"/>
      <c r="AA1512" s="134"/>
      <c r="AB1512" s="134"/>
      <c r="AC1512" s="134"/>
      <c r="AD1512" s="134"/>
      <c r="AE1512" s="134"/>
      <c r="AF1512" s="134"/>
      <c r="AG1512" s="134"/>
      <c r="AH1512" s="134"/>
      <c r="AI1512" s="134"/>
      <c r="AJ1512" s="134"/>
    </row>
    <row r="1513" spans="2:36">
      <c r="B1513" s="134"/>
      <c r="C1513" s="134"/>
      <c r="D1513" s="134"/>
      <c r="E1513" s="134"/>
      <c r="F1513" s="134"/>
      <c r="G1513" s="134"/>
      <c r="H1513" s="134"/>
      <c r="I1513" s="134"/>
      <c r="J1513" s="134"/>
      <c r="K1513" s="134"/>
      <c r="L1513" s="134"/>
      <c r="M1513" s="134"/>
      <c r="N1513" s="134"/>
      <c r="O1513" s="134"/>
      <c r="P1513" s="134"/>
      <c r="Q1513" s="134"/>
      <c r="R1513" s="134"/>
      <c r="S1513" s="134"/>
      <c r="T1513" s="134"/>
      <c r="U1513" s="134"/>
      <c r="V1513" s="134"/>
      <c r="W1513" s="134"/>
      <c r="X1513" s="134"/>
      <c r="Y1513" s="134"/>
      <c r="Z1513" s="134"/>
      <c r="AA1513" s="134"/>
      <c r="AB1513" s="134"/>
      <c r="AC1513" s="134"/>
      <c r="AD1513" s="134"/>
      <c r="AE1513" s="134"/>
      <c r="AF1513" s="134"/>
      <c r="AG1513" s="134"/>
      <c r="AH1513" s="134"/>
      <c r="AI1513" s="134"/>
      <c r="AJ1513" s="134"/>
    </row>
    <row r="1514" spans="2:36">
      <c r="B1514" s="134"/>
      <c r="C1514" s="134"/>
      <c r="D1514" s="134"/>
      <c r="E1514" s="134"/>
      <c r="F1514" s="134"/>
      <c r="G1514" s="134"/>
      <c r="H1514" s="134"/>
      <c r="I1514" s="134"/>
      <c r="J1514" s="134"/>
      <c r="K1514" s="134"/>
      <c r="L1514" s="134"/>
      <c r="M1514" s="134"/>
      <c r="N1514" s="134"/>
      <c r="O1514" s="134"/>
      <c r="P1514" s="134"/>
      <c r="Q1514" s="134"/>
      <c r="R1514" s="134"/>
      <c r="S1514" s="134"/>
      <c r="T1514" s="134"/>
      <c r="U1514" s="134"/>
      <c r="V1514" s="134"/>
      <c r="W1514" s="134"/>
      <c r="X1514" s="134"/>
      <c r="Y1514" s="134"/>
      <c r="Z1514" s="134"/>
      <c r="AA1514" s="134"/>
      <c r="AB1514" s="134"/>
      <c r="AC1514" s="134"/>
      <c r="AD1514" s="134"/>
      <c r="AE1514" s="134"/>
      <c r="AF1514" s="134"/>
      <c r="AG1514" s="134"/>
      <c r="AH1514" s="134"/>
      <c r="AI1514" s="134"/>
      <c r="AJ1514" s="134"/>
    </row>
    <row r="1515" spans="2:36">
      <c r="B1515" s="134"/>
      <c r="C1515" s="134"/>
      <c r="D1515" s="134"/>
      <c r="E1515" s="134"/>
      <c r="F1515" s="134"/>
      <c r="G1515" s="134"/>
      <c r="H1515" s="134"/>
      <c r="I1515" s="134"/>
      <c r="J1515" s="134"/>
      <c r="K1515" s="134"/>
      <c r="L1515" s="134"/>
      <c r="M1515" s="134"/>
      <c r="N1515" s="134"/>
      <c r="O1515" s="134"/>
      <c r="P1515" s="134"/>
      <c r="Q1515" s="134"/>
      <c r="R1515" s="134"/>
      <c r="S1515" s="134"/>
      <c r="T1515" s="134"/>
      <c r="U1515" s="134"/>
      <c r="V1515" s="134"/>
      <c r="W1515" s="134"/>
      <c r="X1515" s="134"/>
      <c r="Y1515" s="134"/>
      <c r="Z1515" s="134"/>
      <c r="AA1515" s="134"/>
      <c r="AB1515" s="134"/>
      <c r="AC1515" s="134"/>
      <c r="AD1515" s="134"/>
      <c r="AE1515" s="134"/>
      <c r="AF1515" s="134"/>
      <c r="AG1515" s="134"/>
      <c r="AH1515" s="134"/>
      <c r="AI1515" s="134"/>
      <c r="AJ1515" s="134"/>
    </row>
    <row r="1516" spans="2:36">
      <c r="B1516" s="134"/>
      <c r="C1516" s="134"/>
      <c r="D1516" s="134"/>
      <c r="E1516" s="134"/>
      <c r="F1516" s="134"/>
      <c r="G1516" s="134"/>
      <c r="H1516" s="134"/>
      <c r="I1516" s="134"/>
      <c r="J1516" s="134"/>
      <c r="K1516" s="134"/>
      <c r="L1516" s="134"/>
      <c r="M1516" s="134"/>
      <c r="N1516" s="134"/>
      <c r="O1516" s="134"/>
      <c r="P1516" s="134"/>
      <c r="Q1516" s="134"/>
      <c r="R1516" s="134"/>
      <c r="S1516" s="134"/>
      <c r="T1516" s="134"/>
      <c r="U1516" s="134"/>
      <c r="V1516" s="134"/>
      <c r="W1516" s="134"/>
      <c r="X1516" s="134"/>
      <c r="Y1516" s="134"/>
      <c r="Z1516" s="134"/>
      <c r="AA1516" s="134"/>
      <c r="AB1516" s="134"/>
      <c r="AC1516" s="134"/>
      <c r="AD1516" s="134"/>
      <c r="AE1516" s="134"/>
      <c r="AF1516" s="134"/>
      <c r="AG1516" s="134"/>
      <c r="AH1516" s="134"/>
      <c r="AI1516" s="134"/>
      <c r="AJ1516" s="134"/>
    </row>
    <row r="1517" spans="2:36">
      <c r="B1517" s="134"/>
      <c r="C1517" s="134"/>
      <c r="D1517" s="134"/>
      <c r="E1517" s="134"/>
      <c r="F1517" s="134"/>
      <c r="G1517" s="134"/>
      <c r="H1517" s="134"/>
      <c r="I1517" s="134"/>
      <c r="J1517" s="134"/>
      <c r="K1517" s="134"/>
      <c r="L1517" s="134"/>
      <c r="M1517" s="134"/>
      <c r="N1517" s="134"/>
      <c r="O1517" s="134"/>
      <c r="P1517" s="134"/>
      <c r="Q1517" s="134"/>
      <c r="R1517" s="134"/>
      <c r="S1517" s="134"/>
      <c r="T1517" s="134"/>
      <c r="U1517" s="134"/>
      <c r="V1517" s="134"/>
      <c r="W1517" s="134"/>
      <c r="X1517" s="134"/>
      <c r="Y1517" s="134"/>
      <c r="Z1517" s="134"/>
      <c r="AA1517" s="134"/>
      <c r="AB1517" s="134"/>
      <c r="AC1517" s="134"/>
      <c r="AD1517" s="134"/>
      <c r="AE1517" s="134"/>
      <c r="AF1517" s="134"/>
      <c r="AG1517" s="134"/>
      <c r="AH1517" s="134"/>
      <c r="AI1517" s="134"/>
      <c r="AJ1517" s="134"/>
    </row>
    <row r="1518" spans="2:36">
      <c r="B1518" s="134"/>
      <c r="C1518" s="134"/>
      <c r="D1518" s="134"/>
      <c r="E1518" s="134"/>
      <c r="F1518" s="134"/>
      <c r="G1518" s="134"/>
      <c r="H1518" s="134"/>
      <c r="I1518" s="134"/>
      <c r="J1518" s="134"/>
      <c r="K1518" s="134"/>
      <c r="L1518" s="134"/>
      <c r="M1518" s="134"/>
      <c r="N1518" s="134"/>
      <c r="O1518" s="134"/>
      <c r="P1518" s="134"/>
      <c r="Q1518" s="134"/>
      <c r="R1518" s="134"/>
      <c r="S1518" s="134"/>
      <c r="T1518" s="134"/>
      <c r="U1518" s="134"/>
      <c r="V1518" s="134"/>
      <c r="W1518" s="134"/>
      <c r="X1518" s="134"/>
      <c r="Y1518" s="134"/>
      <c r="Z1518" s="134"/>
      <c r="AA1518" s="134"/>
      <c r="AB1518" s="134"/>
      <c r="AC1518" s="134"/>
      <c r="AD1518" s="134"/>
      <c r="AE1518" s="134"/>
      <c r="AF1518" s="134"/>
      <c r="AG1518" s="134"/>
      <c r="AH1518" s="134"/>
      <c r="AI1518" s="134"/>
      <c r="AJ1518" s="134"/>
    </row>
    <row r="1519" spans="2:36">
      <c r="B1519" s="134"/>
      <c r="C1519" s="134"/>
      <c r="D1519" s="134"/>
      <c r="E1519" s="134"/>
      <c r="F1519" s="134"/>
      <c r="G1519" s="134"/>
      <c r="H1519" s="134"/>
      <c r="I1519" s="134"/>
      <c r="J1519" s="134"/>
      <c r="K1519" s="134"/>
      <c r="L1519" s="134"/>
      <c r="M1519" s="134"/>
      <c r="N1519" s="134"/>
      <c r="O1519" s="134"/>
      <c r="P1519" s="134"/>
      <c r="Q1519" s="134"/>
      <c r="R1519" s="134"/>
      <c r="S1519" s="134"/>
      <c r="T1519" s="134"/>
      <c r="U1519" s="134"/>
      <c r="V1519" s="134"/>
      <c r="W1519" s="134"/>
      <c r="X1519" s="134"/>
      <c r="Y1519" s="134"/>
      <c r="Z1519" s="134"/>
      <c r="AA1519" s="134"/>
      <c r="AB1519" s="134"/>
      <c r="AC1519" s="134"/>
      <c r="AD1519" s="134"/>
      <c r="AE1519" s="134"/>
      <c r="AF1519" s="134"/>
      <c r="AG1519" s="134"/>
      <c r="AH1519" s="134"/>
      <c r="AI1519" s="134"/>
      <c r="AJ1519" s="134"/>
    </row>
    <row r="1520" spans="2:36">
      <c r="B1520" s="134"/>
      <c r="C1520" s="134"/>
      <c r="D1520" s="134"/>
      <c r="E1520" s="134"/>
      <c r="F1520" s="134"/>
      <c r="G1520" s="134"/>
      <c r="H1520" s="134"/>
      <c r="I1520" s="134"/>
      <c r="J1520" s="134"/>
      <c r="K1520" s="134"/>
      <c r="L1520" s="134"/>
      <c r="M1520" s="134"/>
      <c r="N1520" s="134"/>
      <c r="O1520" s="134"/>
      <c r="P1520" s="134"/>
      <c r="Q1520" s="134"/>
      <c r="R1520" s="134"/>
      <c r="S1520" s="134"/>
      <c r="T1520" s="134"/>
      <c r="U1520" s="134"/>
      <c r="V1520" s="134"/>
      <c r="W1520" s="134"/>
      <c r="X1520" s="134"/>
      <c r="Y1520" s="134"/>
      <c r="Z1520" s="134"/>
      <c r="AA1520" s="134"/>
      <c r="AB1520" s="134"/>
      <c r="AC1520" s="134"/>
      <c r="AD1520" s="134"/>
      <c r="AE1520" s="134"/>
      <c r="AF1520" s="134"/>
      <c r="AG1520" s="134"/>
      <c r="AH1520" s="134"/>
      <c r="AI1520" s="134"/>
      <c r="AJ1520" s="134"/>
    </row>
    <row r="1521" spans="2:36">
      <c r="B1521" s="134"/>
      <c r="C1521" s="134"/>
      <c r="D1521" s="134"/>
      <c r="E1521" s="134"/>
      <c r="F1521" s="134"/>
      <c r="G1521" s="134"/>
      <c r="H1521" s="134"/>
      <c r="I1521" s="134"/>
      <c r="J1521" s="134"/>
      <c r="K1521" s="134"/>
      <c r="L1521" s="134"/>
      <c r="M1521" s="134"/>
      <c r="N1521" s="134"/>
      <c r="O1521" s="134"/>
      <c r="P1521" s="134"/>
      <c r="Q1521" s="134"/>
      <c r="R1521" s="134"/>
      <c r="S1521" s="134"/>
      <c r="T1521" s="134"/>
      <c r="U1521" s="134"/>
      <c r="V1521" s="134"/>
      <c r="W1521" s="134"/>
      <c r="X1521" s="134"/>
      <c r="Y1521" s="134"/>
      <c r="Z1521" s="134"/>
      <c r="AA1521" s="134"/>
      <c r="AB1521" s="134"/>
      <c r="AC1521" s="134"/>
      <c r="AD1521" s="134"/>
      <c r="AE1521" s="134"/>
      <c r="AF1521" s="134"/>
      <c r="AG1521" s="134"/>
      <c r="AH1521" s="134"/>
      <c r="AI1521" s="134"/>
      <c r="AJ1521" s="134"/>
    </row>
    <row r="1522" spans="2:36">
      <c r="B1522" s="134"/>
      <c r="C1522" s="134"/>
      <c r="D1522" s="134"/>
      <c r="E1522" s="134"/>
      <c r="F1522" s="134"/>
      <c r="G1522" s="134"/>
      <c r="H1522" s="134"/>
      <c r="I1522" s="134"/>
      <c r="J1522" s="134"/>
      <c r="K1522" s="134"/>
      <c r="L1522" s="134"/>
      <c r="M1522" s="134"/>
      <c r="N1522" s="134"/>
      <c r="O1522" s="134"/>
      <c r="P1522" s="134"/>
      <c r="Q1522" s="134"/>
      <c r="R1522" s="134"/>
      <c r="S1522" s="134"/>
      <c r="T1522" s="134"/>
      <c r="U1522" s="134"/>
      <c r="V1522" s="134"/>
      <c r="W1522" s="134"/>
      <c r="X1522" s="134"/>
      <c r="Y1522" s="134"/>
      <c r="Z1522" s="134"/>
      <c r="AA1522" s="134"/>
      <c r="AB1522" s="134"/>
      <c r="AC1522" s="134"/>
      <c r="AD1522" s="134"/>
      <c r="AE1522" s="134"/>
      <c r="AF1522" s="134"/>
      <c r="AG1522" s="134"/>
      <c r="AH1522" s="134"/>
      <c r="AI1522" s="134"/>
      <c r="AJ1522" s="134"/>
    </row>
    <row r="1523" spans="2:36">
      <c r="B1523" s="134"/>
      <c r="C1523" s="134"/>
      <c r="D1523" s="134"/>
      <c r="E1523" s="134"/>
      <c r="F1523" s="134"/>
      <c r="G1523" s="134"/>
      <c r="H1523" s="134"/>
      <c r="I1523" s="134"/>
      <c r="J1523" s="134"/>
      <c r="K1523" s="134"/>
      <c r="L1523" s="134"/>
      <c r="M1523" s="134"/>
      <c r="N1523" s="134"/>
      <c r="O1523" s="134"/>
      <c r="P1523" s="134"/>
      <c r="Q1523" s="134"/>
      <c r="R1523" s="134"/>
      <c r="S1523" s="134"/>
      <c r="T1523" s="134"/>
      <c r="U1523" s="134"/>
      <c r="V1523" s="134"/>
      <c r="W1523" s="134"/>
      <c r="X1523" s="134"/>
      <c r="Y1523" s="134"/>
      <c r="Z1523" s="134"/>
      <c r="AA1523" s="134"/>
      <c r="AB1523" s="134"/>
      <c r="AC1523" s="134"/>
      <c r="AD1523" s="134"/>
      <c r="AE1523" s="134"/>
      <c r="AF1523" s="134"/>
      <c r="AG1523" s="134"/>
      <c r="AH1523" s="134"/>
      <c r="AI1523" s="134"/>
      <c r="AJ1523" s="134"/>
    </row>
    <row r="1524" spans="2:36">
      <c r="B1524" s="134"/>
      <c r="C1524" s="134"/>
      <c r="D1524" s="134"/>
      <c r="E1524" s="134"/>
      <c r="F1524" s="134"/>
      <c r="G1524" s="134"/>
      <c r="H1524" s="134"/>
      <c r="I1524" s="134"/>
      <c r="J1524" s="134"/>
      <c r="K1524" s="134"/>
      <c r="L1524" s="134"/>
      <c r="M1524" s="134"/>
      <c r="N1524" s="134"/>
      <c r="O1524" s="134"/>
      <c r="P1524" s="134"/>
      <c r="Q1524" s="134"/>
      <c r="R1524" s="134"/>
      <c r="S1524" s="134"/>
      <c r="T1524" s="134"/>
      <c r="U1524" s="134"/>
      <c r="V1524" s="134"/>
      <c r="W1524" s="134"/>
      <c r="X1524" s="134"/>
      <c r="Y1524" s="134"/>
      <c r="Z1524" s="134"/>
      <c r="AA1524" s="134"/>
      <c r="AB1524" s="134"/>
      <c r="AC1524" s="134"/>
      <c r="AD1524" s="134"/>
      <c r="AE1524" s="134"/>
      <c r="AF1524" s="134"/>
      <c r="AG1524" s="134"/>
      <c r="AH1524" s="134"/>
      <c r="AI1524" s="134"/>
      <c r="AJ1524" s="134"/>
    </row>
    <row r="1525" spans="2:36">
      <c r="B1525" s="134"/>
      <c r="C1525" s="134"/>
      <c r="D1525" s="134"/>
      <c r="E1525" s="134"/>
      <c r="F1525" s="134"/>
      <c r="G1525" s="134"/>
      <c r="H1525" s="134"/>
      <c r="I1525" s="134"/>
      <c r="J1525" s="134"/>
      <c r="K1525" s="134"/>
      <c r="L1525" s="134"/>
      <c r="M1525" s="134"/>
      <c r="N1525" s="134"/>
      <c r="O1525" s="134"/>
      <c r="P1525" s="134"/>
      <c r="Q1525" s="134"/>
      <c r="R1525" s="134"/>
      <c r="S1525" s="134"/>
      <c r="T1525" s="134"/>
      <c r="U1525" s="134"/>
      <c r="V1525" s="134"/>
      <c r="W1525" s="134"/>
      <c r="X1525" s="134"/>
      <c r="Y1525" s="134"/>
      <c r="Z1525" s="134"/>
      <c r="AA1525" s="134"/>
      <c r="AB1525" s="134"/>
      <c r="AC1525" s="134"/>
      <c r="AD1525" s="134"/>
      <c r="AE1525" s="134"/>
      <c r="AF1525" s="134"/>
      <c r="AG1525" s="134"/>
      <c r="AH1525" s="134"/>
      <c r="AI1525" s="134"/>
      <c r="AJ1525" s="134"/>
    </row>
    <row r="1526" spans="2:36">
      <c r="B1526" s="134"/>
      <c r="C1526" s="134"/>
      <c r="D1526" s="134"/>
      <c r="E1526" s="134"/>
      <c r="F1526" s="134"/>
      <c r="G1526" s="134"/>
      <c r="H1526" s="134"/>
      <c r="I1526" s="134"/>
      <c r="J1526" s="134"/>
      <c r="K1526" s="134"/>
      <c r="L1526" s="134"/>
      <c r="M1526" s="134"/>
      <c r="N1526" s="134"/>
      <c r="O1526" s="134"/>
      <c r="P1526" s="134"/>
      <c r="Q1526" s="134"/>
      <c r="R1526" s="134"/>
      <c r="S1526" s="134"/>
      <c r="T1526" s="134"/>
      <c r="U1526" s="134"/>
      <c r="V1526" s="134"/>
      <c r="W1526" s="134"/>
      <c r="X1526" s="134"/>
      <c r="Y1526" s="134"/>
      <c r="Z1526" s="134"/>
      <c r="AA1526" s="134"/>
      <c r="AB1526" s="134"/>
      <c r="AC1526" s="134"/>
      <c r="AD1526" s="134"/>
      <c r="AE1526" s="134"/>
      <c r="AF1526" s="134"/>
      <c r="AG1526" s="134"/>
      <c r="AH1526" s="134"/>
      <c r="AI1526" s="134"/>
      <c r="AJ1526" s="134"/>
    </row>
    <row r="1527" spans="2:36">
      <c r="B1527" s="134"/>
      <c r="C1527" s="134"/>
      <c r="D1527" s="134"/>
      <c r="E1527" s="134"/>
      <c r="F1527" s="134"/>
      <c r="G1527" s="134"/>
      <c r="H1527" s="134"/>
      <c r="I1527" s="134"/>
      <c r="J1527" s="134"/>
      <c r="K1527" s="134"/>
      <c r="L1527" s="134"/>
      <c r="M1527" s="134"/>
      <c r="N1527" s="134"/>
      <c r="O1527" s="134"/>
      <c r="P1527" s="134"/>
      <c r="Q1527" s="134"/>
      <c r="R1527" s="134"/>
      <c r="S1527" s="134"/>
      <c r="T1527" s="134"/>
      <c r="U1527" s="134"/>
      <c r="V1527" s="134"/>
      <c r="W1527" s="134"/>
      <c r="X1527" s="134"/>
      <c r="Y1527" s="134"/>
      <c r="Z1527" s="134"/>
      <c r="AA1527" s="134"/>
      <c r="AB1527" s="134"/>
      <c r="AC1527" s="134"/>
      <c r="AD1527" s="134"/>
      <c r="AE1527" s="134"/>
      <c r="AF1527" s="134"/>
      <c r="AG1527" s="134"/>
      <c r="AH1527" s="134"/>
      <c r="AI1527" s="134"/>
      <c r="AJ1527" s="134"/>
    </row>
    <row r="1528" spans="2:36">
      <c r="B1528" s="134"/>
      <c r="C1528" s="134"/>
      <c r="D1528" s="134"/>
      <c r="E1528" s="134"/>
      <c r="F1528" s="134"/>
      <c r="G1528" s="134"/>
      <c r="H1528" s="134"/>
      <c r="I1528" s="134"/>
      <c r="J1528" s="134"/>
      <c r="K1528" s="134"/>
      <c r="L1528" s="134"/>
      <c r="M1528" s="134"/>
      <c r="N1528" s="134"/>
      <c r="O1528" s="134"/>
      <c r="P1528" s="134"/>
      <c r="Q1528" s="134"/>
      <c r="R1528" s="134"/>
      <c r="S1528" s="134"/>
      <c r="T1528" s="134"/>
      <c r="U1528" s="134"/>
      <c r="V1528" s="134"/>
      <c r="W1528" s="134"/>
      <c r="X1528" s="134"/>
      <c r="Y1528" s="134"/>
      <c r="Z1528" s="134"/>
      <c r="AA1528" s="134"/>
      <c r="AB1528" s="134"/>
      <c r="AC1528" s="134"/>
      <c r="AD1528" s="134"/>
      <c r="AE1528" s="134"/>
      <c r="AF1528" s="134"/>
      <c r="AG1528" s="134"/>
      <c r="AH1528" s="134"/>
      <c r="AI1528" s="134"/>
      <c r="AJ1528" s="134"/>
    </row>
    <row r="1529" spans="2:36">
      <c r="B1529" s="134"/>
      <c r="C1529" s="134"/>
      <c r="D1529" s="134"/>
      <c r="E1529" s="134"/>
      <c r="F1529" s="134"/>
      <c r="G1529" s="134"/>
      <c r="H1529" s="134"/>
      <c r="I1529" s="134"/>
      <c r="J1529" s="134"/>
      <c r="K1529" s="134"/>
      <c r="L1529" s="134"/>
      <c r="M1529" s="134"/>
      <c r="N1529" s="134"/>
      <c r="O1529" s="134"/>
      <c r="P1529" s="134"/>
      <c r="Q1529" s="134"/>
      <c r="R1529" s="134"/>
      <c r="S1529" s="134"/>
      <c r="T1529" s="134"/>
      <c r="U1529" s="134"/>
      <c r="V1529" s="134"/>
      <c r="W1529" s="134"/>
      <c r="X1529" s="134"/>
      <c r="Y1529" s="134"/>
      <c r="Z1529" s="134"/>
      <c r="AA1529" s="134"/>
      <c r="AB1529" s="134"/>
      <c r="AC1529" s="134"/>
      <c r="AD1529" s="134"/>
      <c r="AE1529" s="134"/>
      <c r="AF1529" s="134"/>
      <c r="AG1529" s="134"/>
      <c r="AH1529" s="134"/>
      <c r="AI1529" s="134"/>
      <c r="AJ1529" s="134"/>
    </row>
    <row r="1530" spans="2:36">
      <c r="B1530" s="134"/>
      <c r="C1530" s="134"/>
      <c r="D1530" s="134"/>
      <c r="E1530" s="134"/>
      <c r="F1530" s="134"/>
      <c r="G1530" s="134"/>
      <c r="H1530" s="134"/>
      <c r="I1530" s="134"/>
      <c r="J1530" s="134"/>
      <c r="K1530" s="134"/>
      <c r="L1530" s="134"/>
      <c r="M1530" s="134"/>
      <c r="N1530" s="134"/>
      <c r="O1530" s="134"/>
      <c r="P1530" s="134"/>
      <c r="Q1530" s="134"/>
      <c r="R1530" s="134"/>
      <c r="S1530" s="134"/>
      <c r="T1530" s="134"/>
      <c r="U1530" s="134"/>
      <c r="V1530" s="134"/>
      <c r="W1530" s="134"/>
      <c r="X1530" s="134"/>
      <c r="Y1530" s="134"/>
      <c r="Z1530" s="134"/>
      <c r="AA1530" s="134"/>
      <c r="AB1530" s="134"/>
      <c r="AC1530" s="134"/>
      <c r="AD1530" s="134"/>
      <c r="AE1530" s="134"/>
      <c r="AF1530" s="134"/>
      <c r="AG1530" s="134"/>
      <c r="AH1530" s="134"/>
      <c r="AI1530" s="134"/>
      <c r="AJ1530" s="134"/>
    </row>
    <row r="1531" spans="2:36">
      <c r="B1531" s="134"/>
      <c r="C1531" s="134"/>
      <c r="D1531" s="134"/>
      <c r="E1531" s="134"/>
      <c r="F1531" s="134"/>
      <c r="G1531" s="134"/>
      <c r="H1531" s="134"/>
      <c r="I1531" s="134"/>
      <c r="J1531" s="134"/>
      <c r="K1531" s="134"/>
      <c r="L1531" s="134"/>
      <c r="M1531" s="134"/>
      <c r="N1531" s="134"/>
      <c r="O1531" s="134"/>
      <c r="P1531" s="134"/>
      <c r="Q1531" s="134"/>
      <c r="R1531" s="134"/>
      <c r="S1531" s="134"/>
      <c r="T1531" s="134"/>
      <c r="U1531" s="134"/>
      <c r="V1531" s="134"/>
      <c r="W1531" s="134"/>
      <c r="X1531" s="134"/>
      <c r="Y1531" s="134"/>
      <c r="Z1531" s="134"/>
      <c r="AA1531" s="134"/>
      <c r="AB1531" s="134"/>
      <c r="AC1531" s="134"/>
      <c r="AD1531" s="134"/>
      <c r="AE1531" s="134"/>
      <c r="AF1531" s="134"/>
      <c r="AG1531" s="134"/>
      <c r="AH1531" s="134"/>
      <c r="AI1531" s="134"/>
      <c r="AJ1531" s="134"/>
    </row>
    <row r="1532" spans="2:36">
      <c r="B1532" s="134"/>
      <c r="C1532" s="134"/>
      <c r="D1532" s="134"/>
      <c r="E1532" s="134"/>
      <c r="F1532" s="134"/>
      <c r="G1532" s="134"/>
      <c r="H1532" s="134"/>
      <c r="I1532" s="134"/>
      <c r="J1532" s="134"/>
      <c r="K1532" s="134"/>
      <c r="L1532" s="134"/>
      <c r="M1532" s="134"/>
      <c r="N1532" s="134"/>
      <c r="O1532" s="134"/>
      <c r="P1532" s="134"/>
      <c r="Q1532" s="134"/>
      <c r="R1532" s="134"/>
      <c r="S1532" s="134"/>
      <c r="T1532" s="134"/>
      <c r="U1532" s="134"/>
      <c r="V1532" s="134"/>
      <c r="W1532" s="134"/>
      <c r="X1532" s="134"/>
      <c r="Y1532" s="134"/>
      <c r="Z1532" s="134"/>
      <c r="AA1532" s="134"/>
      <c r="AB1532" s="134"/>
      <c r="AC1532" s="134"/>
      <c r="AD1532" s="134"/>
      <c r="AE1532" s="134"/>
      <c r="AF1532" s="134"/>
      <c r="AG1532" s="134"/>
      <c r="AH1532" s="134"/>
      <c r="AI1532" s="134"/>
      <c r="AJ1532" s="134"/>
    </row>
    <row r="1533" spans="2:36">
      <c r="B1533" s="134"/>
      <c r="C1533" s="134"/>
      <c r="D1533" s="134"/>
      <c r="E1533" s="134"/>
      <c r="F1533" s="134"/>
      <c r="G1533" s="134"/>
      <c r="H1533" s="134"/>
      <c r="I1533" s="134"/>
      <c r="J1533" s="134"/>
      <c r="K1533" s="134"/>
      <c r="L1533" s="134"/>
      <c r="M1533" s="134"/>
      <c r="N1533" s="134"/>
      <c r="O1533" s="134"/>
      <c r="P1533" s="134"/>
      <c r="Q1533" s="134"/>
      <c r="R1533" s="134"/>
      <c r="S1533" s="134"/>
      <c r="T1533" s="134"/>
      <c r="U1533" s="134"/>
      <c r="V1533" s="134"/>
      <c r="W1533" s="134"/>
      <c r="X1533" s="134"/>
      <c r="Y1533" s="134"/>
      <c r="Z1533" s="134"/>
      <c r="AA1533" s="134"/>
      <c r="AB1533" s="134"/>
      <c r="AC1533" s="134"/>
      <c r="AD1533" s="134"/>
      <c r="AE1533" s="134"/>
      <c r="AF1533" s="134"/>
      <c r="AG1533" s="134"/>
      <c r="AH1533" s="134"/>
      <c r="AI1533" s="134"/>
      <c r="AJ1533" s="134"/>
    </row>
    <row r="1534" spans="2:36">
      <c r="B1534" s="134"/>
      <c r="C1534" s="134"/>
      <c r="D1534" s="134"/>
      <c r="E1534" s="134"/>
      <c r="F1534" s="134"/>
      <c r="G1534" s="134"/>
      <c r="H1534" s="134"/>
      <c r="I1534" s="134"/>
      <c r="J1534" s="134"/>
      <c r="K1534" s="134"/>
      <c r="L1534" s="134"/>
      <c r="M1534" s="134"/>
      <c r="N1534" s="134"/>
      <c r="O1534" s="134"/>
      <c r="P1534" s="134"/>
      <c r="Q1534" s="134"/>
      <c r="R1534" s="134"/>
      <c r="S1534" s="134"/>
      <c r="T1534" s="134"/>
      <c r="U1534" s="134"/>
      <c r="V1534" s="134"/>
      <c r="W1534" s="134"/>
      <c r="X1534" s="134"/>
      <c r="Y1534" s="134"/>
      <c r="Z1534" s="134"/>
      <c r="AA1534" s="134"/>
      <c r="AB1534" s="134"/>
      <c r="AC1534" s="134"/>
      <c r="AD1534" s="134"/>
      <c r="AE1534" s="134"/>
      <c r="AF1534" s="134"/>
      <c r="AG1534" s="134"/>
      <c r="AH1534" s="134"/>
      <c r="AI1534" s="134"/>
      <c r="AJ1534" s="134"/>
    </row>
    <row r="1535" spans="2:36">
      <c r="B1535" s="134"/>
      <c r="C1535" s="134"/>
      <c r="D1535" s="134"/>
      <c r="E1535" s="134"/>
      <c r="F1535" s="134"/>
      <c r="G1535" s="134"/>
      <c r="H1535" s="134"/>
      <c r="I1535" s="134"/>
      <c r="J1535" s="134"/>
      <c r="K1535" s="134"/>
      <c r="L1535" s="134"/>
      <c r="M1535" s="134"/>
      <c r="N1535" s="134"/>
      <c r="O1535" s="134"/>
      <c r="P1535" s="134"/>
      <c r="Q1535" s="134"/>
      <c r="R1535" s="134"/>
      <c r="S1535" s="134"/>
      <c r="T1535" s="134"/>
      <c r="U1535" s="134"/>
      <c r="V1535" s="134"/>
      <c r="W1535" s="134"/>
      <c r="X1535" s="134"/>
      <c r="Y1535" s="134"/>
      <c r="Z1535" s="134"/>
      <c r="AA1535" s="134"/>
      <c r="AB1535" s="134"/>
      <c r="AC1535" s="134"/>
      <c r="AD1535" s="134"/>
      <c r="AE1535" s="134"/>
      <c r="AF1535" s="134"/>
      <c r="AG1535" s="134"/>
      <c r="AH1535" s="134"/>
      <c r="AI1535" s="134"/>
      <c r="AJ1535" s="134"/>
    </row>
    <row r="1536" spans="2:36">
      <c r="B1536" s="134"/>
      <c r="C1536" s="134"/>
      <c r="D1536" s="134"/>
      <c r="E1536" s="134"/>
      <c r="F1536" s="134"/>
      <c r="G1536" s="134"/>
      <c r="H1536" s="134"/>
      <c r="I1536" s="134"/>
      <c r="J1536" s="134"/>
      <c r="K1536" s="134"/>
      <c r="L1536" s="134"/>
      <c r="M1536" s="134"/>
      <c r="N1536" s="134"/>
      <c r="O1536" s="134"/>
      <c r="P1536" s="134"/>
      <c r="Q1536" s="134"/>
      <c r="R1536" s="134"/>
      <c r="S1536" s="134"/>
      <c r="T1536" s="134"/>
      <c r="U1536" s="134"/>
      <c r="V1536" s="134"/>
      <c r="W1536" s="134"/>
      <c r="X1536" s="134"/>
      <c r="Y1536" s="134"/>
      <c r="Z1536" s="134"/>
      <c r="AA1536" s="134"/>
      <c r="AB1536" s="134"/>
      <c r="AC1536" s="134"/>
      <c r="AD1536" s="134"/>
      <c r="AE1536" s="134"/>
      <c r="AF1536" s="134"/>
      <c r="AG1536" s="134"/>
      <c r="AH1536" s="134"/>
      <c r="AI1536" s="134"/>
      <c r="AJ1536" s="134"/>
    </row>
    <row r="1537" spans="2:36">
      <c r="B1537" s="134"/>
      <c r="C1537" s="134"/>
      <c r="D1537" s="134"/>
      <c r="E1537" s="134"/>
      <c r="F1537" s="134"/>
      <c r="G1537" s="134"/>
      <c r="H1537" s="134"/>
      <c r="I1537" s="134"/>
      <c r="J1537" s="134"/>
      <c r="K1537" s="134"/>
      <c r="L1537" s="134"/>
      <c r="M1537" s="134"/>
      <c r="N1537" s="134"/>
      <c r="O1537" s="134"/>
      <c r="P1537" s="134"/>
      <c r="Q1537" s="134"/>
      <c r="R1537" s="134"/>
      <c r="S1537" s="134"/>
      <c r="T1537" s="134"/>
      <c r="U1537" s="134"/>
      <c r="V1537" s="134"/>
      <c r="W1537" s="134"/>
      <c r="X1537" s="134"/>
      <c r="Y1537" s="134"/>
      <c r="Z1537" s="134"/>
      <c r="AA1537" s="134"/>
      <c r="AB1537" s="134"/>
      <c r="AC1537" s="134"/>
      <c r="AD1537" s="134"/>
      <c r="AE1537" s="134"/>
      <c r="AF1537" s="134"/>
      <c r="AG1537" s="134"/>
      <c r="AH1537" s="134"/>
      <c r="AI1537" s="134"/>
      <c r="AJ1537" s="134"/>
    </row>
    <row r="1538" spans="2:36">
      <c r="B1538" s="134"/>
      <c r="C1538" s="134"/>
      <c r="D1538" s="134"/>
      <c r="E1538" s="134"/>
      <c r="F1538" s="134"/>
      <c r="G1538" s="134"/>
      <c r="H1538" s="134"/>
      <c r="I1538" s="134"/>
      <c r="J1538" s="134"/>
      <c r="K1538" s="134"/>
      <c r="L1538" s="134"/>
      <c r="M1538" s="134"/>
      <c r="N1538" s="134"/>
      <c r="O1538" s="134"/>
      <c r="P1538" s="134"/>
      <c r="Q1538" s="134"/>
      <c r="R1538" s="134"/>
      <c r="S1538" s="134"/>
      <c r="T1538" s="134"/>
      <c r="U1538" s="134"/>
      <c r="V1538" s="134"/>
      <c r="W1538" s="134"/>
      <c r="X1538" s="134"/>
      <c r="Y1538" s="134"/>
      <c r="Z1538" s="134"/>
      <c r="AA1538" s="134"/>
      <c r="AB1538" s="134"/>
      <c r="AC1538" s="134"/>
      <c r="AD1538" s="134"/>
      <c r="AE1538" s="134"/>
      <c r="AF1538" s="134"/>
      <c r="AG1538" s="134"/>
      <c r="AH1538" s="134"/>
      <c r="AI1538" s="134"/>
      <c r="AJ1538" s="134"/>
    </row>
    <row r="1539" spans="2:36">
      <c r="B1539" s="134"/>
      <c r="C1539" s="134"/>
      <c r="D1539" s="134"/>
      <c r="E1539" s="134"/>
      <c r="F1539" s="134"/>
      <c r="G1539" s="134"/>
      <c r="H1539" s="134"/>
      <c r="I1539" s="134"/>
      <c r="J1539" s="134"/>
      <c r="K1539" s="134"/>
      <c r="L1539" s="134"/>
      <c r="M1539" s="134"/>
      <c r="N1539" s="134"/>
      <c r="O1539" s="134"/>
      <c r="P1539" s="134"/>
      <c r="Q1539" s="134"/>
      <c r="R1539" s="134"/>
      <c r="S1539" s="134"/>
      <c r="T1539" s="134"/>
      <c r="U1539" s="134"/>
      <c r="V1539" s="134"/>
      <c r="W1539" s="134"/>
      <c r="X1539" s="134"/>
      <c r="Y1539" s="134"/>
      <c r="Z1539" s="134"/>
      <c r="AA1539" s="134"/>
      <c r="AB1539" s="134"/>
      <c r="AC1539" s="134"/>
      <c r="AD1539" s="134"/>
      <c r="AE1539" s="134"/>
      <c r="AF1539" s="134"/>
      <c r="AG1539" s="134"/>
      <c r="AH1539" s="134"/>
      <c r="AI1539" s="134"/>
      <c r="AJ1539" s="134"/>
    </row>
    <row r="1540" spans="2:36">
      <c r="B1540" s="134"/>
      <c r="C1540" s="134"/>
      <c r="D1540" s="134"/>
      <c r="E1540" s="134"/>
      <c r="F1540" s="134"/>
      <c r="G1540" s="134"/>
      <c r="H1540" s="134"/>
      <c r="I1540" s="134"/>
      <c r="J1540" s="134"/>
      <c r="K1540" s="134"/>
      <c r="L1540" s="134"/>
      <c r="M1540" s="134"/>
      <c r="N1540" s="134"/>
      <c r="O1540" s="134"/>
      <c r="P1540" s="134"/>
      <c r="Q1540" s="134"/>
      <c r="R1540" s="134"/>
      <c r="S1540" s="134"/>
      <c r="T1540" s="134"/>
      <c r="U1540" s="134"/>
      <c r="V1540" s="134"/>
      <c r="W1540" s="134"/>
      <c r="X1540" s="134"/>
      <c r="Y1540" s="134"/>
      <c r="Z1540" s="134"/>
      <c r="AA1540" s="134"/>
      <c r="AB1540" s="134"/>
      <c r="AC1540" s="134"/>
      <c r="AD1540" s="134"/>
      <c r="AE1540" s="134"/>
      <c r="AF1540" s="134"/>
      <c r="AG1540" s="134"/>
      <c r="AH1540" s="134"/>
      <c r="AI1540" s="134"/>
      <c r="AJ1540" s="134"/>
    </row>
    <row r="1541" spans="2:36">
      <c r="B1541" s="134"/>
      <c r="C1541" s="134"/>
      <c r="D1541" s="134"/>
      <c r="E1541" s="134"/>
      <c r="F1541" s="134"/>
      <c r="G1541" s="134"/>
      <c r="H1541" s="134"/>
      <c r="I1541" s="134"/>
      <c r="J1541" s="134"/>
      <c r="K1541" s="134"/>
      <c r="L1541" s="134"/>
      <c r="M1541" s="134"/>
      <c r="N1541" s="134"/>
      <c r="O1541" s="134"/>
      <c r="P1541" s="134"/>
      <c r="Q1541" s="134"/>
      <c r="R1541" s="134"/>
      <c r="S1541" s="134"/>
      <c r="T1541" s="134"/>
      <c r="U1541" s="134"/>
      <c r="V1541" s="134"/>
      <c r="W1541" s="134"/>
      <c r="X1541" s="134"/>
      <c r="Y1541" s="134"/>
      <c r="Z1541" s="134"/>
      <c r="AA1541" s="134"/>
      <c r="AB1541" s="134"/>
      <c r="AC1541" s="134"/>
      <c r="AD1541" s="134"/>
      <c r="AE1541" s="134"/>
      <c r="AF1541" s="134"/>
      <c r="AG1541" s="134"/>
      <c r="AH1541" s="134"/>
      <c r="AI1541" s="134"/>
      <c r="AJ1541" s="134"/>
    </row>
    <row r="1542" spans="2:36">
      <c r="B1542" s="134"/>
      <c r="C1542" s="134"/>
      <c r="D1542" s="134"/>
      <c r="E1542" s="134"/>
      <c r="F1542" s="134"/>
      <c r="G1542" s="134"/>
      <c r="H1542" s="134"/>
      <c r="I1542" s="134"/>
      <c r="J1542" s="134"/>
      <c r="K1542" s="134"/>
      <c r="L1542" s="134"/>
      <c r="M1542" s="134"/>
      <c r="N1542" s="134"/>
      <c r="O1542" s="134"/>
      <c r="P1542" s="134"/>
      <c r="Q1542" s="134"/>
      <c r="R1542" s="134"/>
      <c r="S1542" s="134"/>
      <c r="T1542" s="134"/>
      <c r="U1542" s="134"/>
      <c r="V1542" s="134"/>
      <c r="W1542" s="134"/>
      <c r="X1542" s="134"/>
      <c r="Y1542" s="134"/>
      <c r="Z1542" s="134"/>
      <c r="AA1542" s="134"/>
      <c r="AB1542" s="134"/>
      <c r="AC1542" s="134"/>
      <c r="AD1542" s="134"/>
      <c r="AE1542" s="134"/>
      <c r="AF1542" s="134"/>
      <c r="AG1542" s="134"/>
      <c r="AH1542" s="134"/>
      <c r="AI1542" s="134"/>
      <c r="AJ1542" s="134"/>
    </row>
    <row r="1543" spans="2:36">
      <c r="B1543" s="134"/>
      <c r="C1543" s="134"/>
      <c r="D1543" s="134"/>
      <c r="E1543" s="134"/>
      <c r="F1543" s="134"/>
      <c r="G1543" s="134"/>
      <c r="H1543" s="134"/>
      <c r="I1543" s="134"/>
      <c r="J1543" s="134"/>
      <c r="K1543" s="134"/>
      <c r="L1543" s="134"/>
      <c r="M1543" s="134"/>
      <c r="N1543" s="134"/>
      <c r="O1543" s="134"/>
      <c r="P1543" s="134"/>
      <c r="Q1543" s="134"/>
      <c r="R1543" s="134"/>
      <c r="S1543" s="134"/>
      <c r="T1543" s="134"/>
      <c r="U1543" s="134"/>
      <c r="V1543" s="134"/>
      <c r="W1543" s="134"/>
      <c r="X1543" s="134"/>
      <c r="Y1543" s="134"/>
      <c r="Z1543" s="134"/>
      <c r="AA1543" s="134"/>
      <c r="AB1543" s="134"/>
      <c r="AC1543" s="134"/>
      <c r="AD1543" s="134"/>
      <c r="AE1543" s="134"/>
      <c r="AF1543" s="134"/>
      <c r="AG1543" s="134"/>
      <c r="AH1543" s="134"/>
      <c r="AI1543" s="134"/>
      <c r="AJ1543" s="134"/>
    </row>
    <row r="1544" spans="2:36">
      <c r="B1544" s="134"/>
      <c r="C1544" s="134"/>
      <c r="D1544" s="134"/>
      <c r="E1544" s="134"/>
      <c r="F1544" s="134"/>
      <c r="G1544" s="134"/>
      <c r="H1544" s="134"/>
      <c r="I1544" s="134"/>
      <c r="J1544" s="134"/>
      <c r="K1544" s="134"/>
      <c r="L1544" s="134"/>
      <c r="M1544" s="134"/>
      <c r="N1544" s="134"/>
      <c r="O1544" s="134"/>
      <c r="P1544" s="134"/>
      <c r="Q1544" s="134"/>
      <c r="R1544" s="134"/>
      <c r="S1544" s="134"/>
      <c r="T1544" s="134"/>
      <c r="U1544" s="134"/>
      <c r="V1544" s="134"/>
      <c r="W1544" s="134"/>
      <c r="X1544" s="134"/>
      <c r="Y1544" s="134"/>
      <c r="Z1544" s="134"/>
      <c r="AA1544" s="134"/>
      <c r="AB1544" s="134"/>
      <c r="AC1544" s="134"/>
      <c r="AD1544" s="134"/>
      <c r="AE1544" s="134"/>
      <c r="AF1544" s="134"/>
      <c r="AG1544" s="134"/>
      <c r="AH1544" s="134"/>
      <c r="AI1544" s="134"/>
      <c r="AJ1544" s="134"/>
    </row>
    <row r="1545" spans="2:36">
      <c r="B1545" s="134"/>
      <c r="C1545" s="134"/>
      <c r="D1545" s="134"/>
      <c r="E1545" s="134"/>
      <c r="F1545" s="134"/>
      <c r="G1545" s="134"/>
      <c r="H1545" s="134"/>
      <c r="I1545" s="134"/>
      <c r="J1545" s="134"/>
      <c r="K1545" s="134"/>
      <c r="L1545" s="134"/>
      <c r="M1545" s="134"/>
      <c r="N1545" s="134"/>
      <c r="O1545" s="134"/>
      <c r="P1545" s="134"/>
      <c r="Q1545" s="134"/>
      <c r="R1545" s="134"/>
      <c r="S1545" s="134"/>
      <c r="T1545" s="134"/>
      <c r="U1545" s="134"/>
      <c r="V1545" s="134"/>
      <c r="W1545" s="134"/>
      <c r="X1545" s="134"/>
      <c r="Y1545" s="134"/>
      <c r="Z1545" s="134"/>
      <c r="AA1545" s="134"/>
      <c r="AB1545" s="134"/>
      <c r="AC1545" s="134"/>
      <c r="AD1545" s="134"/>
      <c r="AE1545" s="134"/>
      <c r="AF1545" s="134"/>
      <c r="AG1545" s="134"/>
      <c r="AH1545" s="134"/>
      <c r="AI1545" s="134"/>
      <c r="AJ1545" s="134"/>
    </row>
    <row r="1546" spans="2:36">
      <c r="B1546" s="134"/>
      <c r="C1546" s="134"/>
      <c r="D1546" s="134"/>
      <c r="E1546" s="134"/>
      <c r="F1546" s="134"/>
      <c r="G1546" s="134"/>
      <c r="H1546" s="134"/>
      <c r="I1546" s="134"/>
      <c r="J1546" s="134"/>
      <c r="K1546" s="134"/>
      <c r="L1546" s="134"/>
      <c r="M1546" s="134"/>
      <c r="N1546" s="134"/>
      <c r="O1546" s="134"/>
      <c r="P1546" s="134"/>
      <c r="Q1546" s="134"/>
      <c r="R1546" s="134"/>
      <c r="S1546" s="134"/>
      <c r="T1546" s="134"/>
      <c r="U1546" s="134"/>
      <c r="V1546" s="134"/>
      <c r="W1546" s="134"/>
      <c r="X1546" s="134"/>
      <c r="Y1546" s="134"/>
      <c r="Z1546" s="134"/>
      <c r="AA1546" s="134"/>
      <c r="AB1546" s="134"/>
      <c r="AC1546" s="134"/>
      <c r="AD1546" s="134"/>
      <c r="AE1546" s="134"/>
      <c r="AF1546" s="134"/>
      <c r="AG1546" s="134"/>
      <c r="AH1546" s="134"/>
      <c r="AI1546" s="134"/>
      <c r="AJ1546" s="134"/>
    </row>
    <row r="1547" spans="2:36">
      <c r="B1547" s="134"/>
      <c r="C1547" s="134"/>
      <c r="D1547" s="134"/>
      <c r="E1547" s="134"/>
      <c r="F1547" s="134"/>
      <c r="G1547" s="134"/>
      <c r="H1547" s="134"/>
      <c r="I1547" s="134"/>
      <c r="J1547" s="134"/>
      <c r="K1547" s="134"/>
      <c r="L1547" s="134"/>
      <c r="M1547" s="134"/>
      <c r="N1547" s="134"/>
      <c r="O1547" s="134"/>
      <c r="P1547" s="134"/>
      <c r="Q1547" s="134"/>
      <c r="R1547" s="134"/>
      <c r="S1547" s="134"/>
      <c r="T1547" s="134"/>
      <c r="U1547" s="134"/>
      <c r="V1547" s="134"/>
      <c r="W1547" s="134"/>
      <c r="X1547" s="134"/>
      <c r="Y1547" s="134"/>
      <c r="Z1547" s="134"/>
      <c r="AA1547" s="134"/>
      <c r="AB1547" s="134"/>
      <c r="AC1547" s="134"/>
      <c r="AD1547" s="134"/>
      <c r="AE1547" s="134"/>
      <c r="AF1547" s="134"/>
      <c r="AG1547" s="134"/>
      <c r="AH1547" s="134"/>
      <c r="AI1547" s="134"/>
      <c r="AJ1547" s="134"/>
    </row>
    <row r="1548" spans="2:36">
      <c r="B1548" s="134"/>
      <c r="C1548" s="134"/>
      <c r="D1548" s="134"/>
      <c r="E1548" s="134"/>
      <c r="F1548" s="134"/>
      <c r="G1548" s="134"/>
      <c r="H1548" s="134"/>
      <c r="I1548" s="134"/>
      <c r="J1548" s="134"/>
      <c r="K1548" s="134"/>
      <c r="L1548" s="134"/>
      <c r="M1548" s="134"/>
      <c r="N1548" s="134"/>
      <c r="O1548" s="134"/>
      <c r="P1548" s="134"/>
      <c r="Q1548" s="134"/>
      <c r="R1548" s="134"/>
      <c r="S1548" s="134"/>
      <c r="T1548" s="134"/>
      <c r="U1548" s="134"/>
      <c r="V1548" s="134"/>
      <c r="W1548" s="134"/>
      <c r="X1548" s="134"/>
      <c r="Y1548" s="134"/>
      <c r="Z1548" s="134"/>
      <c r="AA1548" s="134"/>
      <c r="AB1548" s="134"/>
      <c r="AC1548" s="134"/>
      <c r="AD1548" s="134"/>
      <c r="AE1548" s="134"/>
      <c r="AF1548" s="134"/>
      <c r="AG1548" s="134"/>
      <c r="AH1548" s="134"/>
      <c r="AI1548" s="134"/>
      <c r="AJ1548" s="134"/>
    </row>
    <row r="1549" spans="2:36">
      <c r="B1549" s="134"/>
      <c r="C1549" s="134"/>
      <c r="D1549" s="134"/>
      <c r="E1549" s="134"/>
      <c r="F1549" s="134"/>
      <c r="G1549" s="134"/>
      <c r="H1549" s="134"/>
      <c r="I1549" s="134"/>
      <c r="J1549" s="134"/>
      <c r="K1549" s="134"/>
      <c r="L1549" s="134"/>
      <c r="M1549" s="134"/>
      <c r="N1549" s="134"/>
      <c r="O1549" s="134"/>
      <c r="P1549" s="134"/>
      <c r="Q1549" s="134"/>
      <c r="R1549" s="134"/>
      <c r="S1549" s="134"/>
      <c r="T1549" s="134"/>
      <c r="U1549" s="134"/>
      <c r="V1549" s="134"/>
      <c r="W1549" s="134"/>
      <c r="X1549" s="134"/>
      <c r="Y1549" s="134"/>
      <c r="Z1549" s="134"/>
      <c r="AA1549" s="134"/>
      <c r="AB1549" s="134"/>
      <c r="AC1549" s="134"/>
      <c r="AD1549" s="134"/>
      <c r="AE1549" s="134"/>
      <c r="AF1549" s="134"/>
      <c r="AG1549" s="134"/>
      <c r="AH1549" s="134"/>
      <c r="AI1549" s="134"/>
      <c r="AJ1549" s="134"/>
    </row>
    <row r="1550" spans="2:36">
      <c r="B1550" s="134"/>
      <c r="C1550" s="134"/>
      <c r="D1550" s="134"/>
      <c r="E1550" s="134"/>
      <c r="F1550" s="134"/>
      <c r="G1550" s="134"/>
      <c r="H1550" s="134"/>
      <c r="I1550" s="134"/>
      <c r="J1550" s="134"/>
      <c r="K1550" s="134"/>
      <c r="L1550" s="134"/>
      <c r="M1550" s="134"/>
      <c r="N1550" s="134"/>
      <c r="O1550" s="134"/>
      <c r="P1550" s="134"/>
      <c r="Q1550" s="134"/>
      <c r="R1550" s="134"/>
      <c r="S1550" s="134"/>
      <c r="T1550" s="134"/>
      <c r="U1550" s="134"/>
      <c r="V1550" s="134"/>
      <c r="W1550" s="134"/>
      <c r="X1550" s="134"/>
      <c r="Y1550" s="134"/>
      <c r="Z1550" s="134"/>
      <c r="AA1550" s="134"/>
      <c r="AB1550" s="134"/>
      <c r="AC1550" s="134"/>
      <c r="AD1550" s="134"/>
      <c r="AE1550" s="134"/>
      <c r="AF1550" s="134"/>
      <c r="AG1550" s="134"/>
      <c r="AH1550" s="134"/>
      <c r="AI1550" s="134"/>
      <c r="AJ1550" s="134"/>
    </row>
    <row r="1551" spans="2:36">
      <c r="B1551" s="134"/>
      <c r="C1551" s="134"/>
      <c r="D1551" s="134"/>
      <c r="E1551" s="134"/>
      <c r="F1551" s="134"/>
      <c r="G1551" s="134"/>
      <c r="H1551" s="134"/>
      <c r="I1551" s="134"/>
      <c r="J1551" s="134"/>
      <c r="K1551" s="134"/>
      <c r="L1551" s="134"/>
      <c r="M1551" s="134"/>
      <c r="N1551" s="134"/>
      <c r="O1551" s="134"/>
      <c r="P1551" s="134"/>
      <c r="Q1551" s="134"/>
      <c r="R1551" s="134"/>
      <c r="S1551" s="134"/>
      <c r="T1551" s="134"/>
      <c r="U1551" s="134"/>
      <c r="V1551" s="134"/>
      <c r="W1551" s="134"/>
      <c r="X1551" s="134"/>
      <c r="Y1551" s="134"/>
      <c r="Z1551" s="134"/>
      <c r="AA1551" s="134"/>
      <c r="AB1551" s="134"/>
      <c r="AC1551" s="134"/>
      <c r="AD1551" s="134"/>
      <c r="AE1551" s="134"/>
      <c r="AF1551" s="134"/>
      <c r="AG1551" s="134"/>
      <c r="AH1551" s="134"/>
      <c r="AI1551" s="134"/>
      <c r="AJ1551" s="134"/>
    </row>
    <row r="1552" spans="2:36">
      <c r="B1552" s="134"/>
      <c r="C1552" s="134"/>
      <c r="D1552" s="134"/>
      <c r="E1552" s="134"/>
      <c r="F1552" s="134"/>
      <c r="G1552" s="134"/>
      <c r="H1552" s="134"/>
      <c r="I1552" s="134"/>
      <c r="J1552" s="134"/>
      <c r="K1552" s="134"/>
      <c r="L1552" s="134"/>
      <c r="M1552" s="134"/>
      <c r="N1552" s="134"/>
      <c r="O1552" s="134"/>
      <c r="P1552" s="134"/>
      <c r="Q1552" s="134"/>
      <c r="R1552" s="134"/>
      <c r="S1552" s="134"/>
      <c r="T1552" s="134"/>
      <c r="U1552" s="134"/>
      <c r="V1552" s="134"/>
      <c r="W1552" s="134"/>
      <c r="X1552" s="134"/>
      <c r="Y1552" s="134"/>
      <c r="Z1552" s="134"/>
      <c r="AA1552" s="134"/>
      <c r="AB1552" s="134"/>
      <c r="AC1552" s="134"/>
      <c r="AD1552" s="134"/>
      <c r="AE1552" s="134"/>
      <c r="AF1552" s="134"/>
      <c r="AG1552" s="134"/>
      <c r="AH1552" s="134"/>
      <c r="AI1552" s="134"/>
      <c r="AJ1552" s="134"/>
    </row>
    <row r="1553" spans="2:36">
      <c r="B1553" s="134"/>
      <c r="C1553" s="134"/>
      <c r="D1553" s="134"/>
      <c r="E1553" s="134"/>
      <c r="F1553" s="134"/>
      <c r="G1553" s="134"/>
      <c r="H1553" s="134"/>
      <c r="I1553" s="134"/>
      <c r="J1553" s="134"/>
      <c r="K1553" s="134"/>
      <c r="L1553" s="134"/>
      <c r="M1553" s="134"/>
      <c r="N1553" s="134"/>
      <c r="O1553" s="134"/>
      <c r="P1553" s="134"/>
      <c r="Q1553" s="134"/>
      <c r="R1553" s="134"/>
      <c r="S1553" s="134"/>
      <c r="T1553" s="134"/>
      <c r="U1553" s="134"/>
      <c r="V1553" s="134"/>
      <c r="W1553" s="134"/>
      <c r="X1553" s="134"/>
      <c r="Y1553" s="134"/>
      <c r="Z1553" s="134"/>
      <c r="AA1553" s="134"/>
      <c r="AB1553" s="134"/>
      <c r="AC1553" s="134"/>
      <c r="AD1553" s="134"/>
      <c r="AE1553" s="134"/>
      <c r="AF1553" s="134"/>
      <c r="AG1553" s="134"/>
      <c r="AH1553" s="134"/>
      <c r="AI1553" s="134"/>
      <c r="AJ1553" s="134"/>
    </row>
    <row r="1554" spans="2:36">
      <c r="B1554" s="134"/>
      <c r="C1554" s="134"/>
      <c r="D1554" s="134"/>
      <c r="E1554" s="134"/>
      <c r="F1554" s="134"/>
      <c r="G1554" s="134"/>
      <c r="H1554" s="134"/>
      <c r="I1554" s="134"/>
      <c r="J1554" s="134"/>
      <c r="K1554" s="134"/>
      <c r="L1554" s="134"/>
      <c r="M1554" s="134"/>
      <c r="N1554" s="134"/>
      <c r="O1554" s="134"/>
      <c r="P1554" s="134"/>
      <c r="Q1554" s="134"/>
      <c r="R1554" s="134"/>
      <c r="S1554" s="134"/>
      <c r="T1554" s="134"/>
      <c r="U1554" s="134"/>
      <c r="V1554" s="134"/>
      <c r="W1554" s="134"/>
      <c r="X1554" s="134"/>
      <c r="Y1554" s="134"/>
      <c r="Z1554" s="134"/>
      <c r="AA1554" s="134"/>
      <c r="AB1554" s="134"/>
      <c r="AC1554" s="134"/>
      <c r="AD1554" s="134"/>
      <c r="AE1554" s="134"/>
      <c r="AF1554" s="134"/>
      <c r="AG1554" s="134"/>
      <c r="AH1554" s="134"/>
      <c r="AI1554" s="134"/>
      <c r="AJ1554" s="134"/>
    </row>
    <row r="1555" spans="2:36">
      <c r="B1555" s="134"/>
      <c r="C1555" s="134"/>
      <c r="D1555" s="134"/>
      <c r="E1555" s="134"/>
      <c r="F1555" s="134"/>
      <c r="G1555" s="134"/>
      <c r="H1555" s="134"/>
      <c r="I1555" s="134"/>
      <c r="J1555" s="134"/>
      <c r="K1555" s="134"/>
      <c r="L1555" s="134"/>
      <c r="M1555" s="134"/>
      <c r="N1555" s="134"/>
      <c r="O1555" s="134"/>
      <c r="P1555" s="134"/>
      <c r="Q1555" s="134"/>
      <c r="R1555" s="134"/>
      <c r="S1555" s="134"/>
      <c r="T1555" s="134"/>
      <c r="U1555" s="134"/>
      <c r="V1555" s="134"/>
      <c r="W1555" s="134"/>
      <c r="X1555" s="134"/>
      <c r="Y1555" s="134"/>
      <c r="Z1555" s="134"/>
      <c r="AA1555" s="134"/>
      <c r="AB1555" s="134"/>
      <c r="AC1555" s="134"/>
      <c r="AD1555" s="134"/>
      <c r="AE1555" s="134"/>
      <c r="AF1555" s="134"/>
      <c r="AG1555" s="134"/>
      <c r="AH1555" s="134"/>
      <c r="AI1555" s="134"/>
      <c r="AJ1555" s="134"/>
    </row>
    <row r="1556" spans="2:36">
      <c r="B1556" s="134"/>
      <c r="C1556" s="134"/>
      <c r="D1556" s="134"/>
      <c r="E1556" s="134"/>
      <c r="F1556" s="134"/>
      <c r="G1556" s="134"/>
      <c r="H1556" s="134"/>
      <c r="I1556" s="134"/>
      <c r="J1556" s="134"/>
      <c r="K1556" s="134"/>
      <c r="L1556" s="134"/>
      <c r="M1556" s="134"/>
      <c r="N1556" s="134"/>
      <c r="O1556" s="134"/>
      <c r="P1556" s="134"/>
      <c r="Q1556" s="134"/>
      <c r="R1556" s="134"/>
      <c r="S1556" s="134"/>
      <c r="T1556" s="134"/>
      <c r="U1556" s="134"/>
      <c r="V1556" s="134"/>
      <c r="W1556" s="134"/>
      <c r="X1556" s="134"/>
      <c r="Y1556" s="134"/>
      <c r="Z1556" s="134"/>
      <c r="AA1556" s="134"/>
      <c r="AB1556" s="134"/>
      <c r="AC1556" s="134"/>
      <c r="AD1556" s="134"/>
      <c r="AE1556" s="134"/>
      <c r="AF1556" s="134"/>
      <c r="AG1556" s="134"/>
      <c r="AH1556" s="134"/>
      <c r="AI1556" s="134"/>
      <c r="AJ1556" s="134"/>
    </row>
    <row r="1557" spans="2:36">
      <c r="B1557" s="134"/>
      <c r="C1557" s="134"/>
      <c r="D1557" s="134"/>
      <c r="E1557" s="134"/>
      <c r="F1557" s="134"/>
      <c r="G1557" s="134"/>
      <c r="H1557" s="134"/>
      <c r="I1557" s="134"/>
      <c r="J1557" s="134"/>
      <c r="K1557" s="134"/>
      <c r="L1557" s="134"/>
      <c r="M1557" s="134"/>
      <c r="N1557" s="134"/>
      <c r="O1557" s="134"/>
      <c r="P1557" s="134"/>
      <c r="Q1557" s="134"/>
      <c r="R1557" s="134"/>
      <c r="S1557" s="134"/>
      <c r="T1557" s="134"/>
      <c r="U1557" s="134"/>
      <c r="V1557" s="134"/>
      <c r="W1557" s="134"/>
      <c r="X1557" s="134"/>
      <c r="Y1557" s="134"/>
      <c r="Z1557" s="134"/>
      <c r="AA1557" s="134"/>
      <c r="AB1557" s="134"/>
      <c r="AC1557" s="134"/>
      <c r="AD1557" s="134"/>
      <c r="AE1557" s="134"/>
      <c r="AF1557" s="134"/>
      <c r="AG1557" s="134"/>
      <c r="AH1557" s="134"/>
      <c r="AI1557" s="134"/>
      <c r="AJ1557" s="134"/>
    </row>
    <row r="1558" spans="2:36">
      <c r="B1558" s="134"/>
      <c r="C1558" s="134"/>
      <c r="D1558" s="134"/>
      <c r="E1558" s="134"/>
      <c r="F1558" s="134"/>
      <c r="G1558" s="134"/>
      <c r="H1558" s="134"/>
      <c r="I1558" s="134"/>
      <c r="J1558" s="134"/>
      <c r="K1558" s="134"/>
      <c r="L1558" s="134"/>
      <c r="M1558" s="134"/>
      <c r="N1558" s="134"/>
      <c r="O1558" s="134"/>
      <c r="P1558" s="134"/>
      <c r="Q1558" s="134"/>
      <c r="R1558" s="134"/>
      <c r="S1558" s="134"/>
      <c r="T1558" s="134"/>
      <c r="U1558" s="134"/>
      <c r="V1558" s="134"/>
      <c r="W1558" s="134"/>
      <c r="X1558" s="134"/>
      <c r="Y1558" s="134"/>
      <c r="Z1558" s="134"/>
      <c r="AA1558" s="134"/>
      <c r="AB1558" s="134"/>
      <c r="AC1558" s="134"/>
      <c r="AD1558" s="134"/>
      <c r="AE1558" s="134"/>
      <c r="AF1558" s="134"/>
      <c r="AG1558" s="134"/>
      <c r="AH1558" s="134"/>
      <c r="AI1558" s="134"/>
      <c r="AJ1558" s="134"/>
    </row>
    <row r="1559" spans="2:36">
      <c r="B1559" s="134"/>
      <c r="C1559" s="134"/>
      <c r="D1559" s="134"/>
      <c r="E1559" s="134"/>
      <c r="F1559" s="134"/>
      <c r="G1559" s="134"/>
      <c r="H1559" s="134"/>
      <c r="I1559" s="134"/>
      <c r="J1559" s="134"/>
      <c r="K1559" s="134"/>
      <c r="L1559" s="134"/>
      <c r="M1559" s="134"/>
      <c r="N1559" s="134"/>
      <c r="O1559" s="134"/>
      <c r="P1559" s="134"/>
      <c r="Q1559" s="134"/>
      <c r="R1559" s="134"/>
      <c r="S1559" s="134"/>
      <c r="T1559" s="134"/>
      <c r="U1559" s="134"/>
      <c r="V1559" s="134"/>
      <c r="W1559" s="134"/>
      <c r="X1559" s="134"/>
      <c r="Y1559" s="134"/>
      <c r="Z1559" s="134"/>
      <c r="AA1559" s="134"/>
      <c r="AB1559" s="134"/>
      <c r="AC1559" s="134"/>
      <c r="AD1559" s="134"/>
      <c r="AE1559" s="134"/>
      <c r="AF1559" s="134"/>
      <c r="AG1559" s="134"/>
      <c r="AH1559" s="134"/>
      <c r="AI1559" s="134"/>
      <c r="AJ1559" s="134"/>
    </row>
    <row r="1560" spans="2:36">
      <c r="B1560" s="134"/>
      <c r="C1560" s="134"/>
      <c r="D1560" s="134"/>
      <c r="E1560" s="134"/>
      <c r="F1560" s="134"/>
      <c r="G1560" s="134"/>
      <c r="H1560" s="134"/>
      <c r="I1560" s="134"/>
      <c r="J1560" s="134"/>
      <c r="K1560" s="134"/>
      <c r="L1560" s="134"/>
      <c r="M1560" s="134"/>
      <c r="N1560" s="134"/>
      <c r="O1560" s="134"/>
      <c r="P1560" s="134"/>
      <c r="Q1560" s="134"/>
      <c r="R1560" s="134"/>
      <c r="S1560" s="134"/>
      <c r="T1560" s="134"/>
      <c r="U1560" s="134"/>
      <c r="V1560" s="134"/>
      <c r="W1560" s="134"/>
      <c r="X1560" s="134"/>
      <c r="Y1560" s="134"/>
      <c r="Z1560" s="134"/>
      <c r="AA1560" s="134"/>
      <c r="AB1560" s="134"/>
      <c r="AC1560" s="134"/>
      <c r="AD1560" s="134"/>
      <c r="AE1560" s="134"/>
      <c r="AF1560" s="134"/>
      <c r="AG1560" s="134"/>
      <c r="AH1560" s="134"/>
      <c r="AI1560" s="134"/>
      <c r="AJ1560" s="134"/>
    </row>
    <row r="1561" spans="2:36">
      <c r="B1561" s="134"/>
      <c r="C1561" s="134"/>
      <c r="D1561" s="134"/>
      <c r="E1561" s="134"/>
      <c r="F1561" s="134"/>
      <c r="G1561" s="134"/>
      <c r="H1561" s="134"/>
      <c r="I1561" s="134"/>
      <c r="J1561" s="134"/>
      <c r="K1561" s="134"/>
      <c r="L1561" s="134"/>
      <c r="M1561" s="134"/>
      <c r="N1561" s="134"/>
      <c r="O1561" s="134"/>
      <c r="P1561" s="134"/>
      <c r="Q1561" s="134"/>
      <c r="R1561" s="134"/>
      <c r="S1561" s="134"/>
      <c r="T1561" s="134"/>
      <c r="U1561" s="134"/>
      <c r="V1561" s="134"/>
      <c r="W1561" s="134"/>
      <c r="X1561" s="134"/>
      <c r="Y1561" s="134"/>
      <c r="Z1561" s="134"/>
      <c r="AA1561" s="134"/>
      <c r="AB1561" s="134"/>
      <c r="AC1561" s="134"/>
      <c r="AD1561" s="134"/>
      <c r="AE1561" s="134"/>
      <c r="AF1561" s="134"/>
      <c r="AG1561" s="134"/>
      <c r="AH1561" s="134"/>
      <c r="AI1561" s="134"/>
      <c r="AJ1561" s="134"/>
    </row>
    <row r="1562" spans="2:36">
      <c r="B1562" s="134"/>
      <c r="C1562" s="134"/>
      <c r="D1562" s="134"/>
      <c r="E1562" s="134"/>
      <c r="F1562" s="134"/>
      <c r="G1562" s="134"/>
      <c r="H1562" s="134"/>
      <c r="I1562" s="134"/>
      <c r="J1562" s="134"/>
      <c r="K1562" s="134"/>
      <c r="L1562" s="134"/>
      <c r="M1562" s="134"/>
      <c r="N1562" s="134"/>
      <c r="O1562" s="134"/>
      <c r="P1562" s="134"/>
      <c r="Q1562" s="134"/>
      <c r="R1562" s="134"/>
      <c r="S1562" s="134"/>
      <c r="T1562" s="134"/>
      <c r="U1562" s="134"/>
      <c r="V1562" s="134"/>
      <c r="W1562" s="134"/>
      <c r="X1562" s="134"/>
      <c r="Y1562" s="134"/>
      <c r="Z1562" s="134"/>
      <c r="AA1562" s="134"/>
      <c r="AB1562" s="134"/>
      <c r="AC1562" s="134"/>
      <c r="AD1562" s="134"/>
      <c r="AE1562" s="134"/>
      <c r="AF1562" s="134"/>
      <c r="AG1562" s="134"/>
      <c r="AH1562" s="134"/>
      <c r="AI1562" s="134"/>
      <c r="AJ1562" s="134"/>
    </row>
    <row r="1563" spans="2:36">
      <c r="B1563" s="134"/>
      <c r="C1563" s="134"/>
      <c r="D1563" s="134"/>
      <c r="E1563" s="134"/>
      <c r="F1563" s="134"/>
      <c r="G1563" s="134"/>
      <c r="H1563" s="134"/>
      <c r="I1563" s="134"/>
      <c r="J1563" s="134"/>
      <c r="K1563" s="134"/>
      <c r="L1563" s="134"/>
      <c r="M1563" s="134"/>
      <c r="N1563" s="134"/>
      <c r="O1563" s="134"/>
      <c r="P1563" s="134"/>
      <c r="Q1563" s="134"/>
      <c r="R1563" s="134"/>
      <c r="S1563" s="134"/>
      <c r="T1563" s="134"/>
      <c r="U1563" s="134"/>
      <c r="V1563" s="134"/>
      <c r="W1563" s="134"/>
      <c r="X1563" s="134"/>
      <c r="Y1563" s="134"/>
      <c r="Z1563" s="134"/>
      <c r="AA1563" s="134"/>
      <c r="AB1563" s="134"/>
      <c r="AC1563" s="134"/>
      <c r="AD1563" s="134"/>
      <c r="AE1563" s="134"/>
      <c r="AF1563" s="134"/>
      <c r="AG1563" s="134"/>
      <c r="AH1563" s="134"/>
      <c r="AI1563" s="134"/>
      <c r="AJ1563" s="134"/>
    </row>
    <row r="1564" spans="2:36">
      <c r="B1564" s="134"/>
      <c r="C1564" s="134"/>
      <c r="D1564" s="134"/>
      <c r="E1564" s="134"/>
      <c r="F1564" s="134"/>
      <c r="G1564" s="134"/>
      <c r="H1564" s="134"/>
      <c r="I1564" s="134"/>
      <c r="J1564" s="134"/>
      <c r="K1564" s="134"/>
      <c r="L1564" s="134"/>
      <c r="M1564" s="134"/>
      <c r="N1564" s="134"/>
      <c r="O1564" s="134"/>
      <c r="P1564" s="134"/>
      <c r="Q1564" s="134"/>
      <c r="R1564" s="134"/>
      <c r="S1564" s="134"/>
      <c r="T1564" s="134"/>
      <c r="U1564" s="134"/>
      <c r="V1564" s="134"/>
      <c r="W1564" s="134"/>
      <c r="X1564" s="134"/>
      <c r="Y1564" s="134"/>
      <c r="Z1564" s="134"/>
      <c r="AA1564" s="134"/>
      <c r="AB1564" s="134"/>
      <c r="AC1564" s="134"/>
      <c r="AD1564" s="134"/>
      <c r="AE1564" s="134"/>
      <c r="AF1564" s="134"/>
      <c r="AG1564" s="134"/>
      <c r="AH1564" s="134"/>
      <c r="AI1564" s="134"/>
      <c r="AJ1564" s="134"/>
    </row>
    <row r="1565" spans="2:36">
      <c r="B1565" s="134"/>
      <c r="C1565" s="134"/>
      <c r="D1565" s="134"/>
      <c r="E1565" s="134"/>
      <c r="F1565" s="134"/>
      <c r="G1565" s="134"/>
      <c r="H1565" s="134"/>
      <c r="I1565" s="134"/>
      <c r="J1565" s="134"/>
      <c r="K1565" s="134"/>
      <c r="L1565" s="134"/>
      <c r="M1565" s="134"/>
      <c r="N1565" s="134"/>
      <c r="O1565" s="134"/>
      <c r="P1565" s="134"/>
      <c r="Q1565" s="134"/>
      <c r="R1565" s="134"/>
      <c r="S1565" s="134"/>
      <c r="T1565" s="134"/>
      <c r="U1565" s="134"/>
      <c r="V1565" s="134"/>
      <c r="W1565" s="134"/>
      <c r="X1565" s="134"/>
      <c r="Y1565" s="134"/>
      <c r="Z1565" s="134"/>
      <c r="AA1565" s="134"/>
      <c r="AB1565" s="134"/>
      <c r="AC1565" s="134"/>
      <c r="AD1565" s="134"/>
      <c r="AE1565" s="134"/>
      <c r="AF1565" s="134"/>
      <c r="AG1565" s="134"/>
      <c r="AH1565" s="134"/>
      <c r="AI1565" s="134"/>
      <c r="AJ1565" s="134"/>
    </row>
    <row r="1566" spans="2:36">
      <c r="B1566" s="134"/>
      <c r="C1566" s="134"/>
      <c r="D1566" s="134"/>
      <c r="E1566" s="134"/>
      <c r="F1566" s="134"/>
      <c r="G1566" s="134"/>
      <c r="H1566" s="134"/>
      <c r="I1566" s="134"/>
      <c r="J1566" s="134"/>
      <c r="K1566" s="134"/>
      <c r="L1566" s="134"/>
      <c r="M1566" s="134"/>
      <c r="N1566" s="134"/>
      <c r="O1566" s="134"/>
      <c r="P1566" s="134"/>
      <c r="Q1566" s="134"/>
      <c r="R1566" s="134"/>
      <c r="S1566" s="134"/>
      <c r="T1566" s="134"/>
      <c r="U1566" s="134"/>
      <c r="V1566" s="134"/>
      <c r="W1566" s="134"/>
      <c r="X1566" s="134"/>
      <c r="Y1566" s="134"/>
      <c r="Z1566" s="134"/>
      <c r="AA1566" s="134"/>
      <c r="AB1566" s="134"/>
      <c r="AC1566" s="134"/>
      <c r="AD1566" s="134"/>
      <c r="AE1566" s="134"/>
      <c r="AF1566" s="134"/>
      <c r="AG1566" s="134"/>
      <c r="AH1566" s="134"/>
      <c r="AI1566" s="134"/>
      <c r="AJ1566" s="134"/>
    </row>
    <row r="1567" spans="2:36">
      <c r="B1567" s="134"/>
      <c r="C1567" s="134"/>
      <c r="D1567" s="134"/>
      <c r="E1567" s="134"/>
      <c r="F1567" s="134"/>
      <c r="G1567" s="134"/>
      <c r="H1567" s="134"/>
      <c r="I1567" s="134"/>
      <c r="J1567" s="134"/>
      <c r="K1567" s="134"/>
      <c r="L1567" s="134"/>
      <c r="M1567" s="134"/>
      <c r="N1567" s="134"/>
      <c r="O1567" s="134"/>
      <c r="P1567" s="134"/>
      <c r="Q1567" s="134"/>
      <c r="R1567" s="134"/>
      <c r="S1567" s="134"/>
      <c r="T1567" s="134"/>
      <c r="U1567" s="134"/>
      <c r="V1567" s="134"/>
      <c r="W1567" s="134"/>
      <c r="X1567" s="134"/>
      <c r="Y1567" s="134"/>
      <c r="Z1567" s="134"/>
      <c r="AA1567" s="134"/>
      <c r="AB1567" s="134"/>
      <c r="AC1567" s="134"/>
      <c r="AD1567" s="134"/>
      <c r="AE1567" s="134"/>
      <c r="AF1567" s="134"/>
      <c r="AG1567" s="134"/>
      <c r="AH1567" s="134"/>
      <c r="AI1567" s="134"/>
      <c r="AJ1567" s="134"/>
    </row>
    <row r="1568" spans="2:36">
      <c r="B1568" s="134"/>
      <c r="C1568" s="134"/>
      <c r="D1568" s="134"/>
      <c r="E1568" s="134"/>
      <c r="F1568" s="134"/>
      <c r="G1568" s="134"/>
      <c r="H1568" s="134"/>
      <c r="I1568" s="134"/>
      <c r="J1568" s="134"/>
      <c r="K1568" s="134"/>
      <c r="L1568" s="134"/>
      <c r="M1568" s="134"/>
      <c r="N1568" s="134"/>
      <c r="O1568" s="134"/>
      <c r="P1568" s="134"/>
      <c r="Q1568" s="134"/>
      <c r="R1568" s="134"/>
      <c r="S1568" s="134"/>
      <c r="T1568" s="134"/>
      <c r="U1568" s="134"/>
      <c r="V1568" s="134"/>
      <c r="W1568" s="134"/>
      <c r="X1568" s="134"/>
      <c r="Y1568" s="134"/>
      <c r="Z1568" s="134"/>
      <c r="AA1568" s="134"/>
      <c r="AB1568" s="134"/>
      <c r="AC1568" s="134"/>
      <c r="AD1568" s="134"/>
      <c r="AE1568" s="134"/>
      <c r="AF1568" s="134"/>
      <c r="AG1568" s="134"/>
      <c r="AH1568" s="134"/>
      <c r="AI1568" s="134"/>
      <c r="AJ1568" s="134"/>
    </row>
    <row r="1569" spans="2:36">
      <c r="B1569" s="134"/>
      <c r="C1569" s="134"/>
      <c r="D1569" s="134"/>
      <c r="E1569" s="134"/>
      <c r="F1569" s="134"/>
      <c r="G1569" s="134"/>
      <c r="H1569" s="134"/>
      <c r="I1569" s="134"/>
      <c r="J1569" s="134"/>
      <c r="K1569" s="134"/>
      <c r="L1569" s="134"/>
      <c r="M1569" s="134"/>
      <c r="N1569" s="134"/>
      <c r="O1569" s="134"/>
      <c r="P1569" s="134"/>
      <c r="Q1569" s="134"/>
      <c r="R1569" s="134"/>
      <c r="S1569" s="134"/>
      <c r="T1569" s="134"/>
      <c r="U1569" s="134"/>
      <c r="V1569" s="134"/>
      <c r="W1569" s="134"/>
      <c r="X1569" s="134"/>
      <c r="Y1569" s="134"/>
      <c r="Z1569" s="134"/>
      <c r="AA1569" s="134"/>
      <c r="AB1569" s="134"/>
      <c r="AC1569" s="134"/>
      <c r="AD1569" s="134"/>
      <c r="AE1569" s="134"/>
      <c r="AF1569" s="134"/>
      <c r="AG1569" s="134"/>
      <c r="AH1569" s="134"/>
      <c r="AI1569" s="134"/>
      <c r="AJ1569" s="134"/>
    </row>
    <row r="1570" spans="2:36">
      <c r="B1570" s="134"/>
      <c r="C1570" s="134"/>
      <c r="D1570" s="134"/>
      <c r="E1570" s="134"/>
      <c r="F1570" s="134"/>
      <c r="G1570" s="134"/>
      <c r="H1570" s="134"/>
      <c r="I1570" s="134"/>
      <c r="J1570" s="134"/>
      <c r="K1570" s="134"/>
      <c r="L1570" s="134"/>
      <c r="M1570" s="134"/>
      <c r="N1570" s="134"/>
      <c r="O1570" s="134"/>
      <c r="P1570" s="134"/>
      <c r="Q1570" s="134"/>
      <c r="R1570" s="134"/>
      <c r="S1570" s="134"/>
      <c r="T1570" s="134"/>
      <c r="U1570" s="134"/>
      <c r="V1570" s="134"/>
      <c r="W1570" s="134"/>
      <c r="X1570" s="134"/>
      <c r="Y1570" s="134"/>
      <c r="Z1570" s="134"/>
      <c r="AA1570" s="134"/>
      <c r="AB1570" s="134"/>
      <c r="AC1570" s="134"/>
      <c r="AD1570" s="134"/>
      <c r="AE1570" s="134"/>
      <c r="AF1570" s="134"/>
      <c r="AG1570" s="134"/>
      <c r="AH1570" s="134"/>
      <c r="AI1570" s="134"/>
      <c r="AJ1570" s="134"/>
    </row>
    <row r="1571" spans="2:36">
      <c r="B1571" s="134"/>
      <c r="C1571" s="134"/>
      <c r="D1571" s="134"/>
      <c r="E1571" s="134"/>
      <c r="F1571" s="134"/>
      <c r="G1571" s="134"/>
      <c r="H1571" s="134"/>
      <c r="I1571" s="134"/>
      <c r="J1571" s="134"/>
      <c r="K1571" s="134"/>
      <c r="L1571" s="134"/>
      <c r="M1571" s="134"/>
      <c r="N1571" s="134"/>
      <c r="O1571" s="134"/>
      <c r="P1571" s="134"/>
      <c r="Q1571" s="134"/>
      <c r="R1571" s="134"/>
      <c r="S1571" s="134"/>
      <c r="T1571" s="134"/>
      <c r="U1571" s="134"/>
      <c r="V1571" s="134"/>
      <c r="W1571" s="134"/>
      <c r="X1571" s="134"/>
      <c r="Y1571" s="134"/>
      <c r="Z1571" s="134"/>
      <c r="AA1571" s="134"/>
      <c r="AB1571" s="134"/>
      <c r="AC1571" s="134"/>
      <c r="AD1571" s="134"/>
      <c r="AE1571" s="134"/>
      <c r="AF1571" s="134"/>
      <c r="AG1571" s="134"/>
      <c r="AH1571" s="134"/>
      <c r="AI1571" s="134"/>
      <c r="AJ1571" s="134"/>
    </row>
    <row r="1572" spans="2:36">
      <c r="B1572" s="134"/>
      <c r="C1572" s="134"/>
      <c r="D1572" s="134"/>
      <c r="E1572" s="134"/>
      <c r="F1572" s="134"/>
      <c r="G1572" s="134"/>
      <c r="H1572" s="134"/>
      <c r="I1572" s="134"/>
      <c r="J1572" s="134"/>
      <c r="K1572" s="134"/>
      <c r="L1572" s="134"/>
      <c r="M1572" s="134"/>
      <c r="N1572" s="134"/>
      <c r="O1572" s="134"/>
      <c r="P1572" s="134"/>
      <c r="Q1572" s="134"/>
      <c r="R1572" s="134"/>
      <c r="S1572" s="134"/>
      <c r="T1572" s="134"/>
      <c r="U1572" s="134"/>
      <c r="V1572" s="134"/>
      <c r="W1572" s="134"/>
      <c r="X1572" s="134"/>
      <c r="Y1572" s="134"/>
      <c r="Z1572" s="134"/>
      <c r="AA1572" s="134"/>
      <c r="AB1572" s="134"/>
      <c r="AC1572" s="134"/>
      <c r="AD1572" s="134"/>
      <c r="AE1572" s="134"/>
      <c r="AF1572" s="134"/>
      <c r="AG1572" s="134"/>
      <c r="AH1572" s="134"/>
      <c r="AI1572" s="134"/>
      <c r="AJ1572" s="134"/>
    </row>
    <row r="1573" spans="2:36">
      <c r="B1573" s="134"/>
      <c r="C1573" s="134"/>
      <c r="D1573" s="134"/>
      <c r="E1573" s="134"/>
      <c r="F1573" s="134"/>
      <c r="G1573" s="134"/>
      <c r="H1573" s="134"/>
      <c r="I1573" s="134"/>
      <c r="J1573" s="134"/>
      <c r="K1573" s="134"/>
      <c r="L1573" s="134"/>
      <c r="M1573" s="134"/>
      <c r="N1573" s="134"/>
      <c r="O1573" s="134"/>
      <c r="P1573" s="134"/>
      <c r="Q1573" s="134"/>
      <c r="R1573" s="134"/>
      <c r="S1573" s="134"/>
      <c r="T1573" s="134"/>
      <c r="U1573" s="134"/>
      <c r="V1573" s="134"/>
      <c r="W1573" s="134"/>
      <c r="X1573" s="134"/>
      <c r="Y1573" s="134"/>
      <c r="Z1573" s="134"/>
      <c r="AA1573" s="134"/>
      <c r="AB1573" s="134"/>
      <c r="AC1573" s="134"/>
      <c r="AD1573" s="134"/>
      <c r="AE1573" s="134"/>
      <c r="AF1573" s="134"/>
      <c r="AG1573" s="134"/>
      <c r="AH1573" s="134"/>
      <c r="AI1573" s="134"/>
      <c r="AJ1573" s="134"/>
    </row>
    <row r="1574" spans="2:36">
      <c r="B1574" s="134"/>
      <c r="C1574" s="134"/>
      <c r="D1574" s="134"/>
      <c r="E1574" s="134"/>
      <c r="F1574" s="134"/>
      <c r="G1574" s="134"/>
      <c r="H1574" s="134"/>
      <c r="I1574" s="134"/>
      <c r="J1574" s="134"/>
      <c r="K1574" s="134"/>
      <c r="L1574" s="134"/>
      <c r="M1574" s="134"/>
      <c r="N1574" s="134"/>
      <c r="O1574" s="134"/>
      <c r="P1574" s="134"/>
      <c r="Q1574" s="134"/>
      <c r="R1574" s="134"/>
      <c r="S1574" s="134"/>
      <c r="T1574" s="134"/>
      <c r="U1574" s="134"/>
      <c r="V1574" s="134"/>
      <c r="W1574" s="134"/>
      <c r="X1574" s="134"/>
      <c r="Y1574" s="134"/>
      <c r="Z1574" s="134"/>
      <c r="AA1574" s="134"/>
      <c r="AB1574" s="134"/>
      <c r="AC1574" s="134"/>
      <c r="AD1574" s="134"/>
      <c r="AE1574" s="134"/>
      <c r="AF1574" s="134"/>
      <c r="AG1574" s="134"/>
      <c r="AH1574" s="134"/>
      <c r="AI1574" s="134"/>
      <c r="AJ1574" s="134"/>
    </row>
    <row r="1575" spans="2:36">
      <c r="B1575" s="134"/>
      <c r="C1575" s="134"/>
      <c r="D1575" s="134"/>
      <c r="E1575" s="134"/>
      <c r="F1575" s="134"/>
      <c r="G1575" s="134"/>
      <c r="H1575" s="134"/>
      <c r="I1575" s="134"/>
      <c r="J1575" s="134"/>
      <c r="K1575" s="134"/>
      <c r="L1575" s="134"/>
      <c r="M1575" s="134"/>
      <c r="N1575" s="134"/>
      <c r="O1575" s="134"/>
      <c r="P1575" s="134"/>
      <c r="Q1575" s="134"/>
      <c r="R1575" s="134"/>
      <c r="S1575" s="134"/>
      <c r="T1575" s="134"/>
      <c r="U1575" s="134"/>
      <c r="V1575" s="134"/>
      <c r="W1575" s="134"/>
      <c r="X1575" s="134"/>
      <c r="Y1575" s="134"/>
      <c r="Z1575" s="134"/>
      <c r="AA1575" s="134"/>
      <c r="AB1575" s="134"/>
      <c r="AC1575" s="134"/>
      <c r="AD1575" s="134"/>
      <c r="AE1575" s="134"/>
      <c r="AF1575" s="134"/>
      <c r="AG1575" s="134"/>
      <c r="AH1575" s="134"/>
      <c r="AI1575" s="134"/>
      <c r="AJ1575" s="134"/>
    </row>
    <row r="1576" spans="2:36">
      <c r="B1576" s="134"/>
      <c r="C1576" s="134"/>
      <c r="D1576" s="134"/>
      <c r="E1576" s="134"/>
      <c r="F1576" s="134"/>
      <c r="G1576" s="134"/>
      <c r="H1576" s="134"/>
      <c r="I1576" s="134"/>
      <c r="J1576" s="134"/>
      <c r="K1576" s="134"/>
      <c r="L1576" s="134"/>
      <c r="M1576" s="134"/>
      <c r="N1576" s="134"/>
      <c r="O1576" s="134"/>
      <c r="P1576" s="134"/>
      <c r="Q1576" s="134"/>
      <c r="R1576" s="134"/>
      <c r="S1576" s="134"/>
      <c r="T1576" s="134"/>
      <c r="U1576" s="134"/>
      <c r="V1576" s="134"/>
      <c r="W1576" s="134"/>
      <c r="X1576" s="134"/>
      <c r="Y1576" s="134"/>
      <c r="Z1576" s="134"/>
      <c r="AA1576" s="134"/>
      <c r="AB1576" s="134"/>
      <c r="AC1576" s="134"/>
      <c r="AD1576" s="134"/>
      <c r="AE1576" s="134"/>
      <c r="AF1576" s="134"/>
      <c r="AG1576" s="134"/>
      <c r="AH1576" s="134"/>
      <c r="AI1576" s="134"/>
      <c r="AJ1576" s="134"/>
    </row>
    <row r="1577" spans="2:36">
      <c r="B1577" s="134"/>
      <c r="C1577" s="134"/>
      <c r="D1577" s="134"/>
      <c r="E1577" s="134"/>
      <c r="F1577" s="134"/>
      <c r="G1577" s="134"/>
      <c r="H1577" s="134"/>
      <c r="I1577" s="134"/>
      <c r="J1577" s="134"/>
      <c r="K1577" s="134"/>
      <c r="L1577" s="134"/>
      <c r="M1577" s="134"/>
      <c r="N1577" s="134"/>
      <c r="O1577" s="134"/>
      <c r="P1577" s="134"/>
      <c r="Q1577" s="134"/>
      <c r="R1577" s="134"/>
      <c r="S1577" s="134"/>
      <c r="T1577" s="134"/>
      <c r="U1577" s="134"/>
      <c r="V1577" s="134"/>
      <c r="W1577" s="134"/>
      <c r="X1577" s="134"/>
      <c r="Y1577" s="134"/>
      <c r="Z1577" s="134"/>
      <c r="AA1577" s="134"/>
      <c r="AB1577" s="134"/>
      <c r="AC1577" s="134"/>
      <c r="AD1577" s="134"/>
      <c r="AE1577" s="134"/>
      <c r="AF1577" s="134"/>
      <c r="AG1577" s="134"/>
      <c r="AH1577" s="134"/>
      <c r="AI1577" s="134"/>
      <c r="AJ1577" s="134"/>
    </row>
    <row r="1578" spans="2:36">
      <c r="B1578" s="134"/>
      <c r="C1578" s="134"/>
      <c r="D1578" s="134"/>
      <c r="E1578" s="134"/>
      <c r="F1578" s="134"/>
      <c r="G1578" s="134"/>
      <c r="H1578" s="134"/>
      <c r="I1578" s="134"/>
      <c r="J1578" s="134"/>
      <c r="K1578" s="134"/>
      <c r="L1578" s="134"/>
      <c r="M1578" s="134"/>
      <c r="N1578" s="134"/>
      <c r="O1578" s="134"/>
      <c r="P1578" s="134"/>
      <c r="Q1578" s="134"/>
      <c r="R1578" s="134"/>
      <c r="S1578" s="134"/>
      <c r="T1578" s="134"/>
      <c r="U1578" s="134"/>
      <c r="V1578" s="134"/>
      <c r="W1578" s="134"/>
      <c r="X1578" s="134"/>
      <c r="Y1578" s="134"/>
      <c r="Z1578" s="134"/>
      <c r="AA1578" s="134"/>
      <c r="AB1578" s="134"/>
      <c r="AC1578" s="134"/>
      <c r="AD1578" s="134"/>
      <c r="AE1578" s="134"/>
      <c r="AF1578" s="134"/>
      <c r="AG1578" s="134"/>
      <c r="AH1578" s="134"/>
      <c r="AI1578" s="134"/>
      <c r="AJ1578" s="134"/>
    </row>
    <row r="1579" spans="2:36">
      <c r="B1579" s="134"/>
      <c r="C1579" s="134"/>
      <c r="D1579" s="134"/>
      <c r="E1579" s="134"/>
      <c r="F1579" s="134"/>
      <c r="G1579" s="134"/>
      <c r="H1579" s="134"/>
      <c r="I1579" s="134"/>
      <c r="J1579" s="134"/>
      <c r="K1579" s="134"/>
      <c r="L1579" s="134"/>
      <c r="M1579" s="134"/>
      <c r="N1579" s="134"/>
      <c r="O1579" s="134"/>
      <c r="P1579" s="134"/>
      <c r="Q1579" s="134"/>
      <c r="R1579" s="134"/>
      <c r="S1579" s="134"/>
      <c r="T1579" s="134"/>
      <c r="U1579" s="134"/>
      <c r="V1579" s="134"/>
      <c r="W1579" s="134"/>
      <c r="X1579" s="134"/>
      <c r="Y1579" s="134"/>
      <c r="Z1579" s="134"/>
      <c r="AA1579" s="134"/>
      <c r="AB1579" s="134"/>
      <c r="AC1579" s="134"/>
      <c r="AD1579" s="134"/>
      <c r="AE1579" s="134"/>
      <c r="AF1579" s="134"/>
      <c r="AG1579" s="134"/>
      <c r="AH1579" s="134"/>
      <c r="AI1579" s="134"/>
      <c r="AJ1579" s="134"/>
    </row>
    <row r="1580" spans="2:36">
      <c r="B1580" s="134"/>
      <c r="C1580" s="134"/>
      <c r="D1580" s="134"/>
      <c r="E1580" s="134"/>
      <c r="F1580" s="134"/>
      <c r="G1580" s="134"/>
      <c r="H1580" s="134"/>
      <c r="I1580" s="134"/>
      <c r="J1580" s="134"/>
      <c r="K1580" s="134"/>
      <c r="L1580" s="134"/>
      <c r="M1580" s="134"/>
      <c r="N1580" s="134"/>
      <c r="O1580" s="134"/>
      <c r="P1580" s="134"/>
      <c r="Q1580" s="134"/>
      <c r="R1580" s="134"/>
      <c r="S1580" s="134"/>
      <c r="T1580" s="134"/>
      <c r="U1580" s="134"/>
      <c r="V1580" s="134"/>
      <c r="W1580" s="134"/>
      <c r="X1580" s="134"/>
      <c r="Y1580" s="134"/>
      <c r="Z1580" s="134"/>
      <c r="AA1580" s="134"/>
      <c r="AB1580" s="134"/>
      <c r="AC1580" s="134"/>
      <c r="AD1580" s="134"/>
      <c r="AE1580" s="134"/>
      <c r="AF1580" s="134"/>
      <c r="AG1580" s="134"/>
      <c r="AH1580" s="134"/>
      <c r="AI1580" s="134"/>
      <c r="AJ1580" s="134"/>
    </row>
    <row r="1581" spans="2:36">
      <c r="B1581" s="134"/>
      <c r="C1581" s="134"/>
      <c r="D1581" s="134"/>
      <c r="E1581" s="134"/>
      <c r="F1581" s="134"/>
      <c r="G1581" s="134"/>
      <c r="H1581" s="134"/>
      <c r="I1581" s="134"/>
      <c r="J1581" s="134"/>
      <c r="K1581" s="134"/>
      <c r="L1581" s="134"/>
      <c r="M1581" s="134"/>
      <c r="N1581" s="134"/>
      <c r="O1581" s="134"/>
      <c r="P1581" s="134"/>
      <c r="Q1581" s="134"/>
      <c r="R1581" s="134"/>
      <c r="S1581" s="134"/>
      <c r="T1581" s="134"/>
      <c r="U1581" s="134"/>
      <c r="V1581" s="134"/>
      <c r="W1581" s="134"/>
      <c r="X1581" s="134"/>
      <c r="Y1581" s="134"/>
      <c r="Z1581" s="134"/>
      <c r="AA1581" s="134"/>
      <c r="AB1581" s="134"/>
      <c r="AC1581" s="134"/>
      <c r="AD1581" s="134"/>
      <c r="AE1581" s="134"/>
      <c r="AF1581" s="134"/>
      <c r="AG1581" s="134"/>
      <c r="AH1581" s="134"/>
      <c r="AI1581" s="134"/>
      <c r="AJ1581" s="134"/>
    </row>
    <row r="1582" spans="2:36">
      <c r="B1582" s="134"/>
      <c r="C1582" s="134"/>
      <c r="D1582" s="134"/>
      <c r="E1582" s="134"/>
      <c r="F1582" s="134"/>
      <c r="G1582" s="134"/>
      <c r="H1582" s="134"/>
      <c r="I1582" s="134"/>
      <c r="J1582" s="134"/>
      <c r="K1582" s="134"/>
      <c r="L1582" s="134"/>
      <c r="M1582" s="134"/>
      <c r="N1582" s="134"/>
      <c r="O1582" s="134"/>
      <c r="P1582" s="134"/>
      <c r="Q1582" s="134"/>
      <c r="R1582" s="134"/>
      <c r="S1582" s="134"/>
      <c r="T1582" s="134"/>
      <c r="U1582" s="134"/>
      <c r="V1582" s="134"/>
      <c r="W1582" s="134"/>
      <c r="X1582" s="134"/>
      <c r="Y1582" s="134"/>
      <c r="Z1582" s="134"/>
      <c r="AA1582" s="134"/>
      <c r="AB1582" s="134"/>
      <c r="AC1582" s="134"/>
      <c r="AD1582" s="134"/>
      <c r="AE1582" s="134"/>
      <c r="AF1582" s="134"/>
      <c r="AG1582" s="134"/>
      <c r="AH1582" s="134"/>
      <c r="AI1582" s="134"/>
      <c r="AJ1582" s="134"/>
    </row>
    <row r="1583" spans="2:36">
      <c r="B1583" s="134"/>
      <c r="C1583" s="134"/>
      <c r="D1583" s="134"/>
      <c r="E1583" s="134"/>
      <c r="F1583" s="134"/>
      <c r="G1583" s="134"/>
      <c r="H1583" s="134"/>
      <c r="I1583" s="134"/>
      <c r="J1583" s="134"/>
      <c r="K1583" s="134"/>
      <c r="L1583" s="134"/>
      <c r="M1583" s="134"/>
      <c r="N1583" s="134"/>
      <c r="O1583" s="134"/>
      <c r="P1583" s="134"/>
      <c r="Q1583" s="134"/>
      <c r="R1583" s="134"/>
      <c r="S1583" s="134"/>
      <c r="T1583" s="134"/>
      <c r="U1583" s="134"/>
      <c r="V1583" s="134"/>
      <c r="W1583" s="134"/>
      <c r="X1583" s="134"/>
      <c r="Y1583" s="134"/>
      <c r="Z1583" s="134"/>
      <c r="AA1583" s="134"/>
      <c r="AB1583" s="134"/>
      <c r="AC1583" s="134"/>
      <c r="AD1583" s="134"/>
      <c r="AE1583" s="134"/>
      <c r="AF1583" s="134"/>
      <c r="AG1583" s="134"/>
      <c r="AH1583" s="134"/>
      <c r="AI1583" s="134"/>
      <c r="AJ1583" s="134"/>
    </row>
    <row r="1584" spans="2:36">
      <c r="B1584" s="134"/>
      <c r="C1584" s="134"/>
      <c r="D1584" s="134"/>
      <c r="E1584" s="134"/>
      <c r="F1584" s="134"/>
      <c r="G1584" s="134"/>
      <c r="H1584" s="134"/>
      <c r="I1584" s="134"/>
      <c r="J1584" s="134"/>
      <c r="K1584" s="134"/>
      <c r="L1584" s="134"/>
      <c r="M1584" s="134"/>
      <c r="N1584" s="134"/>
      <c r="O1584" s="134"/>
      <c r="P1584" s="134"/>
      <c r="Q1584" s="134"/>
      <c r="R1584" s="134"/>
      <c r="S1584" s="134"/>
      <c r="T1584" s="134"/>
      <c r="U1584" s="134"/>
      <c r="V1584" s="134"/>
      <c r="W1584" s="134"/>
      <c r="X1584" s="134"/>
      <c r="Y1584" s="134"/>
      <c r="Z1584" s="134"/>
      <c r="AA1584" s="134"/>
      <c r="AB1584" s="134"/>
      <c r="AC1584" s="134"/>
      <c r="AD1584" s="134"/>
      <c r="AE1584" s="134"/>
      <c r="AF1584" s="134"/>
      <c r="AG1584" s="134"/>
      <c r="AH1584" s="134"/>
      <c r="AI1584" s="134"/>
      <c r="AJ1584" s="134"/>
    </row>
    <row r="1585" spans="2:36">
      <c r="B1585" s="134"/>
      <c r="C1585" s="134"/>
      <c r="D1585" s="134"/>
      <c r="E1585" s="134"/>
      <c r="F1585" s="134"/>
      <c r="G1585" s="134"/>
      <c r="H1585" s="134"/>
      <c r="I1585" s="134"/>
      <c r="J1585" s="134"/>
      <c r="K1585" s="134"/>
      <c r="L1585" s="134"/>
      <c r="M1585" s="134"/>
      <c r="N1585" s="134"/>
      <c r="O1585" s="134"/>
      <c r="P1585" s="134"/>
      <c r="Q1585" s="134"/>
      <c r="R1585" s="134"/>
      <c r="S1585" s="134"/>
      <c r="T1585" s="134"/>
      <c r="U1585" s="134"/>
      <c r="V1585" s="134"/>
      <c r="W1585" s="134"/>
      <c r="X1585" s="134"/>
      <c r="Y1585" s="134"/>
      <c r="Z1585" s="134"/>
      <c r="AA1585" s="134"/>
      <c r="AB1585" s="134"/>
      <c r="AC1585" s="134"/>
      <c r="AD1585" s="134"/>
      <c r="AE1585" s="134"/>
      <c r="AF1585" s="134"/>
      <c r="AG1585" s="134"/>
      <c r="AH1585" s="134"/>
      <c r="AI1585" s="134"/>
      <c r="AJ1585" s="134"/>
    </row>
    <row r="1586" spans="2:36">
      <c r="B1586" s="134"/>
      <c r="C1586" s="134"/>
      <c r="D1586" s="134"/>
      <c r="E1586" s="134"/>
      <c r="F1586" s="134"/>
      <c r="G1586" s="134"/>
      <c r="H1586" s="134"/>
      <c r="I1586" s="134"/>
      <c r="J1586" s="134"/>
      <c r="K1586" s="134"/>
      <c r="L1586" s="134"/>
      <c r="M1586" s="134"/>
      <c r="N1586" s="134"/>
      <c r="O1586" s="134"/>
      <c r="P1586" s="134"/>
      <c r="Q1586" s="134"/>
      <c r="R1586" s="134"/>
      <c r="S1586" s="134"/>
      <c r="T1586" s="134"/>
      <c r="U1586" s="134"/>
      <c r="V1586" s="134"/>
      <c r="W1586" s="134"/>
      <c r="X1586" s="134"/>
      <c r="Y1586" s="134"/>
      <c r="Z1586" s="134"/>
      <c r="AA1586" s="134"/>
      <c r="AB1586" s="134"/>
      <c r="AC1586" s="134"/>
      <c r="AD1586" s="134"/>
      <c r="AE1586" s="134"/>
      <c r="AF1586" s="134"/>
      <c r="AG1586" s="134"/>
      <c r="AH1586" s="134"/>
      <c r="AI1586" s="134"/>
      <c r="AJ1586" s="134"/>
    </row>
    <row r="1587" spans="2:36">
      <c r="B1587" s="134"/>
      <c r="C1587" s="134"/>
      <c r="D1587" s="134"/>
      <c r="E1587" s="134"/>
      <c r="F1587" s="134"/>
      <c r="G1587" s="134"/>
      <c r="H1587" s="134"/>
      <c r="I1587" s="134"/>
      <c r="J1587" s="134"/>
      <c r="K1587" s="134"/>
      <c r="L1587" s="134"/>
      <c r="M1587" s="134"/>
      <c r="N1587" s="134"/>
      <c r="O1587" s="134"/>
      <c r="P1587" s="134"/>
      <c r="Q1587" s="134"/>
      <c r="R1587" s="134"/>
      <c r="S1587" s="134"/>
      <c r="T1587" s="134"/>
      <c r="U1587" s="134"/>
      <c r="V1587" s="134"/>
      <c r="W1587" s="134"/>
      <c r="X1587" s="134"/>
      <c r="Y1587" s="134"/>
      <c r="Z1587" s="134"/>
      <c r="AA1587" s="134"/>
      <c r="AB1587" s="134"/>
      <c r="AC1587" s="134"/>
      <c r="AD1587" s="134"/>
      <c r="AE1587" s="134"/>
      <c r="AF1587" s="134"/>
      <c r="AG1587" s="134"/>
      <c r="AH1587" s="134"/>
      <c r="AI1587" s="134"/>
      <c r="AJ1587" s="134"/>
    </row>
    <row r="1588" spans="2:36">
      <c r="B1588" s="134"/>
      <c r="C1588" s="134"/>
      <c r="D1588" s="134"/>
      <c r="E1588" s="134"/>
      <c r="F1588" s="134"/>
      <c r="G1588" s="134"/>
      <c r="H1588" s="134"/>
      <c r="I1588" s="134"/>
      <c r="J1588" s="134"/>
      <c r="K1588" s="134"/>
      <c r="L1588" s="134"/>
      <c r="M1588" s="134"/>
      <c r="N1588" s="134"/>
      <c r="O1588" s="134"/>
      <c r="P1588" s="134"/>
      <c r="Q1588" s="134"/>
      <c r="R1588" s="134"/>
      <c r="S1588" s="134"/>
      <c r="T1588" s="134"/>
      <c r="U1588" s="134"/>
      <c r="V1588" s="134"/>
      <c r="W1588" s="134"/>
      <c r="X1588" s="134"/>
      <c r="Y1588" s="134"/>
      <c r="Z1588" s="134"/>
      <c r="AA1588" s="134"/>
      <c r="AB1588" s="134"/>
      <c r="AC1588" s="134"/>
      <c r="AD1588" s="134"/>
      <c r="AE1588" s="134"/>
      <c r="AF1588" s="134"/>
      <c r="AG1588" s="134"/>
      <c r="AH1588" s="134"/>
      <c r="AI1588" s="134"/>
      <c r="AJ1588" s="134"/>
    </row>
    <row r="1589" spans="2:36">
      <c r="B1589" s="134"/>
      <c r="C1589" s="134"/>
      <c r="D1589" s="134"/>
      <c r="E1589" s="134"/>
      <c r="F1589" s="134"/>
      <c r="G1589" s="134"/>
      <c r="H1589" s="134"/>
      <c r="I1589" s="134"/>
      <c r="J1589" s="134"/>
      <c r="K1589" s="134"/>
      <c r="L1589" s="134"/>
      <c r="M1589" s="134"/>
      <c r="N1589" s="134"/>
      <c r="O1589" s="134"/>
      <c r="P1589" s="134"/>
      <c r="Q1589" s="134"/>
      <c r="R1589" s="134"/>
      <c r="S1589" s="134"/>
      <c r="T1589" s="134"/>
      <c r="U1589" s="134"/>
      <c r="V1589" s="134"/>
      <c r="W1589" s="134"/>
      <c r="X1589" s="134"/>
      <c r="Y1589" s="134"/>
      <c r="Z1589" s="134"/>
      <c r="AA1589" s="134"/>
      <c r="AB1589" s="134"/>
      <c r="AC1589" s="134"/>
      <c r="AD1589" s="134"/>
      <c r="AE1589" s="134"/>
      <c r="AF1589" s="134"/>
      <c r="AG1589" s="134"/>
      <c r="AH1589" s="134"/>
      <c r="AI1589" s="134"/>
      <c r="AJ1589" s="134"/>
    </row>
    <row r="1590" spans="2:36">
      <c r="B1590" s="134"/>
      <c r="C1590" s="134"/>
      <c r="D1590" s="134"/>
      <c r="E1590" s="134"/>
      <c r="F1590" s="134"/>
      <c r="G1590" s="134"/>
      <c r="H1590" s="134"/>
      <c r="I1590" s="134"/>
      <c r="J1590" s="134"/>
      <c r="K1590" s="134"/>
      <c r="L1590" s="134"/>
      <c r="M1590" s="134"/>
      <c r="N1590" s="134"/>
      <c r="O1590" s="134"/>
      <c r="P1590" s="134"/>
      <c r="Q1590" s="134"/>
      <c r="R1590" s="134"/>
      <c r="S1590" s="134"/>
      <c r="T1590" s="134"/>
      <c r="U1590" s="134"/>
      <c r="V1590" s="134"/>
      <c r="W1590" s="134"/>
      <c r="X1590" s="134"/>
      <c r="Y1590" s="134"/>
      <c r="Z1590" s="134"/>
      <c r="AA1590" s="134"/>
      <c r="AB1590" s="134"/>
      <c r="AC1590" s="134"/>
      <c r="AD1590" s="134"/>
      <c r="AE1590" s="134"/>
      <c r="AF1590" s="134"/>
      <c r="AG1590" s="134"/>
      <c r="AH1590" s="134"/>
      <c r="AI1590" s="134"/>
      <c r="AJ1590" s="134"/>
    </row>
    <row r="1591" spans="2:36">
      <c r="B1591" s="134"/>
      <c r="C1591" s="134"/>
      <c r="D1591" s="134"/>
      <c r="E1591" s="134"/>
      <c r="F1591" s="134"/>
      <c r="G1591" s="134"/>
      <c r="H1591" s="134"/>
      <c r="I1591" s="134"/>
      <c r="J1591" s="134"/>
      <c r="K1591" s="134"/>
      <c r="L1591" s="134"/>
      <c r="M1591" s="134"/>
      <c r="N1591" s="134"/>
      <c r="O1591" s="134"/>
      <c r="P1591" s="134"/>
      <c r="Q1591" s="134"/>
      <c r="R1591" s="134"/>
      <c r="S1591" s="134"/>
      <c r="T1591" s="134"/>
      <c r="U1591" s="134"/>
      <c r="V1591" s="134"/>
      <c r="W1591" s="134"/>
      <c r="X1591" s="134"/>
      <c r="Y1591" s="134"/>
      <c r="Z1591" s="134"/>
      <c r="AA1591" s="134"/>
      <c r="AB1591" s="134"/>
      <c r="AC1591" s="134"/>
      <c r="AD1591" s="134"/>
      <c r="AE1591" s="134"/>
      <c r="AF1591" s="134"/>
      <c r="AG1591" s="134"/>
      <c r="AH1591" s="134"/>
      <c r="AI1591" s="134"/>
      <c r="AJ1591" s="134"/>
    </row>
    <row r="1592" spans="2:36">
      <c r="B1592" s="134"/>
      <c r="C1592" s="134"/>
      <c r="D1592" s="134"/>
      <c r="E1592" s="134"/>
      <c r="F1592" s="134"/>
      <c r="G1592" s="134"/>
      <c r="H1592" s="134"/>
      <c r="I1592" s="134"/>
      <c r="J1592" s="134"/>
      <c r="K1592" s="134"/>
      <c r="L1592" s="134"/>
      <c r="M1592" s="134"/>
      <c r="N1592" s="134"/>
      <c r="O1592" s="134"/>
      <c r="P1592" s="134"/>
      <c r="Q1592" s="134"/>
      <c r="R1592" s="134"/>
      <c r="S1592" s="134"/>
      <c r="T1592" s="134"/>
      <c r="U1592" s="134"/>
      <c r="V1592" s="134"/>
      <c r="W1592" s="134"/>
      <c r="X1592" s="134"/>
      <c r="Y1592" s="134"/>
      <c r="Z1592" s="134"/>
      <c r="AA1592" s="134"/>
      <c r="AB1592" s="134"/>
      <c r="AC1592" s="134"/>
      <c r="AD1592" s="134"/>
      <c r="AE1592" s="134"/>
      <c r="AF1592" s="134"/>
      <c r="AG1592" s="134"/>
      <c r="AH1592" s="134"/>
      <c r="AI1592" s="134"/>
      <c r="AJ1592" s="134"/>
    </row>
    <row r="1593" spans="2:36">
      <c r="B1593" s="134"/>
      <c r="C1593" s="134"/>
      <c r="D1593" s="134"/>
      <c r="E1593" s="134"/>
      <c r="F1593" s="134"/>
      <c r="G1593" s="134"/>
      <c r="H1593" s="134"/>
      <c r="I1593" s="134"/>
      <c r="J1593" s="134"/>
      <c r="K1593" s="134"/>
      <c r="L1593" s="134"/>
      <c r="M1593" s="134"/>
      <c r="N1593" s="134"/>
      <c r="O1593" s="134"/>
      <c r="P1593" s="134"/>
      <c r="Q1593" s="134"/>
      <c r="R1593" s="134"/>
      <c r="S1593" s="134"/>
      <c r="T1593" s="134"/>
      <c r="U1593" s="134"/>
      <c r="V1593" s="134"/>
      <c r="W1593" s="134"/>
      <c r="X1593" s="134"/>
      <c r="Y1593" s="134"/>
      <c r="Z1593" s="134"/>
      <c r="AA1593" s="134"/>
      <c r="AB1593" s="134"/>
      <c r="AC1593" s="134"/>
      <c r="AD1593" s="134"/>
      <c r="AE1593" s="134"/>
      <c r="AF1593" s="134"/>
      <c r="AG1593" s="134"/>
      <c r="AH1593" s="134"/>
      <c r="AI1593" s="134"/>
      <c r="AJ1593" s="134"/>
    </row>
    <row r="1594" spans="2:36">
      <c r="B1594" s="134"/>
      <c r="C1594" s="134"/>
      <c r="D1594" s="134"/>
      <c r="E1594" s="134"/>
      <c r="F1594" s="134"/>
      <c r="G1594" s="134"/>
      <c r="H1594" s="134"/>
      <c r="I1594" s="134"/>
      <c r="J1594" s="134"/>
      <c r="K1594" s="134"/>
      <c r="L1594" s="134"/>
      <c r="M1594" s="134"/>
      <c r="N1594" s="134"/>
      <c r="O1594" s="134"/>
      <c r="P1594" s="134"/>
      <c r="Q1594" s="134"/>
      <c r="R1594" s="134"/>
      <c r="S1594" s="134"/>
      <c r="T1594" s="134"/>
      <c r="U1594" s="134"/>
      <c r="V1594" s="134"/>
      <c r="W1594" s="134"/>
      <c r="X1594" s="134"/>
      <c r="Y1594" s="134"/>
      <c r="Z1594" s="134"/>
      <c r="AA1594" s="134"/>
      <c r="AB1594" s="134"/>
      <c r="AC1594" s="134"/>
      <c r="AD1594" s="134"/>
      <c r="AE1594" s="134"/>
      <c r="AF1594" s="134"/>
      <c r="AG1594" s="134"/>
      <c r="AH1594" s="134"/>
      <c r="AI1594" s="134"/>
      <c r="AJ1594" s="134"/>
    </row>
    <row r="1595" spans="2:36">
      <c r="B1595" s="134"/>
      <c r="C1595" s="134"/>
      <c r="D1595" s="134"/>
      <c r="E1595" s="134"/>
      <c r="F1595" s="134"/>
      <c r="G1595" s="134"/>
      <c r="H1595" s="134"/>
      <c r="I1595" s="134"/>
      <c r="J1595" s="134"/>
      <c r="K1595" s="134"/>
      <c r="L1595" s="134"/>
      <c r="M1595" s="134"/>
      <c r="N1595" s="134"/>
      <c r="O1595" s="134"/>
      <c r="P1595" s="134"/>
      <c r="Q1595" s="134"/>
      <c r="R1595" s="134"/>
      <c r="S1595" s="134"/>
      <c r="T1595" s="134"/>
      <c r="U1595" s="134"/>
      <c r="V1595" s="134"/>
      <c r="W1595" s="134"/>
      <c r="X1595" s="134"/>
      <c r="Y1595" s="134"/>
      <c r="Z1595" s="134"/>
      <c r="AA1595" s="134"/>
      <c r="AB1595" s="134"/>
      <c r="AC1595" s="134"/>
      <c r="AD1595" s="134"/>
      <c r="AE1595" s="134"/>
      <c r="AF1595" s="134"/>
      <c r="AG1595" s="134"/>
      <c r="AH1595" s="134"/>
      <c r="AI1595" s="134"/>
      <c r="AJ1595" s="134"/>
    </row>
    <row r="1596" spans="2:36">
      <c r="B1596" s="134"/>
      <c r="C1596" s="134"/>
      <c r="D1596" s="134"/>
      <c r="E1596" s="134"/>
      <c r="F1596" s="134"/>
      <c r="G1596" s="134"/>
      <c r="H1596" s="134"/>
      <c r="I1596" s="134"/>
      <c r="J1596" s="134"/>
      <c r="K1596" s="134"/>
      <c r="L1596" s="134"/>
      <c r="M1596" s="134"/>
      <c r="N1596" s="134"/>
      <c r="O1596" s="134"/>
      <c r="P1596" s="134"/>
      <c r="Q1596" s="134"/>
      <c r="R1596" s="134"/>
      <c r="S1596" s="134"/>
      <c r="T1596" s="134"/>
      <c r="U1596" s="134"/>
      <c r="V1596" s="134"/>
      <c r="W1596" s="134"/>
      <c r="X1596" s="134"/>
      <c r="Y1596" s="134"/>
      <c r="Z1596" s="134"/>
      <c r="AA1596" s="134"/>
      <c r="AB1596" s="134"/>
      <c r="AC1596" s="134"/>
      <c r="AD1596" s="134"/>
      <c r="AE1596" s="134"/>
      <c r="AF1596" s="134"/>
      <c r="AG1596" s="134"/>
      <c r="AH1596" s="134"/>
      <c r="AI1596" s="134"/>
      <c r="AJ1596" s="134"/>
    </row>
    <row r="1597" spans="2:36">
      <c r="B1597" s="134"/>
      <c r="C1597" s="134"/>
      <c r="D1597" s="134"/>
      <c r="E1597" s="134"/>
      <c r="F1597" s="134"/>
      <c r="G1597" s="134"/>
      <c r="H1597" s="134"/>
      <c r="I1597" s="134"/>
      <c r="J1597" s="134"/>
      <c r="K1597" s="134"/>
      <c r="L1597" s="134"/>
      <c r="M1597" s="134"/>
      <c r="N1597" s="134"/>
      <c r="O1597" s="134"/>
      <c r="P1597" s="134"/>
      <c r="Q1597" s="134"/>
      <c r="R1597" s="134"/>
      <c r="S1597" s="134"/>
      <c r="T1597" s="134"/>
      <c r="U1597" s="134"/>
      <c r="V1597" s="134"/>
      <c r="W1597" s="134"/>
      <c r="X1597" s="134"/>
      <c r="Y1597" s="134"/>
      <c r="Z1597" s="134"/>
      <c r="AA1597" s="134"/>
      <c r="AB1597" s="134"/>
      <c r="AC1597" s="134"/>
      <c r="AD1597" s="134"/>
      <c r="AE1597" s="134"/>
      <c r="AF1597" s="134"/>
      <c r="AG1597" s="134"/>
      <c r="AH1597" s="134"/>
      <c r="AI1597" s="134"/>
      <c r="AJ1597" s="134"/>
    </row>
    <row r="1598" spans="2:36">
      <c r="B1598" s="134"/>
      <c r="C1598" s="134"/>
      <c r="D1598" s="134"/>
      <c r="E1598" s="134"/>
      <c r="F1598" s="134"/>
      <c r="G1598" s="134"/>
      <c r="H1598" s="134"/>
      <c r="I1598" s="134"/>
      <c r="J1598" s="134"/>
      <c r="K1598" s="134"/>
      <c r="L1598" s="134"/>
      <c r="M1598" s="134"/>
      <c r="N1598" s="134"/>
      <c r="O1598" s="134"/>
      <c r="P1598" s="134"/>
      <c r="Q1598" s="134"/>
      <c r="R1598" s="134"/>
      <c r="S1598" s="134"/>
      <c r="T1598" s="134"/>
      <c r="U1598" s="134"/>
      <c r="V1598" s="134"/>
      <c r="W1598" s="134"/>
      <c r="X1598" s="134"/>
      <c r="Y1598" s="134"/>
      <c r="Z1598" s="134"/>
      <c r="AA1598" s="134"/>
      <c r="AB1598" s="134"/>
      <c r="AC1598" s="134"/>
      <c r="AD1598" s="134"/>
      <c r="AE1598" s="134"/>
      <c r="AF1598" s="134"/>
      <c r="AG1598" s="134"/>
      <c r="AH1598" s="134"/>
      <c r="AI1598" s="134"/>
      <c r="AJ1598" s="134"/>
    </row>
    <row r="1599" spans="2:36">
      <c r="B1599" s="134"/>
      <c r="C1599" s="134"/>
      <c r="D1599" s="134"/>
      <c r="E1599" s="134"/>
      <c r="F1599" s="134"/>
      <c r="G1599" s="134"/>
      <c r="H1599" s="134"/>
      <c r="I1599" s="134"/>
      <c r="J1599" s="134"/>
      <c r="K1599" s="134"/>
      <c r="L1599" s="134"/>
      <c r="M1599" s="134"/>
      <c r="N1599" s="134"/>
      <c r="O1599" s="134"/>
      <c r="P1599" s="134"/>
      <c r="Q1599" s="134"/>
      <c r="R1599" s="134"/>
      <c r="S1599" s="134"/>
      <c r="T1599" s="134"/>
      <c r="U1599" s="134"/>
      <c r="V1599" s="134"/>
      <c r="W1599" s="134"/>
      <c r="X1599" s="134"/>
      <c r="Y1599" s="134"/>
      <c r="Z1599" s="134"/>
      <c r="AA1599" s="134"/>
      <c r="AB1599" s="134"/>
      <c r="AC1599" s="134"/>
      <c r="AD1599" s="134"/>
      <c r="AE1599" s="134"/>
      <c r="AF1599" s="134"/>
      <c r="AG1599" s="134"/>
      <c r="AH1599" s="134"/>
      <c r="AI1599" s="134"/>
      <c r="AJ1599" s="134"/>
    </row>
    <row r="1600" spans="2:36">
      <c r="B1600" s="134"/>
      <c r="C1600" s="134"/>
      <c r="D1600" s="134"/>
      <c r="E1600" s="134"/>
      <c r="F1600" s="134"/>
      <c r="G1600" s="134"/>
      <c r="H1600" s="134"/>
      <c r="I1600" s="134"/>
      <c r="J1600" s="134"/>
      <c r="K1600" s="134"/>
      <c r="L1600" s="134"/>
      <c r="M1600" s="134"/>
      <c r="N1600" s="134"/>
      <c r="O1600" s="134"/>
      <c r="P1600" s="134"/>
      <c r="Q1600" s="134"/>
      <c r="R1600" s="134"/>
      <c r="S1600" s="134"/>
      <c r="T1600" s="134"/>
      <c r="U1600" s="134"/>
      <c r="V1600" s="134"/>
      <c r="W1600" s="134"/>
      <c r="X1600" s="134"/>
      <c r="Y1600" s="134"/>
      <c r="Z1600" s="134"/>
      <c r="AA1600" s="134"/>
      <c r="AB1600" s="134"/>
      <c r="AC1600" s="134"/>
      <c r="AD1600" s="134"/>
      <c r="AE1600" s="134"/>
      <c r="AF1600" s="134"/>
      <c r="AG1600" s="134"/>
      <c r="AH1600" s="134"/>
      <c r="AI1600" s="134"/>
      <c r="AJ1600" s="134"/>
    </row>
    <row r="1601" spans="2:36">
      <c r="B1601" s="134"/>
      <c r="C1601" s="134"/>
      <c r="D1601" s="134"/>
      <c r="E1601" s="134"/>
      <c r="F1601" s="134"/>
      <c r="G1601" s="134"/>
      <c r="H1601" s="134"/>
      <c r="I1601" s="134"/>
      <c r="J1601" s="134"/>
      <c r="K1601" s="134"/>
      <c r="L1601" s="134"/>
      <c r="M1601" s="134"/>
      <c r="N1601" s="134"/>
      <c r="O1601" s="134"/>
      <c r="P1601" s="134"/>
      <c r="Q1601" s="134"/>
      <c r="R1601" s="134"/>
      <c r="S1601" s="134"/>
      <c r="T1601" s="134"/>
      <c r="U1601" s="134"/>
      <c r="V1601" s="134"/>
      <c r="W1601" s="134"/>
      <c r="X1601" s="134"/>
      <c r="Y1601" s="134"/>
      <c r="Z1601" s="134"/>
      <c r="AA1601" s="134"/>
      <c r="AB1601" s="134"/>
      <c r="AC1601" s="134"/>
      <c r="AD1601" s="134"/>
      <c r="AE1601" s="134"/>
      <c r="AF1601" s="134"/>
      <c r="AG1601" s="134"/>
      <c r="AH1601" s="134"/>
      <c r="AI1601" s="134"/>
      <c r="AJ1601" s="134"/>
    </row>
    <row r="1602" spans="2:36">
      <c r="B1602" s="134"/>
      <c r="C1602" s="134"/>
      <c r="D1602" s="134"/>
      <c r="E1602" s="134"/>
      <c r="F1602" s="134"/>
      <c r="G1602" s="134"/>
      <c r="H1602" s="134"/>
      <c r="I1602" s="134"/>
      <c r="J1602" s="134"/>
      <c r="K1602" s="134"/>
      <c r="L1602" s="134"/>
      <c r="M1602" s="134"/>
      <c r="N1602" s="134"/>
      <c r="O1602" s="134"/>
      <c r="P1602" s="134"/>
      <c r="Q1602" s="134"/>
      <c r="R1602" s="134"/>
      <c r="S1602" s="134"/>
      <c r="T1602" s="134"/>
      <c r="U1602" s="134"/>
      <c r="V1602" s="134"/>
      <c r="W1602" s="134"/>
      <c r="X1602" s="134"/>
      <c r="Y1602" s="134"/>
      <c r="Z1602" s="134"/>
      <c r="AA1602" s="134"/>
      <c r="AB1602" s="134"/>
      <c r="AC1602" s="134"/>
      <c r="AD1602" s="134"/>
      <c r="AE1602" s="134"/>
      <c r="AF1602" s="134"/>
      <c r="AG1602" s="134"/>
      <c r="AH1602" s="134"/>
      <c r="AI1602" s="134"/>
      <c r="AJ1602" s="134"/>
    </row>
    <row r="1603" spans="2:36">
      <c r="B1603" s="134"/>
      <c r="C1603" s="134"/>
      <c r="D1603" s="134"/>
      <c r="E1603" s="134"/>
      <c r="F1603" s="134"/>
      <c r="G1603" s="134"/>
      <c r="H1603" s="134"/>
      <c r="I1603" s="134"/>
      <c r="J1603" s="134"/>
      <c r="K1603" s="134"/>
      <c r="L1603" s="134"/>
      <c r="M1603" s="134"/>
      <c r="N1603" s="134"/>
      <c r="O1603" s="134"/>
      <c r="P1603" s="134"/>
      <c r="Q1603" s="134"/>
      <c r="R1603" s="134"/>
      <c r="S1603" s="134"/>
      <c r="T1603" s="134"/>
      <c r="U1603" s="134"/>
      <c r="V1603" s="134"/>
      <c r="W1603" s="134"/>
      <c r="X1603" s="134"/>
      <c r="Y1603" s="134"/>
      <c r="Z1603" s="134"/>
      <c r="AA1603" s="134"/>
      <c r="AB1603" s="134"/>
      <c r="AC1603" s="134"/>
      <c r="AD1603" s="134"/>
      <c r="AE1603" s="134"/>
      <c r="AF1603" s="134"/>
      <c r="AG1603" s="134"/>
      <c r="AH1603" s="134"/>
      <c r="AI1603" s="134"/>
      <c r="AJ1603" s="134"/>
    </row>
    <row r="1604" spans="2:36">
      <c r="B1604" s="134"/>
      <c r="C1604" s="134"/>
      <c r="D1604" s="134"/>
      <c r="E1604" s="134"/>
      <c r="F1604" s="134"/>
      <c r="G1604" s="134"/>
      <c r="H1604" s="134"/>
      <c r="I1604" s="134"/>
      <c r="J1604" s="134"/>
      <c r="K1604" s="134"/>
      <c r="L1604" s="134"/>
      <c r="M1604" s="134"/>
      <c r="N1604" s="134"/>
      <c r="O1604" s="134"/>
      <c r="P1604" s="134"/>
      <c r="Q1604" s="134"/>
      <c r="R1604" s="134"/>
      <c r="S1604" s="134"/>
      <c r="T1604" s="134"/>
      <c r="U1604" s="134"/>
      <c r="V1604" s="134"/>
      <c r="W1604" s="134"/>
      <c r="X1604" s="134"/>
      <c r="Y1604" s="134"/>
      <c r="Z1604" s="134"/>
      <c r="AA1604" s="134"/>
      <c r="AB1604" s="134"/>
      <c r="AC1604" s="134"/>
      <c r="AD1604" s="134"/>
      <c r="AE1604" s="134"/>
      <c r="AF1604" s="134"/>
      <c r="AG1604" s="134"/>
      <c r="AH1604" s="134"/>
      <c r="AI1604" s="134"/>
      <c r="AJ1604" s="134"/>
    </row>
    <row r="1605" spans="2:36">
      <c r="B1605" s="134"/>
      <c r="C1605" s="134"/>
      <c r="D1605" s="134"/>
      <c r="E1605" s="134"/>
      <c r="F1605" s="134"/>
      <c r="G1605" s="134"/>
      <c r="H1605" s="134"/>
      <c r="I1605" s="134"/>
      <c r="J1605" s="134"/>
      <c r="K1605" s="134"/>
      <c r="L1605" s="134"/>
      <c r="M1605" s="134"/>
      <c r="N1605" s="134"/>
      <c r="O1605" s="134"/>
      <c r="P1605" s="134"/>
      <c r="Q1605" s="134"/>
      <c r="R1605" s="134"/>
      <c r="S1605" s="134"/>
      <c r="T1605" s="134"/>
      <c r="U1605" s="134"/>
      <c r="V1605" s="134"/>
      <c r="W1605" s="134"/>
      <c r="X1605" s="134"/>
      <c r="Y1605" s="134"/>
      <c r="Z1605" s="134"/>
      <c r="AA1605" s="134"/>
      <c r="AB1605" s="134"/>
      <c r="AC1605" s="134"/>
      <c r="AD1605" s="134"/>
      <c r="AE1605" s="134"/>
      <c r="AF1605" s="134"/>
      <c r="AG1605" s="134"/>
      <c r="AH1605" s="134"/>
      <c r="AI1605" s="134"/>
      <c r="AJ1605" s="134"/>
    </row>
    <row r="1606" spans="2:36">
      <c r="B1606" s="134"/>
      <c r="C1606" s="134"/>
      <c r="D1606" s="134"/>
      <c r="E1606" s="134"/>
      <c r="F1606" s="134"/>
      <c r="G1606" s="134"/>
      <c r="H1606" s="134"/>
      <c r="I1606" s="134"/>
      <c r="J1606" s="134"/>
      <c r="K1606" s="134"/>
      <c r="L1606" s="134"/>
      <c r="M1606" s="134"/>
      <c r="N1606" s="134"/>
      <c r="O1606" s="134"/>
      <c r="P1606" s="134"/>
      <c r="Q1606" s="134"/>
      <c r="R1606" s="134"/>
      <c r="S1606" s="134"/>
      <c r="T1606" s="134"/>
      <c r="U1606" s="134"/>
      <c r="V1606" s="134"/>
      <c r="W1606" s="134"/>
      <c r="X1606" s="134"/>
      <c r="Y1606" s="134"/>
      <c r="Z1606" s="134"/>
      <c r="AA1606" s="134"/>
      <c r="AB1606" s="134"/>
      <c r="AC1606" s="134"/>
      <c r="AD1606" s="134"/>
      <c r="AE1606" s="134"/>
      <c r="AF1606" s="134"/>
      <c r="AG1606" s="134"/>
      <c r="AH1606" s="134"/>
      <c r="AI1606" s="134"/>
      <c r="AJ1606" s="134"/>
    </row>
    <row r="1607" spans="2:36">
      <c r="B1607" s="134"/>
      <c r="C1607" s="134"/>
      <c r="D1607" s="134"/>
      <c r="E1607" s="134"/>
      <c r="F1607" s="134"/>
      <c r="G1607" s="134"/>
      <c r="H1607" s="134"/>
      <c r="I1607" s="134"/>
      <c r="J1607" s="134"/>
      <c r="K1607" s="134"/>
      <c r="L1607" s="134"/>
      <c r="M1607" s="134"/>
      <c r="N1607" s="134"/>
      <c r="O1607" s="134"/>
      <c r="P1607" s="134"/>
      <c r="Q1607" s="134"/>
      <c r="R1607" s="134"/>
      <c r="S1607" s="134"/>
      <c r="T1607" s="134"/>
      <c r="U1607" s="134"/>
      <c r="V1607" s="134"/>
      <c r="W1607" s="134"/>
      <c r="X1607" s="134"/>
      <c r="Y1607" s="134"/>
      <c r="Z1607" s="134"/>
      <c r="AA1607" s="134"/>
      <c r="AB1607" s="134"/>
      <c r="AC1607" s="134"/>
      <c r="AD1607" s="134"/>
      <c r="AE1607" s="134"/>
      <c r="AF1607" s="134"/>
      <c r="AG1607" s="134"/>
      <c r="AH1607" s="134"/>
      <c r="AI1607" s="134"/>
      <c r="AJ1607" s="134"/>
    </row>
    <row r="1608" spans="2:36">
      <c r="B1608" s="134"/>
      <c r="C1608" s="134"/>
      <c r="D1608" s="134"/>
      <c r="E1608" s="134"/>
      <c r="F1608" s="134"/>
      <c r="G1608" s="134"/>
      <c r="H1608" s="134"/>
      <c r="I1608" s="134"/>
      <c r="J1608" s="134"/>
      <c r="K1608" s="134"/>
      <c r="L1608" s="134"/>
      <c r="M1608" s="134"/>
      <c r="N1608" s="134"/>
      <c r="O1608" s="134"/>
      <c r="P1608" s="134"/>
      <c r="Q1608" s="134"/>
      <c r="R1608" s="134"/>
      <c r="S1608" s="134"/>
      <c r="T1608" s="134"/>
      <c r="U1608" s="134"/>
      <c r="V1608" s="134"/>
      <c r="W1608" s="134"/>
      <c r="X1608" s="134"/>
      <c r="Y1608" s="134"/>
      <c r="Z1608" s="134"/>
      <c r="AA1608" s="134"/>
      <c r="AB1608" s="134"/>
      <c r="AC1608" s="134"/>
      <c r="AD1608" s="134"/>
      <c r="AE1608" s="134"/>
      <c r="AF1608" s="134"/>
      <c r="AG1608" s="134"/>
      <c r="AH1608" s="134"/>
      <c r="AI1608" s="134"/>
      <c r="AJ1608" s="134"/>
    </row>
    <row r="1609" spans="2:36">
      <c r="B1609" s="134"/>
      <c r="C1609" s="134"/>
      <c r="D1609" s="134"/>
      <c r="E1609" s="134"/>
      <c r="F1609" s="134"/>
      <c r="G1609" s="134"/>
      <c r="H1609" s="134"/>
      <c r="I1609" s="134"/>
      <c r="J1609" s="134"/>
      <c r="K1609" s="134"/>
      <c r="L1609" s="134"/>
      <c r="M1609" s="134"/>
      <c r="N1609" s="134"/>
      <c r="O1609" s="134"/>
      <c r="P1609" s="134"/>
      <c r="Q1609" s="134"/>
      <c r="R1609" s="134"/>
      <c r="S1609" s="134"/>
      <c r="T1609" s="134"/>
      <c r="U1609" s="134"/>
      <c r="V1609" s="134"/>
      <c r="W1609" s="134"/>
      <c r="X1609" s="134"/>
      <c r="Y1609" s="134"/>
      <c r="Z1609" s="134"/>
      <c r="AA1609" s="134"/>
      <c r="AB1609" s="134"/>
      <c r="AC1609" s="134"/>
      <c r="AD1609" s="134"/>
      <c r="AE1609" s="134"/>
      <c r="AF1609" s="134"/>
      <c r="AG1609" s="134"/>
      <c r="AH1609" s="134"/>
      <c r="AI1609" s="134"/>
      <c r="AJ1609" s="134"/>
    </row>
    <row r="1610" spans="2:36">
      <c r="B1610" s="134"/>
      <c r="C1610" s="134"/>
      <c r="D1610" s="134"/>
      <c r="E1610" s="134"/>
      <c r="F1610" s="134"/>
      <c r="G1610" s="134"/>
      <c r="H1610" s="134"/>
      <c r="I1610" s="134"/>
      <c r="J1610" s="134"/>
      <c r="K1610" s="134"/>
      <c r="L1610" s="134"/>
      <c r="M1610" s="134"/>
      <c r="N1610" s="134"/>
      <c r="O1610" s="134"/>
      <c r="P1610" s="134"/>
      <c r="Q1610" s="134"/>
      <c r="R1610" s="134"/>
      <c r="S1610" s="134"/>
      <c r="T1610" s="134"/>
      <c r="U1610" s="134"/>
      <c r="V1610" s="134"/>
      <c r="W1610" s="134"/>
      <c r="X1610" s="134"/>
      <c r="Y1610" s="134"/>
      <c r="Z1610" s="134"/>
      <c r="AA1610" s="134"/>
      <c r="AB1610" s="134"/>
      <c r="AC1610" s="134"/>
      <c r="AD1610" s="134"/>
      <c r="AE1610" s="134"/>
      <c r="AF1610" s="134"/>
      <c r="AG1610" s="134"/>
      <c r="AH1610" s="134"/>
      <c r="AI1610" s="134"/>
      <c r="AJ1610" s="134"/>
    </row>
    <row r="1611" spans="2:36">
      <c r="B1611" s="134"/>
      <c r="C1611" s="134"/>
      <c r="D1611" s="134"/>
      <c r="E1611" s="134"/>
      <c r="F1611" s="134"/>
      <c r="G1611" s="134"/>
      <c r="H1611" s="134"/>
      <c r="I1611" s="134"/>
      <c r="J1611" s="134"/>
      <c r="K1611" s="134"/>
      <c r="L1611" s="134"/>
      <c r="M1611" s="134"/>
      <c r="N1611" s="134"/>
      <c r="O1611" s="134"/>
      <c r="P1611" s="134"/>
      <c r="Q1611" s="134"/>
      <c r="R1611" s="134"/>
      <c r="S1611" s="134"/>
      <c r="T1611" s="134"/>
      <c r="U1611" s="134"/>
      <c r="V1611" s="134"/>
      <c r="W1611" s="134"/>
      <c r="X1611" s="134"/>
      <c r="Y1611" s="134"/>
      <c r="Z1611" s="134"/>
      <c r="AA1611" s="134"/>
      <c r="AB1611" s="134"/>
      <c r="AC1611" s="134"/>
      <c r="AD1611" s="134"/>
      <c r="AE1611" s="134"/>
      <c r="AF1611" s="134"/>
      <c r="AG1611" s="134"/>
      <c r="AH1611" s="134"/>
      <c r="AI1611" s="134"/>
      <c r="AJ1611" s="134"/>
    </row>
    <row r="1612" spans="2:36">
      <c r="B1612" s="134"/>
      <c r="C1612" s="134"/>
      <c r="D1612" s="134"/>
      <c r="E1612" s="134"/>
      <c r="F1612" s="134"/>
      <c r="G1612" s="134"/>
      <c r="H1612" s="134"/>
      <c r="I1612" s="134"/>
      <c r="J1612" s="134"/>
      <c r="K1612" s="134"/>
      <c r="L1612" s="134"/>
      <c r="M1612" s="134"/>
      <c r="N1612" s="134"/>
      <c r="O1612" s="134"/>
      <c r="P1612" s="134"/>
      <c r="Q1612" s="134"/>
      <c r="R1612" s="134"/>
      <c r="S1612" s="134"/>
      <c r="T1612" s="134"/>
      <c r="U1612" s="134"/>
      <c r="V1612" s="134"/>
      <c r="W1612" s="134"/>
      <c r="X1612" s="134"/>
      <c r="Y1612" s="134"/>
      <c r="Z1612" s="134"/>
      <c r="AA1612" s="134"/>
      <c r="AB1612" s="134"/>
      <c r="AC1612" s="134"/>
      <c r="AD1612" s="134"/>
      <c r="AE1612" s="134"/>
      <c r="AF1612" s="134"/>
      <c r="AG1612" s="134"/>
      <c r="AH1612" s="134"/>
      <c r="AI1612" s="134"/>
      <c r="AJ1612" s="134"/>
    </row>
    <row r="1613" spans="2:36">
      <c r="B1613" s="134"/>
      <c r="C1613" s="134"/>
      <c r="D1613" s="134"/>
      <c r="E1613" s="134"/>
      <c r="F1613" s="134"/>
      <c r="G1613" s="134"/>
      <c r="H1613" s="134"/>
      <c r="I1613" s="134"/>
      <c r="J1613" s="134"/>
      <c r="K1613" s="134"/>
      <c r="L1613" s="134"/>
      <c r="M1613" s="134"/>
      <c r="N1613" s="134"/>
      <c r="O1613" s="134"/>
      <c r="P1613" s="134"/>
      <c r="Q1613" s="134"/>
      <c r="R1613" s="134"/>
      <c r="S1613" s="134"/>
      <c r="T1613" s="134"/>
      <c r="U1613" s="134"/>
      <c r="V1613" s="134"/>
      <c r="W1613" s="134"/>
      <c r="X1613" s="134"/>
      <c r="Y1613" s="134"/>
      <c r="Z1613" s="134"/>
      <c r="AA1613" s="134"/>
      <c r="AB1613" s="134"/>
      <c r="AC1613" s="134"/>
      <c r="AD1613" s="134"/>
      <c r="AE1613" s="134"/>
      <c r="AF1613" s="134"/>
      <c r="AG1613" s="134"/>
      <c r="AH1613" s="134"/>
      <c r="AI1613" s="134"/>
      <c r="AJ1613" s="134"/>
    </row>
    <row r="1614" spans="2:36">
      <c r="B1614" s="134"/>
      <c r="C1614" s="134"/>
      <c r="D1614" s="134"/>
      <c r="E1614" s="134"/>
      <c r="F1614" s="134"/>
      <c r="G1614" s="134"/>
      <c r="H1614" s="134"/>
      <c r="I1614" s="134"/>
      <c r="J1614" s="134"/>
      <c r="K1614" s="134"/>
      <c r="L1614" s="134"/>
      <c r="M1614" s="134"/>
      <c r="N1614" s="134"/>
      <c r="O1614" s="134"/>
      <c r="P1614" s="134"/>
      <c r="Q1614" s="134"/>
      <c r="R1614" s="134"/>
      <c r="S1614" s="134"/>
      <c r="T1614" s="134"/>
      <c r="U1614" s="134"/>
      <c r="V1614" s="134"/>
      <c r="W1614" s="134"/>
      <c r="X1614" s="134"/>
      <c r="Y1614" s="134"/>
      <c r="Z1614" s="134"/>
      <c r="AA1614" s="134"/>
      <c r="AB1614" s="134"/>
      <c r="AC1614" s="134"/>
      <c r="AD1614" s="134"/>
      <c r="AE1614" s="134"/>
      <c r="AF1614" s="134"/>
      <c r="AG1614" s="134"/>
      <c r="AH1614" s="134"/>
      <c r="AI1614" s="134"/>
      <c r="AJ1614" s="134"/>
    </row>
    <row r="1615" spans="2:36">
      <c r="B1615" s="134"/>
      <c r="C1615" s="134"/>
      <c r="D1615" s="134"/>
      <c r="E1615" s="134"/>
      <c r="F1615" s="134"/>
      <c r="G1615" s="134"/>
      <c r="H1615" s="134"/>
      <c r="I1615" s="134"/>
      <c r="J1615" s="134"/>
      <c r="K1615" s="134"/>
      <c r="L1615" s="134"/>
      <c r="M1615" s="134"/>
      <c r="N1615" s="134"/>
      <c r="O1615" s="134"/>
      <c r="P1615" s="134"/>
      <c r="Q1615" s="134"/>
      <c r="R1615" s="134"/>
      <c r="S1615" s="134"/>
      <c r="T1615" s="134"/>
      <c r="U1615" s="134"/>
      <c r="V1615" s="134"/>
      <c r="W1615" s="134"/>
      <c r="X1615" s="134"/>
      <c r="Y1615" s="134"/>
      <c r="Z1615" s="134"/>
      <c r="AA1615" s="134"/>
      <c r="AB1615" s="134"/>
      <c r="AC1615" s="134"/>
      <c r="AD1615" s="134"/>
      <c r="AE1615" s="134"/>
      <c r="AF1615" s="134"/>
      <c r="AG1615" s="134"/>
      <c r="AH1615" s="134"/>
      <c r="AI1615" s="134"/>
      <c r="AJ1615" s="134"/>
    </row>
    <row r="1616" spans="2:36">
      <c r="B1616" s="134"/>
      <c r="C1616" s="134"/>
      <c r="D1616" s="134"/>
      <c r="E1616" s="134"/>
      <c r="F1616" s="134"/>
      <c r="G1616" s="134"/>
      <c r="H1616" s="134"/>
      <c r="I1616" s="134"/>
      <c r="J1616" s="134"/>
      <c r="K1616" s="134"/>
      <c r="L1616" s="134"/>
      <c r="M1616" s="134"/>
      <c r="N1616" s="134"/>
      <c r="O1616" s="134"/>
      <c r="P1616" s="134"/>
      <c r="Q1616" s="134"/>
      <c r="R1616" s="134"/>
      <c r="S1616" s="134"/>
      <c r="T1616" s="134"/>
      <c r="U1616" s="134"/>
      <c r="V1616" s="134"/>
      <c r="W1616" s="134"/>
      <c r="X1616" s="134"/>
      <c r="Y1616" s="134"/>
      <c r="Z1616" s="134"/>
      <c r="AA1616" s="134"/>
      <c r="AB1616" s="134"/>
      <c r="AC1616" s="134"/>
      <c r="AD1616" s="134"/>
      <c r="AE1616" s="134"/>
      <c r="AF1616" s="134"/>
      <c r="AG1616" s="134"/>
      <c r="AH1616" s="134"/>
      <c r="AI1616" s="134"/>
      <c r="AJ1616" s="134"/>
    </row>
    <row r="1617" spans="2:36">
      <c r="B1617" s="134"/>
      <c r="C1617" s="134"/>
      <c r="D1617" s="134"/>
      <c r="E1617" s="134"/>
      <c r="F1617" s="134"/>
      <c r="G1617" s="134"/>
      <c r="H1617" s="134"/>
      <c r="I1617" s="134"/>
      <c r="J1617" s="134"/>
      <c r="K1617" s="134"/>
      <c r="L1617" s="134"/>
      <c r="M1617" s="134"/>
      <c r="N1617" s="134"/>
      <c r="O1617" s="134"/>
      <c r="P1617" s="134"/>
      <c r="Q1617" s="134"/>
      <c r="R1617" s="134"/>
      <c r="S1617" s="134"/>
      <c r="T1617" s="134"/>
      <c r="U1617" s="134"/>
      <c r="V1617" s="134"/>
      <c r="W1617" s="134"/>
      <c r="X1617" s="134"/>
      <c r="Y1617" s="134"/>
      <c r="Z1617" s="134"/>
      <c r="AA1617" s="134"/>
      <c r="AB1617" s="134"/>
      <c r="AC1617" s="134"/>
      <c r="AD1617" s="134"/>
      <c r="AE1617" s="134"/>
      <c r="AF1617" s="134"/>
      <c r="AG1617" s="134"/>
      <c r="AH1617" s="134"/>
      <c r="AI1617" s="134"/>
      <c r="AJ1617" s="134"/>
    </row>
    <row r="1618" spans="2:36">
      <c r="B1618" s="134"/>
      <c r="C1618" s="134"/>
      <c r="D1618" s="134"/>
      <c r="E1618" s="134"/>
      <c r="F1618" s="134"/>
      <c r="G1618" s="134"/>
      <c r="H1618" s="134"/>
      <c r="I1618" s="134"/>
      <c r="J1618" s="134"/>
      <c r="K1618" s="134"/>
      <c r="L1618" s="134"/>
      <c r="M1618" s="134"/>
      <c r="N1618" s="134"/>
      <c r="O1618" s="134"/>
      <c r="P1618" s="134"/>
      <c r="Q1618" s="134"/>
      <c r="R1618" s="134"/>
      <c r="S1618" s="134"/>
      <c r="T1618" s="134"/>
      <c r="U1618" s="134"/>
      <c r="V1618" s="134"/>
      <c r="W1618" s="134"/>
      <c r="X1618" s="134"/>
      <c r="Y1618" s="134"/>
      <c r="Z1618" s="134"/>
      <c r="AA1618" s="134"/>
      <c r="AB1618" s="134"/>
      <c r="AC1618" s="134"/>
      <c r="AD1618" s="134"/>
      <c r="AE1618" s="134"/>
      <c r="AF1618" s="134"/>
      <c r="AG1618" s="134"/>
      <c r="AH1618" s="134"/>
      <c r="AI1618" s="134"/>
      <c r="AJ1618" s="134"/>
    </row>
    <row r="1619" spans="2:36">
      <c r="B1619" s="134"/>
      <c r="C1619" s="134"/>
      <c r="D1619" s="134"/>
      <c r="E1619" s="134"/>
      <c r="F1619" s="134"/>
      <c r="G1619" s="134"/>
      <c r="H1619" s="134"/>
      <c r="I1619" s="134"/>
      <c r="J1619" s="134"/>
      <c r="K1619" s="134"/>
      <c r="L1619" s="134"/>
      <c r="M1619" s="134"/>
      <c r="N1619" s="134"/>
      <c r="O1619" s="134"/>
      <c r="P1619" s="134"/>
      <c r="Q1619" s="134"/>
      <c r="R1619" s="134"/>
      <c r="S1619" s="134"/>
      <c r="T1619" s="134"/>
      <c r="U1619" s="134"/>
      <c r="V1619" s="134"/>
      <c r="W1619" s="134"/>
      <c r="X1619" s="134"/>
      <c r="Y1619" s="134"/>
      <c r="Z1619" s="134"/>
      <c r="AA1619" s="134"/>
      <c r="AB1619" s="134"/>
      <c r="AC1619" s="134"/>
      <c r="AD1619" s="134"/>
      <c r="AE1619" s="134"/>
      <c r="AF1619" s="134"/>
      <c r="AG1619" s="134"/>
      <c r="AH1619" s="134"/>
      <c r="AI1619" s="134"/>
      <c r="AJ1619" s="134"/>
    </row>
    <row r="1620" spans="2:36">
      <c r="B1620" s="134"/>
      <c r="C1620" s="134"/>
      <c r="D1620" s="134"/>
      <c r="E1620" s="134"/>
      <c r="F1620" s="134"/>
      <c r="G1620" s="134"/>
      <c r="H1620" s="134"/>
      <c r="I1620" s="134"/>
      <c r="J1620" s="134"/>
      <c r="K1620" s="134"/>
      <c r="L1620" s="134"/>
      <c r="M1620" s="134"/>
      <c r="N1620" s="134"/>
      <c r="O1620" s="134"/>
      <c r="P1620" s="134"/>
      <c r="Q1620" s="134"/>
      <c r="R1620" s="134"/>
      <c r="S1620" s="134"/>
      <c r="T1620" s="134"/>
      <c r="U1620" s="134"/>
      <c r="V1620" s="134"/>
      <c r="W1620" s="134"/>
      <c r="X1620" s="134"/>
      <c r="Y1620" s="134"/>
      <c r="Z1620" s="134"/>
      <c r="AA1620" s="134"/>
      <c r="AB1620" s="134"/>
      <c r="AC1620" s="134"/>
      <c r="AD1620" s="134"/>
      <c r="AE1620" s="134"/>
      <c r="AF1620" s="134"/>
      <c r="AG1620" s="134"/>
      <c r="AH1620" s="134"/>
      <c r="AI1620" s="134"/>
      <c r="AJ1620" s="134"/>
    </row>
    <row r="1621" spans="2:36">
      <c r="B1621" s="134"/>
      <c r="C1621" s="134"/>
      <c r="D1621" s="134"/>
      <c r="E1621" s="134"/>
      <c r="F1621" s="134"/>
      <c r="G1621" s="134"/>
      <c r="H1621" s="134"/>
      <c r="I1621" s="134"/>
      <c r="J1621" s="134"/>
      <c r="K1621" s="134"/>
      <c r="L1621" s="134"/>
      <c r="M1621" s="134"/>
      <c r="N1621" s="134"/>
      <c r="O1621" s="134"/>
      <c r="P1621" s="134"/>
      <c r="Q1621" s="134"/>
      <c r="R1621" s="134"/>
      <c r="S1621" s="134"/>
      <c r="T1621" s="134"/>
      <c r="U1621" s="134"/>
      <c r="V1621" s="134"/>
      <c r="W1621" s="134"/>
      <c r="X1621" s="134"/>
      <c r="Y1621" s="134"/>
      <c r="Z1621" s="134"/>
      <c r="AA1621" s="134"/>
      <c r="AB1621" s="134"/>
      <c r="AC1621" s="134"/>
      <c r="AD1621" s="134"/>
      <c r="AE1621" s="134"/>
      <c r="AF1621" s="134"/>
      <c r="AG1621" s="134"/>
      <c r="AH1621" s="134"/>
      <c r="AI1621" s="134"/>
      <c r="AJ1621" s="134"/>
    </row>
    <row r="1622" spans="2:36">
      <c r="B1622" s="134"/>
      <c r="C1622" s="134"/>
      <c r="D1622" s="134"/>
      <c r="E1622" s="134"/>
      <c r="F1622" s="134"/>
      <c r="G1622" s="134"/>
      <c r="H1622" s="134"/>
      <c r="I1622" s="134"/>
      <c r="J1622" s="134"/>
      <c r="K1622" s="134"/>
      <c r="L1622" s="134"/>
      <c r="M1622" s="134"/>
      <c r="N1622" s="134"/>
      <c r="O1622" s="134"/>
      <c r="P1622" s="134"/>
      <c r="Q1622" s="134"/>
      <c r="R1622" s="134"/>
      <c r="S1622" s="134"/>
      <c r="T1622" s="134"/>
      <c r="U1622" s="134"/>
      <c r="V1622" s="134"/>
      <c r="W1622" s="134"/>
      <c r="X1622" s="134"/>
      <c r="Y1622" s="134"/>
      <c r="Z1622" s="134"/>
      <c r="AA1622" s="134"/>
      <c r="AB1622" s="134"/>
      <c r="AC1622" s="134"/>
      <c r="AD1622" s="134"/>
      <c r="AE1622" s="134"/>
      <c r="AF1622" s="134"/>
      <c r="AG1622" s="134"/>
      <c r="AH1622" s="134"/>
      <c r="AI1622" s="134"/>
      <c r="AJ1622" s="134"/>
    </row>
    <row r="1623" spans="2:36">
      <c r="B1623" s="134"/>
      <c r="C1623" s="134"/>
      <c r="D1623" s="134"/>
      <c r="E1623" s="134"/>
      <c r="F1623" s="134"/>
      <c r="G1623" s="134"/>
      <c r="H1623" s="134"/>
      <c r="I1623" s="134"/>
      <c r="J1623" s="134"/>
      <c r="K1623" s="134"/>
      <c r="L1623" s="134"/>
      <c r="M1623" s="134"/>
      <c r="N1623" s="134"/>
      <c r="O1623" s="134"/>
      <c r="P1623" s="134"/>
      <c r="Q1623" s="134"/>
      <c r="R1623" s="134"/>
      <c r="S1623" s="134"/>
      <c r="T1623" s="134"/>
      <c r="U1623" s="134"/>
      <c r="V1623" s="134"/>
      <c r="W1623" s="134"/>
      <c r="X1623" s="134"/>
      <c r="Y1623" s="134"/>
      <c r="Z1623" s="134"/>
      <c r="AA1623" s="134"/>
      <c r="AB1623" s="134"/>
      <c r="AC1623" s="134"/>
      <c r="AD1623" s="134"/>
      <c r="AE1623" s="134"/>
      <c r="AF1623" s="134"/>
      <c r="AG1623" s="134"/>
      <c r="AH1623" s="134"/>
      <c r="AI1623" s="134"/>
      <c r="AJ1623" s="134"/>
    </row>
    <row r="1624" spans="2:36">
      <c r="B1624" s="134"/>
      <c r="C1624" s="134"/>
      <c r="D1624" s="134"/>
      <c r="E1624" s="134"/>
      <c r="F1624" s="134"/>
      <c r="G1624" s="134"/>
      <c r="H1624" s="134"/>
      <c r="I1624" s="134"/>
      <c r="J1624" s="134"/>
      <c r="K1624" s="134"/>
      <c r="L1624" s="134"/>
      <c r="M1624" s="134"/>
      <c r="N1624" s="134"/>
      <c r="O1624" s="134"/>
      <c r="P1624" s="134"/>
      <c r="Q1624" s="134"/>
      <c r="R1624" s="134"/>
      <c r="S1624" s="134"/>
      <c r="T1624" s="134"/>
      <c r="U1624" s="134"/>
      <c r="V1624" s="134"/>
      <c r="W1624" s="134"/>
      <c r="X1624" s="134"/>
      <c r="Y1624" s="134"/>
      <c r="Z1624" s="134"/>
      <c r="AA1624" s="134"/>
      <c r="AB1624" s="134"/>
      <c r="AC1624" s="134"/>
      <c r="AD1624" s="134"/>
      <c r="AE1624" s="134"/>
      <c r="AF1624" s="134"/>
      <c r="AG1624" s="134"/>
      <c r="AH1624" s="134"/>
      <c r="AI1624" s="134"/>
      <c r="AJ1624" s="134"/>
    </row>
    <row r="1625" spans="2:36">
      <c r="B1625" s="134"/>
      <c r="C1625" s="134"/>
      <c r="D1625" s="134"/>
      <c r="E1625" s="134"/>
      <c r="F1625" s="134"/>
      <c r="G1625" s="134"/>
      <c r="H1625" s="134"/>
      <c r="I1625" s="134"/>
      <c r="J1625" s="134"/>
      <c r="K1625" s="134"/>
      <c r="L1625" s="134"/>
      <c r="M1625" s="134"/>
      <c r="N1625" s="134"/>
      <c r="O1625" s="134"/>
      <c r="P1625" s="134"/>
      <c r="Q1625" s="134"/>
      <c r="R1625" s="134"/>
      <c r="S1625" s="134"/>
      <c r="T1625" s="134"/>
      <c r="U1625" s="134"/>
      <c r="V1625" s="134"/>
      <c r="W1625" s="134"/>
      <c r="X1625" s="134"/>
      <c r="Y1625" s="134"/>
      <c r="Z1625" s="134"/>
      <c r="AA1625" s="134"/>
      <c r="AB1625" s="134"/>
      <c r="AC1625" s="134"/>
      <c r="AD1625" s="134"/>
      <c r="AE1625" s="134"/>
      <c r="AF1625" s="134"/>
      <c r="AG1625" s="134"/>
      <c r="AH1625" s="134"/>
      <c r="AI1625" s="134"/>
      <c r="AJ1625" s="134"/>
    </row>
    <row r="1626" spans="2:36">
      <c r="B1626" s="134"/>
      <c r="C1626" s="134"/>
      <c r="D1626" s="134"/>
      <c r="E1626" s="134"/>
      <c r="F1626" s="134"/>
      <c r="G1626" s="134"/>
      <c r="H1626" s="134"/>
      <c r="I1626" s="134"/>
      <c r="J1626" s="134"/>
      <c r="K1626" s="134"/>
      <c r="L1626" s="134"/>
      <c r="M1626" s="134"/>
      <c r="N1626" s="134"/>
      <c r="O1626" s="134"/>
      <c r="P1626" s="134"/>
      <c r="Q1626" s="134"/>
      <c r="R1626" s="134"/>
      <c r="S1626" s="134"/>
      <c r="T1626" s="134"/>
      <c r="U1626" s="134"/>
      <c r="V1626" s="134"/>
      <c r="W1626" s="134"/>
      <c r="X1626" s="134"/>
      <c r="Y1626" s="134"/>
      <c r="Z1626" s="134"/>
      <c r="AA1626" s="134"/>
      <c r="AB1626" s="134"/>
      <c r="AC1626" s="134"/>
      <c r="AD1626" s="134"/>
      <c r="AE1626" s="134"/>
      <c r="AF1626" s="134"/>
      <c r="AG1626" s="134"/>
      <c r="AH1626" s="134"/>
      <c r="AI1626" s="134"/>
      <c r="AJ1626" s="134"/>
    </row>
    <row r="1627" spans="2:36">
      <c r="B1627" s="134"/>
      <c r="C1627" s="134"/>
      <c r="D1627" s="134"/>
      <c r="E1627" s="134"/>
      <c r="F1627" s="134"/>
      <c r="G1627" s="134"/>
      <c r="H1627" s="134"/>
      <c r="I1627" s="134"/>
      <c r="J1627" s="134"/>
      <c r="K1627" s="134"/>
      <c r="L1627" s="134"/>
      <c r="M1627" s="134"/>
      <c r="N1627" s="134"/>
      <c r="O1627" s="134"/>
      <c r="P1627" s="134"/>
      <c r="Q1627" s="134"/>
      <c r="R1627" s="134"/>
      <c r="S1627" s="134"/>
      <c r="T1627" s="134"/>
      <c r="U1627" s="134"/>
      <c r="V1627" s="134"/>
      <c r="W1627" s="134"/>
      <c r="X1627" s="134"/>
      <c r="Y1627" s="134"/>
      <c r="Z1627" s="134"/>
      <c r="AA1627" s="134"/>
      <c r="AB1627" s="134"/>
      <c r="AC1627" s="134"/>
      <c r="AD1627" s="134"/>
      <c r="AE1627" s="134"/>
      <c r="AF1627" s="134"/>
      <c r="AG1627" s="134"/>
      <c r="AH1627" s="134"/>
      <c r="AI1627" s="134"/>
      <c r="AJ1627" s="134"/>
    </row>
    <row r="1628" spans="2:36">
      <c r="B1628" s="134"/>
      <c r="C1628" s="134"/>
      <c r="D1628" s="134"/>
      <c r="E1628" s="134"/>
      <c r="F1628" s="134"/>
      <c r="G1628" s="134"/>
      <c r="H1628" s="134"/>
      <c r="I1628" s="134"/>
      <c r="J1628" s="134"/>
      <c r="K1628" s="134"/>
      <c r="L1628" s="134"/>
      <c r="M1628" s="134"/>
      <c r="N1628" s="134"/>
      <c r="O1628" s="134"/>
      <c r="P1628" s="134"/>
      <c r="Q1628" s="134"/>
      <c r="R1628" s="134"/>
      <c r="S1628" s="134"/>
      <c r="T1628" s="134"/>
      <c r="U1628" s="134"/>
      <c r="V1628" s="134"/>
      <c r="W1628" s="134"/>
      <c r="X1628" s="134"/>
      <c r="Y1628" s="134"/>
      <c r="Z1628" s="134"/>
      <c r="AA1628" s="134"/>
      <c r="AB1628" s="134"/>
      <c r="AC1628" s="134"/>
      <c r="AD1628" s="134"/>
      <c r="AE1628" s="134"/>
      <c r="AF1628" s="134"/>
      <c r="AG1628" s="134"/>
      <c r="AH1628" s="134"/>
      <c r="AI1628" s="134"/>
      <c r="AJ1628" s="134"/>
    </row>
    <row r="1629" spans="2:36">
      <c r="B1629" s="134"/>
      <c r="C1629" s="134"/>
      <c r="D1629" s="134"/>
      <c r="E1629" s="134"/>
      <c r="F1629" s="134"/>
      <c r="G1629" s="134"/>
      <c r="H1629" s="134"/>
      <c r="I1629" s="134"/>
      <c r="J1629" s="134"/>
      <c r="K1629" s="134"/>
      <c r="L1629" s="134"/>
      <c r="M1629" s="134"/>
      <c r="N1629" s="134"/>
      <c r="O1629" s="134"/>
      <c r="P1629" s="134"/>
      <c r="Q1629" s="134"/>
      <c r="R1629" s="134"/>
      <c r="S1629" s="134"/>
      <c r="T1629" s="134"/>
      <c r="U1629" s="134"/>
      <c r="V1629" s="134"/>
      <c r="W1629" s="134"/>
      <c r="X1629" s="134"/>
      <c r="Y1629" s="134"/>
      <c r="Z1629" s="134"/>
      <c r="AA1629" s="134"/>
      <c r="AB1629" s="134"/>
      <c r="AC1629" s="134"/>
      <c r="AD1629" s="134"/>
      <c r="AE1629" s="134"/>
      <c r="AF1629" s="134"/>
      <c r="AG1629" s="134"/>
      <c r="AH1629" s="134"/>
      <c r="AI1629" s="134"/>
      <c r="AJ1629" s="134"/>
    </row>
    <row r="1630" spans="2:36">
      <c r="B1630" s="134"/>
      <c r="C1630" s="134"/>
      <c r="D1630" s="134"/>
      <c r="E1630" s="134"/>
      <c r="F1630" s="134"/>
      <c r="G1630" s="134"/>
      <c r="H1630" s="134"/>
      <c r="I1630" s="134"/>
      <c r="J1630" s="134"/>
      <c r="K1630" s="134"/>
      <c r="L1630" s="134"/>
      <c r="M1630" s="134"/>
      <c r="N1630" s="134"/>
      <c r="O1630" s="134"/>
      <c r="P1630" s="134"/>
      <c r="Q1630" s="134"/>
      <c r="R1630" s="134"/>
      <c r="S1630" s="134"/>
      <c r="T1630" s="134"/>
      <c r="U1630" s="134"/>
      <c r="V1630" s="134"/>
      <c r="W1630" s="134"/>
      <c r="X1630" s="134"/>
      <c r="Y1630" s="134"/>
      <c r="Z1630" s="134"/>
      <c r="AA1630" s="134"/>
      <c r="AB1630" s="134"/>
      <c r="AC1630" s="134"/>
      <c r="AD1630" s="134"/>
      <c r="AE1630" s="134"/>
      <c r="AF1630" s="134"/>
      <c r="AG1630" s="134"/>
      <c r="AH1630" s="134"/>
      <c r="AI1630" s="134"/>
      <c r="AJ1630" s="134"/>
    </row>
    <row r="1631" spans="2:36">
      <c r="B1631" s="134"/>
      <c r="C1631" s="134"/>
      <c r="D1631" s="134"/>
      <c r="E1631" s="134"/>
      <c r="F1631" s="134"/>
      <c r="G1631" s="134"/>
      <c r="H1631" s="134"/>
      <c r="I1631" s="134"/>
      <c r="J1631" s="134"/>
      <c r="K1631" s="134"/>
      <c r="L1631" s="134"/>
      <c r="M1631" s="134"/>
      <c r="N1631" s="134"/>
      <c r="O1631" s="134"/>
      <c r="P1631" s="134"/>
      <c r="Q1631" s="134"/>
      <c r="R1631" s="134"/>
      <c r="S1631" s="134"/>
      <c r="T1631" s="134"/>
      <c r="U1631" s="134"/>
      <c r="V1631" s="134"/>
      <c r="W1631" s="134"/>
      <c r="X1631" s="134"/>
      <c r="Y1631" s="134"/>
      <c r="Z1631" s="134"/>
      <c r="AA1631" s="134"/>
      <c r="AB1631" s="134"/>
      <c r="AC1631" s="134"/>
      <c r="AD1631" s="134"/>
      <c r="AE1631" s="134"/>
      <c r="AF1631" s="134"/>
      <c r="AG1631" s="134"/>
      <c r="AH1631" s="134"/>
      <c r="AI1631" s="134"/>
      <c r="AJ1631" s="134"/>
    </row>
    <row r="1632" spans="2:36">
      <c r="B1632" s="134"/>
      <c r="C1632" s="134"/>
      <c r="D1632" s="134"/>
      <c r="E1632" s="134"/>
      <c r="F1632" s="134"/>
      <c r="G1632" s="134"/>
      <c r="H1632" s="134"/>
      <c r="I1632" s="134"/>
      <c r="J1632" s="134"/>
      <c r="K1632" s="134"/>
      <c r="L1632" s="134"/>
      <c r="M1632" s="134"/>
      <c r="N1632" s="134"/>
      <c r="O1632" s="134"/>
      <c r="P1632" s="134"/>
      <c r="Q1632" s="134"/>
      <c r="R1632" s="134"/>
      <c r="S1632" s="134"/>
      <c r="T1632" s="134"/>
      <c r="U1632" s="134"/>
      <c r="V1632" s="134"/>
      <c r="W1632" s="134"/>
      <c r="X1632" s="134"/>
      <c r="Y1632" s="134"/>
      <c r="Z1632" s="134"/>
      <c r="AA1632" s="134"/>
      <c r="AB1632" s="134"/>
      <c r="AC1632" s="134"/>
      <c r="AD1632" s="134"/>
      <c r="AE1632" s="134"/>
      <c r="AF1632" s="134"/>
      <c r="AG1632" s="134"/>
      <c r="AH1632" s="134"/>
      <c r="AI1632" s="134"/>
      <c r="AJ1632" s="134"/>
    </row>
    <row r="1633" spans="2:36">
      <c r="B1633" s="134"/>
      <c r="C1633" s="134"/>
      <c r="D1633" s="134"/>
      <c r="E1633" s="134"/>
      <c r="F1633" s="134"/>
      <c r="G1633" s="134"/>
      <c r="H1633" s="134"/>
      <c r="I1633" s="134"/>
      <c r="J1633" s="134"/>
      <c r="K1633" s="134"/>
      <c r="L1633" s="134"/>
      <c r="M1633" s="134"/>
      <c r="N1633" s="134"/>
      <c r="O1633" s="134"/>
      <c r="P1633" s="134"/>
      <c r="Q1633" s="134"/>
      <c r="R1633" s="134"/>
      <c r="S1633" s="134"/>
      <c r="T1633" s="134"/>
      <c r="U1633" s="134"/>
      <c r="V1633" s="134"/>
      <c r="W1633" s="134"/>
      <c r="X1633" s="134"/>
      <c r="Y1633" s="134"/>
      <c r="Z1633" s="134"/>
      <c r="AA1633" s="134"/>
      <c r="AB1633" s="134"/>
      <c r="AC1633" s="134"/>
      <c r="AD1633" s="134"/>
      <c r="AE1633" s="134"/>
      <c r="AF1633" s="134"/>
      <c r="AG1633" s="134"/>
      <c r="AH1633" s="134"/>
      <c r="AI1633" s="134"/>
      <c r="AJ1633" s="134"/>
    </row>
    <row r="1634" spans="2:36">
      <c r="B1634" s="134"/>
      <c r="C1634" s="134"/>
      <c r="D1634" s="134"/>
      <c r="E1634" s="134"/>
      <c r="F1634" s="134"/>
      <c r="G1634" s="134"/>
      <c r="H1634" s="134"/>
      <c r="I1634" s="134"/>
      <c r="J1634" s="134"/>
      <c r="K1634" s="134"/>
      <c r="L1634" s="134"/>
      <c r="M1634" s="134"/>
      <c r="N1634" s="134"/>
      <c r="O1634" s="134"/>
      <c r="P1634" s="134"/>
      <c r="Q1634" s="134"/>
      <c r="R1634" s="134"/>
      <c r="S1634" s="134"/>
      <c r="T1634" s="134"/>
      <c r="U1634" s="134"/>
      <c r="V1634" s="134"/>
      <c r="W1634" s="134"/>
      <c r="X1634" s="134"/>
      <c r="Y1634" s="134"/>
      <c r="Z1634" s="134"/>
      <c r="AA1634" s="134"/>
      <c r="AB1634" s="134"/>
      <c r="AC1634" s="134"/>
      <c r="AD1634" s="134"/>
      <c r="AE1634" s="134"/>
      <c r="AF1634" s="134"/>
      <c r="AG1634" s="134"/>
      <c r="AH1634" s="134"/>
      <c r="AI1634" s="134"/>
      <c r="AJ1634" s="134"/>
    </row>
    <row r="1635" spans="2:36">
      <c r="B1635" s="134"/>
      <c r="C1635" s="134"/>
      <c r="D1635" s="134"/>
      <c r="E1635" s="134"/>
      <c r="F1635" s="134"/>
      <c r="G1635" s="134"/>
      <c r="H1635" s="134"/>
      <c r="I1635" s="134"/>
      <c r="J1635" s="134"/>
      <c r="K1635" s="134"/>
      <c r="L1635" s="134"/>
      <c r="M1635" s="134"/>
      <c r="N1635" s="134"/>
      <c r="O1635" s="134"/>
      <c r="P1635" s="134"/>
      <c r="Q1635" s="134"/>
      <c r="R1635" s="134"/>
      <c r="S1635" s="134"/>
      <c r="T1635" s="134"/>
      <c r="U1635" s="134"/>
      <c r="V1635" s="134"/>
      <c r="W1635" s="134"/>
      <c r="X1635" s="134"/>
      <c r="Y1635" s="134"/>
      <c r="Z1635" s="134"/>
      <c r="AA1635" s="134"/>
      <c r="AB1635" s="134"/>
      <c r="AC1635" s="134"/>
      <c r="AD1635" s="134"/>
      <c r="AE1635" s="134"/>
      <c r="AF1635" s="134"/>
      <c r="AG1635" s="134"/>
      <c r="AH1635" s="134"/>
      <c r="AI1635" s="134"/>
      <c r="AJ1635" s="134"/>
    </row>
    <row r="1636" spans="2:36">
      <c r="B1636" s="134"/>
      <c r="C1636" s="134"/>
      <c r="D1636" s="134"/>
      <c r="E1636" s="134"/>
      <c r="F1636" s="134"/>
      <c r="G1636" s="134"/>
      <c r="H1636" s="134"/>
      <c r="I1636" s="134"/>
      <c r="J1636" s="134"/>
      <c r="K1636" s="134"/>
      <c r="L1636" s="134"/>
      <c r="M1636" s="134"/>
      <c r="N1636" s="134"/>
      <c r="O1636" s="134"/>
      <c r="P1636" s="134"/>
      <c r="Q1636" s="134"/>
      <c r="R1636" s="134"/>
      <c r="S1636" s="134"/>
      <c r="T1636" s="134"/>
      <c r="U1636" s="134"/>
      <c r="V1636" s="134"/>
      <c r="W1636" s="134"/>
      <c r="X1636" s="134"/>
      <c r="Y1636" s="134"/>
      <c r="Z1636" s="134"/>
      <c r="AA1636" s="134"/>
      <c r="AB1636" s="134"/>
      <c r="AC1636" s="134"/>
      <c r="AD1636" s="134"/>
      <c r="AE1636" s="134"/>
      <c r="AF1636" s="134"/>
      <c r="AG1636" s="134"/>
      <c r="AH1636" s="134"/>
      <c r="AI1636" s="134"/>
      <c r="AJ1636" s="134"/>
    </row>
    <row r="1637" spans="2:36">
      <c r="B1637" s="134"/>
      <c r="C1637" s="134"/>
      <c r="D1637" s="134"/>
      <c r="E1637" s="134"/>
      <c r="F1637" s="134"/>
      <c r="G1637" s="134"/>
      <c r="H1637" s="134"/>
      <c r="I1637" s="134"/>
      <c r="J1637" s="134"/>
      <c r="K1637" s="134"/>
      <c r="L1637" s="134"/>
      <c r="M1637" s="134"/>
      <c r="N1637" s="134"/>
      <c r="O1637" s="134"/>
      <c r="P1637" s="134"/>
      <c r="Q1637" s="134"/>
      <c r="R1637" s="134"/>
      <c r="S1637" s="134"/>
      <c r="T1637" s="134"/>
      <c r="U1637" s="134"/>
      <c r="V1637" s="134"/>
      <c r="W1637" s="134"/>
      <c r="X1637" s="134"/>
      <c r="Y1637" s="134"/>
      <c r="Z1637" s="134"/>
      <c r="AA1637" s="134"/>
      <c r="AB1637" s="134"/>
      <c r="AC1637" s="134"/>
      <c r="AD1637" s="134"/>
      <c r="AE1637" s="134"/>
      <c r="AF1637" s="134"/>
      <c r="AG1637" s="134"/>
      <c r="AH1637" s="134"/>
      <c r="AI1637" s="134"/>
      <c r="AJ1637" s="134"/>
    </row>
    <row r="1638" spans="2:36">
      <c r="B1638" s="134"/>
      <c r="C1638" s="134"/>
      <c r="D1638" s="134"/>
      <c r="E1638" s="134"/>
      <c r="F1638" s="134"/>
      <c r="G1638" s="134"/>
      <c r="H1638" s="134"/>
      <c r="I1638" s="134"/>
      <c r="J1638" s="134"/>
      <c r="K1638" s="134"/>
      <c r="L1638" s="134"/>
      <c r="M1638" s="134"/>
      <c r="N1638" s="134"/>
      <c r="O1638" s="134"/>
      <c r="P1638" s="134"/>
      <c r="Q1638" s="134"/>
      <c r="R1638" s="134"/>
      <c r="S1638" s="134"/>
      <c r="T1638" s="134"/>
      <c r="U1638" s="134"/>
      <c r="V1638" s="134"/>
      <c r="W1638" s="134"/>
      <c r="X1638" s="134"/>
      <c r="Y1638" s="134"/>
      <c r="Z1638" s="134"/>
      <c r="AA1638" s="134"/>
      <c r="AB1638" s="134"/>
      <c r="AC1638" s="134"/>
      <c r="AD1638" s="134"/>
      <c r="AE1638" s="134"/>
      <c r="AF1638" s="134"/>
      <c r="AG1638" s="134"/>
      <c r="AH1638" s="134"/>
      <c r="AI1638" s="134"/>
      <c r="AJ1638" s="134"/>
    </row>
    <row r="1639" spans="2:36">
      <c r="B1639" s="134"/>
      <c r="C1639" s="134"/>
      <c r="D1639" s="134"/>
      <c r="E1639" s="134"/>
      <c r="F1639" s="134"/>
      <c r="G1639" s="134"/>
      <c r="H1639" s="134"/>
      <c r="I1639" s="134"/>
      <c r="J1639" s="134"/>
      <c r="K1639" s="134"/>
      <c r="L1639" s="134"/>
      <c r="M1639" s="134"/>
      <c r="N1639" s="134"/>
      <c r="O1639" s="134"/>
      <c r="P1639" s="134"/>
      <c r="Q1639" s="134"/>
      <c r="R1639" s="134"/>
      <c r="S1639" s="134"/>
      <c r="T1639" s="134"/>
      <c r="U1639" s="134"/>
      <c r="V1639" s="134"/>
      <c r="W1639" s="134"/>
      <c r="X1639" s="134"/>
      <c r="Y1639" s="134"/>
      <c r="Z1639" s="134"/>
      <c r="AA1639" s="134"/>
      <c r="AB1639" s="134"/>
      <c r="AC1639" s="134"/>
      <c r="AD1639" s="134"/>
      <c r="AE1639" s="134"/>
      <c r="AF1639" s="134"/>
      <c r="AG1639" s="134"/>
      <c r="AH1639" s="134"/>
      <c r="AI1639" s="134"/>
      <c r="AJ1639" s="134"/>
    </row>
    <row r="1640" spans="2:36">
      <c r="B1640" s="134"/>
      <c r="C1640" s="134"/>
      <c r="D1640" s="134"/>
      <c r="E1640" s="134"/>
      <c r="F1640" s="134"/>
      <c r="G1640" s="134"/>
      <c r="H1640" s="134"/>
      <c r="I1640" s="134"/>
      <c r="J1640" s="134"/>
      <c r="K1640" s="134"/>
      <c r="L1640" s="134"/>
      <c r="M1640" s="134"/>
      <c r="N1640" s="134"/>
      <c r="O1640" s="134"/>
      <c r="P1640" s="134"/>
      <c r="Q1640" s="134"/>
      <c r="R1640" s="134"/>
      <c r="S1640" s="134"/>
      <c r="T1640" s="134"/>
      <c r="U1640" s="134"/>
      <c r="V1640" s="134"/>
      <c r="W1640" s="134"/>
      <c r="X1640" s="134"/>
      <c r="Y1640" s="134"/>
      <c r="Z1640" s="134"/>
      <c r="AA1640" s="134"/>
      <c r="AB1640" s="134"/>
      <c r="AC1640" s="134"/>
      <c r="AD1640" s="134"/>
      <c r="AE1640" s="134"/>
      <c r="AF1640" s="134"/>
      <c r="AG1640" s="134"/>
      <c r="AH1640" s="134"/>
      <c r="AI1640" s="134"/>
      <c r="AJ1640" s="134"/>
    </row>
    <row r="1641" spans="2:36">
      <c r="B1641" s="134"/>
      <c r="C1641" s="134"/>
      <c r="D1641" s="134"/>
      <c r="E1641" s="134"/>
      <c r="F1641" s="134"/>
      <c r="G1641" s="134"/>
      <c r="H1641" s="134"/>
      <c r="I1641" s="134"/>
      <c r="J1641" s="134"/>
      <c r="K1641" s="134"/>
      <c r="L1641" s="134"/>
      <c r="M1641" s="134"/>
      <c r="N1641" s="134"/>
      <c r="O1641" s="134"/>
      <c r="P1641" s="134"/>
      <c r="Q1641" s="134"/>
      <c r="R1641" s="134"/>
      <c r="S1641" s="134"/>
      <c r="T1641" s="134"/>
      <c r="U1641" s="134"/>
      <c r="V1641" s="134"/>
      <c r="W1641" s="134"/>
      <c r="X1641" s="134"/>
      <c r="Y1641" s="134"/>
      <c r="Z1641" s="134"/>
      <c r="AA1641" s="134"/>
      <c r="AB1641" s="134"/>
      <c r="AC1641" s="134"/>
      <c r="AD1641" s="134"/>
      <c r="AE1641" s="134"/>
      <c r="AF1641" s="134"/>
      <c r="AG1641" s="134"/>
      <c r="AH1641" s="134"/>
      <c r="AI1641" s="134"/>
      <c r="AJ1641" s="134"/>
    </row>
    <row r="1642" spans="2:36">
      <c r="B1642" s="134"/>
      <c r="C1642" s="134"/>
      <c r="D1642" s="134"/>
      <c r="E1642" s="134"/>
      <c r="F1642" s="134"/>
      <c r="G1642" s="134"/>
      <c r="H1642" s="134"/>
      <c r="I1642" s="134"/>
      <c r="J1642" s="134"/>
      <c r="K1642" s="134"/>
      <c r="L1642" s="134"/>
      <c r="M1642" s="134"/>
      <c r="N1642" s="134"/>
      <c r="O1642" s="134"/>
      <c r="P1642" s="134"/>
      <c r="Q1642" s="134"/>
      <c r="R1642" s="134"/>
      <c r="S1642" s="134"/>
      <c r="T1642" s="134"/>
      <c r="U1642" s="134"/>
      <c r="V1642" s="134"/>
      <c r="W1642" s="134"/>
      <c r="X1642" s="134"/>
      <c r="Y1642" s="134"/>
      <c r="Z1642" s="134"/>
      <c r="AA1642" s="134"/>
      <c r="AB1642" s="134"/>
      <c r="AC1642" s="134"/>
      <c r="AD1642" s="134"/>
      <c r="AE1642" s="134"/>
      <c r="AF1642" s="134"/>
      <c r="AG1642" s="134"/>
      <c r="AH1642" s="134"/>
      <c r="AI1642" s="134"/>
      <c r="AJ1642" s="134"/>
    </row>
    <row r="1643" spans="2:36">
      <c r="B1643" s="134"/>
      <c r="C1643" s="134"/>
      <c r="D1643" s="134"/>
      <c r="E1643" s="134"/>
      <c r="F1643" s="134"/>
      <c r="G1643" s="134"/>
      <c r="H1643" s="134"/>
      <c r="I1643" s="134"/>
      <c r="J1643" s="134"/>
      <c r="K1643" s="134"/>
      <c r="L1643" s="134"/>
      <c r="M1643" s="134"/>
      <c r="N1643" s="134"/>
      <c r="O1643" s="134"/>
      <c r="P1643" s="134"/>
      <c r="Q1643" s="134"/>
      <c r="R1643" s="134"/>
      <c r="S1643" s="134"/>
      <c r="T1643" s="134"/>
      <c r="U1643" s="134"/>
      <c r="V1643" s="134"/>
      <c r="W1643" s="134"/>
      <c r="X1643" s="134"/>
      <c r="Y1643" s="134"/>
      <c r="Z1643" s="134"/>
      <c r="AA1643" s="134"/>
      <c r="AB1643" s="134"/>
      <c r="AC1643" s="134"/>
      <c r="AD1643" s="134"/>
      <c r="AE1643" s="134"/>
      <c r="AF1643" s="134"/>
      <c r="AG1643" s="134"/>
      <c r="AH1643" s="134"/>
      <c r="AI1643" s="134"/>
      <c r="AJ1643" s="134"/>
    </row>
    <row r="1644" spans="2:36">
      <c r="B1644" s="134"/>
      <c r="C1644" s="134"/>
      <c r="D1644" s="134"/>
      <c r="E1644" s="134"/>
      <c r="F1644" s="134"/>
      <c r="G1644" s="134"/>
      <c r="H1644" s="134"/>
      <c r="I1644" s="134"/>
      <c r="J1644" s="134"/>
      <c r="K1644" s="134"/>
      <c r="L1644" s="134"/>
      <c r="M1644" s="134"/>
      <c r="N1644" s="134"/>
      <c r="O1644" s="134"/>
      <c r="P1644" s="134"/>
      <c r="Q1644" s="134"/>
      <c r="R1644" s="134"/>
      <c r="S1644" s="134"/>
      <c r="T1644" s="134"/>
      <c r="U1644" s="134"/>
      <c r="V1644" s="134"/>
      <c r="W1644" s="134"/>
      <c r="X1644" s="134"/>
      <c r="Y1644" s="134"/>
      <c r="Z1644" s="134"/>
      <c r="AA1644" s="134"/>
      <c r="AB1644" s="134"/>
      <c r="AC1644" s="134"/>
      <c r="AD1644" s="134"/>
      <c r="AE1644" s="134"/>
      <c r="AF1644" s="134"/>
      <c r="AG1644" s="134"/>
      <c r="AH1644" s="134"/>
      <c r="AI1644" s="134"/>
      <c r="AJ1644" s="134"/>
    </row>
    <row r="1645" spans="2:36">
      <c r="B1645" s="134"/>
      <c r="C1645" s="134"/>
      <c r="D1645" s="134"/>
      <c r="E1645" s="134"/>
      <c r="F1645" s="134"/>
      <c r="G1645" s="134"/>
      <c r="H1645" s="134"/>
      <c r="I1645" s="134"/>
      <c r="J1645" s="134"/>
      <c r="K1645" s="134"/>
      <c r="L1645" s="134"/>
      <c r="M1645" s="134"/>
      <c r="N1645" s="134"/>
      <c r="O1645" s="134"/>
      <c r="P1645" s="134"/>
      <c r="Q1645" s="134"/>
      <c r="R1645" s="134"/>
      <c r="S1645" s="134"/>
      <c r="T1645" s="134"/>
      <c r="U1645" s="134"/>
      <c r="V1645" s="134"/>
      <c r="W1645" s="134"/>
      <c r="X1645" s="134"/>
      <c r="Y1645" s="134"/>
      <c r="Z1645" s="134"/>
      <c r="AA1645" s="134"/>
      <c r="AB1645" s="134"/>
      <c r="AC1645" s="134"/>
      <c r="AD1645" s="134"/>
      <c r="AE1645" s="134"/>
      <c r="AF1645" s="134"/>
      <c r="AG1645" s="134"/>
      <c r="AH1645" s="134"/>
      <c r="AI1645" s="134"/>
      <c r="AJ1645" s="134"/>
    </row>
    <row r="1646" spans="2:36">
      <c r="B1646" s="134"/>
      <c r="C1646" s="134"/>
      <c r="D1646" s="134"/>
      <c r="E1646" s="134"/>
      <c r="F1646" s="134"/>
      <c r="G1646" s="134"/>
      <c r="H1646" s="134"/>
      <c r="I1646" s="134"/>
      <c r="J1646" s="134"/>
      <c r="K1646" s="134"/>
      <c r="L1646" s="134"/>
      <c r="M1646" s="134"/>
      <c r="N1646" s="134"/>
      <c r="O1646" s="134"/>
      <c r="P1646" s="134"/>
      <c r="Q1646" s="134"/>
      <c r="R1646" s="134"/>
      <c r="S1646" s="134"/>
      <c r="T1646" s="134"/>
      <c r="U1646" s="134"/>
      <c r="V1646" s="134"/>
      <c r="W1646" s="134"/>
      <c r="X1646" s="134"/>
      <c r="Y1646" s="134"/>
      <c r="Z1646" s="134"/>
      <c r="AA1646" s="134"/>
      <c r="AB1646" s="134"/>
      <c r="AC1646" s="134"/>
      <c r="AD1646" s="134"/>
      <c r="AE1646" s="134"/>
      <c r="AF1646" s="134"/>
      <c r="AG1646" s="134"/>
      <c r="AH1646" s="134"/>
      <c r="AI1646" s="134"/>
      <c r="AJ1646" s="134"/>
    </row>
    <row r="1647" spans="2:36">
      <c r="B1647" s="134"/>
      <c r="C1647" s="134"/>
      <c r="D1647" s="134"/>
      <c r="E1647" s="134"/>
      <c r="F1647" s="134"/>
      <c r="G1647" s="134"/>
      <c r="H1647" s="134"/>
      <c r="I1647" s="134"/>
      <c r="J1647" s="134"/>
      <c r="K1647" s="134"/>
      <c r="L1647" s="134"/>
      <c r="M1647" s="134"/>
      <c r="N1647" s="134"/>
      <c r="O1647" s="134"/>
      <c r="P1647" s="134"/>
      <c r="Q1647" s="134"/>
      <c r="R1647" s="134"/>
      <c r="S1647" s="134"/>
      <c r="T1647" s="134"/>
      <c r="U1647" s="134"/>
      <c r="V1647" s="134"/>
      <c r="W1647" s="134"/>
      <c r="X1647" s="134"/>
      <c r="Y1647" s="134"/>
      <c r="Z1647" s="134"/>
      <c r="AA1647" s="134"/>
      <c r="AB1647" s="134"/>
      <c r="AC1647" s="134"/>
      <c r="AD1647" s="134"/>
      <c r="AE1647" s="134"/>
      <c r="AF1647" s="134"/>
      <c r="AG1647" s="134"/>
      <c r="AH1647" s="134"/>
      <c r="AI1647" s="134"/>
      <c r="AJ1647" s="134"/>
    </row>
    <row r="1648" spans="2:36">
      <c r="B1648" s="134"/>
      <c r="C1648" s="134"/>
      <c r="D1648" s="134"/>
      <c r="E1648" s="134"/>
      <c r="F1648" s="134"/>
      <c r="G1648" s="134"/>
      <c r="H1648" s="134"/>
      <c r="I1648" s="134"/>
      <c r="J1648" s="134"/>
      <c r="K1648" s="134"/>
      <c r="L1648" s="134"/>
      <c r="M1648" s="134"/>
      <c r="N1648" s="134"/>
      <c r="O1648" s="134"/>
      <c r="P1648" s="134"/>
      <c r="Q1648" s="134"/>
      <c r="R1648" s="134"/>
      <c r="S1648" s="134"/>
      <c r="T1648" s="134"/>
      <c r="U1648" s="134"/>
      <c r="V1648" s="134"/>
      <c r="W1648" s="134"/>
      <c r="X1648" s="134"/>
      <c r="Y1648" s="134"/>
      <c r="Z1648" s="134"/>
      <c r="AA1648" s="134"/>
      <c r="AB1648" s="134"/>
      <c r="AC1648" s="134"/>
      <c r="AD1648" s="134"/>
      <c r="AE1648" s="134"/>
      <c r="AF1648" s="134"/>
      <c r="AG1648" s="134"/>
      <c r="AH1648" s="134"/>
      <c r="AI1648" s="134"/>
      <c r="AJ1648" s="134"/>
    </row>
    <row r="1649" spans="2:36">
      <c r="B1649" s="134"/>
      <c r="C1649" s="134"/>
      <c r="D1649" s="134"/>
      <c r="E1649" s="134"/>
      <c r="F1649" s="134"/>
      <c r="G1649" s="134"/>
      <c r="H1649" s="134"/>
      <c r="I1649" s="134"/>
      <c r="J1649" s="134"/>
      <c r="K1649" s="134"/>
      <c r="L1649" s="134"/>
      <c r="M1649" s="134"/>
      <c r="N1649" s="134"/>
      <c r="O1649" s="134"/>
      <c r="P1649" s="134"/>
      <c r="Q1649" s="134"/>
      <c r="R1649" s="134"/>
      <c r="S1649" s="134"/>
      <c r="T1649" s="134"/>
      <c r="U1649" s="134"/>
      <c r="V1649" s="134"/>
      <c r="W1649" s="134"/>
      <c r="X1649" s="134"/>
      <c r="Y1649" s="134"/>
      <c r="Z1649" s="134"/>
      <c r="AA1649" s="134"/>
      <c r="AB1649" s="134"/>
      <c r="AC1649" s="134"/>
      <c r="AD1649" s="134"/>
      <c r="AE1649" s="134"/>
      <c r="AF1649" s="134"/>
      <c r="AG1649" s="134"/>
      <c r="AH1649" s="134"/>
      <c r="AI1649" s="134"/>
      <c r="AJ1649" s="134"/>
    </row>
    <row r="1650" spans="2:36">
      <c r="B1650" s="134"/>
      <c r="C1650" s="134"/>
      <c r="D1650" s="134"/>
      <c r="E1650" s="134"/>
      <c r="F1650" s="134"/>
      <c r="G1650" s="134"/>
      <c r="H1650" s="134"/>
      <c r="I1650" s="134"/>
      <c r="J1650" s="134"/>
      <c r="K1650" s="134"/>
      <c r="L1650" s="134"/>
      <c r="M1650" s="134"/>
      <c r="N1650" s="134"/>
      <c r="O1650" s="134"/>
      <c r="P1650" s="134"/>
      <c r="Q1650" s="134"/>
      <c r="R1650" s="134"/>
      <c r="S1650" s="134"/>
      <c r="T1650" s="134"/>
      <c r="U1650" s="134"/>
      <c r="V1650" s="134"/>
      <c r="W1650" s="134"/>
      <c r="X1650" s="134"/>
      <c r="Y1650" s="134"/>
      <c r="Z1650" s="134"/>
      <c r="AA1650" s="134"/>
      <c r="AB1650" s="134"/>
      <c r="AC1650" s="134"/>
      <c r="AD1650" s="134"/>
      <c r="AE1650" s="134"/>
      <c r="AF1650" s="134"/>
      <c r="AG1650" s="134"/>
      <c r="AH1650" s="134"/>
      <c r="AI1650" s="134"/>
      <c r="AJ1650" s="134"/>
    </row>
    <row r="1651" spans="2:36">
      <c r="B1651" s="134"/>
      <c r="C1651" s="134"/>
      <c r="D1651" s="134"/>
      <c r="E1651" s="134"/>
      <c r="F1651" s="134"/>
      <c r="G1651" s="134"/>
      <c r="H1651" s="134"/>
      <c r="I1651" s="134"/>
      <c r="J1651" s="134"/>
      <c r="K1651" s="134"/>
      <c r="L1651" s="134"/>
      <c r="M1651" s="134"/>
      <c r="N1651" s="134"/>
      <c r="O1651" s="134"/>
      <c r="P1651" s="134"/>
      <c r="Q1651" s="134"/>
      <c r="R1651" s="134"/>
      <c r="S1651" s="134"/>
      <c r="T1651" s="134"/>
      <c r="U1651" s="134"/>
      <c r="V1651" s="134"/>
      <c r="W1651" s="134"/>
      <c r="X1651" s="134"/>
      <c r="Y1651" s="134"/>
      <c r="Z1651" s="134"/>
      <c r="AA1651" s="134"/>
      <c r="AB1651" s="134"/>
      <c r="AC1651" s="134"/>
      <c r="AD1651" s="134"/>
      <c r="AE1651" s="134"/>
      <c r="AF1651" s="134"/>
      <c r="AG1651" s="134"/>
      <c r="AH1651" s="134"/>
      <c r="AI1651" s="134"/>
      <c r="AJ1651" s="134"/>
    </row>
    <row r="1652" spans="2:36">
      <c r="B1652" s="134"/>
      <c r="C1652" s="134"/>
      <c r="D1652" s="134"/>
      <c r="E1652" s="134"/>
      <c r="F1652" s="134"/>
      <c r="G1652" s="134"/>
      <c r="H1652" s="134"/>
      <c r="I1652" s="134"/>
      <c r="J1652" s="134"/>
      <c r="K1652" s="134"/>
      <c r="L1652" s="134"/>
      <c r="M1652" s="134"/>
      <c r="N1652" s="134"/>
      <c r="O1652" s="134"/>
      <c r="P1652" s="134"/>
      <c r="Q1652" s="134"/>
      <c r="R1652" s="134"/>
      <c r="S1652" s="134"/>
      <c r="T1652" s="134"/>
      <c r="U1652" s="134"/>
      <c r="V1652" s="134"/>
      <c r="W1652" s="134"/>
      <c r="X1652" s="134"/>
      <c r="Y1652" s="134"/>
      <c r="Z1652" s="134"/>
      <c r="AA1652" s="134"/>
      <c r="AB1652" s="134"/>
      <c r="AC1652" s="134"/>
      <c r="AD1652" s="134"/>
      <c r="AE1652" s="134"/>
      <c r="AF1652" s="134"/>
      <c r="AG1652" s="134"/>
      <c r="AH1652" s="134"/>
      <c r="AI1652" s="134"/>
      <c r="AJ1652" s="134"/>
    </row>
    <row r="1653" spans="2:36">
      <c r="B1653" s="134"/>
      <c r="C1653" s="134"/>
      <c r="D1653" s="134"/>
      <c r="E1653" s="134"/>
      <c r="F1653" s="134"/>
      <c r="G1653" s="134"/>
      <c r="H1653" s="134"/>
      <c r="I1653" s="134"/>
      <c r="J1653" s="134"/>
      <c r="K1653" s="134"/>
      <c r="L1653" s="134"/>
      <c r="M1653" s="134"/>
      <c r="N1653" s="134"/>
      <c r="O1653" s="134"/>
      <c r="P1653" s="134"/>
      <c r="Q1653" s="134"/>
      <c r="R1653" s="134"/>
      <c r="S1653" s="134"/>
      <c r="T1653" s="134"/>
      <c r="U1653" s="134"/>
      <c r="V1653" s="134"/>
      <c r="W1653" s="134"/>
      <c r="X1653" s="134"/>
      <c r="Y1653" s="134"/>
      <c r="Z1653" s="134"/>
      <c r="AA1653" s="134"/>
      <c r="AB1653" s="134"/>
      <c r="AC1653" s="134"/>
      <c r="AD1653" s="134"/>
      <c r="AE1653" s="134"/>
      <c r="AF1653" s="134"/>
      <c r="AG1653" s="134"/>
      <c r="AH1653" s="134"/>
      <c r="AI1653" s="134"/>
      <c r="AJ1653" s="134"/>
    </row>
    <row r="1654" spans="2:36">
      <c r="B1654" s="134"/>
      <c r="C1654" s="134"/>
      <c r="D1654" s="134"/>
      <c r="E1654" s="134"/>
      <c r="F1654" s="134"/>
      <c r="G1654" s="134"/>
      <c r="H1654" s="134"/>
      <c r="I1654" s="134"/>
      <c r="J1654" s="134"/>
      <c r="K1654" s="134"/>
      <c r="L1654" s="134"/>
      <c r="M1654" s="134"/>
      <c r="N1654" s="134"/>
      <c r="O1654" s="134"/>
      <c r="P1654" s="134"/>
      <c r="Q1654" s="134"/>
      <c r="R1654" s="134"/>
      <c r="S1654" s="134"/>
      <c r="T1654" s="134"/>
      <c r="U1654" s="134"/>
      <c r="V1654" s="134"/>
      <c r="W1654" s="134"/>
      <c r="X1654" s="134"/>
      <c r="Y1654" s="134"/>
      <c r="Z1654" s="134"/>
      <c r="AA1654" s="134"/>
      <c r="AB1654" s="134"/>
      <c r="AC1654" s="134"/>
      <c r="AD1654" s="134"/>
      <c r="AE1654" s="134"/>
      <c r="AF1654" s="134"/>
      <c r="AG1654" s="134"/>
      <c r="AH1654" s="134"/>
      <c r="AI1654" s="134"/>
      <c r="AJ1654" s="134"/>
    </row>
    <row r="1655" spans="2:36">
      <c r="B1655" s="134"/>
      <c r="C1655" s="134"/>
      <c r="D1655" s="134"/>
      <c r="E1655" s="134"/>
      <c r="F1655" s="134"/>
      <c r="G1655" s="134"/>
      <c r="H1655" s="134"/>
      <c r="I1655" s="134"/>
      <c r="J1655" s="134"/>
      <c r="K1655" s="134"/>
      <c r="L1655" s="134"/>
      <c r="M1655" s="134"/>
      <c r="N1655" s="134"/>
      <c r="O1655" s="134"/>
      <c r="P1655" s="134"/>
      <c r="Q1655" s="134"/>
      <c r="R1655" s="134"/>
      <c r="S1655" s="134"/>
      <c r="T1655" s="134"/>
      <c r="U1655" s="134"/>
      <c r="V1655" s="134"/>
      <c r="W1655" s="134"/>
      <c r="X1655" s="134"/>
      <c r="Y1655" s="134"/>
      <c r="Z1655" s="134"/>
      <c r="AA1655" s="134"/>
      <c r="AB1655" s="134"/>
      <c r="AC1655" s="134"/>
      <c r="AD1655" s="134"/>
      <c r="AE1655" s="134"/>
      <c r="AF1655" s="134"/>
      <c r="AG1655" s="134"/>
      <c r="AH1655" s="134"/>
      <c r="AI1655" s="134"/>
      <c r="AJ1655" s="134"/>
    </row>
    <row r="1656" spans="2:36">
      <c r="B1656" s="134"/>
      <c r="C1656" s="134"/>
      <c r="D1656" s="134"/>
      <c r="E1656" s="134"/>
      <c r="F1656" s="134"/>
      <c r="G1656" s="134"/>
      <c r="H1656" s="134"/>
      <c r="I1656" s="134"/>
      <c r="J1656" s="134"/>
      <c r="K1656" s="134"/>
      <c r="L1656" s="134"/>
      <c r="M1656" s="134"/>
      <c r="N1656" s="134"/>
      <c r="O1656" s="134"/>
      <c r="P1656" s="134"/>
      <c r="Q1656" s="134"/>
      <c r="R1656" s="134"/>
      <c r="S1656" s="134"/>
      <c r="T1656" s="134"/>
      <c r="U1656" s="134"/>
      <c r="V1656" s="134"/>
      <c r="W1656" s="134"/>
      <c r="X1656" s="134"/>
      <c r="Y1656" s="134"/>
      <c r="Z1656" s="134"/>
      <c r="AA1656" s="134"/>
      <c r="AB1656" s="134"/>
      <c r="AC1656" s="134"/>
      <c r="AD1656" s="134"/>
      <c r="AE1656" s="134"/>
      <c r="AF1656" s="134"/>
      <c r="AG1656" s="134"/>
      <c r="AH1656" s="134"/>
      <c r="AI1656" s="134"/>
      <c r="AJ1656" s="134"/>
    </row>
    <row r="1657" spans="2:36">
      <c r="B1657" s="134"/>
      <c r="C1657" s="134"/>
      <c r="D1657" s="134"/>
      <c r="E1657" s="134"/>
      <c r="F1657" s="134"/>
      <c r="G1657" s="134"/>
      <c r="H1657" s="134"/>
      <c r="I1657" s="134"/>
      <c r="J1657" s="134"/>
      <c r="K1657" s="134"/>
      <c r="L1657" s="134"/>
      <c r="M1657" s="134"/>
      <c r="N1657" s="134"/>
      <c r="O1657" s="134"/>
      <c r="P1657" s="134"/>
      <c r="Q1657" s="134"/>
      <c r="R1657" s="134"/>
      <c r="S1657" s="134"/>
      <c r="T1657" s="134"/>
      <c r="U1657" s="134"/>
      <c r="V1657" s="134"/>
      <c r="W1657" s="134"/>
      <c r="X1657" s="134"/>
      <c r="Y1657" s="134"/>
      <c r="Z1657" s="134"/>
      <c r="AA1657" s="134"/>
      <c r="AB1657" s="134"/>
      <c r="AC1657" s="134"/>
      <c r="AD1657" s="134"/>
      <c r="AE1657" s="134"/>
      <c r="AF1657" s="134"/>
      <c r="AG1657" s="134"/>
      <c r="AH1657" s="134"/>
      <c r="AI1657" s="134"/>
      <c r="AJ1657" s="134"/>
    </row>
    <row r="1658" spans="2:36">
      <c r="B1658" s="134"/>
      <c r="C1658" s="134"/>
      <c r="D1658" s="134"/>
      <c r="E1658" s="134"/>
      <c r="F1658" s="134"/>
      <c r="G1658" s="134"/>
      <c r="H1658" s="134"/>
      <c r="I1658" s="134"/>
      <c r="J1658" s="134"/>
      <c r="K1658" s="134"/>
      <c r="L1658" s="134"/>
      <c r="M1658" s="134"/>
      <c r="N1658" s="134"/>
      <c r="O1658" s="134"/>
      <c r="P1658" s="134"/>
      <c r="Q1658" s="134"/>
      <c r="R1658" s="134"/>
      <c r="S1658" s="134"/>
      <c r="T1658" s="134"/>
      <c r="U1658" s="134"/>
      <c r="V1658" s="134"/>
      <c r="W1658" s="134"/>
      <c r="X1658" s="134"/>
      <c r="Y1658" s="134"/>
      <c r="Z1658" s="134"/>
      <c r="AA1658" s="134"/>
      <c r="AB1658" s="134"/>
      <c r="AC1658" s="134"/>
      <c r="AD1658" s="134"/>
      <c r="AE1658" s="134"/>
      <c r="AF1658" s="134"/>
      <c r="AG1658" s="134"/>
      <c r="AH1658" s="134"/>
      <c r="AI1658" s="134"/>
      <c r="AJ1658" s="134"/>
    </row>
    <row r="1659" spans="2:36">
      <c r="B1659" s="134"/>
      <c r="C1659" s="134"/>
      <c r="D1659" s="134"/>
      <c r="E1659" s="134"/>
      <c r="F1659" s="134"/>
      <c r="G1659" s="134"/>
      <c r="H1659" s="134"/>
      <c r="I1659" s="134"/>
      <c r="J1659" s="134"/>
      <c r="K1659" s="134"/>
      <c r="L1659" s="134"/>
      <c r="M1659" s="134"/>
      <c r="N1659" s="134"/>
      <c r="O1659" s="134"/>
      <c r="P1659" s="134"/>
      <c r="Q1659" s="134"/>
      <c r="R1659" s="134"/>
      <c r="S1659" s="134"/>
      <c r="T1659" s="134"/>
      <c r="U1659" s="134"/>
      <c r="V1659" s="134"/>
      <c r="W1659" s="134"/>
      <c r="X1659" s="134"/>
      <c r="Y1659" s="134"/>
      <c r="Z1659" s="134"/>
      <c r="AA1659" s="134"/>
      <c r="AB1659" s="134"/>
      <c r="AC1659" s="134"/>
      <c r="AD1659" s="134"/>
      <c r="AE1659" s="134"/>
      <c r="AF1659" s="134"/>
      <c r="AG1659" s="134"/>
      <c r="AH1659" s="134"/>
      <c r="AI1659" s="134"/>
      <c r="AJ1659" s="134"/>
    </row>
    <row r="1660" spans="2:36">
      <c r="B1660" s="134"/>
      <c r="C1660" s="134"/>
      <c r="D1660" s="134"/>
      <c r="E1660" s="134"/>
      <c r="F1660" s="134"/>
      <c r="G1660" s="134"/>
      <c r="H1660" s="134"/>
      <c r="I1660" s="134"/>
      <c r="J1660" s="134"/>
      <c r="K1660" s="134"/>
      <c r="L1660" s="134"/>
      <c r="M1660" s="134"/>
      <c r="N1660" s="134"/>
      <c r="O1660" s="134"/>
      <c r="P1660" s="134"/>
      <c r="Q1660" s="134"/>
      <c r="R1660" s="134"/>
      <c r="S1660" s="134"/>
      <c r="T1660" s="134"/>
      <c r="U1660" s="134"/>
      <c r="V1660" s="134"/>
      <c r="W1660" s="134"/>
      <c r="X1660" s="134"/>
      <c r="Y1660" s="134"/>
      <c r="Z1660" s="134"/>
      <c r="AA1660" s="134"/>
      <c r="AB1660" s="134"/>
      <c r="AC1660" s="134"/>
      <c r="AD1660" s="134"/>
      <c r="AE1660" s="134"/>
      <c r="AF1660" s="134"/>
      <c r="AG1660" s="134"/>
      <c r="AH1660" s="134"/>
      <c r="AI1660" s="134"/>
      <c r="AJ1660" s="134"/>
    </row>
    <row r="1661" spans="2:36">
      <c r="B1661" s="134"/>
      <c r="C1661" s="134"/>
      <c r="D1661" s="134"/>
      <c r="E1661" s="134"/>
      <c r="F1661" s="134"/>
      <c r="G1661" s="134"/>
      <c r="H1661" s="134"/>
      <c r="I1661" s="134"/>
      <c r="J1661" s="134"/>
      <c r="K1661" s="134"/>
      <c r="L1661" s="134"/>
      <c r="M1661" s="134"/>
      <c r="N1661" s="134"/>
      <c r="O1661" s="134"/>
      <c r="P1661" s="134"/>
      <c r="Q1661" s="134"/>
      <c r="R1661" s="134"/>
      <c r="S1661" s="134"/>
      <c r="T1661" s="134"/>
      <c r="U1661" s="134"/>
      <c r="V1661" s="134"/>
      <c r="W1661" s="134"/>
      <c r="X1661" s="134"/>
      <c r="Y1661" s="134"/>
      <c r="Z1661" s="134"/>
      <c r="AA1661" s="134"/>
      <c r="AB1661" s="134"/>
      <c r="AC1661" s="134"/>
      <c r="AD1661" s="134"/>
      <c r="AE1661" s="134"/>
      <c r="AF1661" s="134"/>
      <c r="AG1661" s="134"/>
      <c r="AH1661" s="134"/>
      <c r="AI1661" s="134"/>
      <c r="AJ1661" s="134"/>
    </row>
    <row r="1662" spans="2:36">
      <c r="B1662" s="134"/>
      <c r="C1662" s="134"/>
      <c r="D1662" s="134"/>
      <c r="E1662" s="134"/>
      <c r="F1662" s="134"/>
      <c r="G1662" s="134"/>
      <c r="H1662" s="134"/>
      <c r="I1662" s="134"/>
      <c r="J1662" s="134"/>
      <c r="K1662" s="134"/>
      <c r="L1662" s="134"/>
      <c r="M1662" s="134"/>
      <c r="N1662" s="134"/>
      <c r="O1662" s="134"/>
      <c r="P1662" s="134"/>
      <c r="Q1662" s="134"/>
      <c r="R1662" s="134"/>
      <c r="S1662" s="134"/>
      <c r="T1662" s="134"/>
      <c r="U1662" s="134"/>
      <c r="V1662" s="134"/>
      <c r="W1662" s="134"/>
      <c r="X1662" s="134"/>
      <c r="Y1662" s="134"/>
      <c r="Z1662" s="134"/>
      <c r="AA1662" s="134"/>
      <c r="AB1662" s="134"/>
      <c r="AC1662" s="134"/>
      <c r="AD1662" s="134"/>
      <c r="AE1662" s="134"/>
      <c r="AF1662" s="134"/>
      <c r="AG1662" s="134"/>
      <c r="AH1662" s="134"/>
      <c r="AI1662" s="134"/>
      <c r="AJ1662" s="134"/>
    </row>
    <row r="1663" spans="2:36">
      <c r="B1663" s="134"/>
      <c r="C1663" s="134"/>
      <c r="D1663" s="134"/>
      <c r="E1663" s="134"/>
      <c r="F1663" s="134"/>
      <c r="G1663" s="134"/>
      <c r="H1663" s="134"/>
      <c r="I1663" s="134"/>
      <c r="J1663" s="134"/>
      <c r="K1663" s="134"/>
      <c r="L1663" s="134"/>
      <c r="M1663" s="134"/>
      <c r="N1663" s="134"/>
      <c r="O1663" s="134"/>
      <c r="P1663" s="134"/>
      <c r="Q1663" s="134"/>
      <c r="R1663" s="134"/>
      <c r="S1663" s="134"/>
      <c r="T1663" s="134"/>
      <c r="U1663" s="134"/>
      <c r="V1663" s="134"/>
      <c r="W1663" s="134"/>
      <c r="X1663" s="134"/>
      <c r="Y1663" s="134"/>
      <c r="Z1663" s="134"/>
      <c r="AA1663" s="134"/>
      <c r="AB1663" s="134"/>
      <c r="AC1663" s="134"/>
      <c r="AD1663" s="134"/>
      <c r="AE1663" s="134"/>
      <c r="AF1663" s="134"/>
      <c r="AG1663" s="134"/>
      <c r="AH1663" s="134"/>
      <c r="AI1663" s="134"/>
      <c r="AJ1663" s="134"/>
    </row>
    <row r="1664" spans="2:36">
      <c r="B1664" s="134"/>
      <c r="C1664" s="134"/>
      <c r="D1664" s="134"/>
      <c r="E1664" s="134"/>
      <c r="F1664" s="134"/>
      <c r="G1664" s="134"/>
      <c r="H1664" s="134"/>
      <c r="I1664" s="134"/>
      <c r="J1664" s="134"/>
      <c r="K1664" s="134"/>
      <c r="L1664" s="134"/>
      <c r="M1664" s="134"/>
      <c r="N1664" s="134"/>
      <c r="O1664" s="134"/>
      <c r="P1664" s="134"/>
      <c r="Q1664" s="134"/>
      <c r="R1664" s="134"/>
      <c r="S1664" s="134"/>
      <c r="T1664" s="134"/>
      <c r="U1664" s="134"/>
      <c r="V1664" s="134"/>
      <c r="W1664" s="134"/>
      <c r="X1664" s="134"/>
      <c r="Y1664" s="134"/>
      <c r="Z1664" s="134"/>
      <c r="AA1664" s="134"/>
      <c r="AB1664" s="134"/>
      <c r="AC1664" s="134"/>
      <c r="AD1664" s="134"/>
      <c r="AE1664" s="134"/>
      <c r="AF1664" s="134"/>
      <c r="AG1664" s="134"/>
      <c r="AH1664" s="134"/>
      <c r="AI1664" s="134"/>
      <c r="AJ1664" s="134"/>
    </row>
    <row r="1665" spans="2:36">
      <c r="B1665" s="134"/>
      <c r="C1665" s="134"/>
      <c r="D1665" s="134"/>
      <c r="E1665" s="134"/>
      <c r="F1665" s="134"/>
      <c r="G1665" s="134"/>
      <c r="H1665" s="134"/>
      <c r="I1665" s="134"/>
      <c r="J1665" s="134"/>
      <c r="K1665" s="134"/>
      <c r="L1665" s="134"/>
      <c r="M1665" s="134"/>
      <c r="N1665" s="134"/>
      <c r="O1665" s="134"/>
      <c r="P1665" s="134"/>
      <c r="Q1665" s="134"/>
      <c r="R1665" s="134"/>
      <c r="S1665" s="134"/>
      <c r="T1665" s="134"/>
      <c r="U1665" s="134"/>
      <c r="V1665" s="134"/>
      <c r="W1665" s="134"/>
      <c r="X1665" s="134"/>
      <c r="Y1665" s="134"/>
      <c r="Z1665" s="134"/>
      <c r="AA1665" s="134"/>
      <c r="AB1665" s="134"/>
      <c r="AC1665" s="134"/>
      <c r="AD1665" s="134"/>
      <c r="AE1665" s="134"/>
      <c r="AF1665" s="134"/>
      <c r="AG1665" s="134"/>
      <c r="AH1665" s="134"/>
      <c r="AI1665" s="134"/>
      <c r="AJ1665" s="134"/>
    </row>
    <row r="1666" spans="2:36">
      <c r="B1666" s="134"/>
      <c r="C1666" s="134"/>
      <c r="D1666" s="134"/>
      <c r="E1666" s="134"/>
      <c r="F1666" s="134"/>
      <c r="G1666" s="134"/>
      <c r="H1666" s="134"/>
      <c r="I1666" s="134"/>
      <c r="J1666" s="134"/>
      <c r="K1666" s="134"/>
      <c r="L1666" s="134"/>
      <c r="M1666" s="134"/>
      <c r="N1666" s="134"/>
      <c r="O1666" s="134"/>
      <c r="P1666" s="134"/>
      <c r="Q1666" s="134"/>
      <c r="R1666" s="134"/>
      <c r="S1666" s="134"/>
      <c r="T1666" s="134"/>
      <c r="U1666" s="134"/>
      <c r="V1666" s="134"/>
      <c r="W1666" s="134"/>
      <c r="X1666" s="134"/>
      <c r="Y1666" s="134"/>
      <c r="Z1666" s="134"/>
      <c r="AA1666" s="134"/>
      <c r="AB1666" s="134"/>
      <c r="AC1666" s="134"/>
      <c r="AD1666" s="134"/>
      <c r="AE1666" s="134"/>
      <c r="AF1666" s="134"/>
      <c r="AG1666" s="134"/>
      <c r="AH1666" s="134"/>
      <c r="AI1666" s="134"/>
      <c r="AJ1666" s="134"/>
    </row>
    <row r="1667" spans="2:36">
      <c r="B1667" s="134"/>
      <c r="C1667" s="134"/>
      <c r="D1667" s="134"/>
      <c r="E1667" s="134"/>
      <c r="F1667" s="134"/>
      <c r="G1667" s="134"/>
      <c r="H1667" s="134"/>
      <c r="I1667" s="134"/>
      <c r="J1667" s="134"/>
      <c r="K1667" s="134"/>
      <c r="L1667" s="134"/>
      <c r="M1667" s="134"/>
      <c r="N1667" s="134"/>
      <c r="O1667" s="134"/>
      <c r="P1667" s="134"/>
      <c r="Q1667" s="134"/>
      <c r="R1667" s="134"/>
      <c r="S1667" s="134"/>
      <c r="T1667" s="134"/>
      <c r="U1667" s="134"/>
      <c r="V1667" s="134"/>
      <c r="W1667" s="134"/>
      <c r="X1667" s="134"/>
      <c r="Y1667" s="134"/>
      <c r="Z1667" s="134"/>
      <c r="AA1667" s="134"/>
      <c r="AB1667" s="134"/>
      <c r="AC1667" s="134"/>
      <c r="AD1667" s="134"/>
      <c r="AE1667" s="134"/>
      <c r="AF1667" s="134"/>
      <c r="AG1667" s="134"/>
      <c r="AH1667" s="134"/>
      <c r="AI1667" s="134"/>
      <c r="AJ1667" s="134"/>
    </row>
    <row r="1668" spans="2:36">
      <c r="B1668" s="134"/>
      <c r="C1668" s="134"/>
      <c r="D1668" s="134"/>
      <c r="E1668" s="134"/>
      <c r="F1668" s="134"/>
      <c r="G1668" s="134"/>
      <c r="H1668" s="134"/>
      <c r="I1668" s="134"/>
      <c r="J1668" s="134"/>
      <c r="K1668" s="134"/>
      <c r="L1668" s="134"/>
      <c r="M1668" s="134"/>
      <c r="N1668" s="134"/>
      <c r="O1668" s="134"/>
      <c r="P1668" s="134"/>
      <c r="Q1668" s="134"/>
      <c r="R1668" s="134"/>
      <c r="S1668" s="134"/>
      <c r="T1668" s="134"/>
      <c r="U1668" s="134"/>
      <c r="V1668" s="134"/>
      <c r="W1668" s="134"/>
      <c r="X1668" s="134"/>
      <c r="Y1668" s="134"/>
      <c r="Z1668" s="134"/>
      <c r="AA1668" s="134"/>
      <c r="AB1668" s="134"/>
      <c r="AC1668" s="134"/>
      <c r="AD1668" s="134"/>
      <c r="AE1668" s="134"/>
      <c r="AF1668" s="134"/>
      <c r="AG1668" s="134"/>
      <c r="AH1668" s="134"/>
      <c r="AI1668" s="134"/>
      <c r="AJ1668" s="134"/>
    </row>
    <row r="1669" spans="2:36">
      <c r="B1669" s="134"/>
      <c r="C1669" s="134"/>
      <c r="D1669" s="134"/>
      <c r="E1669" s="134"/>
      <c r="F1669" s="134"/>
      <c r="G1669" s="134"/>
      <c r="H1669" s="134"/>
      <c r="I1669" s="134"/>
      <c r="J1669" s="134"/>
      <c r="K1669" s="134"/>
      <c r="L1669" s="134"/>
      <c r="M1669" s="134"/>
      <c r="N1669" s="134"/>
      <c r="O1669" s="134"/>
      <c r="P1669" s="134"/>
      <c r="Q1669" s="134"/>
      <c r="R1669" s="134"/>
      <c r="S1669" s="134"/>
      <c r="T1669" s="134"/>
      <c r="U1669" s="134"/>
      <c r="V1669" s="134"/>
      <c r="W1669" s="134"/>
      <c r="X1669" s="134"/>
      <c r="Y1669" s="134"/>
      <c r="Z1669" s="134"/>
      <c r="AA1669" s="134"/>
      <c r="AB1669" s="134"/>
      <c r="AC1669" s="134"/>
      <c r="AD1669" s="134"/>
      <c r="AE1669" s="134"/>
      <c r="AF1669" s="134"/>
      <c r="AG1669" s="134"/>
      <c r="AH1669" s="134"/>
      <c r="AI1669" s="134"/>
      <c r="AJ1669" s="134"/>
    </row>
    <row r="1670" spans="2:36">
      <c r="B1670" s="134"/>
      <c r="C1670" s="134"/>
      <c r="D1670" s="134"/>
      <c r="E1670" s="134"/>
      <c r="F1670" s="134"/>
      <c r="G1670" s="134"/>
      <c r="H1670" s="134"/>
      <c r="I1670" s="134"/>
      <c r="J1670" s="134"/>
      <c r="K1670" s="134"/>
      <c r="L1670" s="134"/>
      <c r="M1670" s="134"/>
      <c r="N1670" s="134"/>
      <c r="O1670" s="134"/>
      <c r="P1670" s="134"/>
      <c r="Q1670" s="134"/>
      <c r="R1670" s="134"/>
      <c r="S1670" s="134"/>
      <c r="T1670" s="134"/>
      <c r="U1670" s="134"/>
      <c r="V1670" s="134"/>
      <c r="W1670" s="134"/>
      <c r="X1670" s="134"/>
      <c r="Y1670" s="134"/>
      <c r="Z1670" s="134"/>
      <c r="AA1670" s="134"/>
      <c r="AB1670" s="134"/>
      <c r="AC1670" s="134"/>
      <c r="AD1670" s="134"/>
      <c r="AE1670" s="134"/>
      <c r="AF1670" s="134"/>
      <c r="AG1670" s="134"/>
      <c r="AH1670" s="134"/>
      <c r="AI1670" s="134"/>
      <c r="AJ1670" s="134"/>
    </row>
    <row r="1671" spans="2:36">
      <c r="B1671" s="134"/>
      <c r="C1671" s="134"/>
      <c r="D1671" s="134"/>
      <c r="E1671" s="134"/>
      <c r="F1671" s="134"/>
      <c r="G1671" s="134"/>
      <c r="H1671" s="134"/>
      <c r="I1671" s="134"/>
      <c r="J1671" s="134"/>
      <c r="K1671" s="134"/>
      <c r="L1671" s="134"/>
      <c r="M1671" s="134"/>
      <c r="N1671" s="134"/>
      <c r="O1671" s="134"/>
      <c r="P1671" s="134"/>
      <c r="Q1671" s="134"/>
      <c r="R1671" s="134"/>
      <c r="S1671" s="134"/>
      <c r="T1671" s="134"/>
      <c r="U1671" s="134"/>
      <c r="V1671" s="134"/>
      <c r="W1671" s="134"/>
      <c r="X1671" s="134"/>
      <c r="Y1671" s="134"/>
      <c r="Z1671" s="134"/>
      <c r="AA1671" s="134"/>
      <c r="AB1671" s="134"/>
      <c r="AC1671" s="134"/>
      <c r="AD1671" s="134"/>
      <c r="AE1671" s="134"/>
      <c r="AF1671" s="134"/>
      <c r="AG1671" s="134"/>
      <c r="AH1671" s="134"/>
      <c r="AI1671" s="134"/>
      <c r="AJ1671" s="134"/>
    </row>
    <row r="1672" spans="2:36">
      <c r="B1672" s="134"/>
      <c r="C1672" s="134"/>
      <c r="D1672" s="134"/>
      <c r="E1672" s="134"/>
      <c r="F1672" s="134"/>
      <c r="G1672" s="134"/>
      <c r="H1672" s="134"/>
      <c r="I1672" s="134"/>
      <c r="J1672" s="134"/>
      <c r="K1672" s="134"/>
      <c r="L1672" s="134"/>
      <c r="M1672" s="134"/>
      <c r="N1672" s="134"/>
      <c r="O1672" s="134"/>
      <c r="P1672" s="134"/>
      <c r="Q1672" s="134"/>
      <c r="R1672" s="134"/>
      <c r="S1672" s="134"/>
      <c r="T1672" s="134"/>
      <c r="U1672" s="134"/>
      <c r="V1672" s="134"/>
      <c r="W1672" s="134"/>
      <c r="X1672" s="134"/>
      <c r="Y1672" s="134"/>
      <c r="Z1672" s="134"/>
      <c r="AA1672" s="134"/>
      <c r="AB1672" s="134"/>
      <c r="AC1672" s="134"/>
      <c r="AD1672" s="134"/>
      <c r="AE1672" s="134"/>
      <c r="AF1672" s="134"/>
      <c r="AG1672" s="134"/>
      <c r="AH1672" s="134"/>
      <c r="AI1672" s="134"/>
      <c r="AJ1672" s="134"/>
    </row>
    <row r="1673" spans="2:36">
      <c r="B1673" s="134"/>
      <c r="C1673" s="134"/>
      <c r="D1673" s="134"/>
      <c r="E1673" s="134"/>
      <c r="F1673" s="134"/>
      <c r="G1673" s="134"/>
      <c r="H1673" s="134"/>
      <c r="I1673" s="134"/>
      <c r="J1673" s="134"/>
      <c r="K1673" s="134"/>
      <c r="L1673" s="134"/>
      <c r="M1673" s="134"/>
      <c r="N1673" s="134"/>
      <c r="O1673" s="134"/>
      <c r="P1673" s="134"/>
      <c r="Q1673" s="134"/>
      <c r="R1673" s="134"/>
      <c r="S1673" s="134"/>
      <c r="T1673" s="134"/>
      <c r="U1673" s="134"/>
      <c r="V1673" s="134"/>
      <c r="W1673" s="134"/>
      <c r="X1673" s="134"/>
      <c r="Y1673" s="134"/>
      <c r="Z1673" s="134"/>
      <c r="AA1673" s="134"/>
      <c r="AB1673" s="134"/>
      <c r="AC1673" s="134"/>
      <c r="AD1673" s="134"/>
      <c r="AE1673" s="134"/>
      <c r="AF1673" s="134"/>
      <c r="AG1673" s="134"/>
      <c r="AH1673" s="134"/>
      <c r="AI1673" s="134"/>
      <c r="AJ1673" s="134"/>
    </row>
    <row r="1674" spans="2:36">
      <c r="B1674" s="134"/>
      <c r="C1674" s="134"/>
      <c r="D1674" s="134"/>
      <c r="E1674" s="134"/>
      <c r="F1674" s="134"/>
      <c r="G1674" s="134"/>
      <c r="H1674" s="134"/>
      <c r="I1674" s="134"/>
      <c r="J1674" s="134"/>
      <c r="K1674" s="134"/>
      <c r="L1674" s="134"/>
      <c r="M1674" s="134"/>
      <c r="N1674" s="134"/>
      <c r="O1674" s="134"/>
      <c r="P1674" s="134"/>
      <c r="Q1674" s="134"/>
      <c r="R1674" s="134"/>
      <c r="S1674" s="134"/>
      <c r="T1674" s="134"/>
      <c r="U1674" s="134"/>
      <c r="V1674" s="134"/>
      <c r="W1674" s="134"/>
      <c r="X1674" s="134"/>
      <c r="Y1674" s="134"/>
      <c r="Z1674" s="134"/>
      <c r="AA1674" s="134"/>
      <c r="AB1674" s="134"/>
      <c r="AC1674" s="134"/>
      <c r="AD1674" s="134"/>
      <c r="AE1674" s="134"/>
      <c r="AF1674" s="134"/>
      <c r="AG1674" s="134"/>
      <c r="AH1674" s="134"/>
      <c r="AI1674" s="134"/>
      <c r="AJ1674" s="134"/>
    </row>
    <row r="1675" spans="2:36">
      <c r="B1675" s="134"/>
      <c r="C1675" s="134"/>
      <c r="D1675" s="134"/>
      <c r="E1675" s="134"/>
      <c r="F1675" s="134"/>
      <c r="G1675" s="134"/>
      <c r="H1675" s="134"/>
      <c r="I1675" s="134"/>
      <c r="J1675" s="134"/>
      <c r="K1675" s="134"/>
      <c r="L1675" s="134"/>
      <c r="M1675" s="134"/>
      <c r="N1675" s="134"/>
      <c r="O1675" s="134"/>
      <c r="P1675" s="134"/>
      <c r="Q1675" s="134"/>
      <c r="R1675" s="134"/>
      <c r="S1675" s="134"/>
      <c r="T1675" s="134"/>
      <c r="U1675" s="134"/>
      <c r="V1675" s="134"/>
      <c r="W1675" s="134"/>
      <c r="X1675" s="134"/>
      <c r="Y1675" s="134"/>
      <c r="Z1675" s="134"/>
      <c r="AA1675" s="134"/>
      <c r="AB1675" s="134"/>
      <c r="AC1675" s="134"/>
      <c r="AD1675" s="134"/>
      <c r="AE1675" s="134"/>
      <c r="AF1675" s="134"/>
      <c r="AG1675" s="134"/>
      <c r="AH1675" s="134"/>
      <c r="AI1675" s="134"/>
      <c r="AJ1675" s="134"/>
    </row>
    <row r="1676" spans="2:36">
      <c r="B1676" s="134"/>
      <c r="C1676" s="134"/>
      <c r="D1676" s="134"/>
      <c r="E1676" s="134"/>
      <c r="F1676" s="134"/>
      <c r="G1676" s="134"/>
      <c r="H1676" s="134"/>
      <c r="I1676" s="134"/>
      <c r="J1676" s="134"/>
      <c r="K1676" s="134"/>
      <c r="L1676" s="134"/>
      <c r="M1676" s="134"/>
      <c r="N1676" s="134"/>
      <c r="O1676" s="134"/>
      <c r="P1676" s="134"/>
      <c r="Q1676" s="134"/>
      <c r="R1676" s="134"/>
      <c r="S1676" s="134"/>
      <c r="T1676" s="134"/>
      <c r="U1676" s="134"/>
      <c r="V1676" s="134"/>
      <c r="W1676" s="134"/>
      <c r="X1676" s="134"/>
      <c r="Y1676" s="134"/>
      <c r="Z1676" s="134"/>
      <c r="AA1676" s="134"/>
      <c r="AB1676" s="134"/>
      <c r="AC1676" s="134"/>
      <c r="AD1676" s="134"/>
      <c r="AE1676" s="134"/>
      <c r="AF1676" s="134"/>
      <c r="AG1676" s="134"/>
      <c r="AH1676" s="134"/>
      <c r="AI1676" s="134"/>
      <c r="AJ1676" s="134"/>
    </row>
    <row r="1677" spans="2:36">
      <c r="B1677" s="134"/>
      <c r="C1677" s="134"/>
      <c r="D1677" s="134"/>
      <c r="E1677" s="134"/>
      <c r="F1677" s="134"/>
      <c r="G1677" s="134"/>
      <c r="H1677" s="134"/>
      <c r="I1677" s="134"/>
      <c r="J1677" s="134"/>
      <c r="K1677" s="134"/>
      <c r="L1677" s="134"/>
      <c r="M1677" s="134"/>
      <c r="N1677" s="134"/>
      <c r="O1677" s="134"/>
      <c r="P1677" s="134"/>
      <c r="Q1677" s="134"/>
      <c r="R1677" s="134"/>
      <c r="S1677" s="134"/>
      <c r="T1677" s="134"/>
      <c r="U1677" s="134"/>
      <c r="V1677" s="134"/>
      <c r="W1677" s="134"/>
      <c r="X1677" s="134"/>
      <c r="Y1677" s="134"/>
      <c r="Z1677" s="134"/>
      <c r="AA1677" s="134"/>
      <c r="AB1677" s="134"/>
      <c r="AC1677" s="134"/>
      <c r="AD1677" s="134"/>
      <c r="AE1677" s="134"/>
      <c r="AF1677" s="134"/>
      <c r="AG1677" s="134"/>
      <c r="AH1677" s="134"/>
      <c r="AI1677" s="134"/>
      <c r="AJ1677" s="134"/>
    </row>
    <row r="1678" spans="2:36">
      <c r="B1678" s="134"/>
      <c r="C1678" s="134"/>
      <c r="D1678" s="134"/>
      <c r="E1678" s="134"/>
      <c r="F1678" s="134"/>
      <c r="G1678" s="134"/>
      <c r="H1678" s="134"/>
      <c r="I1678" s="134"/>
      <c r="J1678" s="134"/>
      <c r="K1678" s="134"/>
      <c r="L1678" s="134"/>
      <c r="M1678" s="134"/>
      <c r="N1678" s="134"/>
      <c r="O1678" s="134"/>
      <c r="P1678" s="134"/>
      <c r="Q1678" s="134"/>
      <c r="R1678" s="134"/>
      <c r="S1678" s="134"/>
      <c r="T1678" s="134"/>
      <c r="U1678" s="134"/>
      <c r="V1678" s="134"/>
      <c r="W1678" s="134"/>
      <c r="X1678" s="134"/>
      <c r="Y1678" s="134"/>
      <c r="Z1678" s="134"/>
      <c r="AA1678" s="134"/>
      <c r="AB1678" s="134"/>
      <c r="AC1678" s="134"/>
      <c r="AD1678" s="134"/>
      <c r="AE1678" s="134"/>
      <c r="AF1678" s="134"/>
      <c r="AG1678" s="134"/>
      <c r="AH1678" s="134"/>
      <c r="AI1678" s="134"/>
      <c r="AJ1678" s="134"/>
    </row>
    <row r="1679" spans="2:36">
      <c r="B1679" s="134"/>
      <c r="C1679" s="134"/>
      <c r="D1679" s="134"/>
      <c r="E1679" s="134"/>
      <c r="F1679" s="134"/>
      <c r="G1679" s="134"/>
      <c r="H1679" s="134"/>
      <c r="I1679" s="134"/>
      <c r="J1679" s="134"/>
      <c r="K1679" s="134"/>
      <c r="L1679" s="134"/>
      <c r="M1679" s="134"/>
      <c r="N1679" s="134"/>
      <c r="O1679" s="134"/>
      <c r="P1679" s="134"/>
      <c r="Q1679" s="134"/>
      <c r="R1679" s="134"/>
      <c r="S1679" s="134"/>
      <c r="T1679" s="134"/>
      <c r="U1679" s="134"/>
      <c r="V1679" s="134"/>
      <c r="W1679" s="134"/>
      <c r="X1679" s="134"/>
      <c r="Y1679" s="134"/>
      <c r="Z1679" s="134"/>
      <c r="AA1679" s="134"/>
      <c r="AB1679" s="134"/>
      <c r="AC1679" s="134"/>
      <c r="AD1679" s="134"/>
      <c r="AE1679" s="134"/>
      <c r="AF1679" s="134"/>
      <c r="AG1679" s="134"/>
      <c r="AH1679" s="134"/>
      <c r="AI1679" s="134"/>
      <c r="AJ1679" s="134"/>
    </row>
    <row r="1680" spans="2:36">
      <c r="B1680" s="134"/>
      <c r="C1680" s="134"/>
      <c r="D1680" s="134"/>
      <c r="E1680" s="134"/>
      <c r="F1680" s="134"/>
      <c r="G1680" s="134"/>
      <c r="H1680" s="134"/>
      <c r="I1680" s="134"/>
      <c r="J1680" s="134"/>
      <c r="K1680" s="134"/>
      <c r="L1680" s="134"/>
      <c r="M1680" s="134"/>
      <c r="N1680" s="134"/>
      <c r="O1680" s="134"/>
      <c r="P1680" s="134"/>
      <c r="Q1680" s="134"/>
      <c r="R1680" s="134"/>
      <c r="S1680" s="134"/>
      <c r="T1680" s="134"/>
      <c r="U1680" s="134"/>
      <c r="V1680" s="134"/>
      <c r="W1680" s="134"/>
      <c r="X1680" s="134"/>
      <c r="Y1680" s="134"/>
      <c r="Z1680" s="134"/>
      <c r="AA1680" s="134"/>
      <c r="AB1680" s="134"/>
      <c r="AC1680" s="134"/>
      <c r="AD1680" s="134"/>
      <c r="AE1680" s="134"/>
      <c r="AF1680" s="134"/>
      <c r="AG1680" s="134"/>
      <c r="AH1680" s="134"/>
      <c r="AI1680" s="134"/>
      <c r="AJ1680" s="134"/>
    </row>
    <row r="1681" spans="2:36">
      <c r="B1681" s="134"/>
      <c r="C1681" s="134"/>
      <c r="D1681" s="134"/>
      <c r="E1681" s="134"/>
      <c r="F1681" s="134"/>
      <c r="G1681" s="134"/>
      <c r="H1681" s="134"/>
      <c r="I1681" s="134"/>
      <c r="J1681" s="134"/>
      <c r="K1681" s="134"/>
      <c r="L1681" s="134"/>
      <c r="M1681" s="134"/>
      <c r="N1681" s="134"/>
      <c r="O1681" s="134"/>
      <c r="P1681" s="134"/>
      <c r="Q1681" s="134"/>
      <c r="R1681" s="134"/>
      <c r="S1681" s="134"/>
      <c r="T1681" s="134"/>
      <c r="U1681" s="134"/>
      <c r="V1681" s="134"/>
      <c r="W1681" s="134"/>
      <c r="X1681" s="134"/>
      <c r="Y1681" s="134"/>
      <c r="Z1681" s="134"/>
      <c r="AA1681" s="134"/>
      <c r="AB1681" s="134"/>
      <c r="AC1681" s="134"/>
      <c r="AD1681" s="134"/>
      <c r="AE1681" s="134"/>
      <c r="AF1681" s="134"/>
      <c r="AG1681" s="134"/>
      <c r="AH1681" s="134"/>
      <c r="AI1681" s="134"/>
      <c r="AJ1681" s="134"/>
    </row>
    <row r="1682" spans="2:36">
      <c r="B1682" s="134"/>
      <c r="C1682" s="134"/>
      <c r="D1682" s="134"/>
      <c r="E1682" s="134"/>
      <c r="F1682" s="134"/>
      <c r="G1682" s="134"/>
      <c r="H1682" s="134"/>
      <c r="I1682" s="134"/>
      <c r="J1682" s="134"/>
      <c r="K1682" s="134"/>
      <c r="L1682" s="134"/>
      <c r="M1682" s="134"/>
      <c r="N1682" s="134"/>
      <c r="O1682" s="134"/>
      <c r="P1682" s="134"/>
      <c r="Q1682" s="134"/>
      <c r="R1682" s="134"/>
      <c r="S1682" s="134"/>
      <c r="T1682" s="134"/>
      <c r="U1682" s="134"/>
      <c r="V1682" s="134"/>
      <c r="W1682" s="134"/>
      <c r="X1682" s="134"/>
      <c r="Y1682" s="134"/>
      <c r="Z1682" s="134"/>
      <c r="AA1682" s="134"/>
      <c r="AB1682" s="134"/>
      <c r="AC1682" s="134"/>
      <c r="AD1682" s="134"/>
      <c r="AE1682" s="134"/>
      <c r="AF1682" s="134"/>
      <c r="AG1682" s="134"/>
      <c r="AH1682" s="134"/>
      <c r="AI1682" s="134"/>
      <c r="AJ1682" s="134"/>
    </row>
    <row r="1683" spans="2:36">
      <c r="B1683" s="134"/>
      <c r="C1683" s="134"/>
      <c r="D1683" s="134"/>
      <c r="E1683" s="134"/>
      <c r="F1683" s="134"/>
      <c r="G1683" s="134"/>
      <c r="H1683" s="134"/>
      <c r="I1683" s="134"/>
      <c r="J1683" s="134"/>
      <c r="K1683" s="134"/>
      <c r="L1683" s="134"/>
      <c r="M1683" s="134"/>
      <c r="N1683" s="134"/>
      <c r="O1683" s="134"/>
      <c r="P1683" s="134"/>
      <c r="Q1683" s="134"/>
      <c r="R1683" s="134"/>
      <c r="S1683" s="134"/>
      <c r="T1683" s="134"/>
      <c r="U1683" s="134"/>
      <c r="V1683" s="134"/>
      <c r="W1683" s="134"/>
      <c r="X1683" s="134"/>
      <c r="Y1683" s="134"/>
      <c r="Z1683" s="134"/>
      <c r="AA1683" s="134"/>
      <c r="AB1683" s="134"/>
      <c r="AC1683" s="134"/>
      <c r="AD1683" s="134"/>
      <c r="AE1683" s="134"/>
      <c r="AF1683" s="134"/>
      <c r="AG1683" s="134"/>
      <c r="AH1683" s="134"/>
      <c r="AI1683" s="134"/>
      <c r="AJ1683" s="134"/>
    </row>
    <row r="1684" spans="2:36">
      <c r="B1684" s="134"/>
      <c r="C1684" s="134"/>
      <c r="D1684" s="134"/>
      <c r="E1684" s="134"/>
      <c r="F1684" s="134"/>
      <c r="G1684" s="134"/>
      <c r="H1684" s="134"/>
      <c r="I1684" s="134"/>
      <c r="J1684" s="134"/>
      <c r="K1684" s="134"/>
      <c r="L1684" s="134"/>
      <c r="M1684" s="134"/>
      <c r="N1684" s="134"/>
      <c r="O1684" s="134"/>
      <c r="P1684" s="134"/>
      <c r="Q1684" s="134"/>
      <c r="R1684" s="134"/>
      <c r="S1684" s="134"/>
      <c r="T1684" s="134"/>
      <c r="U1684" s="134"/>
      <c r="V1684" s="134"/>
      <c r="W1684" s="134"/>
      <c r="X1684" s="134"/>
      <c r="Y1684" s="134"/>
      <c r="Z1684" s="134"/>
      <c r="AA1684" s="134"/>
      <c r="AB1684" s="134"/>
      <c r="AC1684" s="134"/>
      <c r="AD1684" s="134"/>
      <c r="AE1684" s="134"/>
      <c r="AF1684" s="134"/>
      <c r="AG1684" s="134"/>
      <c r="AH1684" s="134"/>
      <c r="AI1684" s="134"/>
      <c r="AJ1684" s="134"/>
    </row>
    <row r="1685" spans="2:36">
      <c r="B1685" s="134"/>
      <c r="C1685" s="134"/>
      <c r="D1685" s="134"/>
      <c r="E1685" s="134"/>
      <c r="F1685" s="134"/>
      <c r="G1685" s="134"/>
      <c r="H1685" s="134"/>
      <c r="I1685" s="134"/>
      <c r="J1685" s="134"/>
      <c r="K1685" s="134"/>
      <c r="L1685" s="134"/>
      <c r="M1685" s="134"/>
      <c r="N1685" s="134"/>
      <c r="O1685" s="134"/>
      <c r="P1685" s="134"/>
      <c r="Q1685" s="134"/>
      <c r="R1685" s="134"/>
      <c r="S1685" s="134"/>
      <c r="T1685" s="134"/>
      <c r="U1685" s="134"/>
      <c r="V1685" s="134"/>
      <c r="W1685" s="134"/>
      <c r="X1685" s="134"/>
      <c r="Y1685" s="134"/>
      <c r="Z1685" s="134"/>
      <c r="AA1685" s="134"/>
      <c r="AB1685" s="134"/>
      <c r="AC1685" s="134"/>
      <c r="AD1685" s="134"/>
      <c r="AE1685" s="134"/>
      <c r="AF1685" s="134"/>
      <c r="AG1685" s="134"/>
      <c r="AH1685" s="134"/>
      <c r="AI1685" s="134"/>
      <c r="AJ1685" s="134"/>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0283D-6A39-46AE-ABE1-0A864222C597}">
  <sheetPr>
    <tabColor theme="7"/>
  </sheetPr>
  <dimension ref="B1:AJ429"/>
  <sheetViews>
    <sheetView showGridLines="0" zoomScale="90" zoomScaleNormal="90" workbookViewId="0">
      <selection activeCell="B5" sqref="B5"/>
    </sheetView>
  </sheetViews>
  <sheetFormatPr defaultColWidth="11.85546875" defaultRowHeight="12.75"/>
  <cols>
    <col min="1" max="1" width="2.42578125" customWidth="1"/>
    <col min="2" max="2" width="44.7109375" customWidth="1"/>
    <col min="3" max="3" width="33.28515625" customWidth="1"/>
    <col min="4" max="4" width="9.140625" style="134"/>
    <col min="5" max="5" width="8.42578125" bestFit="1" customWidth="1"/>
    <col min="6" max="6" width="49.7109375" customWidth="1"/>
    <col min="7" max="35" width="17.85546875" style="155" customWidth="1"/>
    <col min="36" max="36" width="20.5703125" style="155" customWidth="1"/>
  </cols>
  <sheetData>
    <row r="1" spans="2:36">
      <c r="D1"/>
      <c r="G1"/>
      <c r="H1"/>
      <c r="I1"/>
      <c r="J1"/>
      <c r="K1"/>
      <c r="L1"/>
      <c r="M1"/>
      <c r="N1"/>
      <c r="O1"/>
      <c r="P1"/>
      <c r="Q1"/>
      <c r="R1"/>
      <c r="S1"/>
      <c r="T1"/>
      <c r="U1"/>
      <c r="V1"/>
      <c r="W1"/>
      <c r="X1"/>
      <c r="Y1"/>
      <c r="Z1"/>
      <c r="AA1"/>
      <c r="AB1"/>
      <c r="AC1"/>
      <c r="AD1"/>
      <c r="AE1"/>
      <c r="AF1"/>
      <c r="AG1"/>
      <c r="AH1"/>
      <c r="AI1"/>
      <c r="AJ1"/>
    </row>
    <row r="2" spans="2:36">
      <c r="B2" s="2" t="s">
        <v>1002</v>
      </c>
      <c r="D2"/>
      <c r="G2"/>
      <c r="H2"/>
      <c r="I2"/>
      <c r="J2"/>
      <c r="K2"/>
      <c r="L2"/>
      <c r="M2"/>
      <c r="N2"/>
      <c r="O2"/>
      <c r="P2"/>
      <c r="Q2"/>
      <c r="R2"/>
      <c r="S2"/>
      <c r="T2"/>
      <c r="U2"/>
      <c r="V2"/>
      <c r="W2"/>
      <c r="X2"/>
      <c r="Y2"/>
      <c r="Z2"/>
      <c r="AA2"/>
      <c r="AB2"/>
      <c r="AC2"/>
      <c r="AD2"/>
      <c r="AE2"/>
      <c r="AF2"/>
      <c r="AG2"/>
      <c r="AH2"/>
      <c r="AI2"/>
      <c r="AJ2"/>
    </row>
    <row r="3" spans="2:36">
      <c r="B3" s="178" t="s">
        <v>541</v>
      </c>
      <c r="C3" s="10" t="s">
        <v>782</v>
      </c>
      <c r="D3" s="10" t="s">
        <v>783</v>
      </c>
      <c r="E3" s="10" t="s">
        <v>784</v>
      </c>
      <c r="F3" s="10" t="s">
        <v>787</v>
      </c>
      <c r="G3" s="173" t="s">
        <v>43</v>
      </c>
      <c r="H3" s="173" t="s">
        <v>44</v>
      </c>
      <c r="I3" s="173" t="s">
        <v>45</v>
      </c>
      <c r="J3" s="173" t="s">
        <v>46</v>
      </c>
      <c r="K3" s="173" t="s">
        <v>47</v>
      </c>
      <c r="L3" s="173" t="s">
        <v>48</v>
      </c>
      <c r="M3" s="173" t="s">
        <v>49</v>
      </c>
      <c r="N3" s="173" t="s">
        <v>50</v>
      </c>
      <c r="O3" s="173" t="s">
        <v>51</v>
      </c>
      <c r="P3" s="173" t="s">
        <v>52</v>
      </c>
      <c r="Q3" s="173" t="s">
        <v>53</v>
      </c>
      <c r="R3" s="173" t="s">
        <v>54</v>
      </c>
      <c r="S3" s="173" t="s">
        <v>55</v>
      </c>
      <c r="T3" s="173" t="s">
        <v>56</v>
      </c>
      <c r="U3" s="173" t="s">
        <v>57</v>
      </c>
      <c r="V3" s="173" t="s">
        <v>58</v>
      </c>
      <c r="W3" s="173" t="s">
        <v>59</v>
      </c>
      <c r="X3" s="173" t="s">
        <v>60</v>
      </c>
      <c r="Y3" s="173" t="s">
        <v>61</v>
      </c>
      <c r="Z3" s="173" t="s">
        <v>62</v>
      </c>
      <c r="AA3" s="173" t="s">
        <v>63</v>
      </c>
      <c r="AB3" s="173" t="s">
        <v>64</v>
      </c>
      <c r="AC3" s="173" t="s">
        <v>65</v>
      </c>
      <c r="AD3" s="173" t="s">
        <v>66</v>
      </c>
      <c r="AE3" s="173" t="s">
        <v>67</v>
      </c>
      <c r="AF3" s="173" t="s">
        <v>68</v>
      </c>
      <c r="AG3" s="173" t="s">
        <v>69</v>
      </c>
      <c r="AH3" s="173" t="s">
        <v>70</v>
      </c>
      <c r="AI3" s="173" t="s">
        <v>71</v>
      </c>
      <c r="AJ3" s="173" t="s">
        <v>72</v>
      </c>
    </row>
    <row r="4" spans="2:36">
      <c r="B4" s="507" t="s">
        <v>115</v>
      </c>
      <c r="C4" s="6" t="s">
        <v>295</v>
      </c>
      <c r="D4" s="345" t="s">
        <v>387</v>
      </c>
      <c r="E4" s="12">
        <v>1</v>
      </c>
      <c r="F4" s="6" t="s">
        <v>82</v>
      </c>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row>
    <row r="5" spans="2:36">
      <c r="B5" s="507" t="s">
        <v>115</v>
      </c>
      <c r="C5" s="6" t="s">
        <v>295</v>
      </c>
      <c r="D5" s="345" t="s">
        <v>387</v>
      </c>
      <c r="E5" s="12" t="s">
        <v>789</v>
      </c>
      <c r="F5" s="6" t="s">
        <v>790</v>
      </c>
      <c r="G5" s="190">
        <v>2445385.2332315128</v>
      </c>
      <c r="H5" s="190">
        <v>2445385.2332315128</v>
      </c>
      <c r="I5" s="190">
        <v>2838127.4182396913</v>
      </c>
      <c r="J5" s="190">
        <v>3593095.866773874</v>
      </c>
      <c r="K5" s="190">
        <v>4028092.57313227</v>
      </c>
      <c r="L5" s="190">
        <v>4455137.619242439</v>
      </c>
      <c r="M5" s="190">
        <v>4455137.619242439</v>
      </c>
      <c r="N5" s="190">
        <v>4455137.619242439</v>
      </c>
      <c r="O5" s="190">
        <v>4455137.619242439</v>
      </c>
      <c r="P5" s="190">
        <v>4455137.619242439</v>
      </c>
      <c r="Q5" s="190">
        <v>4455137.619242439</v>
      </c>
      <c r="R5" s="190">
        <v>4455137.619242439</v>
      </c>
      <c r="S5" s="190">
        <v>4455137.619242439</v>
      </c>
      <c r="T5" s="190">
        <v>4455137.619242439</v>
      </c>
      <c r="U5" s="190">
        <v>4455137.619242439</v>
      </c>
      <c r="V5" s="190">
        <v>4455137.619242439</v>
      </c>
      <c r="W5" s="190">
        <v>4455137.619242439</v>
      </c>
      <c r="X5" s="190">
        <v>4455137.619242439</v>
      </c>
      <c r="Y5" s="190">
        <v>4455137.619242439</v>
      </c>
      <c r="Z5" s="190">
        <v>4455137.619242439</v>
      </c>
      <c r="AA5" s="190">
        <v>4455137.619242439</v>
      </c>
      <c r="AB5" s="190">
        <v>4455137.619242439</v>
      </c>
      <c r="AC5" s="190">
        <v>4455137.619242439</v>
      </c>
      <c r="AD5" s="190">
        <v>4455137.619242439</v>
      </c>
      <c r="AE5" s="190">
        <v>4455137.619242439</v>
      </c>
      <c r="AF5" s="190">
        <v>4455137.619242439</v>
      </c>
      <c r="AG5" s="190">
        <v>4455137.619242439</v>
      </c>
      <c r="AH5" s="190">
        <v>4455137.619242439</v>
      </c>
      <c r="AI5" s="190">
        <v>4455137.619242439</v>
      </c>
      <c r="AJ5" s="190">
        <v>4455137.619242439</v>
      </c>
    </row>
    <row r="6" spans="2:36">
      <c r="B6" s="507" t="s">
        <v>115</v>
      </c>
      <c r="C6" s="6" t="s">
        <v>295</v>
      </c>
      <c r="D6" s="345" t="s">
        <v>387</v>
      </c>
      <c r="E6" s="12" t="s">
        <v>791</v>
      </c>
      <c r="F6" s="6" t="s">
        <v>1033</v>
      </c>
      <c r="G6" s="190">
        <v>1476189.8949652249</v>
      </c>
      <c r="H6" s="190">
        <v>1500400.0278902249</v>
      </c>
      <c r="I6" s="190">
        <v>1765610.4766281408</v>
      </c>
      <c r="J6" s="190">
        <v>2306505.7302730023</v>
      </c>
      <c r="K6" s="190">
        <v>2687379.9527573297</v>
      </c>
      <c r="L6" s="190">
        <v>2780812.2297324641</v>
      </c>
      <c r="M6" s="190">
        <v>2780812.2297324641</v>
      </c>
      <c r="N6" s="190">
        <v>2918544.2228985471</v>
      </c>
      <c r="O6" s="190">
        <v>3125381.8373735854</v>
      </c>
      <c r="P6" s="190">
        <v>3325811.7079013856</v>
      </c>
      <c r="Q6" s="190">
        <v>3420116.4709911225</v>
      </c>
      <c r="R6" s="190">
        <v>3611653.4375797771</v>
      </c>
      <c r="S6" s="190">
        <v>3727570.7657838725</v>
      </c>
      <c r="T6" s="190">
        <v>3957225.409405489</v>
      </c>
      <c r="U6" s="190">
        <v>4135559.3781196401</v>
      </c>
      <c r="V6" s="190">
        <v>4175219.8961765273</v>
      </c>
      <c r="W6" s="190">
        <v>4245117.6813464183</v>
      </c>
      <c r="X6" s="190">
        <v>4338190.1995451031</v>
      </c>
      <c r="Y6" s="190">
        <v>4338190.1995451031</v>
      </c>
      <c r="Z6" s="190">
        <v>4338190.1995451031</v>
      </c>
      <c r="AA6" s="190">
        <v>4338190.1995451031</v>
      </c>
      <c r="AB6" s="190">
        <v>4338190.1995451031</v>
      </c>
      <c r="AC6" s="190">
        <v>4338190.1995451031</v>
      </c>
      <c r="AD6" s="190">
        <v>4338190.1995451031</v>
      </c>
      <c r="AE6" s="190">
        <v>4338190.1995451031</v>
      </c>
      <c r="AF6" s="190">
        <v>4338190.1995451031</v>
      </c>
      <c r="AG6" s="190">
        <v>4338190.1995451031</v>
      </c>
      <c r="AH6" s="190">
        <v>4338190.1995451031</v>
      </c>
      <c r="AI6" s="190">
        <v>4338190.1995451031</v>
      </c>
      <c r="AJ6" s="190">
        <v>4338190.1995451031</v>
      </c>
    </row>
    <row r="7" spans="2:36">
      <c r="B7" s="507" t="s">
        <v>115</v>
      </c>
      <c r="C7" s="6" t="s">
        <v>295</v>
      </c>
      <c r="D7" s="345" t="s">
        <v>387</v>
      </c>
      <c r="E7" s="12" t="s">
        <v>793</v>
      </c>
      <c r="F7" s="6" t="s">
        <v>792</v>
      </c>
      <c r="G7" s="190">
        <v>54242.723999160007</v>
      </c>
      <c r="H7" s="190">
        <v>58633.282779034998</v>
      </c>
      <c r="I7" s="190">
        <v>73664.7190128293</v>
      </c>
      <c r="J7" s="190">
        <v>97647.264159955186</v>
      </c>
      <c r="K7" s="190">
        <v>117883.811033734</v>
      </c>
      <c r="L7" s="190">
        <v>131963.534248515</v>
      </c>
      <c r="M7" s="190">
        <v>131963.534248515</v>
      </c>
      <c r="N7" s="190">
        <v>131963.534248515</v>
      </c>
      <c r="O7" s="190">
        <v>131963.534248515</v>
      </c>
      <c r="P7" s="190">
        <v>131963.534248515</v>
      </c>
      <c r="Q7" s="190">
        <v>131963.534248515</v>
      </c>
      <c r="R7" s="190">
        <v>131963.534248515</v>
      </c>
      <c r="S7" s="190">
        <v>131963.534248515</v>
      </c>
      <c r="T7" s="190">
        <v>131963.534248515</v>
      </c>
      <c r="U7" s="190">
        <v>131963.534248515</v>
      </c>
      <c r="V7" s="190">
        <v>131963.534248515</v>
      </c>
      <c r="W7" s="190">
        <v>131963.534248515</v>
      </c>
      <c r="X7" s="190">
        <v>131963.534248515</v>
      </c>
      <c r="Y7" s="190">
        <v>131963.534248515</v>
      </c>
      <c r="Z7" s="190">
        <v>131963.534248515</v>
      </c>
      <c r="AA7" s="190">
        <v>131963.534248515</v>
      </c>
      <c r="AB7" s="190">
        <v>131963.534248515</v>
      </c>
      <c r="AC7" s="190">
        <v>131963.534248515</v>
      </c>
      <c r="AD7" s="190">
        <v>131963.534248515</v>
      </c>
      <c r="AE7" s="190">
        <v>131963.534248515</v>
      </c>
      <c r="AF7" s="190">
        <v>131963.534248515</v>
      </c>
      <c r="AG7" s="190">
        <v>131963.534248515</v>
      </c>
      <c r="AH7" s="190">
        <v>131963.534248515</v>
      </c>
      <c r="AI7" s="190">
        <v>131963.534248515</v>
      </c>
      <c r="AJ7" s="190">
        <v>131963.534248515</v>
      </c>
    </row>
    <row r="8" spans="2:36">
      <c r="B8" s="507" t="s">
        <v>115</v>
      </c>
      <c r="C8" s="6" t="s">
        <v>295</v>
      </c>
      <c r="D8" s="345" t="s">
        <v>387</v>
      </c>
      <c r="E8" s="12" t="s">
        <v>795</v>
      </c>
      <c r="F8" s="6" t="s">
        <v>794</v>
      </c>
      <c r="G8" s="190">
        <v>155474.3201476406</v>
      </c>
      <c r="H8" s="190">
        <v>155481.3149637834</v>
      </c>
      <c r="I8" s="190">
        <v>168189.75461275887</v>
      </c>
      <c r="J8" s="190">
        <v>191792.57729707932</v>
      </c>
      <c r="K8" s="190">
        <v>215280.81314694465</v>
      </c>
      <c r="L8" s="190">
        <v>215280.81314694465</v>
      </c>
      <c r="M8" s="190">
        <v>215280.81314694465</v>
      </c>
      <c r="N8" s="190">
        <v>227673.76817411304</v>
      </c>
      <c r="O8" s="190">
        <v>247836.38831331822</v>
      </c>
      <c r="P8" s="190">
        <v>280779.48907557077</v>
      </c>
      <c r="Q8" s="190">
        <v>290617.93956864841</v>
      </c>
      <c r="R8" s="190">
        <v>301668.15975415183</v>
      </c>
      <c r="S8" s="190">
        <v>312698.38645683025</v>
      </c>
      <c r="T8" s="190">
        <v>336265.78504128661</v>
      </c>
      <c r="U8" s="190">
        <v>358078.1336983607</v>
      </c>
      <c r="V8" s="190">
        <v>359844.55123922671</v>
      </c>
      <c r="W8" s="190">
        <v>370300.89872875449</v>
      </c>
      <c r="X8" s="190">
        <v>376899.09162353229</v>
      </c>
      <c r="Y8" s="190">
        <v>376899.09162353229</v>
      </c>
      <c r="Z8" s="190">
        <v>376899.09162353229</v>
      </c>
      <c r="AA8" s="190">
        <v>376899.09162353229</v>
      </c>
      <c r="AB8" s="190">
        <v>376899.09162353229</v>
      </c>
      <c r="AC8" s="190">
        <v>376899.09162353229</v>
      </c>
      <c r="AD8" s="190">
        <v>376899.09162353229</v>
      </c>
      <c r="AE8" s="190">
        <v>376899.09162353229</v>
      </c>
      <c r="AF8" s="190">
        <v>376899.09162353229</v>
      </c>
      <c r="AG8" s="190">
        <v>376899.09162353229</v>
      </c>
      <c r="AH8" s="190">
        <v>376899.09162353229</v>
      </c>
      <c r="AI8" s="190">
        <v>376899.09162353229</v>
      </c>
      <c r="AJ8" s="190">
        <v>376899.09162353229</v>
      </c>
    </row>
    <row r="9" spans="2:36">
      <c r="B9" s="507" t="s">
        <v>115</v>
      </c>
      <c r="C9" s="6" t="s">
        <v>295</v>
      </c>
      <c r="D9" s="345" t="s">
        <v>387</v>
      </c>
      <c r="E9" s="12" t="s">
        <v>797</v>
      </c>
      <c r="F9" s="6" t="s">
        <v>1034</v>
      </c>
      <c r="G9" s="190">
        <v>123688.24883762636</v>
      </c>
      <c r="H9" s="190">
        <v>107111.54883762635</v>
      </c>
      <c r="I9" s="190">
        <v>107111.54883762635</v>
      </c>
      <c r="J9" s="190">
        <v>115322.66083762635</v>
      </c>
      <c r="K9" s="190">
        <v>194538.78197642634</v>
      </c>
      <c r="L9" s="190">
        <v>196208.24576682638</v>
      </c>
      <c r="M9" s="190">
        <v>225783.85429082633</v>
      </c>
      <c r="N9" s="190">
        <v>238963.9623512984</v>
      </c>
      <c r="O9" s="190">
        <v>264701.15412809839</v>
      </c>
      <c r="P9" s="190">
        <v>264701.15412809839</v>
      </c>
      <c r="Q9" s="190">
        <v>264701.15412809839</v>
      </c>
      <c r="R9" s="190">
        <v>264701.15412809839</v>
      </c>
      <c r="S9" s="190">
        <v>264701.15412809839</v>
      </c>
      <c r="T9" s="190">
        <v>264701.15412809839</v>
      </c>
      <c r="U9" s="190">
        <v>264701.15412809839</v>
      </c>
      <c r="V9" s="190">
        <v>264701.15412809839</v>
      </c>
      <c r="W9" s="190">
        <v>264701.15412809839</v>
      </c>
      <c r="X9" s="190">
        <v>264701.15412809839</v>
      </c>
      <c r="Y9" s="190">
        <v>264701.15412809839</v>
      </c>
      <c r="Z9" s="190">
        <v>264701.15412809839</v>
      </c>
      <c r="AA9" s="190">
        <v>264701.15412809839</v>
      </c>
      <c r="AB9" s="190">
        <v>264701.15412809839</v>
      </c>
      <c r="AC9" s="190">
        <v>264701.15412809839</v>
      </c>
      <c r="AD9" s="190">
        <v>264701.15412809839</v>
      </c>
      <c r="AE9" s="190">
        <v>264701.15412809839</v>
      </c>
      <c r="AF9" s="190">
        <v>264701.15412809839</v>
      </c>
      <c r="AG9" s="190">
        <v>264701.15412809839</v>
      </c>
      <c r="AH9" s="190">
        <v>264701.15412809839</v>
      </c>
      <c r="AI9" s="190">
        <v>264701.15412809839</v>
      </c>
      <c r="AJ9" s="190">
        <v>264701.15412809839</v>
      </c>
    </row>
    <row r="10" spans="2:36">
      <c r="B10" s="507" t="s">
        <v>115</v>
      </c>
      <c r="C10" s="6" t="s">
        <v>295</v>
      </c>
      <c r="D10" s="345" t="s">
        <v>387</v>
      </c>
      <c r="E10" s="12" t="s">
        <v>799</v>
      </c>
      <c r="F10" s="6" t="s">
        <v>1035</v>
      </c>
      <c r="G10" s="190">
        <v>1031514.0530017761</v>
      </c>
      <c r="H10" s="190">
        <v>1040877.4546855262</v>
      </c>
      <c r="I10" s="190">
        <v>1062376.570619276</v>
      </c>
      <c r="J10" s="190">
        <v>1166990.9482362259</v>
      </c>
      <c r="K10" s="190">
        <v>1188191.3056699759</v>
      </c>
      <c r="L10" s="190">
        <v>1184663.7956699762</v>
      </c>
      <c r="M10" s="190">
        <v>1195839.9526619762</v>
      </c>
      <c r="N10" s="190">
        <v>1184663.7956699762</v>
      </c>
      <c r="O10" s="190">
        <v>1184663.7956699762</v>
      </c>
      <c r="P10" s="190">
        <v>1184663.7956699762</v>
      </c>
      <c r="Q10" s="190">
        <v>1184663.7956699762</v>
      </c>
      <c r="R10" s="190">
        <v>1184663.7956699762</v>
      </c>
      <c r="S10" s="190">
        <v>1184663.7956699762</v>
      </c>
      <c r="T10" s="190">
        <v>1184663.7956699762</v>
      </c>
      <c r="U10" s="190">
        <v>1184663.7956699762</v>
      </c>
      <c r="V10" s="190">
        <v>1184663.7956699762</v>
      </c>
      <c r="W10" s="190">
        <v>1184663.7956699762</v>
      </c>
      <c r="X10" s="190">
        <v>1184663.7956699762</v>
      </c>
      <c r="Y10" s="190">
        <v>1184663.7956699762</v>
      </c>
      <c r="Z10" s="190">
        <v>1184663.7956699762</v>
      </c>
      <c r="AA10" s="190">
        <v>1184663.7956699762</v>
      </c>
      <c r="AB10" s="190">
        <v>1184663.7956699762</v>
      </c>
      <c r="AC10" s="190">
        <v>1184663.7956699762</v>
      </c>
      <c r="AD10" s="190">
        <v>1184663.7956699762</v>
      </c>
      <c r="AE10" s="190">
        <v>1184663.7956699762</v>
      </c>
      <c r="AF10" s="190">
        <v>1184663.7956699762</v>
      </c>
      <c r="AG10" s="190">
        <v>1184663.7956699762</v>
      </c>
      <c r="AH10" s="190">
        <v>1184663.7956699762</v>
      </c>
      <c r="AI10" s="190">
        <v>1184663.7956699762</v>
      </c>
      <c r="AJ10" s="190">
        <v>1184663.7956699762</v>
      </c>
    </row>
    <row r="11" spans="2:36">
      <c r="B11" s="507" t="s">
        <v>115</v>
      </c>
      <c r="C11" s="6" t="s">
        <v>295</v>
      </c>
      <c r="D11" s="345" t="s">
        <v>387</v>
      </c>
      <c r="E11" s="12" t="s">
        <v>801</v>
      </c>
      <c r="F11" s="6" t="s">
        <v>1036</v>
      </c>
      <c r="G11" s="190">
        <v>227508.4</v>
      </c>
      <c r="H11" s="190">
        <v>227508.4</v>
      </c>
      <c r="I11" s="190">
        <v>227508.4</v>
      </c>
      <c r="J11" s="190">
        <v>227508.4</v>
      </c>
      <c r="K11" s="190">
        <v>227508.4</v>
      </c>
      <c r="L11" s="190">
        <v>227508.4</v>
      </c>
      <c r="M11" s="190">
        <v>227508.4</v>
      </c>
      <c r="N11" s="190">
        <v>227508.4</v>
      </c>
      <c r="O11" s="190">
        <v>227508.4</v>
      </c>
      <c r="P11" s="190">
        <v>227508.4</v>
      </c>
      <c r="Q11" s="190">
        <v>227508.4</v>
      </c>
      <c r="R11" s="190">
        <v>227508.4</v>
      </c>
      <c r="S11" s="190">
        <v>227508.4</v>
      </c>
      <c r="T11" s="190">
        <v>227508.4</v>
      </c>
      <c r="U11" s="190">
        <v>227508.4</v>
      </c>
      <c r="V11" s="190">
        <v>227508.4</v>
      </c>
      <c r="W11" s="190">
        <v>227508.4</v>
      </c>
      <c r="X11" s="190">
        <v>227508.4</v>
      </c>
      <c r="Y11" s="190">
        <v>227508.4</v>
      </c>
      <c r="Z11" s="190">
        <v>227508.4</v>
      </c>
      <c r="AA11" s="190">
        <v>227508.4</v>
      </c>
      <c r="AB11" s="190">
        <v>227508.4</v>
      </c>
      <c r="AC11" s="190">
        <v>227508.4</v>
      </c>
      <c r="AD11" s="190">
        <v>227508.4</v>
      </c>
      <c r="AE11" s="190">
        <v>227508.4</v>
      </c>
      <c r="AF11" s="190">
        <v>227508.4</v>
      </c>
      <c r="AG11" s="190">
        <v>227508.4</v>
      </c>
      <c r="AH11" s="190">
        <v>227508.4</v>
      </c>
      <c r="AI11" s="190">
        <v>227508.4</v>
      </c>
      <c r="AJ11" s="190">
        <v>227508.4</v>
      </c>
    </row>
    <row r="12" spans="2:36">
      <c r="B12" s="507" t="s">
        <v>115</v>
      </c>
      <c r="C12" s="6" t="s">
        <v>295</v>
      </c>
      <c r="D12" s="345" t="s">
        <v>387</v>
      </c>
      <c r="E12" s="12" t="s">
        <v>803</v>
      </c>
      <c r="F12" s="6" t="s">
        <v>1037</v>
      </c>
      <c r="G12" s="190">
        <v>169145.25990673067</v>
      </c>
      <c r="H12" s="190">
        <v>169904.37280673065</v>
      </c>
      <c r="I12" s="190">
        <v>188882.19530673066</v>
      </c>
      <c r="J12" s="190">
        <v>193979.09620673067</v>
      </c>
      <c r="K12" s="190">
        <v>207534.68370673066</v>
      </c>
      <c r="L12" s="190">
        <v>207534.68370673066</v>
      </c>
      <c r="M12" s="190">
        <v>207534.68370673066</v>
      </c>
      <c r="N12" s="190">
        <v>211872.47170673066</v>
      </c>
      <c r="O12" s="190">
        <v>238983.64670673065</v>
      </c>
      <c r="P12" s="190">
        <v>238983.64670673065</v>
      </c>
      <c r="Q12" s="190">
        <v>238983.64670673065</v>
      </c>
      <c r="R12" s="190">
        <v>285831.75710673066</v>
      </c>
      <c r="S12" s="190">
        <v>290169.54510673066</v>
      </c>
      <c r="T12" s="190">
        <v>298845.12110673066</v>
      </c>
      <c r="U12" s="190">
        <v>305351.80310673069</v>
      </c>
      <c r="V12" s="190">
        <v>336583.87670673069</v>
      </c>
      <c r="W12" s="190">
        <v>347428.34670673066</v>
      </c>
      <c r="X12" s="190">
        <v>368249.72910673067</v>
      </c>
      <c r="Y12" s="190">
        <v>368249.72910673067</v>
      </c>
      <c r="Z12" s="190">
        <v>368249.72910673067</v>
      </c>
      <c r="AA12" s="190">
        <v>368249.72910673067</v>
      </c>
      <c r="AB12" s="190">
        <v>368249.72910673067</v>
      </c>
      <c r="AC12" s="190">
        <v>368249.72910673067</v>
      </c>
      <c r="AD12" s="190">
        <v>368249.72910673067</v>
      </c>
      <c r="AE12" s="190">
        <v>368249.72910673067</v>
      </c>
      <c r="AF12" s="190">
        <v>368249.72910673067</v>
      </c>
      <c r="AG12" s="190">
        <v>368249.72910673067</v>
      </c>
      <c r="AH12" s="190">
        <v>368249.72910673067</v>
      </c>
      <c r="AI12" s="190">
        <v>368249.72910673067</v>
      </c>
      <c r="AJ12" s="190">
        <v>368249.72910673067</v>
      </c>
    </row>
    <row r="13" spans="2:36">
      <c r="B13" s="507" t="s">
        <v>115</v>
      </c>
      <c r="C13" s="6" t="s">
        <v>295</v>
      </c>
      <c r="D13" s="345" t="s">
        <v>387</v>
      </c>
      <c r="E13" s="12" t="s">
        <v>805</v>
      </c>
      <c r="F13" s="6" t="s">
        <v>1038</v>
      </c>
      <c r="G13" s="190">
        <v>281315.83263743878</v>
      </c>
      <c r="H13" s="190">
        <v>282412.4309421248</v>
      </c>
      <c r="I13" s="190">
        <v>318357.81862122414</v>
      </c>
      <c r="J13" s="190">
        <v>390695.70591733244</v>
      </c>
      <c r="K13" s="190">
        <v>438887.31091045891</v>
      </c>
      <c r="L13" s="190">
        <v>465255.91141493793</v>
      </c>
      <c r="M13" s="190">
        <v>467273.12380797992</v>
      </c>
      <c r="N13" s="190">
        <v>475018.22482743522</v>
      </c>
      <c r="O13" s="190">
        <v>488870.73059629183</v>
      </c>
      <c r="P13" s="190">
        <v>500422.69267514942</v>
      </c>
      <c r="Q13" s="190">
        <v>505577.78174749878</v>
      </c>
      <c r="R13" s="190">
        <v>517924.82895761967</v>
      </c>
      <c r="S13" s="190">
        <v>524423.45343150501</v>
      </c>
      <c r="T13" s="190">
        <v>537387.38553270558</v>
      </c>
      <c r="U13" s="190">
        <v>547616.70900158118</v>
      </c>
      <c r="V13" s="190">
        <v>551213.32995686983</v>
      </c>
      <c r="W13" s="190">
        <v>555727.66078851116</v>
      </c>
      <c r="X13" s="190">
        <v>561692.01941643748</v>
      </c>
      <c r="Y13" s="190">
        <v>561692.01941643748</v>
      </c>
      <c r="Z13" s="190">
        <v>561692.01941643748</v>
      </c>
      <c r="AA13" s="190">
        <v>561692.01941643748</v>
      </c>
      <c r="AB13" s="190">
        <v>561692.01941643748</v>
      </c>
      <c r="AC13" s="190">
        <v>561692.01941643748</v>
      </c>
      <c r="AD13" s="190">
        <v>561692.01941643748</v>
      </c>
      <c r="AE13" s="190">
        <v>561692.01941643748</v>
      </c>
      <c r="AF13" s="190">
        <v>561692.01941643748</v>
      </c>
      <c r="AG13" s="190">
        <v>561692.01941643748</v>
      </c>
      <c r="AH13" s="190">
        <v>561692.01941643748</v>
      </c>
      <c r="AI13" s="190">
        <v>561692.01941643748</v>
      </c>
      <c r="AJ13" s="190">
        <v>561692.01941643748</v>
      </c>
    </row>
    <row r="14" spans="2:36">
      <c r="B14" s="507" t="s">
        <v>115</v>
      </c>
      <c r="C14" s="6" t="s">
        <v>295</v>
      </c>
      <c r="D14" s="345" t="s">
        <v>387</v>
      </c>
      <c r="E14" s="12" t="s">
        <v>807</v>
      </c>
      <c r="F14" s="6" t="s">
        <v>1039</v>
      </c>
      <c r="G14" s="190">
        <v>17617.759215677983</v>
      </c>
      <c r="H14" s="190">
        <v>17686.435069102765</v>
      </c>
      <c r="I14" s="190">
        <v>19937.560358096864</v>
      </c>
      <c r="J14" s="190">
        <v>24467.811885731928</v>
      </c>
      <c r="K14" s="190">
        <v>27485.871996412574</v>
      </c>
      <c r="L14" s="190">
        <v>29137.238896693078</v>
      </c>
      <c r="M14" s="190">
        <v>29263.56936979268</v>
      </c>
      <c r="N14" s="190">
        <v>29748.616100304022</v>
      </c>
      <c r="O14" s="190">
        <v>30616.146764616256</v>
      </c>
      <c r="P14" s="190">
        <v>31339.602975615417</v>
      </c>
      <c r="Q14" s="190">
        <v>31662.446937722143</v>
      </c>
      <c r="R14" s="190">
        <v>32435.696358962039</v>
      </c>
      <c r="S14" s="190">
        <v>32842.680921973035</v>
      </c>
      <c r="T14" s="190">
        <v>33654.563538411858</v>
      </c>
      <c r="U14" s="190">
        <v>34295.187836462661</v>
      </c>
      <c r="V14" s="190">
        <v>34520.430764975688</v>
      </c>
      <c r="W14" s="190">
        <v>34803.146433219888</v>
      </c>
      <c r="X14" s="190">
        <v>35176.671923049616</v>
      </c>
      <c r="Y14" s="190">
        <v>35176.671923049616</v>
      </c>
      <c r="Z14" s="190">
        <v>35176.671923049616</v>
      </c>
      <c r="AA14" s="190">
        <v>35176.671923049616</v>
      </c>
      <c r="AB14" s="190">
        <v>35176.671923049616</v>
      </c>
      <c r="AC14" s="190">
        <v>35176.671923049616</v>
      </c>
      <c r="AD14" s="190">
        <v>35176.671923049616</v>
      </c>
      <c r="AE14" s="190">
        <v>35176.671923049616</v>
      </c>
      <c r="AF14" s="190">
        <v>35176.671923049616</v>
      </c>
      <c r="AG14" s="190">
        <v>35176.671923049616</v>
      </c>
      <c r="AH14" s="190">
        <v>35176.671923049616</v>
      </c>
      <c r="AI14" s="190">
        <v>35176.671923049616</v>
      </c>
      <c r="AJ14" s="190">
        <v>35176.671923049616</v>
      </c>
    </row>
    <row r="15" spans="2:36">
      <c r="B15" s="507" t="s">
        <v>115</v>
      </c>
      <c r="C15" s="6" t="s">
        <v>295</v>
      </c>
      <c r="D15" s="345" t="s">
        <v>387</v>
      </c>
      <c r="E15" s="12" t="s">
        <v>809</v>
      </c>
      <c r="F15" s="6" t="s">
        <v>1040</v>
      </c>
      <c r="G15" s="190">
        <v>568.31481340896721</v>
      </c>
      <c r="H15" s="190">
        <v>570.53016351944405</v>
      </c>
      <c r="I15" s="190">
        <v>643.14710832570529</v>
      </c>
      <c r="J15" s="190">
        <v>789.28425437844942</v>
      </c>
      <c r="K15" s="190">
        <v>886.64103214234115</v>
      </c>
      <c r="L15" s="190">
        <v>939.91093215138972</v>
      </c>
      <c r="M15" s="190">
        <v>943.98610870298967</v>
      </c>
      <c r="N15" s="190">
        <v>959.63277742916205</v>
      </c>
      <c r="O15" s="190">
        <v>987.61763756826633</v>
      </c>
      <c r="P15" s="190">
        <v>1010.9549346972716</v>
      </c>
      <c r="Q15" s="190">
        <v>1021.3692560555531</v>
      </c>
      <c r="R15" s="190">
        <v>1046.3127857729692</v>
      </c>
      <c r="S15" s="190">
        <v>1059.4413200636463</v>
      </c>
      <c r="T15" s="190">
        <v>1085.6310818842537</v>
      </c>
      <c r="U15" s="190">
        <v>1106.2963818213761</v>
      </c>
      <c r="V15" s="190">
        <v>1113.5622827411512</v>
      </c>
      <c r="W15" s="190">
        <v>1122.6821430070934</v>
      </c>
      <c r="X15" s="190">
        <v>1134.7313523564394</v>
      </c>
      <c r="Y15" s="190">
        <v>1134.7313523564394</v>
      </c>
      <c r="Z15" s="190">
        <v>1134.7313523564394</v>
      </c>
      <c r="AA15" s="190">
        <v>1134.7313523564394</v>
      </c>
      <c r="AB15" s="190">
        <v>1134.7313523564394</v>
      </c>
      <c r="AC15" s="190">
        <v>1134.7313523564394</v>
      </c>
      <c r="AD15" s="190">
        <v>1134.7313523564394</v>
      </c>
      <c r="AE15" s="190">
        <v>1134.7313523564394</v>
      </c>
      <c r="AF15" s="190">
        <v>1134.7313523564394</v>
      </c>
      <c r="AG15" s="190">
        <v>1134.7313523564394</v>
      </c>
      <c r="AH15" s="190">
        <v>1134.7313523564394</v>
      </c>
      <c r="AI15" s="190">
        <v>1134.7313523564394</v>
      </c>
      <c r="AJ15" s="190">
        <v>1134.7313523564394</v>
      </c>
    </row>
    <row r="16" spans="2:36">
      <c r="B16" s="507" t="s">
        <v>115</v>
      </c>
      <c r="C16" s="6" t="s">
        <v>295</v>
      </c>
      <c r="D16" s="345" t="s">
        <v>415</v>
      </c>
      <c r="E16" s="12">
        <v>2</v>
      </c>
      <c r="F16" s="6" t="s">
        <v>83</v>
      </c>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row>
    <row r="17" spans="2:36">
      <c r="B17" s="507" t="s">
        <v>115</v>
      </c>
      <c r="C17" s="6" t="s">
        <v>295</v>
      </c>
      <c r="D17" s="345" t="s">
        <v>415</v>
      </c>
      <c r="E17" s="12" t="s">
        <v>811</v>
      </c>
      <c r="F17" s="6" t="s">
        <v>868</v>
      </c>
      <c r="G17" s="190">
        <v>389497.64229766664</v>
      </c>
      <c r="H17" s="190">
        <v>106800.92166666666</v>
      </c>
      <c r="I17" s="190">
        <v>106800.92166666666</v>
      </c>
      <c r="J17" s="190">
        <v>133973.47079766667</v>
      </c>
      <c r="K17" s="190">
        <v>106800.92166666666</v>
      </c>
      <c r="L17" s="190">
        <v>106800.92166666666</v>
      </c>
      <c r="M17" s="190">
        <v>93836.778399999981</v>
      </c>
      <c r="N17" s="190">
        <v>93836.778399999981</v>
      </c>
      <c r="O17" s="190">
        <v>152931.36424119998</v>
      </c>
      <c r="P17" s="190">
        <v>93836.778399999981</v>
      </c>
      <c r="Q17" s="190">
        <v>93836.778399999981</v>
      </c>
      <c r="R17" s="190">
        <v>93836.778399999981</v>
      </c>
      <c r="S17" s="190">
        <v>93836.778399999981</v>
      </c>
      <c r="T17" s="190">
        <v>152931.36424119998</v>
      </c>
      <c r="U17" s="190">
        <v>93836.778399999981</v>
      </c>
      <c r="V17" s="190">
        <v>93836.778399999981</v>
      </c>
      <c r="W17" s="190">
        <v>93836.778399999981</v>
      </c>
      <c r="X17" s="190">
        <v>93836.778399999981</v>
      </c>
      <c r="Y17" s="190">
        <v>152931.36424119998</v>
      </c>
      <c r="Z17" s="190">
        <v>93836.778399999981</v>
      </c>
      <c r="AA17" s="190">
        <v>93836.778399999981</v>
      </c>
      <c r="AB17" s="190">
        <v>93836.778399999981</v>
      </c>
      <c r="AC17" s="190">
        <v>93836.778399999981</v>
      </c>
      <c r="AD17" s="190">
        <v>152931.36424119998</v>
      </c>
      <c r="AE17" s="190">
        <v>93836.778399999981</v>
      </c>
      <c r="AF17" s="190">
        <v>93836.778399999981</v>
      </c>
      <c r="AG17" s="190">
        <v>93836.778399999981</v>
      </c>
      <c r="AH17" s="190">
        <v>93836.778399999981</v>
      </c>
      <c r="AI17" s="190">
        <v>152931.36424119998</v>
      </c>
      <c r="AJ17" s="190">
        <v>93836.778399999981</v>
      </c>
    </row>
    <row r="18" spans="2:36">
      <c r="B18" s="507" t="s">
        <v>115</v>
      </c>
      <c r="C18" s="6" t="s">
        <v>295</v>
      </c>
      <c r="D18" s="345" t="s">
        <v>415</v>
      </c>
      <c r="E18" s="12" t="s">
        <v>812</v>
      </c>
      <c r="F18" s="6" t="s">
        <v>1033</v>
      </c>
      <c r="G18" s="190">
        <v>110501.69979939998</v>
      </c>
      <c r="H18" s="190">
        <v>110501.69979939998</v>
      </c>
      <c r="I18" s="190">
        <v>81517.647392999992</v>
      </c>
      <c r="J18" s="190">
        <v>110501.69979939998</v>
      </c>
      <c r="K18" s="190">
        <v>81517.647392999992</v>
      </c>
      <c r="L18" s="190">
        <v>110501.69979939998</v>
      </c>
      <c r="M18" s="190">
        <v>147736.46460299997</v>
      </c>
      <c r="N18" s="190">
        <v>179253.57705163996</v>
      </c>
      <c r="O18" s="190">
        <v>147736.46460299997</v>
      </c>
      <c r="P18" s="190">
        <v>179253.57705163996</v>
      </c>
      <c r="Q18" s="190">
        <v>147736.46460299997</v>
      </c>
      <c r="R18" s="190">
        <v>179253.57705163996</v>
      </c>
      <c r="S18" s="190">
        <v>147736.46460299997</v>
      </c>
      <c r="T18" s="190">
        <v>179253.57705163996</v>
      </c>
      <c r="U18" s="190">
        <v>147736.46460299997</v>
      </c>
      <c r="V18" s="190">
        <v>179253.57705163996</v>
      </c>
      <c r="W18" s="190">
        <v>147736.46460299997</v>
      </c>
      <c r="X18" s="190">
        <v>179253.57705163996</v>
      </c>
      <c r="Y18" s="190">
        <v>147736.46460299997</v>
      </c>
      <c r="Z18" s="190">
        <v>179253.57705163996</v>
      </c>
      <c r="AA18" s="190">
        <v>147736.46460299997</v>
      </c>
      <c r="AB18" s="190">
        <v>179253.57705163996</v>
      </c>
      <c r="AC18" s="190">
        <v>147736.46460299997</v>
      </c>
      <c r="AD18" s="190">
        <v>179253.57705163996</v>
      </c>
      <c r="AE18" s="190">
        <v>147736.46460299997</v>
      </c>
      <c r="AF18" s="190">
        <v>179253.57705163996</v>
      </c>
      <c r="AG18" s="190">
        <v>147736.46460299997</v>
      </c>
      <c r="AH18" s="190">
        <v>179253.57705163996</v>
      </c>
      <c r="AI18" s="190">
        <v>147736.46460299997</v>
      </c>
      <c r="AJ18" s="190">
        <v>179253.57705163996</v>
      </c>
    </row>
    <row r="19" spans="2:36">
      <c r="B19" s="507" t="s">
        <v>115</v>
      </c>
      <c r="C19" s="6" t="s">
        <v>295</v>
      </c>
      <c r="D19" s="345" t="s">
        <v>415</v>
      </c>
      <c r="E19" s="12" t="s">
        <v>813</v>
      </c>
      <c r="F19" s="6" t="s">
        <v>1041</v>
      </c>
      <c r="G19" s="190">
        <v>89052.892110000001</v>
      </c>
      <c r="H19" s="190">
        <v>79158.126319999996</v>
      </c>
      <c r="I19" s="190">
        <v>79158.126319999996</v>
      </c>
      <c r="J19" s="190">
        <v>79158.126319999996</v>
      </c>
      <c r="K19" s="190">
        <v>79158.126319999996</v>
      </c>
      <c r="L19" s="190">
        <v>140048.99271999998</v>
      </c>
      <c r="M19" s="190">
        <v>140048.99271999998</v>
      </c>
      <c r="N19" s="190">
        <v>140048.99271999998</v>
      </c>
      <c r="O19" s="190">
        <v>140048.99271999998</v>
      </c>
      <c r="P19" s="190">
        <v>140048.99271999998</v>
      </c>
      <c r="Q19" s="190">
        <v>140048.99271999998</v>
      </c>
      <c r="R19" s="190">
        <v>140048.99271999998</v>
      </c>
      <c r="S19" s="190">
        <v>140048.99271999998</v>
      </c>
      <c r="T19" s="190">
        <v>140048.99271999998</v>
      </c>
      <c r="U19" s="190">
        <v>140048.99271999998</v>
      </c>
      <c r="V19" s="190">
        <v>140048.99271999998</v>
      </c>
      <c r="W19" s="190">
        <v>140048.99271999998</v>
      </c>
      <c r="X19" s="190">
        <v>140048.99271999998</v>
      </c>
      <c r="Y19" s="190">
        <v>140048.99271999998</v>
      </c>
      <c r="Z19" s="190">
        <v>140048.99271999998</v>
      </c>
      <c r="AA19" s="190">
        <v>140048.99271999998</v>
      </c>
      <c r="AB19" s="190">
        <v>140048.99271999998</v>
      </c>
      <c r="AC19" s="190">
        <v>140048.99271999998</v>
      </c>
      <c r="AD19" s="190">
        <v>140048.99271999998</v>
      </c>
      <c r="AE19" s="190">
        <v>140048.99271999998</v>
      </c>
      <c r="AF19" s="190">
        <v>140048.99271999998</v>
      </c>
      <c r="AG19" s="190">
        <v>140048.99271999998</v>
      </c>
      <c r="AH19" s="190">
        <v>140048.99271999998</v>
      </c>
      <c r="AI19" s="190">
        <v>140048.99271999998</v>
      </c>
      <c r="AJ19" s="190">
        <v>140048.99271999998</v>
      </c>
    </row>
    <row r="20" spans="2:36">
      <c r="B20" s="507" t="s">
        <v>115</v>
      </c>
      <c r="C20" s="6" t="s">
        <v>295</v>
      </c>
      <c r="D20" s="345" t="s">
        <v>415</v>
      </c>
      <c r="E20" s="12" t="s">
        <v>814</v>
      </c>
      <c r="F20" s="6" t="s">
        <v>1042</v>
      </c>
      <c r="G20" s="190">
        <v>63402.614638999992</v>
      </c>
      <c r="H20" s="190">
        <v>63402.614638999992</v>
      </c>
      <c r="I20" s="190">
        <v>63402.614638999992</v>
      </c>
      <c r="J20" s="190">
        <v>63402.614638999992</v>
      </c>
      <c r="K20" s="190">
        <v>63402.614638999992</v>
      </c>
      <c r="L20" s="190">
        <v>63402.614638999992</v>
      </c>
      <c r="M20" s="190">
        <v>68943.683481399989</v>
      </c>
      <c r="N20" s="190">
        <v>68943.683481399989</v>
      </c>
      <c r="O20" s="190">
        <v>68943.683481399989</v>
      </c>
      <c r="P20" s="190">
        <v>68943.683481399989</v>
      </c>
      <c r="Q20" s="190">
        <v>68943.683481399989</v>
      </c>
      <c r="R20" s="190">
        <v>68943.683481399989</v>
      </c>
      <c r="S20" s="190">
        <v>68943.683481399989</v>
      </c>
      <c r="T20" s="190">
        <v>68943.683481399989</v>
      </c>
      <c r="U20" s="190">
        <v>68943.683481399989</v>
      </c>
      <c r="V20" s="190">
        <v>68943.683481399989</v>
      </c>
      <c r="W20" s="190">
        <v>68943.683481399989</v>
      </c>
      <c r="X20" s="190">
        <v>68943.683481399989</v>
      </c>
      <c r="Y20" s="190">
        <v>68943.683481399989</v>
      </c>
      <c r="Z20" s="190">
        <v>68943.683481399989</v>
      </c>
      <c r="AA20" s="190">
        <v>68943.683481399989</v>
      </c>
      <c r="AB20" s="190">
        <v>68943.683481399989</v>
      </c>
      <c r="AC20" s="190">
        <v>68943.683481399989</v>
      </c>
      <c r="AD20" s="190">
        <v>68943.683481399989</v>
      </c>
      <c r="AE20" s="190">
        <v>68943.683481399989</v>
      </c>
      <c r="AF20" s="190">
        <v>68943.683481399989</v>
      </c>
      <c r="AG20" s="190">
        <v>68943.683481399989</v>
      </c>
      <c r="AH20" s="190">
        <v>68943.683481399989</v>
      </c>
      <c r="AI20" s="190">
        <v>68943.683481399989</v>
      </c>
      <c r="AJ20" s="190">
        <v>68943.683481399989</v>
      </c>
    </row>
    <row r="21" spans="2:36">
      <c r="B21" s="507" t="s">
        <v>115</v>
      </c>
      <c r="C21" s="6" t="s">
        <v>295</v>
      </c>
      <c r="D21" s="345" t="s">
        <v>415</v>
      </c>
      <c r="E21" s="12" t="s">
        <v>1043</v>
      </c>
      <c r="F21" s="6" t="s">
        <v>1044</v>
      </c>
      <c r="G21" s="190">
        <v>27172.549130999996</v>
      </c>
      <c r="H21" s="190">
        <v>27172.549130999996</v>
      </c>
      <c r="I21" s="190">
        <v>27172.549130999996</v>
      </c>
      <c r="J21" s="190">
        <v>27172.549130999996</v>
      </c>
      <c r="K21" s="190">
        <v>27172.549130999996</v>
      </c>
      <c r="L21" s="190">
        <v>27172.549130999996</v>
      </c>
      <c r="M21" s="190">
        <v>0</v>
      </c>
      <c r="N21" s="190">
        <v>0</v>
      </c>
      <c r="O21" s="190">
        <v>0</v>
      </c>
      <c r="P21" s="190">
        <v>0</v>
      </c>
      <c r="Q21" s="190">
        <v>0</v>
      </c>
      <c r="R21" s="190">
        <v>0</v>
      </c>
      <c r="S21" s="190">
        <v>0</v>
      </c>
      <c r="T21" s="190">
        <v>0</v>
      </c>
      <c r="U21" s="190">
        <v>0</v>
      </c>
      <c r="V21" s="190">
        <v>0</v>
      </c>
      <c r="W21" s="190">
        <v>0</v>
      </c>
      <c r="X21" s="190">
        <v>0</v>
      </c>
      <c r="Y21" s="190">
        <v>0</v>
      </c>
      <c r="Z21" s="190">
        <v>0</v>
      </c>
      <c r="AA21" s="190">
        <v>0</v>
      </c>
      <c r="AB21" s="190">
        <v>0</v>
      </c>
      <c r="AC21" s="190">
        <v>0</v>
      </c>
      <c r="AD21" s="190">
        <v>0</v>
      </c>
      <c r="AE21" s="190">
        <v>0</v>
      </c>
      <c r="AF21" s="190">
        <v>0</v>
      </c>
      <c r="AG21" s="190">
        <v>0</v>
      </c>
      <c r="AH21" s="190">
        <v>0</v>
      </c>
      <c r="AI21" s="190">
        <v>0</v>
      </c>
      <c r="AJ21" s="190">
        <v>0</v>
      </c>
    </row>
    <row r="22" spans="2:36">
      <c r="B22" s="507" t="s">
        <v>115</v>
      </c>
      <c r="C22" s="6" t="s">
        <v>295</v>
      </c>
      <c r="D22" s="345" t="s">
        <v>415</v>
      </c>
      <c r="E22" s="12" t="s">
        <v>815</v>
      </c>
      <c r="F22" s="6" t="s">
        <v>802</v>
      </c>
      <c r="G22" s="190">
        <v>18115.032754</v>
      </c>
      <c r="H22" s="190">
        <v>18115.032754</v>
      </c>
      <c r="I22" s="190">
        <v>18115.032754</v>
      </c>
      <c r="J22" s="190">
        <v>18115.032754</v>
      </c>
      <c r="K22" s="190">
        <v>18115.032754</v>
      </c>
      <c r="L22" s="190">
        <v>18115.032754</v>
      </c>
      <c r="M22" s="190">
        <v>19698.195280399999</v>
      </c>
      <c r="N22" s="190">
        <v>19698.195280399999</v>
      </c>
      <c r="O22" s="190">
        <v>19698.195280399999</v>
      </c>
      <c r="P22" s="190">
        <v>19698.195280399999</v>
      </c>
      <c r="Q22" s="190">
        <v>19698.195280399999</v>
      </c>
      <c r="R22" s="190">
        <v>19698.195280399999</v>
      </c>
      <c r="S22" s="190">
        <v>19698.195280399999</v>
      </c>
      <c r="T22" s="190">
        <v>19698.195280399999</v>
      </c>
      <c r="U22" s="190">
        <v>19698.195280399999</v>
      </c>
      <c r="V22" s="190">
        <v>19698.195280399999</v>
      </c>
      <c r="W22" s="190">
        <v>19698.195280399999</v>
      </c>
      <c r="X22" s="190">
        <v>19698.195280399999</v>
      </c>
      <c r="Y22" s="190">
        <v>19698.195280399999</v>
      </c>
      <c r="Z22" s="190">
        <v>19698.195280399999</v>
      </c>
      <c r="AA22" s="190">
        <v>19698.195280399999</v>
      </c>
      <c r="AB22" s="190">
        <v>19698.195280399999</v>
      </c>
      <c r="AC22" s="190">
        <v>19698.195280399999</v>
      </c>
      <c r="AD22" s="190">
        <v>19698.195280399999</v>
      </c>
      <c r="AE22" s="190">
        <v>19698.195280399999</v>
      </c>
      <c r="AF22" s="190">
        <v>19698.195280399999</v>
      </c>
      <c r="AG22" s="190">
        <v>19698.195280399999</v>
      </c>
      <c r="AH22" s="190">
        <v>19698.195280399999</v>
      </c>
      <c r="AI22" s="190">
        <v>19698.195280399999</v>
      </c>
      <c r="AJ22" s="190">
        <v>19698.195280399999</v>
      </c>
    </row>
    <row r="23" spans="2:36">
      <c r="B23" s="507" t="s">
        <v>115</v>
      </c>
      <c r="C23" s="6" t="s">
        <v>295</v>
      </c>
      <c r="D23" s="345" t="s">
        <v>415</v>
      </c>
      <c r="E23" s="12" t="s">
        <v>816</v>
      </c>
      <c r="F23" s="6" t="s">
        <v>1036</v>
      </c>
      <c r="G23" s="190">
        <v>172702.12580000001</v>
      </c>
      <c r="H23" s="190">
        <v>61793.762000000002</v>
      </c>
      <c r="I23" s="190">
        <v>205322.2328</v>
      </c>
      <c r="J23" s="190">
        <v>94413.869000000006</v>
      </c>
      <c r="K23" s="190">
        <v>216195.6018</v>
      </c>
      <c r="L23" s="190">
        <v>94413.869000000006</v>
      </c>
      <c r="M23" s="190">
        <v>216195.6018</v>
      </c>
      <c r="N23" s="190">
        <v>94413.869000000006</v>
      </c>
      <c r="O23" s="190">
        <v>216195.6018</v>
      </c>
      <c r="P23" s="190">
        <v>94413.869000000006</v>
      </c>
      <c r="Q23" s="190">
        <v>216195.6018</v>
      </c>
      <c r="R23" s="190">
        <v>94413.869000000006</v>
      </c>
      <c r="S23" s="190">
        <v>216195.6018</v>
      </c>
      <c r="T23" s="190">
        <v>94413.869000000006</v>
      </c>
      <c r="U23" s="190">
        <v>216195.6018</v>
      </c>
      <c r="V23" s="190">
        <v>94413.869000000006</v>
      </c>
      <c r="W23" s="190">
        <v>216195.6018</v>
      </c>
      <c r="X23" s="190">
        <v>94413.869000000006</v>
      </c>
      <c r="Y23" s="190">
        <v>216195.6018</v>
      </c>
      <c r="Z23" s="190">
        <v>94413.869000000006</v>
      </c>
      <c r="AA23" s="190">
        <v>216195.6018</v>
      </c>
      <c r="AB23" s="190">
        <v>94413.869000000006</v>
      </c>
      <c r="AC23" s="190">
        <v>216195.6018</v>
      </c>
      <c r="AD23" s="190">
        <v>94413.869000000006</v>
      </c>
      <c r="AE23" s="190">
        <v>216195.6018</v>
      </c>
      <c r="AF23" s="190">
        <v>94413.869000000006</v>
      </c>
      <c r="AG23" s="190">
        <v>216195.6018</v>
      </c>
      <c r="AH23" s="190">
        <v>94413.869000000006</v>
      </c>
      <c r="AI23" s="190">
        <v>216195.6018</v>
      </c>
      <c r="AJ23" s="190">
        <v>94413.869000000006</v>
      </c>
    </row>
    <row r="24" spans="2:36">
      <c r="B24" s="507" t="s">
        <v>115</v>
      </c>
      <c r="C24" s="6" t="s">
        <v>295</v>
      </c>
      <c r="D24" s="345" t="s">
        <v>415</v>
      </c>
      <c r="E24" s="12" t="s">
        <v>817</v>
      </c>
      <c r="F24" s="6" t="s">
        <v>800</v>
      </c>
      <c r="G24" s="190">
        <v>40758.823696499996</v>
      </c>
      <c r="H24" s="190">
        <v>40758.823696499996</v>
      </c>
      <c r="I24" s="190">
        <v>40758.823696499996</v>
      </c>
      <c r="J24" s="190">
        <v>40758.823696499996</v>
      </c>
      <c r="K24" s="190">
        <v>40758.823696499996</v>
      </c>
      <c r="L24" s="190">
        <v>40758.823696499996</v>
      </c>
      <c r="M24" s="190">
        <v>44320.939380899996</v>
      </c>
      <c r="N24" s="190">
        <v>44320.939380899996</v>
      </c>
      <c r="O24" s="190">
        <v>44320.939380899996</v>
      </c>
      <c r="P24" s="190">
        <v>44320.939380899996</v>
      </c>
      <c r="Q24" s="190">
        <v>44320.939380899996</v>
      </c>
      <c r="R24" s="190">
        <v>44320.939380899996</v>
      </c>
      <c r="S24" s="190">
        <v>44320.939380899996</v>
      </c>
      <c r="T24" s="190">
        <v>44320.939380899996</v>
      </c>
      <c r="U24" s="190">
        <v>44320.939380899996</v>
      </c>
      <c r="V24" s="190">
        <v>44320.939380899996</v>
      </c>
      <c r="W24" s="190">
        <v>44320.939380899996</v>
      </c>
      <c r="X24" s="190">
        <v>44320.939380899996</v>
      </c>
      <c r="Y24" s="190">
        <v>44320.939380899996</v>
      </c>
      <c r="Z24" s="190">
        <v>44320.939380899996</v>
      </c>
      <c r="AA24" s="190">
        <v>44320.939380899996</v>
      </c>
      <c r="AB24" s="190">
        <v>44320.939380899996</v>
      </c>
      <c r="AC24" s="190">
        <v>44320.939380899996</v>
      </c>
      <c r="AD24" s="190">
        <v>44320.939380899996</v>
      </c>
      <c r="AE24" s="190">
        <v>44320.939380899996</v>
      </c>
      <c r="AF24" s="190">
        <v>44320.939380899996</v>
      </c>
      <c r="AG24" s="190">
        <v>44320.939380899996</v>
      </c>
      <c r="AH24" s="190">
        <v>44320.939380899996</v>
      </c>
      <c r="AI24" s="190">
        <v>44320.939380899996</v>
      </c>
      <c r="AJ24" s="190">
        <v>44320.939380899996</v>
      </c>
    </row>
    <row r="25" spans="2:36">
      <c r="B25" s="507" t="s">
        <v>115</v>
      </c>
      <c r="C25" s="6" t="s">
        <v>296</v>
      </c>
      <c r="D25" s="345" t="s">
        <v>387</v>
      </c>
      <c r="E25" s="12">
        <v>1</v>
      </c>
      <c r="F25" s="6" t="s">
        <v>82</v>
      </c>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row>
    <row r="26" spans="2:36">
      <c r="B26" s="507" t="s">
        <v>115</v>
      </c>
      <c r="C26" s="6" t="s">
        <v>296</v>
      </c>
      <c r="D26" s="345" t="s">
        <v>387</v>
      </c>
      <c r="E26" s="12" t="s">
        <v>789</v>
      </c>
      <c r="F26" s="6" t="s">
        <v>790</v>
      </c>
      <c r="G26" s="190">
        <v>2458040.1236392562</v>
      </c>
      <c r="H26" s="190">
        <v>2458040.1236392562</v>
      </c>
      <c r="I26" s="190">
        <v>2458040.1236392562</v>
      </c>
      <c r="J26" s="190">
        <v>2458040.1236392562</v>
      </c>
      <c r="K26" s="190">
        <v>2458040.1236392562</v>
      </c>
      <c r="L26" s="190">
        <v>2458040.1236392562</v>
      </c>
      <c r="M26" s="190">
        <v>2458040.1236392562</v>
      </c>
      <c r="N26" s="190">
        <v>2458040.1236392562</v>
      </c>
      <c r="O26" s="190">
        <v>2458040.1236392562</v>
      </c>
      <c r="P26" s="190">
        <v>2458040.1236392562</v>
      </c>
      <c r="Q26" s="190">
        <v>2458040.1236392562</v>
      </c>
      <c r="R26" s="190">
        <v>2458040.1236392562</v>
      </c>
      <c r="S26" s="190">
        <v>2458040.1236392562</v>
      </c>
      <c r="T26" s="190">
        <v>2458040.1236392562</v>
      </c>
      <c r="U26" s="190">
        <v>2657380.2120163757</v>
      </c>
      <c r="V26" s="190">
        <v>2657380.2120163757</v>
      </c>
      <c r="W26" s="190">
        <v>2657380.2120163757</v>
      </c>
      <c r="X26" s="190">
        <v>2657380.2120163757</v>
      </c>
      <c r="Y26" s="190">
        <v>2657380.2120163757</v>
      </c>
      <c r="Z26" s="190">
        <v>2657380.2120163757</v>
      </c>
      <c r="AA26" s="190">
        <v>2657380.2120163757</v>
      </c>
      <c r="AB26" s="190">
        <v>2657380.2120163757</v>
      </c>
      <c r="AC26" s="190">
        <v>2657380.2120163757</v>
      </c>
      <c r="AD26" s="190">
        <v>2657380.2120163757</v>
      </c>
      <c r="AE26" s="190">
        <v>2657380.2120163757</v>
      </c>
      <c r="AF26" s="190">
        <v>2657380.2120163757</v>
      </c>
      <c r="AG26" s="190">
        <v>2657380.2120163757</v>
      </c>
      <c r="AH26" s="190">
        <v>2657380.2120163757</v>
      </c>
      <c r="AI26" s="190">
        <v>2657380.2120163757</v>
      </c>
      <c r="AJ26" s="190">
        <v>2657380.2120163757</v>
      </c>
    </row>
    <row r="27" spans="2:36">
      <c r="B27" s="507" t="s">
        <v>115</v>
      </c>
      <c r="C27" s="6" t="s">
        <v>296</v>
      </c>
      <c r="D27" s="345" t="s">
        <v>387</v>
      </c>
      <c r="E27" s="12" t="s">
        <v>791</v>
      </c>
      <c r="F27" s="6" t="s">
        <v>1033</v>
      </c>
      <c r="G27" s="190">
        <v>1197405.2822113065</v>
      </c>
      <c r="H27" s="190">
        <v>1213873.5864231167</v>
      </c>
      <c r="I27" s="190">
        <v>1281622.9143481166</v>
      </c>
      <c r="J27" s="190">
        <v>1349031.0692731168</v>
      </c>
      <c r="K27" s="190">
        <v>1416414.8546981167</v>
      </c>
      <c r="L27" s="190">
        <v>1375296.7979603866</v>
      </c>
      <c r="M27" s="190">
        <v>1375906.0354603867</v>
      </c>
      <c r="N27" s="190">
        <v>1376100.9914603867</v>
      </c>
      <c r="O27" s="190">
        <v>1376100.9914603867</v>
      </c>
      <c r="P27" s="190">
        <v>1376100.9914603867</v>
      </c>
      <c r="Q27" s="190">
        <v>1376100.9914603867</v>
      </c>
      <c r="R27" s="190">
        <v>1376100.9914603867</v>
      </c>
      <c r="S27" s="190">
        <v>1376100.9914603867</v>
      </c>
      <c r="T27" s="190">
        <v>1376100.9914603867</v>
      </c>
      <c r="U27" s="190">
        <v>1426700.8034603866</v>
      </c>
      <c r="V27" s="190">
        <v>1426700.8034603866</v>
      </c>
      <c r="W27" s="190">
        <v>1426700.8034603866</v>
      </c>
      <c r="X27" s="190">
        <v>1426700.8034603866</v>
      </c>
      <c r="Y27" s="190">
        <v>1426700.8034603866</v>
      </c>
      <c r="Z27" s="190">
        <v>1426700.8034603866</v>
      </c>
      <c r="AA27" s="190">
        <v>1426700.8034603866</v>
      </c>
      <c r="AB27" s="190">
        <v>1426700.8034603866</v>
      </c>
      <c r="AC27" s="190">
        <v>1426700.8034603866</v>
      </c>
      <c r="AD27" s="190">
        <v>1426700.8034603866</v>
      </c>
      <c r="AE27" s="190">
        <v>1426700.8034603866</v>
      </c>
      <c r="AF27" s="190">
        <v>1426700.8034603866</v>
      </c>
      <c r="AG27" s="190">
        <v>1426700.8034603866</v>
      </c>
      <c r="AH27" s="190">
        <v>1426700.8034603866</v>
      </c>
      <c r="AI27" s="190">
        <v>1426700.8034603866</v>
      </c>
      <c r="AJ27" s="190">
        <v>1426700.8034603866</v>
      </c>
    </row>
    <row r="28" spans="2:36">
      <c r="B28" s="507" t="s">
        <v>115</v>
      </c>
      <c r="C28" s="6" t="s">
        <v>296</v>
      </c>
      <c r="D28" s="345" t="s">
        <v>387</v>
      </c>
      <c r="E28" s="12" t="s">
        <v>793</v>
      </c>
      <c r="F28" s="6" t="s">
        <v>792</v>
      </c>
      <c r="G28" s="190">
        <v>20768.913384979998</v>
      </c>
      <c r="H28" s="190">
        <v>24928.082832280001</v>
      </c>
      <c r="I28" s="190">
        <v>24928.082832280001</v>
      </c>
      <c r="J28" s="190">
        <v>24928.082832280001</v>
      </c>
      <c r="K28" s="190">
        <v>43111.830768220003</v>
      </c>
      <c r="L28" s="190">
        <v>41894.842588220003</v>
      </c>
      <c r="M28" s="190">
        <v>41894.842588220003</v>
      </c>
      <c r="N28" s="190">
        <v>41894.842588220003</v>
      </c>
      <c r="O28" s="190">
        <v>41894.842588220003</v>
      </c>
      <c r="P28" s="190">
        <v>41894.842588220003</v>
      </c>
      <c r="Q28" s="190">
        <v>41894.842588220003</v>
      </c>
      <c r="R28" s="190">
        <v>41894.842588220003</v>
      </c>
      <c r="S28" s="190">
        <v>41894.842588220003</v>
      </c>
      <c r="T28" s="190">
        <v>41894.842588220003</v>
      </c>
      <c r="U28" s="190">
        <v>41894.842588220003</v>
      </c>
      <c r="V28" s="190">
        <v>41894.842588220003</v>
      </c>
      <c r="W28" s="190">
        <v>41894.842588220003</v>
      </c>
      <c r="X28" s="190">
        <v>41894.842588220003</v>
      </c>
      <c r="Y28" s="190">
        <v>41894.842588220003</v>
      </c>
      <c r="Z28" s="190">
        <v>41894.842588220003</v>
      </c>
      <c r="AA28" s="190">
        <v>41894.842588220003</v>
      </c>
      <c r="AB28" s="190">
        <v>41894.842588220003</v>
      </c>
      <c r="AC28" s="190">
        <v>41894.842588220003</v>
      </c>
      <c r="AD28" s="190">
        <v>41894.842588220003</v>
      </c>
      <c r="AE28" s="190">
        <v>41894.842588220003</v>
      </c>
      <c r="AF28" s="190">
        <v>41894.842588220003</v>
      </c>
      <c r="AG28" s="190">
        <v>41894.842588220003</v>
      </c>
      <c r="AH28" s="190">
        <v>41894.842588220003</v>
      </c>
      <c r="AI28" s="190">
        <v>41894.842588220003</v>
      </c>
      <c r="AJ28" s="190">
        <v>41894.842588220003</v>
      </c>
    </row>
    <row r="29" spans="2:36">
      <c r="B29" s="507" t="s">
        <v>115</v>
      </c>
      <c r="C29" s="6" t="s">
        <v>296</v>
      </c>
      <c r="D29" s="345" t="s">
        <v>387</v>
      </c>
      <c r="E29" s="12" t="s">
        <v>795</v>
      </c>
      <c r="F29" s="6" t="s">
        <v>794</v>
      </c>
      <c r="G29" s="190">
        <v>67534.390650718284</v>
      </c>
      <c r="H29" s="190">
        <v>69450.433288038708</v>
      </c>
      <c r="I29" s="190">
        <v>76125.76345012532</v>
      </c>
      <c r="J29" s="190">
        <v>80324.851948835014</v>
      </c>
      <c r="K29" s="190">
        <v>85364.464241609356</v>
      </c>
      <c r="L29" s="190">
        <v>89494.9264035901</v>
      </c>
      <c r="M29" s="190">
        <v>91983.140155151312</v>
      </c>
      <c r="N29" s="190">
        <v>95000.013954594222</v>
      </c>
      <c r="O29" s="190">
        <v>95000.013954594222</v>
      </c>
      <c r="P29" s="190">
        <v>95000.013954594222</v>
      </c>
      <c r="Q29" s="190">
        <v>95000.013954594222</v>
      </c>
      <c r="R29" s="190">
        <v>95000.013954594222</v>
      </c>
      <c r="S29" s="190">
        <v>95000.013954594222</v>
      </c>
      <c r="T29" s="190">
        <v>95000.013954594222</v>
      </c>
      <c r="U29" s="190">
        <v>95000.013954594222</v>
      </c>
      <c r="V29" s="190">
        <v>95000.013954594222</v>
      </c>
      <c r="W29" s="190">
        <v>95000.013954594222</v>
      </c>
      <c r="X29" s="190">
        <v>95000.013954594222</v>
      </c>
      <c r="Y29" s="190">
        <v>95000.013954594222</v>
      </c>
      <c r="Z29" s="190">
        <v>95000.013954594222</v>
      </c>
      <c r="AA29" s="190">
        <v>95000.013954594222</v>
      </c>
      <c r="AB29" s="190">
        <v>95000.013954594222</v>
      </c>
      <c r="AC29" s="190">
        <v>95000.013954594222</v>
      </c>
      <c r="AD29" s="190">
        <v>95000.013954594222</v>
      </c>
      <c r="AE29" s="190">
        <v>95000.013954594222</v>
      </c>
      <c r="AF29" s="190">
        <v>95000.013954594222</v>
      </c>
      <c r="AG29" s="190">
        <v>95000.013954594222</v>
      </c>
      <c r="AH29" s="190">
        <v>95000.013954594222</v>
      </c>
      <c r="AI29" s="190">
        <v>95000.013954594222</v>
      </c>
      <c r="AJ29" s="190">
        <v>95000.013954594222</v>
      </c>
    </row>
    <row r="30" spans="2:36">
      <c r="B30" s="507" t="s">
        <v>115</v>
      </c>
      <c r="C30" s="6" t="s">
        <v>296</v>
      </c>
      <c r="D30" s="345" t="s">
        <v>387</v>
      </c>
      <c r="E30" s="12" t="s">
        <v>797</v>
      </c>
      <c r="F30" s="6" t="s">
        <v>1034</v>
      </c>
      <c r="G30" s="190">
        <v>109755.79883762635</v>
      </c>
      <c r="H30" s="190">
        <v>95268.598837626356</v>
      </c>
      <c r="I30" s="190">
        <v>95268.598837626356</v>
      </c>
      <c r="J30" s="190">
        <v>95268.598837626356</v>
      </c>
      <c r="K30" s="190">
        <v>115474.28558922636</v>
      </c>
      <c r="L30" s="190">
        <v>115474.28558922636</v>
      </c>
      <c r="M30" s="190">
        <v>115808.56405322638</v>
      </c>
      <c r="N30" s="190">
        <v>115808.56405322638</v>
      </c>
      <c r="O30" s="190">
        <v>179290.29431802637</v>
      </c>
      <c r="P30" s="190">
        <v>179290.29431802637</v>
      </c>
      <c r="Q30" s="190">
        <v>179290.29431802637</v>
      </c>
      <c r="R30" s="190">
        <v>179290.29431802637</v>
      </c>
      <c r="S30" s="190">
        <v>179290.29431802637</v>
      </c>
      <c r="T30" s="190">
        <v>179290.29431802637</v>
      </c>
      <c r="U30" s="190">
        <v>179290.29431802637</v>
      </c>
      <c r="V30" s="190">
        <v>179290.29431802637</v>
      </c>
      <c r="W30" s="190">
        <v>179290.29431802637</v>
      </c>
      <c r="X30" s="190">
        <v>179290.29431802637</v>
      </c>
      <c r="Y30" s="190">
        <v>179290.29431802637</v>
      </c>
      <c r="Z30" s="190">
        <v>179290.29431802637</v>
      </c>
      <c r="AA30" s="190">
        <v>179290.29431802637</v>
      </c>
      <c r="AB30" s="190">
        <v>179290.29431802637</v>
      </c>
      <c r="AC30" s="190">
        <v>179290.29431802637</v>
      </c>
      <c r="AD30" s="190">
        <v>179290.29431802637</v>
      </c>
      <c r="AE30" s="190">
        <v>179290.29431802637</v>
      </c>
      <c r="AF30" s="190">
        <v>179290.29431802637</v>
      </c>
      <c r="AG30" s="190">
        <v>179290.29431802637</v>
      </c>
      <c r="AH30" s="190">
        <v>179290.29431802637</v>
      </c>
      <c r="AI30" s="190">
        <v>179290.29431802637</v>
      </c>
      <c r="AJ30" s="190">
        <v>179290.29431802637</v>
      </c>
    </row>
    <row r="31" spans="2:36">
      <c r="B31" s="507" t="s">
        <v>115</v>
      </c>
      <c r="C31" s="6" t="s">
        <v>296</v>
      </c>
      <c r="D31" s="345" t="s">
        <v>387</v>
      </c>
      <c r="E31" s="12" t="s">
        <v>799</v>
      </c>
      <c r="F31" s="6" t="s">
        <v>1035</v>
      </c>
      <c r="G31" s="190">
        <v>542528.33049344365</v>
      </c>
      <c r="H31" s="190">
        <v>540771.68290238292</v>
      </c>
      <c r="I31" s="190">
        <v>552117.21531132224</v>
      </c>
      <c r="J31" s="190">
        <v>563462.74772026157</v>
      </c>
      <c r="K31" s="190">
        <v>574808.28012920078</v>
      </c>
      <c r="L31" s="190">
        <v>574808.28012920078</v>
      </c>
      <c r="M31" s="190">
        <v>574808.28012920078</v>
      </c>
      <c r="N31" s="190">
        <v>574808.28012920078</v>
      </c>
      <c r="O31" s="190">
        <v>574808.28012920078</v>
      </c>
      <c r="P31" s="190">
        <v>574808.28012920078</v>
      </c>
      <c r="Q31" s="190">
        <v>574808.28012920078</v>
      </c>
      <c r="R31" s="190">
        <v>574808.28012920078</v>
      </c>
      <c r="S31" s="190">
        <v>574808.28012920078</v>
      </c>
      <c r="T31" s="190">
        <v>574808.28012920078</v>
      </c>
      <c r="U31" s="190">
        <v>573692.43512920069</v>
      </c>
      <c r="V31" s="190">
        <v>573692.43512920069</v>
      </c>
      <c r="W31" s="190">
        <v>573692.43512920069</v>
      </c>
      <c r="X31" s="190">
        <v>573692.43512920069</v>
      </c>
      <c r="Y31" s="190">
        <v>573692.43512920069</v>
      </c>
      <c r="Z31" s="190">
        <v>573692.43512920069</v>
      </c>
      <c r="AA31" s="190">
        <v>573692.43512920069</v>
      </c>
      <c r="AB31" s="190">
        <v>573692.43512920069</v>
      </c>
      <c r="AC31" s="190">
        <v>573692.43512920069</v>
      </c>
      <c r="AD31" s="190">
        <v>573692.43512920069</v>
      </c>
      <c r="AE31" s="190">
        <v>573692.43512920069</v>
      </c>
      <c r="AF31" s="190">
        <v>573692.43512920069</v>
      </c>
      <c r="AG31" s="190">
        <v>573692.43512920069</v>
      </c>
      <c r="AH31" s="190">
        <v>573692.43512920069</v>
      </c>
      <c r="AI31" s="190">
        <v>573692.43512920069</v>
      </c>
      <c r="AJ31" s="190">
        <v>573692.43512920069</v>
      </c>
    </row>
    <row r="32" spans="2:36">
      <c r="B32" s="507" t="s">
        <v>115</v>
      </c>
      <c r="C32" s="6" t="s">
        <v>296</v>
      </c>
      <c r="D32" s="345" t="s">
        <v>387</v>
      </c>
      <c r="E32" s="12" t="s">
        <v>801</v>
      </c>
      <c r="F32" s="6" t="s">
        <v>1036</v>
      </c>
      <c r="G32" s="190">
        <v>27020</v>
      </c>
      <c r="H32" s="190">
        <v>27020</v>
      </c>
      <c r="I32" s="190">
        <v>27020</v>
      </c>
      <c r="J32" s="190">
        <v>27020</v>
      </c>
      <c r="K32" s="190">
        <v>27020</v>
      </c>
      <c r="L32" s="190">
        <v>27020</v>
      </c>
      <c r="M32" s="190">
        <v>27020</v>
      </c>
      <c r="N32" s="190">
        <v>27020</v>
      </c>
      <c r="O32" s="190">
        <v>27020</v>
      </c>
      <c r="P32" s="190">
        <v>27020</v>
      </c>
      <c r="Q32" s="190">
        <v>27020</v>
      </c>
      <c r="R32" s="190">
        <v>27020</v>
      </c>
      <c r="S32" s="190">
        <v>27020</v>
      </c>
      <c r="T32" s="190">
        <v>27020</v>
      </c>
      <c r="U32" s="190">
        <v>27020</v>
      </c>
      <c r="V32" s="190">
        <v>27020</v>
      </c>
      <c r="W32" s="190">
        <v>27020</v>
      </c>
      <c r="X32" s="190">
        <v>27020</v>
      </c>
      <c r="Y32" s="190">
        <v>27020</v>
      </c>
      <c r="Z32" s="190">
        <v>27020</v>
      </c>
      <c r="AA32" s="190">
        <v>27020</v>
      </c>
      <c r="AB32" s="190">
        <v>27020</v>
      </c>
      <c r="AC32" s="190">
        <v>27020</v>
      </c>
      <c r="AD32" s="190">
        <v>27020</v>
      </c>
      <c r="AE32" s="190">
        <v>27020</v>
      </c>
      <c r="AF32" s="190">
        <v>27020</v>
      </c>
      <c r="AG32" s="190">
        <v>27020</v>
      </c>
      <c r="AH32" s="190">
        <v>27020</v>
      </c>
      <c r="AI32" s="190">
        <v>27020</v>
      </c>
      <c r="AJ32" s="190">
        <v>27020</v>
      </c>
    </row>
    <row r="33" spans="2:36">
      <c r="B33" s="507" t="s">
        <v>115</v>
      </c>
      <c r="C33" s="6" t="s">
        <v>296</v>
      </c>
      <c r="D33" s="345" t="s">
        <v>387</v>
      </c>
      <c r="E33" s="12" t="s">
        <v>803</v>
      </c>
      <c r="F33" s="6" t="s">
        <v>1037</v>
      </c>
      <c r="G33" s="190">
        <v>110456.684055048</v>
      </c>
      <c r="H33" s="190">
        <v>113276.246255048</v>
      </c>
      <c r="I33" s="190">
        <v>122602.490455048</v>
      </c>
      <c r="J33" s="190">
        <v>131928.734655048</v>
      </c>
      <c r="K33" s="190">
        <v>136917.19085504799</v>
      </c>
      <c r="L33" s="190">
        <v>147761.66085504799</v>
      </c>
      <c r="M33" s="190">
        <v>154268.34285504802</v>
      </c>
      <c r="N33" s="190">
        <v>158606.13085504799</v>
      </c>
      <c r="O33" s="190">
        <v>158606.13085504799</v>
      </c>
      <c r="P33" s="190">
        <v>158606.13085504799</v>
      </c>
      <c r="Q33" s="190">
        <v>158606.13085504799</v>
      </c>
      <c r="R33" s="190">
        <v>158606.13085504799</v>
      </c>
      <c r="S33" s="190">
        <v>158606.13085504799</v>
      </c>
      <c r="T33" s="190">
        <v>158606.13085504799</v>
      </c>
      <c r="U33" s="190">
        <v>158606.13085504799</v>
      </c>
      <c r="V33" s="190">
        <v>158606.13085504799</v>
      </c>
      <c r="W33" s="190">
        <v>158606.13085504799</v>
      </c>
      <c r="X33" s="190">
        <v>158606.13085504799</v>
      </c>
      <c r="Y33" s="190">
        <v>158606.13085504799</v>
      </c>
      <c r="Z33" s="190">
        <v>158606.13085504799</v>
      </c>
      <c r="AA33" s="190">
        <v>158606.13085504799</v>
      </c>
      <c r="AB33" s="190">
        <v>158606.13085504799</v>
      </c>
      <c r="AC33" s="190">
        <v>158606.13085504799</v>
      </c>
      <c r="AD33" s="190">
        <v>158606.13085504799</v>
      </c>
      <c r="AE33" s="190">
        <v>158606.13085504799</v>
      </c>
      <c r="AF33" s="190">
        <v>158606.13085504799</v>
      </c>
      <c r="AG33" s="190">
        <v>158606.13085504799</v>
      </c>
      <c r="AH33" s="190">
        <v>158606.13085504799</v>
      </c>
      <c r="AI33" s="190">
        <v>158606.13085504799</v>
      </c>
      <c r="AJ33" s="190">
        <v>158606.13085504799</v>
      </c>
    </row>
    <row r="34" spans="2:36">
      <c r="B34" s="507" t="s">
        <v>115</v>
      </c>
      <c r="C34" s="6" t="s">
        <v>296</v>
      </c>
      <c r="D34" s="345" t="s">
        <v>387</v>
      </c>
      <c r="E34" s="12" t="s">
        <v>805</v>
      </c>
      <c r="F34" s="6" t="s">
        <v>1038</v>
      </c>
      <c r="G34" s="190">
        <v>224408.7214019828</v>
      </c>
      <c r="H34" s="190">
        <v>224860.12333179856</v>
      </c>
      <c r="I34" s="190">
        <v>229567.39684925185</v>
      </c>
      <c r="J34" s="190">
        <v>234135.20834086798</v>
      </c>
      <c r="K34" s="190">
        <v>240428.97598107354</v>
      </c>
      <c r="L34" s="190">
        <v>239074.65039966395</v>
      </c>
      <c r="M34" s="190">
        <v>239566.60177958425</v>
      </c>
      <c r="N34" s="190">
        <v>239940.30786065664</v>
      </c>
      <c r="O34" s="190">
        <v>243082.65350876428</v>
      </c>
      <c r="P34" s="190">
        <v>243082.65350876428</v>
      </c>
      <c r="Q34" s="190">
        <v>243082.65350876428</v>
      </c>
      <c r="R34" s="190">
        <v>243082.65350876428</v>
      </c>
      <c r="S34" s="190">
        <v>243082.65350876428</v>
      </c>
      <c r="T34" s="190">
        <v>243082.65350876428</v>
      </c>
      <c r="U34" s="190">
        <v>255399.44424993164</v>
      </c>
      <c r="V34" s="190">
        <v>255399.44424993164</v>
      </c>
      <c r="W34" s="190">
        <v>255399.44424993164</v>
      </c>
      <c r="X34" s="190">
        <v>255399.44424993164</v>
      </c>
      <c r="Y34" s="190">
        <v>255399.44424993164</v>
      </c>
      <c r="Z34" s="190">
        <v>255399.44424993164</v>
      </c>
      <c r="AA34" s="190">
        <v>255399.44424993164</v>
      </c>
      <c r="AB34" s="190">
        <v>255399.44424993164</v>
      </c>
      <c r="AC34" s="190">
        <v>255399.44424993164</v>
      </c>
      <c r="AD34" s="190">
        <v>255399.44424993164</v>
      </c>
      <c r="AE34" s="190">
        <v>255399.44424993164</v>
      </c>
      <c r="AF34" s="190">
        <v>255399.44424993164</v>
      </c>
      <c r="AG34" s="190">
        <v>255399.44424993164</v>
      </c>
      <c r="AH34" s="190">
        <v>255399.44424993164</v>
      </c>
      <c r="AI34" s="190">
        <v>255399.44424993164</v>
      </c>
      <c r="AJ34" s="190">
        <v>255399.44424993164</v>
      </c>
    </row>
    <row r="35" spans="2:36">
      <c r="B35" s="507" t="s">
        <v>115</v>
      </c>
      <c r="C35" s="6" t="s">
        <v>296</v>
      </c>
      <c r="D35" s="345" t="s">
        <v>387</v>
      </c>
      <c r="E35" s="12" t="s">
        <v>807</v>
      </c>
      <c r="F35" s="6" t="s">
        <v>1039</v>
      </c>
      <c r="G35" s="190">
        <v>14053.879522144376</v>
      </c>
      <c r="H35" s="190">
        <v>14082.149137951019</v>
      </c>
      <c r="I35" s="190">
        <v>14376.9480855087</v>
      </c>
      <c r="J35" s="190">
        <v>14663.013047609911</v>
      </c>
      <c r="K35" s="190">
        <v>15057.168192754099</v>
      </c>
      <c r="L35" s="190">
        <v>14972.351843211278</v>
      </c>
      <c r="M35" s="190">
        <v>15003.160919529519</v>
      </c>
      <c r="N35" s="190">
        <v>15026.564734707788</v>
      </c>
      <c r="O35" s="190">
        <v>15223.35809852867</v>
      </c>
      <c r="P35" s="190">
        <v>15223.35809852867</v>
      </c>
      <c r="Q35" s="190">
        <v>15223.35809852867</v>
      </c>
      <c r="R35" s="190">
        <v>15223.35809852867</v>
      </c>
      <c r="S35" s="190">
        <v>15223.35809852867</v>
      </c>
      <c r="T35" s="190">
        <v>15223.35809852867</v>
      </c>
      <c r="U35" s="190">
        <v>15994.712670197738</v>
      </c>
      <c r="V35" s="190">
        <v>15994.712670197738</v>
      </c>
      <c r="W35" s="190">
        <v>15994.712670197738</v>
      </c>
      <c r="X35" s="190">
        <v>15994.712670197738</v>
      </c>
      <c r="Y35" s="190">
        <v>15994.712670197738</v>
      </c>
      <c r="Z35" s="190">
        <v>15994.712670197738</v>
      </c>
      <c r="AA35" s="190">
        <v>15994.712670197738</v>
      </c>
      <c r="AB35" s="190">
        <v>15994.712670197738</v>
      </c>
      <c r="AC35" s="190">
        <v>15994.712670197738</v>
      </c>
      <c r="AD35" s="190">
        <v>15994.712670197738</v>
      </c>
      <c r="AE35" s="190">
        <v>15994.712670197738</v>
      </c>
      <c r="AF35" s="190">
        <v>15994.712670197738</v>
      </c>
      <c r="AG35" s="190">
        <v>15994.712670197738</v>
      </c>
      <c r="AH35" s="190">
        <v>15994.712670197738</v>
      </c>
      <c r="AI35" s="190">
        <v>15994.712670197738</v>
      </c>
      <c r="AJ35" s="190">
        <v>15994.712670197738</v>
      </c>
    </row>
    <row r="36" spans="2:36">
      <c r="B36" s="507" t="s">
        <v>115</v>
      </c>
      <c r="C36" s="6" t="s">
        <v>296</v>
      </c>
      <c r="D36" s="345" t="s">
        <v>387</v>
      </c>
      <c r="E36" s="12" t="s">
        <v>809</v>
      </c>
      <c r="F36" s="6" t="s">
        <v>1040</v>
      </c>
      <c r="G36" s="190">
        <v>453.35095232723796</v>
      </c>
      <c r="H36" s="190">
        <v>454.26287541777486</v>
      </c>
      <c r="I36" s="190">
        <v>463.77251888737749</v>
      </c>
      <c r="J36" s="190">
        <v>473.00042089064237</v>
      </c>
      <c r="K36" s="190">
        <v>485.71510299206778</v>
      </c>
      <c r="L36" s="190">
        <v>482.97909171649286</v>
      </c>
      <c r="M36" s="190">
        <v>483.972932888049</v>
      </c>
      <c r="N36" s="190">
        <v>484.72789466799321</v>
      </c>
      <c r="O36" s="190">
        <v>491.07606769447329</v>
      </c>
      <c r="P36" s="190">
        <v>491.07606769447329</v>
      </c>
      <c r="Q36" s="190">
        <v>491.07606769447329</v>
      </c>
      <c r="R36" s="190">
        <v>491.07606769447329</v>
      </c>
      <c r="S36" s="190">
        <v>491.07606769447329</v>
      </c>
      <c r="T36" s="190">
        <v>491.07606769447329</v>
      </c>
      <c r="U36" s="190">
        <v>515.95847323218516</v>
      </c>
      <c r="V36" s="190">
        <v>515.95847323218516</v>
      </c>
      <c r="W36" s="190">
        <v>515.95847323218516</v>
      </c>
      <c r="X36" s="190">
        <v>515.95847323218516</v>
      </c>
      <c r="Y36" s="190">
        <v>515.95847323218516</v>
      </c>
      <c r="Z36" s="190">
        <v>515.95847323218516</v>
      </c>
      <c r="AA36" s="190">
        <v>515.95847323218516</v>
      </c>
      <c r="AB36" s="190">
        <v>515.95847323218516</v>
      </c>
      <c r="AC36" s="190">
        <v>515.95847323218516</v>
      </c>
      <c r="AD36" s="190">
        <v>515.95847323218516</v>
      </c>
      <c r="AE36" s="190">
        <v>515.95847323218516</v>
      </c>
      <c r="AF36" s="190">
        <v>515.95847323218516</v>
      </c>
      <c r="AG36" s="190">
        <v>515.95847323218516</v>
      </c>
      <c r="AH36" s="190">
        <v>515.95847323218516</v>
      </c>
      <c r="AI36" s="190">
        <v>515.95847323218516</v>
      </c>
      <c r="AJ36" s="190">
        <v>515.95847323218516</v>
      </c>
    </row>
    <row r="37" spans="2:36">
      <c r="B37" s="507" t="s">
        <v>115</v>
      </c>
      <c r="C37" s="6" t="s">
        <v>296</v>
      </c>
      <c r="D37" s="345" t="s">
        <v>415</v>
      </c>
      <c r="E37" s="12">
        <v>2</v>
      </c>
      <c r="F37" s="6" t="s">
        <v>83</v>
      </c>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row>
    <row r="38" spans="2:36">
      <c r="B38" s="507" t="s">
        <v>115</v>
      </c>
      <c r="C38" s="6" t="s">
        <v>296</v>
      </c>
      <c r="D38" s="345" t="s">
        <v>415</v>
      </c>
      <c r="E38" s="12" t="s">
        <v>811</v>
      </c>
      <c r="F38" s="6" t="s">
        <v>868</v>
      </c>
      <c r="G38" s="190">
        <v>375945.03606266668</v>
      </c>
      <c r="H38" s="190">
        <v>96673.426666666666</v>
      </c>
      <c r="I38" s="190">
        <v>96673.426666666666</v>
      </c>
      <c r="J38" s="190">
        <v>120420.86456266665</v>
      </c>
      <c r="K38" s="190">
        <v>96673.426666666666</v>
      </c>
      <c r="L38" s="190">
        <v>96673.426666666666</v>
      </c>
      <c r="M38" s="190">
        <v>96673.426666666666</v>
      </c>
      <c r="N38" s="190">
        <v>96673.426666666666</v>
      </c>
      <c r="O38" s="190">
        <v>120420.86456266665</v>
      </c>
      <c r="P38" s="190">
        <v>96673.426666666666</v>
      </c>
      <c r="Q38" s="190">
        <v>96673.426666666666</v>
      </c>
      <c r="R38" s="190">
        <v>96673.426666666666</v>
      </c>
      <c r="S38" s="190">
        <v>96673.426666666666</v>
      </c>
      <c r="T38" s="190">
        <v>120420.86456266665</v>
      </c>
      <c r="U38" s="190">
        <v>95305.437999999995</v>
      </c>
      <c r="V38" s="190">
        <v>95305.437999999995</v>
      </c>
      <c r="W38" s="190">
        <v>95305.437999999995</v>
      </c>
      <c r="X38" s="190">
        <v>95305.437999999995</v>
      </c>
      <c r="Y38" s="190">
        <v>121075.32252999999</v>
      </c>
      <c r="Z38" s="190">
        <v>95305.437999999995</v>
      </c>
      <c r="AA38" s="190">
        <v>95305.437999999995</v>
      </c>
      <c r="AB38" s="190">
        <v>95305.437999999995</v>
      </c>
      <c r="AC38" s="190">
        <v>95305.437999999995</v>
      </c>
      <c r="AD38" s="190">
        <v>121075.32252999999</v>
      </c>
      <c r="AE38" s="190">
        <v>95305.437999999995</v>
      </c>
      <c r="AF38" s="190">
        <v>95305.437999999995</v>
      </c>
      <c r="AG38" s="190">
        <v>95305.437999999995</v>
      </c>
      <c r="AH38" s="190">
        <v>95305.437999999995</v>
      </c>
      <c r="AI38" s="190">
        <v>121075.32252999999</v>
      </c>
      <c r="AJ38" s="190">
        <v>95305.437999999995</v>
      </c>
    </row>
    <row r="39" spans="2:36">
      <c r="B39" s="507" t="s">
        <v>115</v>
      </c>
      <c r="C39" s="6" t="s">
        <v>296</v>
      </c>
      <c r="D39" s="345" t="s">
        <v>415</v>
      </c>
      <c r="E39" s="12" t="s">
        <v>812</v>
      </c>
      <c r="F39" s="6" t="s">
        <v>1033</v>
      </c>
      <c r="G39" s="190">
        <v>96572.914110399986</v>
      </c>
      <c r="H39" s="190">
        <v>96572.914110399986</v>
      </c>
      <c r="I39" s="190">
        <v>71242.313687999995</v>
      </c>
      <c r="J39" s="190">
        <v>96572.914110399986</v>
      </c>
      <c r="K39" s="190">
        <v>71242.313687999995</v>
      </c>
      <c r="L39" s="190">
        <v>96572.914110399986</v>
      </c>
      <c r="M39" s="190">
        <v>71242.313687999995</v>
      </c>
      <c r="N39" s="190">
        <v>96572.914110399986</v>
      </c>
      <c r="O39" s="190">
        <v>71242.313687999995</v>
      </c>
      <c r="P39" s="190">
        <v>96572.914110399986</v>
      </c>
      <c r="Q39" s="190">
        <v>71242.313687999995</v>
      </c>
      <c r="R39" s="190">
        <v>96572.914110399986</v>
      </c>
      <c r="S39" s="190">
        <v>71242.313687999995</v>
      </c>
      <c r="T39" s="190">
        <v>96572.914110399986</v>
      </c>
      <c r="U39" s="190">
        <v>75287.20695599998</v>
      </c>
      <c r="V39" s="190">
        <v>100617.80737839997</v>
      </c>
      <c r="W39" s="190">
        <v>75287.20695599998</v>
      </c>
      <c r="X39" s="190">
        <v>100617.80737839997</v>
      </c>
      <c r="Y39" s="190">
        <v>75287.20695599998</v>
      </c>
      <c r="Z39" s="190">
        <v>100617.80737839997</v>
      </c>
      <c r="AA39" s="190">
        <v>75287.20695599998</v>
      </c>
      <c r="AB39" s="190">
        <v>100617.80737839997</v>
      </c>
      <c r="AC39" s="190">
        <v>75287.20695599998</v>
      </c>
      <c r="AD39" s="190">
        <v>100617.80737839997</v>
      </c>
      <c r="AE39" s="190">
        <v>75287.20695599998</v>
      </c>
      <c r="AF39" s="190">
        <v>100617.80737839997</v>
      </c>
      <c r="AG39" s="190">
        <v>75287.20695599998</v>
      </c>
      <c r="AH39" s="190">
        <v>100617.80737839997</v>
      </c>
      <c r="AI39" s="190">
        <v>75287.20695599998</v>
      </c>
      <c r="AJ39" s="190">
        <v>100617.80737839997</v>
      </c>
    </row>
    <row r="40" spans="2:36">
      <c r="B40" s="507" t="s">
        <v>115</v>
      </c>
      <c r="C40" s="6" t="s">
        <v>296</v>
      </c>
      <c r="D40" s="345" t="s">
        <v>415</v>
      </c>
      <c r="E40" s="12" t="s">
        <v>813</v>
      </c>
      <c r="F40" s="6" t="s">
        <v>1041</v>
      </c>
      <c r="G40" s="190">
        <v>47951.557289999997</v>
      </c>
      <c r="H40" s="190">
        <v>42623.606480000002</v>
      </c>
      <c r="I40" s="190">
        <v>42623.606480000002</v>
      </c>
      <c r="J40" s="190">
        <v>42623.606480000002</v>
      </c>
      <c r="K40" s="190">
        <v>42623.606480000002</v>
      </c>
      <c r="L40" s="190">
        <v>42623.606480000002</v>
      </c>
      <c r="M40" s="190">
        <v>42623.606480000002</v>
      </c>
      <c r="N40" s="190">
        <v>42623.606480000002</v>
      </c>
      <c r="O40" s="190">
        <v>42623.606480000002</v>
      </c>
      <c r="P40" s="190">
        <v>42623.606480000002</v>
      </c>
      <c r="Q40" s="190">
        <v>42623.606480000002</v>
      </c>
      <c r="R40" s="190">
        <v>42623.606480000002</v>
      </c>
      <c r="S40" s="190">
        <v>42623.606480000002</v>
      </c>
      <c r="T40" s="190">
        <v>42623.606480000002</v>
      </c>
      <c r="U40" s="190">
        <v>42623.606480000002</v>
      </c>
      <c r="V40" s="190">
        <v>42623.606480000002</v>
      </c>
      <c r="W40" s="190">
        <v>42623.606480000002</v>
      </c>
      <c r="X40" s="190">
        <v>42623.606480000002</v>
      </c>
      <c r="Y40" s="190">
        <v>42623.606480000002</v>
      </c>
      <c r="Z40" s="190">
        <v>42623.606480000002</v>
      </c>
      <c r="AA40" s="190">
        <v>42623.606480000002</v>
      </c>
      <c r="AB40" s="190">
        <v>42623.606480000002</v>
      </c>
      <c r="AC40" s="190">
        <v>42623.606480000002</v>
      </c>
      <c r="AD40" s="190">
        <v>42623.606480000002</v>
      </c>
      <c r="AE40" s="190">
        <v>42623.606480000002</v>
      </c>
      <c r="AF40" s="190">
        <v>42623.606480000002</v>
      </c>
      <c r="AG40" s="190">
        <v>42623.606480000002</v>
      </c>
      <c r="AH40" s="190">
        <v>42623.606480000002</v>
      </c>
      <c r="AI40" s="190">
        <v>42623.606480000002</v>
      </c>
      <c r="AJ40" s="190">
        <v>42623.606480000002</v>
      </c>
    </row>
    <row r="41" spans="2:36">
      <c r="B41" s="507" t="s">
        <v>115</v>
      </c>
      <c r="C41" s="6" t="s">
        <v>296</v>
      </c>
      <c r="D41" s="345" t="s">
        <v>415</v>
      </c>
      <c r="E41" s="12" t="s">
        <v>814</v>
      </c>
      <c r="F41" s="6" t="s">
        <v>1042</v>
      </c>
      <c r="G41" s="190">
        <v>55410.688423999993</v>
      </c>
      <c r="H41" s="190">
        <v>55410.688423999993</v>
      </c>
      <c r="I41" s="190">
        <v>55410.688423999993</v>
      </c>
      <c r="J41" s="190">
        <v>55410.688423999993</v>
      </c>
      <c r="K41" s="190">
        <v>55410.688423999993</v>
      </c>
      <c r="L41" s="190">
        <v>55410.688423999993</v>
      </c>
      <c r="M41" s="190">
        <v>55410.688423999993</v>
      </c>
      <c r="N41" s="190">
        <v>55410.688423999993</v>
      </c>
      <c r="O41" s="190">
        <v>55410.688423999993</v>
      </c>
      <c r="P41" s="190">
        <v>55410.688423999993</v>
      </c>
      <c r="Q41" s="190">
        <v>55410.688423999993</v>
      </c>
      <c r="R41" s="190">
        <v>55410.688423999993</v>
      </c>
      <c r="S41" s="190">
        <v>55410.688423999993</v>
      </c>
      <c r="T41" s="190">
        <v>55410.688423999993</v>
      </c>
      <c r="U41" s="190">
        <v>55410.688423999993</v>
      </c>
      <c r="V41" s="190">
        <v>55410.688423999993</v>
      </c>
      <c r="W41" s="190">
        <v>55410.688423999993</v>
      </c>
      <c r="X41" s="190">
        <v>55410.688423999993</v>
      </c>
      <c r="Y41" s="190">
        <v>55410.688423999993</v>
      </c>
      <c r="Z41" s="190">
        <v>55410.688423999993</v>
      </c>
      <c r="AA41" s="190">
        <v>55410.688423999993</v>
      </c>
      <c r="AB41" s="190">
        <v>55410.688423999993</v>
      </c>
      <c r="AC41" s="190">
        <v>55410.688423999993</v>
      </c>
      <c r="AD41" s="190">
        <v>55410.688423999993</v>
      </c>
      <c r="AE41" s="190">
        <v>55410.688423999993</v>
      </c>
      <c r="AF41" s="190">
        <v>55410.688423999993</v>
      </c>
      <c r="AG41" s="190">
        <v>55410.688423999993</v>
      </c>
      <c r="AH41" s="190">
        <v>55410.688423999993</v>
      </c>
      <c r="AI41" s="190">
        <v>55410.688423999993</v>
      </c>
      <c r="AJ41" s="190">
        <v>55410.688423999993</v>
      </c>
    </row>
    <row r="42" spans="2:36">
      <c r="B42" s="507" t="s">
        <v>115</v>
      </c>
      <c r="C42" s="6" t="s">
        <v>296</v>
      </c>
      <c r="D42" s="345" t="s">
        <v>415</v>
      </c>
      <c r="E42" s="12" t="s">
        <v>1043</v>
      </c>
      <c r="F42" s="6" t="s">
        <v>1044</v>
      </c>
      <c r="G42" s="190">
        <v>23747.437895999996</v>
      </c>
      <c r="H42" s="190">
        <v>23747.437895999996</v>
      </c>
      <c r="I42" s="190">
        <v>23747.437895999996</v>
      </c>
      <c r="J42" s="190">
        <v>23747.437895999996</v>
      </c>
      <c r="K42" s="190">
        <v>23747.437895999996</v>
      </c>
      <c r="L42" s="190">
        <v>23747.437895999996</v>
      </c>
      <c r="M42" s="190">
        <v>23747.437895999996</v>
      </c>
      <c r="N42" s="190">
        <v>23747.437895999996</v>
      </c>
      <c r="O42" s="190">
        <v>23747.437895999996</v>
      </c>
      <c r="P42" s="190">
        <v>23747.437895999996</v>
      </c>
      <c r="Q42" s="190">
        <v>23747.437895999996</v>
      </c>
      <c r="R42" s="190">
        <v>23747.437895999996</v>
      </c>
      <c r="S42" s="190">
        <v>23747.437895999996</v>
      </c>
      <c r="T42" s="190">
        <v>23747.437895999996</v>
      </c>
      <c r="U42" s="190">
        <v>21724.991261999996</v>
      </c>
      <c r="V42" s="190">
        <v>21724.991261999996</v>
      </c>
      <c r="W42" s="190">
        <v>21724.991261999996</v>
      </c>
      <c r="X42" s="190">
        <v>21724.991261999996</v>
      </c>
      <c r="Y42" s="190">
        <v>21724.991261999996</v>
      </c>
      <c r="Z42" s="190">
        <v>21724.991261999996</v>
      </c>
      <c r="AA42" s="190">
        <v>21724.991261999996</v>
      </c>
      <c r="AB42" s="190">
        <v>21724.991261999996</v>
      </c>
      <c r="AC42" s="190">
        <v>21724.991261999996</v>
      </c>
      <c r="AD42" s="190">
        <v>21724.991261999996</v>
      </c>
      <c r="AE42" s="190">
        <v>21724.991261999996</v>
      </c>
      <c r="AF42" s="190">
        <v>21724.991261999996</v>
      </c>
      <c r="AG42" s="190">
        <v>21724.991261999996</v>
      </c>
      <c r="AH42" s="190">
        <v>21724.991261999996</v>
      </c>
      <c r="AI42" s="190">
        <v>21724.991261999996</v>
      </c>
      <c r="AJ42" s="190">
        <v>21724.991261999996</v>
      </c>
    </row>
    <row r="43" spans="2:36">
      <c r="B43" s="507" t="s">
        <v>115</v>
      </c>
      <c r="C43" s="6" t="s">
        <v>296</v>
      </c>
      <c r="D43" s="345" t="s">
        <v>415</v>
      </c>
      <c r="E43" s="12" t="s">
        <v>815</v>
      </c>
      <c r="F43" s="6" t="s">
        <v>802</v>
      </c>
      <c r="G43" s="190">
        <v>15831.625263999998</v>
      </c>
      <c r="H43" s="190">
        <v>15831.625263999998</v>
      </c>
      <c r="I43" s="190">
        <v>15831.625263999998</v>
      </c>
      <c r="J43" s="190">
        <v>15831.625263999998</v>
      </c>
      <c r="K43" s="190">
        <v>15831.625263999998</v>
      </c>
      <c r="L43" s="190">
        <v>15831.625263999998</v>
      </c>
      <c r="M43" s="190">
        <v>15831.625263999998</v>
      </c>
      <c r="N43" s="190">
        <v>15831.625263999998</v>
      </c>
      <c r="O43" s="190">
        <v>15831.625263999998</v>
      </c>
      <c r="P43" s="190">
        <v>15831.625263999998</v>
      </c>
      <c r="Q43" s="190">
        <v>15831.625263999998</v>
      </c>
      <c r="R43" s="190">
        <v>15831.625263999998</v>
      </c>
      <c r="S43" s="190">
        <v>15831.625263999998</v>
      </c>
      <c r="T43" s="190">
        <v>15831.625263999998</v>
      </c>
      <c r="U43" s="190">
        <v>15831.625263999998</v>
      </c>
      <c r="V43" s="190">
        <v>15831.625263999998</v>
      </c>
      <c r="W43" s="190">
        <v>15831.625263999998</v>
      </c>
      <c r="X43" s="190">
        <v>15831.625263999998</v>
      </c>
      <c r="Y43" s="190">
        <v>15831.625263999998</v>
      </c>
      <c r="Z43" s="190">
        <v>15831.625263999998</v>
      </c>
      <c r="AA43" s="190">
        <v>15831.625263999998</v>
      </c>
      <c r="AB43" s="190">
        <v>15831.625263999998</v>
      </c>
      <c r="AC43" s="190">
        <v>15831.625263999998</v>
      </c>
      <c r="AD43" s="190">
        <v>15831.625263999998</v>
      </c>
      <c r="AE43" s="190">
        <v>15831.625263999998</v>
      </c>
      <c r="AF43" s="190">
        <v>15831.625263999998</v>
      </c>
      <c r="AG43" s="190">
        <v>15831.625263999998</v>
      </c>
      <c r="AH43" s="190">
        <v>15831.625263999998</v>
      </c>
      <c r="AI43" s="190">
        <v>15831.625263999998</v>
      </c>
      <c r="AJ43" s="190">
        <v>15831.625263999998</v>
      </c>
    </row>
    <row r="44" spans="2:36">
      <c r="B44" s="507" t="s">
        <v>115</v>
      </c>
      <c r="C44" s="6" t="s">
        <v>296</v>
      </c>
      <c r="D44" s="345" t="s">
        <v>415</v>
      </c>
      <c r="E44" s="12" t="s">
        <v>816</v>
      </c>
      <c r="F44" s="6" t="s">
        <v>1036</v>
      </c>
      <c r="G44" s="190">
        <v>81425.645000000004</v>
      </c>
      <c r="H44" s="190">
        <v>48805.538</v>
      </c>
      <c r="I44" s="190">
        <v>92299.013999999996</v>
      </c>
      <c r="J44" s="190">
        <v>48805.538</v>
      </c>
      <c r="K44" s="190">
        <v>92299.013999999996</v>
      </c>
      <c r="L44" s="190">
        <v>48805.538</v>
      </c>
      <c r="M44" s="190">
        <v>92299.013999999996</v>
      </c>
      <c r="N44" s="190">
        <v>48805.538</v>
      </c>
      <c r="O44" s="190">
        <v>92299.013999999996</v>
      </c>
      <c r="P44" s="190">
        <v>48805.538</v>
      </c>
      <c r="Q44" s="190">
        <v>92299.013999999996</v>
      </c>
      <c r="R44" s="190">
        <v>48805.538</v>
      </c>
      <c r="S44" s="190">
        <v>92299.013999999996</v>
      </c>
      <c r="T44" s="190">
        <v>48805.538</v>
      </c>
      <c r="U44" s="190">
        <v>92299.013999999996</v>
      </c>
      <c r="V44" s="190">
        <v>48805.538</v>
      </c>
      <c r="W44" s="190">
        <v>92299.013999999996</v>
      </c>
      <c r="X44" s="190">
        <v>48805.538</v>
      </c>
      <c r="Y44" s="190">
        <v>92299.013999999996</v>
      </c>
      <c r="Z44" s="190">
        <v>48805.538</v>
      </c>
      <c r="AA44" s="190">
        <v>92299.013999999996</v>
      </c>
      <c r="AB44" s="190">
        <v>48805.538</v>
      </c>
      <c r="AC44" s="190">
        <v>92299.013999999996</v>
      </c>
      <c r="AD44" s="190">
        <v>48805.538</v>
      </c>
      <c r="AE44" s="190">
        <v>92299.013999999996</v>
      </c>
      <c r="AF44" s="190">
        <v>48805.538</v>
      </c>
      <c r="AG44" s="190">
        <v>92299.013999999996</v>
      </c>
      <c r="AH44" s="190">
        <v>48805.538</v>
      </c>
      <c r="AI44" s="190">
        <v>92299.013999999996</v>
      </c>
      <c r="AJ44" s="190">
        <v>48805.538</v>
      </c>
    </row>
    <row r="45" spans="2:36">
      <c r="B45" s="507" t="s">
        <v>115</v>
      </c>
      <c r="C45" s="6" t="s">
        <v>296</v>
      </c>
      <c r="D45" s="345" t="s">
        <v>415</v>
      </c>
      <c r="E45" s="12" t="s">
        <v>817</v>
      </c>
      <c r="F45" s="6" t="s">
        <v>800</v>
      </c>
      <c r="G45" s="190">
        <v>35621.156843999997</v>
      </c>
      <c r="H45" s="190">
        <v>35621.156843999997</v>
      </c>
      <c r="I45" s="190">
        <v>35621.156843999997</v>
      </c>
      <c r="J45" s="190">
        <v>35621.156843999997</v>
      </c>
      <c r="K45" s="190">
        <v>35621.156843999997</v>
      </c>
      <c r="L45" s="190">
        <v>35621.156843999997</v>
      </c>
      <c r="M45" s="190">
        <v>35621.156843999997</v>
      </c>
      <c r="N45" s="190">
        <v>35621.156843999997</v>
      </c>
      <c r="O45" s="190">
        <v>35621.156843999997</v>
      </c>
      <c r="P45" s="190">
        <v>35621.156843999997</v>
      </c>
      <c r="Q45" s="190">
        <v>35621.156843999997</v>
      </c>
      <c r="R45" s="190">
        <v>35621.156843999997</v>
      </c>
      <c r="S45" s="190">
        <v>35621.156843999997</v>
      </c>
      <c r="T45" s="190">
        <v>35621.156843999997</v>
      </c>
      <c r="U45" s="190">
        <v>35621.156843999997</v>
      </c>
      <c r="V45" s="190">
        <v>35621.156843999997</v>
      </c>
      <c r="W45" s="190">
        <v>35621.156843999997</v>
      </c>
      <c r="X45" s="190">
        <v>35621.156843999997</v>
      </c>
      <c r="Y45" s="190">
        <v>35621.156843999997</v>
      </c>
      <c r="Z45" s="190">
        <v>35621.156843999997</v>
      </c>
      <c r="AA45" s="190">
        <v>35621.156843999997</v>
      </c>
      <c r="AB45" s="190">
        <v>35621.156843999997</v>
      </c>
      <c r="AC45" s="190">
        <v>35621.156843999997</v>
      </c>
      <c r="AD45" s="190">
        <v>35621.156843999997</v>
      </c>
      <c r="AE45" s="190">
        <v>35621.156843999997</v>
      </c>
      <c r="AF45" s="190">
        <v>35621.156843999997</v>
      </c>
      <c r="AG45" s="190">
        <v>35621.156843999997</v>
      </c>
      <c r="AH45" s="190">
        <v>35621.156843999997</v>
      </c>
      <c r="AI45" s="190">
        <v>35621.156843999997</v>
      </c>
      <c r="AJ45" s="190">
        <v>35621.156843999997</v>
      </c>
    </row>
    <row r="46" spans="2:36">
      <c r="B46" s="507" t="s">
        <v>115</v>
      </c>
      <c r="C46" s="6" t="s">
        <v>297</v>
      </c>
      <c r="D46" s="345" t="s">
        <v>387</v>
      </c>
      <c r="E46" s="12">
        <v>1</v>
      </c>
      <c r="F46" s="6" t="s">
        <v>82</v>
      </c>
      <c r="G46" s="190"/>
      <c r="H46" s="190"/>
      <c r="I46" s="190"/>
      <c r="J46" s="190"/>
      <c r="K46" s="190"/>
      <c r="L46" s="190"/>
      <c r="M46" s="190"/>
      <c r="N46" s="190"/>
      <c r="O46" s="190"/>
      <c r="P46" s="190"/>
      <c r="Q46" s="190"/>
      <c r="R46" s="190"/>
      <c r="S46" s="190"/>
      <c r="T46" s="190"/>
      <c r="U46" s="190"/>
      <c r="V46" s="190"/>
      <c r="W46" s="190"/>
      <c r="X46" s="190"/>
      <c r="Y46" s="190"/>
      <c r="Z46" s="190"/>
      <c r="AA46" s="190"/>
      <c r="AB46" s="190"/>
      <c r="AC46" s="190"/>
      <c r="AD46" s="190"/>
      <c r="AE46" s="190"/>
      <c r="AF46" s="190"/>
      <c r="AG46" s="190"/>
      <c r="AH46" s="190"/>
      <c r="AI46" s="190"/>
      <c r="AJ46" s="190"/>
    </row>
    <row r="47" spans="2:36">
      <c r="B47" s="507" t="s">
        <v>115</v>
      </c>
      <c r="C47" s="6" t="s">
        <v>297</v>
      </c>
      <c r="D47" s="345" t="s">
        <v>387</v>
      </c>
      <c r="E47" s="12" t="s">
        <v>789</v>
      </c>
      <c r="F47" s="6" t="s">
        <v>790</v>
      </c>
      <c r="G47" s="190">
        <v>1047120.3114528001</v>
      </c>
      <c r="H47" s="190">
        <v>1047120.3114528001</v>
      </c>
      <c r="I47" s="190">
        <v>1047120.3114528001</v>
      </c>
      <c r="J47" s="190">
        <v>1047120.3114528001</v>
      </c>
      <c r="K47" s="190">
        <v>1219638.515707352</v>
      </c>
      <c r="L47" s="190">
        <v>1219638.515707352</v>
      </c>
      <c r="M47" s="190">
        <v>1219638.515707352</v>
      </c>
      <c r="N47" s="190">
        <v>1219638.515707352</v>
      </c>
      <c r="O47" s="190">
        <v>1219638.515707352</v>
      </c>
      <c r="P47" s="190">
        <v>1219638.515707352</v>
      </c>
      <c r="Q47" s="190">
        <v>1219638.515707352</v>
      </c>
      <c r="R47" s="190">
        <v>1219638.515707352</v>
      </c>
      <c r="S47" s="190">
        <v>1219638.515707352</v>
      </c>
      <c r="T47" s="190">
        <v>1219638.515707352</v>
      </c>
      <c r="U47" s="190">
        <v>1238117.1094388722</v>
      </c>
      <c r="V47" s="190">
        <v>1745200.5190880001</v>
      </c>
      <c r="W47" s="190">
        <v>1745200.5190880001</v>
      </c>
      <c r="X47" s="190">
        <v>1745200.5190880001</v>
      </c>
      <c r="Y47" s="190">
        <v>1745200.5190880001</v>
      </c>
      <c r="Z47" s="190">
        <v>1745200.5190880001</v>
      </c>
      <c r="AA47" s="190">
        <v>1745200.5190880001</v>
      </c>
      <c r="AB47" s="190">
        <v>1745200.5190880001</v>
      </c>
      <c r="AC47" s="190">
        <v>1745200.5190880001</v>
      </c>
      <c r="AD47" s="190">
        <v>1745200.5190880001</v>
      </c>
      <c r="AE47" s="190">
        <v>1745200.5190880001</v>
      </c>
      <c r="AF47" s="190">
        <v>1745200.5190880001</v>
      </c>
      <c r="AG47" s="190">
        <v>1745200.5190880001</v>
      </c>
      <c r="AH47" s="190">
        <v>1745200.5190880001</v>
      </c>
      <c r="AI47" s="190">
        <v>1745200.5190880001</v>
      </c>
      <c r="AJ47" s="190">
        <v>1745200.5190880001</v>
      </c>
    </row>
    <row r="48" spans="2:36">
      <c r="B48" s="507" t="s">
        <v>115</v>
      </c>
      <c r="C48" s="6" t="s">
        <v>297</v>
      </c>
      <c r="D48" s="345" t="s">
        <v>387</v>
      </c>
      <c r="E48" s="12" t="s">
        <v>791</v>
      </c>
      <c r="F48" s="6" t="s">
        <v>1033</v>
      </c>
      <c r="G48" s="190">
        <v>581282.12291314709</v>
      </c>
      <c r="H48" s="190">
        <v>591289.92121314711</v>
      </c>
      <c r="I48" s="190">
        <v>623241.31951314711</v>
      </c>
      <c r="J48" s="190">
        <v>970083.11535279511</v>
      </c>
      <c r="K48" s="190">
        <v>1053142.9564527953</v>
      </c>
      <c r="L48" s="190">
        <v>1037903.2572527954</v>
      </c>
      <c r="M48" s="190">
        <v>1037903.2572527954</v>
      </c>
      <c r="N48" s="190">
        <v>1037903.2572527954</v>
      </c>
      <c r="O48" s="190">
        <v>1037903.2572527954</v>
      </c>
      <c r="P48" s="190">
        <v>1037903.2572527954</v>
      </c>
      <c r="Q48" s="190">
        <v>1037903.2572527954</v>
      </c>
      <c r="R48" s="190">
        <v>1037903.2572527954</v>
      </c>
      <c r="S48" s="190">
        <v>1037903.2572527954</v>
      </c>
      <c r="T48" s="190">
        <v>1037903.2572527954</v>
      </c>
      <c r="U48" s="190">
        <v>1045589.3580527953</v>
      </c>
      <c r="V48" s="190">
        <v>1196479.8336527953</v>
      </c>
      <c r="W48" s="190">
        <v>1196479.8336527953</v>
      </c>
      <c r="X48" s="190">
        <v>1196479.8336527953</v>
      </c>
      <c r="Y48" s="190">
        <v>1196479.8336527953</v>
      </c>
      <c r="Z48" s="190">
        <v>1196479.8336527953</v>
      </c>
      <c r="AA48" s="190">
        <v>1196479.8336527953</v>
      </c>
      <c r="AB48" s="190">
        <v>1196479.8336527953</v>
      </c>
      <c r="AC48" s="190">
        <v>1196479.8336527953</v>
      </c>
      <c r="AD48" s="190">
        <v>1196479.8336527953</v>
      </c>
      <c r="AE48" s="190">
        <v>1196479.8336527953</v>
      </c>
      <c r="AF48" s="190">
        <v>1196479.8336527953</v>
      </c>
      <c r="AG48" s="190">
        <v>1196479.8336527953</v>
      </c>
      <c r="AH48" s="190">
        <v>1196479.8336527953</v>
      </c>
      <c r="AI48" s="190">
        <v>1196479.8336527953</v>
      </c>
      <c r="AJ48" s="190">
        <v>1196479.8336527953</v>
      </c>
    </row>
    <row r="49" spans="2:36">
      <c r="B49" s="507" t="s">
        <v>115</v>
      </c>
      <c r="C49" s="6" t="s">
        <v>297</v>
      </c>
      <c r="D49" s="345" t="s">
        <v>387</v>
      </c>
      <c r="E49" s="12" t="s">
        <v>793</v>
      </c>
      <c r="F49" s="6" t="s">
        <v>792</v>
      </c>
      <c r="G49" s="190">
        <v>7710.51883404</v>
      </c>
      <c r="H49" s="190">
        <v>16719.893068665002</v>
      </c>
      <c r="I49" s="190">
        <v>16719.893068665002</v>
      </c>
      <c r="J49" s="190">
        <v>16719.893068665002</v>
      </c>
      <c r="K49" s="190">
        <v>25489.640758625006</v>
      </c>
      <c r="L49" s="190">
        <v>25224.322408625005</v>
      </c>
      <c r="M49" s="190">
        <v>25224.322408625005</v>
      </c>
      <c r="N49" s="190">
        <v>25224.322408625005</v>
      </c>
      <c r="O49" s="190">
        <v>25224.322408625005</v>
      </c>
      <c r="P49" s="190">
        <v>25224.322408625005</v>
      </c>
      <c r="Q49" s="190">
        <v>25224.322408625005</v>
      </c>
      <c r="R49" s="190">
        <v>25224.322408625005</v>
      </c>
      <c r="S49" s="190">
        <v>25224.322408625005</v>
      </c>
      <c r="T49" s="190">
        <v>25224.322408625005</v>
      </c>
      <c r="U49" s="190">
        <v>25224.322408625005</v>
      </c>
      <c r="V49" s="190">
        <v>25224.322408625005</v>
      </c>
      <c r="W49" s="190">
        <v>25224.322408625005</v>
      </c>
      <c r="X49" s="190">
        <v>25224.322408625005</v>
      </c>
      <c r="Y49" s="190">
        <v>25224.322408625005</v>
      </c>
      <c r="Z49" s="190">
        <v>25224.322408625005</v>
      </c>
      <c r="AA49" s="190">
        <v>25224.322408625005</v>
      </c>
      <c r="AB49" s="190">
        <v>25224.322408625005</v>
      </c>
      <c r="AC49" s="190">
        <v>25224.322408625005</v>
      </c>
      <c r="AD49" s="190">
        <v>25224.322408625005</v>
      </c>
      <c r="AE49" s="190">
        <v>25224.322408625005</v>
      </c>
      <c r="AF49" s="190">
        <v>25224.322408625005</v>
      </c>
      <c r="AG49" s="190">
        <v>25224.322408625005</v>
      </c>
      <c r="AH49" s="190">
        <v>25224.322408625005</v>
      </c>
      <c r="AI49" s="190">
        <v>25224.322408625005</v>
      </c>
      <c r="AJ49" s="190">
        <v>25224.322408625005</v>
      </c>
    </row>
    <row r="50" spans="2:36">
      <c r="B50" s="507" t="s">
        <v>115</v>
      </c>
      <c r="C50" s="6" t="s">
        <v>297</v>
      </c>
      <c r="D50" s="345" t="s">
        <v>387</v>
      </c>
      <c r="E50" s="12" t="s">
        <v>795</v>
      </c>
      <c r="F50" s="6" t="s">
        <v>794</v>
      </c>
      <c r="G50" s="190">
        <v>13436.582053157897</v>
      </c>
      <c r="H50" s="190">
        <v>15144.324039868423</v>
      </c>
      <c r="I50" s="190">
        <v>16852.066026578948</v>
      </c>
      <c r="J50" s="190">
        <v>241793.92558440194</v>
      </c>
      <c r="K50" s="190">
        <v>243501.66757111246</v>
      </c>
      <c r="L50" s="190">
        <v>243501.66757111246</v>
      </c>
      <c r="M50" s="190">
        <v>243501.66757111246</v>
      </c>
      <c r="N50" s="190">
        <v>243501.66757111246</v>
      </c>
      <c r="O50" s="190">
        <v>243501.66757111246</v>
      </c>
      <c r="P50" s="190">
        <v>243501.66757111246</v>
      </c>
      <c r="Q50" s="190">
        <v>243501.66757111246</v>
      </c>
      <c r="R50" s="190">
        <v>243501.66757111246</v>
      </c>
      <c r="S50" s="190">
        <v>243501.66757111246</v>
      </c>
      <c r="T50" s="190">
        <v>243501.66757111246</v>
      </c>
      <c r="U50" s="190">
        <v>243501.66757111246</v>
      </c>
      <c r="V50" s="190">
        <v>243501.66757111246</v>
      </c>
      <c r="W50" s="190">
        <v>243501.66757111246</v>
      </c>
      <c r="X50" s="190">
        <v>243501.66757111246</v>
      </c>
      <c r="Y50" s="190">
        <v>243501.66757111246</v>
      </c>
      <c r="Z50" s="190">
        <v>243501.66757111246</v>
      </c>
      <c r="AA50" s="190">
        <v>243501.66757111246</v>
      </c>
      <c r="AB50" s="190">
        <v>243501.66757111246</v>
      </c>
      <c r="AC50" s="190">
        <v>243501.66757111246</v>
      </c>
      <c r="AD50" s="190">
        <v>243501.66757111246</v>
      </c>
      <c r="AE50" s="190">
        <v>243501.66757111246</v>
      </c>
      <c r="AF50" s="190">
        <v>243501.66757111246</v>
      </c>
      <c r="AG50" s="190">
        <v>243501.66757111246</v>
      </c>
      <c r="AH50" s="190">
        <v>243501.66757111246</v>
      </c>
      <c r="AI50" s="190">
        <v>243501.66757111246</v>
      </c>
      <c r="AJ50" s="190">
        <v>243501.66757111246</v>
      </c>
    </row>
    <row r="51" spans="2:36">
      <c r="B51" s="507" t="s">
        <v>115</v>
      </c>
      <c r="C51" s="6" t="s">
        <v>297</v>
      </c>
      <c r="D51" s="345" t="s">
        <v>387</v>
      </c>
      <c r="E51" s="12" t="s">
        <v>797</v>
      </c>
      <c r="F51" s="6" t="s">
        <v>1034</v>
      </c>
      <c r="G51" s="190">
        <v>45114.599999999991</v>
      </c>
      <c r="H51" s="190">
        <v>38348.6</v>
      </c>
      <c r="I51" s="190">
        <v>38348.6</v>
      </c>
      <c r="J51" s="190">
        <v>38348.6</v>
      </c>
      <c r="K51" s="190">
        <v>50749.578887855991</v>
      </c>
      <c r="L51" s="190">
        <v>50749.578887855991</v>
      </c>
      <c r="M51" s="190">
        <v>50749.578887855991</v>
      </c>
      <c r="N51" s="190">
        <v>50749.578887855991</v>
      </c>
      <c r="O51" s="190">
        <v>50749.578887855991</v>
      </c>
      <c r="P51" s="190">
        <v>50749.578887855991</v>
      </c>
      <c r="Q51" s="190">
        <v>50749.578887855991</v>
      </c>
      <c r="R51" s="190">
        <v>50749.578887855991</v>
      </c>
      <c r="S51" s="190">
        <v>50749.578887855991</v>
      </c>
      <c r="T51" s="190">
        <v>50749.578887855991</v>
      </c>
      <c r="U51" s="190">
        <v>51562.794787855993</v>
      </c>
      <c r="V51" s="190">
        <v>50749.578887855991</v>
      </c>
      <c r="W51" s="190">
        <v>50749.578887855991</v>
      </c>
      <c r="X51" s="190">
        <v>50749.578887855991</v>
      </c>
      <c r="Y51" s="190">
        <v>50749.578887855991</v>
      </c>
      <c r="Z51" s="190">
        <v>50749.578887855991</v>
      </c>
      <c r="AA51" s="190">
        <v>50749.578887855991</v>
      </c>
      <c r="AB51" s="190">
        <v>50749.578887855991</v>
      </c>
      <c r="AC51" s="190">
        <v>50749.578887855991</v>
      </c>
      <c r="AD51" s="190">
        <v>50749.578887855991</v>
      </c>
      <c r="AE51" s="190">
        <v>50749.578887855991</v>
      </c>
      <c r="AF51" s="190">
        <v>50749.578887855991</v>
      </c>
      <c r="AG51" s="190">
        <v>50749.578887855991</v>
      </c>
      <c r="AH51" s="190">
        <v>50749.578887855991</v>
      </c>
      <c r="AI51" s="190">
        <v>50749.578887855991</v>
      </c>
      <c r="AJ51" s="190">
        <v>50749.578887855991</v>
      </c>
    </row>
    <row r="52" spans="2:36">
      <c r="B52" s="507" t="s">
        <v>115</v>
      </c>
      <c r="C52" s="6" t="s">
        <v>297</v>
      </c>
      <c r="D52" s="345" t="s">
        <v>387</v>
      </c>
      <c r="E52" s="12" t="s">
        <v>799</v>
      </c>
      <c r="F52" s="6" t="s">
        <v>1035</v>
      </c>
      <c r="G52" s="190">
        <v>171995.7014365661</v>
      </c>
      <c r="H52" s="190">
        <v>174013.54880257571</v>
      </c>
      <c r="I52" s="190">
        <v>182150.54616858534</v>
      </c>
      <c r="J52" s="190">
        <v>190287.54353459494</v>
      </c>
      <c r="K52" s="190">
        <v>188960.9614341277</v>
      </c>
      <c r="L52" s="190">
        <v>188960.9614341277</v>
      </c>
      <c r="M52" s="190">
        <v>188960.9614341277</v>
      </c>
      <c r="N52" s="190">
        <v>188960.9614341277</v>
      </c>
      <c r="O52" s="190">
        <v>188960.9614341277</v>
      </c>
      <c r="P52" s="190">
        <v>188960.9614341277</v>
      </c>
      <c r="Q52" s="190">
        <v>188960.9614341277</v>
      </c>
      <c r="R52" s="190">
        <v>188960.9614341277</v>
      </c>
      <c r="S52" s="190">
        <v>188960.9614341277</v>
      </c>
      <c r="T52" s="190">
        <v>188960.9614341277</v>
      </c>
      <c r="U52" s="190">
        <v>189240.51143412769</v>
      </c>
      <c r="V52" s="190">
        <v>184051.24343412771</v>
      </c>
      <c r="W52" s="190">
        <v>184051.24343412771</v>
      </c>
      <c r="X52" s="190">
        <v>184051.24343412771</v>
      </c>
      <c r="Y52" s="190">
        <v>184051.24343412771</v>
      </c>
      <c r="Z52" s="190">
        <v>184051.24343412771</v>
      </c>
      <c r="AA52" s="190">
        <v>184051.24343412771</v>
      </c>
      <c r="AB52" s="190">
        <v>184051.24343412771</v>
      </c>
      <c r="AC52" s="190">
        <v>184051.24343412771</v>
      </c>
      <c r="AD52" s="190">
        <v>184051.24343412771</v>
      </c>
      <c r="AE52" s="190">
        <v>184051.24343412771</v>
      </c>
      <c r="AF52" s="190">
        <v>184051.24343412771</v>
      </c>
      <c r="AG52" s="190">
        <v>184051.24343412771</v>
      </c>
      <c r="AH52" s="190">
        <v>184051.24343412771</v>
      </c>
      <c r="AI52" s="190">
        <v>184051.24343412771</v>
      </c>
      <c r="AJ52" s="190">
        <v>184051.24343412771</v>
      </c>
    </row>
    <row r="53" spans="2:36">
      <c r="B53" s="507" t="s">
        <v>115</v>
      </c>
      <c r="C53" s="6" t="s">
        <v>297</v>
      </c>
      <c r="D53" s="345" t="s">
        <v>387</v>
      </c>
      <c r="E53" s="12" t="s">
        <v>801</v>
      </c>
      <c r="F53" s="6" t="s">
        <v>1036</v>
      </c>
      <c r="G53" s="190">
        <v>59991.666666666664</v>
      </c>
      <c r="H53" s="190">
        <v>59991.666666666664</v>
      </c>
      <c r="I53" s="190">
        <v>59991.666666666664</v>
      </c>
      <c r="J53" s="190">
        <v>59991.666666666664</v>
      </c>
      <c r="K53" s="190">
        <v>59991.666666666664</v>
      </c>
      <c r="L53" s="190">
        <v>59991.666666666664</v>
      </c>
      <c r="M53" s="190">
        <v>59991.666666666664</v>
      </c>
      <c r="N53" s="190">
        <v>59991.666666666664</v>
      </c>
      <c r="O53" s="190">
        <v>59991.666666666664</v>
      </c>
      <c r="P53" s="190">
        <v>59991.666666666664</v>
      </c>
      <c r="Q53" s="190">
        <v>59991.666666666664</v>
      </c>
      <c r="R53" s="190">
        <v>59991.666666666664</v>
      </c>
      <c r="S53" s="190">
        <v>59991.666666666664</v>
      </c>
      <c r="T53" s="190">
        <v>59991.666666666664</v>
      </c>
      <c r="U53" s="190">
        <v>59991.666666666664</v>
      </c>
      <c r="V53" s="190">
        <v>59991.666666666664</v>
      </c>
      <c r="W53" s="190">
        <v>59991.666666666664</v>
      </c>
      <c r="X53" s="190">
        <v>59991.666666666664</v>
      </c>
      <c r="Y53" s="190">
        <v>59991.666666666664</v>
      </c>
      <c r="Z53" s="190">
        <v>59991.666666666664</v>
      </c>
      <c r="AA53" s="190">
        <v>59991.666666666664</v>
      </c>
      <c r="AB53" s="190">
        <v>59991.666666666664</v>
      </c>
      <c r="AC53" s="190">
        <v>59991.666666666664</v>
      </c>
      <c r="AD53" s="190">
        <v>59991.666666666664</v>
      </c>
      <c r="AE53" s="190">
        <v>59991.666666666664</v>
      </c>
      <c r="AF53" s="190">
        <v>59991.666666666664</v>
      </c>
      <c r="AG53" s="190">
        <v>59991.666666666664</v>
      </c>
      <c r="AH53" s="190">
        <v>59991.666666666664</v>
      </c>
      <c r="AI53" s="190">
        <v>59991.666666666664</v>
      </c>
      <c r="AJ53" s="190">
        <v>59991.666666666664</v>
      </c>
    </row>
    <row r="54" spans="2:36">
      <c r="B54" s="507" t="s">
        <v>115</v>
      </c>
      <c r="C54" s="6" t="s">
        <v>297</v>
      </c>
      <c r="D54" s="345" t="s">
        <v>387</v>
      </c>
      <c r="E54" s="12" t="s">
        <v>803</v>
      </c>
      <c r="F54" s="6" t="s">
        <v>1037</v>
      </c>
      <c r="G54" s="190">
        <v>146480.31760673068</v>
      </c>
      <c r="H54" s="190">
        <v>146480.31760673068</v>
      </c>
      <c r="I54" s="190">
        <v>146480.31760673068</v>
      </c>
      <c r="J54" s="190">
        <v>166000.36360673065</v>
      </c>
      <c r="K54" s="190">
        <v>166000.36360673065</v>
      </c>
      <c r="L54" s="190">
        <v>166000.36360673065</v>
      </c>
      <c r="M54" s="190">
        <v>166000.36360673065</v>
      </c>
      <c r="N54" s="190">
        <v>166000.36360673065</v>
      </c>
      <c r="O54" s="190">
        <v>166000.36360673065</v>
      </c>
      <c r="P54" s="190">
        <v>166000.36360673065</v>
      </c>
      <c r="Q54" s="190">
        <v>166000.36360673065</v>
      </c>
      <c r="R54" s="190">
        <v>166000.36360673065</v>
      </c>
      <c r="S54" s="190">
        <v>166000.36360673065</v>
      </c>
      <c r="T54" s="190">
        <v>166000.36360673065</v>
      </c>
      <c r="U54" s="190">
        <v>166000.36360673065</v>
      </c>
      <c r="V54" s="190">
        <v>166000.36360673065</v>
      </c>
      <c r="W54" s="190">
        <v>166000.36360673065</v>
      </c>
      <c r="X54" s="190">
        <v>166000.36360673065</v>
      </c>
      <c r="Y54" s="190">
        <v>166000.36360673065</v>
      </c>
      <c r="Z54" s="190">
        <v>166000.36360673065</v>
      </c>
      <c r="AA54" s="190">
        <v>166000.36360673065</v>
      </c>
      <c r="AB54" s="190">
        <v>166000.36360673065</v>
      </c>
      <c r="AC54" s="190">
        <v>166000.36360673065</v>
      </c>
      <c r="AD54" s="190">
        <v>166000.36360673065</v>
      </c>
      <c r="AE54" s="190">
        <v>166000.36360673065</v>
      </c>
      <c r="AF54" s="190">
        <v>166000.36360673065</v>
      </c>
      <c r="AG54" s="190">
        <v>166000.36360673065</v>
      </c>
      <c r="AH54" s="190">
        <v>166000.36360673065</v>
      </c>
      <c r="AI54" s="190">
        <v>166000.36360673065</v>
      </c>
      <c r="AJ54" s="190">
        <v>166000.36360673065</v>
      </c>
    </row>
    <row r="55" spans="2:36">
      <c r="B55" s="507" t="s">
        <v>115</v>
      </c>
      <c r="C55" s="6" t="s">
        <v>297</v>
      </c>
      <c r="D55" s="345" t="s">
        <v>387</v>
      </c>
      <c r="E55" s="12" t="s">
        <v>805</v>
      </c>
      <c r="F55" s="6" t="s">
        <v>1038</v>
      </c>
      <c r="G55" s="190">
        <v>102620.02513767389</v>
      </c>
      <c r="H55" s="190">
        <v>103410.87485109745</v>
      </c>
      <c r="I55" s="190">
        <v>105479.78366490711</v>
      </c>
      <c r="J55" s="190">
        <v>135152.0982536994</v>
      </c>
      <c r="K55" s="190">
        <v>148870.02987872067</v>
      </c>
      <c r="L55" s="190">
        <v>148102.53150999566</v>
      </c>
      <c r="M55" s="190">
        <v>148102.53150999566</v>
      </c>
      <c r="N55" s="190">
        <v>148102.53150999566</v>
      </c>
      <c r="O55" s="190">
        <v>148102.53150999566</v>
      </c>
      <c r="P55" s="190">
        <v>148102.53150999566</v>
      </c>
      <c r="Q55" s="190">
        <v>148102.53150999566</v>
      </c>
      <c r="R55" s="190">
        <v>148102.53150999566</v>
      </c>
      <c r="S55" s="190">
        <v>148102.53150999566</v>
      </c>
      <c r="T55" s="190">
        <v>148102.53150999566</v>
      </c>
      <c r="U55" s="190">
        <v>149451.77580135589</v>
      </c>
      <c r="V55" s="190">
        <v>181724.36016813773</v>
      </c>
      <c r="W55" s="190">
        <v>181724.36016813773</v>
      </c>
      <c r="X55" s="190">
        <v>181724.36016813773</v>
      </c>
      <c r="Y55" s="190">
        <v>181724.36016813773</v>
      </c>
      <c r="Z55" s="190">
        <v>181724.36016813773</v>
      </c>
      <c r="AA55" s="190">
        <v>181724.36016813773</v>
      </c>
      <c r="AB55" s="190">
        <v>181724.36016813773</v>
      </c>
      <c r="AC55" s="190">
        <v>181724.36016813773</v>
      </c>
      <c r="AD55" s="190">
        <v>181724.36016813773</v>
      </c>
      <c r="AE55" s="190">
        <v>181724.36016813773</v>
      </c>
      <c r="AF55" s="190">
        <v>181724.36016813773</v>
      </c>
      <c r="AG55" s="190">
        <v>181724.36016813773</v>
      </c>
      <c r="AH55" s="190">
        <v>181724.36016813773</v>
      </c>
      <c r="AI55" s="190">
        <v>181724.36016813773</v>
      </c>
      <c r="AJ55" s="190">
        <v>181724.36016813773</v>
      </c>
    </row>
    <row r="56" spans="2:36">
      <c r="B56" s="507" t="s">
        <v>115</v>
      </c>
      <c r="C56" s="6" t="s">
        <v>297</v>
      </c>
      <c r="D56" s="345" t="s">
        <v>387</v>
      </c>
      <c r="E56" s="12" t="s">
        <v>807</v>
      </c>
      <c r="F56" s="6" t="s">
        <v>1039</v>
      </c>
      <c r="G56" s="190">
        <v>6426.708644985637</v>
      </c>
      <c r="H56" s="190">
        <v>6476.2366068364063</v>
      </c>
      <c r="I56" s="190">
        <v>6605.8046335598383</v>
      </c>
      <c r="J56" s="190">
        <v>8464.0707997266272</v>
      </c>
      <c r="K56" s="190">
        <v>9323.173588364325</v>
      </c>
      <c r="L56" s="190">
        <v>9275.1080339593227</v>
      </c>
      <c r="M56" s="190">
        <v>9275.1080339593227</v>
      </c>
      <c r="N56" s="190">
        <v>9275.1080339593227</v>
      </c>
      <c r="O56" s="190">
        <v>9275.1080339593227</v>
      </c>
      <c r="P56" s="190">
        <v>9275.1080339593227</v>
      </c>
      <c r="Q56" s="190">
        <v>9275.1080339593227</v>
      </c>
      <c r="R56" s="190">
        <v>9275.1080339593227</v>
      </c>
      <c r="S56" s="190">
        <v>9275.1080339593227</v>
      </c>
      <c r="T56" s="190">
        <v>9275.1080339593227</v>
      </c>
      <c r="U56" s="190">
        <v>9359.6061612970352</v>
      </c>
      <c r="V56" s="190">
        <v>11380.717505479332</v>
      </c>
      <c r="W56" s="190">
        <v>11380.717505479332</v>
      </c>
      <c r="X56" s="190">
        <v>11380.717505479332</v>
      </c>
      <c r="Y56" s="190">
        <v>11380.717505479332</v>
      </c>
      <c r="Z56" s="190">
        <v>11380.717505479332</v>
      </c>
      <c r="AA56" s="190">
        <v>11380.717505479332</v>
      </c>
      <c r="AB56" s="190">
        <v>11380.717505479332</v>
      </c>
      <c r="AC56" s="190">
        <v>11380.717505479332</v>
      </c>
      <c r="AD56" s="190">
        <v>11380.717505479332</v>
      </c>
      <c r="AE56" s="190">
        <v>11380.717505479332</v>
      </c>
      <c r="AF56" s="190">
        <v>11380.717505479332</v>
      </c>
      <c r="AG56" s="190">
        <v>11380.717505479332</v>
      </c>
      <c r="AH56" s="190">
        <v>11380.717505479332</v>
      </c>
      <c r="AI56" s="190">
        <v>11380.717505479332</v>
      </c>
      <c r="AJ56" s="190">
        <v>11380.717505479332</v>
      </c>
    </row>
    <row r="57" spans="2:36">
      <c r="B57" s="507" t="s">
        <v>115</v>
      </c>
      <c r="C57" s="6" t="s">
        <v>297</v>
      </c>
      <c r="D57" s="345" t="s">
        <v>387</v>
      </c>
      <c r="E57" s="12" t="s">
        <v>809</v>
      </c>
      <c r="F57" s="6" t="s">
        <v>1040</v>
      </c>
      <c r="G57" s="190">
        <v>207.3131820963109</v>
      </c>
      <c r="H57" s="190">
        <v>208.91085828504538</v>
      </c>
      <c r="I57" s="190">
        <v>213.09047205031737</v>
      </c>
      <c r="J57" s="190">
        <v>273.03454192666544</v>
      </c>
      <c r="K57" s="190">
        <v>300.74753510852662</v>
      </c>
      <c r="L57" s="190">
        <v>299.19703335352659</v>
      </c>
      <c r="M57" s="190">
        <v>299.19703335352659</v>
      </c>
      <c r="N57" s="190">
        <v>299.19703335352659</v>
      </c>
      <c r="O57" s="190">
        <v>299.19703335352659</v>
      </c>
      <c r="P57" s="190">
        <v>299.19703335352659</v>
      </c>
      <c r="Q57" s="190">
        <v>299.19703335352659</v>
      </c>
      <c r="R57" s="190">
        <v>299.19703335352659</v>
      </c>
      <c r="S57" s="190">
        <v>299.19703335352659</v>
      </c>
      <c r="T57" s="190">
        <v>299.19703335352659</v>
      </c>
      <c r="U57" s="190">
        <v>301.92277939667855</v>
      </c>
      <c r="V57" s="190">
        <v>367.11991953159139</v>
      </c>
      <c r="W57" s="190">
        <v>367.11991953159139</v>
      </c>
      <c r="X57" s="190">
        <v>367.11991953159139</v>
      </c>
      <c r="Y57" s="190">
        <v>367.11991953159139</v>
      </c>
      <c r="Z57" s="190">
        <v>367.11991953159139</v>
      </c>
      <c r="AA57" s="190">
        <v>367.11991953159139</v>
      </c>
      <c r="AB57" s="190">
        <v>367.11991953159139</v>
      </c>
      <c r="AC57" s="190">
        <v>367.11991953159139</v>
      </c>
      <c r="AD57" s="190">
        <v>367.11991953159139</v>
      </c>
      <c r="AE57" s="190">
        <v>367.11991953159139</v>
      </c>
      <c r="AF57" s="190">
        <v>367.11991953159139</v>
      </c>
      <c r="AG57" s="190">
        <v>367.11991953159139</v>
      </c>
      <c r="AH57" s="190">
        <v>367.11991953159139</v>
      </c>
      <c r="AI57" s="190">
        <v>367.11991953159139</v>
      </c>
      <c r="AJ57" s="190">
        <v>367.11991953159139</v>
      </c>
    </row>
    <row r="58" spans="2:36">
      <c r="B58" s="507" t="s">
        <v>115</v>
      </c>
      <c r="C58" s="6" t="s">
        <v>297</v>
      </c>
      <c r="D58" s="345" t="s">
        <v>415</v>
      </c>
      <c r="E58" s="12">
        <v>2</v>
      </c>
      <c r="F58" s="6" t="s">
        <v>83</v>
      </c>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row>
    <row r="59" spans="2:36">
      <c r="B59" s="507" t="s">
        <v>115</v>
      </c>
      <c r="C59" s="6" t="s">
        <v>297</v>
      </c>
      <c r="D59" s="345" t="s">
        <v>415</v>
      </c>
      <c r="E59" s="12" t="s">
        <v>811</v>
      </c>
      <c r="F59" s="6" t="s">
        <v>868</v>
      </c>
      <c r="G59" s="190">
        <v>325864.92921333329</v>
      </c>
      <c r="H59" s="190">
        <v>59249.921333333332</v>
      </c>
      <c r="I59" s="190">
        <v>59249.921333333332</v>
      </c>
      <c r="J59" s="190">
        <v>70340.757713333325</v>
      </c>
      <c r="K59" s="190">
        <v>57766.977490000005</v>
      </c>
      <c r="L59" s="190">
        <v>57766.977490000005</v>
      </c>
      <c r="M59" s="190">
        <v>57766.977490000005</v>
      </c>
      <c r="N59" s="190">
        <v>57766.977490000005</v>
      </c>
      <c r="O59" s="190">
        <v>71050.211261470002</v>
      </c>
      <c r="P59" s="190">
        <v>57766.977490000005</v>
      </c>
      <c r="Q59" s="190">
        <v>57766.977490000005</v>
      </c>
      <c r="R59" s="190">
        <v>57766.977490000005</v>
      </c>
      <c r="S59" s="190">
        <v>57766.977490000005</v>
      </c>
      <c r="T59" s="190">
        <v>71050.211261470002</v>
      </c>
      <c r="U59" s="190">
        <v>57766.977490000005</v>
      </c>
      <c r="V59" s="190">
        <v>51748.047999999995</v>
      </c>
      <c r="W59" s="190">
        <v>51748.047999999995</v>
      </c>
      <c r="X59" s="190">
        <v>51748.047999999995</v>
      </c>
      <c r="Y59" s="190">
        <v>73929.720759999997</v>
      </c>
      <c r="Z59" s="190">
        <v>51748.047999999995</v>
      </c>
      <c r="AA59" s="190">
        <v>51748.047999999995</v>
      </c>
      <c r="AB59" s="190">
        <v>51748.047999999995</v>
      </c>
      <c r="AC59" s="190">
        <v>51748.047999999995</v>
      </c>
      <c r="AD59" s="190">
        <v>73929.720759999997</v>
      </c>
      <c r="AE59" s="190">
        <v>51748.047999999995</v>
      </c>
      <c r="AF59" s="190">
        <v>51748.047999999995</v>
      </c>
      <c r="AG59" s="190">
        <v>51748.047999999995</v>
      </c>
      <c r="AH59" s="190">
        <v>51748.047999999995</v>
      </c>
      <c r="AI59" s="190">
        <v>73929.720759999997</v>
      </c>
      <c r="AJ59" s="190">
        <v>51748.047999999995</v>
      </c>
    </row>
    <row r="60" spans="2:36">
      <c r="B60" s="507" t="s">
        <v>115</v>
      </c>
      <c r="C60" s="6" t="s">
        <v>297</v>
      </c>
      <c r="D60" s="345" t="s">
        <v>415</v>
      </c>
      <c r="E60" s="12" t="s">
        <v>812</v>
      </c>
      <c r="F60" s="6" t="s">
        <v>1033</v>
      </c>
      <c r="G60" s="190">
        <v>45102.734612</v>
      </c>
      <c r="H60" s="190">
        <v>45102.734612</v>
      </c>
      <c r="I60" s="190">
        <v>33272.509139999995</v>
      </c>
      <c r="J60" s="190">
        <v>45102.734612</v>
      </c>
      <c r="K60" s="190">
        <v>37657.303922939995</v>
      </c>
      <c r="L60" s="190">
        <v>49487.52939494</v>
      </c>
      <c r="M60" s="190">
        <v>37657.303922939995</v>
      </c>
      <c r="N60" s="190">
        <v>49487.52939494</v>
      </c>
      <c r="O60" s="190">
        <v>37657.303922939995</v>
      </c>
      <c r="P60" s="190">
        <v>49487.52939494</v>
      </c>
      <c r="Q60" s="190">
        <v>37657.303922939995</v>
      </c>
      <c r="R60" s="190">
        <v>49487.52939494</v>
      </c>
      <c r="S60" s="190">
        <v>37657.303922939995</v>
      </c>
      <c r="T60" s="190">
        <v>49487.52939494</v>
      </c>
      <c r="U60" s="190">
        <v>37657.303922939995</v>
      </c>
      <c r="V60" s="190">
        <v>67284.407371999987</v>
      </c>
      <c r="W60" s="190">
        <v>55454.181899999996</v>
      </c>
      <c r="X60" s="190">
        <v>67284.407371999987</v>
      </c>
      <c r="Y60" s="190">
        <v>55454.181899999996</v>
      </c>
      <c r="Z60" s="190">
        <v>67284.407371999987</v>
      </c>
      <c r="AA60" s="190">
        <v>55454.181899999996</v>
      </c>
      <c r="AB60" s="190">
        <v>67284.407371999987</v>
      </c>
      <c r="AC60" s="190">
        <v>55454.181899999996</v>
      </c>
      <c r="AD60" s="190">
        <v>67284.407371999987</v>
      </c>
      <c r="AE60" s="190">
        <v>55454.181899999996</v>
      </c>
      <c r="AF60" s="190">
        <v>67284.407371999987</v>
      </c>
      <c r="AG60" s="190">
        <v>55454.181899999996</v>
      </c>
      <c r="AH60" s="190">
        <v>67284.407371999987</v>
      </c>
      <c r="AI60" s="190">
        <v>55454.181899999996</v>
      </c>
      <c r="AJ60" s="190">
        <v>67284.407371999987</v>
      </c>
    </row>
    <row r="61" spans="2:36">
      <c r="B61" s="507" t="s">
        <v>115</v>
      </c>
      <c r="C61" s="6" t="s">
        <v>297</v>
      </c>
      <c r="D61" s="345" t="s">
        <v>415</v>
      </c>
      <c r="E61" s="12" t="s">
        <v>813</v>
      </c>
      <c r="F61" s="6" t="s">
        <v>1041</v>
      </c>
      <c r="G61" s="190">
        <v>13700.444940000001</v>
      </c>
      <c r="H61" s="190">
        <v>12178.173280000001</v>
      </c>
      <c r="I61" s="190">
        <v>12178.173280000001</v>
      </c>
      <c r="J61" s="190">
        <v>12178.173280000001</v>
      </c>
      <c r="K61" s="190">
        <v>12178.173280000001</v>
      </c>
      <c r="L61" s="190">
        <v>12178.173280000001</v>
      </c>
      <c r="M61" s="190">
        <v>12178.173280000001</v>
      </c>
      <c r="N61" s="190">
        <v>12178.173280000001</v>
      </c>
      <c r="O61" s="190">
        <v>12178.173280000001</v>
      </c>
      <c r="P61" s="190">
        <v>12178.173280000001</v>
      </c>
      <c r="Q61" s="190">
        <v>12178.173280000001</v>
      </c>
      <c r="R61" s="190">
        <v>12178.173280000001</v>
      </c>
      <c r="S61" s="190">
        <v>12178.173280000001</v>
      </c>
      <c r="T61" s="190">
        <v>12178.173280000001</v>
      </c>
      <c r="U61" s="190">
        <v>12178.173280000001</v>
      </c>
      <c r="V61" s="190">
        <v>12178.173280000001</v>
      </c>
      <c r="W61" s="190">
        <v>12178.173280000001</v>
      </c>
      <c r="X61" s="190">
        <v>12178.173280000001</v>
      </c>
      <c r="Y61" s="190">
        <v>12178.173280000001</v>
      </c>
      <c r="Z61" s="190">
        <v>12178.173280000001</v>
      </c>
      <c r="AA61" s="190">
        <v>12178.173280000001</v>
      </c>
      <c r="AB61" s="190">
        <v>12178.173280000001</v>
      </c>
      <c r="AC61" s="190">
        <v>12178.173280000001</v>
      </c>
      <c r="AD61" s="190">
        <v>12178.173280000001</v>
      </c>
      <c r="AE61" s="190">
        <v>12178.173280000001</v>
      </c>
      <c r="AF61" s="190">
        <v>12178.173280000001</v>
      </c>
      <c r="AG61" s="190">
        <v>12178.173280000001</v>
      </c>
      <c r="AH61" s="190">
        <v>12178.173280000001</v>
      </c>
      <c r="AI61" s="190">
        <v>12178.173280000001</v>
      </c>
      <c r="AJ61" s="190">
        <v>12178.173280000001</v>
      </c>
    </row>
    <row r="62" spans="2:36">
      <c r="B62" s="507" t="s">
        <v>115</v>
      </c>
      <c r="C62" s="6" t="s">
        <v>297</v>
      </c>
      <c r="D62" s="345" t="s">
        <v>415</v>
      </c>
      <c r="E62" s="12" t="s">
        <v>814</v>
      </c>
      <c r="F62" s="6" t="s">
        <v>1042</v>
      </c>
      <c r="G62" s="190">
        <v>25878.618219999997</v>
      </c>
      <c r="H62" s="190">
        <v>25878.618219999997</v>
      </c>
      <c r="I62" s="190">
        <v>25878.618219999997</v>
      </c>
      <c r="J62" s="190">
        <v>25878.618219999997</v>
      </c>
      <c r="K62" s="190">
        <v>25878.618219999997</v>
      </c>
      <c r="L62" s="190">
        <v>25878.618219999997</v>
      </c>
      <c r="M62" s="190">
        <v>25878.618219999997</v>
      </c>
      <c r="N62" s="190">
        <v>25878.618219999997</v>
      </c>
      <c r="O62" s="190">
        <v>25878.618219999997</v>
      </c>
      <c r="P62" s="190">
        <v>25878.618219999997</v>
      </c>
      <c r="Q62" s="190">
        <v>25878.618219999997</v>
      </c>
      <c r="R62" s="190">
        <v>25878.618219999997</v>
      </c>
      <c r="S62" s="190">
        <v>25878.618219999997</v>
      </c>
      <c r="T62" s="190">
        <v>25878.618219999997</v>
      </c>
      <c r="U62" s="190">
        <v>25878.618219999997</v>
      </c>
      <c r="V62" s="190">
        <v>25878.618219999997</v>
      </c>
      <c r="W62" s="190">
        <v>25878.618219999997</v>
      </c>
      <c r="X62" s="190">
        <v>25878.618219999997</v>
      </c>
      <c r="Y62" s="190">
        <v>25878.618219999997</v>
      </c>
      <c r="Z62" s="190">
        <v>25878.618219999997</v>
      </c>
      <c r="AA62" s="190">
        <v>25878.618219999997</v>
      </c>
      <c r="AB62" s="190">
        <v>25878.618219999997</v>
      </c>
      <c r="AC62" s="190">
        <v>25878.618219999997</v>
      </c>
      <c r="AD62" s="190">
        <v>25878.618219999997</v>
      </c>
      <c r="AE62" s="190">
        <v>25878.618219999997</v>
      </c>
      <c r="AF62" s="190">
        <v>25878.618219999997</v>
      </c>
      <c r="AG62" s="190">
        <v>25878.618219999997</v>
      </c>
      <c r="AH62" s="190">
        <v>25878.618219999997</v>
      </c>
      <c r="AI62" s="190">
        <v>25878.618219999997</v>
      </c>
      <c r="AJ62" s="190">
        <v>25878.618219999997</v>
      </c>
    </row>
    <row r="63" spans="2:36">
      <c r="B63" s="507" t="s">
        <v>115</v>
      </c>
      <c r="C63" s="6" t="s">
        <v>297</v>
      </c>
      <c r="D63" s="345" t="s">
        <v>415</v>
      </c>
      <c r="E63" s="12" t="s">
        <v>1043</v>
      </c>
      <c r="F63" s="6" t="s">
        <v>1044</v>
      </c>
      <c r="G63" s="190">
        <v>11090.836379999999</v>
      </c>
      <c r="H63" s="190">
        <v>11090.836379999999</v>
      </c>
      <c r="I63" s="190">
        <v>11090.836379999999</v>
      </c>
      <c r="J63" s="190">
        <v>11090.836379999999</v>
      </c>
      <c r="K63" s="190">
        <v>8898.4389885299988</v>
      </c>
      <c r="L63" s="190">
        <v>8898.4389885299988</v>
      </c>
      <c r="M63" s="190">
        <v>8898.4389885299988</v>
      </c>
      <c r="N63" s="190">
        <v>8898.4389885299988</v>
      </c>
      <c r="O63" s="190">
        <v>8898.4389885299988</v>
      </c>
      <c r="P63" s="190">
        <v>8898.4389885299988</v>
      </c>
      <c r="Q63" s="190">
        <v>8898.4389885299988</v>
      </c>
      <c r="R63" s="190">
        <v>8898.4389885299988</v>
      </c>
      <c r="S63" s="190">
        <v>8898.4389885299988</v>
      </c>
      <c r="T63" s="190">
        <v>8898.4389885299988</v>
      </c>
      <c r="U63" s="190">
        <v>8898.4389885299988</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row>
    <row r="64" spans="2:36">
      <c r="B64" s="507" t="s">
        <v>115</v>
      </c>
      <c r="C64" s="6" t="s">
        <v>297</v>
      </c>
      <c r="D64" s="345" t="s">
        <v>415</v>
      </c>
      <c r="E64" s="12" t="s">
        <v>815</v>
      </c>
      <c r="F64" s="6" t="s">
        <v>802</v>
      </c>
      <c r="G64" s="190">
        <v>7393.8909199999998</v>
      </c>
      <c r="H64" s="190">
        <v>7393.8909199999998</v>
      </c>
      <c r="I64" s="190">
        <v>7393.8909199999998</v>
      </c>
      <c r="J64" s="190">
        <v>7393.8909199999998</v>
      </c>
      <c r="K64" s="190">
        <v>7393.8909199999998</v>
      </c>
      <c r="L64" s="190">
        <v>7393.8909199999998</v>
      </c>
      <c r="M64" s="190">
        <v>7393.8909199999998</v>
      </c>
      <c r="N64" s="190">
        <v>7393.8909199999998</v>
      </c>
      <c r="O64" s="190">
        <v>7393.8909199999998</v>
      </c>
      <c r="P64" s="190">
        <v>7393.8909199999998</v>
      </c>
      <c r="Q64" s="190">
        <v>7393.8909199999998</v>
      </c>
      <c r="R64" s="190">
        <v>7393.8909199999998</v>
      </c>
      <c r="S64" s="190">
        <v>7393.8909199999998</v>
      </c>
      <c r="T64" s="190">
        <v>7393.8909199999998</v>
      </c>
      <c r="U64" s="190">
        <v>7393.8909199999998</v>
      </c>
      <c r="V64" s="190">
        <v>7393.8909199999998</v>
      </c>
      <c r="W64" s="190">
        <v>7393.8909199999998</v>
      </c>
      <c r="X64" s="190">
        <v>7393.8909199999998</v>
      </c>
      <c r="Y64" s="190">
        <v>7393.8909199999998</v>
      </c>
      <c r="Z64" s="190">
        <v>7393.8909199999998</v>
      </c>
      <c r="AA64" s="190">
        <v>7393.8909199999998</v>
      </c>
      <c r="AB64" s="190">
        <v>7393.8909199999998</v>
      </c>
      <c r="AC64" s="190">
        <v>7393.8909199999998</v>
      </c>
      <c r="AD64" s="190">
        <v>7393.8909199999998</v>
      </c>
      <c r="AE64" s="190">
        <v>7393.8909199999998</v>
      </c>
      <c r="AF64" s="190">
        <v>7393.8909199999998</v>
      </c>
      <c r="AG64" s="190">
        <v>7393.8909199999998</v>
      </c>
      <c r="AH64" s="190">
        <v>7393.8909199999998</v>
      </c>
      <c r="AI64" s="190">
        <v>7393.8909199999998</v>
      </c>
      <c r="AJ64" s="190">
        <v>7393.8909199999998</v>
      </c>
    </row>
    <row r="65" spans="2:36">
      <c r="B65" s="507" t="s">
        <v>115</v>
      </c>
      <c r="C65" s="6" t="s">
        <v>297</v>
      </c>
      <c r="D65" s="345" t="s">
        <v>415</v>
      </c>
      <c r="E65" s="12" t="s">
        <v>816</v>
      </c>
      <c r="F65" s="6" t="s">
        <v>1036</v>
      </c>
      <c r="G65" s="190">
        <v>81425.645000000004</v>
      </c>
      <c r="H65" s="190">
        <v>48805.538</v>
      </c>
      <c r="I65" s="190">
        <v>92299.013999999996</v>
      </c>
      <c r="J65" s="190">
        <v>48805.538</v>
      </c>
      <c r="K65" s="190">
        <v>92299.013999999996</v>
      </c>
      <c r="L65" s="190">
        <v>48805.538</v>
      </c>
      <c r="M65" s="190">
        <v>92299.013999999996</v>
      </c>
      <c r="N65" s="190">
        <v>48805.538</v>
      </c>
      <c r="O65" s="190">
        <v>92299.013999999996</v>
      </c>
      <c r="P65" s="190">
        <v>48805.538</v>
      </c>
      <c r="Q65" s="190">
        <v>92299.013999999996</v>
      </c>
      <c r="R65" s="190">
        <v>48805.538</v>
      </c>
      <c r="S65" s="190">
        <v>92299.013999999996</v>
      </c>
      <c r="T65" s="190">
        <v>48805.538</v>
      </c>
      <c r="U65" s="190">
        <v>92299.013999999996</v>
      </c>
      <c r="V65" s="190">
        <v>48805.538</v>
      </c>
      <c r="W65" s="190">
        <v>92299.013999999996</v>
      </c>
      <c r="X65" s="190">
        <v>48805.538</v>
      </c>
      <c r="Y65" s="190">
        <v>92299.013999999996</v>
      </c>
      <c r="Z65" s="190">
        <v>48805.538</v>
      </c>
      <c r="AA65" s="190">
        <v>92299.013999999996</v>
      </c>
      <c r="AB65" s="190">
        <v>48805.538</v>
      </c>
      <c r="AC65" s="190">
        <v>92299.013999999996</v>
      </c>
      <c r="AD65" s="190">
        <v>48805.538</v>
      </c>
      <c r="AE65" s="190">
        <v>92299.013999999996</v>
      </c>
      <c r="AF65" s="190">
        <v>48805.538</v>
      </c>
      <c r="AG65" s="190">
        <v>92299.013999999996</v>
      </c>
      <c r="AH65" s="190">
        <v>48805.538</v>
      </c>
      <c r="AI65" s="190">
        <v>92299.013999999996</v>
      </c>
      <c r="AJ65" s="190">
        <v>48805.538</v>
      </c>
    </row>
    <row r="66" spans="2:36">
      <c r="B66" s="507" t="s">
        <v>115</v>
      </c>
      <c r="C66" s="6" t="s">
        <v>297</v>
      </c>
      <c r="D66" s="345" t="s">
        <v>415</v>
      </c>
      <c r="E66" s="12" t="s">
        <v>817</v>
      </c>
      <c r="F66" s="6" t="s">
        <v>800</v>
      </c>
      <c r="G66" s="190">
        <v>16636.254570000001</v>
      </c>
      <c r="H66" s="190">
        <v>16636.254570000001</v>
      </c>
      <c r="I66" s="190">
        <v>16636.254570000001</v>
      </c>
      <c r="J66" s="190">
        <v>16636.254570000001</v>
      </c>
      <c r="K66" s="190">
        <v>16636.254570000001</v>
      </c>
      <c r="L66" s="190">
        <v>16636.254570000001</v>
      </c>
      <c r="M66" s="190">
        <v>16636.254570000001</v>
      </c>
      <c r="N66" s="190">
        <v>16636.254570000001</v>
      </c>
      <c r="O66" s="190">
        <v>16636.254570000001</v>
      </c>
      <c r="P66" s="190">
        <v>16636.254570000001</v>
      </c>
      <c r="Q66" s="190">
        <v>16636.254570000001</v>
      </c>
      <c r="R66" s="190">
        <v>16636.254570000001</v>
      </c>
      <c r="S66" s="190">
        <v>16636.254570000001</v>
      </c>
      <c r="T66" s="190">
        <v>16636.254570000001</v>
      </c>
      <c r="U66" s="190">
        <v>16636.254570000001</v>
      </c>
      <c r="V66" s="190">
        <v>16636.254570000001</v>
      </c>
      <c r="W66" s="190">
        <v>16636.254570000001</v>
      </c>
      <c r="X66" s="190">
        <v>16636.254570000001</v>
      </c>
      <c r="Y66" s="190">
        <v>16636.254570000001</v>
      </c>
      <c r="Z66" s="190">
        <v>16636.254570000001</v>
      </c>
      <c r="AA66" s="190">
        <v>16636.254570000001</v>
      </c>
      <c r="AB66" s="190">
        <v>16636.254570000001</v>
      </c>
      <c r="AC66" s="190">
        <v>16636.254570000001</v>
      </c>
      <c r="AD66" s="190">
        <v>16636.254570000001</v>
      </c>
      <c r="AE66" s="190">
        <v>16636.254570000001</v>
      </c>
      <c r="AF66" s="190">
        <v>16636.254570000001</v>
      </c>
      <c r="AG66" s="190">
        <v>16636.254570000001</v>
      </c>
      <c r="AH66" s="190">
        <v>16636.254570000001</v>
      </c>
      <c r="AI66" s="190">
        <v>16636.254570000001</v>
      </c>
      <c r="AJ66" s="190">
        <v>16636.254570000001</v>
      </c>
    </row>
    <row r="67" spans="2:36">
      <c r="B67" s="507" t="s">
        <v>115</v>
      </c>
      <c r="C67" s="6" t="s">
        <v>880</v>
      </c>
      <c r="D67" s="345" t="s">
        <v>857</v>
      </c>
      <c r="E67" s="12">
        <v>3</v>
      </c>
      <c r="F67" s="6" t="s">
        <v>84</v>
      </c>
      <c r="G67" s="190"/>
      <c r="H67" s="190"/>
      <c r="I67" s="190"/>
      <c r="J67" s="190"/>
      <c r="K67" s="190"/>
      <c r="L67" s="190"/>
      <c r="M67" s="190"/>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row>
    <row r="68" spans="2:36">
      <c r="B68" s="507" t="s">
        <v>115</v>
      </c>
      <c r="C68" s="6" t="s">
        <v>880</v>
      </c>
      <c r="D68" s="345" t="s">
        <v>857</v>
      </c>
      <c r="E68" s="12" t="s">
        <v>858</v>
      </c>
      <c r="F68" s="6" t="s">
        <v>1045</v>
      </c>
      <c r="G68" s="190">
        <v>12994834.528017685</v>
      </c>
      <c r="H68" s="190">
        <v>12994834.528017685</v>
      </c>
      <c r="I68" s="190">
        <v>12994834.528017685</v>
      </c>
      <c r="J68" s="190">
        <v>12994834.528017685</v>
      </c>
      <c r="K68" s="190">
        <v>12994834.528017685</v>
      </c>
      <c r="L68" s="190">
        <v>11466659.091504419</v>
      </c>
      <c r="M68" s="190">
        <v>12994834.528017685</v>
      </c>
      <c r="N68" s="190">
        <v>12994834.528017685</v>
      </c>
      <c r="O68" s="190">
        <v>12994834.528017685</v>
      </c>
      <c r="P68" s="190">
        <v>12994834.528017685</v>
      </c>
      <c r="Q68" s="190">
        <v>12994834.528017685</v>
      </c>
      <c r="R68" s="190">
        <v>12994834.528017685</v>
      </c>
      <c r="S68" s="190">
        <v>12994834.528017685</v>
      </c>
      <c r="T68" s="190">
        <v>12994834.528017685</v>
      </c>
      <c r="U68" s="190">
        <v>12994834.528017685</v>
      </c>
      <c r="V68" s="190">
        <v>12994834.528017685</v>
      </c>
      <c r="W68" s="190">
        <v>12994834.528017685</v>
      </c>
      <c r="X68" s="190">
        <v>12994834.528017685</v>
      </c>
      <c r="Y68" s="190">
        <v>12994834.528017685</v>
      </c>
      <c r="Z68" s="190">
        <v>11466659.091504419</v>
      </c>
      <c r="AA68" s="190">
        <v>11466659.091504419</v>
      </c>
      <c r="AB68" s="190">
        <v>11466659.091504419</v>
      </c>
      <c r="AC68" s="190">
        <v>11466659.091504419</v>
      </c>
      <c r="AD68" s="190">
        <v>11466659.091504419</v>
      </c>
      <c r="AE68" s="190">
        <v>11466659.091504419</v>
      </c>
      <c r="AF68" s="190">
        <v>11466659.091504419</v>
      </c>
      <c r="AG68" s="190">
        <v>11466659.091504419</v>
      </c>
      <c r="AH68" s="190">
        <v>11466659.091504419</v>
      </c>
      <c r="AI68" s="190">
        <v>11466659.091504419</v>
      </c>
      <c r="AJ68" s="190">
        <v>11466659.091504419</v>
      </c>
    </row>
    <row r="69" spans="2:36">
      <c r="B69" s="507" t="s">
        <v>115</v>
      </c>
      <c r="C69" s="6" t="s">
        <v>880</v>
      </c>
      <c r="D69" s="345" t="s">
        <v>857</v>
      </c>
      <c r="E69" s="12" t="s">
        <v>859</v>
      </c>
      <c r="F69" s="6" t="s">
        <v>1046</v>
      </c>
      <c r="G69" s="190">
        <v>1623518.9113100001</v>
      </c>
      <c r="H69" s="190">
        <v>7370953.3437349601</v>
      </c>
      <c r="I69" s="190">
        <v>7614530.4849835597</v>
      </c>
      <c r="J69" s="190">
        <v>7614530.4849835597</v>
      </c>
      <c r="K69" s="190">
        <v>7614530.4849835597</v>
      </c>
      <c r="L69" s="190">
        <v>7614530.4849835597</v>
      </c>
      <c r="M69" s="190">
        <v>7614530.4849835597</v>
      </c>
      <c r="N69" s="190">
        <v>7614530.4849835597</v>
      </c>
      <c r="O69" s="190">
        <v>7614530.4849835597</v>
      </c>
      <c r="P69" s="190">
        <v>7614530.4849835597</v>
      </c>
      <c r="Q69" s="190">
        <v>7614530.4849835597</v>
      </c>
      <c r="R69" s="190">
        <v>7614530.4849835597</v>
      </c>
      <c r="S69" s="190">
        <v>7614530.4849835597</v>
      </c>
      <c r="T69" s="190">
        <v>7614530.4849835597</v>
      </c>
      <c r="U69" s="190">
        <v>7614530.4849835597</v>
      </c>
      <c r="V69" s="190">
        <v>7614530.4849835597</v>
      </c>
      <c r="W69" s="190">
        <v>7614530.4849835597</v>
      </c>
      <c r="X69" s="190">
        <v>7614530.4849835597</v>
      </c>
      <c r="Y69" s="190">
        <v>7614530.4849835597</v>
      </c>
      <c r="Z69" s="190">
        <v>7614530.4849835597</v>
      </c>
      <c r="AA69" s="190">
        <v>7614530.4849835597</v>
      </c>
      <c r="AB69" s="190">
        <v>7614530.4849835597</v>
      </c>
      <c r="AC69" s="190">
        <v>7614530.4849835597</v>
      </c>
      <c r="AD69" s="190">
        <v>7614530.4849835597</v>
      </c>
      <c r="AE69" s="190">
        <v>7614530.4849835597</v>
      </c>
      <c r="AF69" s="190">
        <v>7614530.4849835597</v>
      </c>
      <c r="AG69" s="190">
        <v>7614530.4849835597</v>
      </c>
      <c r="AH69" s="190">
        <v>7614530.4849835597</v>
      </c>
      <c r="AI69" s="190">
        <v>7614530.4849835597</v>
      </c>
      <c r="AJ69" s="190">
        <v>7614530.4849835597</v>
      </c>
    </row>
    <row r="70" spans="2:36">
      <c r="B70" s="507" t="s">
        <v>115</v>
      </c>
      <c r="C70" s="6" t="s">
        <v>880</v>
      </c>
      <c r="D70" s="345" t="s">
        <v>857</v>
      </c>
      <c r="E70" s="12" t="s">
        <v>860</v>
      </c>
      <c r="F70" s="6" t="s">
        <v>1047</v>
      </c>
      <c r="G70" s="190">
        <v>2018545.1656652358</v>
      </c>
      <c r="H70" s="190">
        <v>1989348.1003796519</v>
      </c>
      <c r="I70" s="190">
        <v>2143360.8042991585</v>
      </c>
      <c r="J70" s="190">
        <v>2221315.7170326537</v>
      </c>
      <c r="K70" s="190">
        <v>2316244.6833452159</v>
      </c>
      <c r="L70" s="190">
        <v>2302580.283345216</v>
      </c>
      <c r="M70" s="190">
        <v>2366538.1754313414</v>
      </c>
      <c r="N70" s="190">
        <v>2416831.6675174674</v>
      </c>
      <c r="O70" s="190">
        <v>2699732.5605019252</v>
      </c>
      <c r="P70" s="190">
        <v>2750026.0525880507</v>
      </c>
      <c r="Q70" s="190">
        <v>2825466.290717239</v>
      </c>
      <c r="R70" s="190">
        <v>3097051.1479823184</v>
      </c>
      <c r="S70" s="190">
        <v>3172491.3861115067</v>
      </c>
      <c r="T70" s="190">
        <v>3247931.6242406955</v>
      </c>
      <c r="U70" s="190">
        <v>3335945.2353914157</v>
      </c>
      <c r="V70" s="190">
        <v>3517001.8069014684</v>
      </c>
      <c r="W70" s="190">
        <v>3579868.6720091258</v>
      </c>
      <c r="X70" s="190">
        <v>3700573.0530158277</v>
      </c>
      <c r="Y70" s="190">
        <v>3700573.0530158277</v>
      </c>
      <c r="Z70" s="190">
        <v>3686108.6530158278</v>
      </c>
      <c r="AA70" s="190">
        <v>3686108.6530158278</v>
      </c>
      <c r="AB70" s="190">
        <v>3686108.6530158278</v>
      </c>
      <c r="AC70" s="190">
        <v>3686108.6530158278</v>
      </c>
      <c r="AD70" s="190">
        <v>3686108.6530158278</v>
      </c>
      <c r="AE70" s="190">
        <v>3686108.6530158278</v>
      </c>
      <c r="AF70" s="190">
        <v>3686108.6530158278</v>
      </c>
      <c r="AG70" s="190">
        <v>3686108.6530158278</v>
      </c>
      <c r="AH70" s="190">
        <v>3686108.6530158278</v>
      </c>
      <c r="AI70" s="190">
        <v>3686108.6530158278</v>
      </c>
      <c r="AJ70" s="190">
        <v>3686108.6530158278</v>
      </c>
    </row>
    <row r="71" spans="2:36">
      <c r="B71" s="507" t="s">
        <v>115</v>
      </c>
      <c r="C71" s="6" t="s">
        <v>880</v>
      </c>
      <c r="D71" s="345" t="s">
        <v>857</v>
      </c>
      <c r="E71" s="12" t="s">
        <v>861</v>
      </c>
      <c r="F71" s="6" t="s">
        <v>1048</v>
      </c>
      <c r="G71" s="190">
        <v>2271403.9651625608</v>
      </c>
      <c r="H71" s="190">
        <v>2556677.1883508223</v>
      </c>
      <c r="I71" s="190">
        <v>2562727.4118414824</v>
      </c>
      <c r="J71" s="190">
        <v>2574945.4118414824</v>
      </c>
      <c r="K71" s="190">
        <v>2563208.7686548331</v>
      </c>
      <c r="L71" s="190">
        <v>2448764.292051069</v>
      </c>
      <c r="M71" s="190">
        <v>2688443.9345363518</v>
      </c>
      <c r="N71" s="190">
        <v>2676225.9345363518</v>
      </c>
      <c r="O71" s="190">
        <v>2680960.4234854635</v>
      </c>
      <c r="P71" s="190">
        <v>2693178.423485464</v>
      </c>
      <c r="Q71" s="190">
        <v>2680960.4234854635</v>
      </c>
      <c r="R71" s="190">
        <v>2680960.4234854635</v>
      </c>
      <c r="S71" s="190">
        <v>2693178.423485464</v>
      </c>
      <c r="T71" s="190">
        <v>2680960.4234854635</v>
      </c>
      <c r="U71" s="190">
        <v>2685694.9124345751</v>
      </c>
      <c r="V71" s="190">
        <v>2697912.9124345756</v>
      </c>
      <c r="W71" s="190">
        <v>2685694.9124345751</v>
      </c>
      <c r="X71" s="190">
        <v>2685694.9124345751</v>
      </c>
      <c r="Y71" s="190">
        <v>2697912.9124345756</v>
      </c>
      <c r="Z71" s="190">
        <v>2458233.2699492923</v>
      </c>
      <c r="AA71" s="190">
        <v>2458233.2699492923</v>
      </c>
      <c r="AB71" s="190">
        <v>2470451.2699492928</v>
      </c>
      <c r="AC71" s="190">
        <v>2458233.2699492923</v>
      </c>
      <c r="AD71" s="190">
        <v>2458233.2699492923</v>
      </c>
      <c r="AE71" s="190">
        <v>2470451.2699492928</v>
      </c>
      <c r="AF71" s="190">
        <v>823183.608128989</v>
      </c>
      <c r="AG71" s="190">
        <v>823183.608128989</v>
      </c>
      <c r="AH71" s="190">
        <v>835401.60812898912</v>
      </c>
      <c r="AI71" s="190">
        <v>823183.608128989</v>
      </c>
      <c r="AJ71" s="190">
        <v>823183.608128989</v>
      </c>
    </row>
    <row r="72" spans="2:36">
      <c r="B72" s="507" t="s">
        <v>115</v>
      </c>
      <c r="C72" s="6" t="s">
        <v>984</v>
      </c>
      <c r="D72" s="345" t="s">
        <v>1049</v>
      </c>
      <c r="E72" s="12">
        <v>5</v>
      </c>
      <c r="F72" s="6" t="s">
        <v>85</v>
      </c>
      <c r="G72" s="190"/>
      <c r="H72" s="190"/>
      <c r="I72" s="190"/>
      <c r="J72" s="190"/>
      <c r="K72" s="190"/>
      <c r="L72" s="190"/>
      <c r="M72" s="190"/>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row>
    <row r="73" spans="2:36">
      <c r="B73" s="507" t="s">
        <v>115</v>
      </c>
      <c r="C73" s="6" t="s">
        <v>984</v>
      </c>
      <c r="D73" s="345" t="s">
        <v>1049</v>
      </c>
      <c r="E73" s="12" t="s">
        <v>1050</v>
      </c>
      <c r="F73" s="6" t="s">
        <v>1051</v>
      </c>
      <c r="G73" s="190">
        <v>0</v>
      </c>
      <c r="H73" s="190">
        <v>0</v>
      </c>
      <c r="I73" s="190">
        <v>2679993.9246020853</v>
      </c>
      <c r="J73" s="190">
        <v>2679993.9246020853</v>
      </c>
      <c r="K73" s="190">
        <v>2679993.9246020853</v>
      </c>
      <c r="L73" s="190">
        <v>2679993.9246020853</v>
      </c>
      <c r="M73" s="190">
        <v>2679993.9246020853</v>
      </c>
      <c r="N73" s="190">
        <v>2679993.9246020853</v>
      </c>
      <c r="O73" s="190">
        <v>0</v>
      </c>
      <c r="P73" s="190">
        <v>0</v>
      </c>
      <c r="Q73" s="190">
        <v>0</v>
      </c>
      <c r="R73" s="190">
        <v>0</v>
      </c>
      <c r="S73" s="190">
        <v>0</v>
      </c>
      <c r="T73" s="190">
        <v>0</v>
      </c>
      <c r="U73" s="190">
        <v>0</v>
      </c>
      <c r="V73" s="190">
        <v>0</v>
      </c>
      <c r="W73" s="190">
        <v>0</v>
      </c>
      <c r="X73" s="190">
        <v>0</v>
      </c>
      <c r="Y73" s="190">
        <v>0</v>
      </c>
      <c r="Z73" s="190">
        <v>0</v>
      </c>
      <c r="AA73" s="190">
        <v>0</v>
      </c>
      <c r="AB73" s="190">
        <v>0</v>
      </c>
      <c r="AC73" s="190">
        <v>0</v>
      </c>
      <c r="AD73" s="190">
        <v>0</v>
      </c>
      <c r="AE73" s="190">
        <v>0</v>
      </c>
      <c r="AF73" s="190">
        <v>0</v>
      </c>
      <c r="AG73" s="190">
        <v>0</v>
      </c>
      <c r="AH73" s="190">
        <v>0</v>
      </c>
      <c r="AI73" s="190">
        <v>0</v>
      </c>
      <c r="AJ73" s="190">
        <v>0</v>
      </c>
    </row>
    <row r="74" spans="2:36">
      <c r="B74" s="507" t="s">
        <v>115</v>
      </c>
      <c r="C74" s="6" t="s">
        <v>984</v>
      </c>
      <c r="D74" s="345" t="s">
        <v>1049</v>
      </c>
      <c r="E74" s="12" t="s">
        <v>1052</v>
      </c>
      <c r="F74" s="6" t="s">
        <v>1053</v>
      </c>
      <c r="G74" s="190">
        <v>779335.85735448718</v>
      </c>
      <c r="H74" s="190">
        <v>1163833.9353101032</v>
      </c>
      <c r="I74" s="190">
        <v>1163833.9353101032</v>
      </c>
      <c r="J74" s="190">
        <v>2028564.8428904954</v>
      </c>
      <c r="K74" s="190">
        <v>2097250.6734166807</v>
      </c>
      <c r="L74" s="190">
        <v>2028564.8428904954</v>
      </c>
      <c r="M74" s="190">
        <v>2028564.8428904954</v>
      </c>
      <c r="N74" s="190">
        <v>2103173.5964585906</v>
      </c>
      <c r="O74" s="190">
        <v>2171859.4269847758</v>
      </c>
      <c r="P74" s="190">
        <v>2103173.5964585906</v>
      </c>
      <c r="Q74" s="190">
        <v>2103173.5964585906</v>
      </c>
      <c r="R74" s="190">
        <v>2103173.5964585906</v>
      </c>
      <c r="S74" s="190">
        <v>2171859.4269847758</v>
      </c>
      <c r="T74" s="190">
        <v>2103173.5964585906</v>
      </c>
      <c r="U74" s="190">
        <v>2103173.5964585906</v>
      </c>
      <c r="V74" s="190">
        <v>2103173.5964585906</v>
      </c>
      <c r="W74" s="190">
        <v>2171859.4269847758</v>
      </c>
      <c r="X74" s="190">
        <v>2103173.5964585906</v>
      </c>
      <c r="Y74" s="190">
        <v>2103173.5964585906</v>
      </c>
      <c r="Z74" s="190">
        <v>2103173.5964585906</v>
      </c>
      <c r="AA74" s="190">
        <v>2171859.4269847758</v>
      </c>
      <c r="AB74" s="190">
        <v>2103173.5964585906</v>
      </c>
      <c r="AC74" s="190">
        <v>2103173.5964585906</v>
      </c>
      <c r="AD74" s="190">
        <v>2103173.5964585906</v>
      </c>
      <c r="AE74" s="190">
        <v>2171859.4269847758</v>
      </c>
      <c r="AF74" s="190">
        <v>2103173.5964585906</v>
      </c>
      <c r="AG74" s="190">
        <v>2103173.5964585906</v>
      </c>
      <c r="AH74" s="190">
        <v>2103173.5964585906</v>
      </c>
      <c r="AI74" s="190">
        <v>2171859.4269847758</v>
      </c>
      <c r="AJ74" s="190">
        <v>2103173.5964585906</v>
      </c>
    </row>
    <row r="75" spans="2:36">
      <c r="B75" s="6"/>
      <c r="C75" s="177"/>
      <c r="D75" s="345"/>
      <c r="E75" s="12"/>
      <c r="F75" s="6"/>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row>
    <row r="76" spans="2:36">
      <c r="B76" s="6"/>
      <c r="C76" s="177"/>
      <c r="D76" s="345"/>
      <c r="E76" s="12"/>
      <c r="F76" s="6"/>
      <c r="G76" s="190"/>
      <c r="H76" s="190"/>
      <c r="I76" s="190"/>
      <c r="J76" s="190"/>
      <c r="K76" s="190"/>
      <c r="L76" s="190"/>
      <c r="M76" s="190"/>
      <c r="N76" s="190"/>
      <c r="O76" s="190"/>
      <c r="P76" s="190"/>
      <c r="Q76" s="190"/>
      <c r="R76" s="190"/>
      <c r="S76" s="190"/>
      <c r="T76" s="190"/>
      <c r="U76" s="190"/>
      <c r="V76" s="190"/>
      <c r="W76" s="190"/>
      <c r="X76" s="190"/>
      <c r="Y76" s="190"/>
      <c r="Z76" s="190"/>
      <c r="AA76" s="190"/>
      <c r="AB76" s="190"/>
      <c r="AC76" s="190"/>
      <c r="AD76" s="190"/>
      <c r="AE76" s="190"/>
      <c r="AF76" s="190"/>
      <c r="AG76" s="190"/>
      <c r="AH76" s="190"/>
      <c r="AI76" s="190"/>
      <c r="AJ76" s="190"/>
    </row>
    <row r="77" spans="2:36">
      <c r="B77" s="6"/>
      <c r="C77" s="455"/>
      <c r="D77" s="345"/>
      <c r="E77" s="12"/>
      <c r="F77" s="6"/>
      <c r="G77" s="190"/>
      <c r="H77" s="190"/>
      <c r="I77" s="190"/>
      <c r="J77" s="190"/>
      <c r="K77" s="190"/>
      <c r="L77" s="190"/>
      <c r="M77" s="190"/>
      <c r="N77" s="190"/>
      <c r="O77" s="190"/>
      <c r="P77" s="190"/>
      <c r="Q77" s="190"/>
      <c r="R77" s="190"/>
      <c r="S77" s="190"/>
      <c r="T77" s="190"/>
      <c r="U77" s="190"/>
      <c r="V77" s="190"/>
      <c r="W77" s="190"/>
      <c r="X77" s="190"/>
      <c r="Y77" s="190"/>
      <c r="Z77" s="190"/>
      <c r="AA77" s="190"/>
      <c r="AB77" s="190"/>
      <c r="AC77" s="190"/>
      <c r="AD77" s="190"/>
      <c r="AE77" s="190"/>
      <c r="AF77" s="190"/>
      <c r="AG77" s="190"/>
      <c r="AH77" s="190"/>
      <c r="AI77" s="190"/>
      <c r="AJ77" s="190"/>
    </row>
    <row r="78" spans="2:36">
      <c r="B78" s="6"/>
      <c r="C78" s="177"/>
      <c r="D78" s="345"/>
      <c r="E78" s="12"/>
      <c r="F78" s="6"/>
      <c r="G78" s="190"/>
      <c r="H78" s="190"/>
      <c r="I78" s="190"/>
      <c r="J78" s="190"/>
      <c r="K78" s="190"/>
      <c r="L78" s="190"/>
      <c r="M78" s="190"/>
      <c r="N78" s="190"/>
      <c r="O78" s="190"/>
      <c r="P78" s="190"/>
      <c r="Q78" s="190"/>
      <c r="R78" s="190"/>
      <c r="S78" s="190"/>
      <c r="T78" s="190"/>
      <c r="U78" s="190"/>
      <c r="V78" s="190"/>
      <c r="W78" s="190"/>
      <c r="X78" s="190"/>
      <c r="Y78" s="190"/>
      <c r="Z78" s="190"/>
      <c r="AA78" s="190"/>
      <c r="AB78" s="190"/>
      <c r="AC78" s="190"/>
      <c r="AD78" s="190"/>
      <c r="AE78" s="190"/>
      <c r="AF78" s="190"/>
      <c r="AG78" s="190"/>
      <c r="AH78" s="190"/>
      <c r="AI78" s="190"/>
      <c r="AJ78" s="190"/>
    </row>
    <row r="79" spans="2:36">
      <c r="B79" s="6"/>
      <c r="C79" s="177"/>
      <c r="D79" s="345"/>
      <c r="E79" s="12"/>
      <c r="F79" s="6"/>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row>
    <row r="80" spans="2:36">
      <c r="B80" s="6"/>
      <c r="C80" s="177"/>
      <c r="D80" s="345"/>
      <c r="E80" s="12"/>
      <c r="F80" s="6"/>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row>
    <row r="81" spans="2:36">
      <c r="B81" s="6"/>
      <c r="C81" s="177"/>
      <c r="D81" s="345"/>
      <c r="E81" s="12"/>
      <c r="F81" s="6"/>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row>
    <row r="82" spans="2:36">
      <c r="B82" s="6"/>
      <c r="C82" s="177"/>
      <c r="D82" s="345"/>
      <c r="E82" s="12"/>
      <c r="F82" s="6"/>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row>
    <row r="83" spans="2:36">
      <c r="B83" s="6"/>
      <c r="C83" s="177"/>
      <c r="D83" s="345"/>
      <c r="E83" s="12"/>
      <c r="F83" s="6"/>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row>
    <row r="84" spans="2:36">
      <c r="B84" s="6"/>
      <c r="C84" s="177"/>
      <c r="D84" s="345"/>
      <c r="E84" s="12"/>
      <c r="F84" s="6"/>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row>
    <row r="85" spans="2:36">
      <c r="B85" s="6"/>
      <c r="C85" s="177"/>
      <c r="D85" s="345"/>
      <c r="E85" s="12"/>
      <c r="F85" s="6"/>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row>
    <row r="86" spans="2:36">
      <c r="B86" s="6"/>
      <c r="C86" s="177"/>
      <c r="D86" s="345"/>
      <c r="E86" s="12"/>
      <c r="F86" s="6"/>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row>
    <row r="87" spans="2:36">
      <c r="B87" s="6"/>
      <c r="C87" s="177"/>
      <c r="D87" s="345"/>
      <c r="E87" s="12"/>
      <c r="F87" s="6"/>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row>
    <row r="88" spans="2:36">
      <c r="B88" s="6"/>
      <c r="C88" s="177"/>
      <c r="D88" s="345"/>
      <c r="E88" s="12"/>
      <c r="F88" s="6"/>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row>
    <row r="89" spans="2:36">
      <c r="B89" s="6"/>
      <c r="C89" s="177"/>
      <c r="D89" s="345"/>
      <c r="E89" s="12"/>
      <c r="F89" s="6"/>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row>
    <row r="90" spans="2:36">
      <c r="B90" s="6"/>
      <c r="C90" s="177"/>
      <c r="D90" s="345"/>
      <c r="E90" s="12"/>
      <c r="F90" s="6"/>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row>
    <row r="91" spans="2:36">
      <c r="B91" s="6"/>
      <c r="C91" s="177"/>
      <c r="D91" s="345"/>
      <c r="E91" s="12"/>
      <c r="F91" s="6"/>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row>
    <row r="92" spans="2:36">
      <c r="B92" s="6"/>
      <c r="C92" s="177"/>
      <c r="D92" s="345"/>
      <c r="E92" s="12"/>
      <c r="F92" s="6"/>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row>
    <row r="93" spans="2:36">
      <c r="B93" s="6"/>
      <c r="C93" s="177"/>
      <c r="D93" s="345"/>
      <c r="E93" s="12"/>
      <c r="F93" s="6"/>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row>
    <row r="94" spans="2:36">
      <c r="B94" s="6"/>
      <c r="C94" s="177"/>
      <c r="D94" s="345"/>
      <c r="E94" s="12"/>
      <c r="F94" s="6"/>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row>
    <row r="95" spans="2:36">
      <c r="B95" s="6"/>
      <c r="C95" s="177"/>
      <c r="D95" s="345"/>
      <c r="E95" s="12"/>
      <c r="F95" s="6"/>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row>
    <row r="96" spans="2:36">
      <c r="B96" s="6"/>
      <c r="C96" s="177"/>
      <c r="D96" s="345"/>
      <c r="E96" s="12"/>
      <c r="F96" s="6"/>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row>
    <row r="97" spans="2:36">
      <c r="B97" s="6"/>
      <c r="C97" s="177"/>
      <c r="D97" s="345"/>
      <c r="E97" s="12"/>
      <c r="F97" s="6"/>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row>
    <row r="98" spans="2:36">
      <c r="B98" s="6"/>
      <c r="C98" s="177"/>
      <c r="D98" s="345"/>
      <c r="E98" s="12"/>
      <c r="F98" s="6"/>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row>
    <row r="99" spans="2:36">
      <c r="B99" s="6"/>
      <c r="C99" s="177"/>
      <c r="D99" s="345"/>
      <c r="E99" s="12"/>
      <c r="F99" s="6"/>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row>
    <row r="100" spans="2:36">
      <c r="B100" s="6"/>
      <c r="C100" s="177"/>
      <c r="D100" s="345"/>
      <c r="E100" s="12"/>
      <c r="F100" s="6"/>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row>
    <row r="101" spans="2:36">
      <c r="B101" s="6"/>
      <c r="C101" s="177"/>
      <c r="D101" s="345"/>
      <c r="E101" s="12"/>
      <c r="F101" s="6"/>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row>
    <row r="102" spans="2:36">
      <c r="B102" s="6"/>
      <c r="C102" s="177"/>
      <c r="D102" s="345"/>
      <c r="E102" s="12"/>
      <c r="F102" s="6"/>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row>
    <row r="103" spans="2:36">
      <c r="B103" s="6"/>
      <c r="C103" s="177"/>
      <c r="D103" s="345"/>
      <c r="E103" s="12"/>
      <c r="F103" s="6"/>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row>
    <row r="104" spans="2:36">
      <c r="B104" s="6"/>
      <c r="C104" s="177"/>
      <c r="D104" s="345"/>
      <c r="E104" s="12"/>
      <c r="F104" s="6"/>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row>
    <row r="105" spans="2:36">
      <c r="B105" s="6"/>
      <c r="C105" s="177"/>
      <c r="D105" s="345"/>
      <c r="E105" s="12"/>
      <c r="F105" s="6"/>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row>
    <row r="106" spans="2:36">
      <c r="B106" s="6"/>
      <c r="C106" s="177"/>
      <c r="D106" s="345"/>
      <c r="E106" s="12"/>
      <c r="F106" s="6"/>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row>
    <row r="107" spans="2:36">
      <c r="B107" s="6"/>
      <c r="C107" s="177"/>
      <c r="D107" s="345"/>
      <c r="E107" s="12"/>
      <c r="F107" s="6"/>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row>
    <row r="108" spans="2:36">
      <c r="B108" s="6"/>
      <c r="C108" s="177"/>
      <c r="D108" s="345"/>
      <c r="E108" s="12"/>
      <c r="F108" s="6"/>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row>
    <row r="109" spans="2:36">
      <c r="B109" s="6"/>
      <c r="C109" s="177"/>
      <c r="D109" s="345"/>
      <c r="E109" s="12"/>
      <c r="F109" s="6"/>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row>
    <row r="110" spans="2:36">
      <c r="B110" s="6"/>
      <c r="C110" s="177"/>
      <c r="D110" s="345"/>
      <c r="E110" s="12"/>
      <c r="F110" s="6"/>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row>
    <row r="111" spans="2:36">
      <c r="B111" s="6"/>
      <c r="C111" s="177"/>
      <c r="D111" s="345"/>
      <c r="E111" s="12"/>
      <c r="F111" s="6"/>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row>
    <row r="112" spans="2:36">
      <c r="B112" s="6"/>
      <c r="C112" s="177"/>
      <c r="D112" s="345"/>
      <c r="E112" s="12"/>
      <c r="F112" s="6"/>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row>
    <row r="113" spans="2:36">
      <c r="B113" s="6"/>
      <c r="C113" s="177"/>
      <c r="D113" s="345"/>
      <c r="E113" s="12"/>
      <c r="F113" s="6"/>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row>
    <row r="114" spans="2:36">
      <c r="B114" s="6"/>
      <c r="C114" s="177"/>
      <c r="D114" s="345"/>
      <c r="E114" s="12"/>
      <c r="F114" s="6"/>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row>
    <row r="115" spans="2:36">
      <c r="B115" s="6"/>
      <c r="C115" s="177"/>
      <c r="D115" s="345"/>
      <c r="E115" s="12"/>
      <c r="F115" s="6"/>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row>
    <row r="116" spans="2:36">
      <c r="B116" s="6"/>
      <c r="C116" s="177"/>
      <c r="D116" s="345"/>
      <c r="E116" s="12"/>
      <c r="F116" s="6"/>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row>
    <row r="117" spans="2:36">
      <c r="B117" s="6"/>
      <c r="C117" s="177"/>
      <c r="D117" s="345"/>
      <c r="E117" s="12"/>
      <c r="F117" s="6"/>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row>
    <row r="118" spans="2:36">
      <c r="B118" s="6"/>
      <c r="C118" s="177"/>
      <c r="D118" s="345"/>
      <c r="E118" s="12"/>
      <c r="F118" s="6"/>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row>
    <row r="119" spans="2:36">
      <c r="B119" s="6"/>
      <c r="C119" s="177"/>
      <c r="D119" s="345"/>
      <c r="E119" s="12"/>
      <c r="F119" s="6"/>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row>
    <row r="120" spans="2:36">
      <c r="B120" s="6"/>
      <c r="C120" s="177"/>
      <c r="D120" s="345"/>
      <c r="E120" s="12"/>
      <c r="F120" s="6"/>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row>
    <row r="121" spans="2:36">
      <c r="B121" s="6"/>
      <c r="C121" s="177"/>
      <c r="D121" s="345"/>
      <c r="E121" s="12"/>
      <c r="F121" s="6"/>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row>
    <row r="122" spans="2:36">
      <c r="B122" s="6"/>
      <c r="C122" s="177"/>
      <c r="D122" s="345"/>
      <c r="E122" s="12"/>
      <c r="F122" s="6"/>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row>
    <row r="123" spans="2:36">
      <c r="B123" s="6"/>
      <c r="C123" s="177"/>
      <c r="D123" s="345"/>
      <c r="E123" s="12"/>
      <c r="F123" s="6"/>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row>
    <row r="124" spans="2:36">
      <c r="B124" s="6"/>
      <c r="C124" s="177"/>
      <c r="D124" s="345"/>
      <c r="E124" s="12"/>
      <c r="F124" s="6"/>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row>
    <row r="125" spans="2:36">
      <c r="B125" s="6"/>
      <c r="C125" s="177"/>
      <c r="D125" s="345"/>
      <c r="E125" s="12"/>
      <c r="F125" s="6"/>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row>
    <row r="126" spans="2:36">
      <c r="B126" s="6"/>
      <c r="C126" s="177"/>
      <c r="D126" s="345"/>
      <c r="E126" s="12"/>
      <c r="F126" s="6"/>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row>
    <row r="127" spans="2:36">
      <c r="B127" s="6"/>
      <c r="C127" s="177"/>
      <c r="D127" s="345"/>
      <c r="E127" s="12"/>
      <c r="F127" s="6"/>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row>
    <row r="128" spans="2:36">
      <c r="B128" s="6"/>
      <c r="C128" s="177"/>
      <c r="D128" s="345"/>
      <c r="E128" s="12"/>
      <c r="F128" s="6"/>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row>
    <row r="129" spans="2:36">
      <c r="B129" s="6"/>
      <c r="C129" s="177"/>
      <c r="D129" s="345"/>
      <c r="E129" s="12"/>
      <c r="F129" s="6"/>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row>
    <row r="130" spans="2:36">
      <c r="B130" s="6"/>
      <c r="C130" s="177"/>
      <c r="D130" s="345"/>
      <c r="E130" s="12"/>
      <c r="F130" s="6"/>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row>
    <row r="131" spans="2:36">
      <c r="B131" s="6"/>
      <c r="C131" s="177"/>
      <c r="D131" s="345"/>
      <c r="E131" s="12"/>
      <c r="F131" s="6"/>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row>
    <row r="132" spans="2:36">
      <c r="B132" s="6"/>
      <c r="C132" s="177"/>
      <c r="D132" s="345"/>
      <c r="E132" s="12"/>
      <c r="F132" s="6"/>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row>
    <row r="133" spans="2:36">
      <c r="B133" s="6"/>
      <c r="C133" s="177"/>
      <c r="D133" s="345"/>
      <c r="E133" s="12"/>
      <c r="F133" s="6"/>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row>
    <row r="134" spans="2:36">
      <c r="B134" s="6"/>
      <c r="C134" s="177"/>
      <c r="D134" s="345"/>
      <c r="E134" s="12"/>
      <c r="F134" s="6"/>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row>
    <row r="135" spans="2:36">
      <c r="B135" s="6"/>
      <c r="C135" s="177"/>
      <c r="D135" s="345"/>
      <c r="E135" s="12"/>
      <c r="F135" s="6"/>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row>
    <row r="136" spans="2:36">
      <c r="B136" s="6"/>
      <c r="C136" s="177"/>
      <c r="D136" s="345"/>
      <c r="E136" s="12"/>
      <c r="F136" s="6"/>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row>
    <row r="137" spans="2:36">
      <c r="B137" s="6"/>
      <c r="C137" s="177"/>
      <c r="D137" s="345"/>
      <c r="E137" s="12"/>
      <c r="F137" s="6"/>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row>
    <row r="138" spans="2:36">
      <c r="B138" s="6"/>
      <c r="C138" s="177"/>
      <c r="D138" s="345"/>
      <c r="E138" s="12"/>
      <c r="F138" s="6"/>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row>
    <row r="139" spans="2:36">
      <c r="B139" s="6"/>
      <c r="C139" s="177"/>
      <c r="D139" s="345"/>
      <c r="E139" s="12"/>
      <c r="F139" s="6"/>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row>
    <row r="140" spans="2:36">
      <c r="B140" s="6"/>
      <c r="C140" s="177"/>
      <c r="D140" s="345"/>
      <c r="E140" s="12"/>
      <c r="F140" s="6"/>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row>
    <row r="141" spans="2:36">
      <c r="B141" s="6"/>
      <c r="C141" s="177"/>
      <c r="D141" s="345"/>
      <c r="E141" s="12"/>
      <c r="F141" s="6"/>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row>
    <row r="142" spans="2:36">
      <c r="B142" s="6"/>
      <c r="C142" s="177"/>
      <c r="D142" s="345"/>
      <c r="E142" s="12"/>
      <c r="F142" s="6"/>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row>
    <row r="143" spans="2:36">
      <c r="B143" s="6"/>
      <c r="C143" s="177"/>
      <c r="D143" s="345"/>
      <c r="E143" s="12"/>
      <c r="F143" s="6"/>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row>
    <row r="144" spans="2:36">
      <c r="B144" s="6"/>
      <c r="C144" s="177"/>
      <c r="D144" s="345"/>
      <c r="E144" s="12"/>
      <c r="F144" s="6"/>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row>
    <row r="145" spans="2:36">
      <c r="B145" s="6"/>
      <c r="C145" s="451"/>
      <c r="D145" s="345"/>
      <c r="E145" s="12"/>
      <c r="F145" s="6"/>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row>
    <row r="146" spans="2:36">
      <c r="B146" s="6"/>
      <c r="C146" s="6"/>
      <c r="D146" s="345"/>
      <c r="E146" s="12"/>
      <c r="F146" s="6"/>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c r="AC146" s="151"/>
      <c r="AD146" s="151"/>
      <c r="AE146" s="151"/>
      <c r="AF146" s="151"/>
      <c r="AG146" s="151"/>
      <c r="AH146" s="151"/>
      <c r="AI146" s="151"/>
      <c r="AJ146" s="151"/>
    </row>
    <row r="147" spans="2:36">
      <c r="B147" s="6"/>
      <c r="C147" s="6"/>
      <c r="D147" s="345"/>
      <c r="E147" s="222"/>
      <c r="F147" s="36"/>
      <c r="G147" s="452"/>
      <c r="H147" s="452"/>
      <c r="I147" s="452"/>
      <c r="J147" s="452"/>
      <c r="K147" s="452"/>
      <c r="L147" s="452"/>
      <c r="M147" s="452"/>
      <c r="N147" s="452"/>
      <c r="O147" s="452"/>
      <c r="P147" s="452"/>
      <c r="Q147" s="452"/>
      <c r="R147" s="452"/>
      <c r="S147" s="452"/>
      <c r="T147" s="452"/>
      <c r="U147" s="452"/>
      <c r="V147" s="452"/>
      <c r="W147" s="452"/>
      <c r="X147" s="452"/>
      <c r="Y147" s="452"/>
      <c r="Z147" s="452"/>
      <c r="AA147" s="452"/>
      <c r="AB147" s="452"/>
      <c r="AC147" s="452"/>
      <c r="AD147" s="452"/>
      <c r="AE147" s="452"/>
      <c r="AF147" s="452"/>
      <c r="AG147" s="452"/>
      <c r="AH147" s="452"/>
      <c r="AI147" s="452"/>
      <c r="AJ147" s="452"/>
    </row>
    <row r="148" spans="2:36">
      <c r="B148" s="6"/>
      <c r="C148" s="35"/>
      <c r="D148" s="345"/>
      <c r="E148" s="12"/>
      <c r="F148" s="6"/>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row>
    <row r="149" spans="2:36">
      <c r="B149" s="6"/>
      <c r="C149" s="6"/>
      <c r="D149" s="345"/>
      <c r="E149" s="12"/>
      <c r="F149" s="6"/>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row>
    <row r="150" spans="2:36">
      <c r="B150" s="6"/>
      <c r="C150" s="6"/>
      <c r="D150" s="345"/>
      <c r="E150" s="12"/>
      <c r="F150" s="6"/>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row>
    <row r="151" spans="2:36">
      <c r="B151" s="6"/>
      <c r="C151" s="6"/>
      <c r="D151" s="345"/>
      <c r="E151" s="12"/>
      <c r="F151" s="6"/>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row>
    <row r="152" spans="2:36">
      <c r="B152" s="6"/>
      <c r="C152" s="6"/>
      <c r="D152" s="345"/>
      <c r="E152" s="12"/>
      <c r="F152" s="6"/>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row>
    <row r="153" spans="2:36">
      <c r="B153" s="6"/>
      <c r="C153" s="6"/>
      <c r="D153" s="345"/>
      <c r="E153" s="12"/>
      <c r="F153" s="6"/>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row>
    <row r="154" spans="2:36">
      <c r="B154" s="6"/>
      <c r="C154" s="6"/>
      <c r="D154" s="345"/>
      <c r="E154" s="12"/>
      <c r="F154" s="6"/>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row>
    <row r="155" spans="2:36">
      <c r="B155" s="6"/>
      <c r="C155" s="6"/>
      <c r="D155" s="345"/>
      <c r="E155" s="12"/>
      <c r="F155" s="6"/>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row>
    <row r="156" spans="2:36">
      <c r="B156" s="6"/>
      <c r="C156" s="6"/>
      <c r="D156" s="345"/>
      <c r="E156" s="12"/>
      <c r="F156" s="6"/>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row>
    <row r="157" spans="2:36">
      <c r="B157" s="6"/>
      <c r="C157" s="6"/>
      <c r="D157" s="345"/>
      <c r="E157" s="12"/>
      <c r="F157" s="6"/>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row>
    <row r="158" spans="2:36">
      <c r="B158" s="6"/>
      <c r="C158" s="6"/>
      <c r="D158" s="345"/>
      <c r="E158" s="12"/>
      <c r="F158" s="6"/>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c r="AC158" s="151"/>
      <c r="AD158" s="151"/>
      <c r="AE158" s="151"/>
      <c r="AF158" s="151"/>
      <c r="AG158" s="151"/>
      <c r="AH158" s="151"/>
      <c r="AI158" s="151"/>
      <c r="AJ158" s="151"/>
    </row>
    <row r="159" spans="2:36">
      <c r="B159" s="6"/>
      <c r="C159" s="6"/>
      <c r="D159" s="345"/>
      <c r="E159" s="12"/>
      <c r="F159" s="6"/>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row>
    <row r="160" spans="2:36">
      <c r="B160" s="6"/>
      <c r="C160" s="6"/>
      <c r="D160" s="345"/>
      <c r="E160" s="12"/>
      <c r="F160" s="6"/>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row>
    <row r="161" spans="2:36">
      <c r="B161" s="6"/>
      <c r="C161" s="6"/>
      <c r="D161" s="345"/>
      <c r="E161" s="12"/>
      <c r="F161" s="6"/>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row>
    <row r="162" spans="2:36">
      <c r="B162" s="6"/>
      <c r="C162" s="6"/>
      <c r="D162" s="345"/>
      <c r="E162" s="12"/>
      <c r="F162" s="6"/>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row>
    <row r="163" spans="2:36">
      <c r="B163" s="6"/>
      <c r="C163" s="6"/>
      <c r="D163" s="345"/>
      <c r="E163" s="12"/>
      <c r="F163" s="6"/>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row>
    <row r="164" spans="2:36">
      <c r="B164" s="6"/>
      <c r="C164" s="6"/>
      <c r="D164" s="345"/>
      <c r="E164" s="12"/>
      <c r="F164" s="6"/>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row>
    <row r="165" spans="2:36">
      <c r="B165" s="6"/>
      <c r="C165" s="6"/>
      <c r="D165" s="345"/>
      <c r="E165" s="12"/>
      <c r="F165" s="6"/>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row>
    <row r="166" spans="2:36">
      <c r="B166" s="6"/>
      <c r="C166" s="6"/>
      <c r="D166" s="345"/>
      <c r="E166" s="12"/>
      <c r="F166" s="6"/>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row>
    <row r="167" spans="2:36">
      <c r="B167" s="6"/>
      <c r="C167" s="6"/>
      <c r="D167" s="345"/>
      <c r="E167" s="12"/>
      <c r="F167" s="6"/>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c r="AC167" s="151"/>
      <c r="AD167" s="151"/>
      <c r="AE167" s="151"/>
      <c r="AF167" s="151"/>
      <c r="AG167" s="151"/>
      <c r="AH167" s="151"/>
      <c r="AI167" s="151"/>
      <c r="AJ167" s="151"/>
    </row>
    <row r="168" spans="2:36">
      <c r="B168" s="6"/>
      <c r="C168" s="6"/>
      <c r="D168" s="345"/>
      <c r="E168" s="12"/>
      <c r="F168" s="6"/>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row>
    <row r="169" spans="2:36">
      <c r="B169" s="6"/>
      <c r="C169" s="6"/>
      <c r="D169" s="345"/>
      <c r="E169" s="12"/>
      <c r="F169" s="6"/>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row>
    <row r="170" spans="2:36">
      <c r="B170" s="6"/>
      <c r="C170" s="6"/>
      <c r="D170" s="345"/>
      <c r="E170" s="12"/>
      <c r="F170" s="6"/>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row>
    <row r="171" spans="2:36">
      <c r="B171" s="6"/>
      <c r="C171" s="6"/>
      <c r="D171" s="345"/>
      <c r="E171" s="12"/>
      <c r="F171" s="6"/>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row>
    <row r="172" spans="2:36">
      <c r="B172" s="6"/>
      <c r="C172" s="6"/>
      <c r="D172" s="345"/>
      <c r="E172" s="12"/>
      <c r="F172" s="6"/>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c r="AC172" s="151"/>
      <c r="AD172" s="151"/>
      <c r="AE172" s="151"/>
      <c r="AF172" s="151"/>
      <c r="AG172" s="151"/>
      <c r="AH172" s="151"/>
      <c r="AI172" s="151"/>
      <c r="AJ172" s="151"/>
    </row>
    <row r="173" spans="2:36">
      <c r="B173" s="6"/>
      <c r="C173" s="6"/>
      <c r="D173" s="345"/>
      <c r="E173" s="12"/>
      <c r="F173" s="6"/>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row>
    <row r="174" spans="2:36">
      <c r="B174" s="6"/>
      <c r="C174" s="6"/>
      <c r="D174" s="345"/>
      <c r="E174" s="12"/>
      <c r="F174" s="6"/>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row>
    <row r="175" spans="2:36">
      <c r="B175" s="6"/>
      <c r="C175" s="6"/>
      <c r="D175" s="345"/>
      <c r="E175" s="12"/>
      <c r="F175" s="6"/>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c r="AC175" s="151"/>
      <c r="AD175" s="151"/>
      <c r="AE175" s="151"/>
      <c r="AF175" s="151"/>
      <c r="AG175" s="151"/>
      <c r="AH175" s="151"/>
      <c r="AI175" s="151"/>
      <c r="AJ175" s="151"/>
    </row>
    <row r="176" spans="2:36">
      <c r="B176" s="6"/>
      <c r="C176" s="6"/>
      <c r="D176" s="345"/>
      <c r="E176" s="12"/>
      <c r="F176" s="6"/>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row>
    <row r="177" spans="2:36">
      <c r="B177" s="6"/>
      <c r="C177" s="6"/>
      <c r="D177" s="345"/>
      <c r="E177" s="12"/>
      <c r="F177" s="6"/>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row>
    <row r="178" spans="2:36">
      <c r="B178" s="6"/>
      <c r="C178" s="6"/>
      <c r="D178" s="345"/>
      <c r="E178" s="12"/>
      <c r="F178" s="6"/>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row>
    <row r="179" spans="2:36">
      <c r="B179" s="6"/>
      <c r="C179" s="6"/>
      <c r="D179" s="345"/>
      <c r="E179" s="12"/>
      <c r="F179" s="6"/>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row>
    <row r="180" spans="2:36">
      <c r="B180" s="6"/>
      <c r="C180" s="6"/>
      <c r="D180" s="345"/>
      <c r="E180" s="12"/>
      <c r="F180" s="6"/>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row>
    <row r="181" spans="2:36">
      <c r="B181" s="6"/>
      <c r="C181" s="6"/>
      <c r="D181" s="345"/>
      <c r="E181" s="12"/>
      <c r="F181" s="6"/>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row>
    <row r="182" spans="2:36">
      <c r="B182" s="6"/>
      <c r="C182" s="6"/>
      <c r="D182" s="345"/>
      <c r="E182" s="12"/>
      <c r="F182" s="6"/>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row>
    <row r="183" spans="2:36">
      <c r="B183" s="6"/>
      <c r="C183" s="6"/>
      <c r="D183" s="345"/>
      <c r="E183" s="12"/>
      <c r="F183" s="6"/>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row>
    <row r="184" spans="2:36">
      <c r="B184" s="6"/>
      <c r="C184" s="6"/>
      <c r="D184" s="345"/>
      <c r="E184" s="12"/>
      <c r="F184" s="6"/>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row>
    <row r="185" spans="2:36">
      <c r="B185" s="6"/>
      <c r="C185" s="6"/>
      <c r="D185" s="345"/>
      <c r="E185" s="12"/>
      <c r="F185" s="6"/>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row>
    <row r="186" spans="2:36">
      <c r="B186" s="6"/>
      <c r="C186" s="6"/>
      <c r="D186" s="345"/>
      <c r="E186" s="12"/>
      <c r="F186" s="6"/>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row>
    <row r="187" spans="2:36">
      <c r="B187" s="6"/>
      <c r="C187" s="6"/>
      <c r="D187" s="345"/>
      <c r="E187" s="12"/>
      <c r="F187" s="6"/>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1"/>
    </row>
    <row r="188" spans="2:36">
      <c r="B188" s="6"/>
      <c r="C188" s="6"/>
      <c r="D188" s="345"/>
      <c r="E188" s="12"/>
      <c r="F188" s="6"/>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row>
    <row r="189" spans="2:36">
      <c r="B189" s="6"/>
      <c r="C189" s="6"/>
      <c r="D189" s="345"/>
      <c r="E189" s="12"/>
      <c r="F189" s="6"/>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row>
    <row r="190" spans="2:36">
      <c r="B190" s="6"/>
      <c r="C190" s="6"/>
      <c r="D190" s="345"/>
      <c r="E190" s="12"/>
      <c r="F190" s="6"/>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row>
    <row r="191" spans="2:36">
      <c r="B191" s="6"/>
      <c r="C191" s="6"/>
      <c r="D191" s="345"/>
      <c r="E191" s="12"/>
      <c r="F191" s="6"/>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row>
    <row r="192" spans="2:36">
      <c r="B192" s="6"/>
      <c r="C192" s="6"/>
      <c r="D192" s="345"/>
      <c r="E192" s="12"/>
      <c r="F192" s="6"/>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row>
    <row r="193" spans="2:36">
      <c r="B193" s="6"/>
      <c r="C193" s="6"/>
      <c r="D193" s="345"/>
      <c r="E193" s="12"/>
      <c r="F193" s="6"/>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row>
    <row r="194" spans="2:36">
      <c r="B194" s="6"/>
      <c r="C194" s="6"/>
      <c r="D194" s="345"/>
      <c r="E194" s="12"/>
      <c r="F194" s="6"/>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row>
    <row r="195" spans="2:36">
      <c r="B195" s="6"/>
      <c r="C195" s="6"/>
      <c r="D195" s="345"/>
      <c r="E195" s="12"/>
      <c r="F195" s="6"/>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row>
    <row r="196" spans="2:36">
      <c r="B196" s="6"/>
      <c r="C196" s="6"/>
      <c r="D196" s="345"/>
      <c r="E196" s="12"/>
      <c r="F196" s="6"/>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row>
    <row r="197" spans="2:36">
      <c r="B197" s="6"/>
      <c r="C197" s="6"/>
      <c r="D197" s="345"/>
      <c r="E197" s="12"/>
      <c r="F197" s="6"/>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row>
    <row r="198" spans="2:36">
      <c r="B198" s="6"/>
      <c r="C198" s="6"/>
      <c r="D198" s="345"/>
      <c r="E198" s="12"/>
      <c r="F198" s="6"/>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row>
    <row r="199" spans="2:36">
      <c r="B199" s="6"/>
      <c r="C199" s="6"/>
      <c r="D199" s="345"/>
      <c r="E199" s="12"/>
      <c r="F199" s="6"/>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row>
    <row r="200" spans="2:36">
      <c r="B200" s="6"/>
      <c r="C200" s="6"/>
      <c r="D200" s="345"/>
      <c r="E200" s="12"/>
      <c r="F200" s="6"/>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row>
    <row r="201" spans="2:36">
      <c r="B201" s="6"/>
      <c r="C201" s="6"/>
      <c r="D201" s="345"/>
      <c r="E201" s="12"/>
      <c r="F201" s="6"/>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row>
    <row r="202" spans="2:36">
      <c r="B202" s="6"/>
      <c r="C202" s="6"/>
      <c r="D202" s="345"/>
      <c r="E202" s="12"/>
      <c r="F202" s="6"/>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row>
    <row r="203" spans="2:36">
      <c r="B203" s="6"/>
      <c r="C203" s="6"/>
      <c r="D203" s="345"/>
      <c r="E203" s="12"/>
      <c r="F203" s="6"/>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row>
    <row r="204" spans="2:36">
      <c r="B204" s="6"/>
      <c r="C204" s="6"/>
      <c r="D204" s="345"/>
      <c r="E204" s="12"/>
      <c r="F204" s="6"/>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row>
    <row r="205" spans="2:36">
      <c r="B205" s="6"/>
      <c r="C205" s="6"/>
      <c r="D205" s="345"/>
      <c r="E205" s="12"/>
      <c r="F205" s="6"/>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row>
    <row r="206" spans="2:36">
      <c r="B206" s="6"/>
      <c r="C206" s="6"/>
      <c r="D206" s="345"/>
      <c r="E206" s="12"/>
      <c r="F206" s="6"/>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row>
    <row r="207" spans="2:36">
      <c r="B207" s="6"/>
      <c r="C207" s="6"/>
      <c r="D207" s="345"/>
      <c r="E207" s="12"/>
      <c r="F207" s="6"/>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row>
    <row r="208" spans="2:36">
      <c r="B208" s="6"/>
      <c r="C208" s="6"/>
      <c r="D208" s="345"/>
      <c r="E208" s="12"/>
      <c r="F208" s="6"/>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row>
    <row r="209" spans="2:36">
      <c r="B209" s="6"/>
      <c r="C209" s="6"/>
      <c r="D209" s="345"/>
      <c r="E209" s="12"/>
      <c r="F209" s="6"/>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row>
    <row r="210" spans="2:36">
      <c r="B210" s="6"/>
      <c r="C210" s="6"/>
      <c r="D210" s="345"/>
      <c r="E210" s="12"/>
      <c r="F210" s="6"/>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row>
    <row r="211" spans="2:36">
      <c r="B211" s="6"/>
      <c r="C211" s="6"/>
      <c r="D211" s="345"/>
      <c r="E211" s="12"/>
      <c r="F211" s="6"/>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row>
    <row r="212" spans="2:36">
      <c r="B212" s="6"/>
      <c r="C212" s="6"/>
      <c r="D212" s="345"/>
      <c r="E212" s="12"/>
      <c r="F212" s="6"/>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row>
    <row r="213" spans="2:36">
      <c r="B213" s="6"/>
      <c r="C213" s="6"/>
      <c r="D213" s="345"/>
      <c r="E213" s="12"/>
      <c r="F213" s="6"/>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row>
    <row r="214" spans="2:36">
      <c r="B214" s="6"/>
      <c r="C214" s="6"/>
      <c r="D214" s="345"/>
      <c r="E214" s="12"/>
      <c r="F214" s="6"/>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row>
    <row r="215" spans="2:36">
      <c r="B215" s="6"/>
      <c r="C215" s="6"/>
      <c r="D215" s="345"/>
      <c r="E215" s="12"/>
      <c r="F215" s="6"/>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row>
    <row r="216" spans="2:36">
      <c r="B216" s="6"/>
      <c r="C216" s="6"/>
      <c r="D216" s="345"/>
      <c r="E216" s="12"/>
      <c r="F216" s="6"/>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row>
    <row r="217" spans="2:36">
      <c r="B217" s="6"/>
      <c r="C217" s="6"/>
      <c r="D217" s="345"/>
      <c r="E217" s="12"/>
      <c r="F217" s="6"/>
      <c r="G217" s="447"/>
      <c r="H217" s="447"/>
      <c r="I217" s="447"/>
      <c r="J217" s="447"/>
      <c r="K217" s="447"/>
      <c r="L217" s="447"/>
      <c r="M217" s="447"/>
      <c r="N217" s="447"/>
      <c r="O217" s="447"/>
      <c r="P217" s="447"/>
      <c r="Q217" s="447"/>
      <c r="R217" s="447"/>
      <c r="S217" s="447"/>
      <c r="T217" s="447"/>
      <c r="U217" s="447"/>
      <c r="V217" s="447"/>
      <c r="W217" s="447"/>
      <c r="X217" s="447"/>
      <c r="Y217" s="447"/>
      <c r="Z217" s="447"/>
      <c r="AA217" s="447"/>
      <c r="AB217" s="447"/>
      <c r="AC217" s="447"/>
      <c r="AD217" s="447"/>
      <c r="AE217" s="447"/>
      <c r="AF217" s="447"/>
      <c r="AG217" s="447"/>
      <c r="AH217" s="447"/>
      <c r="AI217" s="447"/>
      <c r="AJ217" s="447"/>
    </row>
    <row r="218" spans="2:36">
      <c r="B218" s="6"/>
      <c r="C218" s="6"/>
      <c r="D218" s="345"/>
      <c r="E218" s="12"/>
      <c r="F218" s="6"/>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row>
    <row r="219" spans="2:36">
      <c r="B219" s="6"/>
      <c r="C219" s="146"/>
      <c r="D219" s="345"/>
      <c r="E219" s="12"/>
      <c r="F219" s="6"/>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row>
    <row r="220" spans="2:36">
      <c r="B220" s="6"/>
      <c r="C220" s="6"/>
      <c r="D220" s="345"/>
      <c r="E220" s="12"/>
      <c r="F220" s="6"/>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row>
    <row r="221" spans="2:36">
      <c r="B221" s="6"/>
      <c r="C221" s="6"/>
      <c r="D221" s="345"/>
      <c r="E221" s="12"/>
      <c r="F221" s="6"/>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row>
    <row r="222" spans="2:36">
      <c r="B222" s="6"/>
      <c r="C222" s="6"/>
      <c r="D222" s="345"/>
      <c r="E222" s="12"/>
      <c r="F222" s="6"/>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row>
    <row r="223" spans="2:36">
      <c r="B223" s="6"/>
      <c r="C223" s="6"/>
      <c r="D223" s="345"/>
      <c r="E223" s="12"/>
      <c r="F223" s="6"/>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row>
    <row r="224" spans="2:36">
      <c r="B224" s="6"/>
      <c r="C224" s="6"/>
      <c r="D224" s="345"/>
      <c r="E224" s="12"/>
      <c r="F224" s="6"/>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row>
    <row r="225" spans="2:36">
      <c r="B225" s="6"/>
      <c r="C225" s="6"/>
      <c r="D225" s="345"/>
      <c r="E225" s="12"/>
      <c r="F225" s="6"/>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row>
    <row r="226" spans="2:36">
      <c r="B226" s="6"/>
      <c r="C226" s="6"/>
      <c r="D226" s="345"/>
      <c r="E226" s="12"/>
      <c r="F226" s="6"/>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row>
    <row r="227" spans="2:36">
      <c r="B227" s="6"/>
      <c r="C227" s="6"/>
      <c r="D227" s="345"/>
      <c r="E227" s="12"/>
      <c r="F227" s="6"/>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row>
    <row r="228" spans="2:36">
      <c r="B228" s="6"/>
      <c r="C228" s="6"/>
      <c r="D228" s="345"/>
      <c r="E228" s="12"/>
      <c r="F228" s="6"/>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row>
    <row r="229" spans="2:36">
      <c r="B229" s="6"/>
      <c r="C229" s="6"/>
      <c r="D229" s="345"/>
      <c r="E229" s="12"/>
      <c r="F229" s="6"/>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row>
    <row r="230" spans="2:36">
      <c r="B230" s="6"/>
      <c r="C230" s="6"/>
      <c r="D230" s="345"/>
      <c r="E230" s="12"/>
      <c r="F230" s="6"/>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row>
    <row r="231" spans="2:36">
      <c r="B231" s="6"/>
      <c r="C231" s="6"/>
      <c r="D231" s="345"/>
      <c r="E231" s="12"/>
      <c r="F231" s="6"/>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row>
    <row r="232" spans="2:36">
      <c r="B232" s="6"/>
      <c r="C232" s="6"/>
      <c r="D232" s="345"/>
      <c r="E232" s="12"/>
      <c r="F232" s="6"/>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row>
    <row r="233" spans="2:36">
      <c r="B233" s="6"/>
      <c r="C233" s="6"/>
      <c r="D233" s="345"/>
      <c r="E233" s="12"/>
      <c r="F233" s="6"/>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row>
    <row r="234" spans="2:36">
      <c r="B234" s="6"/>
      <c r="C234" s="6"/>
      <c r="D234" s="345"/>
      <c r="E234" s="12"/>
      <c r="F234" s="6"/>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row>
    <row r="235" spans="2:36">
      <c r="B235" s="6"/>
      <c r="C235" s="6"/>
      <c r="D235" s="345"/>
      <c r="E235" s="12"/>
      <c r="F235" s="6"/>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row>
    <row r="236" spans="2:36">
      <c r="B236" s="6"/>
      <c r="C236" s="6"/>
      <c r="D236" s="345"/>
      <c r="E236" s="12"/>
      <c r="F236" s="6"/>
      <c r="G236" s="190"/>
      <c r="H236" s="190"/>
      <c r="I236" s="190"/>
      <c r="J236" s="190"/>
      <c r="K236" s="190"/>
      <c r="L236" s="190"/>
      <c r="M236" s="190"/>
      <c r="N236" s="190"/>
      <c r="O236" s="190"/>
      <c r="P236" s="190"/>
      <c r="Q236" s="190"/>
      <c r="R236" s="190"/>
      <c r="S236" s="190"/>
      <c r="T236" s="190"/>
      <c r="U236" s="190"/>
      <c r="V236" s="190"/>
      <c r="W236" s="190"/>
      <c r="X236" s="190"/>
      <c r="Y236" s="190"/>
      <c r="Z236" s="190"/>
      <c r="AA236" s="190"/>
      <c r="AB236" s="190"/>
      <c r="AC236" s="190"/>
      <c r="AD236" s="190"/>
      <c r="AE236" s="190"/>
      <c r="AF236" s="190"/>
      <c r="AG236" s="190"/>
      <c r="AH236" s="190"/>
      <c r="AI236" s="190"/>
      <c r="AJ236" s="190"/>
    </row>
    <row r="237" spans="2:36">
      <c r="B237" s="6"/>
      <c r="C237" s="6"/>
      <c r="D237" s="345"/>
      <c r="E237" s="12"/>
      <c r="F237" s="6"/>
      <c r="G237" s="190"/>
      <c r="H237" s="190"/>
      <c r="I237" s="190"/>
      <c r="J237" s="190"/>
      <c r="K237" s="190"/>
      <c r="L237" s="190"/>
      <c r="M237" s="190"/>
      <c r="N237" s="190"/>
      <c r="O237" s="190"/>
      <c r="P237" s="190"/>
      <c r="Q237" s="190"/>
      <c r="R237" s="190"/>
      <c r="S237" s="190"/>
      <c r="T237" s="190"/>
      <c r="U237" s="190"/>
      <c r="V237" s="190"/>
      <c r="W237" s="190"/>
      <c r="X237" s="190"/>
      <c r="Y237" s="190"/>
      <c r="Z237" s="190"/>
      <c r="AA237" s="190"/>
      <c r="AB237" s="190"/>
      <c r="AC237" s="190"/>
      <c r="AD237" s="190"/>
      <c r="AE237" s="190"/>
      <c r="AF237" s="190"/>
      <c r="AG237" s="190"/>
      <c r="AH237" s="190"/>
      <c r="AI237" s="190"/>
      <c r="AJ237" s="190"/>
    </row>
    <row r="238" spans="2:36">
      <c r="B238" s="6"/>
      <c r="C238" s="6"/>
      <c r="D238" s="345"/>
      <c r="E238" s="12"/>
      <c r="F238" s="6"/>
      <c r="G238" s="190"/>
      <c r="H238" s="190"/>
      <c r="I238" s="190"/>
      <c r="J238" s="190"/>
      <c r="K238" s="190"/>
      <c r="L238" s="190"/>
      <c r="M238" s="190"/>
      <c r="N238" s="190"/>
      <c r="O238" s="190"/>
      <c r="P238" s="190"/>
      <c r="Q238" s="190"/>
      <c r="R238" s="190"/>
      <c r="S238" s="190"/>
      <c r="T238" s="190"/>
      <c r="U238" s="190"/>
      <c r="V238" s="190"/>
      <c r="W238" s="190"/>
      <c r="X238" s="190"/>
      <c r="Y238" s="190"/>
      <c r="Z238" s="190"/>
      <c r="AA238" s="190"/>
      <c r="AB238" s="190"/>
      <c r="AC238" s="190"/>
      <c r="AD238" s="190"/>
      <c r="AE238" s="190"/>
      <c r="AF238" s="190"/>
      <c r="AG238" s="190"/>
      <c r="AH238" s="190"/>
      <c r="AI238" s="190"/>
      <c r="AJ238" s="190"/>
    </row>
    <row r="239" spans="2:36">
      <c r="B239" s="6"/>
      <c r="C239" s="6"/>
      <c r="D239" s="345"/>
      <c r="E239" s="12"/>
      <c r="F239" s="6"/>
      <c r="G239" s="190"/>
      <c r="H239" s="190"/>
      <c r="I239" s="190"/>
      <c r="J239" s="190"/>
      <c r="K239" s="190"/>
      <c r="L239" s="190"/>
      <c r="M239" s="190"/>
      <c r="N239" s="190"/>
      <c r="O239" s="190"/>
      <c r="P239" s="190"/>
      <c r="Q239" s="190"/>
      <c r="R239" s="190"/>
      <c r="S239" s="190"/>
      <c r="T239" s="190"/>
      <c r="U239" s="190"/>
      <c r="V239" s="190"/>
      <c r="W239" s="190"/>
      <c r="X239" s="190"/>
      <c r="Y239" s="190"/>
      <c r="Z239" s="190"/>
      <c r="AA239" s="190"/>
      <c r="AB239" s="190"/>
      <c r="AC239" s="190"/>
      <c r="AD239" s="190"/>
      <c r="AE239" s="190"/>
      <c r="AF239" s="190"/>
      <c r="AG239" s="190"/>
      <c r="AH239" s="190"/>
      <c r="AI239" s="190"/>
      <c r="AJ239" s="190"/>
    </row>
    <row r="240" spans="2:36">
      <c r="B240" s="6"/>
      <c r="C240" s="6"/>
      <c r="D240" s="345"/>
      <c r="E240" s="12"/>
      <c r="F240" s="6"/>
      <c r="G240" s="190"/>
      <c r="H240" s="190"/>
      <c r="I240" s="190"/>
      <c r="J240" s="190"/>
      <c r="K240" s="190"/>
      <c r="L240" s="190"/>
      <c r="M240" s="190"/>
      <c r="N240" s="190"/>
      <c r="O240" s="190"/>
      <c r="P240" s="190"/>
      <c r="Q240" s="190"/>
      <c r="R240" s="190"/>
      <c r="S240" s="190"/>
      <c r="T240" s="190"/>
      <c r="U240" s="190"/>
      <c r="V240" s="190"/>
      <c r="W240" s="190"/>
      <c r="X240" s="190"/>
      <c r="Y240" s="190"/>
      <c r="Z240" s="190"/>
      <c r="AA240" s="190"/>
      <c r="AB240" s="190"/>
      <c r="AC240" s="190"/>
      <c r="AD240" s="190"/>
      <c r="AE240" s="190"/>
      <c r="AF240" s="190"/>
      <c r="AG240" s="190"/>
      <c r="AH240" s="190"/>
      <c r="AI240" s="190"/>
      <c r="AJ240" s="190"/>
    </row>
    <row r="241" spans="2:36">
      <c r="B241" s="6"/>
      <c r="C241" s="6"/>
      <c r="D241" s="345"/>
      <c r="E241" s="12"/>
      <c r="F241" s="6"/>
      <c r="G241" s="190"/>
      <c r="H241" s="190"/>
      <c r="I241" s="190"/>
      <c r="J241" s="190"/>
      <c r="K241" s="190"/>
      <c r="L241" s="190"/>
      <c r="M241" s="190"/>
      <c r="N241" s="190"/>
      <c r="O241" s="190"/>
      <c r="P241" s="190"/>
      <c r="Q241" s="190"/>
      <c r="R241" s="190"/>
      <c r="S241" s="190"/>
      <c r="T241" s="190"/>
      <c r="U241" s="190"/>
      <c r="V241" s="190"/>
      <c r="W241" s="190"/>
      <c r="X241" s="190"/>
      <c r="Y241" s="190"/>
      <c r="Z241" s="190"/>
      <c r="AA241" s="190"/>
      <c r="AB241" s="190"/>
      <c r="AC241" s="190"/>
      <c r="AD241" s="190"/>
      <c r="AE241" s="190"/>
      <c r="AF241" s="190"/>
      <c r="AG241" s="190"/>
      <c r="AH241" s="190"/>
      <c r="AI241" s="190"/>
      <c r="AJ241" s="190"/>
    </row>
    <row r="242" spans="2:36">
      <c r="B242" s="6"/>
      <c r="C242" s="6"/>
      <c r="D242" s="345"/>
      <c r="E242" s="12"/>
      <c r="F242" s="6"/>
      <c r="G242" s="190"/>
      <c r="H242" s="190"/>
      <c r="I242" s="190"/>
      <c r="J242" s="190"/>
      <c r="K242" s="190"/>
      <c r="L242" s="190"/>
      <c r="M242" s="190"/>
      <c r="N242" s="190"/>
      <c r="O242" s="190"/>
      <c r="P242" s="190"/>
      <c r="Q242" s="190"/>
      <c r="R242" s="190"/>
      <c r="S242" s="190"/>
      <c r="T242" s="190"/>
      <c r="U242" s="190"/>
      <c r="V242" s="190"/>
      <c r="W242" s="190"/>
      <c r="X242" s="190"/>
      <c r="Y242" s="190"/>
      <c r="Z242" s="190"/>
      <c r="AA242" s="190"/>
      <c r="AB242" s="190"/>
      <c r="AC242" s="190"/>
      <c r="AD242" s="190"/>
      <c r="AE242" s="190"/>
      <c r="AF242" s="190"/>
      <c r="AG242" s="190"/>
      <c r="AH242" s="190"/>
      <c r="AI242" s="190"/>
      <c r="AJ242" s="190"/>
    </row>
    <row r="243" spans="2:36">
      <c r="B243" s="6"/>
      <c r="C243" s="6"/>
      <c r="D243" s="345"/>
      <c r="E243" s="12"/>
      <c r="F243" s="6"/>
      <c r="G243" s="190"/>
      <c r="H243" s="190"/>
      <c r="I243" s="190"/>
      <c r="J243" s="190"/>
      <c r="K243" s="190"/>
      <c r="L243" s="190"/>
      <c r="M243" s="190"/>
      <c r="N243" s="190"/>
      <c r="O243" s="190"/>
      <c r="P243" s="190"/>
      <c r="Q243" s="190"/>
      <c r="R243" s="190"/>
      <c r="S243" s="190"/>
      <c r="T243" s="190"/>
      <c r="U243" s="190"/>
      <c r="V243" s="190"/>
      <c r="W243" s="190"/>
      <c r="X243" s="190"/>
      <c r="Y243" s="190"/>
      <c r="Z243" s="190"/>
      <c r="AA243" s="190"/>
      <c r="AB243" s="190"/>
      <c r="AC243" s="190"/>
      <c r="AD243" s="190"/>
      <c r="AE243" s="190"/>
      <c r="AF243" s="190"/>
      <c r="AG243" s="190"/>
      <c r="AH243" s="190"/>
      <c r="AI243" s="190"/>
      <c r="AJ243" s="190"/>
    </row>
    <row r="244" spans="2:36">
      <c r="B244" s="6"/>
      <c r="C244" s="6"/>
      <c r="D244" s="345"/>
      <c r="E244" s="12"/>
      <c r="F244" s="6"/>
      <c r="G244" s="190"/>
      <c r="H244" s="190"/>
      <c r="I244" s="190"/>
      <c r="J244" s="190"/>
      <c r="K244" s="190"/>
      <c r="L244" s="190"/>
      <c r="M244" s="190"/>
      <c r="N244" s="190"/>
      <c r="O244" s="190"/>
      <c r="P244" s="190"/>
      <c r="Q244" s="190"/>
      <c r="R244" s="190"/>
      <c r="S244" s="190"/>
      <c r="T244" s="190"/>
      <c r="U244" s="190"/>
      <c r="V244" s="190"/>
      <c r="W244" s="190"/>
      <c r="X244" s="190"/>
      <c r="Y244" s="190"/>
      <c r="Z244" s="190"/>
      <c r="AA244" s="190"/>
      <c r="AB244" s="190"/>
      <c r="AC244" s="190"/>
      <c r="AD244" s="190"/>
      <c r="AE244" s="190"/>
      <c r="AF244" s="190"/>
      <c r="AG244" s="190"/>
      <c r="AH244" s="190"/>
      <c r="AI244" s="190"/>
      <c r="AJ244" s="190"/>
    </row>
    <row r="245" spans="2:36">
      <c r="B245" s="6"/>
      <c r="C245" s="6"/>
      <c r="D245" s="345"/>
      <c r="E245" s="12"/>
      <c r="F245" s="6"/>
      <c r="G245" s="190"/>
      <c r="H245" s="190"/>
      <c r="I245" s="190"/>
      <c r="J245" s="190"/>
      <c r="K245" s="190"/>
      <c r="L245" s="190"/>
      <c r="M245" s="190"/>
      <c r="N245" s="190"/>
      <c r="O245" s="190"/>
      <c r="P245" s="190"/>
      <c r="Q245" s="190"/>
      <c r="R245" s="190"/>
      <c r="S245" s="190"/>
      <c r="T245" s="190"/>
      <c r="U245" s="190"/>
      <c r="V245" s="190"/>
      <c r="W245" s="190"/>
      <c r="X245" s="190"/>
      <c r="Y245" s="190"/>
      <c r="Z245" s="190"/>
      <c r="AA245" s="190"/>
      <c r="AB245" s="190"/>
      <c r="AC245" s="190"/>
      <c r="AD245" s="190"/>
      <c r="AE245" s="190"/>
      <c r="AF245" s="190"/>
      <c r="AG245" s="190"/>
      <c r="AH245" s="190"/>
      <c r="AI245" s="190"/>
      <c r="AJ245" s="190"/>
    </row>
    <row r="246" spans="2:36">
      <c r="B246" s="6"/>
      <c r="C246" s="6"/>
      <c r="D246" s="345"/>
      <c r="E246" s="12"/>
      <c r="F246" s="6"/>
      <c r="G246" s="190"/>
      <c r="H246" s="190"/>
      <c r="I246" s="190"/>
      <c r="J246" s="190"/>
      <c r="K246" s="190"/>
      <c r="L246" s="190"/>
      <c r="M246" s="190"/>
      <c r="N246" s="190"/>
      <c r="O246" s="190"/>
      <c r="P246" s="190"/>
      <c r="Q246" s="190"/>
      <c r="R246" s="190"/>
      <c r="S246" s="190"/>
      <c r="T246" s="190"/>
      <c r="U246" s="190"/>
      <c r="V246" s="190"/>
      <c r="W246" s="190"/>
      <c r="X246" s="190"/>
      <c r="Y246" s="190"/>
      <c r="Z246" s="190"/>
      <c r="AA246" s="190"/>
      <c r="AB246" s="190"/>
      <c r="AC246" s="190"/>
      <c r="AD246" s="190"/>
      <c r="AE246" s="190"/>
      <c r="AF246" s="190"/>
      <c r="AG246" s="190"/>
      <c r="AH246" s="190"/>
      <c r="AI246" s="190"/>
      <c r="AJ246" s="190"/>
    </row>
    <row r="247" spans="2:36">
      <c r="B247" s="6"/>
      <c r="C247" s="6"/>
      <c r="D247" s="345"/>
      <c r="E247" s="12"/>
      <c r="F247" s="6"/>
      <c r="G247" s="190"/>
      <c r="H247" s="190"/>
      <c r="I247" s="190"/>
      <c r="J247" s="190"/>
      <c r="K247" s="190"/>
      <c r="L247" s="190"/>
      <c r="M247" s="190"/>
      <c r="N247" s="190"/>
      <c r="O247" s="190"/>
      <c r="P247" s="190"/>
      <c r="Q247" s="190"/>
      <c r="R247" s="190"/>
      <c r="S247" s="190"/>
      <c r="T247" s="190"/>
      <c r="U247" s="190"/>
      <c r="V247" s="190"/>
      <c r="W247" s="190"/>
      <c r="X247" s="190"/>
      <c r="Y247" s="190"/>
      <c r="Z247" s="190"/>
      <c r="AA247" s="190"/>
      <c r="AB247" s="190"/>
      <c r="AC247" s="190"/>
      <c r="AD247" s="190"/>
      <c r="AE247" s="190"/>
      <c r="AF247" s="190"/>
      <c r="AG247" s="190"/>
      <c r="AH247" s="190"/>
      <c r="AI247" s="190"/>
      <c r="AJ247" s="190"/>
    </row>
    <row r="248" spans="2:36">
      <c r="B248" s="6"/>
      <c r="C248" s="6"/>
      <c r="D248" s="345"/>
      <c r="E248" s="12"/>
      <c r="F248" s="6"/>
      <c r="G248" s="190"/>
      <c r="H248" s="190"/>
      <c r="I248" s="190"/>
      <c r="J248" s="190"/>
      <c r="K248" s="190"/>
      <c r="L248" s="190"/>
      <c r="M248" s="190"/>
      <c r="N248" s="190"/>
      <c r="O248" s="190"/>
      <c r="P248" s="190"/>
      <c r="Q248" s="190"/>
      <c r="R248" s="190"/>
      <c r="S248" s="190"/>
      <c r="T248" s="190"/>
      <c r="U248" s="190"/>
      <c r="V248" s="190"/>
      <c r="W248" s="190"/>
      <c r="X248" s="190"/>
      <c r="Y248" s="190"/>
      <c r="Z248" s="190"/>
      <c r="AA248" s="190"/>
      <c r="AB248" s="190"/>
      <c r="AC248" s="190"/>
      <c r="AD248" s="190"/>
      <c r="AE248" s="190"/>
      <c r="AF248" s="190"/>
      <c r="AG248" s="190"/>
      <c r="AH248" s="190"/>
      <c r="AI248" s="190"/>
      <c r="AJ248" s="190"/>
    </row>
    <row r="249" spans="2:36">
      <c r="B249" s="6"/>
      <c r="C249" s="6"/>
      <c r="D249" s="345"/>
      <c r="E249" s="12"/>
      <c r="F249" s="6"/>
      <c r="G249" s="190"/>
      <c r="H249" s="190"/>
      <c r="I249" s="190"/>
      <c r="J249" s="190"/>
      <c r="K249" s="190"/>
      <c r="L249" s="190"/>
      <c r="M249" s="190"/>
      <c r="N249" s="190"/>
      <c r="O249" s="190"/>
      <c r="P249" s="190"/>
      <c r="Q249" s="190"/>
      <c r="R249" s="190"/>
      <c r="S249" s="190"/>
      <c r="T249" s="190"/>
      <c r="U249" s="190"/>
      <c r="V249" s="190"/>
      <c r="W249" s="190"/>
      <c r="X249" s="190"/>
      <c r="Y249" s="190"/>
      <c r="Z249" s="190"/>
      <c r="AA249" s="190"/>
      <c r="AB249" s="190"/>
      <c r="AC249" s="190"/>
      <c r="AD249" s="190"/>
      <c r="AE249" s="190"/>
      <c r="AF249" s="190"/>
      <c r="AG249" s="190"/>
      <c r="AH249" s="190"/>
      <c r="AI249" s="190"/>
      <c r="AJ249" s="190"/>
    </row>
    <row r="250" spans="2:36">
      <c r="B250" s="6"/>
      <c r="C250" s="6"/>
      <c r="D250" s="345"/>
      <c r="E250" s="12"/>
      <c r="F250" s="6"/>
      <c r="G250" s="190"/>
      <c r="H250" s="190"/>
      <c r="I250" s="190"/>
      <c r="J250" s="190"/>
      <c r="K250" s="190"/>
      <c r="L250" s="190"/>
      <c r="M250" s="190"/>
      <c r="N250" s="190"/>
      <c r="O250" s="190"/>
      <c r="P250" s="190"/>
      <c r="Q250" s="190"/>
      <c r="R250" s="190"/>
      <c r="S250" s="190"/>
      <c r="T250" s="190"/>
      <c r="U250" s="190"/>
      <c r="V250" s="190"/>
      <c r="W250" s="190"/>
      <c r="X250" s="190"/>
      <c r="Y250" s="190"/>
      <c r="Z250" s="190"/>
      <c r="AA250" s="190"/>
      <c r="AB250" s="190"/>
      <c r="AC250" s="190"/>
      <c r="AD250" s="190"/>
      <c r="AE250" s="190"/>
      <c r="AF250" s="190"/>
      <c r="AG250" s="190"/>
      <c r="AH250" s="190"/>
      <c r="AI250" s="190"/>
      <c r="AJ250" s="190"/>
    </row>
    <row r="251" spans="2:36">
      <c r="B251" s="6"/>
      <c r="C251" s="6"/>
      <c r="D251" s="345"/>
      <c r="E251" s="12"/>
      <c r="F251" s="6"/>
      <c r="G251" s="190"/>
      <c r="H251" s="190"/>
      <c r="I251" s="190"/>
      <c r="J251" s="190"/>
      <c r="K251" s="190"/>
      <c r="L251" s="190"/>
      <c r="M251" s="190"/>
      <c r="N251" s="190"/>
      <c r="O251" s="190"/>
      <c r="P251" s="190"/>
      <c r="Q251" s="190"/>
      <c r="R251" s="190"/>
      <c r="S251" s="190"/>
      <c r="T251" s="190"/>
      <c r="U251" s="190"/>
      <c r="V251" s="190"/>
      <c r="W251" s="190"/>
      <c r="X251" s="190"/>
      <c r="Y251" s="190"/>
      <c r="Z251" s="190"/>
      <c r="AA251" s="190"/>
      <c r="AB251" s="190"/>
      <c r="AC251" s="190"/>
      <c r="AD251" s="190"/>
      <c r="AE251" s="190"/>
      <c r="AF251" s="190"/>
      <c r="AG251" s="190"/>
      <c r="AH251" s="190"/>
      <c r="AI251" s="190"/>
      <c r="AJ251" s="190"/>
    </row>
    <row r="252" spans="2:36">
      <c r="B252" s="6"/>
      <c r="C252" s="6"/>
      <c r="D252" s="345"/>
      <c r="E252" s="12"/>
      <c r="F252" s="6"/>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row>
    <row r="253" spans="2:36">
      <c r="B253" s="6"/>
      <c r="C253" s="6"/>
      <c r="D253" s="345"/>
      <c r="E253" s="12"/>
      <c r="F253" s="6"/>
      <c r="G253" s="190"/>
      <c r="H253" s="190"/>
      <c r="I253" s="190"/>
      <c r="J253" s="190"/>
      <c r="K253" s="190"/>
      <c r="L253" s="190"/>
      <c r="M253" s="190"/>
      <c r="N253" s="190"/>
      <c r="O253" s="190"/>
      <c r="P253" s="190"/>
      <c r="Q253" s="190"/>
      <c r="R253" s="190"/>
      <c r="S253" s="190"/>
      <c r="T253" s="190"/>
      <c r="U253" s="190"/>
      <c r="V253" s="190"/>
      <c r="W253" s="190"/>
      <c r="X253" s="190"/>
      <c r="Y253" s="190"/>
      <c r="Z253" s="190"/>
      <c r="AA253" s="190"/>
      <c r="AB253" s="190"/>
      <c r="AC253" s="190"/>
      <c r="AD253" s="190"/>
      <c r="AE253" s="190"/>
      <c r="AF253" s="190"/>
      <c r="AG253" s="190"/>
      <c r="AH253" s="190"/>
      <c r="AI253" s="190"/>
      <c r="AJ253" s="190"/>
    </row>
    <row r="254" spans="2:36">
      <c r="B254" s="6"/>
      <c r="C254" s="6"/>
      <c r="D254" s="345"/>
      <c r="E254" s="12"/>
      <c r="F254" s="6"/>
      <c r="G254" s="190"/>
      <c r="H254" s="190"/>
      <c r="I254" s="190"/>
      <c r="J254" s="190"/>
      <c r="K254" s="190"/>
      <c r="L254" s="190"/>
      <c r="M254" s="190"/>
      <c r="N254" s="190"/>
      <c r="O254" s="190"/>
      <c r="P254" s="190"/>
      <c r="Q254" s="190"/>
      <c r="R254" s="190"/>
      <c r="S254" s="190"/>
      <c r="T254" s="190"/>
      <c r="U254" s="190"/>
      <c r="V254" s="190"/>
      <c r="W254" s="190"/>
      <c r="X254" s="190"/>
      <c r="Y254" s="190"/>
      <c r="Z254" s="190"/>
      <c r="AA254" s="190"/>
      <c r="AB254" s="190"/>
      <c r="AC254" s="190"/>
      <c r="AD254" s="190"/>
      <c r="AE254" s="190"/>
      <c r="AF254" s="190"/>
      <c r="AG254" s="190"/>
      <c r="AH254" s="190"/>
      <c r="AI254" s="190"/>
      <c r="AJ254" s="190"/>
    </row>
    <row r="255" spans="2:36">
      <c r="B255" s="6"/>
      <c r="C255" s="6"/>
      <c r="D255" s="345"/>
      <c r="E255" s="12"/>
      <c r="F255" s="6"/>
      <c r="G255" s="190"/>
      <c r="H255" s="190"/>
      <c r="I255" s="190"/>
      <c r="J255" s="190"/>
      <c r="K255" s="190"/>
      <c r="L255" s="190"/>
      <c r="M255" s="190"/>
      <c r="N255" s="190"/>
      <c r="O255" s="190"/>
      <c r="P255" s="190"/>
      <c r="Q255" s="190"/>
      <c r="R255" s="190"/>
      <c r="S255" s="190"/>
      <c r="T255" s="190"/>
      <c r="U255" s="190"/>
      <c r="V255" s="190"/>
      <c r="W255" s="190"/>
      <c r="X255" s="190"/>
      <c r="Y255" s="190"/>
      <c r="Z255" s="190"/>
      <c r="AA255" s="190"/>
      <c r="AB255" s="190"/>
      <c r="AC255" s="190"/>
      <c r="AD255" s="190"/>
      <c r="AE255" s="190"/>
      <c r="AF255" s="190"/>
      <c r="AG255" s="190"/>
      <c r="AH255" s="190"/>
      <c r="AI255" s="190"/>
      <c r="AJ255" s="190"/>
    </row>
    <row r="256" spans="2:36">
      <c r="B256" s="6"/>
      <c r="C256" s="6"/>
      <c r="D256" s="345"/>
      <c r="E256" s="12"/>
      <c r="F256" s="6"/>
      <c r="G256" s="190"/>
      <c r="H256" s="190"/>
      <c r="I256" s="190"/>
      <c r="J256" s="190"/>
      <c r="K256" s="190"/>
      <c r="L256" s="190"/>
      <c r="M256" s="190"/>
      <c r="N256" s="190"/>
      <c r="O256" s="190"/>
      <c r="P256" s="190"/>
      <c r="Q256" s="190"/>
      <c r="R256" s="190"/>
      <c r="S256" s="190"/>
      <c r="T256" s="190"/>
      <c r="U256" s="190"/>
      <c r="V256" s="190"/>
      <c r="W256" s="190"/>
      <c r="X256" s="190"/>
      <c r="Y256" s="190"/>
      <c r="Z256" s="190"/>
      <c r="AA256" s="190"/>
      <c r="AB256" s="190"/>
      <c r="AC256" s="190"/>
      <c r="AD256" s="190"/>
      <c r="AE256" s="190"/>
      <c r="AF256" s="190"/>
      <c r="AG256" s="190"/>
      <c r="AH256" s="190"/>
      <c r="AI256" s="190"/>
      <c r="AJ256" s="190"/>
    </row>
    <row r="257" spans="2:36">
      <c r="B257" s="6"/>
      <c r="C257" s="6"/>
      <c r="D257" s="345"/>
      <c r="E257" s="12"/>
      <c r="F257" s="6"/>
      <c r="G257" s="190"/>
      <c r="H257" s="190"/>
      <c r="I257" s="190"/>
      <c r="J257" s="190"/>
      <c r="K257" s="190"/>
      <c r="L257" s="190"/>
      <c r="M257" s="190"/>
      <c r="N257" s="190"/>
      <c r="O257" s="190"/>
      <c r="P257" s="190"/>
      <c r="Q257" s="190"/>
      <c r="R257" s="190"/>
      <c r="S257" s="190"/>
      <c r="T257" s="190"/>
      <c r="U257" s="190"/>
      <c r="V257" s="190"/>
      <c r="W257" s="190"/>
      <c r="X257" s="190"/>
      <c r="Y257" s="190"/>
      <c r="Z257" s="190"/>
      <c r="AA257" s="190"/>
      <c r="AB257" s="190"/>
      <c r="AC257" s="190"/>
      <c r="AD257" s="190"/>
      <c r="AE257" s="190"/>
      <c r="AF257" s="190"/>
      <c r="AG257" s="190"/>
      <c r="AH257" s="190"/>
      <c r="AI257" s="190"/>
      <c r="AJ257" s="190"/>
    </row>
    <row r="258" spans="2:36">
      <c r="B258" s="6"/>
      <c r="C258" s="6"/>
      <c r="D258" s="345"/>
      <c r="E258" s="12"/>
      <c r="F258" s="6"/>
      <c r="G258" s="190"/>
      <c r="H258" s="190"/>
      <c r="I258" s="190"/>
      <c r="J258" s="190"/>
      <c r="K258" s="190"/>
      <c r="L258" s="190"/>
      <c r="M258" s="190"/>
      <c r="N258" s="190"/>
      <c r="O258" s="190"/>
      <c r="P258" s="190"/>
      <c r="Q258" s="190"/>
      <c r="R258" s="190"/>
      <c r="S258" s="190"/>
      <c r="T258" s="190"/>
      <c r="U258" s="190"/>
      <c r="V258" s="190"/>
      <c r="W258" s="190"/>
      <c r="X258" s="190"/>
      <c r="Y258" s="190"/>
      <c r="Z258" s="190"/>
      <c r="AA258" s="190"/>
      <c r="AB258" s="190"/>
      <c r="AC258" s="190"/>
      <c r="AD258" s="190"/>
      <c r="AE258" s="190"/>
      <c r="AF258" s="190"/>
      <c r="AG258" s="190"/>
      <c r="AH258" s="190"/>
      <c r="AI258" s="190"/>
      <c r="AJ258" s="190"/>
    </row>
    <row r="259" spans="2:36">
      <c r="B259" s="6"/>
      <c r="C259" s="6"/>
      <c r="D259" s="345"/>
      <c r="E259" s="12"/>
      <c r="F259" s="6"/>
      <c r="G259" s="190"/>
      <c r="H259" s="190"/>
      <c r="I259" s="190"/>
      <c r="J259" s="190"/>
      <c r="K259" s="190"/>
      <c r="L259" s="190"/>
      <c r="M259" s="190"/>
      <c r="N259" s="190"/>
      <c r="O259" s="190"/>
      <c r="P259" s="190"/>
      <c r="Q259" s="190"/>
      <c r="R259" s="190"/>
      <c r="S259" s="190"/>
      <c r="T259" s="190"/>
      <c r="U259" s="190"/>
      <c r="V259" s="190"/>
      <c r="W259" s="190"/>
      <c r="X259" s="190"/>
      <c r="Y259" s="190"/>
      <c r="Z259" s="190"/>
      <c r="AA259" s="190"/>
      <c r="AB259" s="190"/>
      <c r="AC259" s="190"/>
      <c r="AD259" s="190"/>
      <c r="AE259" s="190"/>
      <c r="AF259" s="190"/>
      <c r="AG259" s="190"/>
      <c r="AH259" s="190"/>
      <c r="AI259" s="190"/>
      <c r="AJ259" s="190"/>
    </row>
    <row r="260" spans="2:36">
      <c r="B260" s="6"/>
      <c r="C260" s="6"/>
      <c r="D260" s="345"/>
      <c r="E260" s="12"/>
      <c r="F260" s="6"/>
      <c r="G260" s="190"/>
      <c r="H260" s="190"/>
      <c r="I260" s="190"/>
      <c r="J260" s="190"/>
      <c r="K260" s="190"/>
      <c r="L260" s="190"/>
      <c r="M260" s="190"/>
      <c r="N260" s="190"/>
      <c r="O260" s="190"/>
      <c r="P260" s="190"/>
      <c r="Q260" s="190"/>
      <c r="R260" s="190"/>
      <c r="S260" s="190"/>
      <c r="T260" s="190"/>
      <c r="U260" s="190"/>
      <c r="V260" s="190"/>
      <c r="W260" s="190"/>
      <c r="X260" s="190"/>
      <c r="Y260" s="190"/>
      <c r="Z260" s="190"/>
      <c r="AA260" s="190"/>
      <c r="AB260" s="190"/>
      <c r="AC260" s="190"/>
      <c r="AD260" s="190"/>
      <c r="AE260" s="190"/>
      <c r="AF260" s="190"/>
      <c r="AG260" s="190"/>
      <c r="AH260" s="190"/>
      <c r="AI260" s="190"/>
      <c r="AJ260" s="190"/>
    </row>
    <row r="261" spans="2:36">
      <c r="B261" s="6"/>
      <c r="C261" s="6"/>
      <c r="D261" s="345"/>
      <c r="E261" s="12"/>
      <c r="F261" s="6"/>
      <c r="G261" s="190"/>
      <c r="H261" s="190"/>
      <c r="I261" s="190"/>
      <c r="J261" s="190"/>
      <c r="K261" s="190"/>
      <c r="L261" s="190"/>
      <c r="M261" s="190"/>
      <c r="N261" s="190"/>
      <c r="O261" s="190"/>
      <c r="P261" s="190"/>
      <c r="Q261" s="190"/>
      <c r="R261" s="190"/>
      <c r="S261" s="190"/>
      <c r="T261" s="190"/>
      <c r="U261" s="190"/>
      <c r="V261" s="190"/>
      <c r="W261" s="190"/>
      <c r="X261" s="190"/>
      <c r="Y261" s="190"/>
      <c r="Z261" s="190"/>
      <c r="AA261" s="190"/>
      <c r="AB261" s="190"/>
      <c r="AC261" s="190"/>
      <c r="AD261" s="190"/>
      <c r="AE261" s="190"/>
      <c r="AF261" s="190"/>
      <c r="AG261" s="190"/>
      <c r="AH261" s="190"/>
      <c r="AI261" s="190"/>
      <c r="AJ261" s="190"/>
    </row>
    <row r="262" spans="2:36">
      <c r="B262" s="6"/>
      <c r="C262" s="6"/>
      <c r="D262" s="345"/>
      <c r="E262" s="12"/>
      <c r="F262" s="6"/>
      <c r="G262" s="190"/>
      <c r="H262" s="190"/>
      <c r="I262" s="190"/>
      <c r="J262" s="190"/>
      <c r="K262" s="190"/>
      <c r="L262" s="190"/>
      <c r="M262" s="190"/>
      <c r="N262" s="190"/>
      <c r="O262" s="190"/>
      <c r="P262" s="190"/>
      <c r="Q262" s="190"/>
      <c r="R262" s="190"/>
      <c r="S262" s="190"/>
      <c r="T262" s="190"/>
      <c r="U262" s="190"/>
      <c r="V262" s="190"/>
      <c r="W262" s="190"/>
      <c r="X262" s="190"/>
      <c r="Y262" s="190"/>
      <c r="Z262" s="190"/>
      <c r="AA262" s="190"/>
      <c r="AB262" s="190"/>
      <c r="AC262" s="190"/>
      <c r="AD262" s="190"/>
      <c r="AE262" s="190"/>
      <c r="AF262" s="190"/>
      <c r="AG262" s="190"/>
      <c r="AH262" s="190"/>
      <c r="AI262" s="190"/>
      <c r="AJ262" s="190"/>
    </row>
    <row r="263" spans="2:36">
      <c r="B263" s="6"/>
      <c r="C263" s="6"/>
      <c r="D263" s="345"/>
      <c r="E263" s="12"/>
      <c r="F263" s="6"/>
      <c r="G263" s="190"/>
      <c r="H263" s="190"/>
      <c r="I263" s="190"/>
      <c r="J263" s="190"/>
      <c r="K263" s="190"/>
      <c r="L263" s="190"/>
      <c r="M263" s="190"/>
      <c r="N263" s="190"/>
      <c r="O263" s="190"/>
      <c r="P263" s="190"/>
      <c r="Q263" s="190"/>
      <c r="R263" s="190"/>
      <c r="S263" s="190"/>
      <c r="T263" s="190"/>
      <c r="U263" s="190"/>
      <c r="V263" s="190"/>
      <c r="W263" s="190"/>
      <c r="X263" s="190"/>
      <c r="Y263" s="190"/>
      <c r="Z263" s="190"/>
      <c r="AA263" s="190"/>
      <c r="AB263" s="190"/>
      <c r="AC263" s="190"/>
      <c r="AD263" s="190"/>
      <c r="AE263" s="190"/>
      <c r="AF263" s="190"/>
      <c r="AG263" s="190"/>
      <c r="AH263" s="190"/>
      <c r="AI263" s="190"/>
      <c r="AJ263" s="190"/>
    </row>
    <row r="264" spans="2:36">
      <c r="B264" s="6"/>
      <c r="C264" s="6"/>
      <c r="D264" s="345"/>
      <c r="E264" s="12"/>
      <c r="F264" s="6"/>
      <c r="G264" s="190"/>
      <c r="H264" s="190"/>
      <c r="I264" s="190"/>
      <c r="J264" s="190"/>
      <c r="K264" s="190"/>
      <c r="L264" s="190"/>
      <c r="M264" s="190"/>
      <c r="N264" s="190"/>
      <c r="O264" s="190"/>
      <c r="P264" s="190"/>
      <c r="Q264" s="190"/>
      <c r="R264" s="190"/>
      <c r="S264" s="190"/>
      <c r="T264" s="190"/>
      <c r="U264" s="190"/>
      <c r="V264" s="190"/>
      <c r="W264" s="190"/>
      <c r="X264" s="190"/>
      <c r="Y264" s="190"/>
      <c r="Z264" s="190"/>
      <c r="AA264" s="190"/>
      <c r="AB264" s="190"/>
      <c r="AC264" s="190"/>
      <c r="AD264" s="190"/>
      <c r="AE264" s="190"/>
      <c r="AF264" s="190"/>
      <c r="AG264" s="190"/>
      <c r="AH264" s="190"/>
      <c r="AI264" s="190"/>
      <c r="AJ264" s="190"/>
    </row>
    <row r="265" spans="2:36">
      <c r="B265" s="6"/>
      <c r="C265" s="6"/>
      <c r="D265" s="345"/>
      <c r="E265" s="12"/>
      <c r="F265" s="6"/>
      <c r="G265" s="190"/>
      <c r="H265" s="190"/>
      <c r="I265" s="190"/>
      <c r="J265" s="190"/>
      <c r="K265" s="190"/>
      <c r="L265" s="190"/>
      <c r="M265" s="190"/>
      <c r="N265" s="190"/>
      <c r="O265" s="190"/>
      <c r="P265" s="190"/>
      <c r="Q265" s="190"/>
      <c r="R265" s="190"/>
      <c r="S265" s="190"/>
      <c r="T265" s="190"/>
      <c r="U265" s="190"/>
      <c r="V265" s="190"/>
      <c r="W265" s="190"/>
      <c r="X265" s="190"/>
      <c r="Y265" s="190"/>
      <c r="Z265" s="190"/>
      <c r="AA265" s="190"/>
      <c r="AB265" s="190"/>
      <c r="AC265" s="190"/>
      <c r="AD265" s="190"/>
      <c r="AE265" s="190"/>
      <c r="AF265" s="190"/>
      <c r="AG265" s="190"/>
      <c r="AH265" s="190"/>
      <c r="AI265" s="190"/>
      <c r="AJ265" s="190"/>
    </row>
    <row r="266" spans="2:36">
      <c r="B266" s="6"/>
      <c r="C266" s="6"/>
      <c r="D266" s="345"/>
      <c r="E266" s="12"/>
      <c r="F266" s="6"/>
      <c r="G266" s="190"/>
      <c r="H266" s="190"/>
      <c r="I266" s="190"/>
      <c r="J266" s="190"/>
      <c r="K266" s="190"/>
      <c r="L266" s="190"/>
      <c r="M266" s="190"/>
      <c r="N266" s="190"/>
      <c r="O266" s="190"/>
      <c r="P266" s="190"/>
      <c r="Q266" s="190"/>
      <c r="R266" s="190"/>
      <c r="S266" s="190"/>
      <c r="T266" s="190"/>
      <c r="U266" s="190"/>
      <c r="V266" s="190"/>
      <c r="W266" s="190"/>
      <c r="X266" s="190"/>
      <c r="Y266" s="190"/>
      <c r="Z266" s="190"/>
      <c r="AA266" s="190"/>
      <c r="AB266" s="190"/>
      <c r="AC266" s="190"/>
      <c r="AD266" s="190"/>
      <c r="AE266" s="190"/>
      <c r="AF266" s="190"/>
      <c r="AG266" s="190"/>
      <c r="AH266" s="190"/>
      <c r="AI266" s="190"/>
      <c r="AJ266" s="190"/>
    </row>
    <row r="267" spans="2:36">
      <c r="B267" s="6"/>
      <c r="C267" s="6"/>
      <c r="D267" s="345"/>
      <c r="E267" s="12"/>
      <c r="F267" s="6"/>
      <c r="G267" s="190"/>
      <c r="H267" s="190"/>
      <c r="I267" s="190"/>
      <c r="J267" s="190"/>
      <c r="K267" s="190"/>
      <c r="L267" s="190"/>
      <c r="M267" s="190"/>
      <c r="N267" s="190"/>
      <c r="O267" s="190"/>
      <c r="P267" s="190"/>
      <c r="Q267" s="190"/>
      <c r="R267" s="190"/>
      <c r="S267" s="190"/>
      <c r="T267" s="190"/>
      <c r="U267" s="190"/>
      <c r="V267" s="190"/>
      <c r="W267" s="190"/>
      <c r="X267" s="190"/>
      <c r="Y267" s="190"/>
      <c r="Z267" s="190"/>
      <c r="AA267" s="190"/>
      <c r="AB267" s="190"/>
      <c r="AC267" s="190"/>
      <c r="AD267" s="190"/>
      <c r="AE267" s="190"/>
      <c r="AF267" s="190"/>
      <c r="AG267" s="190"/>
      <c r="AH267" s="190"/>
      <c r="AI267" s="190"/>
      <c r="AJ267" s="190"/>
    </row>
    <row r="268" spans="2:36">
      <c r="B268" s="6"/>
      <c r="C268" s="6"/>
      <c r="D268" s="345"/>
      <c r="E268" s="12"/>
      <c r="F268" s="6"/>
      <c r="G268" s="190"/>
      <c r="H268" s="190"/>
      <c r="I268" s="190"/>
      <c r="J268" s="190"/>
      <c r="K268" s="190"/>
      <c r="L268" s="190"/>
      <c r="M268" s="190"/>
      <c r="N268" s="190"/>
      <c r="O268" s="190"/>
      <c r="P268" s="190"/>
      <c r="Q268" s="190"/>
      <c r="R268" s="190"/>
      <c r="S268" s="190"/>
      <c r="T268" s="190"/>
      <c r="U268" s="190"/>
      <c r="V268" s="190"/>
      <c r="W268" s="190"/>
      <c r="X268" s="190"/>
      <c r="Y268" s="190"/>
      <c r="Z268" s="190"/>
      <c r="AA268" s="190"/>
      <c r="AB268" s="190"/>
      <c r="AC268" s="190"/>
      <c r="AD268" s="190"/>
      <c r="AE268" s="190"/>
      <c r="AF268" s="190"/>
      <c r="AG268" s="190"/>
      <c r="AH268" s="190"/>
      <c r="AI268" s="190"/>
      <c r="AJ268" s="190"/>
    </row>
    <row r="269" spans="2:36">
      <c r="B269" s="6"/>
      <c r="C269" s="6"/>
      <c r="D269" s="345"/>
      <c r="E269" s="12"/>
      <c r="F269" s="6"/>
      <c r="G269" s="190"/>
      <c r="H269" s="190"/>
      <c r="I269" s="190"/>
      <c r="J269" s="190"/>
      <c r="K269" s="190"/>
      <c r="L269" s="190"/>
      <c r="M269" s="190"/>
      <c r="N269" s="190"/>
      <c r="O269" s="190"/>
      <c r="P269" s="190"/>
      <c r="Q269" s="190"/>
      <c r="R269" s="190"/>
      <c r="S269" s="190"/>
      <c r="T269" s="190"/>
      <c r="U269" s="190"/>
      <c r="V269" s="190"/>
      <c r="W269" s="190"/>
      <c r="X269" s="190"/>
      <c r="Y269" s="190"/>
      <c r="Z269" s="190"/>
      <c r="AA269" s="190"/>
      <c r="AB269" s="190"/>
      <c r="AC269" s="190"/>
      <c r="AD269" s="190"/>
      <c r="AE269" s="190"/>
      <c r="AF269" s="190"/>
      <c r="AG269" s="190"/>
      <c r="AH269" s="190"/>
      <c r="AI269" s="190"/>
      <c r="AJ269" s="190"/>
    </row>
    <row r="270" spans="2:36">
      <c r="B270" s="6"/>
      <c r="C270" s="6"/>
      <c r="D270" s="345"/>
      <c r="E270" s="12"/>
      <c r="F270" s="6"/>
      <c r="G270" s="190"/>
      <c r="H270" s="190"/>
      <c r="I270" s="190"/>
      <c r="J270" s="190"/>
      <c r="K270" s="190"/>
      <c r="L270" s="190"/>
      <c r="M270" s="190"/>
      <c r="N270" s="190"/>
      <c r="O270" s="190"/>
      <c r="P270" s="190"/>
      <c r="Q270" s="190"/>
      <c r="R270" s="190"/>
      <c r="S270" s="190"/>
      <c r="T270" s="190"/>
      <c r="U270" s="190"/>
      <c r="V270" s="190"/>
      <c r="W270" s="190"/>
      <c r="X270" s="190"/>
      <c r="Y270" s="190"/>
      <c r="Z270" s="190"/>
      <c r="AA270" s="190"/>
      <c r="AB270" s="190"/>
      <c r="AC270" s="190"/>
      <c r="AD270" s="190"/>
      <c r="AE270" s="190"/>
      <c r="AF270" s="190"/>
      <c r="AG270" s="190"/>
      <c r="AH270" s="190"/>
      <c r="AI270" s="190"/>
      <c r="AJ270" s="190"/>
    </row>
    <row r="271" spans="2:36">
      <c r="B271" s="6"/>
      <c r="C271" s="6"/>
      <c r="D271" s="345"/>
      <c r="E271" s="12"/>
      <c r="F271" s="6"/>
      <c r="G271" s="190"/>
      <c r="H271" s="190"/>
      <c r="I271" s="190"/>
      <c r="J271" s="190"/>
      <c r="K271" s="190"/>
      <c r="L271" s="190"/>
      <c r="M271" s="190"/>
      <c r="N271" s="190"/>
      <c r="O271" s="190"/>
      <c r="P271" s="190"/>
      <c r="Q271" s="190"/>
      <c r="R271" s="190"/>
      <c r="S271" s="190"/>
      <c r="T271" s="190"/>
      <c r="U271" s="190"/>
      <c r="V271" s="190"/>
      <c r="W271" s="190"/>
      <c r="X271" s="190"/>
      <c r="Y271" s="190"/>
      <c r="Z271" s="190"/>
      <c r="AA271" s="190"/>
      <c r="AB271" s="190"/>
      <c r="AC271" s="190"/>
      <c r="AD271" s="190"/>
      <c r="AE271" s="190"/>
      <c r="AF271" s="190"/>
      <c r="AG271" s="190"/>
      <c r="AH271" s="190"/>
      <c r="AI271" s="190"/>
      <c r="AJ271" s="190"/>
    </row>
    <row r="272" spans="2:36">
      <c r="B272" s="6"/>
      <c r="C272" s="6"/>
      <c r="D272" s="345"/>
      <c r="E272" s="12"/>
      <c r="F272" s="6"/>
      <c r="G272" s="190"/>
      <c r="H272" s="190"/>
      <c r="I272" s="190"/>
      <c r="J272" s="190"/>
      <c r="K272" s="190"/>
      <c r="L272" s="190"/>
      <c r="M272" s="190"/>
      <c r="N272" s="190"/>
      <c r="O272" s="190"/>
      <c r="P272" s="190"/>
      <c r="Q272" s="190"/>
      <c r="R272" s="190"/>
      <c r="S272" s="190"/>
      <c r="T272" s="190"/>
      <c r="U272" s="190"/>
      <c r="V272" s="190"/>
      <c r="W272" s="190"/>
      <c r="X272" s="190"/>
      <c r="Y272" s="190"/>
      <c r="Z272" s="190"/>
      <c r="AA272" s="190"/>
      <c r="AB272" s="190"/>
      <c r="AC272" s="190"/>
      <c r="AD272" s="190"/>
      <c r="AE272" s="190"/>
      <c r="AF272" s="190"/>
      <c r="AG272" s="190"/>
      <c r="AH272" s="190"/>
      <c r="AI272" s="190"/>
      <c r="AJ272" s="190"/>
    </row>
    <row r="273" spans="2:36">
      <c r="B273" s="6"/>
      <c r="C273" s="6"/>
      <c r="D273" s="345"/>
      <c r="E273" s="12"/>
      <c r="F273" s="6"/>
      <c r="G273" s="190"/>
      <c r="H273" s="190"/>
      <c r="I273" s="190"/>
      <c r="J273" s="190"/>
      <c r="K273" s="190"/>
      <c r="L273" s="190"/>
      <c r="M273" s="190"/>
      <c r="N273" s="190"/>
      <c r="O273" s="190"/>
      <c r="P273" s="190"/>
      <c r="Q273" s="190"/>
      <c r="R273" s="190"/>
      <c r="S273" s="190"/>
      <c r="T273" s="190"/>
      <c r="U273" s="190"/>
      <c r="V273" s="190"/>
      <c r="W273" s="190"/>
      <c r="X273" s="190"/>
      <c r="Y273" s="190"/>
      <c r="Z273" s="190"/>
      <c r="AA273" s="190"/>
      <c r="AB273" s="190"/>
      <c r="AC273" s="190"/>
      <c r="AD273" s="190"/>
      <c r="AE273" s="190"/>
      <c r="AF273" s="190"/>
      <c r="AG273" s="190"/>
      <c r="AH273" s="190"/>
      <c r="AI273" s="190"/>
      <c r="AJ273" s="190"/>
    </row>
    <row r="274" spans="2:36">
      <c r="B274" s="6"/>
      <c r="C274" s="6"/>
      <c r="D274" s="345"/>
      <c r="E274" s="12"/>
      <c r="F274" s="6"/>
      <c r="G274" s="190"/>
      <c r="H274" s="190"/>
      <c r="I274" s="190"/>
      <c r="J274" s="190"/>
      <c r="K274" s="190"/>
      <c r="L274" s="190"/>
      <c r="M274" s="190"/>
      <c r="N274" s="190"/>
      <c r="O274" s="190"/>
      <c r="P274" s="190"/>
      <c r="Q274" s="190"/>
      <c r="R274" s="190"/>
      <c r="S274" s="190"/>
      <c r="T274" s="190"/>
      <c r="U274" s="190"/>
      <c r="V274" s="190"/>
      <c r="W274" s="190"/>
      <c r="X274" s="190"/>
      <c r="Y274" s="190"/>
      <c r="Z274" s="190"/>
      <c r="AA274" s="190"/>
      <c r="AB274" s="190"/>
      <c r="AC274" s="190"/>
      <c r="AD274" s="190"/>
      <c r="AE274" s="190"/>
      <c r="AF274" s="190"/>
      <c r="AG274" s="190"/>
      <c r="AH274" s="190"/>
      <c r="AI274" s="190"/>
      <c r="AJ274" s="190"/>
    </row>
    <row r="275" spans="2:36">
      <c r="B275" s="6"/>
      <c r="C275" s="6"/>
      <c r="D275" s="345"/>
      <c r="E275" s="12"/>
      <c r="F275" s="6"/>
      <c r="G275" s="190"/>
      <c r="H275" s="190"/>
      <c r="I275" s="190"/>
      <c r="J275" s="190"/>
      <c r="K275" s="190"/>
      <c r="L275" s="190"/>
      <c r="M275" s="190"/>
      <c r="N275" s="190"/>
      <c r="O275" s="190"/>
      <c r="P275" s="190"/>
      <c r="Q275" s="190"/>
      <c r="R275" s="190"/>
      <c r="S275" s="190"/>
      <c r="T275" s="190"/>
      <c r="U275" s="190"/>
      <c r="V275" s="190"/>
      <c r="W275" s="190"/>
      <c r="X275" s="190"/>
      <c r="Y275" s="190"/>
      <c r="Z275" s="190"/>
      <c r="AA275" s="190"/>
      <c r="AB275" s="190"/>
      <c r="AC275" s="190"/>
      <c r="AD275" s="190"/>
      <c r="AE275" s="190"/>
      <c r="AF275" s="190"/>
      <c r="AG275" s="190"/>
      <c r="AH275" s="190"/>
      <c r="AI275" s="190"/>
      <c r="AJ275" s="190"/>
    </row>
    <row r="276" spans="2:36">
      <c r="B276" s="6"/>
      <c r="C276" s="6"/>
      <c r="D276" s="345"/>
      <c r="E276" s="12"/>
      <c r="F276" s="6"/>
      <c r="G276" s="190"/>
      <c r="H276" s="190"/>
      <c r="I276" s="190"/>
      <c r="J276" s="190"/>
      <c r="K276" s="190"/>
      <c r="L276" s="190"/>
      <c r="M276" s="190"/>
      <c r="N276" s="190"/>
      <c r="O276" s="190"/>
      <c r="P276" s="190"/>
      <c r="Q276" s="190"/>
      <c r="R276" s="190"/>
      <c r="S276" s="190"/>
      <c r="T276" s="190"/>
      <c r="U276" s="190"/>
      <c r="V276" s="190"/>
      <c r="W276" s="190"/>
      <c r="X276" s="190"/>
      <c r="Y276" s="190"/>
      <c r="Z276" s="190"/>
      <c r="AA276" s="190"/>
      <c r="AB276" s="190"/>
      <c r="AC276" s="190"/>
      <c r="AD276" s="190"/>
      <c r="AE276" s="190"/>
      <c r="AF276" s="190"/>
      <c r="AG276" s="190"/>
      <c r="AH276" s="190"/>
      <c r="AI276" s="190"/>
      <c r="AJ276" s="190"/>
    </row>
    <row r="277" spans="2:36">
      <c r="B277" s="6"/>
      <c r="C277" s="6"/>
      <c r="D277" s="345"/>
      <c r="E277" s="12"/>
      <c r="F277" s="6"/>
      <c r="G277" s="190"/>
      <c r="H277" s="190"/>
      <c r="I277" s="190"/>
      <c r="J277" s="190"/>
      <c r="K277" s="190"/>
      <c r="L277" s="190"/>
      <c r="M277" s="190"/>
      <c r="N277" s="190"/>
      <c r="O277" s="190"/>
      <c r="P277" s="190"/>
      <c r="Q277" s="190"/>
      <c r="R277" s="190"/>
      <c r="S277" s="190"/>
      <c r="T277" s="190"/>
      <c r="U277" s="190"/>
      <c r="V277" s="190"/>
      <c r="W277" s="190"/>
      <c r="X277" s="190"/>
      <c r="Y277" s="190"/>
      <c r="Z277" s="190"/>
      <c r="AA277" s="190"/>
      <c r="AB277" s="190"/>
      <c r="AC277" s="190"/>
      <c r="AD277" s="190"/>
      <c r="AE277" s="190"/>
      <c r="AF277" s="190"/>
      <c r="AG277" s="190"/>
      <c r="AH277" s="190"/>
      <c r="AI277" s="190"/>
      <c r="AJ277" s="190"/>
    </row>
    <row r="278" spans="2:36">
      <c r="B278" s="6"/>
      <c r="C278" s="6"/>
      <c r="D278" s="345"/>
      <c r="E278" s="12"/>
      <c r="F278" s="6"/>
      <c r="G278" s="190"/>
      <c r="H278" s="190"/>
      <c r="I278" s="190"/>
      <c r="J278" s="190"/>
      <c r="K278" s="190"/>
      <c r="L278" s="190"/>
      <c r="M278" s="190"/>
      <c r="N278" s="190"/>
      <c r="O278" s="190"/>
      <c r="P278" s="190"/>
      <c r="Q278" s="190"/>
      <c r="R278" s="190"/>
      <c r="S278" s="190"/>
      <c r="T278" s="190"/>
      <c r="U278" s="190"/>
      <c r="V278" s="190"/>
      <c r="W278" s="190"/>
      <c r="X278" s="190"/>
      <c r="Y278" s="190"/>
      <c r="Z278" s="190"/>
      <c r="AA278" s="190"/>
      <c r="AB278" s="190"/>
      <c r="AC278" s="190"/>
      <c r="AD278" s="190"/>
      <c r="AE278" s="190"/>
      <c r="AF278" s="190"/>
      <c r="AG278" s="190"/>
      <c r="AH278" s="190"/>
      <c r="AI278" s="190"/>
      <c r="AJ278" s="190"/>
    </row>
    <row r="279" spans="2:36">
      <c r="B279" s="6"/>
      <c r="C279" s="6"/>
      <c r="D279" s="345"/>
      <c r="E279" s="12"/>
      <c r="F279" s="6"/>
      <c r="G279" s="190"/>
      <c r="H279" s="190"/>
      <c r="I279" s="190"/>
      <c r="J279" s="190"/>
      <c r="K279" s="190"/>
      <c r="L279" s="190"/>
      <c r="M279" s="190"/>
      <c r="N279" s="190"/>
      <c r="O279" s="190"/>
      <c r="P279" s="190"/>
      <c r="Q279" s="190"/>
      <c r="R279" s="190"/>
      <c r="S279" s="190"/>
      <c r="T279" s="190"/>
      <c r="U279" s="190"/>
      <c r="V279" s="190"/>
      <c r="W279" s="190"/>
      <c r="X279" s="190"/>
      <c r="Y279" s="190"/>
      <c r="Z279" s="190"/>
      <c r="AA279" s="190"/>
      <c r="AB279" s="190"/>
      <c r="AC279" s="190"/>
      <c r="AD279" s="190"/>
      <c r="AE279" s="190"/>
      <c r="AF279" s="190"/>
      <c r="AG279" s="190"/>
      <c r="AH279" s="190"/>
      <c r="AI279" s="190"/>
      <c r="AJ279" s="190"/>
    </row>
    <row r="280" spans="2:36">
      <c r="B280" s="6"/>
      <c r="C280" s="6"/>
      <c r="D280" s="345"/>
      <c r="E280" s="12"/>
      <c r="F280" s="6"/>
      <c r="G280" s="190"/>
      <c r="H280" s="190"/>
      <c r="I280" s="190"/>
      <c r="J280" s="190"/>
      <c r="K280" s="190"/>
      <c r="L280" s="190"/>
      <c r="M280" s="190"/>
      <c r="N280" s="190"/>
      <c r="O280" s="190"/>
      <c r="P280" s="190"/>
      <c r="Q280" s="190"/>
      <c r="R280" s="190"/>
      <c r="S280" s="190"/>
      <c r="T280" s="190"/>
      <c r="U280" s="190"/>
      <c r="V280" s="190"/>
      <c r="W280" s="190"/>
      <c r="X280" s="190"/>
      <c r="Y280" s="190"/>
      <c r="Z280" s="190"/>
      <c r="AA280" s="190"/>
      <c r="AB280" s="190"/>
      <c r="AC280" s="190"/>
      <c r="AD280" s="190"/>
      <c r="AE280" s="190"/>
      <c r="AF280" s="190"/>
      <c r="AG280" s="190"/>
      <c r="AH280" s="190"/>
      <c r="AI280" s="190"/>
      <c r="AJ280" s="190"/>
    </row>
    <row r="281" spans="2:36">
      <c r="B281" s="6"/>
      <c r="C281" s="6"/>
      <c r="D281" s="345"/>
      <c r="E281" s="12"/>
      <c r="F281" s="6"/>
      <c r="G281" s="190"/>
      <c r="H281" s="190"/>
      <c r="I281" s="190"/>
      <c r="J281" s="190"/>
      <c r="K281" s="190"/>
      <c r="L281" s="190"/>
      <c r="M281" s="190"/>
      <c r="N281" s="190"/>
      <c r="O281" s="190"/>
      <c r="P281" s="190"/>
      <c r="Q281" s="190"/>
      <c r="R281" s="190"/>
      <c r="S281" s="190"/>
      <c r="T281" s="190"/>
      <c r="U281" s="190"/>
      <c r="V281" s="190"/>
      <c r="W281" s="190"/>
      <c r="X281" s="190"/>
      <c r="Y281" s="190"/>
      <c r="Z281" s="190"/>
      <c r="AA281" s="190"/>
      <c r="AB281" s="190"/>
      <c r="AC281" s="190"/>
      <c r="AD281" s="190"/>
      <c r="AE281" s="190"/>
      <c r="AF281" s="190"/>
      <c r="AG281" s="190"/>
      <c r="AH281" s="190"/>
      <c r="AI281" s="190"/>
      <c r="AJ281" s="190"/>
    </row>
    <row r="282" spans="2:36">
      <c r="B282" s="6"/>
      <c r="C282" s="6"/>
      <c r="D282" s="345"/>
      <c r="E282" s="12"/>
      <c r="F282" s="6"/>
      <c r="G282" s="190"/>
      <c r="H282" s="190"/>
      <c r="I282" s="190"/>
      <c r="J282" s="190"/>
      <c r="K282" s="190"/>
      <c r="L282" s="190"/>
      <c r="M282" s="190"/>
      <c r="N282" s="190"/>
      <c r="O282" s="190"/>
      <c r="P282" s="190"/>
      <c r="Q282" s="190"/>
      <c r="R282" s="190"/>
      <c r="S282" s="190"/>
      <c r="T282" s="190"/>
      <c r="U282" s="190"/>
      <c r="V282" s="190"/>
      <c r="W282" s="190"/>
      <c r="X282" s="190"/>
      <c r="Y282" s="190"/>
      <c r="Z282" s="190"/>
      <c r="AA282" s="190"/>
      <c r="AB282" s="190"/>
      <c r="AC282" s="190"/>
      <c r="AD282" s="190"/>
      <c r="AE282" s="190"/>
      <c r="AF282" s="190"/>
      <c r="AG282" s="190"/>
      <c r="AH282" s="190"/>
      <c r="AI282" s="190"/>
      <c r="AJ282" s="190"/>
    </row>
    <row r="283" spans="2:36">
      <c r="B283" s="6"/>
      <c r="C283" s="6"/>
      <c r="D283" s="345"/>
      <c r="E283" s="12"/>
      <c r="F283" s="6"/>
      <c r="G283" s="190"/>
      <c r="H283" s="190"/>
      <c r="I283" s="190"/>
      <c r="J283" s="190"/>
      <c r="K283" s="190"/>
      <c r="L283" s="190"/>
      <c r="M283" s="190"/>
      <c r="N283" s="190"/>
      <c r="O283" s="190"/>
      <c r="P283" s="190"/>
      <c r="Q283" s="190"/>
      <c r="R283" s="190"/>
      <c r="S283" s="190"/>
      <c r="T283" s="190"/>
      <c r="U283" s="190"/>
      <c r="V283" s="190"/>
      <c r="W283" s="190"/>
      <c r="X283" s="190"/>
      <c r="Y283" s="190"/>
      <c r="Z283" s="190"/>
      <c r="AA283" s="190"/>
      <c r="AB283" s="190"/>
      <c r="AC283" s="190"/>
      <c r="AD283" s="190"/>
      <c r="AE283" s="190"/>
      <c r="AF283" s="190"/>
      <c r="AG283" s="190"/>
      <c r="AH283" s="190"/>
      <c r="AI283" s="190"/>
      <c r="AJ283" s="190"/>
    </row>
    <row r="284" spans="2:36">
      <c r="B284" s="6"/>
      <c r="C284" s="36"/>
      <c r="D284" s="345"/>
      <c r="E284" s="12"/>
      <c r="F284" s="6"/>
      <c r="G284" s="190"/>
      <c r="H284" s="190"/>
      <c r="I284" s="190"/>
      <c r="J284" s="190"/>
      <c r="K284" s="190"/>
      <c r="L284" s="190"/>
      <c r="M284" s="190"/>
      <c r="N284" s="190"/>
      <c r="O284" s="190"/>
      <c r="P284" s="190"/>
      <c r="Q284" s="190"/>
      <c r="R284" s="190"/>
      <c r="S284" s="190"/>
      <c r="T284" s="190"/>
      <c r="U284" s="190"/>
      <c r="V284" s="190"/>
      <c r="W284" s="190"/>
      <c r="X284" s="190"/>
      <c r="Y284" s="190"/>
      <c r="Z284" s="190"/>
      <c r="AA284" s="190"/>
      <c r="AB284" s="190"/>
      <c r="AC284" s="190"/>
      <c r="AD284" s="190"/>
      <c r="AE284" s="190"/>
      <c r="AF284" s="190"/>
      <c r="AG284" s="190"/>
      <c r="AH284" s="190"/>
      <c r="AI284" s="190"/>
      <c r="AJ284" s="190"/>
    </row>
    <row r="285" spans="2:36">
      <c r="B285" s="6"/>
      <c r="C285" s="6"/>
      <c r="D285" s="345"/>
      <c r="E285" s="12"/>
      <c r="F285" s="6"/>
      <c r="G285" s="190"/>
      <c r="H285" s="190"/>
      <c r="I285" s="190"/>
      <c r="J285" s="190"/>
      <c r="K285" s="190"/>
      <c r="L285" s="190"/>
      <c r="M285" s="190"/>
      <c r="N285" s="190"/>
      <c r="O285" s="190"/>
      <c r="P285" s="190"/>
      <c r="Q285" s="190"/>
      <c r="R285" s="190"/>
      <c r="S285" s="190"/>
      <c r="T285" s="190"/>
      <c r="U285" s="190"/>
      <c r="V285" s="190"/>
      <c r="W285" s="190"/>
      <c r="X285" s="190"/>
      <c r="Y285" s="190"/>
      <c r="Z285" s="190"/>
      <c r="AA285" s="190"/>
      <c r="AB285" s="190"/>
      <c r="AC285" s="190"/>
      <c r="AD285" s="190"/>
      <c r="AE285" s="190"/>
      <c r="AF285" s="190"/>
      <c r="AG285" s="190"/>
      <c r="AH285" s="190"/>
      <c r="AI285" s="190"/>
      <c r="AJ285" s="190"/>
    </row>
    <row r="286" spans="2:36">
      <c r="B286" s="6"/>
      <c r="C286" s="6"/>
      <c r="D286" s="345"/>
      <c r="E286" s="12"/>
      <c r="F286" s="6"/>
      <c r="G286" s="190"/>
      <c r="H286" s="190"/>
      <c r="I286" s="190"/>
      <c r="J286" s="190"/>
      <c r="K286" s="190"/>
      <c r="L286" s="190"/>
      <c r="M286" s="190"/>
      <c r="N286" s="190"/>
      <c r="O286" s="190"/>
      <c r="P286" s="190"/>
      <c r="Q286" s="190"/>
      <c r="R286" s="190"/>
      <c r="S286" s="190"/>
      <c r="T286" s="190"/>
      <c r="U286" s="190"/>
      <c r="V286" s="190"/>
      <c r="W286" s="190"/>
      <c r="X286" s="190"/>
      <c r="Y286" s="190"/>
      <c r="Z286" s="190"/>
      <c r="AA286" s="190"/>
      <c r="AB286" s="190"/>
      <c r="AC286" s="190"/>
      <c r="AD286" s="190"/>
      <c r="AE286" s="190"/>
      <c r="AF286" s="190"/>
      <c r="AG286" s="190"/>
      <c r="AH286" s="190"/>
      <c r="AI286" s="190"/>
      <c r="AJ286" s="190"/>
    </row>
    <row r="287" spans="2:36">
      <c r="B287" s="36"/>
      <c r="C287" s="6"/>
      <c r="D287" s="345"/>
      <c r="E287" s="12"/>
      <c r="F287" s="6"/>
      <c r="G287" s="190"/>
      <c r="H287" s="190"/>
      <c r="I287" s="190"/>
      <c r="J287" s="190"/>
      <c r="K287" s="190"/>
      <c r="L287" s="190"/>
      <c r="M287" s="190"/>
      <c r="N287" s="190"/>
      <c r="O287" s="190"/>
      <c r="P287" s="190"/>
      <c r="Q287" s="190"/>
      <c r="R287" s="190"/>
      <c r="S287" s="190"/>
      <c r="T287" s="190"/>
      <c r="U287" s="190"/>
      <c r="V287" s="190"/>
      <c r="W287" s="190"/>
      <c r="X287" s="190"/>
      <c r="Y287" s="190"/>
      <c r="Z287" s="190"/>
      <c r="AA287" s="190"/>
      <c r="AB287" s="190"/>
      <c r="AC287" s="190"/>
      <c r="AD287" s="190"/>
      <c r="AE287" s="190"/>
      <c r="AF287" s="190"/>
      <c r="AG287" s="190"/>
      <c r="AH287" s="190"/>
      <c r="AI287" s="190"/>
      <c r="AJ287" s="190"/>
    </row>
    <row r="288" spans="2:36">
      <c r="B288" s="485"/>
      <c r="C288" s="474"/>
      <c r="D288" s="345"/>
      <c r="E288" s="12"/>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151"/>
    </row>
    <row r="289" spans="2:36">
      <c r="B289" s="485"/>
      <c r="C289" s="451"/>
      <c r="D289" s="454"/>
      <c r="E289" s="222"/>
      <c r="F289" s="36"/>
      <c r="G289" s="452"/>
      <c r="H289" s="452"/>
      <c r="I289" s="452"/>
      <c r="J289" s="452"/>
      <c r="K289" s="452"/>
      <c r="L289" s="452"/>
      <c r="M289" s="452"/>
      <c r="N289" s="452"/>
      <c r="O289" s="452"/>
      <c r="P289" s="452"/>
      <c r="Q289" s="452"/>
      <c r="R289" s="452"/>
      <c r="S289" s="452"/>
      <c r="T289" s="452"/>
      <c r="U289" s="452"/>
      <c r="V289" s="452"/>
      <c r="W289" s="452"/>
      <c r="X289" s="452"/>
      <c r="Y289" s="452"/>
      <c r="Z289" s="452"/>
      <c r="AA289" s="452"/>
      <c r="AB289" s="452"/>
      <c r="AC289" s="452"/>
      <c r="AD289" s="452"/>
      <c r="AE289" s="452"/>
      <c r="AF289" s="452"/>
      <c r="AG289" s="452"/>
      <c r="AH289" s="452"/>
      <c r="AI289" s="452"/>
      <c r="AJ289" s="452"/>
    </row>
    <row r="290" spans="2:36">
      <c r="B290" s="485"/>
      <c r="C290" s="177"/>
      <c r="D290" s="345"/>
      <c r="E290" s="12"/>
      <c r="F290" s="6"/>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row>
    <row r="291" spans="2:36">
      <c r="B291" s="485"/>
      <c r="C291" s="177"/>
      <c r="D291" s="345"/>
      <c r="E291" s="12"/>
      <c r="F291" s="6"/>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row>
    <row r="292" spans="2:36">
      <c r="B292" s="485"/>
      <c r="C292" s="177"/>
      <c r="D292" s="345"/>
      <c r="E292" s="12"/>
      <c r="F292" s="6"/>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row>
    <row r="293" spans="2:36">
      <c r="B293" s="485"/>
      <c r="C293" s="177"/>
      <c r="D293" s="345"/>
      <c r="E293" s="12"/>
      <c r="F293" s="6"/>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row>
    <row r="294" spans="2:36">
      <c r="B294" s="485"/>
      <c r="C294" s="177"/>
      <c r="D294" s="345"/>
      <c r="E294" s="12"/>
      <c r="F294" s="6"/>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row>
    <row r="295" spans="2:36">
      <c r="B295" s="485"/>
      <c r="C295" s="177"/>
      <c r="D295" s="345"/>
      <c r="E295" s="12"/>
      <c r="F295" s="6"/>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row>
    <row r="296" spans="2:36">
      <c r="B296" s="485"/>
      <c r="C296" s="177"/>
      <c r="D296" s="345"/>
      <c r="E296" s="12"/>
      <c r="F296" s="6"/>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row>
    <row r="297" spans="2:36">
      <c r="B297" s="485"/>
      <c r="C297" s="177"/>
      <c r="D297" s="345"/>
      <c r="E297" s="12"/>
      <c r="F297" s="6"/>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row>
    <row r="298" spans="2:36">
      <c r="B298" s="485"/>
      <c r="C298" s="177"/>
      <c r="D298" s="345"/>
      <c r="E298" s="12"/>
      <c r="F298" s="6"/>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row>
    <row r="299" spans="2:36">
      <c r="B299" s="485"/>
      <c r="C299" s="177"/>
      <c r="D299" s="345"/>
      <c r="E299" s="12"/>
      <c r="F299" s="6"/>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row>
    <row r="300" spans="2:36">
      <c r="B300" s="485"/>
      <c r="C300" s="177"/>
      <c r="D300" s="345"/>
      <c r="E300" s="12"/>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151"/>
    </row>
    <row r="301" spans="2:36">
      <c r="B301" s="485"/>
      <c r="C301" s="177"/>
      <c r="D301" s="345"/>
      <c r="E301" s="12"/>
      <c r="F301" s="6"/>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row>
    <row r="302" spans="2:36">
      <c r="B302" s="485"/>
      <c r="C302" s="177"/>
      <c r="D302" s="345"/>
      <c r="E302" s="12"/>
      <c r="F302" s="6"/>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row>
    <row r="303" spans="2:36">
      <c r="B303" s="485"/>
      <c r="C303" s="177"/>
      <c r="D303" s="345"/>
      <c r="E303" s="12"/>
      <c r="F303" s="6"/>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row>
    <row r="304" spans="2:36">
      <c r="B304" s="485"/>
      <c r="C304" s="177"/>
      <c r="D304" s="345"/>
      <c r="E304" s="12"/>
      <c r="F304" s="6"/>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row>
    <row r="305" spans="2:36">
      <c r="B305" s="485"/>
      <c r="C305" s="177"/>
      <c r="D305" s="345"/>
      <c r="E305" s="12"/>
      <c r="F305" s="6"/>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row>
    <row r="306" spans="2:36">
      <c r="B306" s="485"/>
      <c r="C306" s="177"/>
      <c r="D306" s="345"/>
      <c r="E306" s="12"/>
      <c r="F306" s="6"/>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row>
    <row r="307" spans="2:36">
      <c r="B307" s="485"/>
      <c r="C307" s="177"/>
      <c r="D307" s="345"/>
      <c r="E307" s="12"/>
      <c r="F307" s="6"/>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row>
    <row r="308" spans="2:36">
      <c r="B308" s="485"/>
      <c r="C308" s="177"/>
      <c r="D308" s="345"/>
      <c r="E308" s="12"/>
      <c r="F308" s="6"/>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row>
    <row r="309" spans="2:36">
      <c r="B309" s="485"/>
      <c r="C309" s="177"/>
      <c r="D309" s="345"/>
      <c r="E309" s="12"/>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151"/>
    </row>
    <row r="310" spans="2:36">
      <c r="B310" s="485"/>
      <c r="C310" s="177"/>
      <c r="D310" s="345"/>
      <c r="E310" s="12"/>
      <c r="F310" s="6"/>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row>
    <row r="311" spans="2:36">
      <c r="B311" s="485"/>
      <c r="C311" s="177"/>
      <c r="D311" s="345"/>
      <c r="E311" s="12"/>
      <c r="F311" s="6"/>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row>
    <row r="312" spans="2:36">
      <c r="B312" s="485"/>
      <c r="C312" s="177"/>
      <c r="D312" s="345"/>
      <c r="E312" s="12"/>
      <c r="F312" s="6"/>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row>
    <row r="313" spans="2:36">
      <c r="B313" s="485"/>
      <c r="C313" s="177"/>
      <c r="D313" s="345"/>
      <c r="E313" s="12"/>
      <c r="F313" s="6"/>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row>
    <row r="314" spans="2:36">
      <c r="B314" s="485"/>
      <c r="C314" s="177"/>
      <c r="D314" s="345"/>
      <c r="E314" s="12"/>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row>
    <row r="315" spans="2:36">
      <c r="B315" s="485"/>
      <c r="C315" s="177"/>
      <c r="D315" s="345"/>
      <c r="E315" s="12"/>
      <c r="F315" s="6"/>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row>
    <row r="316" spans="2:36">
      <c r="B316" s="485"/>
      <c r="C316" s="177"/>
      <c r="D316" s="345"/>
      <c r="E316" s="12"/>
      <c r="F316" s="6"/>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row>
    <row r="317" spans="2:36">
      <c r="B317" s="485"/>
      <c r="C317" s="177"/>
      <c r="D317" s="345"/>
      <c r="E317" s="12"/>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row>
    <row r="318" spans="2:36">
      <c r="B318" s="485"/>
      <c r="C318" s="177"/>
      <c r="D318" s="345"/>
      <c r="E318" s="12"/>
      <c r="F318" s="6"/>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row>
    <row r="319" spans="2:36">
      <c r="B319" s="485"/>
      <c r="C319" s="177"/>
      <c r="D319" s="345"/>
      <c r="E319" s="12"/>
      <c r="F319" s="6"/>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row>
    <row r="320" spans="2:36">
      <c r="B320" s="485"/>
      <c r="C320" s="177"/>
      <c r="D320" s="345"/>
      <c r="E320" s="12"/>
      <c r="F320" s="6"/>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row>
    <row r="321" spans="2:36">
      <c r="B321" s="485"/>
      <c r="C321" s="177"/>
      <c r="D321" s="345"/>
      <c r="E321" s="12"/>
      <c r="F321" s="6"/>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row>
    <row r="322" spans="2:36">
      <c r="B322" s="485"/>
      <c r="C322" s="177"/>
      <c r="D322" s="345"/>
      <c r="E322" s="12"/>
      <c r="F322" s="6"/>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row>
    <row r="323" spans="2:36">
      <c r="B323" s="485"/>
      <c r="C323" s="177"/>
      <c r="D323" s="345"/>
      <c r="E323" s="12"/>
      <c r="F323" s="6"/>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row>
    <row r="324" spans="2:36">
      <c r="B324" s="485"/>
      <c r="C324" s="177"/>
      <c r="D324" s="345"/>
      <c r="E324" s="12"/>
      <c r="F324" s="6"/>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row>
    <row r="325" spans="2:36">
      <c r="B325" s="485"/>
      <c r="C325" s="177"/>
      <c r="D325" s="345"/>
      <c r="E325" s="12"/>
      <c r="F325" s="6"/>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row>
    <row r="326" spans="2:36">
      <c r="B326" s="485"/>
      <c r="C326" s="177"/>
      <c r="D326" s="345"/>
      <c r="E326" s="12"/>
      <c r="F326" s="6"/>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row>
    <row r="327" spans="2:36">
      <c r="B327" s="485"/>
      <c r="C327" s="177"/>
      <c r="D327" s="345"/>
      <c r="E327" s="12"/>
      <c r="F327" s="6"/>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row>
    <row r="328" spans="2:36">
      <c r="B328" s="485"/>
      <c r="C328" s="177"/>
      <c r="D328" s="345"/>
      <c r="E328" s="12"/>
      <c r="F328" s="6"/>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row>
    <row r="329" spans="2:36">
      <c r="B329" s="485"/>
      <c r="C329" s="177"/>
      <c r="D329" s="345"/>
      <c r="E329" s="12"/>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row>
    <row r="330" spans="2:36">
      <c r="B330" s="485"/>
      <c r="C330" s="177"/>
      <c r="D330" s="345"/>
      <c r="E330" s="12"/>
      <c r="F330" s="6"/>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row>
    <row r="331" spans="2:36">
      <c r="B331" s="485"/>
      <c r="C331" s="177"/>
      <c r="D331" s="345"/>
      <c r="E331" s="12"/>
      <c r="F331" s="6"/>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row>
    <row r="332" spans="2:36">
      <c r="B332" s="485"/>
      <c r="C332" s="177"/>
      <c r="D332" s="345"/>
      <c r="E332" s="12"/>
      <c r="F332" s="6"/>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row>
    <row r="333" spans="2:36">
      <c r="B333" s="485"/>
      <c r="C333" s="177"/>
      <c r="D333" s="345"/>
      <c r="E333" s="12"/>
      <c r="F333" s="6"/>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row>
    <row r="334" spans="2:36">
      <c r="B334" s="485"/>
      <c r="C334" s="177"/>
      <c r="D334" s="345"/>
      <c r="E334" s="12"/>
      <c r="F334" s="6"/>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row>
    <row r="335" spans="2:36">
      <c r="B335" s="485"/>
      <c r="C335" s="177"/>
      <c r="D335" s="345"/>
      <c r="E335" s="12"/>
      <c r="F335" s="6"/>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row>
    <row r="336" spans="2:36">
      <c r="B336" s="485"/>
      <c r="C336" s="177"/>
      <c r="D336" s="345"/>
      <c r="E336" s="12"/>
      <c r="F336" s="6"/>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row>
    <row r="337" spans="2:36">
      <c r="B337" s="485"/>
      <c r="C337" s="177"/>
      <c r="D337" s="345"/>
      <c r="E337" s="12"/>
      <c r="F337" s="6"/>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row>
    <row r="338" spans="2:36">
      <c r="B338" s="485"/>
      <c r="C338" s="177"/>
      <c r="D338" s="345"/>
      <c r="E338" s="12"/>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row>
    <row r="339" spans="2:36">
      <c r="B339" s="485"/>
      <c r="C339" s="177"/>
      <c r="D339" s="345"/>
      <c r="E339" s="12"/>
      <c r="F339" s="6"/>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row>
    <row r="340" spans="2:36">
      <c r="B340" s="485"/>
      <c r="C340" s="177"/>
      <c r="D340" s="345"/>
      <c r="E340" s="12"/>
      <c r="F340" s="6"/>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row>
    <row r="341" spans="2:36">
      <c r="B341" s="485"/>
      <c r="C341" s="177"/>
      <c r="D341" s="345"/>
      <c r="E341" s="12"/>
      <c r="F341" s="6"/>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row>
    <row r="342" spans="2:36">
      <c r="B342" s="485"/>
      <c r="C342" s="177"/>
      <c r="D342" s="345"/>
      <c r="E342" s="12"/>
      <c r="F342" s="6"/>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row>
    <row r="343" spans="2:36">
      <c r="B343" s="485"/>
      <c r="C343" s="177"/>
      <c r="D343" s="345"/>
      <c r="E343" s="12"/>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row>
    <row r="344" spans="2:36">
      <c r="B344" s="485"/>
      <c r="C344" s="177"/>
      <c r="D344" s="345"/>
      <c r="E344" s="12"/>
      <c r="F344" s="6"/>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row>
    <row r="345" spans="2:36">
      <c r="B345" s="485"/>
      <c r="C345" s="177"/>
      <c r="D345" s="345"/>
      <c r="E345" s="12"/>
      <c r="F345" s="6"/>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row>
    <row r="346" spans="2:36">
      <c r="B346" s="485"/>
      <c r="C346" s="177"/>
      <c r="D346" s="345"/>
      <c r="E346" s="12"/>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row>
    <row r="347" spans="2:36">
      <c r="B347" s="485"/>
      <c r="C347" s="177"/>
      <c r="D347" s="345"/>
      <c r="E347" s="12"/>
      <c r="F347" s="6"/>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row>
    <row r="348" spans="2:36">
      <c r="B348" s="485"/>
      <c r="C348" s="177"/>
      <c r="D348" s="345"/>
      <c r="E348" s="12"/>
      <c r="F348" s="6"/>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row>
    <row r="349" spans="2:36">
      <c r="B349" s="485"/>
      <c r="C349" s="177"/>
      <c r="D349" s="345"/>
      <c r="E349" s="12"/>
      <c r="F349" s="6"/>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row>
    <row r="350" spans="2:36">
      <c r="B350" s="485"/>
      <c r="C350" s="177"/>
      <c r="D350" s="345"/>
      <c r="E350" s="12"/>
      <c r="F350" s="6"/>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row>
    <row r="351" spans="2:36">
      <c r="B351" s="485"/>
      <c r="C351" s="177"/>
      <c r="D351" s="345"/>
      <c r="E351" s="12"/>
      <c r="F351" s="6"/>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row>
    <row r="352" spans="2:36">
      <c r="B352" s="485"/>
      <c r="C352" s="177"/>
      <c r="D352" s="345"/>
      <c r="E352" s="12"/>
      <c r="F352" s="6"/>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row>
    <row r="353" spans="2:36">
      <c r="B353" s="485"/>
      <c r="C353" s="177"/>
      <c r="D353" s="345"/>
      <c r="E353" s="12"/>
      <c r="F353" s="6"/>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row>
    <row r="354" spans="2:36">
      <c r="B354" s="485"/>
      <c r="C354" s="177"/>
      <c r="D354" s="345"/>
      <c r="E354" s="12"/>
      <c r="F354" s="6"/>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row>
    <row r="355" spans="2:36">
      <c r="B355" s="485"/>
      <c r="C355" s="177"/>
      <c r="D355" s="345"/>
      <c r="E355" s="12"/>
      <c r="F355" s="6"/>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row>
    <row r="356" spans="2:36">
      <c r="B356" s="485"/>
      <c r="C356" s="177"/>
      <c r="D356" s="345"/>
      <c r="E356" s="12"/>
      <c r="F356" s="6"/>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row>
    <row r="357" spans="2:36">
      <c r="B357" s="485"/>
      <c r="C357" s="177"/>
      <c r="D357" s="345"/>
      <c r="E357" s="12"/>
      <c r="F357" s="6"/>
      <c r="G357" s="190"/>
      <c r="H357" s="190"/>
      <c r="I357" s="190"/>
      <c r="J357" s="190"/>
      <c r="K357" s="190"/>
      <c r="L357" s="190"/>
      <c r="M357" s="190"/>
      <c r="N357" s="190"/>
      <c r="O357" s="190"/>
      <c r="P357" s="190"/>
      <c r="Q357" s="190"/>
      <c r="R357" s="190"/>
      <c r="S357" s="190"/>
      <c r="T357" s="190"/>
      <c r="U357" s="190"/>
      <c r="V357" s="190"/>
      <c r="W357" s="190"/>
      <c r="X357" s="190"/>
      <c r="Y357" s="190"/>
      <c r="Z357" s="190"/>
      <c r="AA357" s="190"/>
      <c r="AB357" s="190"/>
      <c r="AC357" s="190"/>
      <c r="AD357" s="190"/>
      <c r="AE357" s="190"/>
      <c r="AF357" s="190"/>
      <c r="AG357" s="190"/>
      <c r="AH357" s="190"/>
      <c r="AI357" s="190"/>
      <c r="AJ357" s="190"/>
    </row>
    <row r="358" spans="2:36">
      <c r="B358" s="486"/>
      <c r="C358" s="177"/>
      <c r="D358" s="345"/>
      <c r="E358" s="12"/>
      <c r="F358" s="6"/>
      <c r="G358" s="190"/>
      <c r="H358" s="190"/>
      <c r="I358" s="190"/>
      <c r="J358" s="190"/>
      <c r="K358" s="190"/>
      <c r="L358" s="190"/>
      <c r="M358" s="190"/>
      <c r="N358" s="190"/>
      <c r="O358" s="190"/>
      <c r="P358" s="190"/>
      <c r="Q358" s="190"/>
      <c r="R358" s="190"/>
      <c r="S358" s="190"/>
      <c r="T358" s="190"/>
      <c r="U358" s="190"/>
      <c r="V358" s="190"/>
      <c r="W358" s="190"/>
      <c r="X358" s="190"/>
      <c r="Y358" s="190"/>
      <c r="Z358" s="190"/>
      <c r="AA358" s="190"/>
      <c r="AB358" s="190"/>
      <c r="AC358" s="190"/>
      <c r="AD358" s="190"/>
      <c r="AE358" s="190"/>
      <c r="AF358" s="190"/>
      <c r="AG358" s="190"/>
      <c r="AH358" s="190"/>
      <c r="AI358" s="190"/>
      <c r="AJ358" s="190"/>
    </row>
    <row r="359" spans="2:36">
      <c r="B359" s="485"/>
      <c r="C359" s="177"/>
      <c r="D359" s="345"/>
      <c r="E359" s="12"/>
      <c r="F359" s="6"/>
      <c r="G359" s="447"/>
      <c r="H359" s="447"/>
      <c r="I359" s="447"/>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row>
    <row r="360" spans="2:36">
      <c r="B360" s="485"/>
      <c r="C360" s="177"/>
      <c r="D360" s="345"/>
      <c r="E360" s="12"/>
      <c r="F360" s="6"/>
      <c r="G360" s="190"/>
      <c r="H360" s="190"/>
      <c r="I360" s="190"/>
      <c r="J360" s="190"/>
      <c r="K360" s="190"/>
      <c r="L360" s="190"/>
      <c r="M360" s="190"/>
      <c r="N360" s="190"/>
      <c r="O360" s="190"/>
      <c r="P360" s="190"/>
      <c r="Q360" s="190"/>
      <c r="R360" s="190"/>
      <c r="S360" s="190"/>
      <c r="T360" s="190"/>
      <c r="U360" s="190"/>
      <c r="V360" s="190"/>
      <c r="W360" s="190"/>
      <c r="X360" s="190"/>
      <c r="Y360" s="190"/>
      <c r="Z360" s="190"/>
      <c r="AA360" s="190"/>
      <c r="AB360" s="190"/>
      <c r="AC360" s="190"/>
      <c r="AD360" s="190"/>
      <c r="AE360" s="190"/>
      <c r="AF360" s="190"/>
      <c r="AG360" s="190"/>
      <c r="AH360" s="190"/>
      <c r="AI360" s="190"/>
      <c r="AJ360" s="190"/>
    </row>
    <row r="361" spans="2:36">
      <c r="B361" s="485"/>
      <c r="C361" s="455"/>
      <c r="D361" s="345"/>
      <c r="E361" s="12"/>
      <c r="F361" s="6"/>
      <c r="G361" s="190"/>
      <c r="H361" s="190"/>
      <c r="I361" s="190"/>
      <c r="J361" s="190"/>
      <c r="K361" s="190"/>
      <c r="L361" s="190"/>
      <c r="M361" s="190"/>
      <c r="N361" s="190"/>
      <c r="O361" s="190"/>
      <c r="P361" s="190"/>
      <c r="Q361" s="190"/>
      <c r="R361" s="190"/>
      <c r="S361" s="190"/>
      <c r="T361" s="190"/>
      <c r="U361" s="190"/>
      <c r="V361" s="190"/>
      <c r="W361" s="190"/>
      <c r="X361" s="190"/>
      <c r="Y361" s="190"/>
      <c r="Z361" s="190"/>
      <c r="AA361" s="190"/>
      <c r="AB361" s="190"/>
      <c r="AC361" s="190"/>
      <c r="AD361" s="190"/>
      <c r="AE361" s="190"/>
      <c r="AF361" s="190"/>
      <c r="AG361" s="190"/>
      <c r="AH361" s="190"/>
      <c r="AI361" s="190"/>
      <c r="AJ361" s="190"/>
    </row>
    <row r="362" spans="2:36">
      <c r="B362" s="485"/>
      <c r="C362" s="177"/>
      <c r="D362" s="345"/>
      <c r="E362" s="12"/>
      <c r="F362" s="6"/>
      <c r="G362" s="190"/>
      <c r="H362" s="190"/>
      <c r="I362" s="190"/>
      <c r="J362" s="190"/>
      <c r="K362" s="190"/>
      <c r="L362" s="190"/>
      <c r="M362" s="190"/>
      <c r="N362" s="190"/>
      <c r="O362" s="190"/>
      <c r="P362" s="190"/>
      <c r="Q362" s="190"/>
      <c r="R362" s="190"/>
      <c r="S362" s="190"/>
      <c r="T362" s="190"/>
      <c r="U362" s="190"/>
      <c r="V362" s="190"/>
      <c r="W362" s="190"/>
      <c r="X362" s="190"/>
      <c r="Y362" s="190"/>
      <c r="Z362" s="190"/>
      <c r="AA362" s="190"/>
      <c r="AB362" s="190"/>
      <c r="AC362" s="190"/>
      <c r="AD362" s="190"/>
      <c r="AE362" s="190"/>
      <c r="AF362" s="190"/>
      <c r="AG362" s="190"/>
      <c r="AH362" s="190"/>
      <c r="AI362" s="190"/>
      <c r="AJ362" s="190"/>
    </row>
    <row r="363" spans="2:36">
      <c r="B363" s="485"/>
      <c r="C363" s="177"/>
      <c r="D363" s="345"/>
      <c r="E363" s="12"/>
      <c r="F363" s="6"/>
      <c r="G363" s="190"/>
      <c r="H363" s="190"/>
      <c r="I363" s="190"/>
      <c r="J363" s="190"/>
      <c r="K363" s="190"/>
      <c r="L363" s="190"/>
      <c r="M363" s="190"/>
      <c r="N363" s="190"/>
      <c r="O363" s="190"/>
      <c r="P363" s="190"/>
      <c r="Q363" s="190"/>
      <c r="R363" s="190"/>
      <c r="S363" s="190"/>
      <c r="T363" s="190"/>
      <c r="U363" s="190"/>
      <c r="V363" s="190"/>
      <c r="W363" s="190"/>
      <c r="X363" s="190"/>
      <c r="Y363" s="190"/>
      <c r="Z363" s="190"/>
      <c r="AA363" s="190"/>
      <c r="AB363" s="190"/>
      <c r="AC363" s="190"/>
      <c r="AD363" s="190"/>
      <c r="AE363" s="190"/>
      <c r="AF363" s="190"/>
      <c r="AG363" s="190"/>
      <c r="AH363" s="190"/>
      <c r="AI363" s="190"/>
      <c r="AJ363" s="190"/>
    </row>
    <row r="364" spans="2:36">
      <c r="B364" s="485"/>
      <c r="C364" s="177"/>
      <c r="D364" s="345"/>
      <c r="E364" s="12"/>
      <c r="F364" s="6"/>
      <c r="G364" s="190"/>
      <c r="H364" s="190"/>
      <c r="I364" s="190"/>
      <c r="J364" s="190"/>
      <c r="K364" s="190"/>
      <c r="L364" s="190"/>
      <c r="M364" s="190"/>
      <c r="N364" s="190"/>
      <c r="O364" s="190"/>
      <c r="P364" s="190"/>
      <c r="Q364" s="190"/>
      <c r="R364" s="190"/>
      <c r="S364" s="190"/>
      <c r="T364" s="190"/>
      <c r="U364" s="190"/>
      <c r="V364" s="190"/>
      <c r="W364" s="190"/>
      <c r="X364" s="190"/>
      <c r="Y364" s="190"/>
      <c r="Z364" s="190"/>
      <c r="AA364" s="190"/>
      <c r="AB364" s="190"/>
      <c r="AC364" s="190"/>
      <c r="AD364" s="190"/>
      <c r="AE364" s="190"/>
      <c r="AF364" s="190"/>
      <c r="AG364" s="190"/>
      <c r="AH364" s="190"/>
      <c r="AI364" s="190"/>
      <c r="AJ364" s="190"/>
    </row>
    <row r="365" spans="2:36">
      <c r="B365" s="485"/>
      <c r="C365" s="177"/>
      <c r="D365" s="345"/>
      <c r="E365" s="12"/>
      <c r="F365" s="6"/>
      <c r="G365" s="190"/>
      <c r="H365" s="190"/>
      <c r="I365" s="190"/>
      <c r="J365" s="190"/>
      <c r="K365" s="190"/>
      <c r="L365" s="190"/>
      <c r="M365" s="190"/>
      <c r="N365" s="190"/>
      <c r="O365" s="190"/>
      <c r="P365" s="190"/>
      <c r="Q365" s="190"/>
      <c r="R365" s="190"/>
      <c r="S365" s="190"/>
      <c r="T365" s="190"/>
      <c r="U365" s="190"/>
      <c r="V365" s="190"/>
      <c r="W365" s="190"/>
      <c r="X365" s="190"/>
      <c r="Y365" s="190"/>
      <c r="Z365" s="190"/>
      <c r="AA365" s="190"/>
      <c r="AB365" s="190"/>
      <c r="AC365" s="190"/>
      <c r="AD365" s="190"/>
      <c r="AE365" s="190"/>
      <c r="AF365" s="190"/>
      <c r="AG365" s="190"/>
      <c r="AH365" s="190"/>
      <c r="AI365" s="190"/>
      <c r="AJ365" s="190"/>
    </row>
    <row r="366" spans="2:36">
      <c r="B366" s="485"/>
      <c r="C366" s="177"/>
      <c r="D366" s="345"/>
      <c r="E366" s="12"/>
      <c r="F366" s="6"/>
      <c r="G366" s="190"/>
      <c r="H366" s="190"/>
      <c r="I366" s="190"/>
      <c r="J366" s="190"/>
      <c r="K366" s="190"/>
      <c r="L366" s="190"/>
      <c r="M366" s="190"/>
      <c r="N366" s="190"/>
      <c r="O366" s="190"/>
      <c r="P366" s="190"/>
      <c r="Q366" s="190"/>
      <c r="R366" s="190"/>
      <c r="S366" s="190"/>
      <c r="T366" s="190"/>
      <c r="U366" s="190"/>
      <c r="V366" s="190"/>
      <c r="W366" s="190"/>
      <c r="X366" s="190"/>
      <c r="Y366" s="190"/>
      <c r="Z366" s="190"/>
      <c r="AA366" s="190"/>
      <c r="AB366" s="190"/>
      <c r="AC366" s="190"/>
      <c r="AD366" s="190"/>
      <c r="AE366" s="190"/>
      <c r="AF366" s="190"/>
      <c r="AG366" s="190"/>
      <c r="AH366" s="190"/>
      <c r="AI366" s="190"/>
      <c r="AJ366" s="190"/>
    </row>
    <row r="367" spans="2:36">
      <c r="B367" s="485"/>
      <c r="C367" s="177"/>
      <c r="D367" s="345"/>
      <c r="E367" s="12"/>
      <c r="F367" s="6"/>
      <c r="G367" s="190"/>
      <c r="H367" s="190"/>
      <c r="I367" s="190"/>
      <c r="J367" s="190"/>
      <c r="K367" s="190"/>
      <c r="L367" s="190"/>
      <c r="M367" s="190"/>
      <c r="N367" s="190"/>
      <c r="O367" s="190"/>
      <c r="P367" s="190"/>
      <c r="Q367" s="190"/>
      <c r="R367" s="190"/>
      <c r="S367" s="190"/>
      <c r="T367" s="190"/>
      <c r="U367" s="190"/>
      <c r="V367" s="190"/>
      <c r="W367" s="190"/>
      <c r="X367" s="190"/>
      <c r="Y367" s="190"/>
      <c r="Z367" s="190"/>
      <c r="AA367" s="190"/>
      <c r="AB367" s="190"/>
      <c r="AC367" s="190"/>
      <c r="AD367" s="190"/>
      <c r="AE367" s="190"/>
      <c r="AF367" s="190"/>
      <c r="AG367" s="190"/>
      <c r="AH367" s="190"/>
      <c r="AI367" s="190"/>
      <c r="AJ367" s="190"/>
    </row>
    <row r="368" spans="2:36">
      <c r="B368" s="485"/>
      <c r="C368" s="177"/>
      <c r="D368" s="345"/>
      <c r="E368" s="12"/>
      <c r="F368" s="6"/>
      <c r="G368" s="190"/>
      <c r="H368" s="190"/>
      <c r="I368" s="190"/>
      <c r="J368" s="190"/>
      <c r="K368" s="190"/>
      <c r="L368" s="190"/>
      <c r="M368" s="190"/>
      <c r="N368" s="190"/>
      <c r="O368" s="190"/>
      <c r="P368" s="190"/>
      <c r="Q368" s="190"/>
      <c r="R368" s="190"/>
      <c r="S368" s="190"/>
      <c r="T368" s="190"/>
      <c r="U368" s="190"/>
      <c r="V368" s="190"/>
      <c r="W368" s="190"/>
      <c r="X368" s="190"/>
      <c r="Y368" s="190"/>
      <c r="Z368" s="190"/>
      <c r="AA368" s="190"/>
      <c r="AB368" s="190"/>
      <c r="AC368" s="190"/>
      <c r="AD368" s="190"/>
      <c r="AE368" s="190"/>
      <c r="AF368" s="190"/>
      <c r="AG368" s="190"/>
      <c r="AH368" s="190"/>
      <c r="AI368" s="190"/>
      <c r="AJ368" s="190"/>
    </row>
    <row r="369" spans="2:36">
      <c r="B369" s="485"/>
      <c r="C369" s="177"/>
      <c r="D369" s="345"/>
      <c r="E369" s="12"/>
      <c r="F369" s="6"/>
      <c r="G369" s="190"/>
      <c r="H369" s="190"/>
      <c r="I369" s="190"/>
      <c r="J369" s="190"/>
      <c r="K369" s="190"/>
      <c r="L369" s="190"/>
      <c r="M369" s="190"/>
      <c r="N369" s="190"/>
      <c r="O369" s="190"/>
      <c r="P369" s="190"/>
      <c r="Q369" s="190"/>
      <c r="R369" s="190"/>
      <c r="S369" s="190"/>
      <c r="T369" s="190"/>
      <c r="U369" s="190"/>
      <c r="V369" s="190"/>
      <c r="W369" s="190"/>
      <c r="X369" s="190"/>
      <c r="Y369" s="190"/>
      <c r="Z369" s="190"/>
      <c r="AA369" s="190"/>
      <c r="AB369" s="190"/>
      <c r="AC369" s="190"/>
      <c r="AD369" s="190"/>
      <c r="AE369" s="190"/>
      <c r="AF369" s="190"/>
      <c r="AG369" s="190"/>
      <c r="AH369" s="190"/>
      <c r="AI369" s="190"/>
      <c r="AJ369" s="190"/>
    </row>
    <row r="370" spans="2:36">
      <c r="B370" s="485"/>
      <c r="C370" s="177"/>
      <c r="D370" s="345"/>
      <c r="E370" s="12"/>
      <c r="F370" s="6"/>
      <c r="G370" s="190"/>
      <c r="H370" s="190"/>
      <c r="I370" s="190"/>
      <c r="J370" s="190"/>
      <c r="K370" s="190"/>
      <c r="L370" s="190"/>
      <c r="M370" s="190"/>
      <c r="N370" s="190"/>
      <c r="O370" s="190"/>
      <c r="P370" s="190"/>
      <c r="Q370" s="190"/>
      <c r="R370" s="190"/>
      <c r="S370" s="190"/>
      <c r="T370" s="190"/>
      <c r="U370" s="190"/>
      <c r="V370" s="190"/>
      <c r="W370" s="190"/>
      <c r="X370" s="190"/>
      <c r="Y370" s="190"/>
      <c r="Z370" s="190"/>
      <c r="AA370" s="190"/>
      <c r="AB370" s="190"/>
      <c r="AC370" s="190"/>
      <c r="AD370" s="190"/>
      <c r="AE370" s="190"/>
      <c r="AF370" s="190"/>
      <c r="AG370" s="190"/>
      <c r="AH370" s="190"/>
      <c r="AI370" s="190"/>
      <c r="AJ370" s="190"/>
    </row>
    <row r="371" spans="2:36">
      <c r="B371" s="485"/>
      <c r="C371" s="177"/>
      <c r="D371" s="345"/>
      <c r="E371" s="12"/>
      <c r="F371" s="6"/>
      <c r="G371" s="190"/>
      <c r="H371" s="190"/>
      <c r="I371" s="190"/>
      <c r="J371" s="190"/>
      <c r="K371" s="190"/>
      <c r="L371" s="190"/>
      <c r="M371" s="190"/>
      <c r="N371" s="190"/>
      <c r="O371" s="190"/>
      <c r="P371" s="190"/>
      <c r="Q371" s="190"/>
      <c r="R371" s="190"/>
      <c r="S371" s="190"/>
      <c r="T371" s="190"/>
      <c r="U371" s="190"/>
      <c r="V371" s="190"/>
      <c r="W371" s="190"/>
      <c r="X371" s="190"/>
      <c r="Y371" s="190"/>
      <c r="Z371" s="190"/>
      <c r="AA371" s="190"/>
      <c r="AB371" s="190"/>
      <c r="AC371" s="190"/>
      <c r="AD371" s="190"/>
      <c r="AE371" s="190"/>
      <c r="AF371" s="190"/>
      <c r="AG371" s="190"/>
      <c r="AH371" s="190"/>
      <c r="AI371" s="190"/>
      <c r="AJ371" s="190"/>
    </row>
    <row r="372" spans="2:36">
      <c r="B372" s="485"/>
      <c r="C372" s="177"/>
      <c r="D372" s="345"/>
      <c r="E372" s="12"/>
      <c r="F372" s="6"/>
      <c r="G372" s="190"/>
      <c r="H372" s="190"/>
      <c r="I372" s="190"/>
      <c r="J372" s="190"/>
      <c r="K372" s="190"/>
      <c r="L372" s="190"/>
      <c r="M372" s="190"/>
      <c r="N372" s="190"/>
      <c r="O372" s="190"/>
      <c r="P372" s="190"/>
      <c r="Q372" s="190"/>
      <c r="R372" s="190"/>
      <c r="S372" s="190"/>
      <c r="T372" s="190"/>
      <c r="U372" s="190"/>
      <c r="V372" s="190"/>
      <c r="W372" s="190"/>
      <c r="X372" s="190"/>
      <c r="Y372" s="190"/>
      <c r="Z372" s="190"/>
      <c r="AA372" s="190"/>
      <c r="AB372" s="190"/>
      <c r="AC372" s="190"/>
      <c r="AD372" s="190"/>
      <c r="AE372" s="190"/>
      <c r="AF372" s="190"/>
      <c r="AG372" s="190"/>
      <c r="AH372" s="190"/>
      <c r="AI372" s="190"/>
      <c r="AJ372" s="190"/>
    </row>
    <row r="373" spans="2:36">
      <c r="B373" s="485"/>
      <c r="C373" s="177"/>
      <c r="D373" s="345"/>
      <c r="E373" s="12"/>
      <c r="F373" s="6"/>
      <c r="G373" s="190"/>
      <c r="H373" s="190"/>
      <c r="I373" s="190"/>
      <c r="J373" s="190"/>
      <c r="K373" s="190"/>
      <c r="L373" s="190"/>
      <c r="M373" s="190"/>
      <c r="N373" s="190"/>
      <c r="O373" s="190"/>
      <c r="P373" s="190"/>
      <c r="Q373" s="190"/>
      <c r="R373" s="190"/>
      <c r="S373" s="190"/>
      <c r="T373" s="190"/>
      <c r="U373" s="190"/>
      <c r="V373" s="190"/>
      <c r="W373" s="190"/>
      <c r="X373" s="190"/>
      <c r="Y373" s="190"/>
      <c r="Z373" s="190"/>
      <c r="AA373" s="190"/>
      <c r="AB373" s="190"/>
      <c r="AC373" s="190"/>
      <c r="AD373" s="190"/>
      <c r="AE373" s="190"/>
      <c r="AF373" s="190"/>
      <c r="AG373" s="190"/>
      <c r="AH373" s="190"/>
      <c r="AI373" s="190"/>
      <c r="AJ373" s="190"/>
    </row>
    <row r="374" spans="2:36">
      <c r="B374" s="485"/>
      <c r="C374" s="177"/>
      <c r="D374" s="345"/>
      <c r="E374" s="12"/>
      <c r="F374" s="6"/>
      <c r="G374" s="190"/>
      <c r="H374" s="190"/>
      <c r="I374" s="190"/>
      <c r="J374" s="190"/>
      <c r="K374" s="190"/>
      <c r="L374" s="190"/>
      <c r="M374" s="190"/>
      <c r="N374" s="190"/>
      <c r="O374" s="190"/>
      <c r="P374" s="190"/>
      <c r="Q374" s="190"/>
      <c r="R374" s="190"/>
      <c r="S374" s="190"/>
      <c r="T374" s="190"/>
      <c r="U374" s="190"/>
      <c r="V374" s="190"/>
      <c r="W374" s="190"/>
      <c r="X374" s="190"/>
      <c r="Y374" s="190"/>
      <c r="Z374" s="190"/>
      <c r="AA374" s="190"/>
      <c r="AB374" s="190"/>
      <c r="AC374" s="190"/>
      <c r="AD374" s="190"/>
      <c r="AE374" s="190"/>
      <c r="AF374" s="190"/>
      <c r="AG374" s="190"/>
      <c r="AH374" s="190"/>
      <c r="AI374" s="190"/>
      <c r="AJ374" s="190"/>
    </row>
    <row r="375" spans="2:36">
      <c r="B375" s="485"/>
      <c r="C375" s="177"/>
      <c r="D375" s="345"/>
      <c r="E375" s="12"/>
      <c r="F375" s="6"/>
      <c r="G375" s="190"/>
      <c r="H375" s="190"/>
      <c r="I375" s="190"/>
      <c r="J375" s="190"/>
      <c r="K375" s="190"/>
      <c r="L375" s="190"/>
      <c r="M375" s="190"/>
      <c r="N375" s="190"/>
      <c r="O375" s="190"/>
      <c r="P375" s="190"/>
      <c r="Q375" s="190"/>
      <c r="R375" s="190"/>
      <c r="S375" s="190"/>
      <c r="T375" s="190"/>
      <c r="U375" s="190"/>
      <c r="V375" s="190"/>
      <c r="W375" s="190"/>
      <c r="X375" s="190"/>
      <c r="Y375" s="190"/>
      <c r="Z375" s="190"/>
      <c r="AA375" s="190"/>
      <c r="AB375" s="190"/>
      <c r="AC375" s="190"/>
      <c r="AD375" s="190"/>
      <c r="AE375" s="190"/>
      <c r="AF375" s="190"/>
      <c r="AG375" s="190"/>
      <c r="AH375" s="190"/>
      <c r="AI375" s="190"/>
      <c r="AJ375" s="190"/>
    </row>
    <row r="376" spans="2:36">
      <c r="B376" s="485"/>
      <c r="C376" s="177"/>
      <c r="D376" s="345"/>
      <c r="E376" s="12"/>
      <c r="F376" s="6"/>
      <c r="G376" s="190"/>
      <c r="H376" s="190"/>
      <c r="I376" s="190"/>
      <c r="J376" s="190"/>
      <c r="K376" s="190"/>
      <c r="L376" s="190"/>
      <c r="M376" s="190"/>
      <c r="N376" s="190"/>
      <c r="O376" s="190"/>
      <c r="P376" s="190"/>
      <c r="Q376" s="190"/>
      <c r="R376" s="190"/>
      <c r="S376" s="190"/>
      <c r="T376" s="190"/>
      <c r="U376" s="190"/>
      <c r="V376" s="190"/>
      <c r="W376" s="190"/>
      <c r="X376" s="190"/>
      <c r="Y376" s="190"/>
      <c r="Z376" s="190"/>
      <c r="AA376" s="190"/>
      <c r="AB376" s="190"/>
      <c r="AC376" s="190"/>
      <c r="AD376" s="190"/>
      <c r="AE376" s="190"/>
      <c r="AF376" s="190"/>
      <c r="AG376" s="190"/>
      <c r="AH376" s="190"/>
      <c r="AI376" s="190"/>
      <c r="AJ376" s="190"/>
    </row>
    <row r="377" spans="2:36">
      <c r="B377" s="485"/>
      <c r="C377" s="177"/>
      <c r="D377" s="345"/>
      <c r="E377" s="12"/>
      <c r="F377" s="6"/>
      <c r="G377" s="190"/>
      <c r="H377" s="190"/>
      <c r="I377" s="190"/>
      <c r="J377" s="190"/>
      <c r="K377" s="190"/>
      <c r="L377" s="190"/>
      <c r="M377" s="190"/>
      <c r="N377" s="190"/>
      <c r="O377" s="190"/>
      <c r="P377" s="190"/>
      <c r="Q377" s="190"/>
      <c r="R377" s="190"/>
      <c r="S377" s="190"/>
      <c r="T377" s="190"/>
      <c r="U377" s="190"/>
      <c r="V377" s="190"/>
      <c r="W377" s="190"/>
      <c r="X377" s="190"/>
      <c r="Y377" s="190"/>
      <c r="Z377" s="190"/>
      <c r="AA377" s="190"/>
      <c r="AB377" s="190"/>
      <c r="AC377" s="190"/>
      <c r="AD377" s="190"/>
      <c r="AE377" s="190"/>
      <c r="AF377" s="190"/>
      <c r="AG377" s="190"/>
      <c r="AH377" s="190"/>
      <c r="AI377" s="190"/>
      <c r="AJ377" s="190"/>
    </row>
    <row r="378" spans="2:36">
      <c r="B378" s="485"/>
      <c r="C378" s="177"/>
      <c r="D378" s="345"/>
      <c r="E378" s="12"/>
      <c r="F378" s="6"/>
      <c r="G378" s="190"/>
      <c r="H378" s="190"/>
      <c r="I378" s="190"/>
      <c r="J378" s="190"/>
      <c r="K378" s="190"/>
      <c r="L378" s="190"/>
      <c r="M378" s="190"/>
      <c r="N378" s="190"/>
      <c r="O378" s="190"/>
      <c r="P378" s="190"/>
      <c r="Q378" s="190"/>
      <c r="R378" s="190"/>
      <c r="S378" s="190"/>
      <c r="T378" s="190"/>
      <c r="U378" s="190"/>
      <c r="V378" s="190"/>
      <c r="W378" s="190"/>
      <c r="X378" s="190"/>
      <c r="Y378" s="190"/>
      <c r="Z378" s="190"/>
      <c r="AA378" s="190"/>
      <c r="AB378" s="190"/>
      <c r="AC378" s="190"/>
      <c r="AD378" s="190"/>
      <c r="AE378" s="190"/>
      <c r="AF378" s="190"/>
      <c r="AG378" s="190"/>
      <c r="AH378" s="190"/>
      <c r="AI378" s="190"/>
      <c r="AJ378" s="190"/>
    </row>
    <row r="379" spans="2:36">
      <c r="B379" s="485"/>
      <c r="C379" s="177"/>
      <c r="D379" s="345"/>
      <c r="E379" s="12"/>
      <c r="F379" s="6"/>
      <c r="G379" s="190"/>
      <c r="H379" s="190"/>
      <c r="I379" s="190"/>
      <c r="J379" s="190"/>
      <c r="K379" s="190"/>
      <c r="L379" s="190"/>
      <c r="M379" s="190"/>
      <c r="N379" s="190"/>
      <c r="O379" s="190"/>
      <c r="P379" s="190"/>
      <c r="Q379" s="190"/>
      <c r="R379" s="190"/>
      <c r="S379" s="190"/>
      <c r="T379" s="190"/>
      <c r="U379" s="190"/>
      <c r="V379" s="190"/>
      <c r="W379" s="190"/>
      <c r="X379" s="190"/>
      <c r="Y379" s="190"/>
      <c r="Z379" s="190"/>
      <c r="AA379" s="190"/>
      <c r="AB379" s="190"/>
      <c r="AC379" s="190"/>
      <c r="AD379" s="190"/>
      <c r="AE379" s="190"/>
      <c r="AF379" s="190"/>
      <c r="AG379" s="190"/>
      <c r="AH379" s="190"/>
      <c r="AI379" s="190"/>
      <c r="AJ379" s="190"/>
    </row>
    <row r="380" spans="2:36">
      <c r="B380" s="485"/>
      <c r="C380" s="177"/>
      <c r="D380" s="345"/>
      <c r="E380" s="12"/>
      <c r="F380" s="6"/>
      <c r="G380" s="190"/>
      <c r="H380" s="190"/>
      <c r="I380" s="190"/>
      <c r="J380" s="190"/>
      <c r="K380" s="190"/>
      <c r="L380" s="190"/>
      <c r="M380" s="190"/>
      <c r="N380" s="190"/>
      <c r="O380" s="190"/>
      <c r="P380" s="190"/>
      <c r="Q380" s="190"/>
      <c r="R380" s="190"/>
      <c r="S380" s="190"/>
      <c r="T380" s="190"/>
      <c r="U380" s="190"/>
      <c r="V380" s="190"/>
      <c r="W380" s="190"/>
      <c r="X380" s="190"/>
      <c r="Y380" s="190"/>
      <c r="Z380" s="190"/>
      <c r="AA380" s="190"/>
      <c r="AB380" s="190"/>
      <c r="AC380" s="190"/>
      <c r="AD380" s="190"/>
      <c r="AE380" s="190"/>
      <c r="AF380" s="190"/>
      <c r="AG380" s="190"/>
      <c r="AH380" s="190"/>
      <c r="AI380" s="190"/>
      <c r="AJ380" s="190"/>
    </row>
    <row r="381" spans="2:36">
      <c r="B381" s="485"/>
      <c r="C381" s="177"/>
      <c r="D381" s="345"/>
      <c r="E381" s="12"/>
      <c r="F381" s="6"/>
      <c r="G381" s="190"/>
      <c r="H381" s="190"/>
      <c r="I381" s="190"/>
      <c r="J381" s="190"/>
      <c r="K381" s="190"/>
      <c r="L381" s="190"/>
      <c r="M381" s="190"/>
      <c r="N381" s="190"/>
      <c r="O381" s="190"/>
      <c r="P381" s="190"/>
      <c r="Q381" s="190"/>
      <c r="R381" s="190"/>
      <c r="S381" s="190"/>
      <c r="T381" s="190"/>
      <c r="U381" s="190"/>
      <c r="V381" s="190"/>
      <c r="W381" s="190"/>
      <c r="X381" s="190"/>
      <c r="Y381" s="190"/>
      <c r="Z381" s="190"/>
      <c r="AA381" s="190"/>
      <c r="AB381" s="190"/>
      <c r="AC381" s="190"/>
      <c r="AD381" s="190"/>
      <c r="AE381" s="190"/>
      <c r="AF381" s="190"/>
      <c r="AG381" s="190"/>
      <c r="AH381" s="190"/>
      <c r="AI381" s="190"/>
      <c r="AJ381" s="190"/>
    </row>
    <row r="382" spans="2:36">
      <c r="B382" s="485"/>
      <c r="C382" s="177"/>
      <c r="D382" s="345"/>
      <c r="E382" s="12"/>
      <c r="F382" s="6"/>
      <c r="G382" s="190"/>
      <c r="H382" s="190"/>
      <c r="I382" s="190"/>
      <c r="J382" s="190"/>
      <c r="K382" s="190"/>
      <c r="L382" s="190"/>
      <c r="M382" s="190"/>
      <c r="N382" s="190"/>
      <c r="O382" s="190"/>
      <c r="P382" s="190"/>
      <c r="Q382" s="190"/>
      <c r="R382" s="190"/>
      <c r="S382" s="190"/>
      <c r="T382" s="190"/>
      <c r="U382" s="190"/>
      <c r="V382" s="190"/>
      <c r="W382" s="190"/>
      <c r="X382" s="190"/>
      <c r="Y382" s="190"/>
      <c r="Z382" s="190"/>
      <c r="AA382" s="190"/>
      <c r="AB382" s="190"/>
      <c r="AC382" s="190"/>
      <c r="AD382" s="190"/>
      <c r="AE382" s="190"/>
      <c r="AF382" s="190"/>
      <c r="AG382" s="190"/>
      <c r="AH382" s="190"/>
      <c r="AI382" s="190"/>
      <c r="AJ382" s="190"/>
    </row>
    <row r="383" spans="2:36">
      <c r="B383" s="485"/>
      <c r="C383" s="177"/>
      <c r="D383" s="345"/>
      <c r="E383" s="12"/>
      <c r="F383" s="6"/>
      <c r="G383" s="190"/>
      <c r="H383" s="190"/>
      <c r="I383" s="190"/>
      <c r="J383" s="190"/>
      <c r="K383" s="190"/>
      <c r="L383" s="190"/>
      <c r="M383" s="190"/>
      <c r="N383" s="190"/>
      <c r="O383" s="190"/>
      <c r="P383" s="190"/>
      <c r="Q383" s="190"/>
      <c r="R383" s="190"/>
      <c r="S383" s="190"/>
      <c r="T383" s="190"/>
      <c r="U383" s="190"/>
      <c r="V383" s="190"/>
      <c r="W383" s="190"/>
      <c r="X383" s="190"/>
      <c r="Y383" s="190"/>
      <c r="Z383" s="190"/>
      <c r="AA383" s="190"/>
      <c r="AB383" s="190"/>
      <c r="AC383" s="190"/>
      <c r="AD383" s="190"/>
      <c r="AE383" s="190"/>
      <c r="AF383" s="190"/>
      <c r="AG383" s="190"/>
      <c r="AH383" s="190"/>
      <c r="AI383" s="190"/>
      <c r="AJ383" s="190"/>
    </row>
    <row r="384" spans="2:36">
      <c r="B384" s="485"/>
      <c r="C384" s="177"/>
      <c r="D384" s="345"/>
      <c r="E384" s="12"/>
      <c r="F384" s="6"/>
      <c r="G384" s="190"/>
      <c r="H384" s="190"/>
      <c r="I384" s="190"/>
      <c r="J384" s="190"/>
      <c r="K384" s="190"/>
      <c r="L384" s="190"/>
      <c r="M384" s="190"/>
      <c r="N384" s="190"/>
      <c r="O384" s="190"/>
      <c r="P384" s="190"/>
      <c r="Q384" s="190"/>
      <c r="R384" s="190"/>
      <c r="S384" s="190"/>
      <c r="T384" s="190"/>
      <c r="U384" s="190"/>
      <c r="V384" s="190"/>
      <c r="W384" s="190"/>
      <c r="X384" s="190"/>
      <c r="Y384" s="190"/>
      <c r="Z384" s="190"/>
      <c r="AA384" s="190"/>
      <c r="AB384" s="190"/>
      <c r="AC384" s="190"/>
      <c r="AD384" s="190"/>
      <c r="AE384" s="190"/>
      <c r="AF384" s="190"/>
      <c r="AG384" s="190"/>
      <c r="AH384" s="190"/>
      <c r="AI384" s="190"/>
      <c r="AJ384" s="190"/>
    </row>
    <row r="385" spans="2:36">
      <c r="B385" s="485"/>
      <c r="C385" s="177"/>
      <c r="D385" s="345"/>
      <c r="E385" s="12"/>
      <c r="F385" s="6"/>
      <c r="G385" s="190"/>
      <c r="H385" s="190"/>
      <c r="I385" s="190"/>
      <c r="J385" s="190"/>
      <c r="K385" s="190"/>
      <c r="L385" s="190"/>
      <c r="M385" s="190"/>
      <c r="N385" s="190"/>
      <c r="O385" s="190"/>
      <c r="P385" s="190"/>
      <c r="Q385" s="190"/>
      <c r="R385" s="190"/>
      <c r="S385" s="190"/>
      <c r="T385" s="190"/>
      <c r="U385" s="190"/>
      <c r="V385" s="190"/>
      <c r="W385" s="190"/>
      <c r="X385" s="190"/>
      <c r="Y385" s="190"/>
      <c r="Z385" s="190"/>
      <c r="AA385" s="190"/>
      <c r="AB385" s="190"/>
      <c r="AC385" s="190"/>
      <c r="AD385" s="190"/>
      <c r="AE385" s="190"/>
      <c r="AF385" s="190"/>
      <c r="AG385" s="190"/>
      <c r="AH385" s="190"/>
      <c r="AI385" s="190"/>
      <c r="AJ385" s="190"/>
    </row>
    <row r="386" spans="2:36">
      <c r="B386" s="485"/>
      <c r="C386" s="177"/>
      <c r="D386" s="345"/>
      <c r="E386" s="12"/>
      <c r="F386" s="6"/>
      <c r="G386" s="190"/>
      <c r="H386" s="190"/>
      <c r="I386" s="190"/>
      <c r="J386" s="190"/>
      <c r="K386" s="190"/>
      <c r="L386" s="190"/>
      <c r="M386" s="190"/>
      <c r="N386" s="190"/>
      <c r="O386" s="190"/>
      <c r="P386" s="190"/>
      <c r="Q386" s="190"/>
      <c r="R386" s="190"/>
      <c r="S386" s="190"/>
      <c r="T386" s="190"/>
      <c r="U386" s="190"/>
      <c r="V386" s="190"/>
      <c r="W386" s="190"/>
      <c r="X386" s="190"/>
      <c r="Y386" s="190"/>
      <c r="Z386" s="190"/>
      <c r="AA386" s="190"/>
      <c r="AB386" s="190"/>
      <c r="AC386" s="190"/>
      <c r="AD386" s="190"/>
      <c r="AE386" s="190"/>
      <c r="AF386" s="190"/>
      <c r="AG386" s="190"/>
      <c r="AH386" s="190"/>
      <c r="AI386" s="190"/>
      <c r="AJ386" s="190"/>
    </row>
    <row r="387" spans="2:36">
      <c r="B387" s="485"/>
      <c r="C387" s="177"/>
      <c r="D387" s="345"/>
      <c r="E387" s="12"/>
      <c r="F387" s="6"/>
      <c r="G387" s="190"/>
      <c r="H387" s="190"/>
      <c r="I387" s="190"/>
      <c r="J387" s="190"/>
      <c r="K387" s="190"/>
      <c r="L387" s="190"/>
      <c r="M387" s="190"/>
      <c r="N387" s="190"/>
      <c r="O387" s="190"/>
      <c r="P387" s="190"/>
      <c r="Q387" s="190"/>
      <c r="R387" s="190"/>
      <c r="S387" s="190"/>
      <c r="T387" s="190"/>
      <c r="U387" s="190"/>
      <c r="V387" s="190"/>
      <c r="W387" s="190"/>
      <c r="X387" s="190"/>
      <c r="Y387" s="190"/>
      <c r="Z387" s="190"/>
      <c r="AA387" s="190"/>
      <c r="AB387" s="190"/>
      <c r="AC387" s="190"/>
      <c r="AD387" s="190"/>
      <c r="AE387" s="190"/>
      <c r="AF387" s="190"/>
      <c r="AG387" s="190"/>
      <c r="AH387" s="190"/>
      <c r="AI387" s="190"/>
      <c r="AJ387" s="190"/>
    </row>
    <row r="388" spans="2:36">
      <c r="B388" s="485"/>
      <c r="C388" s="177"/>
      <c r="D388" s="345"/>
      <c r="E388" s="12"/>
      <c r="F388" s="6"/>
      <c r="G388" s="190"/>
      <c r="H388" s="190"/>
      <c r="I388" s="190"/>
      <c r="J388" s="190"/>
      <c r="K388" s="190"/>
      <c r="L388" s="190"/>
      <c r="M388" s="190"/>
      <c r="N388" s="190"/>
      <c r="O388" s="190"/>
      <c r="P388" s="190"/>
      <c r="Q388" s="190"/>
      <c r="R388" s="190"/>
      <c r="S388" s="190"/>
      <c r="T388" s="190"/>
      <c r="U388" s="190"/>
      <c r="V388" s="190"/>
      <c r="W388" s="190"/>
      <c r="X388" s="190"/>
      <c r="Y388" s="190"/>
      <c r="Z388" s="190"/>
      <c r="AA388" s="190"/>
      <c r="AB388" s="190"/>
      <c r="AC388" s="190"/>
      <c r="AD388" s="190"/>
      <c r="AE388" s="190"/>
      <c r="AF388" s="190"/>
      <c r="AG388" s="190"/>
      <c r="AH388" s="190"/>
      <c r="AI388" s="190"/>
      <c r="AJ388" s="190"/>
    </row>
    <row r="389" spans="2:36">
      <c r="B389" s="485"/>
      <c r="C389" s="177"/>
      <c r="D389" s="345"/>
      <c r="E389" s="12"/>
      <c r="F389" s="6"/>
      <c r="G389" s="190"/>
      <c r="H389" s="190"/>
      <c r="I389" s="190"/>
      <c r="J389" s="190"/>
      <c r="K389" s="190"/>
      <c r="L389" s="190"/>
      <c r="M389" s="190"/>
      <c r="N389" s="190"/>
      <c r="O389" s="190"/>
      <c r="P389" s="190"/>
      <c r="Q389" s="190"/>
      <c r="R389" s="190"/>
      <c r="S389" s="190"/>
      <c r="T389" s="190"/>
      <c r="U389" s="190"/>
      <c r="V389" s="190"/>
      <c r="W389" s="190"/>
      <c r="X389" s="190"/>
      <c r="Y389" s="190"/>
      <c r="Z389" s="190"/>
      <c r="AA389" s="190"/>
      <c r="AB389" s="190"/>
      <c r="AC389" s="190"/>
      <c r="AD389" s="190"/>
      <c r="AE389" s="190"/>
      <c r="AF389" s="190"/>
      <c r="AG389" s="190"/>
      <c r="AH389" s="190"/>
      <c r="AI389" s="190"/>
      <c r="AJ389" s="190"/>
    </row>
    <row r="390" spans="2:36">
      <c r="B390" s="485"/>
      <c r="C390" s="177"/>
      <c r="D390" s="345"/>
      <c r="E390" s="12"/>
      <c r="F390" s="6"/>
      <c r="G390" s="190"/>
      <c r="H390" s="190"/>
      <c r="I390" s="190"/>
      <c r="J390" s="190"/>
      <c r="K390" s="190"/>
      <c r="L390" s="190"/>
      <c r="M390" s="190"/>
      <c r="N390" s="190"/>
      <c r="O390" s="190"/>
      <c r="P390" s="190"/>
      <c r="Q390" s="190"/>
      <c r="R390" s="190"/>
      <c r="S390" s="190"/>
      <c r="T390" s="190"/>
      <c r="U390" s="190"/>
      <c r="V390" s="190"/>
      <c r="W390" s="190"/>
      <c r="X390" s="190"/>
      <c r="Y390" s="190"/>
      <c r="Z390" s="190"/>
      <c r="AA390" s="190"/>
      <c r="AB390" s="190"/>
      <c r="AC390" s="190"/>
      <c r="AD390" s="190"/>
      <c r="AE390" s="190"/>
      <c r="AF390" s="190"/>
      <c r="AG390" s="190"/>
      <c r="AH390" s="190"/>
      <c r="AI390" s="190"/>
      <c r="AJ390" s="190"/>
    </row>
    <row r="391" spans="2:36">
      <c r="B391" s="485"/>
      <c r="C391" s="177"/>
      <c r="D391" s="345"/>
      <c r="E391" s="12"/>
      <c r="F391" s="6"/>
      <c r="G391" s="190"/>
      <c r="H391" s="190"/>
      <c r="I391" s="190"/>
      <c r="J391" s="190"/>
      <c r="K391" s="190"/>
      <c r="L391" s="190"/>
      <c r="M391" s="190"/>
      <c r="N391" s="190"/>
      <c r="O391" s="190"/>
      <c r="P391" s="190"/>
      <c r="Q391" s="190"/>
      <c r="R391" s="190"/>
      <c r="S391" s="190"/>
      <c r="T391" s="190"/>
      <c r="U391" s="190"/>
      <c r="V391" s="190"/>
      <c r="W391" s="190"/>
      <c r="X391" s="190"/>
      <c r="Y391" s="190"/>
      <c r="Z391" s="190"/>
      <c r="AA391" s="190"/>
      <c r="AB391" s="190"/>
      <c r="AC391" s="190"/>
      <c r="AD391" s="190"/>
      <c r="AE391" s="190"/>
      <c r="AF391" s="190"/>
      <c r="AG391" s="190"/>
      <c r="AH391" s="190"/>
      <c r="AI391" s="190"/>
      <c r="AJ391" s="190"/>
    </row>
    <row r="392" spans="2:36">
      <c r="B392" s="485"/>
      <c r="C392" s="177"/>
      <c r="D392" s="345"/>
      <c r="E392" s="12"/>
      <c r="F392" s="6"/>
      <c r="G392" s="190"/>
      <c r="H392" s="190"/>
      <c r="I392" s="190"/>
      <c r="J392" s="190"/>
      <c r="K392" s="190"/>
      <c r="L392" s="190"/>
      <c r="M392" s="190"/>
      <c r="N392" s="190"/>
      <c r="O392" s="190"/>
      <c r="P392" s="190"/>
      <c r="Q392" s="190"/>
      <c r="R392" s="190"/>
      <c r="S392" s="190"/>
      <c r="T392" s="190"/>
      <c r="U392" s="190"/>
      <c r="V392" s="190"/>
      <c r="W392" s="190"/>
      <c r="X392" s="190"/>
      <c r="Y392" s="190"/>
      <c r="Z392" s="190"/>
      <c r="AA392" s="190"/>
      <c r="AB392" s="190"/>
      <c r="AC392" s="190"/>
      <c r="AD392" s="190"/>
      <c r="AE392" s="190"/>
      <c r="AF392" s="190"/>
      <c r="AG392" s="190"/>
      <c r="AH392" s="190"/>
      <c r="AI392" s="190"/>
      <c r="AJ392" s="190"/>
    </row>
    <row r="393" spans="2:36">
      <c r="B393" s="485"/>
      <c r="C393" s="177"/>
      <c r="D393" s="345"/>
      <c r="E393" s="12"/>
      <c r="F393" s="6"/>
      <c r="G393" s="190"/>
      <c r="H393" s="190"/>
      <c r="I393" s="190"/>
      <c r="J393" s="190"/>
      <c r="K393" s="190"/>
      <c r="L393" s="190"/>
      <c r="M393" s="190"/>
      <c r="N393" s="190"/>
      <c r="O393" s="190"/>
      <c r="P393" s="190"/>
      <c r="Q393" s="190"/>
      <c r="R393" s="190"/>
      <c r="S393" s="190"/>
      <c r="T393" s="190"/>
      <c r="U393" s="190"/>
      <c r="V393" s="190"/>
      <c r="W393" s="190"/>
      <c r="X393" s="190"/>
      <c r="Y393" s="190"/>
      <c r="Z393" s="190"/>
      <c r="AA393" s="190"/>
      <c r="AB393" s="190"/>
      <c r="AC393" s="190"/>
      <c r="AD393" s="190"/>
      <c r="AE393" s="190"/>
      <c r="AF393" s="190"/>
      <c r="AG393" s="190"/>
      <c r="AH393" s="190"/>
      <c r="AI393" s="190"/>
      <c r="AJ393" s="190"/>
    </row>
    <row r="394" spans="2:36">
      <c r="B394" s="485"/>
      <c r="C394" s="177"/>
      <c r="D394" s="345"/>
      <c r="E394" s="12"/>
      <c r="F394" s="6"/>
      <c r="G394" s="190"/>
      <c r="H394" s="190"/>
      <c r="I394" s="190"/>
      <c r="J394" s="190"/>
      <c r="K394" s="190"/>
      <c r="L394" s="190"/>
      <c r="M394" s="190"/>
      <c r="N394" s="190"/>
      <c r="O394" s="190"/>
      <c r="P394" s="190"/>
      <c r="Q394" s="190"/>
      <c r="R394" s="190"/>
      <c r="S394" s="190"/>
      <c r="T394" s="190"/>
      <c r="U394" s="190"/>
      <c r="V394" s="190"/>
      <c r="W394" s="190"/>
      <c r="X394" s="190"/>
      <c r="Y394" s="190"/>
      <c r="Z394" s="190"/>
      <c r="AA394" s="190"/>
      <c r="AB394" s="190"/>
      <c r="AC394" s="190"/>
      <c r="AD394" s="190"/>
      <c r="AE394" s="190"/>
      <c r="AF394" s="190"/>
      <c r="AG394" s="190"/>
      <c r="AH394" s="190"/>
      <c r="AI394" s="190"/>
      <c r="AJ394" s="190"/>
    </row>
    <row r="395" spans="2:36">
      <c r="B395" s="485"/>
      <c r="C395" s="177"/>
      <c r="D395" s="345"/>
      <c r="E395" s="12"/>
      <c r="F395" s="6"/>
      <c r="G395" s="190"/>
      <c r="H395" s="190"/>
      <c r="I395" s="190"/>
      <c r="J395" s="190"/>
      <c r="K395" s="190"/>
      <c r="L395" s="190"/>
      <c r="M395" s="190"/>
      <c r="N395" s="190"/>
      <c r="O395" s="190"/>
      <c r="P395" s="190"/>
      <c r="Q395" s="190"/>
      <c r="R395" s="190"/>
      <c r="S395" s="190"/>
      <c r="T395" s="190"/>
      <c r="U395" s="190"/>
      <c r="V395" s="190"/>
      <c r="W395" s="190"/>
      <c r="X395" s="190"/>
      <c r="Y395" s="190"/>
      <c r="Z395" s="190"/>
      <c r="AA395" s="190"/>
      <c r="AB395" s="190"/>
      <c r="AC395" s="190"/>
      <c r="AD395" s="190"/>
      <c r="AE395" s="190"/>
      <c r="AF395" s="190"/>
      <c r="AG395" s="190"/>
      <c r="AH395" s="190"/>
      <c r="AI395" s="190"/>
      <c r="AJ395" s="190"/>
    </row>
    <row r="396" spans="2:36">
      <c r="B396" s="485"/>
      <c r="C396" s="177"/>
      <c r="D396" s="345"/>
      <c r="E396" s="12"/>
      <c r="F396" s="6"/>
      <c r="G396" s="190"/>
      <c r="H396" s="190"/>
      <c r="I396" s="190"/>
      <c r="J396" s="190"/>
      <c r="K396" s="190"/>
      <c r="L396" s="190"/>
      <c r="M396" s="190"/>
      <c r="N396" s="190"/>
      <c r="O396" s="190"/>
      <c r="P396" s="190"/>
      <c r="Q396" s="190"/>
      <c r="R396" s="190"/>
      <c r="S396" s="190"/>
      <c r="T396" s="190"/>
      <c r="U396" s="190"/>
      <c r="V396" s="190"/>
      <c r="W396" s="190"/>
      <c r="X396" s="190"/>
      <c r="Y396" s="190"/>
      <c r="Z396" s="190"/>
      <c r="AA396" s="190"/>
      <c r="AB396" s="190"/>
      <c r="AC396" s="190"/>
      <c r="AD396" s="190"/>
      <c r="AE396" s="190"/>
      <c r="AF396" s="190"/>
      <c r="AG396" s="190"/>
      <c r="AH396" s="190"/>
      <c r="AI396" s="190"/>
      <c r="AJ396" s="190"/>
    </row>
    <row r="397" spans="2:36">
      <c r="B397" s="485"/>
      <c r="C397" s="177"/>
      <c r="D397" s="345"/>
      <c r="E397" s="12"/>
      <c r="F397" s="6"/>
      <c r="G397" s="190"/>
      <c r="H397" s="190"/>
      <c r="I397" s="190"/>
      <c r="J397" s="190"/>
      <c r="K397" s="190"/>
      <c r="L397" s="190"/>
      <c r="M397" s="190"/>
      <c r="N397" s="190"/>
      <c r="O397" s="190"/>
      <c r="P397" s="190"/>
      <c r="Q397" s="190"/>
      <c r="R397" s="190"/>
      <c r="S397" s="190"/>
      <c r="T397" s="190"/>
      <c r="U397" s="190"/>
      <c r="V397" s="190"/>
      <c r="W397" s="190"/>
      <c r="X397" s="190"/>
      <c r="Y397" s="190"/>
      <c r="Z397" s="190"/>
      <c r="AA397" s="190"/>
      <c r="AB397" s="190"/>
      <c r="AC397" s="190"/>
      <c r="AD397" s="190"/>
      <c r="AE397" s="190"/>
      <c r="AF397" s="190"/>
      <c r="AG397" s="190"/>
      <c r="AH397" s="190"/>
      <c r="AI397" s="190"/>
      <c r="AJ397" s="190"/>
    </row>
    <row r="398" spans="2:36">
      <c r="B398" s="485"/>
      <c r="C398" s="177"/>
      <c r="D398" s="345"/>
      <c r="E398" s="12"/>
      <c r="F398" s="6"/>
      <c r="G398" s="190"/>
      <c r="H398" s="190"/>
      <c r="I398" s="190"/>
      <c r="J398" s="190"/>
      <c r="K398" s="190"/>
      <c r="L398" s="190"/>
      <c r="M398" s="190"/>
      <c r="N398" s="190"/>
      <c r="O398" s="190"/>
      <c r="P398" s="190"/>
      <c r="Q398" s="190"/>
      <c r="R398" s="190"/>
      <c r="S398" s="190"/>
      <c r="T398" s="190"/>
      <c r="U398" s="190"/>
      <c r="V398" s="190"/>
      <c r="W398" s="190"/>
      <c r="X398" s="190"/>
      <c r="Y398" s="190"/>
      <c r="Z398" s="190"/>
      <c r="AA398" s="190"/>
      <c r="AB398" s="190"/>
      <c r="AC398" s="190"/>
      <c r="AD398" s="190"/>
      <c r="AE398" s="190"/>
      <c r="AF398" s="190"/>
      <c r="AG398" s="190"/>
      <c r="AH398" s="190"/>
      <c r="AI398" s="190"/>
      <c r="AJ398" s="190"/>
    </row>
    <row r="399" spans="2:36">
      <c r="B399" s="485"/>
      <c r="C399" s="177"/>
      <c r="D399" s="345"/>
      <c r="E399" s="12"/>
      <c r="F399" s="6"/>
      <c r="G399" s="190"/>
      <c r="H399" s="190"/>
      <c r="I399" s="190"/>
      <c r="J399" s="190"/>
      <c r="K399" s="190"/>
      <c r="L399" s="190"/>
      <c r="M399" s="190"/>
      <c r="N399" s="190"/>
      <c r="O399" s="190"/>
      <c r="P399" s="190"/>
      <c r="Q399" s="190"/>
      <c r="R399" s="190"/>
      <c r="S399" s="190"/>
      <c r="T399" s="190"/>
      <c r="U399" s="190"/>
      <c r="V399" s="190"/>
      <c r="W399" s="190"/>
      <c r="X399" s="190"/>
      <c r="Y399" s="190"/>
      <c r="Z399" s="190"/>
      <c r="AA399" s="190"/>
      <c r="AB399" s="190"/>
      <c r="AC399" s="190"/>
      <c r="AD399" s="190"/>
      <c r="AE399" s="190"/>
      <c r="AF399" s="190"/>
      <c r="AG399" s="190"/>
      <c r="AH399" s="190"/>
      <c r="AI399" s="190"/>
      <c r="AJ399" s="190"/>
    </row>
    <row r="400" spans="2:36">
      <c r="B400" s="485"/>
      <c r="C400" s="177"/>
      <c r="D400" s="345"/>
      <c r="E400" s="12"/>
      <c r="F400" s="6"/>
      <c r="G400" s="190"/>
      <c r="H400" s="190"/>
      <c r="I400" s="190"/>
      <c r="J400" s="190"/>
      <c r="K400" s="190"/>
      <c r="L400" s="190"/>
      <c r="M400" s="190"/>
      <c r="N400" s="190"/>
      <c r="O400" s="190"/>
      <c r="P400" s="190"/>
      <c r="Q400" s="190"/>
      <c r="R400" s="190"/>
      <c r="S400" s="190"/>
      <c r="T400" s="190"/>
      <c r="U400" s="190"/>
      <c r="V400" s="190"/>
      <c r="W400" s="190"/>
      <c r="X400" s="190"/>
      <c r="Y400" s="190"/>
      <c r="Z400" s="190"/>
      <c r="AA400" s="190"/>
      <c r="AB400" s="190"/>
      <c r="AC400" s="190"/>
      <c r="AD400" s="190"/>
      <c r="AE400" s="190"/>
      <c r="AF400" s="190"/>
      <c r="AG400" s="190"/>
      <c r="AH400" s="190"/>
      <c r="AI400" s="190"/>
      <c r="AJ400" s="190"/>
    </row>
    <row r="401" spans="2:36">
      <c r="B401" s="485"/>
      <c r="C401" s="177"/>
      <c r="D401" s="345"/>
      <c r="E401" s="12"/>
      <c r="F401" s="6"/>
      <c r="G401" s="190"/>
      <c r="H401" s="190"/>
      <c r="I401" s="190"/>
      <c r="J401" s="190"/>
      <c r="K401" s="190"/>
      <c r="L401" s="190"/>
      <c r="M401" s="190"/>
      <c r="N401" s="190"/>
      <c r="O401" s="190"/>
      <c r="P401" s="190"/>
      <c r="Q401" s="190"/>
      <c r="R401" s="190"/>
      <c r="S401" s="190"/>
      <c r="T401" s="190"/>
      <c r="U401" s="190"/>
      <c r="V401" s="190"/>
      <c r="W401" s="190"/>
      <c r="X401" s="190"/>
      <c r="Y401" s="190"/>
      <c r="Z401" s="190"/>
      <c r="AA401" s="190"/>
      <c r="AB401" s="190"/>
      <c r="AC401" s="190"/>
      <c r="AD401" s="190"/>
      <c r="AE401" s="190"/>
      <c r="AF401" s="190"/>
      <c r="AG401" s="190"/>
      <c r="AH401" s="190"/>
      <c r="AI401" s="190"/>
      <c r="AJ401" s="190"/>
    </row>
    <row r="402" spans="2:36">
      <c r="B402" s="485"/>
      <c r="C402" s="177"/>
      <c r="D402" s="345"/>
      <c r="E402" s="12"/>
      <c r="F402" s="6"/>
      <c r="G402" s="190"/>
      <c r="H402" s="190"/>
      <c r="I402" s="190"/>
      <c r="J402" s="190"/>
      <c r="K402" s="190"/>
      <c r="L402" s="190"/>
      <c r="M402" s="190"/>
      <c r="N402" s="190"/>
      <c r="O402" s="190"/>
      <c r="P402" s="190"/>
      <c r="Q402" s="190"/>
      <c r="R402" s="190"/>
      <c r="S402" s="190"/>
      <c r="T402" s="190"/>
      <c r="U402" s="190"/>
      <c r="V402" s="190"/>
      <c r="W402" s="190"/>
      <c r="X402" s="190"/>
      <c r="Y402" s="190"/>
      <c r="Z402" s="190"/>
      <c r="AA402" s="190"/>
      <c r="AB402" s="190"/>
      <c r="AC402" s="190"/>
      <c r="AD402" s="190"/>
      <c r="AE402" s="190"/>
      <c r="AF402" s="190"/>
      <c r="AG402" s="190"/>
      <c r="AH402" s="190"/>
      <c r="AI402" s="190"/>
      <c r="AJ402" s="190"/>
    </row>
    <row r="403" spans="2:36">
      <c r="B403" s="485"/>
      <c r="C403" s="177"/>
      <c r="D403" s="345"/>
      <c r="E403" s="12"/>
      <c r="F403" s="6"/>
      <c r="G403" s="190"/>
      <c r="H403" s="190"/>
      <c r="I403" s="190"/>
      <c r="J403" s="190"/>
      <c r="K403" s="190"/>
      <c r="L403" s="190"/>
      <c r="M403" s="190"/>
      <c r="N403" s="190"/>
      <c r="O403" s="190"/>
      <c r="P403" s="190"/>
      <c r="Q403" s="190"/>
      <c r="R403" s="190"/>
      <c r="S403" s="190"/>
      <c r="T403" s="190"/>
      <c r="U403" s="190"/>
      <c r="V403" s="190"/>
      <c r="W403" s="190"/>
      <c r="X403" s="190"/>
      <c r="Y403" s="190"/>
      <c r="Z403" s="190"/>
      <c r="AA403" s="190"/>
      <c r="AB403" s="190"/>
      <c r="AC403" s="190"/>
      <c r="AD403" s="190"/>
      <c r="AE403" s="190"/>
      <c r="AF403" s="190"/>
      <c r="AG403" s="190"/>
      <c r="AH403" s="190"/>
      <c r="AI403" s="190"/>
      <c r="AJ403" s="190"/>
    </row>
    <row r="404" spans="2:36">
      <c r="B404" s="485"/>
      <c r="C404" s="177"/>
      <c r="D404" s="345"/>
      <c r="E404" s="12"/>
      <c r="F404" s="6"/>
      <c r="G404" s="190"/>
      <c r="H404" s="190"/>
      <c r="I404" s="190"/>
      <c r="J404" s="190"/>
      <c r="K404" s="190"/>
      <c r="L404" s="190"/>
      <c r="M404" s="190"/>
      <c r="N404" s="190"/>
      <c r="O404" s="190"/>
      <c r="P404" s="190"/>
      <c r="Q404" s="190"/>
      <c r="R404" s="190"/>
      <c r="S404" s="190"/>
      <c r="T404" s="190"/>
      <c r="U404" s="190"/>
      <c r="V404" s="190"/>
      <c r="W404" s="190"/>
      <c r="X404" s="190"/>
      <c r="Y404" s="190"/>
      <c r="Z404" s="190"/>
      <c r="AA404" s="190"/>
      <c r="AB404" s="190"/>
      <c r="AC404" s="190"/>
      <c r="AD404" s="190"/>
      <c r="AE404" s="190"/>
      <c r="AF404" s="190"/>
      <c r="AG404" s="190"/>
      <c r="AH404" s="190"/>
      <c r="AI404" s="190"/>
      <c r="AJ404" s="190"/>
    </row>
    <row r="405" spans="2:36">
      <c r="B405" s="485"/>
      <c r="C405" s="177"/>
      <c r="D405" s="345"/>
      <c r="E405" s="12"/>
      <c r="F405" s="6"/>
      <c r="G405" s="190"/>
      <c r="H405" s="190"/>
      <c r="I405" s="190"/>
      <c r="J405" s="190"/>
      <c r="K405" s="190"/>
      <c r="L405" s="190"/>
      <c r="M405" s="190"/>
      <c r="N405" s="190"/>
      <c r="O405" s="190"/>
      <c r="P405" s="190"/>
      <c r="Q405" s="190"/>
      <c r="R405" s="190"/>
      <c r="S405" s="190"/>
      <c r="T405" s="190"/>
      <c r="U405" s="190"/>
      <c r="V405" s="190"/>
      <c r="W405" s="190"/>
      <c r="X405" s="190"/>
      <c r="Y405" s="190"/>
      <c r="Z405" s="190"/>
      <c r="AA405" s="190"/>
      <c r="AB405" s="190"/>
      <c r="AC405" s="190"/>
      <c r="AD405" s="190"/>
      <c r="AE405" s="190"/>
      <c r="AF405" s="190"/>
      <c r="AG405" s="190"/>
      <c r="AH405" s="190"/>
      <c r="AI405" s="190"/>
      <c r="AJ405" s="190"/>
    </row>
    <row r="406" spans="2:36">
      <c r="B406" s="485"/>
      <c r="C406" s="177"/>
      <c r="D406" s="345"/>
      <c r="E406" s="12"/>
      <c r="F406" s="6"/>
      <c r="G406" s="190"/>
      <c r="H406" s="190"/>
      <c r="I406" s="190"/>
      <c r="J406" s="190"/>
      <c r="K406" s="190"/>
      <c r="L406" s="190"/>
      <c r="M406" s="190"/>
      <c r="N406" s="190"/>
      <c r="O406" s="190"/>
      <c r="P406" s="190"/>
      <c r="Q406" s="190"/>
      <c r="R406" s="190"/>
      <c r="S406" s="190"/>
      <c r="T406" s="190"/>
      <c r="U406" s="190"/>
      <c r="V406" s="190"/>
      <c r="W406" s="190"/>
      <c r="X406" s="190"/>
      <c r="Y406" s="190"/>
      <c r="Z406" s="190"/>
      <c r="AA406" s="190"/>
      <c r="AB406" s="190"/>
      <c r="AC406" s="190"/>
      <c r="AD406" s="190"/>
      <c r="AE406" s="190"/>
      <c r="AF406" s="190"/>
      <c r="AG406" s="190"/>
      <c r="AH406" s="190"/>
      <c r="AI406" s="190"/>
      <c r="AJ406" s="190"/>
    </row>
    <row r="407" spans="2:36">
      <c r="B407" s="485"/>
      <c r="C407" s="177"/>
      <c r="D407" s="345"/>
      <c r="E407" s="12"/>
      <c r="F407" s="6"/>
      <c r="G407" s="190"/>
      <c r="H407" s="190"/>
      <c r="I407" s="190"/>
      <c r="J407" s="190"/>
      <c r="K407" s="190"/>
      <c r="L407" s="190"/>
      <c r="M407" s="190"/>
      <c r="N407" s="190"/>
      <c r="O407" s="190"/>
      <c r="P407" s="190"/>
      <c r="Q407" s="190"/>
      <c r="R407" s="190"/>
      <c r="S407" s="190"/>
      <c r="T407" s="190"/>
      <c r="U407" s="190"/>
      <c r="V407" s="190"/>
      <c r="W407" s="190"/>
      <c r="X407" s="190"/>
      <c r="Y407" s="190"/>
      <c r="Z407" s="190"/>
      <c r="AA407" s="190"/>
      <c r="AB407" s="190"/>
      <c r="AC407" s="190"/>
      <c r="AD407" s="190"/>
      <c r="AE407" s="190"/>
      <c r="AF407" s="190"/>
      <c r="AG407" s="190"/>
      <c r="AH407" s="190"/>
      <c r="AI407" s="190"/>
      <c r="AJ407" s="190"/>
    </row>
    <row r="408" spans="2:36">
      <c r="B408" s="485"/>
      <c r="C408" s="177"/>
      <c r="D408" s="345"/>
      <c r="E408" s="12"/>
      <c r="F408" s="6"/>
      <c r="G408" s="190"/>
      <c r="H408" s="190"/>
      <c r="I408" s="190"/>
      <c r="J408" s="190"/>
      <c r="K408" s="190"/>
      <c r="L408" s="190"/>
      <c r="M408" s="190"/>
      <c r="N408" s="190"/>
      <c r="O408" s="190"/>
      <c r="P408" s="190"/>
      <c r="Q408" s="190"/>
      <c r="R408" s="190"/>
      <c r="S408" s="190"/>
      <c r="T408" s="190"/>
      <c r="U408" s="190"/>
      <c r="V408" s="190"/>
      <c r="W408" s="190"/>
      <c r="X408" s="190"/>
      <c r="Y408" s="190"/>
      <c r="Z408" s="190"/>
      <c r="AA408" s="190"/>
      <c r="AB408" s="190"/>
      <c r="AC408" s="190"/>
      <c r="AD408" s="190"/>
      <c r="AE408" s="190"/>
      <c r="AF408" s="190"/>
      <c r="AG408" s="190"/>
      <c r="AH408" s="190"/>
      <c r="AI408" s="190"/>
      <c r="AJ408" s="190"/>
    </row>
    <row r="409" spans="2:36">
      <c r="B409" s="485"/>
      <c r="C409" s="177"/>
      <c r="D409" s="345"/>
      <c r="E409" s="12"/>
      <c r="F409" s="6"/>
      <c r="G409" s="190"/>
      <c r="H409" s="190"/>
      <c r="I409" s="190"/>
      <c r="J409" s="190"/>
      <c r="K409" s="190"/>
      <c r="L409" s="190"/>
      <c r="M409" s="190"/>
      <c r="N409" s="190"/>
      <c r="O409" s="190"/>
      <c r="P409" s="190"/>
      <c r="Q409" s="190"/>
      <c r="R409" s="190"/>
      <c r="S409" s="190"/>
      <c r="T409" s="190"/>
      <c r="U409" s="190"/>
      <c r="V409" s="190"/>
      <c r="W409" s="190"/>
      <c r="X409" s="190"/>
      <c r="Y409" s="190"/>
      <c r="Z409" s="190"/>
      <c r="AA409" s="190"/>
      <c r="AB409" s="190"/>
      <c r="AC409" s="190"/>
      <c r="AD409" s="190"/>
      <c r="AE409" s="190"/>
      <c r="AF409" s="190"/>
      <c r="AG409" s="190"/>
      <c r="AH409" s="190"/>
      <c r="AI409" s="190"/>
      <c r="AJ409" s="190"/>
    </row>
    <row r="410" spans="2:36">
      <c r="B410" s="485"/>
      <c r="C410" s="177"/>
      <c r="D410" s="345"/>
      <c r="E410" s="12"/>
      <c r="F410" s="6"/>
      <c r="G410" s="190"/>
      <c r="H410" s="190"/>
      <c r="I410" s="190"/>
      <c r="J410" s="190"/>
      <c r="K410" s="190"/>
      <c r="L410" s="190"/>
      <c r="M410" s="190"/>
      <c r="N410" s="190"/>
      <c r="O410" s="190"/>
      <c r="P410" s="190"/>
      <c r="Q410" s="190"/>
      <c r="R410" s="190"/>
      <c r="S410" s="190"/>
      <c r="T410" s="190"/>
      <c r="U410" s="190"/>
      <c r="V410" s="190"/>
      <c r="W410" s="190"/>
      <c r="X410" s="190"/>
      <c r="Y410" s="190"/>
      <c r="Z410" s="190"/>
      <c r="AA410" s="190"/>
      <c r="AB410" s="190"/>
      <c r="AC410" s="190"/>
      <c r="AD410" s="190"/>
      <c r="AE410" s="190"/>
      <c r="AF410" s="190"/>
      <c r="AG410" s="190"/>
      <c r="AH410" s="190"/>
      <c r="AI410" s="190"/>
      <c r="AJ410" s="190"/>
    </row>
    <row r="411" spans="2:36">
      <c r="B411" s="485"/>
      <c r="C411" s="177"/>
      <c r="D411" s="345"/>
      <c r="E411" s="12"/>
      <c r="F411" s="6"/>
      <c r="G411" s="190"/>
      <c r="H411" s="190"/>
      <c r="I411" s="190"/>
      <c r="J411" s="190"/>
      <c r="K411" s="190"/>
      <c r="L411" s="190"/>
      <c r="M411" s="190"/>
      <c r="N411" s="190"/>
      <c r="O411" s="190"/>
      <c r="P411" s="190"/>
      <c r="Q411" s="190"/>
      <c r="R411" s="190"/>
      <c r="S411" s="190"/>
      <c r="T411" s="190"/>
      <c r="U411" s="190"/>
      <c r="V411" s="190"/>
      <c r="W411" s="190"/>
      <c r="X411" s="190"/>
      <c r="Y411" s="190"/>
      <c r="Z411" s="190"/>
      <c r="AA411" s="190"/>
      <c r="AB411" s="190"/>
      <c r="AC411" s="190"/>
      <c r="AD411" s="190"/>
      <c r="AE411" s="190"/>
      <c r="AF411" s="190"/>
      <c r="AG411" s="190"/>
      <c r="AH411" s="190"/>
      <c r="AI411" s="190"/>
      <c r="AJ411" s="190"/>
    </row>
    <row r="412" spans="2:36">
      <c r="B412" s="485"/>
      <c r="C412" s="177"/>
      <c r="D412" s="345"/>
      <c r="E412" s="12"/>
      <c r="F412" s="6"/>
      <c r="G412" s="190"/>
      <c r="H412" s="190"/>
      <c r="I412" s="190"/>
      <c r="J412" s="190"/>
      <c r="K412" s="190"/>
      <c r="L412" s="190"/>
      <c r="M412" s="190"/>
      <c r="N412" s="190"/>
      <c r="O412" s="190"/>
      <c r="P412" s="190"/>
      <c r="Q412" s="190"/>
      <c r="R412" s="190"/>
      <c r="S412" s="190"/>
      <c r="T412" s="190"/>
      <c r="U412" s="190"/>
      <c r="V412" s="190"/>
      <c r="W412" s="190"/>
      <c r="X412" s="190"/>
      <c r="Y412" s="190"/>
      <c r="Z412" s="190"/>
      <c r="AA412" s="190"/>
      <c r="AB412" s="190"/>
      <c r="AC412" s="190"/>
      <c r="AD412" s="190"/>
      <c r="AE412" s="190"/>
      <c r="AF412" s="190"/>
      <c r="AG412" s="190"/>
      <c r="AH412" s="190"/>
      <c r="AI412" s="190"/>
      <c r="AJ412" s="190"/>
    </row>
    <row r="413" spans="2:36">
      <c r="B413" s="485"/>
      <c r="C413" s="177"/>
      <c r="D413" s="345"/>
      <c r="E413" s="12"/>
      <c r="F413" s="6"/>
      <c r="G413" s="190"/>
      <c r="H413" s="190"/>
      <c r="I413" s="190"/>
      <c r="J413" s="190"/>
      <c r="K413" s="190"/>
      <c r="L413" s="190"/>
      <c r="M413" s="190"/>
      <c r="N413" s="190"/>
      <c r="O413" s="190"/>
      <c r="P413" s="190"/>
      <c r="Q413" s="190"/>
      <c r="R413" s="190"/>
      <c r="S413" s="190"/>
      <c r="T413" s="190"/>
      <c r="U413" s="190"/>
      <c r="V413" s="190"/>
      <c r="W413" s="190"/>
      <c r="X413" s="190"/>
      <c r="Y413" s="190"/>
      <c r="Z413" s="190"/>
      <c r="AA413" s="190"/>
      <c r="AB413" s="190"/>
      <c r="AC413" s="190"/>
      <c r="AD413" s="190"/>
      <c r="AE413" s="190"/>
      <c r="AF413" s="190"/>
      <c r="AG413" s="190"/>
      <c r="AH413" s="190"/>
      <c r="AI413" s="190"/>
      <c r="AJ413" s="190"/>
    </row>
    <row r="414" spans="2:36">
      <c r="B414" s="485"/>
      <c r="C414" s="177"/>
      <c r="D414" s="345"/>
      <c r="E414" s="12"/>
      <c r="F414" s="6"/>
      <c r="G414" s="190"/>
      <c r="H414" s="190"/>
      <c r="I414" s="190"/>
      <c r="J414" s="190"/>
      <c r="K414" s="190"/>
      <c r="L414" s="190"/>
      <c r="M414" s="190"/>
      <c r="N414" s="190"/>
      <c r="O414" s="190"/>
      <c r="P414" s="190"/>
      <c r="Q414" s="190"/>
      <c r="R414" s="190"/>
      <c r="S414" s="190"/>
      <c r="T414" s="190"/>
      <c r="U414" s="190"/>
      <c r="V414" s="190"/>
      <c r="W414" s="190"/>
      <c r="X414" s="190"/>
      <c r="Y414" s="190"/>
      <c r="Z414" s="190"/>
      <c r="AA414" s="190"/>
      <c r="AB414" s="190"/>
      <c r="AC414" s="190"/>
      <c r="AD414" s="190"/>
      <c r="AE414" s="190"/>
      <c r="AF414" s="190"/>
      <c r="AG414" s="190"/>
      <c r="AH414" s="190"/>
      <c r="AI414" s="190"/>
      <c r="AJ414" s="190"/>
    </row>
    <row r="415" spans="2:36">
      <c r="B415" s="485"/>
      <c r="C415" s="177"/>
      <c r="D415" s="345"/>
      <c r="E415" s="12"/>
      <c r="F415" s="6"/>
      <c r="G415" s="190"/>
      <c r="H415" s="190"/>
      <c r="I415" s="190"/>
      <c r="J415" s="190"/>
      <c r="K415" s="190"/>
      <c r="L415" s="190"/>
      <c r="M415" s="190"/>
      <c r="N415" s="190"/>
      <c r="O415" s="190"/>
      <c r="P415" s="190"/>
      <c r="Q415" s="190"/>
      <c r="R415" s="190"/>
      <c r="S415" s="190"/>
      <c r="T415" s="190"/>
      <c r="U415" s="190"/>
      <c r="V415" s="190"/>
      <c r="W415" s="190"/>
      <c r="X415" s="190"/>
      <c r="Y415" s="190"/>
      <c r="Z415" s="190"/>
      <c r="AA415" s="190"/>
      <c r="AB415" s="190"/>
      <c r="AC415" s="190"/>
      <c r="AD415" s="190"/>
      <c r="AE415" s="190"/>
      <c r="AF415" s="190"/>
      <c r="AG415" s="190"/>
      <c r="AH415" s="190"/>
      <c r="AI415" s="190"/>
      <c r="AJ415" s="190"/>
    </row>
    <row r="416" spans="2:36">
      <c r="B416" s="485"/>
      <c r="C416" s="177"/>
      <c r="D416" s="345"/>
      <c r="E416" s="12"/>
      <c r="F416" s="6"/>
      <c r="G416" s="190"/>
      <c r="H416" s="190"/>
      <c r="I416" s="190"/>
      <c r="J416" s="190"/>
      <c r="K416" s="190"/>
      <c r="L416" s="190"/>
      <c r="M416" s="190"/>
      <c r="N416" s="190"/>
      <c r="O416" s="190"/>
      <c r="P416" s="190"/>
      <c r="Q416" s="190"/>
      <c r="R416" s="190"/>
      <c r="S416" s="190"/>
      <c r="T416" s="190"/>
      <c r="U416" s="190"/>
      <c r="V416" s="190"/>
      <c r="W416" s="190"/>
      <c r="X416" s="190"/>
      <c r="Y416" s="190"/>
      <c r="Z416" s="190"/>
      <c r="AA416" s="190"/>
      <c r="AB416" s="190"/>
      <c r="AC416" s="190"/>
      <c r="AD416" s="190"/>
      <c r="AE416" s="190"/>
      <c r="AF416" s="190"/>
      <c r="AG416" s="190"/>
      <c r="AH416" s="190"/>
      <c r="AI416" s="190"/>
      <c r="AJ416" s="190"/>
    </row>
    <row r="417" spans="2:36">
      <c r="B417" s="485"/>
      <c r="C417" s="177"/>
      <c r="D417" s="345"/>
      <c r="E417" s="12"/>
      <c r="F417" s="6"/>
      <c r="G417" s="190"/>
      <c r="H417" s="190"/>
      <c r="I417" s="190"/>
      <c r="J417" s="190"/>
      <c r="K417" s="190"/>
      <c r="L417" s="190"/>
      <c r="M417" s="190"/>
      <c r="N417" s="190"/>
      <c r="O417" s="190"/>
      <c r="P417" s="190"/>
      <c r="Q417" s="190"/>
      <c r="R417" s="190"/>
      <c r="S417" s="190"/>
      <c r="T417" s="190"/>
      <c r="U417" s="190"/>
      <c r="V417" s="190"/>
      <c r="W417" s="190"/>
      <c r="X417" s="190"/>
      <c r="Y417" s="190"/>
      <c r="Z417" s="190"/>
      <c r="AA417" s="190"/>
      <c r="AB417" s="190"/>
      <c r="AC417" s="190"/>
      <c r="AD417" s="190"/>
      <c r="AE417" s="190"/>
      <c r="AF417" s="190"/>
      <c r="AG417" s="190"/>
      <c r="AH417" s="190"/>
      <c r="AI417" s="190"/>
      <c r="AJ417" s="190"/>
    </row>
    <row r="418" spans="2:36">
      <c r="B418" s="485"/>
      <c r="C418" s="177"/>
      <c r="D418" s="345"/>
      <c r="E418" s="12"/>
      <c r="F418" s="6"/>
      <c r="G418" s="190"/>
      <c r="H418" s="190"/>
      <c r="I418" s="190"/>
      <c r="J418" s="190"/>
      <c r="K418" s="190"/>
      <c r="L418" s="190"/>
      <c r="M418" s="190"/>
      <c r="N418" s="190"/>
      <c r="O418" s="190"/>
      <c r="P418" s="190"/>
      <c r="Q418" s="190"/>
      <c r="R418" s="190"/>
      <c r="S418" s="190"/>
      <c r="T418" s="190"/>
      <c r="U418" s="190"/>
      <c r="V418" s="190"/>
      <c r="W418" s="190"/>
      <c r="X418" s="190"/>
      <c r="Y418" s="190"/>
      <c r="Z418" s="190"/>
      <c r="AA418" s="190"/>
      <c r="AB418" s="190"/>
      <c r="AC418" s="190"/>
      <c r="AD418" s="190"/>
      <c r="AE418" s="190"/>
      <c r="AF418" s="190"/>
      <c r="AG418" s="190"/>
      <c r="AH418" s="190"/>
      <c r="AI418" s="190"/>
      <c r="AJ418" s="190"/>
    </row>
    <row r="419" spans="2:36">
      <c r="B419" s="485"/>
      <c r="C419" s="177"/>
      <c r="D419" s="345"/>
      <c r="E419" s="12"/>
      <c r="F419" s="6"/>
      <c r="G419" s="190"/>
      <c r="H419" s="190"/>
      <c r="I419" s="190"/>
      <c r="J419" s="190"/>
      <c r="K419" s="190"/>
      <c r="L419" s="190"/>
      <c r="M419" s="190"/>
      <c r="N419" s="190"/>
      <c r="O419" s="190"/>
      <c r="P419" s="190"/>
      <c r="Q419" s="190"/>
      <c r="R419" s="190"/>
      <c r="S419" s="190"/>
      <c r="T419" s="190"/>
      <c r="U419" s="190"/>
      <c r="V419" s="190"/>
      <c r="W419" s="190"/>
      <c r="X419" s="190"/>
      <c r="Y419" s="190"/>
      <c r="Z419" s="190"/>
      <c r="AA419" s="190"/>
      <c r="AB419" s="190"/>
      <c r="AC419" s="190"/>
      <c r="AD419" s="190"/>
      <c r="AE419" s="190"/>
      <c r="AF419" s="190"/>
      <c r="AG419" s="190"/>
      <c r="AH419" s="190"/>
      <c r="AI419" s="190"/>
      <c r="AJ419" s="190"/>
    </row>
    <row r="420" spans="2:36">
      <c r="B420" s="485"/>
      <c r="C420" s="177"/>
      <c r="D420" s="345"/>
      <c r="E420" s="12"/>
      <c r="F420" s="6"/>
      <c r="G420" s="190"/>
      <c r="H420" s="190"/>
      <c r="I420" s="190"/>
      <c r="J420" s="190"/>
      <c r="K420" s="190"/>
      <c r="L420" s="190"/>
      <c r="M420" s="190"/>
      <c r="N420" s="190"/>
      <c r="O420" s="190"/>
      <c r="P420" s="190"/>
      <c r="Q420" s="190"/>
      <c r="R420" s="190"/>
      <c r="S420" s="190"/>
      <c r="T420" s="190"/>
      <c r="U420" s="190"/>
      <c r="V420" s="190"/>
      <c r="W420" s="190"/>
      <c r="X420" s="190"/>
      <c r="Y420" s="190"/>
      <c r="Z420" s="190"/>
      <c r="AA420" s="190"/>
      <c r="AB420" s="190"/>
      <c r="AC420" s="190"/>
      <c r="AD420" s="190"/>
      <c r="AE420" s="190"/>
      <c r="AF420" s="190"/>
      <c r="AG420" s="190"/>
      <c r="AH420" s="190"/>
      <c r="AI420" s="190"/>
      <c r="AJ420" s="190"/>
    </row>
    <row r="421" spans="2:36">
      <c r="B421" s="485"/>
      <c r="C421" s="177"/>
      <c r="D421" s="345"/>
      <c r="E421" s="12"/>
      <c r="F421" s="6"/>
      <c r="G421" s="190"/>
      <c r="H421" s="190"/>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row>
    <row r="422" spans="2:36">
      <c r="B422" s="485"/>
      <c r="C422" s="177"/>
      <c r="D422" s="345"/>
      <c r="E422" s="12"/>
      <c r="F422" s="6"/>
      <c r="G422" s="190"/>
      <c r="H422" s="190"/>
      <c r="I422" s="190"/>
      <c r="J422" s="190"/>
      <c r="K422" s="190"/>
      <c r="L422" s="190"/>
      <c r="M422" s="190"/>
      <c r="N422" s="190"/>
      <c r="O422" s="190"/>
      <c r="P422" s="190"/>
      <c r="Q422" s="190"/>
      <c r="R422" s="190"/>
      <c r="S422" s="190"/>
      <c r="T422" s="190"/>
      <c r="U422" s="190"/>
      <c r="V422" s="190"/>
      <c r="W422" s="190"/>
      <c r="X422" s="190"/>
      <c r="Y422" s="190"/>
      <c r="Z422" s="190"/>
      <c r="AA422" s="190"/>
      <c r="AB422" s="190"/>
      <c r="AC422" s="190"/>
      <c r="AD422" s="190"/>
      <c r="AE422" s="190"/>
      <c r="AF422" s="190"/>
      <c r="AG422" s="190"/>
      <c r="AH422" s="190"/>
      <c r="AI422" s="190"/>
      <c r="AJ422" s="190"/>
    </row>
    <row r="423" spans="2:36">
      <c r="B423" s="485"/>
      <c r="C423" s="177"/>
      <c r="D423" s="345"/>
      <c r="E423" s="12"/>
      <c r="F423" s="6"/>
      <c r="G423" s="190"/>
      <c r="H423" s="190"/>
      <c r="I423" s="190"/>
      <c r="J423" s="190"/>
      <c r="K423" s="190"/>
      <c r="L423" s="190"/>
      <c r="M423" s="190"/>
      <c r="N423" s="190"/>
      <c r="O423" s="190"/>
      <c r="P423" s="190"/>
      <c r="Q423" s="190"/>
      <c r="R423" s="190"/>
      <c r="S423" s="190"/>
      <c r="T423" s="190"/>
      <c r="U423" s="190"/>
      <c r="V423" s="190"/>
      <c r="W423" s="190"/>
      <c r="X423" s="190"/>
      <c r="Y423" s="190"/>
      <c r="Z423" s="190"/>
      <c r="AA423" s="190"/>
      <c r="AB423" s="190"/>
      <c r="AC423" s="190"/>
      <c r="AD423" s="190"/>
      <c r="AE423" s="190"/>
      <c r="AF423" s="190"/>
      <c r="AG423" s="190"/>
      <c r="AH423" s="190"/>
      <c r="AI423" s="190"/>
      <c r="AJ423" s="190"/>
    </row>
    <row r="424" spans="2:36">
      <c r="B424" s="485"/>
      <c r="C424" s="177"/>
      <c r="D424" s="345"/>
      <c r="E424" s="12"/>
      <c r="F424" s="6"/>
      <c r="G424" s="190"/>
      <c r="H424" s="190"/>
      <c r="I424" s="190"/>
      <c r="J424" s="190"/>
      <c r="K424" s="190"/>
      <c r="L424" s="190"/>
      <c r="M424" s="190"/>
      <c r="N424" s="190"/>
      <c r="O424" s="190"/>
      <c r="P424" s="190"/>
      <c r="Q424" s="190"/>
      <c r="R424" s="190"/>
      <c r="S424" s="190"/>
      <c r="T424" s="190"/>
      <c r="U424" s="190"/>
      <c r="V424" s="190"/>
      <c r="W424" s="190"/>
      <c r="X424" s="190"/>
      <c r="Y424" s="190"/>
      <c r="Z424" s="190"/>
      <c r="AA424" s="190"/>
      <c r="AB424" s="190"/>
      <c r="AC424" s="190"/>
      <c r="AD424" s="190"/>
      <c r="AE424" s="190"/>
      <c r="AF424" s="190"/>
      <c r="AG424" s="190"/>
      <c r="AH424" s="190"/>
      <c r="AI424" s="190"/>
      <c r="AJ424" s="190"/>
    </row>
    <row r="425" spans="2:36">
      <c r="B425" s="485"/>
      <c r="C425" s="177"/>
      <c r="D425" s="345"/>
      <c r="E425" s="12"/>
      <c r="F425" s="6"/>
      <c r="G425" s="190"/>
      <c r="H425" s="190"/>
      <c r="I425" s="190"/>
      <c r="J425" s="190"/>
      <c r="K425" s="190"/>
      <c r="L425" s="190"/>
      <c r="M425" s="190"/>
      <c r="N425" s="190"/>
      <c r="O425" s="190"/>
      <c r="P425" s="190"/>
      <c r="Q425" s="190"/>
      <c r="R425" s="190"/>
      <c r="S425" s="190"/>
      <c r="T425" s="190"/>
      <c r="U425" s="190"/>
      <c r="V425" s="190"/>
      <c r="W425" s="190"/>
      <c r="X425" s="190"/>
      <c r="Y425" s="190"/>
      <c r="Z425" s="190"/>
      <c r="AA425" s="190"/>
      <c r="AB425" s="190"/>
      <c r="AC425" s="190"/>
      <c r="AD425" s="190"/>
      <c r="AE425" s="190"/>
      <c r="AF425" s="190"/>
      <c r="AG425" s="190"/>
      <c r="AH425" s="190"/>
      <c r="AI425" s="190"/>
      <c r="AJ425" s="190"/>
    </row>
    <row r="426" spans="2:36">
      <c r="B426" s="485"/>
      <c r="C426" s="177"/>
      <c r="D426" s="345"/>
      <c r="E426" s="12"/>
      <c r="F426" s="6"/>
      <c r="G426" s="190"/>
      <c r="H426" s="190"/>
      <c r="I426" s="190"/>
      <c r="J426" s="190"/>
      <c r="K426" s="190"/>
      <c r="L426" s="190"/>
      <c r="M426" s="190"/>
      <c r="N426" s="190"/>
      <c r="O426" s="190"/>
      <c r="P426" s="190"/>
      <c r="Q426" s="190"/>
      <c r="R426" s="190"/>
      <c r="S426" s="190"/>
      <c r="T426" s="190"/>
      <c r="U426" s="190"/>
      <c r="V426" s="190"/>
      <c r="W426" s="190"/>
      <c r="X426" s="190"/>
      <c r="Y426" s="190"/>
      <c r="Z426" s="190"/>
      <c r="AA426" s="190"/>
      <c r="AB426" s="190"/>
      <c r="AC426" s="190"/>
      <c r="AD426" s="190"/>
      <c r="AE426" s="190"/>
      <c r="AF426" s="190"/>
      <c r="AG426" s="190"/>
      <c r="AH426" s="190"/>
      <c r="AI426" s="190"/>
      <c r="AJ426" s="190"/>
    </row>
    <row r="427" spans="2:36">
      <c r="B427" s="485"/>
      <c r="C427" s="177"/>
      <c r="D427" s="345"/>
      <c r="E427" s="12"/>
      <c r="F427" s="6"/>
      <c r="G427" s="190"/>
      <c r="H427" s="190"/>
      <c r="I427" s="190"/>
      <c r="J427" s="190"/>
      <c r="K427" s="190"/>
      <c r="L427" s="190"/>
      <c r="M427" s="190"/>
      <c r="N427" s="190"/>
      <c r="O427" s="190"/>
      <c r="P427" s="190"/>
      <c r="Q427" s="190"/>
      <c r="R427" s="190"/>
      <c r="S427" s="190"/>
      <c r="T427" s="190"/>
      <c r="U427" s="190"/>
      <c r="V427" s="190"/>
      <c r="W427" s="190"/>
      <c r="X427" s="190"/>
      <c r="Y427" s="190"/>
      <c r="Z427" s="190"/>
      <c r="AA427" s="190"/>
      <c r="AB427" s="190"/>
      <c r="AC427" s="190"/>
      <c r="AD427" s="190"/>
      <c r="AE427" s="190"/>
      <c r="AF427" s="190"/>
      <c r="AG427" s="190"/>
      <c r="AH427" s="190"/>
      <c r="AI427" s="190"/>
      <c r="AJ427" s="190"/>
    </row>
    <row r="428" spans="2:36">
      <c r="B428" s="485"/>
      <c r="C428" s="177"/>
      <c r="D428" s="345"/>
      <c r="E428" s="12"/>
      <c r="F428" s="6"/>
      <c r="G428" s="190"/>
      <c r="H428" s="190"/>
      <c r="I428" s="190"/>
      <c r="J428" s="190"/>
      <c r="K428" s="190"/>
      <c r="L428" s="190"/>
      <c r="M428" s="190"/>
      <c r="N428" s="190"/>
      <c r="O428" s="190"/>
      <c r="P428" s="190"/>
      <c r="Q428" s="190"/>
      <c r="R428" s="190"/>
      <c r="S428" s="190"/>
      <c r="T428" s="190"/>
      <c r="U428" s="190"/>
      <c r="V428" s="190"/>
      <c r="W428" s="190"/>
      <c r="X428" s="190"/>
      <c r="Y428" s="190"/>
      <c r="Z428" s="190"/>
      <c r="AA428" s="190"/>
      <c r="AB428" s="190"/>
      <c r="AC428" s="190"/>
      <c r="AD428" s="190"/>
      <c r="AE428" s="190"/>
      <c r="AF428" s="190"/>
      <c r="AG428" s="190"/>
      <c r="AH428" s="190"/>
      <c r="AI428" s="190"/>
      <c r="AJ428" s="190"/>
    </row>
    <row r="429" spans="2:36">
      <c r="B429" s="485"/>
      <c r="C429" s="177"/>
      <c r="D429" s="345"/>
      <c r="E429" s="12"/>
      <c r="F429" s="6"/>
      <c r="G429" s="190"/>
      <c r="H429" s="190"/>
      <c r="I429" s="190"/>
      <c r="J429" s="190"/>
      <c r="K429" s="190"/>
      <c r="L429" s="190"/>
      <c r="M429" s="190"/>
      <c r="N429" s="190"/>
      <c r="O429" s="190"/>
      <c r="P429" s="190"/>
      <c r="Q429" s="190"/>
      <c r="R429" s="190"/>
      <c r="S429" s="190"/>
      <c r="T429" s="190"/>
      <c r="U429" s="190"/>
      <c r="V429" s="190"/>
      <c r="W429" s="190"/>
      <c r="X429" s="190"/>
      <c r="Y429" s="190"/>
      <c r="Z429" s="190"/>
      <c r="AA429" s="190"/>
      <c r="AB429" s="190"/>
      <c r="AC429" s="190"/>
      <c r="AD429" s="190"/>
      <c r="AE429" s="190"/>
      <c r="AF429" s="190"/>
      <c r="AG429" s="190"/>
      <c r="AH429" s="190"/>
      <c r="AI429" s="190"/>
      <c r="AJ429" s="190"/>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58C146084E2D26478F1D65E7C7E9FBB2" ma:contentTypeVersion="16" ma:contentTypeDescription="Crie um novo documento." ma:contentTypeScope="" ma:versionID="90d56d85ac804f64fd47b4e5f9e5d6f6">
  <xsd:schema xmlns:xsd="http://www.w3.org/2001/XMLSchema" xmlns:xs="http://www.w3.org/2001/XMLSchema" xmlns:p="http://schemas.microsoft.com/office/2006/metadata/properties" xmlns:ns2="76b52028-4491-4b9e-92d3-6c3318d266bf" xmlns:ns3="fd63b543-9706-4567-a217-d574ff2bef96" targetNamespace="http://schemas.microsoft.com/office/2006/metadata/properties" ma:root="true" ma:fieldsID="404346ae865181e832af5b463ae074fc" ns2:_="" ns3:_="">
    <xsd:import namespace="76b52028-4491-4b9e-92d3-6c3318d266bf"/>
    <xsd:import namespace="fd63b543-9706-4567-a217-d574ff2bef9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OCR" minOccurs="0"/>
                <xsd:element ref="ns3:MediaServiceGenerationTime" minOccurs="0"/>
                <xsd:element ref="ns3:MediaServiceEventHashCode" minOccurs="0"/>
                <xsd:element ref="ns3:MediaServiceLocation" minOccurs="0"/>
                <xsd:element ref="ns3:MediaLengthInSecond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b52028-4491-4b9e-92d3-6c3318d266bf"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16" nillable="true" ma:displayName="Taxonomy Catch All Column" ma:hidden="true" ma:list="{8494faed-acff-411b-a006-1e6c937da81b}" ma:internalName="TaxCatchAll" ma:showField="CatchAllData" ma:web="76b52028-4491-4b9e-92d3-6c3318d266b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d63b543-9706-4567-a217-d574ff2bef9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Marcações de imagem" ma:readOnly="false" ma:fieldId="{5cf76f15-5ced-4ddc-b409-7134ff3c332f}" ma:taxonomyMulti="true" ma:sspId="c6e92563-5d59-4a60-b8e5-1868d308e25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b52028-4491-4b9e-92d3-6c3318d266bf" xsi:nil="true"/>
    <lcf76f155ced4ddcb4097134ff3c332f xmlns="fd63b543-9706-4567-a217-d574ff2bef96">
      <Terms xmlns="http://schemas.microsoft.com/office/infopath/2007/PartnerControls"/>
    </lcf76f155ced4ddcb4097134ff3c332f>
    <SharedWithUsers xmlns="76b52028-4491-4b9e-92d3-6c3318d266bf">
      <UserInfo>
        <DisplayName>Eduardo de Abreu Moraes</DisplayName>
        <AccountId>687</AccountId>
        <AccountType/>
      </UserInfo>
      <UserInfo>
        <DisplayName>Maria Fernanda Vieira Simao</DisplayName>
        <AccountId>655</AccountId>
        <AccountType/>
      </UserInfo>
      <UserInfo>
        <DisplayName>Elaine Soares Rodrigues</DisplayName>
        <AccountId>19</AccountId>
        <AccountType/>
      </UserInfo>
      <UserInfo>
        <DisplayName>Fernanda Galuppo Amaral Teixeira</DisplayName>
        <AccountId>779</AccountId>
        <AccountType/>
      </UserInfo>
      <UserInfo>
        <DisplayName>Clarissa de Castro Lima Tribst</DisplayName>
        <AccountId>898</AccountId>
        <AccountType/>
      </UserInfo>
      <UserInfo>
        <DisplayName>Marcela Amorim Brant</DisplayName>
        <AccountId>1558</AccountId>
        <AccountType/>
      </UserInfo>
      <UserInfo>
        <DisplayName>Gabriel Santos Teixeira</DisplayName>
        <AccountId>1262</AccountId>
        <AccountType/>
      </UserInfo>
      <UserInfo>
        <DisplayName>Vanessa Rodrigues de Melo</DisplayName>
        <AccountId>1436</AccountId>
        <AccountType/>
      </UserInfo>
      <UserInfo>
        <DisplayName>Aurea Regina Evangelista S F de Carvalho</DisplayName>
        <AccountId>7</AccountId>
        <AccountType/>
      </UserInfo>
      <UserInfo>
        <DisplayName>Carlos Eduardo Ferreira de Aguiar</DisplayName>
        <AccountId>13</AccountId>
        <AccountType/>
      </UserInfo>
    </SharedWithUsers>
  </documentManagement>
</p:properties>
</file>

<file path=customXml/itemProps1.xml><?xml version="1.0" encoding="utf-8"?>
<ds:datastoreItem xmlns:ds="http://schemas.openxmlformats.org/officeDocument/2006/customXml" ds:itemID="{242B8867-D0FA-447B-A83A-C929106EB181}"/>
</file>

<file path=customXml/itemProps2.xml><?xml version="1.0" encoding="utf-8"?>
<ds:datastoreItem xmlns:ds="http://schemas.openxmlformats.org/officeDocument/2006/customXml" ds:itemID="{E6FF420D-F14D-4611-9F86-77024C2A3C55}"/>
</file>

<file path=customXml/itemProps3.xml><?xml version="1.0" encoding="utf-8"?>
<ds:datastoreItem xmlns:ds="http://schemas.openxmlformats.org/officeDocument/2006/customXml" ds:itemID="{91D2B898-C564-492F-A220-FD9119539FA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Eduardo Moraes</dc:creator>
  <cp:keywords/>
  <dc:description/>
  <cp:lastModifiedBy>Wanderley Patrocinio</cp:lastModifiedBy>
  <cp:revision>2754</cp:revision>
  <dcterms:created xsi:type="dcterms:W3CDTF">2021-09-03T16:37:10Z</dcterms:created>
  <dcterms:modified xsi:type="dcterms:W3CDTF">2025-05-20T19:08:15Z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0x01010058C146084E2D26478F1D65E7C7E9FBB2</vt:lpwstr>
  </property>
  <property fmtid="{D5CDD505-2E9C-101B-9397-08002B2CF9AE}" pid="3" name="Order">
    <vt:r8>120400</vt:r8>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MediaServiceImageTags">
    <vt:lpwstr/>
  </property>
</Properties>
</file>